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tables/table1.xml" ContentType="application/vnd.openxmlformats-officedocument.spreadsheetml.table+xml"/>
  <Override PartName="/xl/drawings/drawing6.xml" ContentType="application/vnd.openxmlformats-officedocument.drawing+xml"/>
  <Override PartName="/xl/ctrlProps/ctrlProp2.xml" ContentType="application/vnd.ms-excel.controlproperties+xml"/>
  <Override PartName="/xl/drawings/drawing7.xml" ContentType="application/vnd.openxmlformats-officedocument.drawing+xml"/>
  <Override PartName="/xl/ctrlProps/ctrlProp3.xml" ContentType="application/vnd.ms-excel.controlproperties+xml"/>
  <Override PartName="/xl/drawings/drawing8.xml" ContentType="application/vnd.openxmlformats-officedocument.drawing+xml"/>
  <Override PartName="/xl/ctrlProps/ctrlProp4.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showInkAnnotation="0" codeName="ThisWorkbook"/>
  <mc:AlternateContent xmlns:mc="http://schemas.openxmlformats.org/markup-compatibility/2006">
    <mc:Choice Requires="x15">
      <x15ac:absPath xmlns:x15ac="http://schemas.microsoft.com/office/spreadsheetml/2010/11/ac" url="D:\OD_RECOVERED_DATA\griff\OneDrive\Documents\2017.9.22 Transfer Files\Kilter\Purchase Orders\"/>
    </mc:Choice>
  </mc:AlternateContent>
  <xr:revisionPtr revIDLastSave="0" documentId="13_ncr:1_{8873DE5E-EF31-4441-80C1-AC42F48095B9}" xr6:coauthVersionLast="47" xr6:coauthVersionMax="47" xr10:uidLastSave="{00000000-0000-0000-0000-000000000000}"/>
  <bookViews>
    <workbookView xWindow="-110" yWindow="-110" windowWidth="25820" windowHeight="15620" xr2:uid="{00000000-000D-0000-FFFF-FFFF00000000}"/>
  </bookViews>
  <sheets>
    <sheet name="Cover Page" sheetId="16" r:id="rId1"/>
    <sheet name="Summary" sheetId="2" r:id="rId2"/>
    <sheet name="Kilter Holds" sheetId="1" r:id="rId3"/>
    <sheet name="Urban Plastix Holds" sheetId="15" r:id="rId4"/>
    <sheet name="Basic Recommendations" sheetId="25" state="hidden" r:id="rId5"/>
    <sheet name="Bolts" sheetId="12" r:id="rId6"/>
    <sheet name="Aragon" sheetId="13" state="hidden" r:id="rId7"/>
    <sheet name="Walltopia" sheetId="27" state="hidden" r:id="rId8"/>
    <sheet name="OrderProcessing" sheetId="26" state="hidden" r:id="rId9"/>
    <sheet name="Comp X - Kilter" sheetId="14" state="hidden" r:id="rId10"/>
    <sheet name="Macro" sheetId="24" state="hidden" r:id="rId11"/>
    <sheet name="Comp X - UP" sheetId="22" state="hidden" r:id="rId12"/>
  </sheets>
  <externalReferences>
    <externalReference r:id="rId13"/>
    <externalReference r:id="rId14"/>
  </externalReferences>
  <definedNames>
    <definedName name="_xlnm._FilterDatabase" localSheetId="6" hidden="1">Aragon!$E$1:$N$1</definedName>
    <definedName name="_xlnm._FilterDatabase" localSheetId="9" hidden="1">'Comp X - Kilter'!$B$1:$K$1</definedName>
    <definedName name="_xlnm._FilterDatabase" localSheetId="2" hidden="1">'Kilter Holds'!$B$35:$AF$370</definedName>
    <definedName name="CharacterLimit_Address1" localSheetId="8">[1]Directions!$AB$5</definedName>
    <definedName name="CharacterLimit_Address1">[2]Directions!$AB$5</definedName>
    <definedName name="CharacterLimit_Address2" localSheetId="8">[1]Directions!$AB$6</definedName>
    <definedName name="CharacterLimit_Address2">[2]Directions!$AB$6</definedName>
    <definedName name="CharacterLimit_City" localSheetId="8">[1]Directions!$AB$8</definedName>
    <definedName name="CharacterLimit_City">[2]Directions!$AB$8</definedName>
    <definedName name="CharacterLimit_Country" localSheetId="8">[1]Directions!$AB$11</definedName>
    <definedName name="CharacterLimit_Country">[2]Directions!$AB$11</definedName>
    <definedName name="CharacterLimit_CustomerPONumber" localSheetId="8">[1]Directions!$AB$1</definedName>
    <definedName name="CharacterLimit_CustomerPONumber">[2]Directions!$AB$1</definedName>
    <definedName name="CharacterLimit_InternalNumber" localSheetId="8">[1]Directions!$AB$3</definedName>
    <definedName name="CharacterLimit_InternalNumber">[2]Directions!$AB$3</definedName>
    <definedName name="CharacterLimit_State" localSheetId="8">[1]Directions!$AB$9</definedName>
    <definedName name="CharacterLimit_State">[2]Directions!$AB$9</definedName>
    <definedName name="CharacterLimit_Zipcode" localSheetId="8">[1]Directions!$AB$10</definedName>
    <definedName name="CharacterLimit_Zipcode">[2]Directions!$AB$10</definedName>
    <definedName name="CompanyShortNameList" localSheetId="8">[1]Lists!$A$3:$A$3</definedName>
    <definedName name="CompanyShortNameList">[2]Lists!$A$3:$A$3</definedName>
    <definedName name="k" localSheetId="10">#REF!</definedName>
    <definedName name="k">#REF!</definedName>
    <definedName name="n" localSheetId="9">#REF!</definedName>
    <definedName name="n" localSheetId="11">#REF!</definedName>
    <definedName name="n" localSheetId="10">#REF!</definedName>
    <definedName name="n">#REF!</definedName>
    <definedName name="_xlnm.Print_Area" localSheetId="2">'Kilter Holds'!#REF!</definedName>
    <definedName name="_xlnm.Print_Area" localSheetId="3">'Urban Plastix Holds'!$A$36:$Y$148</definedName>
    <definedName name="QBeBatchNumber" localSheetId="9">#REF!</definedName>
    <definedName name="QBeBatchNumber" localSheetId="11">#REF!</definedName>
    <definedName name="QBeBatchNumber" localSheetId="10">#REF!</definedName>
    <definedName name="QBeBatchNumber">#REF!</definedName>
    <definedName name="Range_SalesOrderValue" localSheetId="9">#REF!</definedName>
    <definedName name="Range_SalesOrderValue" localSheetId="11">#REF!</definedName>
    <definedName name="Range_SalesOrderValue" localSheetId="10">#REF!</definedName>
    <definedName name="Range_SalesOrderValue">#REF!</definedName>
    <definedName name="SheetSalesOrder_AddHardwareYN" localSheetId="9">#REF!</definedName>
    <definedName name="SheetSalesOrder_AddHardwareYN" localSheetId="11">#REF!</definedName>
    <definedName name="SheetSalesOrder_AddHardwareYN" localSheetId="10">#REF!</definedName>
    <definedName name="SheetSalesOrder_AddHardwareYN">#REF!</definedName>
    <definedName name="SheetSalesOrder_LocationHardwareTextReplaceYN" localSheetId="9">#REF!</definedName>
    <definedName name="SheetSalesOrder_LocationHardwareTextReplaceYN" localSheetId="11">#REF!</definedName>
    <definedName name="SheetSalesOrder_LocationHardwareTextReplaceYN" localSheetId="10">#REF!</definedName>
    <definedName name="SheetSalesOrder_LocationHardwareTextReplaceYN">#REF!</definedName>
    <definedName name="SheetSalesOrder_LocationUltravioletYN" localSheetId="9">#REF!</definedName>
    <definedName name="SheetSalesOrder_LocationUltravioletYN" localSheetId="11">#REF!</definedName>
    <definedName name="SheetSalesOrder_LocationUltravioletYN" localSheetId="10">#REF!</definedName>
    <definedName name="SheetSalesOrder_LocationUltravioletYN">#REF!</definedName>
    <definedName name="SheetSalesOrder_UpdateDate_ColorTable" localSheetId="9">#REF!</definedName>
    <definedName name="SheetSalesOrder_UpdateDate_ColorTable" localSheetId="11">#REF!</definedName>
    <definedName name="SheetSalesOrder_UpdateDate_ColorTable" localSheetId="10">#REF!</definedName>
    <definedName name="SheetSalesOrder_UpdateDate_ColorTable">#REF!</definedName>
    <definedName name="SheetSalesOrder_UpdateDate_HardwareTable" localSheetId="9">#REF!</definedName>
    <definedName name="SheetSalesOrder_UpdateDate_HardwareTable" localSheetId="11">#REF!</definedName>
    <definedName name="SheetSalesOrder_UpdateDate_HardwareTable" localSheetId="10">#REF!</definedName>
    <definedName name="SheetSalesOrder_UpdateDate_HardwareTable">#REF!</definedName>
    <definedName name="SheetSalesOrder_UpdateDate_KitTable" localSheetId="9">#REF!</definedName>
    <definedName name="SheetSalesOrder_UpdateDate_KitTable" localSheetId="11">#REF!</definedName>
    <definedName name="SheetSalesOrder_UpdateDate_KitTable" localSheetId="10">#REF!</definedName>
    <definedName name="SheetSalesOrder_UpdateDate_KitTable">#REF!</definedName>
    <definedName name="SheetSalesOrder_UpdateDate_QBeItemTable" localSheetId="9">#REF!</definedName>
    <definedName name="SheetSalesOrder_UpdateDate_QBeItemTable" localSheetId="11">#REF!</definedName>
    <definedName name="SheetSalesOrder_UpdateDate_QBeItemTable" localSheetId="10">#REF!</definedName>
    <definedName name="SheetSalesOrder_UpdateDate_QBeItemTable">#REF!</definedName>
    <definedName name="TableQbeItem" localSheetId="9">'[2]QBe Item'!#REF!</definedName>
    <definedName name="TableQbeItem" localSheetId="11">'[2]QBe Item'!#REF!</definedName>
    <definedName name="TableQbeItem" localSheetId="10">'[2]QBe Item'!#REF!</definedName>
    <definedName name="TableQbeItem" localSheetId="8">'[1]QBe Item'!#REF!</definedName>
    <definedName name="TableQbeItem">'[2]QBe Item'!#REF!</definedName>
    <definedName name="TotalHoldsInOrder">Summary!$K$18</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AC377" i="1" l="1"/>
  <c r="AG383" i="1"/>
  <c r="AG384" i="1" s="1"/>
  <c r="AG385" i="1"/>
  <c r="AG386" i="1"/>
  <c r="AG387" i="1"/>
  <c r="S231" i="1" l="1"/>
  <c r="AD231" i="1" s="1"/>
  <c r="E1496" i="14"/>
  <c r="G1496" i="14" s="1"/>
  <c r="H1496" i="14"/>
  <c r="E1497" i="14"/>
  <c r="G1497" i="14" s="1"/>
  <c r="H1497" i="14"/>
  <c r="E1498" i="14"/>
  <c r="G1498" i="14" s="1"/>
  <c r="H1498" i="14"/>
  <c r="E1499" i="14"/>
  <c r="G1499" i="14" s="1"/>
  <c r="H1499" i="14"/>
  <c r="E1500" i="14"/>
  <c r="G1500" i="14" s="1"/>
  <c r="H1500" i="14"/>
  <c r="E1501" i="14"/>
  <c r="G1501" i="14" s="1"/>
  <c r="H1501" i="14"/>
  <c r="E1502" i="14"/>
  <c r="G1502" i="14" s="1"/>
  <c r="H1502" i="14"/>
  <c r="E1503" i="14"/>
  <c r="G1503" i="14" s="1"/>
  <c r="H1503" i="14"/>
  <c r="E1504" i="14"/>
  <c r="G1504" i="14" s="1"/>
  <c r="H1504" i="14"/>
  <c r="S248" i="1"/>
  <c r="AD248" i="1" s="1"/>
  <c r="E1451" i="14"/>
  <c r="G1451" i="14" s="1"/>
  <c r="H1451" i="14"/>
  <c r="E1452" i="14"/>
  <c r="G1452" i="14" s="1"/>
  <c r="H1452" i="14"/>
  <c r="E1453" i="14"/>
  <c r="G1453" i="14" s="1"/>
  <c r="H1453" i="14"/>
  <c r="E1454" i="14"/>
  <c r="G1454" i="14" s="1"/>
  <c r="H1454" i="14"/>
  <c r="E1455" i="14"/>
  <c r="G1455" i="14" s="1"/>
  <c r="H1455" i="14"/>
  <c r="E1456" i="14"/>
  <c r="G1456" i="14" s="1"/>
  <c r="H1456" i="14"/>
  <c r="E1457" i="14"/>
  <c r="G1457" i="14" s="1"/>
  <c r="H1457" i="14"/>
  <c r="E1458" i="14"/>
  <c r="G1458" i="14" s="1"/>
  <c r="H1458" i="14"/>
  <c r="E1459" i="14"/>
  <c r="G1459" i="14" s="1"/>
  <c r="H1459" i="14"/>
  <c r="E1460" i="14"/>
  <c r="G1460" i="14" s="1"/>
  <c r="H1460" i="14"/>
  <c r="E1461" i="14"/>
  <c r="G1461" i="14" s="1"/>
  <c r="H1461" i="14"/>
  <c r="E1462" i="14"/>
  <c r="G1462" i="14" s="1"/>
  <c r="H1462" i="14"/>
  <c r="E1463" i="14"/>
  <c r="G1463" i="14" s="1"/>
  <c r="H1463" i="14"/>
  <c r="E1464" i="14"/>
  <c r="G1464" i="14" s="1"/>
  <c r="H1464" i="14"/>
  <c r="E1465" i="14"/>
  <c r="G1465" i="14" s="1"/>
  <c r="H1465" i="14"/>
  <c r="E1466" i="14"/>
  <c r="G1466" i="14" s="1"/>
  <c r="H1466" i="14"/>
  <c r="E1467" i="14"/>
  <c r="G1467" i="14" s="1"/>
  <c r="H1467" i="14"/>
  <c r="E1468" i="14"/>
  <c r="G1468" i="14" s="1"/>
  <c r="H1468" i="14"/>
  <c r="S111" i="1"/>
  <c r="AC111" i="1" s="1"/>
  <c r="E1433" i="14"/>
  <c r="G1433" i="14" s="1"/>
  <c r="H1433" i="14"/>
  <c r="E1434" i="14"/>
  <c r="G1434" i="14" s="1"/>
  <c r="H1434" i="14"/>
  <c r="E1435" i="14"/>
  <c r="G1435" i="14" s="1"/>
  <c r="H1435" i="14"/>
  <c r="E1436" i="14"/>
  <c r="G1436" i="14" s="1"/>
  <c r="H1436" i="14"/>
  <c r="E1437" i="14"/>
  <c r="G1437" i="14" s="1"/>
  <c r="H1437" i="14"/>
  <c r="E1438" i="14"/>
  <c r="G1438" i="14" s="1"/>
  <c r="H1438" i="14"/>
  <c r="E1439" i="14"/>
  <c r="G1439" i="14" s="1"/>
  <c r="H1439" i="14"/>
  <c r="E1440" i="14"/>
  <c r="G1440" i="14" s="1"/>
  <c r="H1440" i="14"/>
  <c r="E1441" i="14"/>
  <c r="G1441" i="14" s="1"/>
  <c r="H1441" i="14"/>
  <c r="E1442" i="14"/>
  <c r="G1442" i="14" s="1"/>
  <c r="H1442" i="14"/>
  <c r="E1443" i="14"/>
  <c r="G1443" i="14" s="1"/>
  <c r="H1443" i="14"/>
  <c r="E1444" i="14"/>
  <c r="G1444" i="14" s="1"/>
  <c r="H1444" i="14"/>
  <c r="E1445" i="14"/>
  <c r="G1445" i="14" s="1"/>
  <c r="H1445" i="14"/>
  <c r="E1446" i="14"/>
  <c r="G1446" i="14" s="1"/>
  <c r="H1446" i="14"/>
  <c r="E1447" i="14"/>
  <c r="G1447" i="14" s="1"/>
  <c r="H1447" i="14"/>
  <c r="E1448" i="14"/>
  <c r="G1448" i="14" s="1"/>
  <c r="H1448" i="14"/>
  <c r="E1449" i="14"/>
  <c r="G1449" i="14" s="1"/>
  <c r="H1449" i="14"/>
  <c r="E1450" i="14"/>
  <c r="G1450" i="14" s="1"/>
  <c r="H1450" i="14"/>
  <c r="S98" i="1"/>
  <c r="B667" i="12" s="1"/>
  <c r="V667" i="12" s="1"/>
  <c r="S97" i="1"/>
  <c r="AD97" i="1" s="1"/>
  <c r="S247" i="1"/>
  <c r="AD247" i="1" s="1"/>
  <c r="S246" i="1"/>
  <c r="AD246" i="1" s="1"/>
  <c r="E1415" i="14"/>
  <c r="G1415" i="14" s="1"/>
  <c r="H1415" i="14"/>
  <c r="E1416" i="14"/>
  <c r="G1416" i="14" s="1"/>
  <c r="H1416" i="14"/>
  <c r="E1417" i="14"/>
  <c r="G1417" i="14" s="1"/>
  <c r="H1417" i="14"/>
  <c r="E1418" i="14"/>
  <c r="G1418" i="14" s="1"/>
  <c r="H1418" i="14"/>
  <c r="E1419" i="14"/>
  <c r="G1419" i="14" s="1"/>
  <c r="H1419" i="14"/>
  <c r="E1420" i="14"/>
  <c r="G1420" i="14" s="1"/>
  <c r="H1420" i="14"/>
  <c r="E1421" i="14"/>
  <c r="G1421" i="14" s="1"/>
  <c r="H1421" i="14"/>
  <c r="E1422" i="14"/>
  <c r="G1422" i="14" s="1"/>
  <c r="H1422" i="14"/>
  <c r="E1423" i="14"/>
  <c r="G1423" i="14" s="1"/>
  <c r="H1423" i="14"/>
  <c r="E1424" i="14"/>
  <c r="G1424" i="14" s="1"/>
  <c r="H1424" i="14"/>
  <c r="E1425" i="14"/>
  <c r="G1425" i="14" s="1"/>
  <c r="H1425" i="14"/>
  <c r="E1426" i="14"/>
  <c r="G1426" i="14" s="1"/>
  <c r="H1426" i="14"/>
  <c r="E1427" i="14"/>
  <c r="G1427" i="14" s="1"/>
  <c r="H1427" i="14"/>
  <c r="E1428" i="14"/>
  <c r="G1428" i="14" s="1"/>
  <c r="H1428" i="14"/>
  <c r="E1429" i="14"/>
  <c r="G1429" i="14" s="1"/>
  <c r="H1429" i="14"/>
  <c r="E1430" i="14"/>
  <c r="G1430" i="14" s="1"/>
  <c r="H1430" i="14"/>
  <c r="E1431" i="14"/>
  <c r="G1431" i="14" s="1"/>
  <c r="H1431" i="14"/>
  <c r="E1432" i="14"/>
  <c r="G1432" i="14" s="1"/>
  <c r="H1432" i="14"/>
  <c r="S103" i="1"/>
  <c r="AD103" i="1" s="1"/>
  <c r="E1388" i="14"/>
  <c r="G1388" i="14" s="1"/>
  <c r="H1388" i="14"/>
  <c r="E1389" i="14"/>
  <c r="G1389" i="14" s="1"/>
  <c r="H1389" i="14"/>
  <c r="E1390" i="14"/>
  <c r="G1390" i="14" s="1"/>
  <c r="H1390" i="14"/>
  <c r="E1391" i="14"/>
  <c r="G1391" i="14" s="1"/>
  <c r="H1391" i="14"/>
  <c r="E1392" i="14"/>
  <c r="G1392" i="14" s="1"/>
  <c r="H1392" i="14"/>
  <c r="E1393" i="14"/>
  <c r="G1393" i="14" s="1"/>
  <c r="H1393" i="14"/>
  <c r="E1394" i="14"/>
  <c r="G1394" i="14" s="1"/>
  <c r="H1394" i="14"/>
  <c r="E1395" i="14"/>
  <c r="G1395" i="14" s="1"/>
  <c r="H1395" i="14"/>
  <c r="E1396" i="14"/>
  <c r="G1396" i="14" s="1"/>
  <c r="H1396" i="14"/>
  <c r="E1370" i="14"/>
  <c r="G1370" i="14" s="1"/>
  <c r="H1370" i="14"/>
  <c r="E1371" i="14"/>
  <c r="G1371" i="14" s="1"/>
  <c r="H1371" i="14"/>
  <c r="E1372" i="14"/>
  <c r="G1372" i="14" s="1"/>
  <c r="H1372" i="14"/>
  <c r="E1373" i="14"/>
  <c r="G1373" i="14" s="1"/>
  <c r="H1373" i="14"/>
  <c r="E1374" i="14"/>
  <c r="G1374" i="14" s="1"/>
  <c r="H1374" i="14"/>
  <c r="E1375" i="14"/>
  <c r="G1375" i="14" s="1"/>
  <c r="H1375" i="14"/>
  <c r="E1376" i="14"/>
  <c r="G1376" i="14" s="1"/>
  <c r="H1376" i="14"/>
  <c r="E1377" i="14"/>
  <c r="G1377" i="14" s="1"/>
  <c r="H1377" i="14"/>
  <c r="E1378" i="14"/>
  <c r="G1378" i="14" s="1"/>
  <c r="H1378" i="14"/>
  <c r="S110" i="1"/>
  <c r="AD110" i="1" s="1"/>
  <c r="S109" i="1"/>
  <c r="AC109" i="1" s="1"/>
  <c r="E1325" i="14"/>
  <c r="G1325" i="14" s="1"/>
  <c r="H1325" i="14"/>
  <c r="E1326" i="14"/>
  <c r="G1326" i="14" s="1"/>
  <c r="H1326" i="14"/>
  <c r="E1327" i="14"/>
  <c r="G1327" i="14" s="1"/>
  <c r="H1327" i="14"/>
  <c r="E1328" i="14"/>
  <c r="G1328" i="14" s="1"/>
  <c r="H1328" i="14"/>
  <c r="E1329" i="14"/>
  <c r="G1329" i="14" s="1"/>
  <c r="H1329" i="14"/>
  <c r="E1330" i="14"/>
  <c r="G1330" i="14" s="1"/>
  <c r="H1330" i="14"/>
  <c r="E1331" i="14"/>
  <c r="G1331" i="14" s="1"/>
  <c r="H1331" i="14"/>
  <c r="E1332" i="14"/>
  <c r="G1332" i="14" s="1"/>
  <c r="H1332" i="14"/>
  <c r="E1333" i="14"/>
  <c r="G1333" i="14" s="1"/>
  <c r="H1333" i="14"/>
  <c r="S120" i="1"/>
  <c r="AD120" i="1" s="1"/>
  <c r="E1640" i="14"/>
  <c r="G1640" i="14" s="1"/>
  <c r="H1640" i="14"/>
  <c r="E1641" i="14"/>
  <c r="G1641" i="14" s="1"/>
  <c r="H1641" i="14"/>
  <c r="E1642" i="14"/>
  <c r="G1642" i="14" s="1"/>
  <c r="H1642" i="14"/>
  <c r="E1643" i="14"/>
  <c r="G1643" i="14" s="1"/>
  <c r="H1643" i="14"/>
  <c r="E1644" i="14"/>
  <c r="G1644" i="14" s="1"/>
  <c r="H1644" i="14"/>
  <c r="E1645" i="14"/>
  <c r="G1645" i="14" s="1"/>
  <c r="H1645" i="14"/>
  <c r="E1646" i="14"/>
  <c r="G1646" i="14" s="1"/>
  <c r="H1646" i="14"/>
  <c r="E1647" i="14"/>
  <c r="G1647" i="14" s="1"/>
  <c r="H1647" i="14"/>
  <c r="E1648" i="14"/>
  <c r="G1648" i="14" s="1"/>
  <c r="H1648" i="14"/>
  <c r="S156" i="1"/>
  <c r="AD156" i="1" s="1"/>
  <c r="S170" i="1"/>
  <c r="AD170" i="1" s="1"/>
  <c r="E1397" i="14"/>
  <c r="G1397" i="14" s="1"/>
  <c r="H1397" i="14"/>
  <c r="E1398" i="14"/>
  <c r="G1398" i="14" s="1"/>
  <c r="H1398" i="14"/>
  <c r="E1399" i="14"/>
  <c r="G1399" i="14" s="1"/>
  <c r="H1399" i="14"/>
  <c r="E1400" i="14"/>
  <c r="G1400" i="14" s="1"/>
  <c r="H1400" i="14"/>
  <c r="E1401" i="14"/>
  <c r="G1401" i="14" s="1"/>
  <c r="H1401" i="14"/>
  <c r="E1402" i="14"/>
  <c r="G1402" i="14" s="1"/>
  <c r="H1402" i="14"/>
  <c r="E1403" i="14"/>
  <c r="G1403" i="14" s="1"/>
  <c r="H1403" i="14"/>
  <c r="E1404" i="14"/>
  <c r="G1404" i="14" s="1"/>
  <c r="H1404" i="14"/>
  <c r="E1405" i="14"/>
  <c r="G1405" i="14" s="1"/>
  <c r="H1405" i="14"/>
  <c r="B665" i="12" l="1"/>
  <c r="V665" i="12" s="1"/>
  <c r="AF231" i="1"/>
  <c r="AF103" i="1"/>
  <c r="B659" i="12"/>
  <c r="V659" i="12" s="1"/>
  <c r="AF98" i="1"/>
  <c r="AC231" i="1"/>
  <c r="B661" i="12"/>
  <c r="D661" i="12" s="1"/>
  <c r="AF248" i="1"/>
  <c r="AC248" i="1"/>
  <c r="B660" i="12"/>
  <c r="V660" i="12" s="1"/>
  <c r="AD111" i="1"/>
  <c r="AC246" i="1"/>
  <c r="AF97" i="1"/>
  <c r="AD98" i="1"/>
  <c r="AF111" i="1"/>
  <c r="AF247" i="1"/>
  <c r="AC98" i="1"/>
  <c r="B666" i="12"/>
  <c r="V666" i="12" s="1"/>
  <c r="G667" i="12"/>
  <c r="Q667" i="12"/>
  <c r="AC97" i="1"/>
  <c r="AF110" i="1"/>
  <c r="AF246" i="1"/>
  <c r="AC247" i="1"/>
  <c r="B664" i="12"/>
  <c r="V664" i="12" s="1"/>
  <c r="B663" i="12"/>
  <c r="E663" i="12" s="1"/>
  <c r="AC103" i="1"/>
  <c r="AC110" i="1"/>
  <c r="AD109" i="1"/>
  <c r="B554" i="12"/>
  <c r="V554" i="12" s="1"/>
  <c r="B658" i="12"/>
  <c r="V658" i="12" s="1"/>
  <c r="B662" i="12"/>
  <c r="Q662" i="12" s="1"/>
  <c r="AF109" i="1"/>
  <c r="AF120" i="1"/>
  <c r="B653" i="12"/>
  <c r="Q653" i="12" s="1"/>
  <c r="AC120" i="1"/>
  <c r="AF170" i="1"/>
  <c r="AF156" i="1"/>
  <c r="AC156" i="1"/>
  <c r="AC170" i="1"/>
  <c r="Q665" i="12" l="1"/>
  <c r="G665" i="12"/>
  <c r="Q659" i="12"/>
  <c r="D659" i="12"/>
  <c r="V661" i="12"/>
  <c r="Q661" i="12"/>
  <c r="Q660" i="12"/>
  <c r="D660" i="12"/>
  <c r="Q666" i="12"/>
  <c r="G666" i="12"/>
  <c r="G664" i="12"/>
  <c r="Q663" i="12"/>
  <c r="Q664" i="12"/>
  <c r="V663" i="12"/>
  <c r="Q658" i="12"/>
  <c r="V662" i="12"/>
  <c r="E662" i="12"/>
  <c r="Q554" i="12"/>
  <c r="G554" i="12"/>
  <c r="D658" i="12"/>
  <c r="V653" i="12"/>
  <c r="F653" i="12"/>
  <c r="B920" i="12" l="1"/>
  <c r="V920" i="12" s="1"/>
  <c r="B918" i="12"/>
  <c r="V918" i="12" s="1"/>
  <c r="B916" i="12"/>
  <c r="V916" i="12" s="1"/>
  <c r="H6995" i="13"/>
  <c r="J6995" i="13" s="1"/>
  <c r="K6995" i="13"/>
  <c r="H6996" i="13"/>
  <c r="J6996" i="13" s="1"/>
  <c r="K6996" i="13"/>
  <c r="H6997" i="13"/>
  <c r="J6997" i="13" s="1"/>
  <c r="K6997" i="13"/>
  <c r="H6998" i="13"/>
  <c r="J6998" i="13" s="1"/>
  <c r="K6998" i="13"/>
  <c r="H6999" i="13"/>
  <c r="J6999" i="13" s="1"/>
  <c r="K6999" i="13"/>
  <c r="H7000" i="13"/>
  <c r="J7000" i="13" s="1"/>
  <c r="K7000" i="13"/>
  <c r="H7001" i="13"/>
  <c r="J7001" i="13" s="1"/>
  <c r="K7001" i="13"/>
  <c r="H7002" i="13"/>
  <c r="J7002" i="13" s="1"/>
  <c r="K7002" i="13"/>
  <c r="H7003" i="13"/>
  <c r="J7003" i="13" s="1"/>
  <c r="K7003" i="13"/>
  <c r="H7004" i="13"/>
  <c r="J7004" i="13" s="1"/>
  <c r="K7004" i="13"/>
  <c r="H7005" i="13"/>
  <c r="J7005" i="13" s="1"/>
  <c r="K7005" i="13"/>
  <c r="H7006" i="13"/>
  <c r="J7006" i="13" s="1"/>
  <c r="K7006" i="13"/>
  <c r="H7007" i="13"/>
  <c r="J7007" i="13" s="1"/>
  <c r="K7007" i="13"/>
  <c r="H7008" i="13"/>
  <c r="J7008" i="13" s="1"/>
  <c r="K7008" i="13"/>
  <c r="H7009" i="13"/>
  <c r="J7009" i="13" s="1"/>
  <c r="K7009" i="13"/>
  <c r="H7010" i="13"/>
  <c r="J7010" i="13" s="1"/>
  <c r="K7010" i="13"/>
  <c r="H7011" i="13"/>
  <c r="J7011" i="13" s="1"/>
  <c r="K7011" i="13"/>
  <c r="H7012" i="13"/>
  <c r="J7012" i="13" s="1"/>
  <c r="K7012" i="13"/>
  <c r="H7013" i="13"/>
  <c r="J7013" i="13" s="1"/>
  <c r="K7013" i="13"/>
  <c r="H7014" i="13"/>
  <c r="J7014" i="13" s="1"/>
  <c r="K7014" i="13"/>
  <c r="H7015" i="13"/>
  <c r="J7015" i="13" s="1"/>
  <c r="K7015" i="13"/>
  <c r="H7016" i="13"/>
  <c r="J7016" i="13" s="1"/>
  <c r="K7016" i="13"/>
  <c r="H7017" i="13"/>
  <c r="J7017" i="13" s="1"/>
  <c r="K7017" i="13"/>
  <c r="H7018" i="13"/>
  <c r="J7018" i="13" s="1"/>
  <c r="K7018" i="13"/>
  <c r="H7019" i="13"/>
  <c r="J7019" i="13" s="1"/>
  <c r="K7019" i="13"/>
  <c r="H7020" i="13"/>
  <c r="J7020" i="13" s="1"/>
  <c r="K7020" i="13"/>
  <c r="H7021" i="13"/>
  <c r="J7021" i="13" s="1"/>
  <c r="K7021" i="13"/>
  <c r="H7022" i="13"/>
  <c r="J7022" i="13" s="1"/>
  <c r="K7022" i="13"/>
  <c r="H7023" i="13"/>
  <c r="J7023" i="13" s="1"/>
  <c r="K7023" i="13"/>
  <c r="H7024" i="13"/>
  <c r="J7024" i="13" s="1"/>
  <c r="K7024" i="13"/>
  <c r="H7025" i="13"/>
  <c r="J7025" i="13" s="1"/>
  <c r="K7025" i="13"/>
  <c r="H7026" i="13"/>
  <c r="J7026" i="13" s="1"/>
  <c r="K7026" i="13"/>
  <c r="H7027" i="13"/>
  <c r="J7027" i="13" s="1"/>
  <c r="K7027" i="13"/>
  <c r="H7028" i="13"/>
  <c r="J7028" i="13" s="1"/>
  <c r="K7028" i="13"/>
  <c r="H7029" i="13"/>
  <c r="J7029" i="13" s="1"/>
  <c r="K7029" i="13"/>
  <c r="H7030" i="13"/>
  <c r="J7030" i="13" s="1"/>
  <c r="K7030" i="13"/>
  <c r="H7031" i="13"/>
  <c r="J7031" i="13" s="1"/>
  <c r="K7031" i="13"/>
  <c r="H7032" i="13"/>
  <c r="J7032" i="13" s="1"/>
  <c r="K7032" i="13"/>
  <c r="H7033" i="13"/>
  <c r="J7033" i="13" s="1"/>
  <c r="K7033" i="13"/>
  <c r="H7034" i="13"/>
  <c r="J7034" i="13" s="1"/>
  <c r="K7034" i="13"/>
  <c r="H7035" i="13"/>
  <c r="J7035" i="13" s="1"/>
  <c r="K7035" i="13"/>
  <c r="H7036" i="13"/>
  <c r="J7036" i="13" s="1"/>
  <c r="K7036" i="13"/>
  <c r="H7037" i="13"/>
  <c r="J7037" i="13" s="1"/>
  <c r="K7037" i="13"/>
  <c r="H7038" i="13"/>
  <c r="J7038" i="13" s="1"/>
  <c r="K7038" i="13"/>
  <c r="H7039" i="13"/>
  <c r="J7039" i="13" s="1"/>
  <c r="K7039" i="13"/>
  <c r="H6986" i="13"/>
  <c r="J6986" i="13" s="1"/>
  <c r="K6986" i="13"/>
  <c r="H6987" i="13"/>
  <c r="J6987" i="13" s="1"/>
  <c r="K6987" i="13"/>
  <c r="H6988" i="13"/>
  <c r="J6988" i="13" s="1"/>
  <c r="K6988" i="13"/>
  <c r="H6989" i="13"/>
  <c r="J6989" i="13" s="1"/>
  <c r="K6989" i="13"/>
  <c r="H6990" i="13"/>
  <c r="J6990" i="13" s="1"/>
  <c r="K6990" i="13"/>
  <c r="H6991" i="13"/>
  <c r="J6991" i="13" s="1"/>
  <c r="K6991" i="13"/>
  <c r="H6992" i="13"/>
  <c r="J6992" i="13" s="1"/>
  <c r="K6992" i="13"/>
  <c r="H6993" i="13"/>
  <c r="J6993" i="13" s="1"/>
  <c r="K6993" i="13"/>
  <c r="H6994" i="13"/>
  <c r="J6994" i="13" s="1"/>
  <c r="K6994" i="13"/>
  <c r="S251" i="1"/>
  <c r="B655" i="12" s="1"/>
  <c r="V655" i="12" s="1"/>
  <c r="S250" i="1"/>
  <c r="AD250" i="1" s="1"/>
  <c r="E1406" i="14"/>
  <c r="G1406" i="14" s="1"/>
  <c r="H1406" i="14"/>
  <c r="E1407" i="14"/>
  <c r="G1407" i="14" s="1"/>
  <c r="H1407" i="14"/>
  <c r="E1408" i="14"/>
  <c r="G1408" i="14" s="1"/>
  <c r="H1408" i="14"/>
  <c r="E1409" i="14"/>
  <c r="G1409" i="14" s="1"/>
  <c r="H1409" i="14"/>
  <c r="E1410" i="14"/>
  <c r="G1410" i="14" s="1"/>
  <c r="H1410" i="14"/>
  <c r="E1411" i="14"/>
  <c r="G1411" i="14" s="1"/>
  <c r="H1411" i="14"/>
  <c r="E1412" i="14"/>
  <c r="G1412" i="14" s="1"/>
  <c r="H1412" i="14"/>
  <c r="E1413" i="14"/>
  <c r="G1413" i="14" s="1"/>
  <c r="H1413" i="14"/>
  <c r="E1414" i="14"/>
  <c r="G1414" i="14" s="1"/>
  <c r="H1414" i="14"/>
  <c r="S272" i="1"/>
  <c r="AC272" i="1" s="1"/>
  <c r="E1523" i="14"/>
  <c r="G1523" i="14" s="1"/>
  <c r="H1523" i="14"/>
  <c r="E1524" i="14"/>
  <c r="G1524" i="14" s="1"/>
  <c r="H1524" i="14"/>
  <c r="E1525" i="14"/>
  <c r="G1525" i="14" s="1"/>
  <c r="H1525" i="14"/>
  <c r="E1526" i="14"/>
  <c r="G1526" i="14" s="1"/>
  <c r="H1526" i="14"/>
  <c r="E1527" i="14"/>
  <c r="G1527" i="14" s="1"/>
  <c r="H1527" i="14"/>
  <c r="E1528" i="14"/>
  <c r="G1528" i="14" s="1"/>
  <c r="H1528" i="14"/>
  <c r="E1529" i="14"/>
  <c r="G1529" i="14" s="1"/>
  <c r="H1529" i="14"/>
  <c r="E1530" i="14"/>
  <c r="G1530" i="14" s="1"/>
  <c r="H1530" i="14"/>
  <c r="E1531" i="14"/>
  <c r="G1531" i="14" s="1"/>
  <c r="H1531" i="14"/>
  <c r="B656" i="12" l="1"/>
  <c r="V656" i="12" s="1"/>
  <c r="B654" i="12"/>
  <c r="V654" i="12" s="1"/>
  <c r="AF251" i="1"/>
  <c r="B919" i="12"/>
  <c r="Q919" i="12" s="1"/>
  <c r="B917" i="12"/>
  <c r="Q917" i="12" s="1"/>
  <c r="Q918" i="12"/>
  <c r="B915" i="12"/>
  <c r="G915" i="12" s="1"/>
  <c r="M916" i="12"/>
  <c r="J920" i="12"/>
  <c r="H918" i="12"/>
  <c r="I920" i="12"/>
  <c r="Q916" i="12"/>
  <c r="Q920" i="12"/>
  <c r="D655" i="12"/>
  <c r="Q655" i="12"/>
  <c r="AC251" i="1"/>
  <c r="AD251" i="1"/>
  <c r="AF272" i="1"/>
  <c r="AF250" i="1"/>
  <c r="AC250" i="1"/>
  <c r="AD272" i="1"/>
  <c r="F656" i="12" l="1"/>
  <c r="Q656" i="12"/>
  <c r="D654" i="12"/>
  <c r="Q654" i="12"/>
  <c r="V919" i="12"/>
  <c r="F919" i="12"/>
  <c r="V917" i="12"/>
  <c r="D917" i="12"/>
  <c r="Q915" i="12"/>
  <c r="V915" i="12"/>
  <c r="H915" i="12"/>
  <c r="S232" i="1"/>
  <c r="AF232" i="1" s="1"/>
  <c r="E803" i="22"/>
  <c r="G803" i="22" s="1"/>
  <c r="H803" i="22"/>
  <c r="E804" i="22"/>
  <c r="G804" i="22" s="1"/>
  <c r="H804" i="22"/>
  <c r="E805" i="22"/>
  <c r="G805" i="22" s="1"/>
  <c r="H805" i="22"/>
  <c r="E806" i="22"/>
  <c r="G806" i="22" s="1"/>
  <c r="H806" i="22"/>
  <c r="E807" i="22"/>
  <c r="G807" i="22" s="1"/>
  <c r="H807" i="22"/>
  <c r="E808" i="22"/>
  <c r="G808" i="22" s="1"/>
  <c r="H808" i="22"/>
  <c r="E809" i="22"/>
  <c r="G809" i="22" s="1"/>
  <c r="H809" i="22"/>
  <c r="E810" i="22"/>
  <c r="G810" i="22" s="1"/>
  <c r="H810" i="22"/>
  <c r="E811" i="22"/>
  <c r="G811" i="22" s="1"/>
  <c r="H811" i="22"/>
  <c r="E794" i="22"/>
  <c r="G794" i="22" s="1"/>
  <c r="H794" i="22"/>
  <c r="E795" i="22"/>
  <c r="G795" i="22" s="1"/>
  <c r="H795" i="22"/>
  <c r="E796" i="22"/>
  <c r="G796" i="22" s="1"/>
  <c r="H796" i="22"/>
  <c r="E797" i="22"/>
  <c r="G797" i="22" s="1"/>
  <c r="H797" i="22"/>
  <c r="E798" i="22"/>
  <c r="G798" i="22" s="1"/>
  <c r="H798" i="22"/>
  <c r="E799" i="22"/>
  <c r="G799" i="22" s="1"/>
  <c r="H799" i="22"/>
  <c r="E800" i="22"/>
  <c r="G800" i="22" s="1"/>
  <c r="H800" i="22"/>
  <c r="E801" i="22"/>
  <c r="G801" i="22" s="1"/>
  <c r="H801" i="22"/>
  <c r="E802" i="22"/>
  <c r="G802" i="22" s="1"/>
  <c r="H802" i="22"/>
  <c r="L80" i="15"/>
  <c r="V80" i="15" s="1"/>
  <c r="L79" i="15"/>
  <c r="W79" i="15" s="1"/>
  <c r="L108" i="15"/>
  <c r="W108" i="15" s="1"/>
  <c r="E1478" i="14"/>
  <c r="G1478" i="14" s="1"/>
  <c r="H1478" i="14"/>
  <c r="E1479" i="14"/>
  <c r="G1479" i="14" s="1"/>
  <c r="H1479" i="14"/>
  <c r="E1480" i="14"/>
  <c r="G1480" i="14" s="1"/>
  <c r="H1480" i="14"/>
  <c r="E1481" i="14"/>
  <c r="G1481" i="14" s="1"/>
  <c r="H1481" i="14"/>
  <c r="E1482" i="14"/>
  <c r="G1482" i="14" s="1"/>
  <c r="H1482" i="14"/>
  <c r="E1483" i="14"/>
  <c r="G1483" i="14" s="1"/>
  <c r="H1483" i="14"/>
  <c r="E1484" i="14"/>
  <c r="G1484" i="14" s="1"/>
  <c r="H1484" i="14"/>
  <c r="E1485" i="14"/>
  <c r="G1485" i="14" s="1"/>
  <c r="H1485" i="14"/>
  <c r="E1486" i="14"/>
  <c r="G1486" i="14" s="1"/>
  <c r="H1486" i="14"/>
  <c r="E1487" i="14"/>
  <c r="G1487" i="14" s="1"/>
  <c r="H1487" i="14"/>
  <c r="E1488" i="14"/>
  <c r="G1488" i="14" s="1"/>
  <c r="H1488" i="14"/>
  <c r="E1489" i="14"/>
  <c r="G1489" i="14" s="1"/>
  <c r="H1489" i="14"/>
  <c r="E1490" i="14"/>
  <c r="G1490" i="14" s="1"/>
  <c r="H1490" i="14"/>
  <c r="E1491" i="14"/>
  <c r="G1491" i="14" s="1"/>
  <c r="H1491" i="14"/>
  <c r="E1492" i="14"/>
  <c r="G1492" i="14" s="1"/>
  <c r="H1492" i="14"/>
  <c r="E1493" i="14"/>
  <c r="G1493" i="14" s="1"/>
  <c r="H1493" i="14"/>
  <c r="E1494" i="14"/>
  <c r="G1494" i="14" s="1"/>
  <c r="H1494" i="14"/>
  <c r="E1495" i="14"/>
  <c r="G1495" i="14" s="1"/>
  <c r="H1495" i="14"/>
  <c r="E1379" i="14"/>
  <c r="G1379" i="14" s="1"/>
  <c r="H1379" i="14"/>
  <c r="E1380" i="14"/>
  <c r="G1380" i="14" s="1"/>
  <c r="H1380" i="14"/>
  <c r="E1381" i="14"/>
  <c r="G1381" i="14" s="1"/>
  <c r="H1381" i="14"/>
  <c r="E1382" i="14"/>
  <c r="G1382" i="14" s="1"/>
  <c r="H1382" i="14"/>
  <c r="E1383" i="14"/>
  <c r="G1383" i="14" s="1"/>
  <c r="H1383" i="14"/>
  <c r="E1384" i="14"/>
  <c r="G1384" i="14" s="1"/>
  <c r="H1384" i="14"/>
  <c r="E1385" i="14"/>
  <c r="G1385" i="14" s="1"/>
  <c r="H1385" i="14"/>
  <c r="E1386" i="14"/>
  <c r="G1386" i="14" s="1"/>
  <c r="H1386" i="14"/>
  <c r="E1387" i="14"/>
  <c r="G1387" i="14" s="1"/>
  <c r="H1387" i="14"/>
  <c r="S169" i="1"/>
  <c r="AD169" i="1" s="1"/>
  <c r="S55" i="1"/>
  <c r="AD55" i="1" s="1"/>
  <c r="S54" i="1"/>
  <c r="B669" i="12" s="1"/>
  <c r="V669" i="12" s="1"/>
  <c r="B1109" i="12" l="1"/>
  <c r="V1109" i="12" s="1"/>
  <c r="Y108" i="15"/>
  <c r="W80" i="15"/>
  <c r="Y79" i="15"/>
  <c r="Y80" i="15"/>
  <c r="B1111" i="12"/>
  <c r="V1111" i="12" s="1"/>
  <c r="B1110" i="12"/>
  <c r="Q1110" i="12" s="1"/>
  <c r="B670" i="12"/>
  <c r="V670" i="12" s="1"/>
  <c r="AD232" i="1"/>
  <c r="B671" i="12"/>
  <c r="AC232" i="1"/>
  <c r="AF169" i="1"/>
  <c r="B652" i="12"/>
  <c r="Q652" i="12" s="1"/>
  <c r="V79" i="15"/>
  <c r="V108" i="15"/>
  <c r="I669" i="12"/>
  <c r="Q669" i="12"/>
  <c r="AC169" i="1"/>
  <c r="AF54" i="1"/>
  <c r="AF55" i="1"/>
  <c r="AC55" i="1"/>
  <c r="AC54" i="1"/>
  <c r="AD54" i="1"/>
  <c r="D1111" i="12" l="1"/>
  <c r="Q1109" i="12"/>
  <c r="D1109" i="12"/>
  <c r="V1110" i="12"/>
  <c r="Q1111" i="12"/>
  <c r="D1110" i="12"/>
  <c r="K670" i="12"/>
  <c r="Q670" i="12"/>
  <c r="V671" i="12"/>
  <c r="Q671" i="12"/>
  <c r="G671" i="12"/>
  <c r="F652" i="12"/>
  <c r="V652" i="12"/>
  <c r="S122" i="1"/>
  <c r="S121" i="1"/>
  <c r="S119" i="1"/>
  <c r="S118" i="1"/>
  <c r="E1334" i="14"/>
  <c r="G1334" i="14" s="1"/>
  <c r="H1334" i="14"/>
  <c r="E1335" i="14"/>
  <c r="G1335" i="14" s="1"/>
  <c r="H1335" i="14"/>
  <c r="E1336" i="14"/>
  <c r="G1336" i="14" s="1"/>
  <c r="H1336" i="14"/>
  <c r="E1337" i="14"/>
  <c r="G1337" i="14" s="1"/>
  <c r="H1337" i="14"/>
  <c r="E1338" i="14"/>
  <c r="G1338" i="14" s="1"/>
  <c r="H1338" i="14"/>
  <c r="E1339" i="14"/>
  <c r="G1339" i="14" s="1"/>
  <c r="H1339" i="14"/>
  <c r="E1340" i="14"/>
  <c r="G1340" i="14" s="1"/>
  <c r="H1340" i="14"/>
  <c r="E1341" i="14"/>
  <c r="G1341" i="14" s="1"/>
  <c r="H1341" i="14"/>
  <c r="E1342" i="14"/>
  <c r="G1342" i="14" s="1"/>
  <c r="H1342" i="14"/>
  <c r="S132" i="1"/>
  <c r="AD132" i="1" s="1"/>
  <c r="S81" i="1"/>
  <c r="B678" i="12" s="1"/>
  <c r="V678" i="12" s="1"/>
  <c r="H6959" i="13"/>
  <c r="J6959" i="13" s="1"/>
  <c r="K6959" i="13"/>
  <c r="H6960" i="13"/>
  <c r="J6960" i="13" s="1"/>
  <c r="K6960" i="13"/>
  <c r="H6961" i="13"/>
  <c r="J6961" i="13" s="1"/>
  <c r="K6961" i="13"/>
  <c r="H6962" i="13"/>
  <c r="J6962" i="13" s="1"/>
  <c r="K6962" i="13"/>
  <c r="H6963" i="13"/>
  <c r="J6963" i="13" s="1"/>
  <c r="K6963" i="13"/>
  <c r="H6964" i="13"/>
  <c r="J6964" i="13" s="1"/>
  <c r="K6964" i="13"/>
  <c r="H6965" i="13"/>
  <c r="J6965" i="13" s="1"/>
  <c r="K6965" i="13"/>
  <c r="H6966" i="13"/>
  <c r="J6966" i="13" s="1"/>
  <c r="K6966" i="13"/>
  <c r="H6967" i="13"/>
  <c r="J6967" i="13" s="1"/>
  <c r="K6967" i="13"/>
  <c r="H6968" i="13"/>
  <c r="J6968" i="13" s="1"/>
  <c r="K6968" i="13"/>
  <c r="H6969" i="13"/>
  <c r="J6969" i="13" s="1"/>
  <c r="K6969" i="13"/>
  <c r="H6970" i="13"/>
  <c r="J6970" i="13" s="1"/>
  <c r="K6970" i="13"/>
  <c r="H6971" i="13"/>
  <c r="J6971" i="13" s="1"/>
  <c r="K6971" i="13"/>
  <c r="H6972" i="13"/>
  <c r="J6972" i="13" s="1"/>
  <c r="K6972" i="13"/>
  <c r="H6973" i="13"/>
  <c r="J6973" i="13" s="1"/>
  <c r="K6973" i="13"/>
  <c r="H6974" i="13"/>
  <c r="J6974" i="13" s="1"/>
  <c r="K6974" i="13"/>
  <c r="H6975" i="13"/>
  <c r="J6975" i="13" s="1"/>
  <c r="K6975" i="13"/>
  <c r="H6976" i="13"/>
  <c r="J6976" i="13" s="1"/>
  <c r="K6976" i="13"/>
  <c r="H6977" i="13"/>
  <c r="J6977" i="13" s="1"/>
  <c r="K6977" i="13"/>
  <c r="H6978" i="13"/>
  <c r="J6978" i="13" s="1"/>
  <c r="K6978" i="13"/>
  <c r="H6979" i="13"/>
  <c r="J6979" i="13" s="1"/>
  <c r="K6979" i="13"/>
  <c r="H6980" i="13"/>
  <c r="J6980" i="13" s="1"/>
  <c r="K6980" i="13"/>
  <c r="H6981" i="13"/>
  <c r="J6981" i="13" s="1"/>
  <c r="K6981" i="13"/>
  <c r="H6982" i="13"/>
  <c r="J6982" i="13" s="1"/>
  <c r="K6982" i="13"/>
  <c r="H6983" i="13"/>
  <c r="J6983" i="13" s="1"/>
  <c r="K6983" i="13"/>
  <c r="H6984" i="13"/>
  <c r="J6984" i="13" s="1"/>
  <c r="K6984" i="13"/>
  <c r="H6985" i="13"/>
  <c r="J6985" i="13" s="1"/>
  <c r="K6985" i="13"/>
  <c r="E1928" i="14"/>
  <c r="G1928" i="14" s="1"/>
  <c r="H1928" i="14"/>
  <c r="E1929" i="14"/>
  <c r="G1929" i="14" s="1"/>
  <c r="H1929" i="14"/>
  <c r="E1930" i="14"/>
  <c r="G1930" i="14" s="1"/>
  <c r="H1930" i="14"/>
  <c r="E1931" i="14"/>
  <c r="G1931" i="14" s="1"/>
  <c r="H1931" i="14"/>
  <c r="E1932" i="14"/>
  <c r="G1932" i="14" s="1"/>
  <c r="H1932" i="14"/>
  <c r="E1933" i="14"/>
  <c r="G1933" i="14" s="1"/>
  <c r="H1933" i="14"/>
  <c r="E1934" i="14"/>
  <c r="G1934" i="14" s="1"/>
  <c r="H1934" i="14"/>
  <c r="E1935" i="14"/>
  <c r="G1935" i="14" s="1"/>
  <c r="H1935" i="14"/>
  <c r="E1936" i="14"/>
  <c r="G1936" i="14" s="1"/>
  <c r="H1936" i="14"/>
  <c r="S312" i="1"/>
  <c r="B711" i="12" s="1"/>
  <c r="V711" i="12" s="1"/>
  <c r="S56" i="1"/>
  <c r="AC56" i="1" s="1"/>
  <c r="E1514" i="14"/>
  <c r="G1514" i="14" s="1"/>
  <c r="H1514" i="14"/>
  <c r="E1515" i="14"/>
  <c r="G1515" i="14" s="1"/>
  <c r="H1515" i="14"/>
  <c r="E1516" i="14"/>
  <c r="G1516" i="14" s="1"/>
  <c r="H1516" i="14"/>
  <c r="E1517" i="14"/>
  <c r="G1517" i="14" s="1"/>
  <c r="H1517" i="14"/>
  <c r="E1518" i="14"/>
  <c r="G1518" i="14" s="1"/>
  <c r="H1518" i="14"/>
  <c r="E1519" i="14"/>
  <c r="G1519" i="14" s="1"/>
  <c r="H1519" i="14"/>
  <c r="E1520" i="14"/>
  <c r="G1520" i="14" s="1"/>
  <c r="H1520" i="14"/>
  <c r="E1521" i="14"/>
  <c r="G1521" i="14" s="1"/>
  <c r="H1521" i="14"/>
  <c r="E1522" i="14"/>
  <c r="G1522" i="14" s="1"/>
  <c r="H1522" i="14"/>
  <c r="S53" i="1"/>
  <c r="AC53" i="1" s="1"/>
  <c r="E1361" i="14"/>
  <c r="G1361" i="14" s="1"/>
  <c r="H1361" i="14"/>
  <c r="E1362" i="14"/>
  <c r="G1362" i="14" s="1"/>
  <c r="H1362" i="14"/>
  <c r="E1363" i="14"/>
  <c r="G1363" i="14" s="1"/>
  <c r="H1363" i="14"/>
  <c r="E1364" i="14"/>
  <c r="G1364" i="14" s="1"/>
  <c r="H1364" i="14"/>
  <c r="E1365" i="14"/>
  <c r="G1365" i="14" s="1"/>
  <c r="H1365" i="14"/>
  <c r="E1366" i="14"/>
  <c r="G1366" i="14" s="1"/>
  <c r="H1366" i="14"/>
  <c r="E1367" i="14"/>
  <c r="G1367" i="14" s="1"/>
  <c r="H1367" i="14"/>
  <c r="E1368" i="14"/>
  <c r="G1368" i="14" s="1"/>
  <c r="H1368" i="14"/>
  <c r="E1369" i="14"/>
  <c r="G1369" i="14" s="1"/>
  <c r="H1369" i="14"/>
  <c r="S237" i="1"/>
  <c r="S83" i="1"/>
  <c r="S82" i="1"/>
  <c r="AD82" i="1" s="1"/>
  <c r="S127" i="1"/>
  <c r="AD127" i="1" s="1"/>
  <c r="S274" i="1"/>
  <c r="AD274" i="1" s="1"/>
  <c r="S245" i="1"/>
  <c r="AD245" i="1" s="1"/>
  <c r="S244" i="1"/>
  <c r="AD244" i="1" s="1"/>
  <c r="S243" i="1"/>
  <c r="AD243" i="1" s="1"/>
  <c r="E1343" i="14"/>
  <c r="G1343" i="14" s="1"/>
  <c r="H1343" i="14"/>
  <c r="E1344" i="14"/>
  <c r="G1344" i="14" s="1"/>
  <c r="H1344" i="14"/>
  <c r="E1345" i="14"/>
  <c r="G1345" i="14" s="1"/>
  <c r="H1345" i="14"/>
  <c r="E1346" i="14"/>
  <c r="G1346" i="14" s="1"/>
  <c r="H1346" i="14"/>
  <c r="E1347" i="14"/>
  <c r="G1347" i="14" s="1"/>
  <c r="H1347" i="14"/>
  <c r="E1348" i="14"/>
  <c r="G1348" i="14" s="1"/>
  <c r="H1348" i="14"/>
  <c r="E1349" i="14"/>
  <c r="G1349" i="14" s="1"/>
  <c r="H1349" i="14"/>
  <c r="E1350" i="14"/>
  <c r="G1350" i="14" s="1"/>
  <c r="H1350" i="14"/>
  <c r="E1351" i="14"/>
  <c r="G1351" i="14" s="1"/>
  <c r="H1351" i="14"/>
  <c r="E1352" i="14"/>
  <c r="G1352" i="14" s="1"/>
  <c r="H1352" i="14"/>
  <c r="E1353" i="14"/>
  <c r="G1353" i="14" s="1"/>
  <c r="H1353" i="14"/>
  <c r="E1354" i="14"/>
  <c r="G1354" i="14" s="1"/>
  <c r="H1354" i="14"/>
  <c r="E1355" i="14"/>
  <c r="G1355" i="14" s="1"/>
  <c r="H1355" i="14"/>
  <c r="E1356" i="14"/>
  <c r="G1356" i="14" s="1"/>
  <c r="H1356" i="14"/>
  <c r="E1357" i="14"/>
  <c r="G1357" i="14" s="1"/>
  <c r="H1357" i="14"/>
  <c r="E1358" i="14"/>
  <c r="G1358" i="14" s="1"/>
  <c r="H1358" i="14"/>
  <c r="E1359" i="14"/>
  <c r="G1359" i="14" s="1"/>
  <c r="H1359" i="14"/>
  <c r="E1360" i="14"/>
  <c r="G1360" i="14" s="1"/>
  <c r="H1360" i="14"/>
  <c r="E1469" i="14"/>
  <c r="G1469" i="14" s="1"/>
  <c r="H1469" i="14"/>
  <c r="E1470" i="14"/>
  <c r="G1470" i="14" s="1"/>
  <c r="H1470" i="14"/>
  <c r="E1471" i="14"/>
  <c r="G1471" i="14" s="1"/>
  <c r="H1471" i="14"/>
  <c r="E1472" i="14"/>
  <c r="G1472" i="14" s="1"/>
  <c r="H1472" i="14"/>
  <c r="E1473" i="14"/>
  <c r="G1473" i="14" s="1"/>
  <c r="H1473" i="14"/>
  <c r="E1474" i="14"/>
  <c r="G1474" i="14" s="1"/>
  <c r="H1474" i="14"/>
  <c r="E1475" i="14"/>
  <c r="G1475" i="14" s="1"/>
  <c r="H1475" i="14"/>
  <c r="E1476" i="14"/>
  <c r="G1476" i="14" s="1"/>
  <c r="H1476" i="14"/>
  <c r="E1477" i="14"/>
  <c r="G1477" i="14" s="1"/>
  <c r="H1477" i="14"/>
  <c r="E1505" i="14"/>
  <c r="G1505" i="14" s="1"/>
  <c r="H1505" i="14"/>
  <c r="E1506" i="14"/>
  <c r="G1506" i="14" s="1"/>
  <c r="H1506" i="14"/>
  <c r="E1507" i="14"/>
  <c r="G1507" i="14" s="1"/>
  <c r="H1507" i="14"/>
  <c r="E1508" i="14"/>
  <c r="G1508" i="14" s="1"/>
  <c r="H1508" i="14"/>
  <c r="E1509" i="14"/>
  <c r="G1509" i="14" s="1"/>
  <c r="H1509" i="14"/>
  <c r="E1510" i="14"/>
  <c r="G1510" i="14" s="1"/>
  <c r="H1510" i="14"/>
  <c r="E1511" i="14"/>
  <c r="G1511" i="14" s="1"/>
  <c r="H1511" i="14"/>
  <c r="E1512" i="14"/>
  <c r="G1512" i="14" s="1"/>
  <c r="H1512" i="14"/>
  <c r="E1513" i="14"/>
  <c r="G1513" i="14" s="1"/>
  <c r="H1513" i="14"/>
  <c r="E1217" i="14"/>
  <c r="G1217" i="14" s="1"/>
  <c r="H1217" i="14"/>
  <c r="E1218" i="14"/>
  <c r="G1218" i="14" s="1"/>
  <c r="H1218" i="14"/>
  <c r="E1219" i="14"/>
  <c r="G1219" i="14" s="1"/>
  <c r="H1219" i="14"/>
  <c r="E1220" i="14"/>
  <c r="G1220" i="14" s="1"/>
  <c r="H1220" i="14"/>
  <c r="E1221" i="14"/>
  <c r="G1221" i="14" s="1"/>
  <c r="H1221" i="14"/>
  <c r="E1222" i="14"/>
  <c r="G1222" i="14" s="1"/>
  <c r="H1222" i="14"/>
  <c r="E1223" i="14"/>
  <c r="G1223" i="14" s="1"/>
  <c r="H1223" i="14"/>
  <c r="E1224" i="14"/>
  <c r="G1224" i="14" s="1"/>
  <c r="H1224" i="14"/>
  <c r="E1225" i="14"/>
  <c r="G1225" i="14" s="1"/>
  <c r="H1225" i="14"/>
  <c r="E1226" i="14"/>
  <c r="G1226" i="14" s="1"/>
  <c r="H1226" i="14"/>
  <c r="E1227" i="14"/>
  <c r="G1227" i="14" s="1"/>
  <c r="H1227" i="14"/>
  <c r="E1228" i="14"/>
  <c r="G1228" i="14" s="1"/>
  <c r="H1228" i="14"/>
  <c r="E1229" i="14"/>
  <c r="G1229" i="14" s="1"/>
  <c r="H1229" i="14"/>
  <c r="E1230" i="14"/>
  <c r="G1230" i="14" s="1"/>
  <c r="H1230" i="14"/>
  <c r="E1231" i="14"/>
  <c r="G1231" i="14" s="1"/>
  <c r="H1231" i="14"/>
  <c r="E1232" i="14"/>
  <c r="G1232" i="14" s="1"/>
  <c r="H1232" i="14"/>
  <c r="E1233" i="14"/>
  <c r="G1233" i="14" s="1"/>
  <c r="H1233" i="14"/>
  <c r="E1234" i="14"/>
  <c r="G1234" i="14" s="1"/>
  <c r="H1234" i="14"/>
  <c r="E1235" i="14"/>
  <c r="G1235" i="14" s="1"/>
  <c r="H1235" i="14"/>
  <c r="E1236" i="14"/>
  <c r="G1236" i="14" s="1"/>
  <c r="H1236" i="14"/>
  <c r="E1237" i="14"/>
  <c r="G1237" i="14" s="1"/>
  <c r="H1237" i="14"/>
  <c r="E1238" i="14"/>
  <c r="G1238" i="14" s="1"/>
  <c r="H1238" i="14"/>
  <c r="E1239" i="14"/>
  <c r="G1239" i="14" s="1"/>
  <c r="H1239" i="14"/>
  <c r="E1240" i="14"/>
  <c r="G1240" i="14" s="1"/>
  <c r="H1240" i="14"/>
  <c r="E1241" i="14"/>
  <c r="G1241" i="14" s="1"/>
  <c r="H1241" i="14"/>
  <c r="E1242" i="14"/>
  <c r="G1242" i="14" s="1"/>
  <c r="H1242" i="14"/>
  <c r="E1243" i="14"/>
  <c r="G1243" i="14" s="1"/>
  <c r="H1243" i="14"/>
  <c r="E1244" i="14"/>
  <c r="G1244" i="14" s="1"/>
  <c r="H1244" i="14"/>
  <c r="E1245" i="14"/>
  <c r="G1245" i="14" s="1"/>
  <c r="H1245" i="14"/>
  <c r="E1246" i="14"/>
  <c r="G1246" i="14" s="1"/>
  <c r="H1246" i="14"/>
  <c r="E1247" i="14"/>
  <c r="G1247" i="14" s="1"/>
  <c r="H1247" i="14"/>
  <c r="E1248" i="14"/>
  <c r="G1248" i="14" s="1"/>
  <c r="H1248" i="14"/>
  <c r="E1249" i="14"/>
  <c r="G1249" i="14" s="1"/>
  <c r="H1249" i="14"/>
  <c r="E1250" i="14"/>
  <c r="G1250" i="14" s="1"/>
  <c r="H1250" i="14"/>
  <c r="E1251" i="14"/>
  <c r="G1251" i="14" s="1"/>
  <c r="H1251" i="14"/>
  <c r="E1252" i="14"/>
  <c r="G1252" i="14" s="1"/>
  <c r="H1252" i="14"/>
  <c r="E1253" i="14"/>
  <c r="G1253" i="14" s="1"/>
  <c r="H1253" i="14"/>
  <c r="E1254" i="14"/>
  <c r="G1254" i="14" s="1"/>
  <c r="H1254" i="14"/>
  <c r="E1255" i="14"/>
  <c r="G1255" i="14" s="1"/>
  <c r="H1255" i="14"/>
  <c r="E1256" i="14"/>
  <c r="G1256" i="14" s="1"/>
  <c r="H1256" i="14"/>
  <c r="E1257" i="14"/>
  <c r="G1257" i="14" s="1"/>
  <c r="H1257" i="14"/>
  <c r="E1258" i="14"/>
  <c r="G1258" i="14" s="1"/>
  <c r="H1258" i="14"/>
  <c r="E1259" i="14"/>
  <c r="G1259" i="14" s="1"/>
  <c r="H1259" i="14"/>
  <c r="E1260" i="14"/>
  <c r="G1260" i="14" s="1"/>
  <c r="H1260" i="14"/>
  <c r="E1261" i="14"/>
  <c r="G1261" i="14" s="1"/>
  <c r="H1261" i="14"/>
  <c r="E1262" i="14"/>
  <c r="G1262" i="14" s="1"/>
  <c r="H1262" i="14"/>
  <c r="E1263" i="14"/>
  <c r="G1263" i="14" s="1"/>
  <c r="H1263" i="14"/>
  <c r="E1264" i="14"/>
  <c r="G1264" i="14" s="1"/>
  <c r="H1264" i="14"/>
  <c r="E1265" i="14"/>
  <c r="G1265" i="14" s="1"/>
  <c r="H1265" i="14"/>
  <c r="E1266" i="14"/>
  <c r="G1266" i="14" s="1"/>
  <c r="H1266" i="14"/>
  <c r="E1267" i="14"/>
  <c r="G1267" i="14" s="1"/>
  <c r="H1267" i="14"/>
  <c r="E1268" i="14"/>
  <c r="G1268" i="14" s="1"/>
  <c r="H1268" i="14"/>
  <c r="E1269" i="14"/>
  <c r="G1269" i="14" s="1"/>
  <c r="H1269" i="14"/>
  <c r="E1270" i="14"/>
  <c r="G1270" i="14" s="1"/>
  <c r="H1270" i="14"/>
  <c r="E1271" i="14"/>
  <c r="G1271" i="14" s="1"/>
  <c r="H1271" i="14"/>
  <c r="E1272" i="14"/>
  <c r="G1272" i="14" s="1"/>
  <c r="H1272" i="14"/>
  <c r="E1273" i="14"/>
  <c r="G1273" i="14" s="1"/>
  <c r="H1273" i="14"/>
  <c r="E1274" i="14"/>
  <c r="G1274" i="14" s="1"/>
  <c r="H1274" i="14"/>
  <c r="E1275" i="14"/>
  <c r="G1275" i="14" s="1"/>
  <c r="H1275" i="14"/>
  <c r="E1276" i="14"/>
  <c r="G1276" i="14" s="1"/>
  <c r="H1276" i="14"/>
  <c r="E1277" i="14"/>
  <c r="G1277" i="14" s="1"/>
  <c r="H1277" i="14"/>
  <c r="E1278" i="14"/>
  <c r="G1278" i="14" s="1"/>
  <c r="H1278" i="14"/>
  <c r="E1279" i="14"/>
  <c r="G1279" i="14" s="1"/>
  <c r="H1279" i="14"/>
  <c r="E1280" i="14"/>
  <c r="G1280" i="14" s="1"/>
  <c r="H1280" i="14"/>
  <c r="E1281" i="14"/>
  <c r="G1281" i="14" s="1"/>
  <c r="H1281" i="14"/>
  <c r="E1282" i="14"/>
  <c r="G1282" i="14" s="1"/>
  <c r="H1282" i="14"/>
  <c r="E1283" i="14"/>
  <c r="G1283" i="14" s="1"/>
  <c r="H1283" i="14"/>
  <c r="E1284" i="14"/>
  <c r="G1284" i="14" s="1"/>
  <c r="H1284" i="14"/>
  <c r="E1285" i="14"/>
  <c r="G1285" i="14" s="1"/>
  <c r="H1285" i="14"/>
  <c r="E1286" i="14"/>
  <c r="G1286" i="14" s="1"/>
  <c r="H1286" i="14"/>
  <c r="E1287" i="14"/>
  <c r="G1287" i="14" s="1"/>
  <c r="H1287" i="14"/>
  <c r="E1288" i="14"/>
  <c r="G1288" i="14" s="1"/>
  <c r="H1288" i="14"/>
  <c r="E1289" i="14"/>
  <c r="G1289" i="14" s="1"/>
  <c r="H1289" i="14"/>
  <c r="E1290" i="14"/>
  <c r="G1290" i="14" s="1"/>
  <c r="H1290" i="14"/>
  <c r="E1291" i="14"/>
  <c r="G1291" i="14" s="1"/>
  <c r="H1291" i="14"/>
  <c r="E1292" i="14"/>
  <c r="G1292" i="14" s="1"/>
  <c r="H1292" i="14"/>
  <c r="E1293" i="14"/>
  <c r="G1293" i="14" s="1"/>
  <c r="H1293" i="14"/>
  <c r="E1294" i="14"/>
  <c r="G1294" i="14" s="1"/>
  <c r="H1294" i="14"/>
  <c r="E1295" i="14"/>
  <c r="G1295" i="14" s="1"/>
  <c r="H1295" i="14"/>
  <c r="E1296" i="14"/>
  <c r="G1296" i="14" s="1"/>
  <c r="H1296" i="14"/>
  <c r="E1297" i="14"/>
  <c r="G1297" i="14" s="1"/>
  <c r="H1297" i="14"/>
  <c r="E1298" i="14"/>
  <c r="G1298" i="14" s="1"/>
  <c r="H1298" i="14"/>
  <c r="E1299" i="14"/>
  <c r="G1299" i="14" s="1"/>
  <c r="H1299" i="14"/>
  <c r="E1300" i="14"/>
  <c r="G1300" i="14" s="1"/>
  <c r="H1300" i="14"/>
  <c r="E1301" i="14"/>
  <c r="G1301" i="14" s="1"/>
  <c r="H1301" i="14"/>
  <c r="E1302" i="14"/>
  <c r="G1302" i="14" s="1"/>
  <c r="H1302" i="14"/>
  <c r="E1303" i="14"/>
  <c r="G1303" i="14" s="1"/>
  <c r="H1303" i="14"/>
  <c r="E1304" i="14"/>
  <c r="G1304" i="14" s="1"/>
  <c r="H1304" i="14"/>
  <c r="E1305" i="14"/>
  <c r="G1305" i="14" s="1"/>
  <c r="H1305" i="14"/>
  <c r="E1306" i="14"/>
  <c r="G1306" i="14" s="1"/>
  <c r="H1306" i="14"/>
  <c r="E1307" i="14"/>
  <c r="G1307" i="14" s="1"/>
  <c r="H1307" i="14"/>
  <c r="E1308" i="14"/>
  <c r="G1308" i="14" s="1"/>
  <c r="H1308" i="14"/>
  <c r="E1309" i="14"/>
  <c r="G1309" i="14" s="1"/>
  <c r="H1309" i="14"/>
  <c r="E1310" i="14"/>
  <c r="G1310" i="14" s="1"/>
  <c r="H1310" i="14"/>
  <c r="E1311" i="14"/>
  <c r="G1311" i="14" s="1"/>
  <c r="H1311" i="14"/>
  <c r="E1312" i="14"/>
  <c r="G1312" i="14" s="1"/>
  <c r="H1312" i="14"/>
  <c r="E1313" i="14"/>
  <c r="G1313" i="14" s="1"/>
  <c r="H1313" i="14"/>
  <c r="E1314" i="14"/>
  <c r="G1314" i="14" s="1"/>
  <c r="H1314" i="14"/>
  <c r="E1315" i="14"/>
  <c r="G1315" i="14" s="1"/>
  <c r="H1315" i="14"/>
  <c r="E1316" i="14"/>
  <c r="G1316" i="14" s="1"/>
  <c r="H1316" i="14"/>
  <c r="E1317" i="14"/>
  <c r="G1317" i="14" s="1"/>
  <c r="H1317" i="14"/>
  <c r="E1318" i="14"/>
  <c r="G1318" i="14" s="1"/>
  <c r="H1318" i="14"/>
  <c r="E1319" i="14"/>
  <c r="G1319" i="14" s="1"/>
  <c r="H1319" i="14"/>
  <c r="E1320" i="14"/>
  <c r="G1320" i="14" s="1"/>
  <c r="H1320" i="14"/>
  <c r="E1321" i="14"/>
  <c r="G1321" i="14" s="1"/>
  <c r="H1321" i="14"/>
  <c r="E1322" i="14"/>
  <c r="G1322" i="14" s="1"/>
  <c r="H1322" i="14"/>
  <c r="E1323" i="14"/>
  <c r="G1323" i="14" s="1"/>
  <c r="H1323" i="14"/>
  <c r="E1324" i="14"/>
  <c r="G1324" i="14" s="1"/>
  <c r="H1324" i="14"/>
  <c r="S252" i="1"/>
  <c r="AD252" i="1" s="1"/>
  <c r="B914" i="12" l="1"/>
  <c r="V914" i="12" s="1"/>
  <c r="AF132" i="1"/>
  <c r="B679" i="12"/>
  <c r="V679" i="12" s="1"/>
  <c r="AD118" i="1"/>
  <c r="B651" i="12"/>
  <c r="AD119" i="1"/>
  <c r="B650" i="12"/>
  <c r="AC121" i="1"/>
  <c r="B657" i="12"/>
  <c r="AD122" i="1"/>
  <c r="B668" i="12"/>
  <c r="B913" i="12"/>
  <c r="V913" i="12" s="1"/>
  <c r="AF118" i="1"/>
  <c r="AF119" i="1"/>
  <c r="AD121" i="1"/>
  <c r="AF121" i="1"/>
  <c r="AF122" i="1"/>
  <c r="AC122" i="1"/>
  <c r="AC119" i="1"/>
  <c r="AC118" i="1"/>
  <c r="AF53" i="1"/>
  <c r="B683" i="12"/>
  <c r="Q683" i="12" s="1"/>
  <c r="I678" i="12"/>
  <c r="Q678" i="12"/>
  <c r="AC132" i="1"/>
  <c r="B677" i="12"/>
  <c r="V677" i="12" s="1"/>
  <c r="AF81" i="1"/>
  <c r="AC81" i="1"/>
  <c r="AD81" i="1"/>
  <c r="AF82" i="1"/>
  <c r="AF56" i="1"/>
  <c r="B680" i="12"/>
  <c r="V680" i="12" s="1"/>
  <c r="B684" i="12"/>
  <c r="Q684" i="12" s="1"/>
  <c r="AF237" i="1"/>
  <c r="I711" i="12"/>
  <c r="AF312" i="1"/>
  <c r="AC312" i="1"/>
  <c r="AD312" i="1"/>
  <c r="AD53" i="1"/>
  <c r="AD56" i="1"/>
  <c r="AF83" i="1"/>
  <c r="B682" i="12"/>
  <c r="Q682" i="12" s="1"/>
  <c r="AC237" i="1"/>
  <c r="AD237" i="1"/>
  <c r="B681" i="12"/>
  <c r="V681" i="12" s="1"/>
  <c r="AC83" i="1"/>
  <c r="AD83" i="1"/>
  <c r="AC82" i="1"/>
  <c r="AF245" i="1"/>
  <c r="B675" i="12"/>
  <c r="D675" i="12" s="1"/>
  <c r="B673" i="12"/>
  <c r="V673" i="12" s="1"/>
  <c r="AF274" i="1"/>
  <c r="B676" i="12"/>
  <c r="V676" i="12" s="1"/>
  <c r="AF244" i="1"/>
  <c r="B674" i="12"/>
  <c r="V674" i="12" s="1"/>
  <c r="AF127" i="1"/>
  <c r="AC127" i="1"/>
  <c r="AC274" i="1"/>
  <c r="AC245" i="1"/>
  <c r="AC244" i="1"/>
  <c r="AF243" i="1"/>
  <c r="AC243" i="1"/>
  <c r="B672" i="12"/>
  <c r="AF252" i="1"/>
  <c r="AC252" i="1"/>
  <c r="H914" i="12" l="1"/>
  <c r="G914" i="12"/>
  <c r="Q914" i="12"/>
  <c r="Q679" i="12"/>
  <c r="D651" i="12"/>
  <c r="Q651" i="12"/>
  <c r="V651" i="12"/>
  <c r="Q668" i="12"/>
  <c r="D668" i="12"/>
  <c r="V668" i="12"/>
  <c r="Q657" i="12"/>
  <c r="D657" i="12"/>
  <c r="V657" i="12"/>
  <c r="Q650" i="12"/>
  <c r="D650" i="12"/>
  <c r="V650" i="12"/>
  <c r="Q913" i="12"/>
  <c r="H913" i="12"/>
  <c r="V683" i="12"/>
  <c r="K683" i="12"/>
  <c r="Q677" i="12"/>
  <c r="I680" i="12"/>
  <c r="D677" i="12"/>
  <c r="Q680" i="12"/>
  <c r="K684" i="12"/>
  <c r="V684" i="12"/>
  <c r="V682" i="12"/>
  <c r="F682" i="12"/>
  <c r="I681" i="12"/>
  <c r="Q681" i="12"/>
  <c r="D674" i="12"/>
  <c r="Q673" i="12"/>
  <c r="D673" i="12"/>
  <c r="V675" i="12"/>
  <c r="Q675" i="12"/>
  <c r="Q674" i="12"/>
  <c r="D676" i="12"/>
  <c r="Q676" i="12"/>
  <c r="V672" i="12"/>
  <c r="D672" i="12"/>
  <c r="Q672" i="12"/>
  <c r="S108" i="1" l="1"/>
  <c r="AD108" i="1" s="1"/>
  <c r="S117" i="1"/>
  <c r="AC117" i="1" s="1"/>
  <c r="S107" i="1"/>
  <c r="AD107" i="1" s="1"/>
  <c r="B648" i="12" l="1"/>
  <c r="V648" i="12" s="1"/>
  <c r="AF108" i="1"/>
  <c r="B646" i="12"/>
  <c r="V646" i="12" s="1"/>
  <c r="B647" i="12"/>
  <c r="V647" i="12" s="1"/>
  <c r="AC108" i="1"/>
  <c r="AD117" i="1"/>
  <c r="AF117" i="1"/>
  <c r="AF107" i="1"/>
  <c r="AC107" i="1"/>
  <c r="Q648" i="12" l="1"/>
  <c r="E648" i="12"/>
  <c r="Q646" i="12"/>
  <c r="F646" i="12"/>
  <c r="Q647" i="12"/>
  <c r="D647" i="12"/>
  <c r="S235" i="1" l="1"/>
  <c r="S147" i="1"/>
  <c r="AD147" i="1" s="1"/>
  <c r="S146" i="1"/>
  <c r="AD146" i="1" s="1"/>
  <c r="AF235" i="1" l="1"/>
  <c r="AD235" i="1"/>
  <c r="B645" i="12"/>
  <c r="AC235" i="1"/>
  <c r="AF147" i="1"/>
  <c r="AF146" i="1"/>
  <c r="AC147" i="1"/>
  <c r="AC146" i="1"/>
  <c r="Q645" i="12" l="1"/>
  <c r="F645" i="12"/>
  <c r="V645" i="12"/>
  <c r="H3188" i="13" l="1"/>
  <c r="J3188" i="13" s="1"/>
  <c r="K3188" i="13"/>
  <c r="H3189" i="13"/>
  <c r="J3189" i="13" s="1"/>
  <c r="K3189" i="13"/>
  <c r="H3190" i="13"/>
  <c r="J3190" i="13" s="1"/>
  <c r="K3190" i="13"/>
  <c r="H3191" i="13"/>
  <c r="J3191" i="13" s="1"/>
  <c r="K3191" i="13"/>
  <c r="H3192" i="13"/>
  <c r="J3192" i="13" s="1"/>
  <c r="K3192" i="13"/>
  <c r="H3193" i="13"/>
  <c r="J3193" i="13" s="1"/>
  <c r="K3193" i="13"/>
  <c r="H3194" i="13"/>
  <c r="J3194" i="13" s="1"/>
  <c r="K3194" i="13"/>
  <c r="H3195" i="13"/>
  <c r="J3195" i="13" s="1"/>
  <c r="K3195" i="13"/>
  <c r="H3196" i="13"/>
  <c r="J3196" i="13" s="1"/>
  <c r="K3196" i="13"/>
  <c r="B904" i="12"/>
  <c r="E904" i="12" s="1"/>
  <c r="H6914" i="13"/>
  <c r="J6914" i="13" s="1"/>
  <c r="K6914" i="13"/>
  <c r="H6915" i="13"/>
  <c r="J6915" i="13" s="1"/>
  <c r="K6915" i="13"/>
  <c r="H6916" i="13"/>
  <c r="J6916" i="13" s="1"/>
  <c r="K6916" i="13"/>
  <c r="H6917" i="13"/>
  <c r="J6917" i="13" s="1"/>
  <c r="K6917" i="13"/>
  <c r="H6918" i="13"/>
  <c r="J6918" i="13" s="1"/>
  <c r="K6918" i="13"/>
  <c r="H6919" i="13"/>
  <c r="J6919" i="13" s="1"/>
  <c r="K6919" i="13"/>
  <c r="H6920" i="13"/>
  <c r="J6920" i="13" s="1"/>
  <c r="K6920" i="13"/>
  <c r="H6921" i="13"/>
  <c r="J6921" i="13" s="1"/>
  <c r="K6921" i="13"/>
  <c r="H6922" i="13"/>
  <c r="J6922" i="13" s="1"/>
  <c r="K6922" i="13"/>
  <c r="H6923" i="13"/>
  <c r="J6923" i="13" s="1"/>
  <c r="K6923" i="13"/>
  <c r="H6924" i="13"/>
  <c r="J6924" i="13" s="1"/>
  <c r="K6924" i="13"/>
  <c r="H6925" i="13"/>
  <c r="J6925" i="13" s="1"/>
  <c r="K6925" i="13"/>
  <c r="H6926" i="13"/>
  <c r="J6926" i="13" s="1"/>
  <c r="K6926" i="13"/>
  <c r="H6927" i="13"/>
  <c r="J6927" i="13" s="1"/>
  <c r="K6927" i="13"/>
  <c r="H6928" i="13"/>
  <c r="J6928" i="13" s="1"/>
  <c r="K6928" i="13"/>
  <c r="H6929" i="13"/>
  <c r="J6929" i="13" s="1"/>
  <c r="K6929" i="13"/>
  <c r="H6930" i="13"/>
  <c r="J6930" i="13" s="1"/>
  <c r="K6930" i="13"/>
  <c r="H6931" i="13"/>
  <c r="J6931" i="13" s="1"/>
  <c r="K6931" i="13"/>
  <c r="H6932" i="13"/>
  <c r="J6932" i="13" s="1"/>
  <c r="K6932" i="13"/>
  <c r="H6933" i="13"/>
  <c r="J6933" i="13" s="1"/>
  <c r="K6933" i="13"/>
  <c r="H6934" i="13"/>
  <c r="J6934" i="13" s="1"/>
  <c r="K6934" i="13"/>
  <c r="H6935" i="13"/>
  <c r="J6935" i="13" s="1"/>
  <c r="K6935" i="13"/>
  <c r="H6936" i="13"/>
  <c r="J6936" i="13" s="1"/>
  <c r="K6936" i="13"/>
  <c r="H6937" i="13"/>
  <c r="J6937" i="13" s="1"/>
  <c r="K6937" i="13"/>
  <c r="H6938" i="13"/>
  <c r="J6938" i="13" s="1"/>
  <c r="K6938" i="13"/>
  <c r="H6939" i="13"/>
  <c r="J6939" i="13" s="1"/>
  <c r="K6939" i="13"/>
  <c r="H6940" i="13"/>
  <c r="J6940" i="13" s="1"/>
  <c r="K6940" i="13"/>
  <c r="H6941" i="13"/>
  <c r="J6941" i="13" s="1"/>
  <c r="K6941" i="13"/>
  <c r="H6942" i="13"/>
  <c r="J6942" i="13" s="1"/>
  <c r="K6942" i="13"/>
  <c r="H6943" i="13"/>
  <c r="J6943" i="13" s="1"/>
  <c r="K6943" i="13"/>
  <c r="H6944" i="13"/>
  <c r="J6944" i="13" s="1"/>
  <c r="K6944" i="13"/>
  <c r="H6945" i="13"/>
  <c r="J6945" i="13" s="1"/>
  <c r="K6945" i="13"/>
  <c r="H6946" i="13"/>
  <c r="J6946" i="13" s="1"/>
  <c r="K6946" i="13"/>
  <c r="H6947" i="13"/>
  <c r="J6947" i="13" s="1"/>
  <c r="K6947" i="13"/>
  <c r="H6948" i="13"/>
  <c r="J6948" i="13" s="1"/>
  <c r="K6948" i="13"/>
  <c r="H6949" i="13"/>
  <c r="J6949" i="13" s="1"/>
  <c r="K6949" i="13"/>
  <c r="H6950" i="13"/>
  <c r="J6950" i="13" s="1"/>
  <c r="K6950" i="13"/>
  <c r="H6951" i="13"/>
  <c r="J6951" i="13" s="1"/>
  <c r="K6951" i="13"/>
  <c r="H6952" i="13"/>
  <c r="J6952" i="13" s="1"/>
  <c r="K6952" i="13"/>
  <c r="H6953" i="13"/>
  <c r="J6953" i="13" s="1"/>
  <c r="K6953" i="13"/>
  <c r="H6954" i="13"/>
  <c r="J6954" i="13" s="1"/>
  <c r="K6954" i="13"/>
  <c r="H6955" i="13"/>
  <c r="J6955" i="13" s="1"/>
  <c r="K6955" i="13"/>
  <c r="H6956" i="13"/>
  <c r="J6956" i="13" s="1"/>
  <c r="K6956" i="13"/>
  <c r="H6957" i="13"/>
  <c r="J6957" i="13" s="1"/>
  <c r="K6957" i="13"/>
  <c r="H6958" i="13"/>
  <c r="J6958" i="13" s="1"/>
  <c r="K6958" i="13"/>
  <c r="H6833" i="13"/>
  <c r="J6833" i="13" s="1"/>
  <c r="K6833" i="13"/>
  <c r="H6834" i="13"/>
  <c r="J6834" i="13" s="1"/>
  <c r="K6834" i="13"/>
  <c r="H6835" i="13"/>
  <c r="J6835" i="13" s="1"/>
  <c r="K6835" i="13"/>
  <c r="H6836" i="13"/>
  <c r="J6836" i="13" s="1"/>
  <c r="K6836" i="13"/>
  <c r="H6837" i="13"/>
  <c r="J6837" i="13" s="1"/>
  <c r="K6837" i="13"/>
  <c r="H6838" i="13"/>
  <c r="J6838" i="13" s="1"/>
  <c r="K6838" i="13"/>
  <c r="H6839" i="13"/>
  <c r="J6839" i="13" s="1"/>
  <c r="K6839" i="13"/>
  <c r="H6840" i="13"/>
  <c r="J6840" i="13" s="1"/>
  <c r="K6840" i="13"/>
  <c r="H6841" i="13"/>
  <c r="J6841" i="13" s="1"/>
  <c r="K6841" i="13"/>
  <c r="H6842" i="13"/>
  <c r="J6842" i="13" s="1"/>
  <c r="K6842" i="13"/>
  <c r="H6843" i="13"/>
  <c r="J6843" i="13" s="1"/>
  <c r="K6843" i="13"/>
  <c r="H6844" i="13"/>
  <c r="J6844" i="13" s="1"/>
  <c r="K6844" i="13"/>
  <c r="H6845" i="13"/>
  <c r="J6845" i="13" s="1"/>
  <c r="K6845" i="13"/>
  <c r="H6846" i="13"/>
  <c r="J6846" i="13" s="1"/>
  <c r="K6846" i="13"/>
  <c r="H6847" i="13"/>
  <c r="J6847" i="13" s="1"/>
  <c r="K6847" i="13"/>
  <c r="H6848" i="13"/>
  <c r="J6848" i="13" s="1"/>
  <c r="K6848" i="13"/>
  <c r="H6849" i="13"/>
  <c r="J6849" i="13" s="1"/>
  <c r="K6849" i="13"/>
  <c r="H6850" i="13"/>
  <c r="J6850" i="13" s="1"/>
  <c r="K6850" i="13"/>
  <c r="H6851" i="13"/>
  <c r="J6851" i="13" s="1"/>
  <c r="K6851" i="13"/>
  <c r="H6852" i="13"/>
  <c r="J6852" i="13" s="1"/>
  <c r="K6852" i="13"/>
  <c r="H6853" i="13"/>
  <c r="J6853" i="13" s="1"/>
  <c r="K6853" i="13"/>
  <c r="H6854" i="13"/>
  <c r="J6854" i="13" s="1"/>
  <c r="K6854" i="13"/>
  <c r="H6855" i="13"/>
  <c r="J6855" i="13" s="1"/>
  <c r="K6855" i="13"/>
  <c r="H6856" i="13"/>
  <c r="J6856" i="13" s="1"/>
  <c r="K6856" i="13"/>
  <c r="H6857" i="13"/>
  <c r="J6857" i="13" s="1"/>
  <c r="K6857" i="13"/>
  <c r="H6858" i="13"/>
  <c r="J6858" i="13" s="1"/>
  <c r="K6858" i="13"/>
  <c r="H6859" i="13"/>
  <c r="J6859" i="13" s="1"/>
  <c r="K6859" i="13"/>
  <c r="H6860" i="13"/>
  <c r="J6860" i="13" s="1"/>
  <c r="K6860" i="13"/>
  <c r="H6861" i="13"/>
  <c r="J6861" i="13" s="1"/>
  <c r="K6861" i="13"/>
  <c r="H6862" i="13"/>
  <c r="J6862" i="13" s="1"/>
  <c r="K6862" i="13"/>
  <c r="H6863" i="13"/>
  <c r="J6863" i="13" s="1"/>
  <c r="K6863" i="13"/>
  <c r="H6864" i="13"/>
  <c r="J6864" i="13" s="1"/>
  <c r="K6864" i="13"/>
  <c r="H6865" i="13"/>
  <c r="J6865" i="13" s="1"/>
  <c r="K6865" i="13"/>
  <c r="H6866" i="13"/>
  <c r="J6866" i="13" s="1"/>
  <c r="K6866" i="13"/>
  <c r="H6867" i="13"/>
  <c r="J6867" i="13" s="1"/>
  <c r="K6867" i="13"/>
  <c r="H6868" i="13"/>
  <c r="J6868" i="13" s="1"/>
  <c r="K6868" i="13"/>
  <c r="H6869" i="13"/>
  <c r="J6869" i="13" s="1"/>
  <c r="K6869" i="13"/>
  <c r="H6870" i="13"/>
  <c r="J6870" i="13" s="1"/>
  <c r="K6870" i="13"/>
  <c r="H6871" i="13"/>
  <c r="J6871" i="13" s="1"/>
  <c r="K6871" i="13"/>
  <c r="H6872" i="13"/>
  <c r="J6872" i="13" s="1"/>
  <c r="K6872" i="13"/>
  <c r="H6873" i="13"/>
  <c r="J6873" i="13" s="1"/>
  <c r="K6873" i="13"/>
  <c r="H6874" i="13"/>
  <c r="J6874" i="13" s="1"/>
  <c r="K6874" i="13"/>
  <c r="H6875" i="13"/>
  <c r="J6875" i="13" s="1"/>
  <c r="K6875" i="13"/>
  <c r="H6876" i="13"/>
  <c r="J6876" i="13" s="1"/>
  <c r="K6876" i="13"/>
  <c r="H6877" i="13"/>
  <c r="J6877" i="13" s="1"/>
  <c r="K6877" i="13"/>
  <c r="H6878" i="13"/>
  <c r="J6878" i="13" s="1"/>
  <c r="K6878" i="13"/>
  <c r="H6879" i="13"/>
  <c r="J6879" i="13" s="1"/>
  <c r="K6879" i="13"/>
  <c r="H6880" i="13"/>
  <c r="J6880" i="13" s="1"/>
  <c r="K6880" i="13"/>
  <c r="H6881" i="13"/>
  <c r="J6881" i="13" s="1"/>
  <c r="K6881" i="13"/>
  <c r="H6882" i="13"/>
  <c r="J6882" i="13" s="1"/>
  <c r="K6882" i="13"/>
  <c r="H6883" i="13"/>
  <c r="J6883" i="13" s="1"/>
  <c r="K6883" i="13"/>
  <c r="H6884" i="13"/>
  <c r="J6884" i="13" s="1"/>
  <c r="K6884" i="13"/>
  <c r="H6885" i="13"/>
  <c r="J6885" i="13" s="1"/>
  <c r="K6885" i="13"/>
  <c r="H6886" i="13"/>
  <c r="J6886" i="13" s="1"/>
  <c r="K6886" i="13"/>
  <c r="H6887" i="13"/>
  <c r="J6887" i="13" s="1"/>
  <c r="K6887" i="13"/>
  <c r="H6888" i="13"/>
  <c r="J6888" i="13" s="1"/>
  <c r="K6888" i="13"/>
  <c r="H6889" i="13"/>
  <c r="J6889" i="13" s="1"/>
  <c r="K6889" i="13"/>
  <c r="H6890" i="13"/>
  <c r="J6890" i="13" s="1"/>
  <c r="K6890" i="13"/>
  <c r="H6891" i="13"/>
  <c r="J6891" i="13" s="1"/>
  <c r="K6891" i="13"/>
  <c r="H6892" i="13"/>
  <c r="J6892" i="13" s="1"/>
  <c r="K6892" i="13"/>
  <c r="H6893" i="13"/>
  <c r="J6893" i="13" s="1"/>
  <c r="K6893" i="13"/>
  <c r="H6894" i="13"/>
  <c r="J6894" i="13" s="1"/>
  <c r="K6894" i="13"/>
  <c r="H6895" i="13"/>
  <c r="J6895" i="13" s="1"/>
  <c r="K6895" i="13"/>
  <c r="H6896" i="13"/>
  <c r="J6896" i="13" s="1"/>
  <c r="K6896" i="13"/>
  <c r="H6897" i="13"/>
  <c r="J6897" i="13" s="1"/>
  <c r="K6897" i="13"/>
  <c r="H6898" i="13"/>
  <c r="J6898" i="13" s="1"/>
  <c r="K6898" i="13"/>
  <c r="H6899" i="13"/>
  <c r="J6899" i="13" s="1"/>
  <c r="K6899" i="13"/>
  <c r="H6900" i="13"/>
  <c r="J6900" i="13" s="1"/>
  <c r="K6900" i="13"/>
  <c r="H6901" i="13"/>
  <c r="J6901" i="13" s="1"/>
  <c r="K6901" i="13"/>
  <c r="H6902" i="13"/>
  <c r="J6902" i="13" s="1"/>
  <c r="K6902" i="13"/>
  <c r="H6903" i="13"/>
  <c r="J6903" i="13" s="1"/>
  <c r="K6903" i="13"/>
  <c r="H6904" i="13"/>
  <c r="J6904" i="13" s="1"/>
  <c r="K6904" i="13"/>
  <c r="H6905" i="13"/>
  <c r="J6905" i="13" s="1"/>
  <c r="K6905" i="13"/>
  <c r="H6906" i="13"/>
  <c r="J6906" i="13" s="1"/>
  <c r="K6906" i="13"/>
  <c r="H6907" i="13"/>
  <c r="J6907" i="13" s="1"/>
  <c r="K6907" i="13"/>
  <c r="H6908" i="13"/>
  <c r="J6908" i="13" s="1"/>
  <c r="K6908" i="13"/>
  <c r="H6909" i="13"/>
  <c r="J6909" i="13" s="1"/>
  <c r="K6909" i="13"/>
  <c r="H6910" i="13"/>
  <c r="J6910" i="13" s="1"/>
  <c r="K6910" i="13"/>
  <c r="H6911" i="13"/>
  <c r="J6911" i="13" s="1"/>
  <c r="K6911" i="13"/>
  <c r="H6912" i="13"/>
  <c r="J6912" i="13" s="1"/>
  <c r="K6912" i="13"/>
  <c r="H6913" i="13"/>
  <c r="J6913" i="13" s="1"/>
  <c r="K6913" i="13"/>
  <c r="H6815" i="13"/>
  <c r="J6815" i="13" s="1"/>
  <c r="K6815" i="13"/>
  <c r="H6816" i="13"/>
  <c r="J6816" i="13" s="1"/>
  <c r="K6816" i="13"/>
  <c r="H6817" i="13"/>
  <c r="J6817" i="13" s="1"/>
  <c r="K6817" i="13"/>
  <c r="H6818" i="13"/>
  <c r="J6818" i="13" s="1"/>
  <c r="K6818" i="13"/>
  <c r="H6819" i="13"/>
  <c r="J6819" i="13" s="1"/>
  <c r="K6819" i="13"/>
  <c r="H6820" i="13"/>
  <c r="J6820" i="13" s="1"/>
  <c r="K6820" i="13"/>
  <c r="H6821" i="13"/>
  <c r="J6821" i="13" s="1"/>
  <c r="K6821" i="13"/>
  <c r="H6822" i="13"/>
  <c r="J6822" i="13" s="1"/>
  <c r="K6822" i="13"/>
  <c r="H6823" i="13"/>
  <c r="J6823" i="13" s="1"/>
  <c r="K6823" i="13"/>
  <c r="H6824" i="13"/>
  <c r="J6824" i="13" s="1"/>
  <c r="K6824" i="13"/>
  <c r="H6825" i="13"/>
  <c r="J6825" i="13" s="1"/>
  <c r="K6825" i="13"/>
  <c r="H6826" i="13"/>
  <c r="J6826" i="13" s="1"/>
  <c r="K6826" i="13"/>
  <c r="H6827" i="13"/>
  <c r="J6827" i="13" s="1"/>
  <c r="K6827" i="13"/>
  <c r="H6828" i="13"/>
  <c r="J6828" i="13" s="1"/>
  <c r="K6828" i="13"/>
  <c r="H6829" i="13"/>
  <c r="J6829" i="13" s="1"/>
  <c r="K6829" i="13"/>
  <c r="H6830" i="13"/>
  <c r="J6830" i="13" s="1"/>
  <c r="K6830" i="13"/>
  <c r="H6831" i="13"/>
  <c r="J6831" i="13" s="1"/>
  <c r="K6831" i="13"/>
  <c r="H6832" i="13"/>
  <c r="J6832" i="13" s="1"/>
  <c r="K6832" i="13"/>
  <c r="H2585" i="13"/>
  <c r="J2585" i="13" s="1"/>
  <c r="K2585" i="13"/>
  <c r="H2586" i="13"/>
  <c r="J2586" i="13" s="1"/>
  <c r="K2586" i="13"/>
  <c r="H2587" i="13"/>
  <c r="J2587" i="13" s="1"/>
  <c r="K2587" i="13"/>
  <c r="H2588" i="13"/>
  <c r="J2588" i="13" s="1"/>
  <c r="K2588" i="13"/>
  <c r="H2589" i="13"/>
  <c r="J2589" i="13" s="1"/>
  <c r="K2589" i="13"/>
  <c r="H2590" i="13"/>
  <c r="J2590" i="13" s="1"/>
  <c r="K2590" i="13"/>
  <c r="H2591" i="13"/>
  <c r="J2591" i="13" s="1"/>
  <c r="K2591" i="13"/>
  <c r="H2592" i="13"/>
  <c r="J2592" i="13" s="1"/>
  <c r="K2592" i="13"/>
  <c r="H2593" i="13"/>
  <c r="J2593" i="13" s="1"/>
  <c r="K2593" i="13"/>
  <c r="H3593" i="13"/>
  <c r="J3593" i="13" s="1"/>
  <c r="K3593" i="13"/>
  <c r="H3594" i="13"/>
  <c r="J3594" i="13" s="1"/>
  <c r="K3594" i="13"/>
  <c r="H3595" i="13"/>
  <c r="J3595" i="13" s="1"/>
  <c r="K3595" i="13"/>
  <c r="H3596" i="13"/>
  <c r="J3596" i="13" s="1"/>
  <c r="K3596" i="13"/>
  <c r="H3597" i="13"/>
  <c r="J3597" i="13" s="1"/>
  <c r="K3597" i="13"/>
  <c r="H3598" i="13"/>
  <c r="J3598" i="13" s="1"/>
  <c r="K3598" i="13"/>
  <c r="H3599" i="13"/>
  <c r="J3599" i="13" s="1"/>
  <c r="K3599" i="13"/>
  <c r="H3600" i="13"/>
  <c r="J3600" i="13" s="1"/>
  <c r="K3600" i="13"/>
  <c r="H3601" i="13"/>
  <c r="J3601" i="13" s="1"/>
  <c r="K3601" i="13"/>
  <c r="H3980" i="13"/>
  <c r="J3980" i="13" s="1"/>
  <c r="K3980" i="13"/>
  <c r="H3981" i="13"/>
  <c r="J3981" i="13" s="1"/>
  <c r="K3981" i="13"/>
  <c r="H3982" i="13"/>
  <c r="J3982" i="13" s="1"/>
  <c r="K3982" i="13"/>
  <c r="H3983" i="13"/>
  <c r="J3983" i="13" s="1"/>
  <c r="K3983" i="13"/>
  <c r="H3984" i="13"/>
  <c r="J3984" i="13" s="1"/>
  <c r="K3984" i="13"/>
  <c r="H3985" i="13"/>
  <c r="J3985" i="13" s="1"/>
  <c r="K3985" i="13"/>
  <c r="H3986" i="13"/>
  <c r="J3986" i="13" s="1"/>
  <c r="K3986" i="13"/>
  <c r="H3987" i="13"/>
  <c r="J3987" i="13" s="1"/>
  <c r="K3987" i="13"/>
  <c r="H3988" i="13"/>
  <c r="J3988" i="13" s="1"/>
  <c r="K3988" i="13"/>
  <c r="H6788" i="13"/>
  <c r="J6788" i="13" s="1"/>
  <c r="K6788" i="13"/>
  <c r="H6789" i="13"/>
  <c r="J6789" i="13" s="1"/>
  <c r="K6789" i="13"/>
  <c r="H6790" i="13"/>
  <c r="J6790" i="13" s="1"/>
  <c r="K6790" i="13"/>
  <c r="H6791" i="13"/>
  <c r="J6791" i="13" s="1"/>
  <c r="K6791" i="13"/>
  <c r="H6792" i="13"/>
  <c r="J6792" i="13" s="1"/>
  <c r="K6792" i="13"/>
  <c r="H6793" i="13"/>
  <c r="J6793" i="13" s="1"/>
  <c r="K6793" i="13"/>
  <c r="H6794" i="13"/>
  <c r="J6794" i="13" s="1"/>
  <c r="K6794" i="13"/>
  <c r="H6795" i="13"/>
  <c r="J6795" i="13" s="1"/>
  <c r="K6795" i="13"/>
  <c r="H6796" i="13"/>
  <c r="J6796" i="13" s="1"/>
  <c r="K6796" i="13"/>
  <c r="H6797" i="13"/>
  <c r="J6797" i="13" s="1"/>
  <c r="K6797" i="13"/>
  <c r="H6798" i="13"/>
  <c r="J6798" i="13" s="1"/>
  <c r="K6798" i="13"/>
  <c r="H6799" i="13"/>
  <c r="J6799" i="13" s="1"/>
  <c r="K6799" i="13"/>
  <c r="H6800" i="13"/>
  <c r="J6800" i="13" s="1"/>
  <c r="K6800" i="13"/>
  <c r="H6801" i="13"/>
  <c r="J6801" i="13" s="1"/>
  <c r="K6801" i="13"/>
  <c r="H6802" i="13"/>
  <c r="J6802" i="13" s="1"/>
  <c r="K6802" i="13"/>
  <c r="H6803" i="13"/>
  <c r="J6803" i="13" s="1"/>
  <c r="K6803" i="13"/>
  <c r="H6804" i="13"/>
  <c r="J6804" i="13" s="1"/>
  <c r="K6804" i="13"/>
  <c r="H6805" i="13"/>
  <c r="J6805" i="13" s="1"/>
  <c r="K6805" i="13"/>
  <c r="H6806" i="13"/>
  <c r="J6806" i="13" s="1"/>
  <c r="K6806" i="13"/>
  <c r="H6807" i="13"/>
  <c r="J6807" i="13" s="1"/>
  <c r="K6807" i="13"/>
  <c r="H6808" i="13"/>
  <c r="J6808" i="13" s="1"/>
  <c r="K6808" i="13"/>
  <c r="H6809" i="13"/>
  <c r="J6809" i="13" s="1"/>
  <c r="K6809" i="13"/>
  <c r="H6810" i="13"/>
  <c r="J6810" i="13" s="1"/>
  <c r="K6810" i="13"/>
  <c r="H6811" i="13"/>
  <c r="J6811" i="13" s="1"/>
  <c r="K6811" i="13"/>
  <c r="H6812" i="13"/>
  <c r="J6812" i="13" s="1"/>
  <c r="K6812" i="13"/>
  <c r="H6813" i="13"/>
  <c r="J6813" i="13" s="1"/>
  <c r="K6813" i="13"/>
  <c r="H6814" i="13"/>
  <c r="J6814" i="13" s="1"/>
  <c r="K6814" i="13"/>
  <c r="B903" i="12" l="1"/>
  <c r="V903" i="12" s="1"/>
  <c r="B906" i="12"/>
  <c r="Q906" i="12" s="1"/>
  <c r="B905" i="12"/>
  <c r="D905" i="12" s="1"/>
  <c r="B894" i="12"/>
  <c r="Q894" i="12" s="1"/>
  <c r="B902" i="12"/>
  <c r="D902" i="12" s="1"/>
  <c r="B900" i="12"/>
  <c r="Q900" i="12" s="1"/>
  <c r="B899" i="12"/>
  <c r="Q899" i="12" s="1"/>
  <c r="B912" i="12"/>
  <c r="Q912" i="12" s="1"/>
  <c r="B392" i="12"/>
  <c r="V392" i="12" s="1"/>
  <c r="B315" i="12"/>
  <c r="Q315" i="12" s="1"/>
  <c r="Q904" i="12"/>
  <c r="D904" i="12"/>
  <c r="B296" i="12"/>
  <c r="Q296" i="12" s="1"/>
  <c r="B901" i="12"/>
  <c r="Q901" i="12" s="1"/>
  <c r="B909" i="12"/>
  <c r="Q909" i="12" s="1"/>
  <c r="B908" i="12"/>
  <c r="D908" i="12" s="1"/>
  <c r="B910" i="12"/>
  <c r="V910" i="12" s="1"/>
  <c r="B911" i="12"/>
  <c r="V911" i="12" s="1"/>
  <c r="B897" i="12"/>
  <c r="Q897" i="12" s="1"/>
  <c r="B907" i="12"/>
  <c r="Q907" i="12" s="1"/>
  <c r="B898" i="12"/>
  <c r="G898" i="12" s="1"/>
  <c r="B896" i="12"/>
  <c r="Q896" i="12" s="1"/>
  <c r="V904" i="12"/>
  <c r="B895" i="12"/>
  <c r="Q895" i="12" s="1"/>
  <c r="Q903" i="12" l="1"/>
  <c r="D903" i="12"/>
  <c r="V905" i="12"/>
  <c r="Q902" i="12"/>
  <c r="V902" i="12"/>
  <c r="D900" i="12"/>
  <c r="V900" i="12"/>
  <c r="E894" i="12"/>
  <c r="F906" i="12"/>
  <c r="Q905" i="12"/>
  <c r="I894" i="12"/>
  <c r="F894" i="12"/>
  <c r="V899" i="12"/>
  <c r="V906" i="12"/>
  <c r="D899" i="12"/>
  <c r="E905" i="12"/>
  <c r="V894" i="12"/>
  <c r="V912" i="12"/>
  <c r="G912" i="12"/>
  <c r="V315" i="12"/>
  <c r="M392" i="12"/>
  <c r="R392" i="12"/>
  <c r="Q392" i="12"/>
  <c r="V901" i="12"/>
  <c r="V296" i="12"/>
  <c r="D901" i="12"/>
  <c r="D909" i="12"/>
  <c r="V909" i="12"/>
  <c r="Q908" i="12"/>
  <c r="V908" i="12"/>
  <c r="D910" i="12"/>
  <c r="D911" i="12"/>
  <c r="Q911" i="12"/>
  <c r="Q910" i="12"/>
  <c r="V897" i="12"/>
  <c r="G897" i="12"/>
  <c r="D907" i="12"/>
  <c r="V907" i="12"/>
  <c r="H898" i="12"/>
  <c r="V898" i="12"/>
  <c r="Q898" i="12"/>
  <c r="V896" i="12"/>
  <c r="D896" i="12"/>
  <c r="I895" i="12"/>
  <c r="K895" i="12"/>
  <c r="J895" i="12"/>
  <c r="V895" i="12"/>
  <c r="H3584" i="13"/>
  <c r="J3584" i="13" s="1"/>
  <c r="K3584" i="13"/>
  <c r="H3585" i="13"/>
  <c r="J3585" i="13" s="1"/>
  <c r="K3585" i="13"/>
  <c r="H3586" i="13"/>
  <c r="J3586" i="13" s="1"/>
  <c r="K3586" i="13"/>
  <c r="H3587" i="13"/>
  <c r="J3587" i="13" s="1"/>
  <c r="K3587" i="13"/>
  <c r="H3588" i="13"/>
  <c r="J3588" i="13" s="1"/>
  <c r="K3588" i="13"/>
  <c r="H3589" i="13"/>
  <c r="J3589" i="13" s="1"/>
  <c r="K3589" i="13"/>
  <c r="H3590" i="13"/>
  <c r="J3590" i="13" s="1"/>
  <c r="K3590" i="13"/>
  <c r="H3591" i="13"/>
  <c r="J3591" i="13" s="1"/>
  <c r="K3591" i="13"/>
  <c r="H3592" i="13"/>
  <c r="J3592" i="13" s="1"/>
  <c r="K3592" i="13"/>
  <c r="H6779" i="13"/>
  <c r="J6779" i="13" s="1"/>
  <c r="K6779" i="13"/>
  <c r="H6780" i="13"/>
  <c r="J6780" i="13" s="1"/>
  <c r="K6780" i="13"/>
  <c r="H6781" i="13"/>
  <c r="J6781" i="13" s="1"/>
  <c r="K6781" i="13"/>
  <c r="H6782" i="13"/>
  <c r="J6782" i="13" s="1"/>
  <c r="K6782" i="13"/>
  <c r="H6783" i="13"/>
  <c r="J6783" i="13" s="1"/>
  <c r="K6783" i="13"/>
  <c r="H6784" i="13"/>
  <c r="J6784" i="13" s="1"/>
  <c r="K6784" i="13"/>
  <c r="H6785" i="13"/>
  <c r="J6785" i="13" s="1"/>
  <c r="K6785" i="13"/>
  <c r="H6786" i="13"/>
  <c r="J6786" i="13" s="1"/>
  <c r="K6786" i="13"/>
  <c r="H6787" i="13"/>
  <c r="J6787" i="13" s="1"/>
  <c r="K6787" i="13"/>
  <c r="K4763" i="13"/>
  <c r="H4764" i="13"/>
  <c r="J4764" i="13" s="1"/>
  <c r="K4764" i="13"/>
  <c r="H4765" i="13"/>
  <c r="J4765" i="13" s="1"/>
  <c r="K4765" i="13"/>
  <c r="H4766" i="13"/>
  <c r="J4766" i="13" s="1"/>
  <c r="K4766" i="13"/>
  <c r="H4767" i="13"/>
  <c r="J4767" i="13" s="1"/>
  <c r="K4767" i="13"/>
  <c r="H4768" i="13"/>
  <c r="J4768" i="13" s="1"/>
  <c r="K4768" i="13"/>
  <c r="H4769" i="13"/>
  <c r="J4769" i="13" s="1"/>
  <c r="K4769" i="13"/>
  <c r="H4770" i="13"/>
  <c r="J4770" i="13" s="1"/>
  <c r="K4770" i="13"/>
  <c r="H4771" i="13"/>
  <c r="J4771" i="13" s="1"/>
  <c r="K4771" i="13"/>
  <c r="H4772" i="13"/>
  <c r="J4772" i="13" s="1"/>
  <c r="K4772" i="13"/>
  <c r="H4773" i="13"/>
  <c r="J4773" i="13" s="1"/>
  <c r="K4773" i="13"/>
  <c r="H4774" i="13"/>
  <c r="J4774" i="13" s="1"/>
  <c r="K4774" i="13"/>
  <c r="H4775" i="13"/>
  <c r="J4775" i="13" s="1"/>
  <c r="K4775" i="13"/>
  <c r="H4776" i="13"/>
  <c r="J4776" i="13" s="1"/>
  <c r="K4776" i="13"/>
  <c r="H4777" i="13"/>
  <c r="J4777" i="13" s="1"/>
  <c r="K4777" i="13"/>
  <c r="H4778" i="13"/>
  <c r="J4778" i="13" s="1"/>
  <c r="K4778" i="13"/>
  <c r="H4779" i="13"/>
  <c r="J4779" i="13" s="1"/>
  <c r="K4779" i="13"/>
  <c r="H4780" i="13"/>
  <c r="J4780" i="13" s="1"/>
  <c r="K4780" i="13"/>
  <c r="S65" i="1"/>
  <c r="AD65" i="1" s="1"/>
  <c r="S96" i="1"/>
  <c r="AC96" i="1" s="1"/>
  <c r="B694" i="12" l="1"/>
  <c r="Q694" i="12" s="1"/>
  <c r="B428" i="12"/>
  <c r="Q428" i="12" s="1"/>
  <c r="B318" i="12"/>
  <c r="Q318" i="12" s="1"/>
  <c r="B317" i="12"/>
  <c r="Q317" i="12" s="1"/>
  <c r="B891" i="12"/>
  <c r="L891" i="12" s="1"/>
  <c r="B430" i="12"/>
  <c r="V430" i="12" s="1"/>
  <c r="B695" i="12"/>
  <c r="Q695" i="12" s="1"/>
  <c r="H4763" i="13"/>
  <c r="J4763" i="13" s="1"/>
  <c r="B314" i="12"/>
  <c r="Q314" i="12" s="1"/>
  <c r="B893" i="12"/>
  <c r="Q893" i="12" s="1"/>
  <c r="AF96" i="1"/>
  <c r="AF65" i="1"/>
  <c r="AC65" i="1"/>
  <c r="AD96" i="1"/>
  <c r="H3962" i="13"/>
  <c r="J3962" i="13" s="1"/>
  <c r="K3962" i="13"/>
  <c r="H3963" i="13"/>
  <c r="J3963" i="13" s="1"/>
  <c r="K3963" i="13"/>
  <c r="H3964" i="13"/>
  <c r="J3964" i="13" s="1"/>
  <c r="K3964" i="13"/>
  <c r="H3965" i="13"/>
  <c r="J3965" i="13" s="1"/>
  <c r="K3965" i="13"/>
  <c r="H3966" i="13"/>
  <c r="J3966" i="13" s="1"/>
  <c r="K3966" i="13"/>
  <c r="H3967" i="13"/>
  <c r="J3967" i="13" s="1"/>
  <c r="K3967" i="13"/>
  <c r="H3968" i="13"/>
  <c r="J3968" i="13" s="1"/>
  <c r="K3968" i="13"/>
  <c r="H3969" i="13"/>
  <c r="J3969" i="13" s="1"/>
  <c r="K3969" i="13"/>
  <c r="H3970" i="13"/>
  <c r="J3970" i="13" s="1"/>
  <c r="K3970" i="13"/>
  <c r="H3971" i="13"/>
  <c r="J3971" i="13" s="1"/>
  <c r="K3971" i="13"/>
  <c r="H3972" i="13"/>
  <c r="J3972" i="13" s="1"/>
  <c r="K3972" i="13"/>
  <c r="H3973" i="13"/>
  <c r="J3973" i="13" s="1"/>
  <c r="K3973" i="13"/>
  <c r="H3974" i="13"/>
  <c r="J3974" i="13" s="1"/>
  <c r="K3974" i="13"/>
  <c r="H3975" i="13"/>
  <c r="J3975" i="13" s="1"/>
  <c r="K3975" i="13"/>
  <c r="H3976" i="13"/>
  <c r="J3976" i="13" s="1"/>
  <c r="K3976" i="13"/>
  <c r="H3977" i="13"/>
  <c r="J3977" i="13" s="1"/>
  <c r="K3977" i="13"/>
  <c r="H3978" i="13"/>
  <c r="J3978" i="13" s="1"/>
  <c r="K3978" i="13"/>
  <c r="H3979" i="13"/>
  <c r="J3979" i="13" s="1"/>
  <c r="K3979" i="13"/>
  <c r="H3557" i="13"/>
  <c r="J3557" i="13" s="1"/>
  <c r="K3557" i="13"/>
  <c r="H3558" i="13"/>
  <c r="J3558" i="13" s="1"/>
  <c r="K3558" i="13"/>
  <c r="H3559" i="13"/>
  <c r="J3559" i="13" s="1"/>
  <c r="K3559" i="13"/>
  <c r="H3560" i="13"/>
  <c r="J3560" i="13" s="1"/>
  <c r="K3560" i="13"/>
  <c r="H3561" i="13"/>
  <c r="J3561" i="13" s="1"/>
  <c r="K3561" i="13"/>
  <c r="H3562" i="13"/>
  <c r="J3562" i="13" s="1"/>
  <c r="K3562" i="13"/>
  <c r="H3563" i="13"/>
  <c r="J3563" i="13" s="1"/>
  <c r="K3563" i="13"/>
  <c r="H3564" i="13"/>
  <c r="J3564" i="13" s="1"/>
  <c r="K3564" i="13"/>
  <c r="H3565" i="13"/>
  <c r="J3565" i="13" s="1"/>
  <c r="K3565" i="13"/>
  <c r="K3566" i="13"/>
  <c r="H3567" i="13"/>
  <c r="J3567" i="13" s="1"/>
  <c r="K3567" i="13"/>
  <c r="H3568" i="13"/>
  <c r="J3568" i="13" s="1"/>
  <c r="K3568" i="13"/>
  <c r="H3569" i="13"/>
  <c r="J3569" i="13" s="1"/>
  <c r="K3569" i="13"/>
  <c r="H3570" i="13"/>
  <c r="J3570" i="13" s="1"/>
  <c r="K3570" i="13"/>
  <c r="H3571" i="13"/>
  <c r="J3571" i="13" s="1"/>
  <c r="K3571" i="13"/>
  <c r="H3572" i="13"/>
  <c r="J3572" i="13" s="1"/>
  <c r="K3572" i="13"/>
  <c r="H3573" i="13"/>
  <c r="J3573" i="13" s="1"/>
  <c r="K3573" i="13"/>
  <c r="H3574" i="13"/>
  <c r="J3574" i="13" s="1"/>
  <c r="K3574" i="13"/>
  <c r="K3575" i="13"/>
  <c r="H3576" i="13"/>
  <c r="J3576" i="13" s="1"/>
  <c r="K3576" i="13"/>
  <c r="H3577" i="13"/>
  <c r="J3577" i="13" s="1"/>
  <c r="K3577" i="13"/>
  <c r="H3578" i="13"/>
  <c r="J3578" i="13" s="1"/>
  <c r="K3578" i="13"/>
  <c r="H3579" i="13"/>
  <c r="J3579" i="13" s="1"/>
  <c r="K3579" i="13"/>
  <c r="H3580" i="13"/>
  <c r="J3580" i="13" s="1"/>
  <c r="K3580" i="13"/>
  <c r="H3581" i="13"/>
  <c r="J3581" i="13" s="1"/>
  <c r="K3581" i="13"/>
  <c r="H3582" i="13"/>
  <c r="J3582" i="13" s="1"/>
  <c r="K3582" i="13"/>
  <c r="H3583" i="13"/>
  <c r="J3583" i="13" s="1"/>
  <c r="K3583" i="13"/>
  <c r="K6752" i="13"/>
  <c r="H6753" i="13"/>
  <c r="J6753" i="13" s="1"/>
  <c r="K6753" i="13"/>
  <c r="H6754" i="13"/>
  <c r="J6754" i="13" s="1"/>
  <c r="K6754" i="13"/>
  <c r="H6755" i="13"/>
  <c r="J6755" i="13" s="1"/>
  <c r="K6755" i="13"/>
  <c r="H6756" i="13"/>
  <c r="J6756" i="13" s="1"/>
  <c r="K6756" i="13"/>
  <c r="H6757" i="13"/>
  <c r="J6757" i="13" s="1"/>
  <c r="K6757" i="13"/>
  <c r="H6758" i="13"/>
  <c r="J6758" i="13" s="1"/>
  <c r="K6758" i="13"/>
  <c r="H6759" i="13"/>
  <c r="J6759" i="13" s="1"/>
  <c r="K6759" i="13"/>
  <c r="H6760" i="13"/>
  <c r="J6760" i="13" s="1"/>
  <c r="K6760" i="13"/>
  <c r="H6761" i="13"/>
  <c r="J6761" i="13" s="1"/>
  <c r="K6761" i="13"/>
  <c r="H6762" i="13"/>
  <c r="J6762" i="13" s="1"/>
  <c r="K6762" i="13"/>
  <c r="H6763" i="13"/>
  <c r="J6763" i="13" s="1"/>
  <c r="K6763" i="13"/>
  <c r="H6764" i="13"/>
  <c r="J6764" i="13" s="1"/>
  <c r="K6764" i="13"/>
  <c r="H6765" i="13"/>
  <c r="J6765" i="13" s="1"/>
  <c r="K6765" i="13"/>
  <c r="H6766" i="13"/>
  <c r="J6766" i="13" s="1"/>
  <c r="K6766" i="13"/>
  <c r="H6767" i="13"/>
  <c r="J6767" i="13" s="1"/>
  <c r="K6767" i="13"/>
  <c r="H6768" i="13"/>
  <c r="J6768" i="13" s="1"/>
  <c r="K6768" i="13"/>
  <c r="H6769" i="13"/>
  <c r="J6769" i="13" s="1"/>
  <c r="K6769" i="13"/>
  <c r="K6770" i="13"/>
  <c r="H6771" i="13"/>
  <c r="J6771" i="13" s="1"/>
  <c r="K6771" i="13"/>
  <c r="H6772" i="13"/>
  <c r="J6772" i="13" s="1"/>
  <c r="K6772" i="13"/>
  <c r="H6773" i="13"/>
  <c r="J6773" i="13" s="1"/>
  <c r="K6773" i="13"/>
  <c r="H6774" i="13"/>
  <c r="J6774" i="13" s="1"/>
  <c r="K6774" i="13"/>
  <c r="H6775" i="13"/>
  <c r="J6775" i="13" s="1"/>
  <c r="K6775" i="13"/>
  <c r="H6776" i="13"/>
  <c r="J6776" i="13" s="1"/>
  <c r="K6776" i="13"/>
  <c r="H6777" i="13"/>
  <c r="J6777" i="13" s="1"/>
  <c r="K6777" i="13"/>
  <c r="H6778" i="13"/>
  <c r="J6778" i="13" s="1"/>
  <c r="K6778" i="13"/>
  <c r="H785" i="22"/>
  <c r="E786" i="22"/>
  <c r="G786" i="22" s="1"/>
  <c r="H786" i="22"/>
  <c r="E787" i="22"/>
  <c r="G787" i="22" s="1"/>
  <c r="H787" i="22"/>
  <c r="E788" i="22"/>
  <c r="G788" i="22" s="1"/>
  <c r="H788" i="22"/>
  <c r="E789" i="22"/>
  <c r="G789" i="22" s="1"/>
  <c r="H789" i="22"/>
  <c r="E790" i="22"/>
  <c r="G790" i="22" s="1"/>
  <c r="H790" i="22"/>
  <c r="E791" i="22"/>
  <c r="G791" i="22" s="1"/>
  <c r="H791" i="22"/>
  <c r="E792" i="22"/>
  <c r="G792" i="22" s="1"/>
  <c r="H792" i="22"/>
  <c r="E793" i="22"/>
  <c r="G793" i="22" s="1"/>
  <c r="H793" i="22"/>
  <c r="L65" i="15"/>
  <c r="W65" i="15" s="1"/>
  <c r="L105" i="15"/>
  <c r="W105" i="15" s="1"/>
  <c r="L78" i="15"/>
  <c r="W78" i="15" s="1"/>
  <c r="L114" i="15"/>
  <c r="W114" i="15" s="1"/>
  <c r="L113" i="15"/>
  <c r="B1122" i="12" s="1"/>
  <c r="V1122" i="12" s="1"/>
  <c r="L63" i="15"/>
  <c r="W63" i="15" s="1"/>
  <c r="H677" i="22"/>
  <c r="E678" i="22"/>
  <c r="G678" i="22" s="1"/>
  <c r="H678" i="22"/>
  <c r="E679" i="22"/>
  <c r="G679" i="22" s="1"/>
  <c r="H679" i="22"/>
  <c r="E680" i="22"/>
  <c r="G680" i="22" s="1"/>
  <c r="H680" i="22"/>
  <c r="E681" i="22"/>
  <c r="G681" i="22" s="1"/>
  <c r="H681" i="22"/>
  <c r="E682" i="22"/>
  <c r="G682" i="22" s="1"/>
  <c r="H682" i="22"/>
  <c r="E683" i="22"/>
  <c r="G683" i="22" s="1"/>
  <c r="H683" i="22"/>
  <c r="E684" i="22"/>
  <c r="G684" i="22" s="1"/>
  <c r="H684" i="22"/>
  <c r="E685" i="22"/>
  <c r="G685" i="22" s="1"/>
  <c r="H685" i="22"/>
  <c r="H686" i="22"/>
  <c r="E687" i="22"/>
  <c r="G687" i="22" s="1"/>
  <c r="H687" i="22"/>
  <c r="E688" i="22"/>
  <c r="G688" i="22" s="1"/>
  <c r="H688" i="22"/>
  <c r="E689" i="22"/>
  <c r="G689" i="22" s="1"/>
  <c r="H689" i="22"/>
  <c r="E690" i="22"/>
  <c r="G690" i="22" s="1"/>
  <c r="H690" i="22"/>
  <c r="E691" i="22"/>
  <c r="G691" i="22" s="1"/>
  <c r="H691" i="22"/>
  <c r="E692" i="22"/>
  <c r="G692" i="22" s="1"/>
  <c r="H692" i="22"/>
  <c r="E693" i="22"/>
  <c r="G693" i="22" s="1"/>
  <c r="H693" i="22"/>
  <c r="E694" i="22"/>
  <c r="G694" i="22" s="1"/>
  <c r="H694" i="22"/>
  <c r="H695" i="22"/>
  <c r="E696" i="22"/>
  <c r="G696" i="22" s="1"/>
  <c r="H696" i="22"/>
  <c r="E697" i="22"/>
  <c r="G697" i="22" s="1"/>
  <c r="H697" i="22"/>
  <c r="E698" i="22"/>
  <c r="G698" i="22" s="1"/>
  <c r="H698" i="22"/>
  <c r="E699" i="22"/>
  <c r="G699" i="22" s="1"/>
  <c r="H699" i="22"/>
  <c r="E700" i="22"/>
  <c r="G700" i="22" s="1"/>
  <c r="H700" i="22"/>
  <c r="E701" i="22"/>
  <c r="G701" i="22" s="1"/>
  <c r="H701" i="22"/>
  <c r="E702" i="22"/>
  <c r="G702" i="22" s="1"/>
  <c r="H702" i="22"/>
  <c r="E703" i="22"/>
  <c r="G703" i="22" s="1"/>
  <c r="H703" i="22"/>
  <c r="H704" i="22"/>
  <c r="E705" i="22"/>
  <c r="G705" i="22" s="1"/>
  <c r="H705" i="22"/>
  <c r="E706" i="22"/>
  <c r="G706" i="22" s="1"/>
  <c r="H706" i="22"/>
  <c r="E707" i="22"/>
  <c r="G707" i="22" s="1"/>
  <c r="H707" i="22"/>
  <c r="E708" i="22"/>
  <c r="G708" i="22" s="1"/>
  <c r="H708" i="22"/>
  <c r="E709" i="22"/>
  <c r="G709" i="22" s="1"/>
  <c r="H709" i="22"/>
  <c r="E710" i="22"/>
  <c r="G710" i="22" s="1"/>
  <c r="H710" i="22"/>
  <c r="E711" i="22"/>
  <c r="G711" i="22" s="1"/>
  <c r="H711" i="22"/>
  <c r="E712" i="22"/>
  <c r="G712" i="22" s="1"/>
  <c r="H712" i="22"/>
  <c r="H631" i="22"/>
  <c r="E631" i="22"/>
  <c r="G631" i="22" s="1"/>
  <c r="H630" i="22"/>
  <c r="E630" i="22"/>
  <c r="G630" i="22" s="1"/>
  <c r="H629" i="22"/>
  <c r="E629" i="22"/>
  <c r="G629" i="22" s="1"/>
  <c r="H628" i="22"/>
  <c r="E628" i="22"/>
  <c r="G628" i="22" s="1"/>
  <c r="H627" i="22"/>
  <c r="E627" i="22"/>
  <c r="G627" i="22" s="1"/>
  <c r="H626" i="22"/>
  <c r="E626" i="22"/>
  <c r="G626" i="22" s="1"/>
  <c r="H625" i="22"/>
  <c r="E625" i="22"/>
  <c r="G625" i="22" s="1"/>
  <c r="H624" i="22"/>
  <c r="E624" i="22"/>
  <c r="G624" i="22" s="1"/>
  <c r="H623" i="22"/>
  <c r="E632" i="22"/>
  <c r="G632" i="22" s="1"/>
  <c r="H632" i="22"/>
  <c r="E633" i="22"/>
  <c r="G633" i="22" s="1"/>
  <c r="H633" i="22"/>
  <c r="E634" i="22"/>
  <c r="G634" i="22" s="1"/>
  <c r="H634" i="22"/>
  <c r="E635" i="22"/>
  <c r="G635" i="22" s="1"/>
  <c r="H635" i="22"/>
  <c r="E636" i="22"/>
  <c r="G636" i="22" s="1"/>
  <c r="H636" i="22"/>
  <c r="E637" i="22"/>
  <c r="G637" i="22" s="1"/>
  <c r="H637" i="22"/>
  <c r="E638" i="22"/>
  <c r="G638" i="22" s="1"/>
  <c r="H638" i="22"/>
  <c r="E639" i="22"/>
  <c r="G639" i="22" s="1"/>
  <c r="H639" i="22"/>
  <c r="E640" i="22"/>
  <c r="G640" i="22" s="1"/>
  <c r="H640" i="22"/>
  <c r="L62" i="15"/>
  <c r="V62" i="15" s="1"/>
  <c r="V694" i="12" l="1"/>
  <c r="H694" i="12"/>
  <c r="V428" i="12"/>
  <c r="M428" i="12"/>
  <c r="V318" i="12"/>
  <c r="V317" i="12"/>
  <c r="D317" i="12"/>
  <c r="B429" i="12"/>
  <c r="V429" i="12" s="1"/>
  <c r="Q430" i="12"/>
  <c r="V891" i="12"/>
  <c r="K891" i="12"/>
  <c r="Q891" i="12"/>
  <c r="J430" i="12"/>
  <c r="E785" i="22"/>
  <c r="G785" i="22" s="1"/>
  <c r="F695" i="12"/>
  <c r="H430" i="12"/>
  <c r="V695" i="12"/>
  <c r="V314" i="12"/>
  <c r="H314" i="12"/>
  <c r="I314" i="12"/>
  <c r="G314" i="12"/>
  <c r="V893" i="12"/>
  <c r="G893" i="12"/>
  <c r="E695" i="22"/>
  <c r="G695" i="22" s="1"/>
  <c r="H6752" i="13"/>
  <c r="J6752" i="13" s="1"/>
  <c r="E686" i="22"/>
  <c r="G686" i="22" s="1"/>
  <c r="E677" i="22"/>
  <c r="G677" i="22" s="1"/>
  <c r="H6770" i="13"/>
  <c r="J6770" i="13" s="1"/>
  <c r="E704" i="22"/>
  <c r="G704" i="22" s="1"/>
  <c r="H3575" i="13"/>
  <c r="J3575" i="13" s="1"/>
  <c r="H3566" i="13"/>
  <c r="J3566" i="13" s="1"/>
  <c r="B890" i="12"/>
  <c r="V890" i="12" s="1"/>
  <c r="B313" i="12"/>
  <c r="Q313" i="12" s="1"/>
  <c r="B892" i="12"/>
  <c r="B312" i="12"/>
  <c r="Q312" i="12" s="1"/>
  <c r="B311" i="12"/>
  <c r="Q311" i="12" s="1"/>
  <c r="B1067" i="12"/>
  <c r="V1067" i="12" s="1"/>
  <c r="Y65" i="15"/>
  <c r="V65" i="15"/>
  <c r="Y114" i="15"/>
  <c r="B1123" i="12"/>
  <c r="V1123" i="12" s="1"/>
  <c r="B1124" i="12"/>
  <c r="V1124" i="12" s="1"/>
  <c r="Y105" i="15"/>
  <c r="V105" i="15"/>
  <c r="Y63" i="15"/>
  <c r="Y78" i="15"/>
  <c r="V78" i="15"/>
  <c r="H1122" i="12"/>
  <c r="Q1122" i="12"/>
  <c r="V114" i="15"/>
  <c r="B1121" i="12"/>
  <c r="Q1121" i="12" s="1"/>
  <c r="Y113" i="15"/>
  <c r="V113" i="15"/>
  <c r="W113" i="15"/>
  <c r="B1120" i="12"/>
  <c r="Q1120" i="12" s="1"/>
  <c r="V63" i="15"/>
  <c r="Y62" i="15"/>
  <c r="W62" i="15"/>
  <c r="L74" i="15"/>
  <c r="E605" i="22"/>
  <c r="G605" i="22" s="1"/>
  <c r="H605" i="22"/>
  <c r="E606" i="22"/>
  <c r="G606" i="22" s="1"/>
  <c r="H606" i="22"/>
  <c r="E607" i="22"/>
  <c r="G607" i="22" s="1"/>
  <c r="H607" i="22"/>
  <c r="E608" i="22"/>
  <c r="G608" i="22" s="1"/>
  <c r="H608" i="22"/>
  <c r="E609" i="22"/>
  <c r="G609" i="22" s="1"/>
  <c r="H609" i="22"/>
  <c r="E610" i="22"/>
  <c r="G610" i="22" s="1"/>
  <c r="H610" i="22"/>
  <c r="E611" i="22"/>
  <c r="G611" i="22" s="1"/>
  <c r="H611" i="22"/>
  <c r="E612" i="22"/>
  <c r="G612" i="22" s="1"/>
  <c r="H612" i="22"/>
  <c r="E613" i="22"/>
  <c r="G613" i="22" s="1"/>
  <c r="H613" i="22"/>
  <c r="E614" i="22"/>
  <c r="G614" i="22" s="1"/>
  <c r="H614" i="22"/>
  <c r="E615" i="22"/>
  <c r="G615" i="22" s="1"/>
  <c r="H615" i="22"/>
  <c r="E616" i="22"/>
  <c r="G616" i="22" s="1"/>
  <c r="H616" i="22"/>
  <c r="E617" i="22"/>
  <c r="G617" i="22" s="1"/>
  <c r="H617" i="22"/>
  <c r="E618" i="22"/>
  <c r="G618" i="22" s="1"/>
  <c r="H618" i="22"/>
  <c r="E619" i="22"/>
  <c r="G619" i="22" s="1"/>
  <c r="H619" i="22"/>
  <c r="E620" i="22"/>
  <c r="G620" i="22" s="1"/>
  <c r="H620" i="22"/>
  <c r="E621" i="22"/>
  <c r="G621" i="22" s="1"/>
  <c r="H621" i="22"/>
  <c r="E622" i="22"/>
  <c r="G622" i="22" s="1"/>
  <c r="H622" i="22"/>
  <c r="L73" i="15"/>
  <c r="V73" i="15" s="1"/>
  <c r="L107" i="15"/>
  <c r="W107" i="15" s="1"/>
  <c r="L72" i="15"/>
  <c r="W72" i="15" s="1"/>
  <c r="E731" i="22"/>
  <c r="G731" i="22" s="1"/>
  <c r="H731" i="22"/>
  <c r="E732" i="22"/>
  <c r="G732" i="22" s="1"/>
  <c r="H732" i="22"/>
  <c r="E733" i="22"/>
  <c r="G733" i="22" s="1"/>
  <c r="H733" i="22"/>
  <c r="E734" i="22"/>
  <c r="G734" i="22" s="1"/>
  <c r="H734" i="22"/>
  <c r="E735" i="22"/>
  <c r="G735" i="22" s="1"/>
  <c r="H735" i="22"/>
  <c r="E736" i="22"/>
  <c r="G736" i="22" s="1"/>
  <c r="H736" i="22"/>
  <c r="E737" i="22"/>
  <c r="G737" i="22" s="1"/>
  <c r="H737" i="22"/>
  <c r="E738" i="22"/>
  <c r="G738" i="22" s="1"/>
  <c r="H738" i="22"/>
  <c r="E739" i="22"/>
  <c r="G739" i="22" s="1"/>
  <c r="H739" i="22"/>
  <c r="E740" i="22"/>
  <c r="G740" i="22" s="1"/>
  <c r="H740" i="22"/>
  <c r="E741" i="22"/>
  <c r="G741" i="22" s="1"/>
  <c r="H741" i="22"/>
  <c r="E742" i="22"/>
  <c r="G742" i="22" s="1"/>
  <c r="H742" i="22"/>
  <c r="E743" i="22"/>
  <c r="G743" i="22" s="1"/>
  <c r="H743" i="22"/>
  <c r="E744" i="22"/>
  <c r="G744" i="22" s="1"/>
  <c r="H744" i="22"/>
  <c r="E745" i="22"/>
  <c r="G745" i="22" s="1"/>
  <c r="H745" i="22"/>
  <c r="E746" i="22"/>
  <c r="G746" i="22" s="1"/>
  <c r="H746" i="22"/>
  <c r="E747" i="22"/>
  <c r="G747" i="22" s="1"/>
  <c r="H747" i="22"/>
  <c r="E748" i="22"/>
  <c r="G748" i="22" s="1"/>
  <c r="H748" i="22"/>
  <c r="H749" i="22"/>
  <c r="E750" i="22"/>
  <c r="G750" i="22" s="1"/>
  <c r="H750" i="22"/>
  <c r="E751" i="22"/>
  <c r="G751" i="22" s="1"/>
  <c r="H751" i="22"/>
  <c r="E752" i="22"/>
  <c r="G752" i="22" s="1"/>
  <c r="H752" i="22"/>
  <c r="E753" i="22"/>
  <c r="G753" i="22" s="1"/>
  <c r="H753" i="22"/>
  <c r="E754" i="22"/>
  <c r="G754" i="22" s="1"/>
  <c r="H754" i="22"/>
  <c r="E755" i="22"/>
  <c r="G755" i="22" s="1"/>
  <c r="H755" i="22"/>
  <c r="E756" i="22"/>
  <c r="G756" i="22" s="1"/>
  <c r="H756" i="22"/>
  <c r="E757" i="22"/>
  <c r="G757" i="22" s="1"/>
  <c r="H757" i="22"/>
  <c r="E758" i="22"/>
  <c r="G758" i="22" s="1"/>
  <c r="H758" i="22"/>
  <c r="E759" i="22"/>
  <c r="G759" i="22" s="1"/>
  <c r="H759" i="22"/>
  <c r="E760" i="22"/>
  <c r="G760" i="22" s="1"/>
  <c r="H760" i="22"/>
  <c r="E761" i="22"/>
  <c r="G761" i="22" s="1"/>
  <c r="H761" i="22"/>
  <c r="E762" i="22"/>
  <c r="G762" i="22" s="1"/>
  <c r="H762" i="22"/>
  <c r="E763" i="22"/>
  <c r="G763" i="22" s="1"/>
  <c r="H763" i="22"/>
  <c r="E764" i="22"/>
  <c r="G764" i="22" s="1"/>
  <c r="H764" i="22"/>
  <c r="E765" i="22"/>
  <c r="G765" i="22" s="1"/>
  <c r="H765" i="22"/>
  <c r="E766" i="22"/>
  <c r="G766" i="22" s="1"/>
  <c r="H766" i="22"/>
  <c r="E767" i="22"/>
  <c r="G767" i="22" s="1"/>
  <c r="H767" i="22"/>
  <c r="E768" i="22"/>
  <c r="G768" i="22" s="1"/>
  <c r="H768" i="22"/>
  <c r="E769" i="22"/>
  <c r="G769" i="22" s="1"/>
  <c r="H769" i="22"/>
  <c r="E770" i="22"/>
  <c r="G770" i="22" s="1"/>
  <c r="H770" i="22"/>
  <c r="E771" i="22"/>
  <c r="G771" i="22" s="1"/>
  <c r="H771" i="22"/>
  <c r="E772" i="22"/>
  <c r="G772" i="22" s="1"/>
  <c r="H772" i="22"/>
  <c r="E773" i="22"/>
  <c r="G773" i="22" s="1"/>
  <c r="H773" i="22"/>
  <c r="E774" i="22"/>
  <c r="G774" i="22" s="1"/>
  <c r="H774" i="22"/>
  <c r="E775" i="22"/>
  <c r="G775" i="22" s="1"/>
  <c r="H775" i="22"/>
  <c r="L106" i="15"/>
  <c r="E749" i="22" s="1"/>
  <c r="G749" i="22" s="1"/>
  <c r="C104" i="15"/>
  <c r="Q429" i="12" l="1"/>
  <c r="W74" i="15"/>
  <c r="E623" i="22"/>
  <c r="G623" i="22" s="1"/>
  <c r="V892" i="12"/>
  <c r="E892" i="12"/>
  <c r="L890" i="12"/>
  <c r="Q890" i="12"/>
  <c r="V313" i="12"/>
  <c r="F313" i="12"/>
  <c r="E313" i="12"/>
  <c r="Q892" i="12"/>
  <c r="G311" i="12"/>
  <c r="E312" i="12"/>
  <c r="J311" i="12"/>
  <c r="I311" i="12"/>
  <c r="V311" i="12"/>
  <c r="V312" i="12"/>
  <c r="I312" i="12"/>
  <c r="H1067" i="12"/>
  <c r="Q1067" i="12"/>
  <c r="Q1123" i="12"/>
  <c r="H1123" i="12"/>
  <c r="Q1124" i="12"/>
  <c r="D1124" i="12"/>
  <c r="W106" i="15"/>
  <c r="B1069" i="12"/>
  <c r="F1121" i="12"/>
  <c r="V1121" i="12"/>
  <c r="V1120" i="12"/>
  <c r="F1120" i="12"/>
  <c r="Y74" i="15"/>
  <c r="B1071" i="12"/>
  <c r="Q1071" i="12" s="1"/>
  <c r="V72" i="15"/>
  <c r="B1070" i="12"/>
  <c r="Q1070" i="12" s="1"/>
  <c r="V74" i="15"/>
  <c r="B1119" i="12"/>
  <c r="Y73" i="15"/>
  <c r="Y72" i="15"/>
  <c r="B1073" i="12"/>
  <c r="V1073" i="12" s="1"/>
  <c r="W73" i="15"/>
  <c r="Y106" i="15"/>
  <c r="B1068" i="12"/>
  <c r="Q1068" i="12" s="1"/>
  <c r="Y107" i="15"/>
  <c r="V107" i="15"/>
  <c r="V106" i="15"/>
  <c r="L69" i="15"/>
  <c r="V69" i="15" s="1"/>
  <c r="H722" i="22"/>
  <c r="E723" i="22"/>
  <c r="G723" i="22" s="1"/>
  <c r="H723" i="22"/>
  <c r="E724" i="22"/>
  <c r="G724" i="22" s="1"/>
  <c r="H724" i="22"/>
  <c r="E725" i="22"/>
  <c r="G725" i="22" s="1"/>
  <c r="H725" i="22"/>
  <c r="E726" i="22"/>
  <c r="G726" i="22" s="1"/>
  <c r="H726" i="22"/>
  <c r="E727" i="22"/>
  <c r="G727" i="22" s="1"/>
  <c r="H727" i="22"/>
  <c r="E728" i="22"/>
  <c r="G728" i="22" s="1"/>
  <c r="H728" i="22"/>
  <c r="E729" i="22"/>
  <c r="G729" i="22" s="1"/>
  <c r="H729" i="22"/>
  <c r="E730" i="22"/>
  <c r="G730" i="22" s="1"/>
  <c r="H730" i="22"/>
  <c r="L85" i="15"/>
  <c r="W85" i="15" s="1"/>
  <c r="L84" i="15"/>
  <c r="W84" i="15" s="1"/>
  <c r="L83" i="15"/>
  <c r="W83" i="15" s="1"/>
  <c r="H650" i="22"/>
  <c r="E651" i="22"/>
  <c r="G651" i="22" s="1"/>
  <c r="H651" i="22"/>
  <c r="E652" i="22"/>
  <c r="G652" i="22" s="1"/>
  <c r="H652" i="22"/>
  <c r="E653" i="22"/>
  <c r="G653" i="22" s="1"/>
  <c r="H653" i="22"/>
  <c r="E654" i="22"/>
  <c r="G654" i="22" s="1"/>
  <c r="H654" i="22"/>
  <c r="E655" i="22"/>
  <c r="G655" i="22" s="1"/>
  <c r="H655" i="22"/>
  <c r="E656" i="22"/>
  <c r="G656" i="22" s="1"/>
  <c r="H656" i="22"/>
  <c r="E657" i="22"/>
  <c r="G657" i="22" s="1"/>
  <c r="H657" i="22"/>
  <c r="E658" i="22"/>
  <c r="G658" i="22" s="1"/>
  <c r="H658" i="22"/>
  <c r="H659" i="22"/>
  <c r="E660" i="22"/>
  <c r="G660" i="22" s="1"/>
  <c r="H660" i="22"/>
  <c r="E661" i="22"/>
  <c r="G661" i="22" s="1"/>
  <c r="H661" i="22"/>
  <c r="E662" i="22"/>
  <c r="G662" i="22" s="1"/>
  <c r="H662" i="22"/>
  <c r="E663" i="22"/>
  <c r="G663" i="22" s="1"/>
  <c r="H663" i="22"/>
  <c r="E664" i="22"/>
  <c r="G664" i="22" s="1"/>
  <c r="H664" i="22"/>
  <c r="E665" i="22"/>
  <c r="G665" i="22" s="1"/>
  <c r="H665" i="22"/>
  <c r="E666" i="22"/>
  <c r="G666" i="22" s="1"/>
  <c r="H666" i="22"/>
  <c r="E667" i="22"/>
  <c r="G667" i="22" s="1"/>
  <c r="H667" i="22"/>
  <c r="E668" i="22"/>
  <c r="G668" i="22" s="1"/>
  <c r="H668" i="22"/>
  <c r="E669" i="22"/>
  <c r="G669" i="22" s="1"/>
  <c r="H669" i="22"/>
  <c r="E670" i="22"/>
  <c r="G670" i="22" s="1"/>
  <c r="H670" i="22"/>
  <c r="E671" i="22"/>
  <c r="G671" i="22" s="1"/>
  <c r="H671" i="22"/>
  <c r="E672" i="22"/>
  <c r="G672" i="22" s="1"/>
  <c r="H672" i="22"/>
  <c r="E673" i="22"/>
  <c r="G673" i="22" s="1"/>
  <c r="H673" i="22"/>
  <c r="E674" i="22"/>
  <c r="G674" i="22" s="1"/>
  <c r="H674" i="22"/>
  <c r="E675" i="22"/>
  <c r="G675" i="22" s="1"/>
  <c r="H675" i="22"/>
  <c r="E676" i="22"/>
  <c r="G676" i="22" s="1"/>
  <c r="H676" i="22"/>
  <c r="E641" i="22"/>
  <c r="G641" i="22" s="1"/>
  <c r="H641" i="22"/>
  <c r="E642" i="22"/>
  <c r="G642" i="22" s="1"/>
  <c r="H642" i="22"/>
  <c r="E643" i="22"/>
  <c r="G643" i="22" s="1"/>
  <c r="H643" i="22"/>
  <c r="E644" i="22"/>
  <c r="G644" i="22" s="1"/>
  <c r="H644" i="22"/>
  <c r="E645" i="22"/>
  <c r="G645" i="22" s="1"/>
  <c r="H645" i="22"/>
  <c r="E646" i="22"/>
  <c r="G646" i="22" s="1"/>
  <c r="H646" i="22"/>
  <c r="E647" i="22"/>
  <c r="G647" i="22" s="1"/>
  <c r="H647" i="22"/>
  <c r="E648" i="22"/>
  <c r="G648" i="22" s="1"/>
  <c r="H648" i="22"/>
  <c r="E649" i="22"/>
  <c r="G649" i="22" s="1"/>
  <c r="H649" i="22"/>
  <c r="L82" i="15"/>
  <c r="W82" i="15" s="1"/>
  <c r="H596" i="22"/>
  <c r="E597" i="22"/>
  <c r="G597" i="22" s="1"/>
  <c r="H597" i="22"/>
  <c r="E598" i="22"/>
  <c r="G598" i="22" s="1"/>
  <c r="H598" i="22"/>
  <c r="E599" i="22"/>
  <c r="G599" i="22" s="1"/>
  <c r="H599" i="22"/>
  <c r="E600" i="22"/>
  <c r="G600" i="22" s="1"/>
  <c r="H600" i="22"/>
  <c r="E601" i="22"/>
  <c r="G601" i="22" s="1"/>
  <c r="H601" i="22"/>
  <c r="E602" i="22"/>
  <c r="G602" i="22" s="1"/>
  <c r="H602" i="22"/>
  <c r="E603" i="22"/>
  <c r="G603" i="22" s="1"/>
  <c r="H603" i="22"/>
  <c r="E604" i="22"/>
  <c r="G604" i="22" s="1"/>
  <c r="H604" i="22"/>
  <c r="L95" i="15"/>
  <c r="Y95" i="15" s="1"/>
  <c r="L110" i="15"/>
  <c r="W110" i="15" s="1"/>
  <c r="S202" i="1"/>
  <c r="B685" i="12" s="1"/>
  <c r="Q685" i="12" s="1"/>
  <c r="C201" i="1"/>
  <c r="H1730" i="14"/>
  <c r="E1731" i="14"/>
  <c r="G1731" i="14" s="1"/>
  <c r="H1731" i="14"/>
  <c r="E1732" i="14"/>
  <c r="G1732" i="14" s="1"/>
  <c r="H1732" i="14"/>
  <c r="E1733" i="14"/>
  <c r="G1733" i="14" s="1"/>
  <c r="H1733" i="14"/>
  <c r="E1734" i="14"/>
  <c r="G1734" i="14" s="1"/>
  <c r="H1734" i="14"/>
  <c r="E1735" i="14"/>
  <c r="G1735" i="14" s="1"/>
  <c r="H1735" i="14"/>
  <c r="E1736" i="14"/>
  <c r="G1736" i="14" s="1"/>
  <c r="H1736" i="14"/>
  <c r="E1737" i="14"/>
  <c r="G1737" i="14" s="1"/>
  <c r="H1737" i="14"/>
  <c r="E1738" i="14"/>
  <c r="G1738" i="14" s="1"/>
  <c r="H1738" i="14"/>
  <c r="H1532" i="14"/>
  <c r="E1533" i="14"/>
  <c r="G1533" i="14" s="1"/>
  <c r="H1533" i="14"/>
  <c r="E1534" i="14"/>
  <c r="G1534" i="14" s="1"/>
  <c r="H1534" i="14"/>
  <c r="E1535" i="14"/>
  <c r="G1535" i="14" s="1"/>
  <c r="H1535" i="14"/>
  <c r="E1536" i="14"/>
  <c r="G1536" i="14" s="1"/>
  <c r="H1536" i="14"/>
  <c r="E1537" i="14"/>
  <c r="G1537" i="14" s="1"/>
  <c r="H1537" i="14"/>
  <c r="E1538" i="14"/>
  <c r="G1538" i="14" s="1"/>
  <c r="H1538" i="14"/>
  <c r="E1539" i="14"/>
  <c r="G1539" i="14" s="1"/>
  <c r="H1539" i="14"/>
  <c r="E1540" i="14"/>
  <c r="G1540" i="14" s="1"/>
  <c r="H1540" i="14"/>
  <c r="S151" i="1"/>
  <c r="AD151" i="1" s="1"/>
  <c r="S66" i="1"/>
  <c r="AD66" i="1" s="1"/>
  <c r="S126" i="1"/>
  <c r="AC126" i="1" s="1"/>
  <c r="E1009" i="14"/>
  <c r="E1008" i="14"/>
  <c r="E1007" i="14"/>
  <c r="E1006" i="14"/>
  <c r="E1005" i="14"/>
  <c r="E1004" i="14"/>
  <c r="E1003" i="14"/>
  <c r="E1002" i="14"/>
  <c r="E1000" i="14"/>
  <c r="E999" i="14"/>
  <c r="E998" i="14"/>
  <c r="E997" i="14"/>
  <c r="E996" i="14"/>
  <c r="E995" i="14"/>
  <c r="E994" i="14"/>
  <c r="E993" i="14"/>
  <c r="E992" i="14"/>
  <c r="S145" i="1"/>
  <c r="AC145" i="1" s="1"/>
  <c r="S80" i="1"/>
  <c r="AC80" i="1" s="1"/>
  <c r="E650" i="22" l="1"/>
  <c r="G650" i="22" s="1"/>
  <c r="E722" i="22"/>
  <c r="G722" i="22" s="1"/>
  <c r="E659" i="22"/>
  <c r="G659" i="22" s="1"/>
  <c r="E596" i="22"/>
  <c r="G596" i="22" s="1"/>
  <c r="E1001" i="14"/>
  <c r="E1532" i="14"/>
  <c r="G1532" i="14" s="1"/>
  <c r="E1730" i="14"/>
  <c r="G1730" i="14" s="1"/>
  <c r="AF202" i="1"/>
  <c r="AF126" i="1"/>
  <c r="AF151" i="1"/>
  <c r="AC202" i="1"/>
  <c r="AD202" i="1"/>
  <c r="G1069" i="12"/>
  <c r="V1069" i="12"/>
  <c r="Q1069" i="12"/>
  <c r="B1105" i="12"/>
  <c r="Q1105" i="12" s="1"/>
  <c r="V1071" i="12"/>
  <c r="F1070" i="12"/>
  <c r="E1119" i="12"/>
  <c r="Q1119" i="12"/>
  <c r="V1119" i="12"/>
  <c r="E1071" i="12"/>
  <c r="V1070" i="12"/>
  <c r="Q1073" i="12"/>
  <c r="D1073" i="12"/>
  <c r="V1068" i="12"/>
  <c r="G1068" i="12"/>
  <c r="W69" i="15"/>
  <c r="Y69" i="15"/>
  <c r="B1103" i="12"/>
  <c r="V1103" i="12" s="1"/>
  <c r="B1104" i="12"/>
  <c r="B1102" i="12"/>
  <c r="Y83" i="15"/>
  <c r="Y84" i="15"/>
  <c r="Y85" i="15"/>
  <c r="V85" i="15"/>
  <c r="V84" i="15"/>
  <c r="V83" i="15"/>
  <c r="Y82" i="15"/>
  <c r="B1101" i="12"/>
  <c r="Q1101" i="12" s="1"/>
  <c r="W95" i="15"/>
  <c r="V82" i="15"/>
  <c r="V95" i="15"/>
  <c r="B1100" i="12"/>
  <c r="Y110" i="15"/>
  <c r="V110" i="15"/>
  <c r="B692" i="12"/>
  <c r="Q692" i="12" s="1"/>
  <c r="B686" i="12"/>
  <c r="R686" i="12" s="1"/>
  <c r="F685" i="12"/>
  <c r="V685" i="12"/>
  <c r="AC151" i="1"/>
  <c r="AF66" i="1"/>
  <c r="AC66" i="1"/>
  <c r="AD126" i="1"/>
  <c r="B643" i="12"/>
  <c r="Q643" i="12" s="1"/>
  <c r="B642" i="12"/>
  <c r="Q642" i="12" s="1"/>
  <c r="AF145" i="1"/>
  <c r="AD145" i="1"/>
  <c r="AF80" i="1"/>
  <c r="AD80" i="1"/>
  <c r="V1105" i="12" l="1"/>
  <c r="F1105" i="12"/>
  <c r="Q1103" i="12"/>
  <c r="Q1102" i="12"/>
  <c r="V1102" i="12"/>
  <c r="Q1104" i="12"/>
  <c r="V1104" i="12"/>
  <c r="V1101" i="12"/>
  <c r="Q1100" i="12"/>
  <c r="I1100" i="12"/>
  <c r="V1100" i="12"/>
  <c r="V692" i="12"/>
  <c r="F692" i="12"/>
  <c r="V686" i="12"/>
  <c r="D643" i="12"/>
  <c r="V643" i="12"/>
  <c r="V642" i="12"/>
  <c r="S266" i="1" l="1"/>
  <c r="AD266" i="1" s="1"/>
  <c r="B700" i="12"/>
  <c r="H1199" i="14"/>
  <c r="E1200" i="14"/>
  <c r="G1200" i="14" s="1"/>
  <c r="H1200" i="14"/>
  <c r="E1201" i="14"/>
  <c r="G1201" i="14" s="1"/>
  <c r="H1201" i="14"/>
  <c r="E1202" i="14"/>
  <c r="G1202" i="14" s="1"/>
  <c r="H1202" i="14"/>
  <c r="E1203" i="14"/>
  <c r="G1203" i="14" s="1"/>
  <c r="H1203" i="14"/>
  <c r="E1204" i="14"/>
  <c r="G1204" i="14" s="1"/>
  <c r="H1204" i="14"/>
  <c r="E1205" i="14"/>
  <c r="G1205" i="14" s="1"/>
  <c r="H1205" i="14"/>
  <c r="E1206" i="14"/>
  <c r="G1206" i="14" s="1"/>
  <c r="H1206" i="14"/>
  <c r="E1207" i="14"/>
  <c r="G1207" i="14" s="1"/>
  <c r="H1207" i="14"/>
  <c r="E1208" i="14"/>
  <c r="G1208" i="14" s="1"/>
  <c r="H1208" i="14"/>
  <c r="E1209" i="14"/>
  <c r="G1209" i="14" s="1"/>
  <c r="H1209" i="14"/>
  <c r="E1210" i="14"/>
  <c r="G1210" i="14" s="1"/>
  <c r="H1210" i="14"/>
  <c r="E1211" i="14"/>
  <c r="G1211" i="14" s="1"/>
  <c r="H1211" i="14"/>
  <c r="E1212" i="14"/>
  <c r="G1212" i="14" s="1"/>
  <c r="H1212" i="14"/>
  <c r="E1213" i="14"/>
  <c r="G1213" i="14" s="1"/>
  <c r="H1213" i="14"/>
  <c r="E1214" i="14"/>
  <c r="G1214" i="14" s="1"/>
  <c r="H1214" i="14"/>
  <c r="E1215" i="14"/>
  <c r="G1215" i="14" s="1"/>
  <c r="H1215" i="14"/>
  <c r="E1216" i="14"/>
  <c r="G1216" i="14" s="1"/>
  <c r="H1216" i="14"/>
  <c r="H1136" i="14"/>
  <c r="E1137" i="14"/>
  <c r="G1137" i="14" s="1"/>
  <c r="H1137" i="14"/>
  <c r="E1138" i="14"/>
  <c r="G1138" i="14" s="1"/>
  <c r="H1138" i="14"/>
  <c r="E1139" i="14"/>
  <c r="G1139" i="14" s="1"/>
  <c r="H1139" i="14"/>
  <c r="E1140" i="14"/>
  <c r="G1140" i="14" s="1"/>
  <c r="H1140" i="14"/>
  <c r="E1141" i="14"/>
  <c r="G1141" i="14" s="1"/>
  <c r="H1141" i="14"/>
  <c r="E1142" i="14"/>
  <c r="G1142" i="14" s="1"/>
  <c r="H1142" i="14"/>
  <c r="E1143" i="14"/>
  <c r="G1143" i="14" s="1"/>
  <c r="H1143" i="14"/>
  <c r="E1144" i="14"/>
  <c r="G1144" i="14" s="1"/>
  <c r="H1144" i="14"/>
  <c r="E1145" i="14"/>
  <c r="G1145" i="14" s="1"/>
  <c r="H1145" i="14"/>
  <c r="E1146" i="14"/>
  <c r="G1146" i="14" s="1"/>
  <c r="H1146" i="14"/>
  <c r="E1147" i="14"/>
  <c r="G1147" i="14" s="1"/>
  <c r="H1147" i="14"/>
  <c r="E1148" i="14"/>
  <c r="G1148" i="14" s="1"/>
  <c r="H1148" i="14"/>
  <c r="E1149" i="14"/>
  <c r="G1149" i="14" s="1"/>
  <c r="H1149" i="14"/>
  <c r="E1150" i="14"/>
  <c r="G1150" i="14" s="1"/>
  <c r="H1150" i="14"/>
  <c r="E1151" i="14"/>
  <c r="G1151" i="14" s="1"/>
  <c r="H1151" i="14"/>
  <c r="E1152" i="14"/>
  <c r="G1152" i="14" s="1"/>
  <c r="H1152" i="14"/>
  <c r="E1153" i="14"/>
  <c r="G1153" i="14" s="1"/>
  <c r="H1153" i="14"/>
  <c r="E1154" i="14"/>
  <c r="G1154" i="14" s="1"/>
  <c r="H1154" i="14"/>
  <c r="E1155" i="14"/>
  <c r="G1155" i="14" s="1"/>
  <c r="H1155" i="14"/>
  <c r="E1156" i="14"/>
  <c r="G1156" i="14" s="1"/>
  <c r="H1156" i="14"/>
  <c r="E1157" i="14"/>
  <c r="G1157" i="14" s="1"/>
  <c r="H1157" i="14"/>
  <c r="E1158" i="14"/>
  <c r="G1158" i="14" s="1"/>
  <c r="H1158" i="14"/>
  <c r="E1159" i="14"/>
  <c r="G1159" i="14" s="1"/>
  <c r="H1159" i="14"/>
  <c r="E1160" i="14"/>
  <c r="G1160" i="14" s="1"/>
  <c r="H1160" i="14"/>
  <c r="E1161" i="14"/>
  <c r="G1161" i="14" s="1"/>
  <c r="H1161" i="14"/>
  <c r="E1162" i="14"/>
  <c r="G1162" i="14" s="1"/>
  <c r="H1162" i="14"/>
  <c r="H1163" i="14"/>
  <c r="E1164" i="14"/>
  <c r="G1164" i="14" s="1"/>
  <c r="H1164" i="14"/>
  <c r="E1165" i="14"/>
  <c r="G1165" i="14" s="1"/>
  <c r="H1165" i="14"/>
  <c r="E1166" i="14"/>
  <c r="G1166" i="14" s="1"/>
  <c r="H1166" i="14"/>
  <c r="E1167" i="14"/>
  <c r="G1167" i="14" s="1"/>
  <c r="H1167" i="14"/>
  <c r="E1168" i="14"/>
  <c r="G1168" i="14" s="1"/>
  <c r="H1168" i="14"/>
  <c r="E1169" i="14"/>
  <c r="G1169" i="14" s="1"/>
  <c r="H1169" i="14"/>
  <c r="E1170" i="14"/>
  <c r="G1170" i="14" s="1"/>
  <c r="H1170" i="14"/>
  <c r="E1171" i="14"/>
  <c r="G1171" i="14" s="1"/>
  <c r="H1171" i="14"/>
  <c r="E1172" i="14"/>
  <c r="G1172" i="14" s="1"/>
  <c r="H1172" i="14"/>
  <c r="E1173" i="14"/>
  <c r="G1173" i="14" s="1"/>
  <c r="H1173" i="14"/>
  <c r="E1174" i="14"/>
  <c r="G1174" i="14" s="1"/>
  <c r="H1174" i="14"/>
  <c r="E1175" i="14"/>
  <c r="G1175" i="14" s="1"/>
  <c r="H1175" i="14"/>
  <c r="E1176" i="14"/>
  <c r="G1176" i="14" s="1"/>
  <c r="H1176" i="14"/>
  <c r="E1177" i="14"/>
  <c r="G1177" i="14" s="1"/>
  <c r="H1177" i="14"/>
  <c r="E1178" i="14"/>
  <c r="G1178" i="14" s="1"/>
  <c r="H1178" i="14"/>
  <c r="E1179" i="14"/>
  <c r="G1179" i="14" s="1"/>
  <c r="H1179" i="14"/>
  <c r="E1180" i="14"/>
  <c r="G1180" i="14" s="1"/>
  <c r="H1180" i="14"/>
  <c r="S52" i="1"/>
  <c r="AD52" i="1" s="1"/>
  <c r="S95" i="1"/>
  <c r="AD95" i="1" s="1"/>
  <c r="S224" i="1"/>
  <c r="AD224" i="1" s="1"/>
  <c r="S230" i="1"/>
  <c r="AD230" i="1" s="1"/>
  <c r="S125" i="1"/>
  <c r="E1082" i="14" s="1"/>
  <c r="G1082" i="14" s="1"/>
  <c r="S116" i="1"/>
  <c r="AC116" i="1" s="1"/>
  <c r="S236" i="1"/>
  <c r="AD236" i="1" s="1"/>
  <c r="S271" i="1"/>
  <c r="AD271" i="1" s="1"/>
  <c r="S229" i="1"/>
  <c r="AC229" i="1" s="1"/>
  <c r="G992" i="14"/>
  <c r="H992" i="14"/>
  <c r="G993" i="14"/>
  <c r="H993" i="14"/>
  <c r="G994" i="14"/>
  <c r="H994" i="14"/>
  <c r="G995" i="14"/>
  <c r="H995" i="14"/>
  <c r="G996" i="14"/>
  <c r="H996" i="14"/>
  <c r="G997" i="14"/>
  <c r="H997" i="14"/>
  <c r="G998" i="14"/>
  <c r="H998" i="14"/>
  <c r="G999" i="14"/>
  <c r="H999" i="14"/>
  <c r="G1000" i="14"/>
  <c r="H1000" i="14"/>
  <c r="G1001" i="14"/>
  <c r="H1001" i="14"/>
  <c r="G1002" i="14"/>
  <c r="H1002" i="14"/>
  <c r="G1003" i="14"/>
  <c r="H1003" i="14"/>
  <c r="G1004" i="14"/>
  <c r="H1004" i="14"/>
  <c r="G1005" i="14"/>
  <c r="H1005" i="14"/>
  <c r="G1006" i="14"/>
  <c r="H1006" i="14"/>
  <c r="G1007" i="14"/>
  <c r="H1007" i="14"/>
  <c r="G1008" i="14"/>
  <c r="H1008" i="14"/>
  <c r="G1009" i="14"/>
  <c r="H1009" i="14"/>
  <c r="H1010" i="14"/>
  <c r="E1011" i="14"/>
  <c r="G1011" i="14" s="1"/>
  <c r="H1011" i="14"/>
  <c r="E1012" i="14"/>
  <c r="G1012" i="14" s="1"/>
  <c r="H1012" i="14"/>
  <c r="E1013" i="14"/>
  <c r="G1013" i="14" s="1"/>
  <c r="H1013" i="14"/>
  <c r="E1014" i="14"/>
  <c r="G1014" i="14" s="1"/>
  <c r="H1014" i="14"/>
  <c r="E1015" i="14"/>
  <c r="G1015" i="14" s="1"/>
  <c r="H1015" i="14"/>
  <c r="E1016" i="14"/>
  <c r="G1016" i="14" s="1"/>
  <c r="H1016" i="14"/>
  <c r="E1017" i="14"/>
  <c r="G1017" i="14" s="1"/>
  <c r="H1017" i="14"/>
  <c r="E1018" i="14"/>
  <c r="G1018" i="14" s="1"/>
  <c r="H1018" i="14"/>
  <c r="E1019" i="14"/>
  <c r="G1019" i="14" s="1"/>
  <c r="H1019" i="14"/>
  <c r="E1020" i="14"/>
  <c r="G1020" i="14" s="1"/>
  <c r="H1020" i="14"/>
  <c r="E1021" i="14"/>
  <c r="G1021" i="14" s="1"/>
  <c r="H1021" i="14"/>
  <c r="E1022" i="14"/>
  <c r="G1022" i="14" s="1"/>
  <c r="H1022" i="14"/>
  <c r="E1023" i="14"/>
  <c r="G1023" i="14" s="1"/>
  <c r="H1023" i="14"/>
  <c r="E1024" i="14"/>
  <c r="G1024" i="14" s="1"/>
  <c r="H1024" i="14"/>
  <c r="E1025" i="14"/>
  <c r="G1025" i="14" s="1"/>
  <c r="H1025" i="14"/>
  <c r="E1026" i="14"/>
  <c r="G1026" i="14" s="1"/>
  <c r="H1026" i="14"/>
  <c r="E1027" i="14"/>
  <c r="G1027" i="14" s="1"/>
  <c r="H1027" i="14"/>
  <c r="H1028" i="14"/>
  <c r="E1029" i="14"/>
  <c r="G1029" i="14" s="1"/>
  <c r="H1029" i="14"/>
  <c r="E1030" i="14"/>
  <c r="G1030" i="14" s="1"/>
  <c r="H1030" i="14"/>
  <c r="E1031" i="14"/>
  <c r="G1031" i="14" s="1"/>
  <c r="H1031" i="14"/>
  <c r="E1032" i="14"/>
  <c r="G1032" i="14" s="1"/>
  <c r="H1032" i="14"/>
  <c r="E1033" i="14"/>
  <c r="G1033" i="14" s="1"/>
  <c r="H1033" i="14"/>
  <c r="E1034" i="14"/>
  <c r="G1034" i="14" s="1"/>
  <c r="H1034" i="14"/>
  <c r="E1035" i="14"/>
  <c r="G1035" i="14" s="1"/>
  <c r="H1035" i="14"/>
  <c r="E1036" i="14"/>
  <c r="G1036" i="14" s="1"/>
  <c r="H1036" i="14"/>
  <c r="E1037" i="14"/>
  <c r="G1037" i="14" s="1"/>
  <c r="H1037" i="14"/>
  <c r="E1038" i="14"/>
  <c r="G1038" i="14" s="1"/>
  <c r="H1038" i="14"/>
  <c r="E1039" i="14"/>
  <c r="G1039" i="14" s="1"/>
  <c r="H1039" i="14"/>
  <c r="E1040" i="14"/>
  <c r="G1040" i="14" s="1"/>
  <c r="H1040" i="14"/>
  <c r="E1041" i="14"/>
  <c r="G1041" i="14" s="1"/>
  <c r="H1041" i="14"/>
  <c r="E1042" i="14"/>
  <c r="G1042" i="14" s="1"/>
  <c r="H1042" i="14"/>
  <c r="E1043" i="14"/>
  <c r="G1043" i="14" s="1"/>
  <c r="H1043" i="14"/>
  <c r="E1044" i="14"/>
  <c r="G1044" i="14" s="1"/>
  <c r="H1044" i="14"/>
  <c r="E1045" i="14"/>
  <c r="G1045" i="14" s="1"/>
  <c r="H1045" i="14"/>
  <c r="E1046" i="14"/>
  <c r="G1046" i="14" s="1"/>
  <c r="H1046" i="14"/>
  <c r="E1047" i="14"/>
  <c r="G1047" i="14" s="1"/>
  <c r="H1047" i="14"/>
  <c r="E1048" i="14"/>
  <c r="G1048" i="14" s="1"/>
  <c r="H1048" i="14"/>
  <c r="E1049" i="14"/>
  <c r="G1049" i="14" s="1"/>
  <c r="H1049" i="14"/>
  <c r="E1050" i="14"/>
  <c r="G1050" i="14" s="1"/>
  <c r="H1050" i="14"/>
  <c r="E1051" i="14"/>
  <c r="G1051" i="14" s="1"/>
  <c r="H1051" i="14"/>
  <c r="E1052" i="14"/>
  <c r="G1052" i="14" s="1"/>
  <c r="H1052" i="14"/>
  <c r="E1053" i="14"/>
  <c r="G1053" i="14" s="1"/>
  <c r="H1053" i="14"/>
  <c r="E1054" i="14"/>
  <c r="G1054" i="14" s="1"/>
  <c r="H1054" i="14"/>
  <c r="H1055" i="14"/>
  <c r="E1056" i="14"/>
  <c r="G1056" i="14" s="1"/>
  <c r="H1056" i="14"/>
  <c r="E1057" i="14"/>
  <c r="G1057" i="14" s="1"/>
  <c r="H1057" i="14"/>
  <c r="E1058" i="14"/>
  <c r="G1058" i="14" s="1"/>
  <c r="H1058" i="14"/>
  <c r="E1059" i="14"/>
  <c r="G1059" i="14" s="1"/>
  <c r="H1059" i="14"/>
  <c r="E1060" i="14"/>
  <c r="G1060" i="14" s="1"/>
  <c r="H1060" i="14"/>
  <c r="E1061" i="14"/>
  <c r="G1061" i="14" s="1"/>
  <c r="H1061" i="14"/>
  <c r="E1062" i="14"/>
  <c r="G1062" i="14" s="1"/>
  <c r="H1062" i="14"/>
  <c r="E1063" i="14"/>
  <c r="G1063" i="14" s="1"/>
  <c r="H1063" i="14"/>
  <c r="E1064" i="14"/>
  <c r="G1064" i="14" s="1"/>
  <c r="H1064" i="14"/>
  <c r="E1065" i="14"/>
  <c r="G1065" i="14" s="1"/>
  <c r="H1065" i="14"/>
  <c r="E1066" i="14"/>
  <c r="G1066" i="14" s="1"/>
  <c r="H1066" i="14"/>
  <c r="E1067" i="14"/>
  <c r="G1067" i="14" s="1"/>
  <c r="H1067" i="14"/>
  <c r="E1068" i="14"/>
  <c r="G1068" i="14" s="1"/>
  <c r="H1068" i="14"/>
  <c r="E1069" i="14"/>
  <c r="G1069" i="14" s="1"/>
  <c r="H1069" i="14"/>
  <c r="E1070" i="14"/>
  <c r="G1070" i="14" s="1"/>
  <c r="H1070" i="14"/>
  <c r="E1071" i="14"/>
  <c r="G1071" i="14" s="1"/>
  <c r="H1071" i="14"/>
  <c r="E1072" i="14"/>
  <c r="G1072" i="14" s="1"/>
  <c r="H1072" i="14"/>
  <c r="H1073" i="14"/>
  <c r="E1074" i="14"/>
  <c r="G1074" i="14" s="1"/>
  <c r="H1074" i="14"/>
  <c r="E1075" i="14"/>
  <c r="G1075" i="14" s="1"/>
  <c r="H1075" i="14"/>
  <c r="E1076" i="14"/>
  <c r="G1076" i="14" s="1"/>
  <c r="H1076" i="14"/>
  <c r="E1077" i="14"/>
  <c r="G1077" i="14" s="1"/>
  <c r="H1077" i="14"/>
  <c r="E1078" i="14"/>
  <c r="G1078" i="14" s="1"/>
  <c r="H1078" i="14"/>
  <c r="E1079" i="14"/>
  <c r="G1079" i="14" s="1"/>
  <c r="H1079" i="14"/>
  <c r="E1080" i="14"/>
  <c r="G1080" i="14" s="1"/>
  <c r="H1080" i="14"/>
  <c r="E1081" i="14"/>
  <c r="G1081" i="14" s="1"/>
  <c r="H1081" i="14"/>
  <c r="H1082" i="14"/>
  <c r="E1083" i="14"/>
  <c r="G1083" i="14" s="1"/>
  <c r="H1083" i="14"/>
  <c r="E1084" i="14"/>
  <c r="G1084" i="14" s="1"/>
  <c r="H1084" i="14"/>
  <c r="E1085" i="14"/>
  <c r="G1085" i="14" s="1"/>
  <c r="H1085" i="14"/>
  <c r="E1086" i="14"/>
  <c r="G1086" i="14" s="1"/>
  <c r="H1086" i="14"/>
  <c r="E1087" i="14"/>
  <c r="G1087" i="14" s="1"/>
  <c r="H1087" i="14"/>
  <c r="E1088" i="14"/>
  <c r="G1088" i="14" s="1"/>
  <c r="H1088" i="14"/>
  <c r="E1089" i="14"/>
  <c r="G1089" i="14" s="1"/>
  <c r="H1089" i="14"/>
  <c r="E1090" i="14"/>
  <c r="G1090" i="14" s="1"/>
  <c r="H1090" i="14"/>
  <c r="E1091" i="14"/>
  <c r="G1091" i="14" s="1"/>
  <c r="H1091" i="14"/>
  <c r="E1092" i="14"/>
  <c r="G1092" i="14" s="1"/>
  <c r="H1092" i="14"/>
  <c r="E1093" i="14"/>
  <c r="G1093" i="14" s="1"/>
  <c r="H1093" i="14"/>
  <c r="E1094" i="14"/>
  <c r="G1094" i="14" s="1"/>
  <c r="H1094" i="14"/>
  <c r="E1095" i="14"/>
  <c r="G1095" i="14" s="1"/>
  <c r="H1095" i="14"/>
  <c r="E1096" i="14"/>
  <c r="G1096" i="14" s="1"/>
  <c r="H1096" i="14"/>
  <c r="E1097" i="14"/>
  <c r="G1097" i="14" s="1"/>
  <c r="H1097" i="14"/>
  <c r="E1098" i="14"/>
  <c r="G1098" i="14" s="1"/>
  <c r="H1098" i="14"/>
  <c r="E1099" i="14"/>
  <c r="G1099" i="14" s="1"/>
  <c r="H1099" i="14"/>
  <c r="E1100" i="14"/>
  <c r="G1100" i="14" s="1"/>
  <c r="H1100" i="14"/>
  <c r="E1101" i="14"/>
  <c r="G1101" i="14" s="1"/>
  <c r="H1101" i="14"/>
  <c r="E1102" i="14"/>
  <c r="G1102" i="14" s="1"/>
  <c r="H1102" i="14"/>
  <c r="E1103" i="14"/>
  <c r="G1103" i="14" s="1"/>
  <c r="H1103" i="14"/>
  <c r="E1104" i="14"/>
  <c r="G1104" i="14" s="1"/>
  <c r="H1104" i="14"/>
  <c r="E1105" i="14"/>
  <c r="G1105" i="14" s="1"/>
  <c r="H1105" i="14"/>
  <c r="E1106" i="14"/>
  <c r="G1106" i="14" s="1"/>
  <c r="H1106" i="14"/>
  <c r="E1107" i="14"/>
  <c r="G1107" i="14" s="1"/>
  <c r="H1107" i="14"/>
  <c r="E1108" i="14"/>
  <c r="G1108" i="14" s="1"/>
  <c r="H1108" i="14"/>
  <c r="E1109" i="14"/>
  <c r="G1109" i="14" s="1"/>
  <c r="H1109" i="14"/>
  <c r="E1110" i="14"/>
  <c r="G1110" i="14" s="1"/>
  <c r="H1110" i="14"/>
  <c r="E1111" i="14"/>
  <c r="G1111" i="14" s="1"/>
  <c r="H1111" i="14"/>
  <c r="E1112" i="14"/>
  <c r="G1112" i="14" s="1"/>
  <c r="H1112" i="14"/>
  <c r="E1113" i="14"/>
  <c r="G1113" i="14" s="1"/>
  <c r="H1113" i="14"/>
  <c r="E1114" i="14"/>
  <c r="G1114" i="14" s="1"/>
  <c r="H1114" i="14"/>
  <c r="E1115" i="14"/>
  <c r="G1115" i="14" s="1"/>
  <c r="H1115" i="14"/>
  <c r="E1116" i="14"/>
  <c r="G1116" i="14" s="1"/>
  <c r="H1116" i="14"/>
  <c r="E1117" i="14"/>
  <c r="G1117" i="14" s="1"/>
  <c r="H1117" i="14"/>
  <c r="E1118" i="14"/>
  <c r="G1118" i="14" s="1"/>
  <c r="H1118" i="14"/>
  <c r="E1119" i="14"/>
  <c r="G1119" i="14" s="1"/>
  <c r="H1119" i="14"/>
  <c r="E1120" i="14"/>
  <c r="G1120" i="14" s="1"/>
  <c r="H1120" i="14"/>
  <c r="E1121" i="14"/>
  <c r="G1121" i="14" s="1"/>
  <c r="H1121" i="14"/>
  <c r="E1122" i="14"/>
  <c r="G1122" i="14" s="1"/>
  <c r="H1122" i="14"/>
  <c r="E1123" i="14"/>
  <c r="G1123" i="14" s="1"/>
  <c r="H1123" i="14"/>
  <c r="E1124" i="14"/>
  <c r="G1124" i="14" s="1"/>
  <c r="H1124" i="14"/>
  <c r="E1125" i="14"/>
  <c r="G1125" i="14" s="1"/>
  <c r="H1125" i="14"/>
  <c r="E1126" i="14"/>
  <c r="G1126" i="14" s="1"/>
  <c r="H1126" i="14"/>
  <c r="S124" i="1"/>
  <c r="B641" i="12" s="1"/>
  <c r="Q641" i="12" s="1"/>
  <c r="K2558" i="13"/>
  <c r="H2559" i="13"/>
  <c r="J2559" i="13" s="1"/>
  <c r="K2559" i="13"/>
  <c r="H2560" i="13"/>
  <c r="J2560" i="13" s="1"/>
  <c r="K2560" i="13"/>
  <c r="H2561" i="13"/>
  <c r="J2561" i="13" s="1"/>
  <c r="K2561" i="13"/>
  <c r="H2562" i="13"/>
  <c r="J2562" i="13" s="1"/>
  <c r="K2562" i="13"/>
  <c r="H2563" i="13"/>
  <c r="J2563" i="13" s="1"/>
  <c r="K2563" i="13"/>
  <c r="H2564" i="13"/>
  <c r="J2564" i="13" s="1"/>
  <c r="K2564" i="13"/>
  <c r="H2565" i="13"/>
  <c r="J2565" i="13" s="1"/>
  <c r="K2565" i="13"/>
  <c r="H2566" i="13"/>
  <c r="J2566" i="13" s="1"/>
  <c r="K2566" i="13"/>
  <c r="K2567" i="13"/>
  <c r="H2568" i="13"/>
  <c r="J2568" i="13" s="1"/>
  <c r="K2568" i="13"/>
  <c r="H2569" i="13"/>
  <c r="J2569" i="13" s="1"/>
  <c r="K2569" i="13"/>
  <c r="H2570" i="13"/>
  <c r="J2570" i="13" s="1"/>
  <c r="K2570" i="13"/>
  <c r="H2571" i="13"/>
  <c r="J2571" i="13" s="1"/>
  <c r="K2571" i="13"/>
  <c r="H2572" i="13"/>
  <c r="J2572" i="13" s="1"/>
  <c r="K2572" i="13"/>
  <c r="H2573" i="13"/>
  <c r="J2573" i="13" s="1"/>
  <c r="K2573" i="13"/>
  <c r="H2574" i="13"/>
  <c r="J2574" i="13" s="1"/>
  <c r="K2574" i="13"/>
  <c r="H2575" i="13"/>
  <c r="J2575" i="13" s="1"/>
  <c r="K2575" i="13"/>
  <c r="K2576" i="13"/>
  <c r="H2577" i="13"/>
  <c r="J2577" i="13" s="1"/>
  <c r="K2577" i="13"/>
  <c r="H2578" i="13"/>
  <c r="J2578" i="13" s="1"/>
  <c r="K2578" i="13"/>
  <c r="H2579" i="13"/>
  <c r="J2579" i="13" s="1"/>
  <c r="K2579" i="13"/>
  <c r="H2580" i="13"/>
  <c r="J2580" i="13" s="1"/>
  <c r="K2580" i="13"/>
  <c r="H2581" i="13"/>
  <c r="J2581" i="13" s="1"/>
  <c r="K2581" i="13"/>
  <c r="H2582" i="13"/>
  <c r="J2582" i="13" s="1"/>
  <c r="K2582" i="13"/>
  <c r="H2583" i="13"/>
  <c r="J2583" i="13" s="1"/>
  <c r="K2583" i="13"/>
  <c r="H2584" i="13"/>
  <c r="J2584" i="13" s="1"/>
  <c r="K2584" i="13"/>
  <c r="B293" i="12"/>
  <c r="E587" i="22"/>
  <c r="G587" i="22" s="1"/>
  <c r="H587" i="22"/>
  <c r="E588" i="22"/>
  <c r="G588" i="22" s="1"/>
  <c r="H588" i="22"/>
  <c r="E589" i="22"/>
  <c r="G589" i="22" s="1"/>
  <c r="H589" i="22"/>
  <c r="E590" i="22"/>
  <c r="G590" i="22" s="1"/>
  <c r="H590" i="22"/>
  <c r="E591" i="22"/>
  <c r="G591" i="22" s="1"/>
  <c r="H591" i="22"/>
  <c r="E592" i="22"/>
  <c r="G592" i="22" s="1"/>
  <c r="H592" i="22"/>
  <c r="E593" i="22"/>
  <c r="G593" i="22" s="1"/>
  <c r="H593" i="22"/>
  <c r="E594" i="22"/>
  <c r="G594" i="22" s="1"/>
  <c r="H594" i="22"/>
  <c r="E595" i="22"/>
  <c r="G595" i="22" s="1"/>
  <c r="H595" i="22"/>
  <c r="H713" i="22"/>
  <c r="E714" i="22"/>
  <c r="G714" i="22" s="1"/>
  <c r="H714" i="22"/>
  <c r="E715" i="22"/>
  <c r="G715" i="22" s="1"/>
  <c r="H715" i="22"/>
  <c r="E716" i="22"/>
  <c r="G716" i="22" s="1"/>
  <c r="H716" i="22"/>
  <c r="E717" i="22"/>
  <c r="G717" i="22" s="1"/>
  <c r="H717" i="22"/>
  <c r="E718" i="22"/>
  <c r="G718" i="22" s="1"/>
  <c r="H718" i="22"/>
  <c r="E719" i="22"/>
  <c r="G719" i="22" s="1"/>
  <c r="H719" i="22"/>
  <c r="E720" i="22"/>
  <c r="G720" i="22" s="1"/>
  <c r="H720" i="22"/>
  <c r="E721" i="22"/>
  <c r="G721" i="22" s="1"/>
  <c r="H721" i="22"/>
  <c r="H776" i="22"/>
  <c r="E777" i="22"/>
  <c r="G777" i="22" s="1"/>
  <c r="H777" i="22"/>
  <c r="E778" i="22"/>
  <c r="G778" i="22" s="1"/>
  <c r="H778" i="22"/>
  <c r="E779" i="22"/>
  <c r="G779" i="22" s="1"/>
  <c r="H779" i="22"/>
  <c r="E780" i="22"/>
  <c r="G780" i="22" s="1"/>
  <c r="H780" i="22"/>
  <c r="E781" i="22"/>
  <c r="G781" i="22" s="1"/>
  <c r="H781" i="22"/>
  <c r="E782" i="22"/>
  <c r="G782" i="22" s="1"/>
  <c r="H782" i="22"/>
  <c r="E783" i="22"/>
  <c r="G783" i="22" s="1"/>
  <c r="H783" i="22"/>
  <c r="E784" i="22"/>
  <c r="G784" i="22" s="1"/>
  <c r="H784" i="22"/>
  <c r="L116" i="15"/>
  <c r="W116" i="15" s="1"/>
  <c r="L64" i="15"/>
  <c r="W64" i="15" s="1"/>
  <c r="L77" i="15"/>
  <c r="B1065" i="12" s="1"/>
  <c r="D1065" i="12" s="1"/>
  <c r="S265" i="1"/>
  <c r="AD265" i="1" s="1"/>
  <c r="S264" i="1"/>
  <c r="AD264" i="1" s="1"/>
  <c r="E1181" i="14"/>
  <c r="G1181" i="14" s="1"/>
  <c r="H1181" i="14"/>
  <c r="E1182" i="14"/>
  <c r="G1182" i="14" s="1"/>
  <c r="H1182" i="14"/>
  <c r="E1183" i="14"/>
  <c r="G1183" i="14" s="1"/>
  <c r="H1183" i="14"/>
  <c r="E1184" i="14"/>
  <c r="G1184" i="14" s="1"/>
  <c r="H1184" i="14"/>
  <c r="E1185" i="14"/>
  <c r="G1185" i="14" s="1"/>
  <c r="H1185" i="14"/>
  <c r="E1186" i="14"/>
  <c r="G1186" i="14" s="1"/>
  <c r="H1186" i="14"/>
  <c r="E1187" i="14"/>
  <c r="G1187" i="14" s="1"/>
  <c r="H1187" i="14"/>
  <c r="E1188" i="14"/>
  <c r="G1188" i="14" s="1"/>
  <c r="H1188" i="14"/>
  <c r="E1189" i="14"/>
  <c r="G1189" i="14" s="1"/>
  <c r="H1189" i="14"/>
  <c r="H1190" i="14"/>
  <c r="E1191" i="14"/>
  <c r="G1191" i="14" s="1"/>
  <c r="H1191" i="14"/>
  <c r="E1192" i="14"/>
  <c r="G1192" i="14" s="1"/>
  <c r="H1192" i="14"/>
  <c r="E1193" i="14"/>
  <c r="G1193" i="14" s="1"/>
  <c r="H1193" i="14"/>
  <c r="E1194" i="14"/>
  <c r="G1194" i="14" s="1"/>
  <c r="H1194" i="14"/>
  <c r="E1195" i="14"/>
  <c r="G1195" i="14" s="1"/>
  <c r="H1195" i="14"/>
  <c r="E1196" i="14"/>
  <c r="G1196" i="14" s="1"/>
  <c r="H1196" i="14"/>
  <c r="E1197" i="14"/>
  <c r="G1197" i="14" s="1"/>
  <c r="H1197" i="14"/>
  <c r="E1198" i="14"/>
  <c r="G1198" i="14" s="1"/>
  <c r="H1198" i="14"/>
  <c r="H1127" i="14"/>
  <c r="E1128" i="14"/>
  <c r="G1128" i="14" s="1"/>
  <c r="H1128" i="14"/>
  <c r="E1129" i="14"/>
  <c r="G1129" i="14" s="1"/>
  <c r="H1129" i="14"/>
  <c r="E1130" i="14"/>
  <c r="G1130" i="14" s="1"/>
  <c r="H1130" i="14"/>
  <c r="E1131" i="14"/>
  <c r="G1131" i="14" s="1"/>
  <c r="H1131" i="14"/>
  <c r="E1132" i="14"/>
  <c r="G1132" i="14" s="1"/>
  <c r="H1132" i="14"/>
  <c r="E1133" i="14"/>
  <c r="G1133" i="14" s="1"/>
  <c r="H1133" i="14"/>
  <c r="E1134" i="14"/>
  <c r="G1134" i="14" s="1"/>
  <c r="H1134" i="14"/>
  <c r="E1135" i="14"/>
  <c r="G1135" i="14" s="1"/>
  <c r="H1135" i="14"/>
  <c r="S225" i="1"/>
  <c r="B640" i="12" s="1"/>
  <c r="V640" i="12" s="1"/>
  <c r="H4394" i="13"/>
  <c r="J4394" i="13" s="1"/>
  <c r="K4394" i="13"/>
  <c r="H4395" i="13"/>
  <c r="J4395" i="13" s="1"/>
  <c r="K4395" i="13"/>
  <c r="H4396" i="13"/>
  <c r="J4396" i="13" s="1"/>
  <c r="K4396" i="13"/>
  <c r="H4397" i="13"/>
  <c r="J4397" i="13" s="1"/>
  <c r="K4397" i="13"/>
  <c r="H4398" i="13"/>
  <c r="J4398" i="13" s="1"/>
  <c r="K4398" i="13"/>
  <c r="H4399" i="13"/>
  <c r="J4399" i="13" s="1"/>
  <c r="K4399" i="13"/>
  <c r="H4400" i="13"/>
  <c r="J4400" i="13" s="1"/>
  <c r="K4400" i="13"/>
  <c r="H4401" i="13"/>
  <c r="J4401" i="13" s="1"/>
  <c r="K4401" i="13"/>
  <c r="H4402" i="13"/>
  <c r="J4402" i="13" s="1"/>
  <c r="K4402" i="13"/>
  <c r="K6662" i="13"/>
  <c r="H6663" i="13"/>
  <c r="J6663" i="13" s="1"/>
  <c r="K6663" i="13"/>
  <c r="H6664" i="13"/>
  <c r="J6664" i="13" s="1"/>
  <c r="K6664" i="13"/>
  <c r="H6665" i="13"/>
  <c r="J6665" i="13" s="1"/>
  <c r="K6665" i="13"/>
  <c r="H6666" i="13"/>
  <c r="J6666" i="13" s="1"/>
  <c r="K6666" i="13"/>
  <c r="H6667" i="13"/>
  <c r="J6667" i="13" s="1"/>
  <c r="K6667" i="13"/>
  <c r="H6668" i="13"/>
  <c r="J6668" i="13" s="1"/>
  <c r="K6668" i="13"/>
  <c r="H6669" i="13"/>
  <c r="J6669" i="13" s="1"/>
  <c r="K6669" i="13"/>
  <c r="H6670" i="13"/>
  <c r="J6670" i="13" s="1"/>
  <c r="K6670" i="13"/>
  <c r="H6671" i="13"/>
  <c r="J6671" i="13" s="1"/>
  <c r="K6671" i="13"/>
  <c r="H6672" i="13"/>
  <c r="J6672" i="13" s="1"/>
  <c r="K6672" i="13"/>
  <c r="H6673" i="13"/>
  <c r="J6673" i="13" s="1"/>
  <c r="K6673" i="13"/>
  <c r="H6674" i="13"/>
  <c r="J6674" i="13" s="1"/>
  <c r="K6674" i="13"/>
  <c r="H6675" i="13"/>
  <c r="J6675" i="13" s="1"/>
  <c r="K6675" i="13"/>
  <c r="H6676" i="13"/>
  <c r="J6676" i="13" s="1"/>
  <c r="K6676" i="13"/>
  <c r="H6677" i="13"/>
  <c r="J6677" i="13" s="1"/>
  <c r="K6677" i="13"/>
  <c r="H6678" i="13"/>
  <c r="J6678" i="13" s="1"/>
  <c r="K6678" i="13"/>
  <c r="H6679" i="13"/>
  <c r="J6679" i="13" s="1"/>
  <c r="K6679" i="13"/>
  <c r="H6680" i="13"/>
  <c r="J6680" i="13" s="1"/>
  <c r="K6680" i="13"/>
  <c r="H6681" i="13"/>
  <c r="J6681" i="13" s="1"/>
  <c r="K6681" i="13"/>
  <c r="H6682" i="13"/>
  <c r="J6682" i="13" s="1"/>
  <c r="K6682" i="13"/>
  <c r="H6683" i="13"/>
  <c r="J6683" i="13" s="1"/>
  <c r="K6683" i="13"/>
  <c r="H6684" i="13"/>
  <c r="J6684" i="13" s="1"/>
  <c r="K6684" i="13"/>
  <c r="H6685" i="13"/>
  <c r="J6685" i="13" s="1"/>
  <c r="K6685" i="13"/>
  <c r="H6686" i="13"/>
  <c r="J6686" i="13" s="1"/>
  <c r="K6686" i="13"/>
  <c r="H6687" i="13"/>
  <c r="J6687" i="13" s="1"/>
  <c r="K6687" i="13"/>
  <c r="H6688" i="13"/>
  <c r="J6688" i="13" s="1"/>
  <c r="K6688" i="13"/>
  <c r="H6689" i="13"/>
  <c r="J6689" i="13" s="1"/>
  <c r="K6689" i="13"/>
  <c r="H6690" i="13"/>
  <c r="J6690" i="13" s="1"/>
  <c r="K6690" i="13"/>
  <c r="H6691" i="13"/>
  <c r="J6691" i="13" s="1"/>
  <c r="K6691" i="13"/>
  <c r="H6692" i="13"/>
  <c r="J6692" i="13" s="1"/>
  <c r="K6692" i="13"/>
  <c r="H6693" i="13"/>
  <c r="J6693" i="13" s="1"/>
  <c r="K6693" i="13"/>
  <c r="H6694" i="13"/>
  <c r="J6694" i="13" s="1"/>
  <c r="K6694" i="13"/>
  <c r="H6695" i="13"/>
  <c r="J6695" i="13" s="1"/>
  <c r="K6695" i="13"/>
  <c r="H6696" i="13"/>
  <c r="J6696" i="13" s="1"/>
  <c r="K6696" i="13"/>
  <c r="H6697" i="13"/>
  <c r="J6697" i="13" s="1"/>
  <c r="K6697" i="13"/>
  <c r="K6698" i="13"/>
  <c r="H6699" i="13"/>
  <c r="J6699" i="13" s="1"/>
  <c r="K6699" i="13"/>
  <c r="H6700" i="13"/>
  <c r="J6700" i="13" s="1"/>
  <c r="K6700" i="13"/>
  <c r="H6701" i="13"/>
  <c r="J6701" i="13" s="1"/>
  <c r="K6701" i="13"/>
  <c r="H6702" i="13"/>
  <c r="J6702" i="13" s="1"/>
  <c r="K6702" i="13"/>
  <c r="H6703" i="13"/>
  <c r="J6703" i="13" s="1"/>
  <c r="K6703" i="13"/>
  <c r="H6704" i="13"/>
  <c r="J6704" i="13" s="1"/>
  <c r="K6704" i="13"/>
  <c r="H6705" i="13"/>
  <c r="J6705" i="13" s="1"/>
  <c r="K6705" i="13"/>
  <c r="H6706" i="13"/>
  <c r="J6706" i="13" s="1"/>
  <c r="K6706" i="13"/>
  <c r="K6707" i="13"/>
  <c r="H6708" i="13"/>
  <c r="J6708" i="13" s="1"/>
  <c r="K6708" i="13"/>
  <c r="H6709" i="13"/>
  <c r="J6709" i="13" s="1"/>
  <c r="K6709" i="13"/>
  <c r="H6710" i="13"/>
  <c r="J6710" i="13" s="1"/>
  <c r="K6710" i="13"/>
  <c r="H6711" i="13"/>
  <c r="J6711" i="13" s="1"/>
  <c r="K6711" i="13"/>
  <c r="H6712" i="13"/>
  <c r="J6712" i="13" s="1"/>
  <c r="K6712" i="13"/>
  <c r="H6713" i="13"/>
  <c r="J6713" i="13" s="1"/>
  <c r="K6713" i="13"/>
  <c r="H6714" i="13"/>
  <c r="J6714" i="13" s="1"/>
  <c r="K6714" i="13"/>
  <c r="H6715" i="13"/>
  <c r="J6715" i="13" s="1"/>
  <c r="K6715" i="13"/>
  <c r="H6716" i="13"/>
  <c r="J6716" i="13" s="1"/>
  <c r="K6716" i="13"/>
  <c r="H6717" i="13"/>
  <c r="J6717" i="13" s="1"/>
  <c r="K6717" i="13"/>
  <c r="H6718" i="13"/>
  <c r="J6718" i="13" s="1"/>
  <c r="K6718" i="13"/>
  <c r="H6719" i="13"/>
  <c r="J6719" i="13" s="1"/>
  <c r="K6719" i="13"/>
  <c r="H6720" i="13"/>
  <c r="J6720" i="13" s="1"/>
  <c r="K6720" i="13"/>
  <c r="H6721" i="13"/>
  <c r="J6721" i="13" s="1"/>
  <c r="K6721" i="13"/>
  <c r="H6722" i="13"/>
  <c r="J6722" i="13" s="1"/>
  <c r="K6722" i="13"/>
  <c r="H6723" i="13"/>
  <c r="J6723" i="13" s="1"/>
  <c r="K6723" i="13"/>
  <c r="H6724" i="13"/>
  <c r="J6724" i="13" s="1"/>
  <c r="K6724" i="13"/>
  <c r="K6725" i="13"/>
  <c r="H6726" i="13"/>
  <c r="J6726" i="13" s="1"/>
  <c r="K6726" i="13"/>
  <c r="H6727" i="13"/>
  <c r="J6727" i="13" s="1"/>
  <c r="K6727" i="13"/>
  <c r="H6728" i="13"/>
  <c r="J6728" i="13" s="1"/>
  <c r="K6728" i="13"/>
  <c r="H6729" i="13"/>
  <c r="J6729" i="13" s="1"/>
  <c r="K6729" i="13"/>
  <c r="H6730" i="13"/>
  <c r="J6730" i="13" s="1"/>
  <c r="K6730" i="13"/>
  <c r="H6731" i="13"/>
  <c r="J6731" i="13" s="1"/>
  <c r="K6731" i="13"/>
  <c r="H6732" i="13"/>
  <c r="J6732" i="13" s="1"/>
  <c r="K6732" i="13"/>
  <c r="H6733" i="13"/>
  <c r="J6733" i="13" s="1"/>
  <c r="K6733" i="13"/>
  <c r="K6734" i="13"/>
  <c r="H6735" i="13"/>
  <c r="J6735" i="13" s="1"/>
  <c r="K6735" i="13"/>
  <c r="H6736" i="13"/>
  <c r="J6736" i="13" s="1"/>
  <c r="K6736" i="13"/>
  <c r="H6737" i="13"/>
  <c r="J6737" i="13" s="1"/>
  <c r="K6737" i="13"/>
  <c r="H6738" i="13"/>
  <c r="J6738" i="13" s="1"/>
  <c r="K6738" i="13"/>
  <c r="H6739" i="13"/>
  <c r="J6739" i="13" s="1"/>
  <c r="K6739" i="13"/>
  <c r="H6740" i="13"/>
  <c r="J6740" i="13" s="1"/>
  <c r="K6740" i="13"/>
  <c r="H6741" i="13"/>
  <c r="J6741" i="13" s="1"/>
  <c r="K6741" i="13"/>
  <c r="H6742" i="13"/>
  <c r="J6742" i="13" s="1"/>
  <c r="K6742" i="13"/>
  <c r="K6743" i="13"/>
  <c r="H6744" i="13"/>
  <c r="J6744" i="13" s="1"/>
  <c r="K6744" i="13"/>
  <c r="H6745" i="13"/>
  <c r="J6745" i="13" s="1"/>
  <c r="K6745" i="13"/>
  <c r="H6746" i="13"/>
  <c r="J6746" i="13" s="1"/>
  <c r="K6746" i="13"/>
  <c r="H6747" i="13"/>
  <c r="J6747" i="13" s="1"/>
  <c r="K6747" i="13"/>
  <c r="H6748" i="13"/>
  <c r="J6748" i="13" s="1"/>
  <c r="K6748" i="13"/>
  <c r="H6749" i="13"/>
  <c r="J6749" i="13" s="1"/>
  <c r="K6749" i="13"/>
  <c r="H6750" i="13"/>
  <c r="J6750" i="13" s="1"/>
  <c r="K6750" i="13"/>
  <c r="H6751" i="13"/>
  <c r="J6751" i="13" s="1"/>
  <c r="K6751" i="13"/>
  <c r="B696" i="12" l="1"/>
  <c r="S696" i="12" s="1"/>
  <c r="E776" i="22"/>
  <c r="G776" i="22" s="1"/>
  <c r="H6734" i="13"/>
  <c r="J6734" i="13" s="1"/>
  <c r="H6662" i="13"/>
  <c r="J6662" i="13" s="1"/>
  <c r="E713" i="22"/>
  <c r="G713" i="22" s="1"/>
  <c r="H6743" i="13"/>
  <c r="J6743" i="13" s="1"/>
  <c r="H6707" i="13"/>
  <c r="J6707" i="13" s="1"/>
  <c r="H6698" i="13"/>
  <c r="J6698" i="13" s="1"/>
  <c r="H6725" i="13"/>
  <c r="J6725" i="13" s="1"/>
  <c r="E1127" i="14"/>
  <c r="G1127" i="14" s="1"/>
  <c r="H2567" i="13"/>
  <c r="J2567" i="13" s="1"/>
  <c r="E1199" i="14"/>
  <c r="G1199" i="14" s="1"/>
  <c r="E1073" i="14"/>
  <c r="G1073" i="14" s="1"/>
  <c r="E1055" i="14"/>
  <c r="G1055" i="14" s="1"/>
  <c r="E1136" i="14"/>
  <c r="G1136" i="14" s="1"/>
  <c r="AF95" i="1"/>
  <c r="E1010" i="14"/>
  <c r="G1010" i="14" s="1"/>
  <c r="E1163" i="14"/>
  <c r="G1163" i="14" s="1"/>
  <c r="H2558" i="13"/>
  <c r="J2558" i="13" s="1"/>
  <c r="H2576" i="13"/>
  <c r="J2576" i="13" s="1"/>
  <c r="E1028" i="14"/>
  <c r="G1028" i="14" s="1"/>
  <c r="E1190" i="14"/>
  <c r="G1190" i="14" s="1"/>
  <c r="B691" i="12"/>
  <c r="V691" i="12" s="1"/>
  <c r="AF52" i="1"/>
  <c r="AF230" i="1"/>
  <c r="B693" i="12"/>
  <c r="Q693" i="12" s="1"/>
  <c r="B883" i="12"/>
  <c r="V883" i="12" s="1"/>
  <c r="B887" i="12"/>
  <c r="Q887" i="12" s="1"/>
  <c r="B888" i="12"/>
  <c r="Q888" i="12" s="1"/>
  <c r="B889" i="12"/>
  <c r="V889" i="12" s="1"/>
  <c r="B880" i="12"/>
  <c r="V880" i="12" s="1"/>
  <c r="B699" i="12"/>
  <c r="E699" i="12" s="1"/>
  <c r="Q700" i="12"/>
  <c r="F700" i="12"/>
  <c r="AC266" i="1"/>
  <c r="AF266" i="1"/>
  <c r="V700" i="12"/>
  <c r="AC52" i="1"/>
  <c r="AC95" i="1"/>
  <c r="AF224" i="1"/>
  <c r="AC224" i="1"/>
  <c r="AF125" i="1"/>
  <c r="B690" i="12"/>
  <c r="Q690" i="12" s="1"/>
  <c r="AC230" i="1"/>
  <c r="B689" i="12"/>
  <c r="AC125" i="1"/>
  <c r="AD125" i="1"/>
  <c r="AF236" i="1"/>
  <c r="AD116" i="1"/>
  <c r="B688" i="12"/>
  <c r="V688" i="12" s="1"/>
  <c r="AF116" i="1"/>
  <c r="B687" i="12"/>
  <c r="Q687" i="12" s="1"/>
  <c r="AF271" i="1"/>
  <c r="B294" i="12"/>
  <c r="D294" i="12" s="1"/>
  <c r="AF229" i="1"/>
  <c r="B649" i="12"/>
  <c r="Q649" i="12" s="1"/>
  <c r="AC236" i="1"/>
  <c r="AD229" i="1"/>
  <c r="AC271" i="1"/>
  <c r="B644" i="12"/>
  <c r="B295" i="12"/>
  <c r="Q295" i="12" s="1"/>
  <c r="D641" i="12"/>
  <c r="B698" i="12"/>
  <c r="Q698" i="12" s="1"/>
  <c r="AF124" i="1"/>
  <c r="AF265" i="1"/>
  <c r="V641" i="12"/>
  <c r="AC124" i="1"/>
  <c r="AD124" i="1"/>
  <c r="D293" i="12"/>
  <c r="Q293" i="12"/>
  <c r="AC264" i="1"/>
  <c r="AF264" i="1"/>
  <c r="B697" i="12"/>
  <c r="Q697" i="12" s="1"/>
  <c r="V293" i="12"/>
  <c r="Y116" i="15"/>
  <c r="B1072" i="12"/>
  <c r="V1072" i="12" s="1"/>
  <c r="B1066" i="12"/>
  <c r="F1066" i="12" s="1"/>
  <c r="W77" i="15"/>
  <c r="V1065" i="12"/>
  <c r="V116" i="15"/>
  <c r="Y64" i="15"/>
  <c r="V64" i="15"/>
  <c r="Y77" i="15"/>
  <c r="V77" i="15"/>
  <c r="B886" i="12"/>
  <c r="E886" i="12" s="1"/>
  <c r="B884" i="12"/>
  <c r="V884" i="12" s="1"/>
  <c r="AC265" i="1"/>
  <c r="AF225" i="1"/>
  <c r="B479" i="12"/>
  <c r="Q479" i="12" s="1"/>
  <c r="Q640" i="12"/>
  <c r="E640" i="12"/>
  <c r="AC225" i="1"/>
  <c r="AD225" i="1"/>
  <c r="B885" i="12"/>
  <c r="Q885" i="12" s="1"/>
  <c r="B882" i="12"/>
  <c r="Q882" i="12" s="1"/>
  <c r="K3539" i="13"/>
  <c r="H3540" i="13"/>
  <c r="J3540" i="13" s="1"/>
  <c r="K3540" i="13"/>
  <c r="H3541" i="13"/>
  <c r="J3541" i="13" s="1"/>
  <c r="K3541" i="13"/>
  <c r="H3542" i="13"/>
  <c r="J3542" i="13" s="1"/>
  <c r="K3542" i="13"/>
  <c r="H3543" i="13"/>
  <c r="J3543" i="13" s="1"/>
  <c r="K3543" i="13"/>
  <c r="H3544" i="13"/>
  <c r="J3544" i="13" s="1"/>
  <c r="K3544" i="13"/>
  <c r="H3545" i="13"/>
  <c r="J3545" i="13" s="1"/>
  <c r="K3545" i="13"/>
  <c r="H3546" i="13"/>
  <c r="J3546" i="13" s="1"/>
  <c r="K3546" i="13"/>
  <c r="H3547" i="13"/>
  <c r="J3547" i="13" s="1"/>
  <c r="K3547" i="13"/>
  <c r="K3485" i="13"/>
  <c r="H3486" i="13"/>
  <c r="J3486" i="13" s="1"/>
  <c r="K3486" i="13"/>
  <c r="H3487" i="13"/>
  <c r="J3487" i="13" s="1"/>
  <c r="K3487" i="13"/>
  <c r="H3488" i="13"/>
  <c r="J3488" i="13" s="1"/>
  <c r="K3488" i="13"/>
  <c r="H3489" i="13"/>
  <c r="J3489" i="13" s="1"/>
  <c r="K3489" i="13"/>
  <c r="H3490" i="13"/>
  <c r="J3490" i="13" s="1"/>
  <c r="K3490" i="13"/>
  <c r="H3491" i="13"/>
  <c r="J3491" i="13" s="1"/>
  <c r="K3491" i="13"/>
  <c r="H3492" i="13"/>
  <c r="J3492" i="13" s="1"/>
  <c r="K3492" i="13"/>
  <c r="H3493" i="13"/>
  <c r="J3493" i="13" s="1"/>
  <c r="K3493" i="13"/>
  <c r="K3494" i="13"/>
  <c r="H3495" i="13"/>
  <c r="J3495" i="13" s="1"/>
  <c r="K3495" i="13"/>
  <c r="H3496" i="13"/>
  <c r="J3496" i="13" s="1"/>
  <c r="K3496" i="13"/>
  <c r="H3497" i="13"/>
  <c r="J3497" i="13" s="1"/>
  <c r="K3497" i="13"/>
  <c r="H3498" i="13"/>
  <c r="J3498" i="13" s="1"/>
  <c r="K3498" i="13"/>
  <c r="H3499" i="13"/>
  <c r="J3499" i="13" s="1"/>
  <c r="K3499" i="13"/>
  <c r="H3500" i="13"/>
  <c r="J3500" i="13" s="1"/>
  <c r="K3500" i="13"/>
  <c r="H3501" i="13"/>
  <c r="J3501" i="13" s="1"/>
  <c r="K3501" i="13"/>
  <c r="H3502" i="13"/>
  <c r="J3502" i="13" s="1"/>
  <c r="K3502" i="13"/>
  <c r="K3503" i="13"/>
  <c r="H3504" i="13"/>
  <c r="J3504" i="13" s="1"/>
  <c r="K3504" i="13"/>
  <c r="H3505" i="13"/>
  <c r="J3505" i="13" s="1"/>
  <c r="K3505" i="13"/>
  <c r="H3506" i="13"/>
  <c r="J3506" i="13" s="1"/>
  <c r="K3506" i="13"/>
  <c r="H3507" i="13"/>
  <c r="J3507" i="13" s="1"/>
  <c r="K3507" i="13"/>
  <c r="H3508" i="13"/>
  <c r="J3508" i="13" s="1"/>
  <c r="K3508" i="13"/>
  <c r="H3509" i="13"/>
  <c r="J3509" i="13" s="1"/>
  <c r="K3509" i="13"/>
  <c r="H3510" i="13"/>
  <c r="J3510" i="13" s="1"/>
  <c r="K3510" i="13"/>
  <c r="H3511" i="13"/>
  <c r="J3511" i="13" s="1"/>
  <c r="K3511" i="13"/>
  <c r="H3512" i="13"/>
  <c r="J3512" i="13" s="1"/>
  <c r="K3512" i="13"/>
  <c r="H3513" i="13"/>
  <c r="J3513" i="13" s="1"/>
  <c r="K3513" i="13"/>
  <c r="H3514" i="13"/>
  <c r="J3514" i="13" s="1"/>
  <c r="K3514" i="13"/>
  <c r="H3515" i="13"/>
  <c r="J3515" i="13" s="1"/>
  <c r="K3515" i="13"/>
  <c r="H3516" i="13"/>
  <c r="J3516" i="13" s="1"/>
  <c r="K3516" i="13"/>
  <c r="H3517" i="13"/>
  <c r="J3517" i="13" s="1"/>
  <c r="K3517" i="13"/>
  <c r="H3518" i="13"/>
  <c r="J3518" i="13" s="1"/>
  <c r="K3518" i="13"/>
  <c r="H3519" i="13"/>
  <c r="J3519" i="13" s="1"/>
  <c r="K3519" i="13"/>
  <c r="H3520" i="13"/>
  <c r="J3520" i="13" s="1"/>
  <c r="K3520" i="13"/>
  <c r="K3521" i="13"/>
  <c r="H3522" i="13"/>
  <c r="J3522" i="13" s="1"/>
  <c r="K3522" i="13"/>
  <c r="H3523" i="13"/>
  <c r="J3523" i="13" s="1"/>
  <c r="K3523" i="13"/>
  <c r="H3524" i="13"/>
  <c r="J3524" i="13" s="1"/>
  <c r="K3524" i="13"/>
  <c r="H3525" i="13"/>
  <c r="J3525" i="13" s="1"/>
  <c r="K3525" i="13"/>
  <c r="H3526" i="13"/>
  <c r="J3526" i="13" s="1"/>
  <c r="K3526" i="13"/>
  <c r="H3527" i="13"/>
  <c r="J3527" i="13" s="1"/>
  <c r="K3527" i="13"/>
  <c r="H3528" i="13"/>
  <c r="J3528" i="13" s="1"/>
  <c r="K3528" i="13"/>
  <c r="H3529" i="13"/>
  <c r="J3529" i="13" s="1"/>
  <c r="K3529" i="13"/>
  <c r="K3530" i="13"/>
  <c r="H3531" i="13"/>
  <c r="J3531" i="13" s="1"/>
  <c r="K3531" i="13"/>
  <c r="H3532" i="13"/>
  <c r="J3532" i="13" s="1"/>
  <c r="K3532" i="13"/>
  <c r="H3533" i="13"/>
  <c r="J3533" i="13" s="1"/>
  <c r="K3533" i="13"/>
  <c r="H3534" i="13"/>
  <c r="J3534" i="13" s="1"/>
  <c r="K3534" i="13"/>
  <c r="H3535" i="13"/>
  <c r="J3535" i="13" s="1"/>
  <c r="K3535" i="13"/>
  <c r="H3536" i="13"/>
  <c r="J3536" i="13" s="1"/>
  <c r="K3536" i="13"/>
  <c r="H3537" i="13"/>
  <c r="J3537" i="13" s="1"/>
  <c r="K3537" i="13"/>
  <c r="H3538" i="13"/>
  <c r="J3538" i="13" s="1"/>
  <c r="K3538" i="13"/>
  <c r="K3548" i="13"/>
  <c r="H3549" i="13"/>
  <c r="J3549" i="13" s="1"/>
  <c r="K3549" i="13"/>
  <c r="H3550" i="13"/>
  <c r="J3550" i="13" s="1"/>
  <c r="K3550" i="13"/>
  <c r="H3551" i="13"/>
  <c r="J3551" i="13" s="1"/>
  <c r="K3551" i="13"/>
  <c r="H3552" i="13"/>
  <c r="J3552" i="13" s="1"/>
  <c r="K3552" i="13"/>
  <c r="H3553" i="13"/>
  <c r="J3553" i="13" s="1"/>
  <c r="K3553" i="13"/>
  <c r="H3554" i="13"/>
  <c r="J3554" i="13" s="1"/>
  <c r="K3554" i="13"/>
  <c r="H3555" i="13"/>
  <c r="J3555" i="13" s="1"/>
  <c r="K3555" i="13"/>
  <c r="H3556" i="13"/>
  <c r="J3556" i="13" s="1"/>
  <c r="K3556" i="13"/>
  <c r="K2522" i="13"/>
  <c r="H2523" i="13"/>
  <c r="J2523" i="13" s="1"/>
  <c r="K2523" i="13"/>
  <c r="H2524" i="13"/>
  <c r="J2524" i="13" s="1"/>
  <c r="K2524" i="13"/>
  <c r="H2525" i="13"/>
  <c r="J2525" i="13" s="1"/>
  <c r="K2525" i="13"/>
  <c r="H2526" i="13"/>
  <c r="J2526" i="13" s="1"/>
  <c r="K2526" i="13"/>
  <c r="H2527" i="13"/>
  <c r="J2527" i="13" s="1"/>
  <c r="K2527" i="13"/>
  <c r="H2528" i="13"/>
  <c r="J2528" i="13" s="1"/>
  <c r="K2528" i="13"/>
  <c r="H2529" i="13"/>
  <c r="J2529" i="13" s="1"/>
  <c r="K2529" i="13"/>
  <c r="H2530" i="13"/>
  <c r="J2530" i="13" s="1"/>
  <c r="K2530" i="13"/>
  <c r="K2531" i="13"/>
  <c r="H2532" i="13"/>
  <c r="J2532" i="13" s="1"/>
  <c r="K2532" i="13"/>
  <c r="H2533" i="13"/>
  <c r="J2533" i="13" s="1"/>
  <c r="K2533" i="13"/>
  <c r="H2534" i="13"/>
  <c r="J2534" i="13" s="1"/>
  <c r="K2534" i="13"/>
  <c r="H2535" i="13"/>
  <c r="J2535" i="13" s="1"/>
  <c r="K2535" i="13"/>
  <c r="H2536" i="13"/>
  <c r="J2536" i="13" s="1"/>
  <c r="K2536" i="13"/>
  <c r="H2537" i="13"/>
  <c r="J2537" i="13" s="1"/>
  <c r="K2537" i="13"/>
  <c r="H2538" i="13"/>
  <c r="J2538" i="13" s="1"/>
  <c r="K2538" i="13"/>
  <c r="H2539" i="13"/>
  <c r="J2539" i="13" s="1"/>
  <c r="K2539" i="13"/>
  <c r="K2540" i="13"/>
  <c r="H2541" i="13"/>
  <c r="J2541" i="13" s="1"/>
  <c r="K2541" i="13"/>
  <c r="H2542" i="13"/>
  <c r="J2542" i="13" s="1"/>
  <c r="K2542" i="13"/>
  <c r="H2543" i="13"/>
  <c r="J2543" i="13" s="1"/>
  <c r="K2543" i="13"/>
  <c r="H2544" i="13"/>
  <c r="J2544" i="13" s="1"/>
  <c r="K2544" i="13"/>
  <c r="H2545" i="13"/>
  <c r="J2545" i="13" s="1"/>
  <c r="K2545" i="13"/>
  <c r="H2546" i="13"/>
  <c r="J2546" i="13" s="1"/>
  <c r="K2546" i="13"/>
  <c r="H2547" i="13"/>
  <c r="J2547" i="13" s="1"/>
  <c r="K2547" i="13"/>
  <c r="H2548" i="13"/>
  <c r="J2548" i="13" s="1"/>
  <c r="K2548" i="13"/>
  <c r="K2549" i="13"/>
  <c r="H2550" i="13"/>
  <c r="J2550" i="13" s="1"/>
  <c r="K2550" i="13"/>
  <c r="H2551" i="13"/>
  <c r="J2551" i="13" s="1"/>
  <c r="K2551" i="13"/>
  <c r="H2552" i="13"/>
  <c r="J2552" i="13" s="1"/>
  <c r="K2552" i="13"/>
  <c r="H2553" i="13"/>
  <c r="J2553" i="13" s="1"/>
  <c r="K2553" i="13"/>
  <c r="H2554" i="13"/>
  <c r="J2554" i="13" s="1"/>
  <c r="K2554" i="13"/>
  <c r="H2555" i="13"/>
  <c r="J2555" i="13" s="1"/>
  <c r="K2555" i="13"/>
  <c r="H2556" i="13"/>
  <c r="J2556" i="13" s="1"/>
  <c r="K2556" i="13"/>
  <c r="H2557" i="13"/>
  <c r="J2557" i="13" s="1"/>
  <c r="K2557" i="13"/>
  <c r="H6599" i="13"/>
  <c r="J6599" i="13" s="1"/>
  <c r="K6599" i="13"/>
  <c r="H6600" i="13"/>
  <c r="J6600" i="13" s="1"/>
  <c r="K6600" i="13"/>
  <c r="H6601" i="13"/>
  <c r="J6601" i="13" s="1"/>
  <c r="K6601" i="13"/>
  <c r="H6602" i="13"/>
  <c r="J6602" i="13" s="1"/>
  <c r="K6602" i="13"/>
  <c r="H6603" i="13"/>
  <c r="J6603" i="13" s="1"/>
  <c r="K6603" i="13"/>
  <c r="H6604" i="13"/>
  <c r="J6604" i="13" s="1"/>
  <c r="K6604" i="13"/>
  <c r="H6605" i="13"/>
  <c r="J6605" i="13" s="1"/>
  <c r="K6605" i="13"/>
  <c r="H6606" i="13"/>
  <c r="J6606" i="13" s="1"/>
  <c r="K6606" i="13"/>
  <c r="H6607" i="13"/>
  <c r="J6607" i="13" s="1"/>
  <c r="K6607" i="13"/>
  <c r="H6608" i="13"/>
  <c r="J6608" i="13" s="1"/>
  <c r="K6608" i="13"/>
  <c r="H6609" i="13"/>
  <c r="J6609" i="13" s="1"/>
  <c r="K6609" i="13"/>
  <c r="H6610" i="13"/>
  <c r="J6610" i="13" s="1"/>
  <c r="K6610" i="13"/>
  <c r="H6611" i="13"/>
  <c r="J6611" i="13" s="1"/>
  <c r="K6611" i="13"/>
  <c r="H6612" i="13"/>
  <c r="J6612" i="13" s="1"/>
  <c r="K6612" i="13"/>
  <c r="H6613" i="13"/>
  <c r="J6613" i="13" s="1"/>
  <c r="K6613" i="13"/>
  <c r="H6614" i="13"/>
  <c r="J6614" i="13" s="1"/>
  <c r="K6614" i="13"/>
  <c r="H6615" i="13"/>
  <c r="J6615" i="13" s="1"/>
  <c r="K6615" i="13"/>
  <c r="H6616" i="13"/>
  <c r="J6616" i="13" s="1"/>
  <c r="K6616" i="13"/>
  <c r="K6617" i="13"/>
  <c r="H6618" i="13"/>
  <c r="J6618" i="13" s="1"/>
  <c r="K6618" i="13"/>
  <c r="H6619" i="13"/>
  <c r="J6619" i="13" s="1"/>
  <c r="K6619" i="13"/>
  <c r="H6620" i="13"/>
  <c r="J6620" i="13" s="1"/>
  <c r="K6620" i="13"/>
  <c r="H6621" i="13"/>
  <c r="J6621" i="13" s="1"/>
  <c r="K6621" i="13"/>
  <c r="H6622" i="13"/>
  <c r="J6622" i="13" s="1"/>
  <c r="K6622" i="13"/>
  <c r="H6623" i="13"/>
  <c r="J6623" i="13" s="1"/>
  <c r="K6623" i="13"/>
  <c r="H6624" i="13"/>
  <c r="J6624" i="13" s="1"/>
  <c r="K6624" i="13"/>
  <c r="H6625" i="13"/>
  <c r="J6625" i="13" s="1"/>
  <c r="K6625" i="13"/>
  <c r="H6626" i="13"/>
  <c r="J6626" i="13" s="1"/>
  <c r="K6626" i="13"/>
  <c r="H6627" i="13"/>
  <c r="J6627" i="13" s="1"/>
  <c r="K6627" i="13"/>
  <c r="H6628" i="13"/>
  <c r="J6628" i="13" s="1"/>
  <c r="K6628" i="13"/>
  <c r="H6629" i="13"/>
  <c r="J6629" i="13" s="1"/>
  <c r="K6629" i="13"/>
  <c r="H6630" i="13"/>
  <c r="J6630" i="13" s="1"/>
  <c r="K6630" i="13"/>
  <c r="H6631" i="13"/>
  <c r="J6631" i="13" s="1"/>
  <c r="K6631" i="13"/>
  <c r="H6632" i="13"/>
  <c r="J6632" i="13" s="1"/>
  <c r="K6632" i="13"/>
  <c r="H6633" i="13"/>
  <c r="J6633" i="13" s="1"/>
  <c r="K6633" i="13"/>
  <c r="H6634" i="13"/>
  <c r="J6634" i="13" s="1"/>
  <c r="K6634" i="13"/>
  <c r="K6635" i="13"/>
  <c r="H6636" i="13"/>
  <c r="J6636" i="13" s="1"/>
  <c r="K6636" i="13"/>
  <c r="H6637" i="13"/>
  <c r="J6637" i="13" s="1"/>
  <c r="K6637" i="13"/>
  <c r="H6638" i="13"/>
  <c r="J6638" i="13" s="1"/>
  <c r="K6638" i="13"/>
  <c r="H6639" i="13"/>
  <c r="J6639" i="13" s="1"/>
  <c r="K6639" i="13"/>
  <c r="H6640" i="13"/>
  <c r="J6640" i="13" s="1"/>
  <c r="K6640" i="13"/>
  <c r="H6641" i="13"/>
  <c r="J6641" i="13" s="1"/>
  <c r="K6641" i="13"/>
  <c r="H6642" i="13"/>
  <c r="J6642" i="13" s="1"/>
  <c r="K6642" i="13"/>
  <c r="H6643" i="13"/>
  <c r="J6643" i="13" s="1"/>
  <c r="K6643" i="13"/>
  <c r="K6644" i="13"/>
  <c r="H6645" i="13"/>
  <c r="J6645" i="13" s="1"/>
  <c r="K6645" i="13"/>
  <c r="H6646" i="13"/>
  <c r="J6646" i="13" s="1"/>
  <c r="K6646" i="13"/>
  <c r="H6647" i="13"/>
  <c r="J6647" i="13" s="1"/>
  <c r="K6647" i="13"/>
  <c r="H6648" i="13"/>
  <c r="J6648" i="13" s="1"/>
  <c r="K6648" i="13"/>
  <c r="H6649" i="13"/>
  <c r="J6649" i="13" s="1"/>
  <c r="K6649" i="13"/>
  <c r="H6650" i="13"/>
  <c r="J6650" i="13" s="1"/>
  <c r="K6650" i="13"/>
  <c r="H6651" i="13"/>
  <c r="J6651" i="13" s="1"/>
  <c r="K6651" i="13"/>
  <c r="H6652" i="13"/>
  <c r="J6652" i="13" s="1"/>
  <c r="K6652" i="13"/>
  <c r="K6653" i="13"/>
  <c r="H6654" i="13"/>
  <c r="J6654" i="13" s="1"/>
  <c r="K6654" i="13"/>
  <c r="H6655" i="13"/>
  <c r="J6655" i="13" s="1"/>
  <c r="K6655" i="13"/>
  <c r="H6656" i="13"/>
  <c r="J6656" i="13" s="1"/>
  <c r="K6656" i="13"/>
  <c r="H6657" i="13"/>
  <c r="J6657" i="13" s="1"/>
  <c r="K6657" i="13"/>
  <c r="H6658" i="13"/>
  <c r="J6658" i="13" s="1"/>
  <c r="K6658" i="13"/>
  <c r="H6659" i="13"/>
  <c r="J6659" i="13" s="1"/>
  <c r="K6659" i="13"/>
  <c r="H6660" i="13"/>
  <c r="J6660" i="13" s="1"/>
  <c r="K6660" i="13"/>
  <c r="H6661" i="13"/>
  <c r="J6661" i="13" s="1"/>
  <c r="K6661" i="13"/>
  <c r="B871" i="12"/>
  <c r="F871" i="12" s="1"/>
  <c r="H6563" i="13"/>
  <c r="J6563" i="13" s="1"/>
  <c r="K6563" i="13"/>
  <c r="H6564" i="13"/>
  <c r="J6564" i="13" s="1"/>
  <c r="K6564" i="13"/>
  <c r="H6565" i="13"/>
  <c r="J6565" i="13" s="1"/>
  <c r="K6565" i="13"/>
  <c r="H6566" i="13"/>
  <c r="J6566" i="13" s="1"/>
  <c r="K6566" i="13"/>
  <c r="H6567" i="13"/>
  <c r="J6567" i="13" s="1"/>
  <c r="K6567" i="13"/>
  <c r="H6568" i="13"/>
  <c r="J6568" i="13" s="1"/>
  <c r="K6568" i="13"/>
  <c r="H6569" i="13"/>
  <c r="J6569" i="13" s="1"/>
  <c r="K6569" i="13"/>
  <c r="H6570" i="13"/>
  <c r="J6570" i="13" s="1"/>
  <c r="K6570" i="13"/>
  <c r="H6571" i="13"/>
  <c r="J6571" i="13" s="1"/>
  <c r="K6571" i="13"/>
  <c r="K6572" i="13"/>
  <c r="H6573" i="13"/>
  <c r="J6573" i="13" s="1"/>
  <c r="K6573" i="13"/>
  <c r="H6574" i="13"/>
  <c r="J6574" i="13" s="1"/>
  <c r="K6574" i="13"/>
  <c r="H6575" i="13"/>
  <c r="J6575" i="13" s="1"/>
  <c r="K6575" i="13"/>
  <c r="H6576" i="13"/>
  <c r="J6576" i="13" s="1"/>
  <c r="K6576" i="13"/>
  <c r="H6577" i="13"/>
  <c r="J6577" i="13" s="1"/>
  <c r="K6577" i="13"/>
  <c r="H6578" i="13"/>
  <c r="J6578" i="13" s="1"/>
  <c r="K6578" i="13"/>
  <c r="H6579" i="13"/>
  <c r="J6579" i="13" s="1"/>
  <c r="K6579" i="13"/>
  <c r="H6580" i="13"/>
  <c r="J6580" i="13" s="1"/>
  <c r="K6580" i="13"/>
  <c r="K6581" i="13"/>
  <c r="H6582" i="13"/>
  <c r="J6582" i="13" s="1"/>
  <c r="K6582" i="13"/>
  <c r="H6583" i="13"/>
  <c r="J6583" i="13" s="1"/>
  <c r="K6583" i="13"/>
  <c r="H6584" i="13"/>
  <c r="J6584" i="13" s="1"/>
  <c r="K6584" i="13"/>
  <c r="H6585" i="13"/>
  <c r="J6585" i="13" s="1"/>
  <c r="K6585" i="13"/>
  <c r="H6586" i="13"/>
  <c r="J6586" i="13" s="1"/>
  <c r="K6586" i="13"/>
  <c r="H6587" i="13"/>
  <c r="J6587" i="13" s="1"/>
  <c r="K6587" i="13"/>
  <c r="H6588" i="13"/>
  <c r="J6588" i="13" s="1"/>
  <c r="K6588" i="13"/>
  <c r="H6589" i="13"/>
  <c r="J6589" i="13" s="1"/>
  <c r="K6589" i="13"/>
  <c r="H6590" i="13"/>
  <c r="J6590" i="13" s="1"/>
  <c r="K6590" i="13"/>
  <c r="H6591" i="13"/>
  <c r="J6591" i="13" s="1"/>
  <c r="K6591" i="13"/>
  <c r="H6592" i="13"/>
  <c r="J6592" i="13" s="1"/>
  <c r="K6592" i="13"/>
  <c r="H6593" i="13"/>
  <c r="J6593" i="13" s="1"/>
  <c r="K6593" i="13"/>
  <c r="H6594" i="13"/>
  <c r="J6594" i="13" s="1"/>
  <c r="K6594" i="13"/>
  <c r="H6595" i="13"/>
  <c r="J6595" i="13" s="1"/>
  <c r="K6595" i="13"/>
  <c r="H6596" i="13"/>
  <c r="J6596" i="13" s="1"/>
  <c r="K6596" i="13"/>
  <c r="H6597" i="13"/>
  <c r="J6597" i="13" s="1"/>
  <c r="K6597" i="13"/>
  <c r="H6598" i="13"/>
  <c r="J6598" i="13" s="1"/>
  <c r="K6598" i="13"/>
  <c r="K2432" i="13"/>
  <c r="H2433" i="13"/>
  <c r="J2433" i="13" s="1"/>
  <c r="K2433" i="13"/>
  <c r="H2434" i="13"/>
  <c r="J2434" i="13" s="1"/>
  <c r="K2434" i="13"/>
  <c r="H2435" i="13"/>
  <c r="J2435" i="13" s="1"/>
  <c r="K2435" i="13"/>
  <c r="H2436" i="13"/>
  <c r="J2436" i="13" s="1"/>
  <c r="K2436" i="13"/>
  <c r="H2437" i="13"/>
  <c r="J2437" i="13" s="1"/>
  <c r="K2437" i="13"/>
  <c r="H2438" i="13"/>
  <c r="J2438" i="13" s="1"/>
  <c r="K2438" i="13"/>
  <c r="H2439" i="13"/>
  <c r="J2439" i="13" s="1"/>
  <c r="K2439" i="13"/>
  <c r="H2440" i="13"/>
  <c r="J2440" i="13" s="1"/>
  <c r="K2440" i="13"/>
  <c r="K2441" i="13"/>
  <c r="H2442" i="13"/>
  <c r="J2442" i="13" s="1"/>
  <c r="K2442" i="13"/>
  <c r="H2443" i="13"/>
  <c r="J2443" i="13" s="1"/>
  <c r="K2443" i="13"/>
  <c r="H2444" i="13"/>
  <c r="J2444" i="13" s="1"/>
  <c r="K2444" i="13"/>
  <c r="H2445" i="13"/>
  <c r="J2445" i="13" s="1"/>
  <c r="K2445" i="13"/>
  <c r="H2446" i="13"/>
  <c r="J2446" i="13" s="1"/>
  <c r="K2446" i="13"/>
  <c r="H2447" i="13"/>
  <c r="J2447" i="13" s="1"/>
  <c r="K2447" i="13"/>
  <c r="H2448" i="13"/>
  <c r="J2448" i="13" s="1"/>
  <c r="K2448" i="13"/>
  <c r="H2449" i="13"/>
  <c r="J2449" i="13" s="1"/>
  <c r="K2449" i="13"/>
  <c r="K2450" i="13"/>
  <c r="H2451" i="13"/>
  <c r="J2451" i="13" s="1"/>
  <c r="K2451" i="13"/>
  <c r="H2452" i="13"/>
  <c r="J2452" i="13" s="1"/>
  <c r="K2452" i="13"/>
  <c r="H2453" i="13"/>
  <c r="J2453" i="13" s="1"/>
  <c r="K2453" i="13"/>
  <c r="H2454" i="13"/>
  <c r="J2454" i="13" s="1"/>
  <c r="K2454" i="13"/>
  <c r="H2455" i="13"/>
  <c r="J2455" i="13" s="1"/>
  <c r="K2455" i="13"/>
  <c r="H2456" i="13"/>
  <c r="J2456" i="13" s="1"/>
  <c r="K2456" i="13"/>
  <c r="H2457" i="13"/>
  <c r="J2457" i="13" s="1"/>
  <c r="K2457" i="13"/>
  <c r="H2458" i="13"/>
  <c r="J2458" i="13" s="1"/>
  <c r="K2458" i="13"/>
  <c r="H2459" i="13"/>
  <c r="J2459" i="13" s="1"/>
  <c r="K2459" i="13"/>
  <c r="H2460" i="13"/>
  <c r="J2460" i="13" s="1"/>
  <c r="K2460" i="13"/>
  <c r="H2461" i="13"/>
  <c r="J2461" i="13" s="1"/>
  <c r="K2461" i="13"/>
  <c r="H2462" i="13"/>
  <c r="J2462" i="13" s="1"/>
  <c r="K2462" i="13"/>
  <c r="H2463" i="13"/>
  <c r="J2463" i="13" s="1"/>
  <c r="K2463" i="13"/>
  <c r="H2464" i="13"/>
  <c r="J2464" i="13" s="1"/>
  <c r="K2464" i="13"/>
  <c r="H2465" i="13"/>
  <c r="J2465" i="13" s="1"/>
  <c r="K2465" i="13"/>
  <c r="H2466" i="13"/>
  <c r="J2466" i="13" s="1"/>
  <c r="K2466" i="13"/>
  <c r="H2467" i="13"/>
  <c r="J2467" i="13" s="1"/>
  <c r="K2467" i="13"/>
  <c r="K2468" i="13"/>
  <c r="H2469" i="13"/>
  <c r="J2469" i="13" s="1"/>
  <c r="K2469" i="13"/>
  <c r="H2470" i="13"/>
  <c r="J2470" i="13" s="1"/>
  <c r="K2470" i="13"/>
  <c r="H2471" i="13"/>
  <c r="J2471" i="13" s="1"/>
  <c r="K2471" i="13"/>
  <c r="H2472" i="13"/>
  <c r="J2472" i="13" s="1"/>
  <c r="K2472" i="13"/>
  <c r="H2473" i="13"/>
  <c r="J2473" i="13" s="1"/>
  <c r="K2473" i="13"/>
  <c r="H2474" i="13"/>
  <c r="J2474" i="13" s="1"/>
  <c r="K2474" i="13"/>
  <c r="H2475" i="13"/>
  <c r="J2475" i="13" s="1"/>
  <c r="K2475" i="13"/>
  <c r="H2476" i="13"/>
  <c r="J2476" i="13" s="1"/>
  <c r="K2476" i="13"/>
  <c r="H2477" i="13"/>
  <c r="J2477" i="13" s="1"/>
  <c r="K2477" i="13"/>
  <c r="H2478" i="13"/>
  <c r="J2478" i="13" s="1"/>
  <c r="K2478" i="13"/>
  <c r="H2479" i="13"/>
  <c r="J2479" i="13" s="1"/>
  <c r="K2479" i="13"/>
  <c r="H2480" i="13"/>
  <c r="J2480" i="13" s="1"/>
  <c r="K2480" i="13"/>
  <c r="H2481" i="13"/>
  <c r="J2481" i="13" s="1"/>
  <c r="K2481" i="13"/>
  <c r="H2482" i="13"/>
  <c r="J2482" i="13" s="1"/>
  <c r="K2482" i="13"/>
  <c r="H2483" i="13"/>
  <c r="J2483" i="13" s="1"/>
  <c r="K2483" i="13"/>
  <c r="H2484" i="13"/>
  <c r="J2484" i="13" s="1"/>
  <c r="K2484" i="13"/>
  <c r="H2485" i="13"/>
  <c r="J2485" i="13" s="1"/>
  <c r="K2485" i="13"/>
  <c r="H2486" i="13"/>
  <c r="J2486" i="13" s="1"/>
  <c r="K2486" i="13"/>
  <c r="H2487" i="13"/>
  <c r="J2487" i="13" s="1"/>
  <c r="K2487" i="13"/>
  <c r="H2488" i="13"/>
  <c r="J2488" i="13" s="1"/>
  <c r="K2488" i="13"/>
  <c r="H2489" i="13"/>
  <c r="J2489" i="13" s="1"/>
  <c r="K2489" i="13"/>
  <c r="H2490" i="13"/>
  <c r="J2490" i="13" s="1"/>
  <c r="K2490" i="13"/>
  <c r="H2491" i="13"/>
  <c r="J2491" i="13" s="1"/>
  <c r="K2491" i="13"/>
  <c r="H2492" i="13"/>
  <c r="J2492" i="13" s="1"/>
  <c r="K2492" i="13"/>
  <c r="H2493" i="13"/>
  <c r="J2493" i="13" s="1"/>
  <c r="K2493" i="13"/>
  <c r="H2494" i="13"/>
  <c r="J2494" i="13" s="1"/>
  <c r="K2494" i="13"/>
  <c r="H2495" i="13"/>
  <c r="J2495" i="13" s="1"/>
  <c r="K2495" i="13"/>
  <c r="H2496" i="13"/>
  <c r="J2496" i="13" s="1"/>
  <c r="K2496" i="13"/>
  <c r="H2497" i="13"/>
  <c r="J2497" i="13" s="1"/>
  <c r="K2497" i="13"/>
  <c r="H2498" i="13"/>
  <c r="J2498" i="13" s="1"/>
  <c r="K2498" i="13"/>
  <c r="H2499" i="13"/>
  <c r="J2499" i="13" s="1"/>
  <c r="K2499" i="13"/>
  <c r="H2500" i="13"/>
  <c r="J2500" i="13" s="1"/>
  <c r="K2500" i="13"/>
  <c r="H2501" i="13"/>
  <c r="J2501" i="13" s="1"/>
  <c r="K2501" i="13"/>
  <c r="H2502" i="13"/>
  <c r="J2502" i="13" s="1"/>
  <c r="K2502" i="13"/>
  <c r="H2503" i="13"/>
  <c r="J2503" i="13" s="1"/>
  <c r="K2503" i="13"/>
  <c r="H2504" i="13"/>
  <c r="J2504" i="13" s="1"/>
  <c r="K2504" i="13"/>
  <c r="H2505" i="13"/>
  <c r="J2505" i="13" s="1"/>
  <c r="K2505" i="13"/>
  <c r="H2506" i="13"/>
  <c r="J2506" i="13" s="1"/>
  <c r="K2506" i="13"/>
  <c r="H2507" i="13"/>
  <c r="J2507" i="13" s="1"/>
  <c r="K2507" i="13"/>
  <c r="H2508" i="13"/>
  <c r="J2508" i="13" s="1"/>
  <c r="K2508" i="13"/>
  <c r="H2509" i="13"/>
  <c r="J2509" i="13" s="1"/>
  <c r="K2509" i="13"/>
  <c r="H2510" i="13"/>
  <c r="J2510" i="13" s="1"/>
  <c r="K2510" i="13"/>
  <c r="H2511" i="13"/>
  <c r="J2511" i="13" s="1"/>
  <c r="K2511" i="13"/>
  <c r="H2512" i="13"/>
  <c r="J2512" i="13" s="1"/>
  <c r="K2512" i="13"/>
  <c r="K2513" i="13"/>
  <c r="H2514" i="13"/>
  <c r="J2514" i="13" s="1"/>
  <c r="K2514" i="13"/>
  <c r="H2515" i="13"/>
  <c r="J2515" i="13" s="1"/>
  <c r="K2515" i="13"/>
  <c r="H2516" i="13"/>
  <c r="J2516" i="13" s="1"/>
  <c r="K2516" i="13"/>
  <c r="H2517" i="13"/>
  <c r="J2517" i="13" s="1"/>
  <c r="K2517" i="13"/>
  <c r="H2518" i="13"/>
  <c r="J2518" i="13" s="1"/>
  <c r="K2518" i="13"/>
  <c r="H2519" i="13"/>
  <c r="J2519" i="13" s="1"/>
  <c r="K2519" i="13"/>
  <c r="H2520" i="13"/>
  <c r="J2520" i="13" s="1"/>
  <c r="K2520" i="13"/>
  <c r="H2521" i="13"/>
  <c r="J2521" i="13" s="1"/>
  <c r="K2521" i="13"/>
  <c r="K6509" i="13"/>
  <c r="H6510" i="13"/>
  <c r="J6510" i="13" s="1"/>
  <c r="K6510" i="13"/>
  <c r="H6511" i="13"/>
  <c r="J6511" i="13" s="1"/>
  <c r="K6511" i="13"/>
  <c r="H6512" i="13"/>
  <c r="J6512" i="13" s="1"/>
  <c r="K6512" i="13"/>
  <c r="H6513" i="13"/>
  <c r="J6513" i="13" s="1"/>
  <c r="K6513" i="13"/>
  <c r="H6514" i="13"/>
  <c r="J6514" i="13" s="1"/>
  <c r="K6514" i="13"/>
  <c r="H6515" i="13"/>
  <c r="J6515" i="13" s="1"/>
  <c r="K6515" i="13"/>
  <c r="H6516" i="13"/>
  <c r="J6516" i="13" s="1"/>
  <c r="K6516" i="13"/>
  <c r="H6517" i="13"/>
  <c r="J6517" i="13" s="1"/>
  <c r="K6517" i="13"/>
  <c r="K6518" i="13"/>
  <c r="H6519" i="13"/>
  <c r="J6519" i="13" s="1"/>
  <c r="K6519" i="13"/>
  <c r="H6520" i="13"/>
  <c r="J6520" i="13" s="1"/>
  <c r="K6520" i="13"/>
  <c r="H6521" i="13"/>
  <c r="J6521" i="13" s="1"/>
  <c r="K6521" i="13"/>
  <c r="H6522" i="13"/>
  <c r="J6522" i="13" s="1"/>
  <c r="K6522" i="13"/>
  <c r="H6523" i="13"/>
  <c r="J6523" i="13" s="1"/>
  <c r="K6523" i="13"/>
  <c r="H6524" i="13"/>
  <c r="J6524" i="13" s="1"/>
  <c r="K6524" i="13"/>
  <c r="H6525" i="13"/>
  <c r="J6525" i="13" s="1"/>
  <c r="K6525" i="13"/>
  <c r="H6526" i="13"/>
  <c r="J6526" i="13" s="1"/>
  <c r="K6526" i="13"/>
  <c r="H6527" i="13"/>
  <c r="J6527" i="13" s="1"/>
  <c r="K6527" i="13"/>
  <c r="H6528" i="13"/>
  <c r="J6528" i="13" s="1"/>
  <c r="K6528" i="13"/>
  <c r="H6529" i="13"/>
  <c r="J6529" i="13" s="1"/>
  <c r="K6529" i="13"/>
  <c r="H6530" i="13"/>
  <c r="J6530" i="13" s="1"/>
  <c r="K6530" i="13"/>
  <c r="H6531" i="13"/>
  <c r="J6531" i="13" s="1"/>
  <c r="K6531" i="13"/>
  <c r="H6532" i="13"/>
  <c r="J6532" i="13" s="1"/>
  <c r="K6532" i="13"/>
  <c r="H6533" i="13"/>
  <c r="J6533" i="13" s="1"/>
  <c r="K6533" i="13"/>
  <c r="H6534" i="13"/>
  <c r="J6534" i="13" s="1"/>
  <c r="K6534" i="13"/>
  <c r="H6535" i="13"/>
  <c r="J6535" i="13" s="1"/>
  <c r="K6535" i="13"/>
  <c r="K6536" i="13"/>
  <c r="H6537" i="13"/>
  <c r="J6537" i="13" s="1"/>
  <c r="K6537" i="13"/>
  <c r="H6538" i="13"/>
  <c r="J6538" i="13" s="1"/>
  <c r="K6538" i="13"/>
  <c r="H6539" i="13"/>
  <c r="J6539" i="13" s="1"/>
  <c r="K6539" i="13"/>
  <c r="H6540" i="13"/>
  <c r="J6540" i="13" s="1"/>
  <c r="K6540" i="13"/>
  <c r="H6541" i="13"/>
  <c r="J6541" i="13" s="1"/>
  <c r="K6541" i="13"/>
  <c r="H6542" i="13"/>
  <c r="J6542" i="13" s="1"/>
  <c r="K6542" i="13"/>
  <c r="H6543" i="13"/>
  <c r="J6543" i="13" s="1"/>
  <c r="K6543" i="13"/>
  <c r="H6544" i="13"/>
  <c r="J6544" i="13" s="1"/>
  <c r="K6544" i="13"/>
  <c r="H6545" i="13"/>
  <c r="J6545" i="13" s="1"/>
  <c r="K6545" i="13"/>
  <c r="H6546" i="13"/>
  <c r="J6546" i="13" s="1"/>
  <c r="K6546" i="13"/>
  <c r="H6547" i="13"/>
  <c r="J6547" i="13" s="1"/>
  <c r="K6547" i="13"/>
  <c r="H6548" i="13"/>
  <c r="J6548" i="13" s="1"/>
  <c r="K6548" i="13"/>
  <c r="H6549" i="13"/>
  <c r="J6549" i="13" s="1"/>
  <c r="K6549" i="13"/>
  <c r="H6550" i="13"/>
  <c r="J6550" i="13" s="1"/>
  <c r="K6550" i="13"/>
  <c r="H6551" i="13"/>
  <c r="J6551" i="13" s="1"/>
  <c r="K6551" i="13"/>
  <c r="H6552" i="13"/>
  <c r="J6552" i="13" s="1"/>
  <c r="K6552" i="13"/>
  <c r="H6553" i="13"/>
  <c r="J6553" i="13" s="1"/>
  <c r="K6553" i="13"/>
  <c r="H6554" i="13"/>
  <c r="J6554" i="13" s="1"/>
  <c r="K6554" i="13"/>
  <c r="H6555" i="13"/>
  <c r="J6555" i="13" s="1"/>
  <c r="K6555" i="13"/>
  <c r="H6556" i="13"/>
  <c r="J6556" i="13" s="1"/>
  <c r="K6556" i="13"/>
  <c r="H6557" i="13"/>
  <c r="J6557" i="13" s="1"/>
  <c r="K6557" i="13"/>
  <c r="H6558" i="13"/>
  <c r="J6558" i="13" s="1"/>
  <c r="K6558" i="13"/>
  <c r="H6559" i="13"/>
  <c r="J6559" i="13" s="1"/>
  <c r="K6559" i="13"/>
  <c r="H6560" i="13"/>
  <c r="J6560" i="13" s="1"/>
  <c r="K6560" i="13"/>
  <c r="H6561" i="13"/>
  <c r="J6561" i="13" s="1"/>
  <c r="K6561" i="13"/>
  <c r="H6562" i="13"/>
  <c r="J6562" i="13" s="1"/>
  <c r="K6562" i="13"/>
  <c r="H4754" i="13"/>
  <c r="J4754" i="13" s="1"/>
  <c r="K4754" i="13"/>
  <c r="H4755" i="13"/>
  <c r="J4755" i="13" s="1"/>
  <c r="K4755" i="13"/>
  <c r="H4756" i="13"/>
  <c r="J4756" i="13" s="1"/>
  <c r="K4756" i="13"/>
  <c r="H4757" i="13"/>
  <c r="J4757" i="13" s="1"/>
  <c r="K4757" i="13"/>
  <c r="H4758" i="13"/>
  <c r="J4758" i="13" s="1"/>
  <c r="K4758" i="13"/>
  <c r="H4759" i="13"/>
  <c r="J4759" i="13" s="1"/>
  <c r="K4759" i="13"/>
  <c r="H4760" i="13"/>
  <c r="J4760" i="13" s="1"/>
  <c r="K4760" i="13"/>
  <c r="H4761" i="13"/>
  <c r="J4761" i="13" s="1"/>
  <c r="K4761" i="13"/>
  <c r="H4762" i="13"/>
  <c r="J4762" i="13" s="1"/>
  <c r="K4762" i="13"/>
  <c r="H4745" i="13"/>
  <c r="J4745" i="13" s="1"/>
  <c r="K4745" i="13"/>
  <c r="H4746" i="13"/>
  <c r="J4746" i="13" s="1"/>
  <c r="K4746" i="13"/>
  <c r="H4747" i="13"/>
  <c r="J4747" i="13" s="1"/>
  <c r="K4747" i="13"/>
  <c r="H4748" i="13"/>
  <c r="J4748" i="13" s="1"/>
  <c r="K4748" i="13"/>
  <c r="H4749" i="13"/>
  <c r="J4749" i="13" s="1"/>
  <c r="K4749" i="13"/>
  <c r="H4750" i="13"/>
  <c r="J4750" i="13" s="1"/>
  <c r="K4750" i="13"/>
  <c r="H4751" i="13"/>
  <c r="J4751" i="13" s="1"/>
  <c r="K4751" i="13"/>
  <c r="H4752" i="13"/>
  <c r="J4752" i="13" s="1"/>
  <c r="K4752" i="13"/>
  <c r="H4753" i="13"/>
  <c r="J4753" i="13" s="1"/>
  <c r="K4753" i="13"/>
  <c r="K2414" i="13"/>
  <c r="H2415" i="13"/>
  <c r="J2415" i="13" s="1"/>
  <c r="K2415" i="13"/>
  <c r="H2416" i="13"/>
  <c r="J2416" i="13" s="1"/>
  <c r="K2416" i="13"/>
  <c r="H2417" i="13"/>
  <c r="J2417" i="13" s="1"/>
  <c r="K2417" i="13"/>
  <c r="H2418" i="13"/>
  <c r="J2418" i="13" s="1"/>
  <c r="K2418" i="13"/>
  <c r="H2419" i="13"/>
  <c r="J2419" i="13" s="1"/>
  <c r="K2419" i="13"/>
  <c r="H2420" i="13"/>
  <c r="J2420" i="13" s="1"/>
  <c r="K2420" i="13"/>
  <c r="H2421" i="13"/>
  <c r="J2421" i="13" s="1"/>
  <c r="K2421" i="13"/>
  <c r="H2422" i="13"/>
  <c r="J2422" i="13" s="1"/>
  <c r="K2422" i="13"/>
  <c r="K2423" i="13"/>
  <c r="H2424" i="13"/>
  <c r="J2424" i="13" s="1"/>
  <c r="K2424" i="13"/>
  <c r="H2425" i="13"/>
  <c r="J2425" i="13" s="1"/>
  <c r="K2425" i="13"/>
  <c r="H2426" i="13"/>
  <c r="J2426" i="13" s="1"/>
  <c r="K2426" i="13"/>
  <c r="H2427" i="13"/>
  <c r="J2427" i="13" s="1"/>
  <c r="K2427" i="13"/>
  <c r="H2428" i="13"/>
  <c r="J2428" i="13" s="1"/>
  <c r="K2428" i="13"/>
  <c r="H2429" i="13"/>
  <c r="J2429" i="13" s="1"/>
  <c r="K2429" i="13"/>
  <c r="H2430" i="13"/>
  <c r="J2430" i="13" s="1"/>
  <c r="K2430" i="13"/>
  <c r="H2431" i="13"/>
  <c r="J2431" i="13" s="1"/>
  <c r="K2431" i="13"/>
  <c r="K6455" i="13"/>
  <c r="H6456" i="13"/>
  <c r="J6456" i="13" s="1"/>
  <c r="K6456" i="13"/>
  <c r="H6457" i="13"/>
  <c r="J6457" i="13" s="1"/>
  <c r="K6457" i="13"/>
  <c r="H6458" i="13"/>
  <c r="J6458" i="13" s="1"/>
  <c r="K6458" i="13"/>
  <c r="H6459" i="13"/>
  <c r="J6459" i="13" s="1"/>
  <c r="K6459" i="13"/>
  <c r="H6460" i="13"/>
  <c r="J6460" i="13" s="1"/>
  <c r="K6460" i="13"/>
  <c r="H6461" i="13"/>
  <c r="J6461" i="13" s="1"/>
  <c r="K6461" i="13"/>
  <c r="H6462" i="13"/>
  <c r="J6462" i="13" s="1"/>
  <c r="K6462" i="13"/>
  <c r="H6463" i="13"/>
  <c r="J6463" i="13" s="1"/>
  <c r="K6463" i="13"/>
  <c r="H6464" i="13"/>
  <c r="J6464" i="13" s="1"/>
  <c r="K6464" i="13"/>
  <c r="H6465" i="13"/>
  <c r="J6465" i="13" s="1"/>
  <c r="K6465" i="13"/>
  <c r="H6466" i="13"/>
  <c r="J6466" i="13" s="1"/>
  <c r="K6466" i="13"/>
  <c r="H6467" i="13"/>
  <c r="J6467" i="13" s="1"/>
  <c r="K6467" i="13"/>
  <c r="H6468" i="13"/>
  <c r="J6468" i="13" s="1"/>
  <c r="K6468" i="13"/>
  <c r="H6469" i="13"/>
  <c r="J6469" i="13" s="1"/>
  <c r="K6469" i="13"/>
  <c r="H6470" i="13"/>
  <c r="J6470" i="13" s="1"/>
  <c r="K6470" i="13"/>
  <c r="H6471" i="13"/>
  <c r="J6471" i="13" s="1"/>
  <c r="K6471" i="13"/>
  <c r="H6472" i="13"/>
  <c r="J6472" i="13" s="1"/>
  <c r="K6472" i="13"/>
  <c r="K6473" i="13"/>
  <c r="H6474" i="13"/>
  <c r="J6474" i="13" s="1"/>
  <c r="K6474" i="13"/>
  <c r="H6475" i="13"/>
  <c r="J6475" i="13" s="1"/>
  <c r="K6475" i="13"/>
  <c r="H6476" i="13"/>
  <c r="J6476" i="13" s="1"/>
  <c r="K6476" i="13"/>
  <c r="H6477" i="13"/>
  <c r="J6477" i="13" s="1"/>
  <c r="K6477" i="13"/>
  <c r="H6478" i="13"/>
  <c r="J6478" i="13" s="1"/>
  <c r="K6478" i="13"/>
  <c r="H6479" i="13"/>
  <c r="J6479" i="13" s="1"/>
  <c r="K6479" i="13"/>
  <c r="H6480" i="13"/>
  <c r="J6480" i="13" s="1"/>
  <c r="K6480" i="13"/>
  <c r="H6481" i="13"/>
  <c r="J6481" i="13" s="1"/>
  <c r="K6481" i="13"/>
  <c r="K6482" i="13"/>
  <c r="H6483" i="13"/>
  <c r="J6483" i="13" s="1"/>
  <c r="K6483" i="13"/>
  <c r="H6484" i="13"/>
  <c r="J6484" i="13" s="1"/>
  <c r="K6484" i="13"/>
  <c r="H6485" i="13"/>
  <c r="J6485" i="13" s="1"/>
  <c r="K6485" i="13"/>
  <c r="H6486" i="13"/>
  <c r="J6486" i="13" s="1"/>
  <c r="K6486" i="13"/>
  <c r="H6487" i="13"/>
  <c r="J6487" i="13" s="1"/>
  <c r="K6487" i="13"/>
  <c r="H6488" i="13"/>
  <c r="J6488" i="13" s="1"/>
  <c r="K6488" i="13"/>
  <c r="H6489" i="13"/>
  <c r="J6489" i="13" s="1"/>
  <c r="K6489" i="13"/>
  <c r="H6490" i="13"/>
  <c r="J6490" i="13" s="1"/>
  <c r="K6490" i="13"/>
  <c r="K6491" i="13"/>
  <c r="H6492" i="13"/>
  <c r="J6492" i="13" s="1"/>
  <c r="K6492" i="13"/>
  <c r="H6493" i="13"/>
  <c r="J6493" i="13" s="1"/>
  <c r="K6493" i="13"/>
  <c r="H6494" i="13"/>
  <c r="J6494" i="13" s="1"/>
  <c r="K6494" i="13"/>
  <c r="H6495" i="13"/>
  <c r="J6495" i="13" s="1"/>
  <c r="K6495" i="13"/>
  <c r="H6496" i="13"/>
  <c r="J6496" i="13" s="1"/>
  <c r="K6496" i="13"/>
  <c r="H6497" i="13"/>
  <c r="J6497" i="13" s="1"/>
  <c r="K6497" i="13"/>
  <c r="H6498" i="13"/>
  <c r="J6498" i="13" s="1"/>
  <c r="K6498" i="13"/>
  <c r="H6499" i="13"/>
  <c r="J6499" i="13" s="1"/>
  <c r="K6499" i="13"/>
  <c r="K6500" i="13"/>
  <c r="H6501" i="13"/>
  <c r="J6501" i="13" s="1"/>
  <c r="K6501" i="13"/>
  <c r="H6502" i="13"/>
  <c r="J6502" i="13" s="1"/>
  <c r="K6502" i="13"/>
  <c r="H6503" i="13"/>
  <c r="J6503" i="13" s="1"/>
  <c r="K6503" i="13"/>
  <c r="H6504" i="13"/>
  <c r="J6504" i="13" s="1"/>
  <c r="K6504" i="13"/>
  <c r="H6505" i="13"/>
  <c r="J6505" i="13" s="1"/>
  <c r="K6505" i="13"/>
  <c r="H6506" i="13"/>
  <c r="J6506" i="13" s="1"/>
  <c r="K6506" i="13"/>
  <c r="H6507" i="13"/>
  <c r="J6507" i="13" s="1"/>
  <c r="K6507" i="13"/>
  <c r="H6508" i="13"/>
  <c r="J6508" i="13" s="1"/>
  <c r="K6508" i="13"/>
  <c r="K3935" i="13"/>
  <c r="H3936" i="13"/>
  <c r="J3936" i="13" s="1"/>
  <c r="K3936" i="13"/>
  <c r="H3937" i="13"/>
  <c r="J3937" i="13" s="1"/>
  <c r="K3937" i="13"/>
  <c r="H3938" i="13"/>
  <c r="J3938" i="13" s="1"/>
  <c r="K3938" i="13"/>
  <c r="H3939" i="13"/>
  <c r="J3939" i="13" s="1"/>
  <c r="K3939" i="13"/>
  <c r="H3940" i="13"/>
  <c r="J3940" i="13" s="1"/>
  <c r="K3940" i="13"/>
  <c r="H3941" i="13"/>
  <c r="J3941" i="13" s="1"/>
  <c r="K3941" i="13"/>
  <c r="H3942" i="13"/>
  <c r="J3942" i="13" s="1"/>
  <c r="K3942" i="13"/>
  <c r="H3943" i="13"/>
  <c r="J3943" i="13" s="1"/>
  <c r="K3943" i="13"/>
  <c r="K3944" i="13"/>
  <c r="H3945" i="13"/>
  <c r="J3945" i="13" s="1"/>
  <c r="K3945" i="13"/>
  <c r="H3946" i="13"/>
  <c r="J3946" i="13" s="1"/>
  <c r="K3946" i="13"/>
  <c r="H3947" i="13"/>
  <c r="J3947" i="13" s="1"/>
  <c r="K3947" i="13"/>
  <c r="H3948" i="13"/>
  <c r="J3948" i="13" s="1"/>
  <c r="K3948" i="13"/>
  <c r="H3949" i="13"/>
  <c r="J3949" i="13" s="1"/>
  <c r="K3949" i="13"/>
  <c r="H3950" i="13"/>
  <c r="J3950" i="13" s="1"/>
  <c r="K3950" i="13"/>
  <c r="H3951" i="13"/>
  <c r="J3951" i="13" s="1"/>
  <c r="K3951" i="13"/>
  <c r="H3952" i="13"/>
  <c r="J3952" i="13" s="1"/>
  <c r="K3952" i="13"/>
  <c r="K3953" i="13"/>
  <c r="H3954" i="13"/>
  <c r="J3954" i="13" s="1"/>
  <c r="K3954" i="13"/>
  <c r="H3955" i="13"/>
  <c r="J3955" i="13" s="1"/>
  <c r="K3955" i="13"/>
  <c r="H3956" i="13"/>
  <c r="J3956" i="13" s="1"/>
  <c r="K3956" i="13"/>
  <c r="H3957" i="13"/>
  <c r="J3957" i="13" s="1"/>
  <c r="K3957" i="13"/>
  <c r="H3958" i="13"/>
  <c r="J3958" i="13" s="1"/>
  <c r="K3958" i="13"/>
  <c r="H3959" i="13"/>
  <c r="J3959" i="13" s="1"/>
  <c r="K3959" i="13"/>
  <c r="H3960" i="13"/>
  <c r="J3960" i="13" s="1"/>
  <c r="K3960" i="13"/>
  <c r="H3961" i="13"/>
  <c r="J3961" i="13" s="1"/>
  <c r="K3961" i="13"/>
  <c r="V696" i="12" l="1"/>
  <c r="I696" i="12"/>
  <c r="H6509" i="13"/>
  <c r="J6509" i="13" s="1"/>
  <c r="H6536" i="13"/>
  <c r="J6536" i="13" s="1"/>
  <c r="H6581" i="13"/>
  <c r="J6581" i="13" s="1"/>
  <c r="H3485" i="13"/>
  <c r="J3485" i="13" s="1"/>
  <c r="H2513" i="13"/>
  <c r="J2513" i="13" s="1"/>
  <c r="H6500" i="13"/>
  <c r="J6500" i="13" s="1"/>
  <c r="H6473" i="13"/>
  <c r="J6473" i="13" s="1"/>
  <c r="H6572" i="13"/>
  <c r="J6572" i="13" s="1"/>
  <c r="H6653" i="13"/>
  <c r="J6653" i="13" s="1"/>
  <c r="H6617" i="13"/>
  <c r="J6617" i="13" s="1"/>
  <c r="H6518" i="13"/>
  <c r="J6518" i="13" s="1"/>
  <c r="H6491" i="13"/>
  <c r="J6491" i="13" s="1"/>
  <c r="H6455" i="13"/>
  <c r="J6455" i="13" s="1"/>
  <c r="H6644" i="13"/>
  <c r="J6644" i="13" s="1"/>
  <c r="H6482" i="13"/>
  <c r="J6482" i="13" s="1"/>
  <c r="H6635" i="13"/>
  <c r="J6635" i="13" s="1"/>
  <c r="H3521" i="13"/>
  <c r="J3521" i="13" s="1"/>
  <c r="H2549" i="13"/>
  <c r="J2549" i="13" s="1"/>
  <c r="H2441" i="13"/>
  <c r="J2441" i="13" s="1"/>
  <c r="H3548" i="13"/>
  <c r="J3548" i="13" s="1"/>
  <c r="H2468" i="13"/>
  <c r="J2468" i="13" s="1"/>
  <c r="H2522" i="13"/>
  <c r="J2522" i="13" s="1"/>
  <c r="H3503" i="13"/>
  <c r="J3503" i="13" s="1"/>
  <c r="H3530" i="13"/>
  <c r="J3530" i="13" s="1"/>
  <c r="H3494" i="13"/>
  <c r="J3494" i="13" s="1"/>
  <c r="H3539" i="13"/>
  <c r="J3539" i="13" s="1"/>
  <c r="H2432" i="13"/>
  <c r="J2432" i="13" s="1"/>
  <c r="H2423" i="13"/>
  <c r="J2423" i="13" s="1"/>
  <c r="H2540" i="13"/>
  <c r="J2540" i="13" s="1"/>
  <c r="H2414" i="13"/>
  <c r="J2414" i="13" s="1"/>
  <c r="H2450" i="13"/>
  <c r="J2450" i="13" s="1"/>
  <c r="H2531" i="13"/>
  <c r="J2531" i="13" s="1"/>
  <c r="F691" i="12"/>
  <c r="Q691" i="12"/>
  <c r="B857" i="12"/>
  <c r="V857" i="12" s="1"/>
  <c r="V693" i="12"/>
  <c r="G693" i="12"/>
  <c r="V887" i="12"/>
  <c r="F887" i="12"/>
  <c r="D883" i="12"/>
  <c r="Q883" i="12"/>
  <c r="Q880" i="12"/>
  <c r="K880" i="12"/>
  <c r="D888" i="12"/>
  <c r="V888" i="12"/>
  <c r="Q889" i="12"/>
  <c r="D889" i="12"/>
  <c r="Q699" i="12"/>
  <c r="V699" i="12"/>
  <c r="B308" i="12"/>
  <c r="V308" i="12" s="1"/>
  <c r="V690" i="12"/>
  <c r="F690" i="12"/>
  <c r="V687" i="12"/>
  <c r="V689" i="12"/>
  <c r="Q689" i="12"/>
  <c r="D689" i="12"/>
  <c r="E687" i="12"/>
  <c r="B309" i="12"/>
  <c r="V309" i="12" s="1"/>
  <c r="Q688" i="12"/>
  <c r="D688" i="12"/>
  <c r="V295" i="12"/>
  <c r="V294" i="12"/>
  <c r="Q294" i="12"/>
  <c r="V649" i="12"/>
  <c r="E649" i="12"/>
  <c r="V644" i="12"/>
  <c r="Q644" i="12"/>
  <c r="F644" i="12"/>
  <c r="F698" i="12"/>
  <c r="B307" i="12"/>
  <c r="D307" i="12" s="1"/>
  <c r="V698" i="12"/>
  <c r="F697" i="12"/>
  <c r="B287" i="12"/>
  <c r="R287" i="12" s="1"/>
  <c r="V697" i="12"/>
  <c r="V1066" i="12"/>
  <c r="F1072" i="12"/>
  <c r="Q884" i="12"/>
  <c r="D884" i="12"/>
  <c r="F886" i="12"/>
  <c r="Q886" i="12"/>
  <c r="V886" i="12"/>
  <c r="E479" i="12"/>
  <c r="B303" i="12"/>
  <c r="Q303" i="12" s="1"/>
  <c r="V479" i="12"/>
  <c r="D479" i="12"/>
  <c r="B286" i="12"/>
  <c r="D286" i="12" s="1"/>
  <c r="B285" i="12"/>
  <c r="D285" i="12" s="1"/>
  <c r="B284" i="12"/>
  <c r="Q284" i="12" s="1"/>
  <c r="B283" i="12"/>
  <c r="Q283" i="12" s="1"/>
  <c r="B306" i="12"/>
  <c r="V306" i="12" s="1"/>
  <c r="B282" i="12"/>
  <c r="Q282" i="12" s="1"/>
  <c r="B304" i="12"/>
  <c r="Q304" i="12" s="1"/>
  <c r="B281" i="12"/>
  <c r="Q281" i="12" s="1"/>
  <c r="G882" i="12"/>
  <c r="V885" i="12"/>
  <c r="V882" i="12"/>
  <c r="H882" i="12"/>
  <c r="B874" i="12"/>
  <c r="V874" i="12" s="1"/>
  <c r="B881" i="12"/>
  <c r="B877" i="12"/>
  <c r="Q877" i="12" s="1"/>
  <c r="B875" i="12"/>
  <c r="V875" i="12" s="1"/>
  <c r="B873" i="12"/>
  <c r="Q873" i="12" s="1"/>
  <c r="B879" i="12"/>
  <c r="F879" i="12" s="1"/>
  <c r="B876" i="12"/>
  <c r="V876" i="12" s="1"/>
  <c r="B869" i="12"/>
  <c r="Q869" i="12" s="1"/>
  <c r="B878" i="12"/>
  <c r="Q878" i="12" s="1"/>
  <c r="B305" i="12"/>
  <c r="Q305" i="12" s="1"/>
  <c r="B310" i="12"/>
  <c r="Q310" i="12" s="1"/>
  <c r="B288" i="12"/>
  <c r="Q288" i="12" s="1"/>
  <c r="B292" i="12"/>
  <c r="Q292" i="12" s="1"/>
  <c r="B290" i="12"/>
  <c r="V290" i="12" s="1"/>
  <c r="B291" i="12"/>
  <c r="D291" i="12" s="1"/>
  <c r="B289" i="12"/>
  <c r="Q289" i="12" s="1"/>
  <c r="B280" i="12"/>
  <c r="Q280" i="12" s="1"/>
  <c r="B870" i="12"/>
  <c r="Q870" i="12" s="1"/>
  <c r="B872" i="12"/>
  <c r="V872" i="12" s="1"/>
  <c r="B867" i="12"/>
  <c r="G867" i="12" s="1"/>
  <c r="B868" i="12"/>
  <c r="Q868" i="12" s="1"/>
  <c r="B865" i="12"/>
  <c r="V865" i="12" s="1"/>
  <c r="B320" i="12"/>
  <c r="V320" i="12" s="1"/>
  <c r="B279" i="12"/>
  <c r="Q279" i="12" s="1"/>
  <c r="Q871" i="12"/>
  <c r="V871" i="12"/>
  <c r="B277" i="12"/>
  <c r="Q277" i="12" s="1"/>
  <c r="B319" i="12"/>
  <c r="Q319" i="12" s="1"/>
  <c r="B866" i="12"/>
  <c r="Q866" i="12" s="1"/>
  <c r="B864" i="12"/>
  <c r="Q864" i="12" s="1"/>
  <c r="B863" i="12"/>
  <c r="Q863" i="12" s="1"/>
  <c r="B862" i="12"/>
  <c r="G862" i="12" s="1"/>
  <c r="B860" i="12"/>
  <c r="D860" i="12" s="1"/>
  <c r="B861" i="12"/>
  <c r="Q861" i="12" s="1"/>
  <c r="B858" i="12"/>
  <c r="D858" i="12" s="1"/>
  <c r="B278" i="12"/>
  <c r="V278" i="12" s="1"/>
  <c r="B859" i="12"/>
  <c r="V859" i="12" s="1"/>
  <c r="Q857" i="12" l="1"/>
  <c r="D857" i="12"/>
  <c r="D308" i="12"/>
  <c r="Q308" i="12"/>
  <c r="Q309" i="12"/>
  <c r="D309" i="12"/>
  <c r="Q307" i="12"/>
  <c r="V307" i="12"/>
  <c r="V287" i="12"/>
  <c r="D287" i="12"/>
  <c r="D303" i="12"/>
  <c r="V303" i="12"/>
  <c r="D281" i="12"/>
  <c r="V285" i="12"/>
  <c r="Q306" i="12"/>
  <c r="Q286" i="12"/>
  <c r="V281" i="12"/>
  <c r="V286" i="12"/>
  <c r="D304" i="12"/>
  <c r="V304" i="12"/>
  <c r="D306" i="12"/>
  <c r="Q285" i="12"/>
  <c r="D874" i="12"/>
  <c r="Q874" i="12"/>
  <c r="F881" i="12"/>
  <c r="V881" i="12"/>
  <c r="G881" i="12"/>
  <c r="Q881" i="12"/>
  <c r="Q875" i="12"/>
  <c r="V877" i="12"/>
  <c r="D875" i="12"/>
  <c r="D877" i="12"/>
  <c r="V873" i="12"/>
  <c r="Q879" i="12"/>
  <c r="F876" i="12"/>
  <c r="V879" i="12"/>
  <c r="D878" i="12"/>
  <c r="V878" i="12"/>
  <c r="Q876" i="12"/>
  <c r="D869" i="12"/>
  <c r="V305" i="12"/>
  <c r="V869" i="12"/>
  <c r="D305" i="12"/>
  <c r="D310" i="12"/>
  <c r="V310" i="12"/>
  <c r="V288" i="12"/>
  <c r="D288" i="12"/>
  <c r="V292" i="12"/>
  <c r="Q290" i="12"/>
  <c r="D282" i="12"/>
  <c r="D290" i="12"/>
  <c r="V282" i="12"/>
  <c r="D292" i="12"/>
  <c r="Q291" i="12"/>
  <c r="V291" i="12"/>
  <c r="D289" i="12"/>
  <c r="V289" i="12"/>
  <c r="V284" i="12"/>
  <c r="D284" i="12"/>
  <c r="D280" i="12"/>
  <c r="V280" i="12"/>
  <c r="V283" i="12"/>
  <c r="D283" i="12"/>
  <c r="V870" i="12"/>
  <c r="F870" i="12"/>
  <c r="Q872" i="12"/>
  <c r="D872" i="12"/>
  <c r="Q867" i="12"/>
  <c r="V868" i="12"/>
  <c r="V867" i="12"/>
  <c r="E865" i="12"/>
  <c r="D868" i="12"/>
  <c r="Q865" i="12"/>
  <c r="Q320" i="12"/>
  <c r="D279" i="12"/>
  <c r="V279" i="12"/>
  <c r="I277" i="12"/>
  <c r="V277" i="12"/>
  <c r="V319" i="12"/>
  <c r="D319" i="12"/>
  <c r="J277" i="12"/>
  <c r="V866" i="12"/>
  <c r="V863" i="12"/>
  <c r="V864" i="12"/>
  <c r="D864" i="12"/>
  <c r="D863" i="12"/>
  <c r="Q862" i="12"/>
  <c r="V862" i="12"/>
  <c r="Q860" i="12"/>
  <c r="V860" i="12"/>
  <c r="Q858" i="12"/>
  <c r="V858" i="12"/>
  <c r="V861" i="12"/>
  <c r="D861" i="12"/>
  <c r="D278" i="12"/>
  <c r="Q278" i="12"/>
  <c r="Q859" i="12"/>
  <c r="E859" i="12"/>
  <c r="H3953" i="13"/>
  <c r="J3953" i="13" s="1"/>
  <c r="H3944" i="13"/>
  <c r="J3944" i="13" s="1"/>
  <c r="H3935" i="13"/>
  <c r="J3935" i="13" s="1"/>
  <c r="K3926" i="13"/>
  <c r="H3927" i="13"/>
  <c r="J3927" i="13" s="1"/>
  <c r="K3927" i="13"/>
  <c r="H3928" i="13"/>
  <c r="J3928" i="13" s="1"/>
  <c r="K3928" i="13"/>
  <c r="H3929" i="13"/>
  <c r="J3929" i="13" s="1"/>
  <c r="K3929" i="13"/>
  <c r="H3930" i="13"/>
  <c r="J3930" i="13" s="1"/>
  <c r="K3930" i="13"/>
  <c r="H3931" i="13"/>
  <c r="J3931" i="13" s="1"/>
  <c r="K3931" i="13"/>
  <c r="H3932" i="13"/>
  <c r="J3932" i="13" s="1"/>
  <c r="K3932" i="13"/>
  <c r="H3933" i="13"/>
  <c r="J3933" i="13" s="1"/>
  <c r="K3933" i="13"/>
  <c r="H3934" i="13"/>
  <c r="J3934" i="13" s="1"/>
  <c r="K3934" i="13"/>
  <c r="K3458" i="13"/>
  <c r="H3459" i="13"/>
  <c r="J3459" i="13" s="1"/>
  <c r="K3459" i="13"/>
  <c r="H3460" i="13"/>
  <c r="J3460" i="13" s="1"/>
  <c r="K3460" i="13"/>
  <c r="H3461" i="13"/>
  <c r="J3461" i="13" s="1"/>
  <c r="K3461" i="13"/>
  <c r="H3462" i="13"/>
  <c r="J3462" i="13" s="1"/>
  <c r="K3462" i="13"/>
  <c r="H3463" i="13"/>
  <c r="J3463" i="13" s="1"/>
  <c r="K3463" i="13"/>
  <c r="H3464" i="13"/>
  <c r="J3464" i="13" s="1"/>
  <c r="K3464" i="13"/>
  <c r="H3465" i="13"/>
  <c r="J3465" i="13" s="1"/>
  <c r="K3465" i="13"/>
  <c r="H3466" i="13"/>
  <c r="J3466" i="13" s="1"/>
  <c r="K3466" i="13"/>
  <c r="K3467" i="13"/>
  <c r="H3468" i="13"/>
  <c r="J3468" i="13" s="1"/>
  <c r="K3468" i="13"/>
  <c r="H3469" i="13"/>
  <c r="J3469" i="13" s="1"/>
  <c r="K3469" i="13"/>
  <c r="H3470" i="13"/>
  <c r="J3470" i="13" s="1"/>
  <c r="K3470" i="13"/>
  <c r="H3471" i="13"/>
  <c r="J3471" i="13" s="1"/>
  <c r="K3471" i="13"/>
  <c r="H3472" i="13"/>
  <c r="J3472" i="13" s="1"/>
  <c r="K3472" i="13"/>
  <c r="H3473" i="13"/>
  <c r="J3473" i="13" s="1"/>
  <c r="K3473" i="13"/>
  <c r="H3474" i="13"/>
  <c r="J3474" i="13" s="1"/>
  <c r="K3474" i="13"/>
  <c r="H3475" i="13"/>
  <c r="J3475" i="13" s="1"/>
  <c r="K3475" i="13"/>
  <c r="K3476" i="13"/>
  <c r="H3477" i="13"/>
  <c r="J3477" i="13" s="1"/>
  <c r="K3477" i="13"/>
  <c r="H3478" i="13"/>
  <c r="J3478" i="13" s="1"/>
  <c r="K3478" i="13"/>
  <c r="H3479" i="13"/>
  <c r="J3479" i="13" s="1"/>
  <c r="K3479" i="13"/>
  <c r="H3480" i="13"/>
  <c r="J3480" i="13" s="1"/>
  <c r="K3480" i="13"/>
  <c r="H3481" i="13"/>
  <c r="J3481" i="13" s="1"/>
  <c r="K3481" i="13"/>
  <c r="H3482" i="13"/>
  <c r="J3482" i="13" s="1"/>
  <c r="K3482" i="13"/>
  <c r="H3483" i="13"/>
  <c r="J3483" i="13" s="1"/>
  <c r="K3483" i="13"/>
  <c r="H3484" i="13"/>
  <c r="J3484" i="13" s="1"/>
  <c r="K3484" i="13"/>
  <c r="K2396" i="13"/>
  <c r="H2397" i="13"/>
  <c r="J2397" i="13" s="1"/>
  <c r="K2397" i="13"/>
  <c r="H2398" i="13"/>
  <c r="J2398" i="13" s="1"/>
  <c r="K2398" i="13"/>
  <c r="H2399" i="13"/>
  <c r="J2399" i="13" s="1"/>
  <c r="K2399" i="13"/>
  <c r="H2400" i="13"/>
  <c r="J2400" i="13" s="1"/>
  <c r="K2400" i="13"/>
  <c r="H2401" i="13"/>
  <c r="J2401" i="13" s="1"/>
  <c r="K2401" i="13"/>
  <c r="H2402" i="13"/>
  <c r="J2402" i="13" s="1"/>
  <c r="K2402" i="13"/>
  <c r="H2403" i="13"/>
  <c r="J2403" i="13" s="1"/>
  <c r="K2403" i="13"/>
  <c r="H2404" i="13"/>
  <c r="J2404" i="13" s="1"/>
  <c r="K2404" i="13"/>
  <c r="K2405" i="13"/>
  <c r="H2406" i="13"/>
  <c r="J2406" i="13" s="1"/>
  <c r="K2406" i="13"/>
  <c r="H2407" i="13"/>
  <c r="J2407" i="13" s="1"/>
  <c r="K2407" i="13"/>
  <c r="H2408" i="13"/>
  <c r="J2408" i="13" s="1"/>
  <c r="K2408" i="13"/>
  <c r="H2409" i="13"/>
  <c r="J2409" i="13" s="1"/>
  <c r="K2409" i="13"/>
  <c r="H2410" i="13"/>
  <c r="J2410" i="13" s="1"/>
  <c r="K2410" i="13"/>
  <c r="H2411" i="13"/>
  <c r="J2411" i="13" s="1"/>
  <c r="K2411" i="13"/>
  <c r="H2412" i="13"/>
  <c r="J2412" i="13" s="1"/>
  <c r="K2412" i="13"/>
  <c r="H2413" i="13"/>
  <c r="J2413" i="13" s="1"/>
  <c r="K2413" i="13"/>
  <c r="B425" i="12" l="1"/>
  <c r="P425" i="12" s="1"/>
  <c r="B426" i="12"/>
  <c r="P426" i="12" s="1"/>
  <c r="B427" i="12"/>
  <c r="P427" i="12" s="1"/>
  <c r="B301" i="12"/>
  <c r="V301" i="12" s="1"/>
  <c r="B300" i="12"/>
  <c r="Q300" i="12" s="1"/>
  <c r="B276" i="12"/>
  <c r="Q276" i="12" s="1"/>
  <c r="B275" i="12"/>
  <c r="Q275" i="12" s="1"/>
  <c r="H3926" i="13"/>
  <c r="J3926" i="13" s="1"/>
  <c r="H6428" i="13"/>
  <c r="J6428" i="13" s="1"/>
  <c r="K6428" i="13"/>
  <c r="H6429" i="13"/>
  <c r="J6429" i="13" s="1"/>
  <c r="K6429" i="13"/>
  <c r="H6430" i="13"/>
  <c r="J6430" i="13" s="1"/>
  <c r="K6430" i="13"/>
  <c r="H6431" i="13"/>
  <c r="J6431" i="13" s="1"/>
  <c r="K6431" i="13"/>
  <c r="H6432" i="13"/>
  <c r="J6432" i="13" s="1"/>
  <c r="K6432" i="13"/>
  <c r="H6433" i="13"/>
  <c r="J6433" i="13" s="1"/>
  <c r="K6433" i="13"/>
  <c r="H6434" i="13"/>
  <c r="J6434" i="13" s="1"/>
  <c r="K6434" i="13"/>
  <c r="H6435" i="13"/>
  <c r="J6435" i="13" s="1"/>
  <c r="K6435" i="13"/>
  <c r="H6436" i="13"/>
  <c r="J6436" i="13" s="1"/>
  <c r="K6436" i="13"/>
  <c r="K6437" i="13"/>
  <c r="H6438" i="13"/>
  <c r="J6438" i="13" s="1"/>
  <c r="K6438" i="13"/>
  <c r="H6439" i="13"/>
  <c r="J6439" i="13" s="1"/>
  <c r="K6439" i="13"/>
  <c r="H6440" i="13"/>
  <c r="J6440" i="13" s="1"/>
  <c r="K6440" i="13"/>
  <c r="H6441" i="13"/>
  <c r="J6441" i="13" s="1"/>
  <c r="K6441" i="13"/>
  <c r="H6442" i="13"/>
  <c r="J6442" i="13" s="1"/>
  <c r="K6442" i="13"/>
  <c r="H6443" i="13"/>
  <c r="J6443" i="13" s="1"/>
  <c r="K6443" i="13"/>
  <c r="H6444" i="13"/>
  <c r="J6444" i="13" s="1"/>
  <c r="K6444" i="13"/>
  <c r="H6445" i="13"/>
  <c r="J6445" i="13" s="1"/>
  <c r="K6445" i="13"/>
  <c r="K6446" i="13"/>
  <c r="H6447" i="13"/>
  <c r="J6447" i="13" s="1"/>
  <c r="K6447" i="13"/>
  <c r="H6448" i="13"/>
  <c r="J6448" i="13" s="1"/>
  <c r="K6448" i="13"/>
  <c r="H6449" i="13"/>
  <c r="J6449" i="13" s="1"/>
  <c r="K6449" i="13"/>
  <c r="H6450" i="13"/>
  <c r="J6450" i="13" s="1"/>
  <c r="K6450" i="13"/>
  <c r="H6451" i="13"/>
  <c r="J6451" i="13" s="1"/>
  <c r="K6451" i="13"/>
  <c r="H6452" i="13"/>
  <c r="J6452" i="13" s="1"/>
  <c r="K6452" i="13"/>
  <c r="H6453" i="13"/>
  <c r="J6453" i="13" s="1"/>
  <c r="K6453" i="13"/>
  <c r="H6454" i="13"/>
  <c r="J6454" i="13" s="1"/>
  <c r="K6454" i="13"/>
  <c r="K6419" i="13"/>
  <c r="H6420" i="13"/>
  <c r="J6420" i="13" s="1"/>
  <c r="K6420" i="13"/>
  <c r="H6421" i="13"/>
  <c r="J6421" i="13" s="1"/>
  <c r="K6421" i="13"/>
  <c r="H6422" i="13"/>
  <c r="J6422" i="13" s="1"/>
  <c r="K6422" i="13"/>
  <c r="H6423" i="13"/>
  <c r="J6423" i="13" s="1"/>
  <c r="K6423" i="13"/>
  <c r="H6424" i="13"/>
  <c r="J6424" i="13" s="1"/>
  <c r="K6424" i="13"/>
  <c r="H6425" i="13"/>
  <c r="J6425" i="13" s="1"/>
  <c r="K6425" i="13"/>
  <c r="H6426" i="13"/>
  <c r="J6426" i="13" s="1"/>
  <c r="K6426" i="13"/>
  <c r="H6427" i="13"/>
  <c r="J6427" i="13" s="1"/>
  <c r="K6427" i="13"/>
  <c r="K6374" i="13"/>
  <c r="H6375" i="13"/>
  <c r="J6375" i="13" s="1"/>
  <c r="K6375" i="13"/>
  <c r="H6376" i="13"/>
  <c r="J6376" i="13" s="1"/>
  <c r="K6376" i="13"/>
  <c r="H6377" i="13"/>
  <c r="J6377" i="13" s="1"/>
  <c r="K6377" i="13"/>
  <c r="H6378" i="13"/>
  <c r="J6378" i="13" s="1"/>
  <c r="K6378" i="13"/>
  <c r="H6379" i="13"/>
  <c r="J6379" i="13" s="1"/>
  <c r="K6379" i="13"/>
  <c r="H6380" i="13"/>
  <c r="J6380" i="13" s="1"/>
  <c r="K6380" i="13"/>
  <c r="H6381" i="13"/>
  <c r="J6381" i="13" s="1"/>
  <c r="K6381" i="13"/>
  <c r="H6382" i="13"/>
  <c r="J6382" i="13" s="1"/>
  <c r="K6382" i="13"/>
  <c r="K6383" i="13"/>
  <c r="H6384" i="13"/>
  <c r="J6384" i="13" s="1"/>
  <c r="K6384" i="13"/>
  <c r="H6385" i="13"/>
  <c r="J6385" i="13" s="1"/>
  <c r="K6385" i="13"/>
  <c r="H6386" i="13"/>
  <c r="J6386" i="13" s="1"/>
  <c r="K6386" i="13"/>
  <c r="H6387" i="13"/>
  <c r="J6387" i="13" s="1"/>
  <c r="K6387" i="13"/>
  <c r="H6388" i="13"/>
  <c r="J6388" i="13" s="1"/>
  <c r="K6388" i="13"/>
  <c r="H6389" i="13"/>
  <c r="J6389" i="13" s="1"/>
  <c r="K6389" i="13"/>
  <c r="H6390" i="13"/>
  <c r="J6390" i="13" s="1"/>
  <c r="K6390" i="13"/>
  <c r="H6391" i="13"/>
  <c r="J6391" i="13" s="1"/>
  <c r="K6391" i="13"/>
  <c r="K6392" i="13"/>
  <c r="H6393" i="13"/>
  <c r="J6393" i="13" s="1"/>
  <c r="K6393" i="13"/>
  <c r="H6394" i="13"/>
  <c r="J6394" i="13" s="1"/>
  <c r="K6394" i="13"/>
  <c r="H6395" i="13"/>
  <c r="J6395" i="13" s="1"/>
  <c r="K6395" i="13"/>
  <c r="H6396" i="13"/>
  <c r="J6396" i="13" s="1"/>
  <c r="K6396" i="13"/>
  <c r="H6397" i="13"/>
  <c r="J6397" i="13" s="1"/>
  <c r="K6397" i="13"/>
  <c r="H6398" i="13"/>
  <c r="J6398" i="13" s="1"/>
  <c r="K6398" i="13"/>
  <c r="H6399" i="13"/>
  <c r="J6399" i="13" s="1"/>
  <c r="K6399" i="13"/>
  <c r="H6400" i="13"/>
  <c r="J6400" i="13" s="1"/>
  <c r="K6400" i="13"/>
  <c r="K6401" i="13"/>
  <c r="H6402" i="13"/>
  <c r="J6402" i="13" s="1"/>
  <c r="K6402" i="13"/>
  <c r="H6403" i="13"/>
  <c r="J6403" i="13" s="1"/>
  <c r="K6403" i="13"/>
  <c r="H6404" i="13"/>
  <c r="J6404" i="13" s="1"/>
  <c r="K6404" i="13"/>
  <c r="H6405" i="13"/>
  <c r="J6405" i="13" s="1"/>
  <c r="K6405" i="13"/>
  <c r="H6406" i="13"/>
  <c r="J6406" i="13" s="1"/>
  <c r="K6406" i="13"/>
  <c r="H6407" i="13"/>
  <c r="J6407" i="13" s="1"/>
  <c r="K6407" i="13"/>
  <c r="H6408" i="13"/>
  <c r="J6408" i="13" s="1"/>
  <c r="K6408" i="13"/>
  <c r="H6409" i="13"/>
  <c r="J6409" i="13" s="1"/>
  <c r="K6409" i="13"/>
  <c r="K6410" i="13"/>
  <c r="H6411" i="13"/>
  <c r="J6411" i="13" s="1"/>
  <c r="K6411" i="13"/>
  <c r="H6412" i="13"/>
  <c r="J6412" i="13" s="1"/>
  <c r="K6412" i="13"/>
  <c r="H6413" i="13"/>
  <c r="J6413" i="13" s="1"/>
  <c r="K6413" i="13"/>
  <c r="H6414" i="13"/>
  <c r="J6414" i="13" s="1"/>
  <c r="K6414" i="13"/>
  <c r="H6415" i="13"/>
  <c r="J6415" i="13" s="1"/>
  <c r="K6415" i="13"/>
  <c r="H6416" i="13"/>
  <c r="J6416" i="13" s="1"/>
  <c r="K6416" i="13"/>
  <c r="H6417" i="13"/>
  <c r="J6417" i="13" s="1"/>
  <c r="K6417" i="13"/>
  <c r="H6418" i="13"/>
  <c r="J6418" i="13" s="1"/>
  <c r="K6418" i="13"/>
  <c r="K2387" i="13"/>
  <c r="H2388" i="13"/>
  <c r="J2388" i="13" s="1"/>
  <c r="K2388" i="13"/>
  <c r="H2389" i="13"/>
  <c r="J2389" i="13" s="1"/>
  <c r="K2389" i="13"/>
  <c r="H2390" i="13"/>
  <c r="J2390" i="13" s="1"/>
  <c r="K2390" i="13"/>
  <c r="H2391" i="13"/>
  <c r="J2391" i="13" s="1"/>
  <c r="K2391" i="13"/>
  <c r="H2392" i="13"/>
  <c r="J2392" i="13" s="1"/>
  <c r="K2392" i="13"/>
  <c r="H2393" i="13"/>
  <c r="J2393" i="13" s="1"/>
  <c r="K2393" i="13"/>
  <c r="H2394" i="13"/>
  <c r="J2394" i="13" s="1"/>
  <c r="K2394" i="13"/>
  <c r="H2395" i="13"/>
  <c r="J2395" i="13" s="1"/>
  <c r="K2395" i="13"/>
  <c r="H20" i="16"/>
  <c r="K6356" i="13"/>
  <c r="H6357" i="13"/>
  <c r="J6357" i="13" s="1"/>
  <c r="K6357" i="13"/>
  <c r="H6358" i="13"/>
  <c r="J6358" i="13" s="1"/>
  <c r="K6358" i="13"/>
  <c r="H6359" i="13"/>
  <c r="J6359" i="13" s="1"/>
  <c r="K6359" i="13"/>
  <c r="H6360" i="13"/>
  <c r="J6360" i="13" s="1"/>
  <c r="K6360" i="13"/>
  <c r="H6361" i="13"/>
  <c r="J6361" i="13" s="1"/>
  <c r="K6361" i="13"/>
  <c r="H6362" i="13"/>
  <c r="J6362" i="13" s="1"/>
  <c r="K6362" i="13"/>
  <c r="H6363" i="13"/>
  <c r="J6363" i="13" s="1"/>
  <c r="K6363" i="13"/>
  <c r="H6364" i="13"/>
  <c r="J6364" i="13" s="1"/>
  <c r="K6364" i="13"/>
  <c r="K6365" i="13"/>
  <c r="H6366" i="13"/>
  <c r="J6366" i="13" s="1"/>
  <c r="K6366" i="13"/>
  <c r="H6367" i="13"/>
  <c r="J6367" i="13" s="1"/>
  <c r="K6367" i="13"/>
  <c r="H6368" i="13"/>
  <c r="J6368" i="13" s="1"/>
  <c r="K6368" i="13"/>
  <c r="H6369" i="13"/>
  <c r="J6369" i="13" s="1"/>
  <c r="K6369" i="13"/>
  <c r="H6370" i="13"/>
  <c r="J6370" i="13" s="1"/>
  <c r="K6370" i="13"/>
  <c r="H6371" i="13"/>
  <c r="J6371" i="13" s="1"/>
  <c r="K6371" i="13"/>
  <c r="H6372" i="13"/>
  <c r="J6372" i="13" s="1"/>
  <c r="K6372" i="13"/>
  <c r="H6373" i="13"/>
  <c r="J6373" i="13" s="1"/>
  <c r="K6373" i="13"/>
  <c r="H6446" i="13" l="1"/>
  <c r="J6446" i="13" s="1"/>
  <c r="H6392" i="13"/>
  <c r="J6392" i="13" s="1"/>
  <c r="H6437" i="13"/>
  <c r="J6437" i="13" s="1"/>
  <c r="Q427" i="12"/>
  <c r="V427" i="12"/>
  <c r="Q426" i="12"/>
  <c r="V426" i="12"/>
  <c r="B424" i="12"/>
  <c r="P424" i="12" s="1"/>
  <c r="Q425" i="12"/>
  <c r="V425" i="12"/>
  <c r="B855" i="12"/>
  <c r="Q855" i="12" s="1"/>
  <c r="B856" i="12"/>
  <c r="V856" i="12" s="1"/>
  <c r="B854" i="12"/>
  <c r="Q854" i="12" s="1"/>
  <c r="H6401" i="13"/>
  <c r="J6401" i="13" s="1"/>
  <c r="H6383" i="13"/>
  <c r="J6383" i="13" s="1"/>
  <c r="H6419" i="13"/>
  <c r="J6419" i="13" s="1"/>
  <c r="H6410" i="13"/>
  <c r="J6410" i="13" s="1"/>
  <c r="H6374" i="13"/>
  <c r="J6374" i="13" s="1"/>
  <c r="G301" i="12"/>
  <c r="Q301" i="12"/>
  <c r="H3476" i="13"/>
  <c r="J3476" i="13" s="1"/>
  <c r="B302" i="12"/>
  <c r="N301" i="12"/>
  <c r="E276" i="12"/>
  <c r="V275" i="12"/>
  <c r="V276" i="12"/>
  <c r="D275" i="12"/>
  <c r="V300" i="12"/>
  <c r="D300" i="12"/>
  <c r="H2387" i="13"/>
  <c r="J2387" i="13" s="1"/>
  <c r="H2396" i="13"/>
  <c r="J2396" i="13" s="1"/>
  <c r="H2405" i="13"/>
  <c r="J2405" i="13" s="1"/>
  <c r="H3467" i="13"/>
  <c r="J3467" i="13" s="1"/>
  <c r="H3458" i="13"/>
  <c r="J3458" i="13" s="1"/>
  <c r="B274" i="12"/>
  <c r="Q274" i="12" s="1"/>
  <c r="B853" i="12"/>
  <c r="Q853" i="12" s="1"/>
  <c r="B851" i="12"/>
  <c r="B850" i="12"/>
  <c r="D850" i="12" s="1"/>
  <c r="B849" i="12"/>
  <c r="Q849" i="12" s="1"/>
  <c r="B848" i="12"/>
  <c r="V848" i="12" s="1"/>
  <c r="B852" i="12"/>
  <c r="I852" i="12" s="1"/>
  <c r="V424" i="12" l="1"/>
  <c r="Q424" i="12"/>
  <c r="O424" i="12"/>
  <c r="F856" i="12"/>
  <c r="V855" i="12"/>
  <c r="E856" i="12"/>
  <c r="Q856" i="12"/>
  <c r="I854" i="12"/>
  <c r="V854" i="12"/>
  <c r="Q302" i="12"/>
  <c r="I302" i="12"/>
  <c r="V302" i="12"/>
  <c r="H302" i="12"/>
  <c r="G274" i="12"/>
  <c r="V274" i="12"/>
  <c r="F274" i="12"/>
  <c r="I853" i="12"/>
  <c r="V853" i="12"/>
  <c r="V850" i="12"/>
  <c r="Q852" i="12"/>
  <c r="E849" i="12"/>
  <c r="Q848" i="12"/>
  <c r="F848" i="12"/>
  <c r="G848" i="12"/>
  <c r="V849" i="12"/>
  <c r="Q850" i="12"/>
  <c r="V852" i="12"/>
  <c r="H852" i="12"/>
  <c r="V851" i="12"/>
  <c r="Q851" i="12"/>
  <c r="J851" i="12"/>
  <c r="H851" i="12"/>
  <c r="H6365" i="13"/>
  <c r="J6365" i="13" s="1"/>
  <c r="H6356" i="13"/>
  <c r="J6356" i="13" s="1"/>
  <c r="B846" i="12" l="1"/>
  <c r="B847" i="12"/>
  <c r="Q846" i="12" l="1"/>
  <c r="E846" i="12"/>
  <c r="V846" i="12"/>
  <c r="Q847" i="12"/>
  <c r="G847" i="12"/>
  <c r="V847" i="12"/>
  <c r="H6329" i="13"/>
  <c r="J6329" i="13" s="1"/>
  <c r="K6329" i="13"/>
  <c r="H6330" i="13"/>
  <c r="J6330" i="13" s="1"/>
  <c r="K6330" i="13"/>
  <c r="H6331" i="13"/>
  <c r="J6331" i="13" s="1"/>
  <c r="K6331" i="13"/>
  <c r="H6332" i="13"/>
  <c r="J6332" i="13" s="1"/>
  <c r="K6332" i="13"/>
  <c r="H6333" i="13"/>
  <c r="J6333" i="13" s="1"/>
  <c r="K6333" i="13"/>
  <c r="H6334" i="13"/>
  <c r="J6334" i="13" s="1"/>
  <c r="K6334" i="13"/>
  <c r="H6335" i="13"/>
  <c r="J6335" i="13" s="1"/>
  <c r="K6335" i="13"/>
  <c r="H6336" i="13"/>
  <c r="J6336" i="13" s="1"/>
  <c r="K6336" i="13"/>
  <c r="H6337" i="13"/>
  <c r="J6337" i="13" s="1"/>
  <c r="K6337" i="13"/>
  <c r="H6338" i="13"/>
  <c r="J6338" i="13" s="1"/>
  <c r="K6338" i="13"/>
  <c r="H6339" i="13"/>
  <c r="J6339" i="13" s="1"/>
  <c r="K6339" i="13"/>
  <c r="H6340" i="13"/>
  <c r="J6340" i="13" s="1"/>
  <c r="K6340" i="13"/>
  <c r="H6341" i="13"/>
  <c r="J6341" i="13" s="1"/>
  <c r="K6341" i="13"/>
  <c r="H6342" i="13"/>
  <c r="J6342" i="13" s="1"/>
  <c r="K6342" i="13"/>
  <c r="H6343" i="13"/>
  <c r="J6343" i="13" s="1"/>
  <c r="K6343" i="13"/>
  <c r="H6344" i="13"/>
  <c r="J6344" i="13" s="1"/>
  <c r="K6344" i="13"/>
  <c r="H6345" i="13"/>
  <c r="J6345" i="13" s="1"/>
  <c r="K6345" i="13"/>
  <c r="H6346" i="13"/>
  <c r="J6346" i="13" s="1"/>
  <c r="K6346" i="13"/>
  <c r="K6347" i="13"/>
  <c r="H6348" i="13"/>
  <c r="J6348" i="13" s="1"/>
  <c r="K6348" i="13"/>
  <c r="H6349" i="13"/>
  <c r="J6349" i="13" s="1"/>
  <c r="K6349" i="13"/>
  <c r="H6350" i="13"/>
  <c r="J6350" i="13" s="1"/>
  <c r="K6350" i="13"/>
  <c r="H6351" i="13"/>
  <c r="J6351" i="13" s="1"/>
  <c r="K6351" i="13"/>
  <c r="H6352" i="13"/>
  <c r="J6352" i="13" s="1"/>
  <c r="K6352" i="13"/>
  <c r="H6353" i="13"/>
  <c r="J6353" i="13" s="1"/>
  <c r="K6353" i="13"/>
  <c r="H6354" i="13"/>
  <c r="J6354" i="13" s="1"/>
  <c r="K6354" i="13"/>
  <c r="H6355" i="13"/>
  <c r="J6355" i="13" s="1"/>
  <c r="K6355" i="13"/>
  <c r="L61" i="15"/>
  <c r="V61" i="15" s="1"/>
  <c r="L112" i="15"/>
  <c r="W112" i="15" s="1"/>
  <c r="H551" i="22"/>
  <c r="E552" i="22"/>
  <c r="G552" i="22" s="1"/>
  <c r="H552" i="22"/>
  <c r="E553" i="22"/>
  <c r="G553" i="22" s="1"/>
  <c r="H553" i="22"/>
  <c r="E554" i="22"/>
  <c r="G554" i="22" s="1"/>
  <c r="H554" i="22"/>
  <c r="E555" i="22"/>
  <c r="G555" i="22" s="1"/>
  <c r="H555" i="22"/>
  <c r="E556" i="22"/>
  <c r="G556" i="22" s="1"/>
  <c r="H556" i="22"/>
  <c r="E557" i="22"/>
  <c r="G557" i="22" s="1"/>
  <c r="H557" i="22"/>
  <c r="E558" i="22"/>
  <c r="G558" i="22" s="1"/>
  <c r="H558" i="22"/>
  <c r="E559" i="22"/>
  <c r="G559" i="22" s="1"/>
  <c r="H559" i="22"/>
  <c r="H560" i="22"/>
  <c r="E561" i="22"/>
  <c r="G561" i="22" s="1"/>
  <c r="H561" i="22"/>
  <c r="E562" i="22"/>
  <c r="G562" i="22" s="1"/>
  <c r="H562" i="22"/>
  <c r="E563" i="22"/>
  <c r="G563" i="22" s="1"/>
  <c r="H563" i="22"/>
  <c r="E564" i="22"/>
  <c r="G564" i="22" s="1"/>
  <c r="H564" i="22"/>
  <c r="E565" i="22"/>
  <c r="G565" i="22" s="1"/>
  <c r="H565" i="22"/>
  <c r="E566" i="22"/>
  <c r="G566" i="22" s="1"/>
  <c r="H566" i="22"/>
  <c r="E567" i="22"/>
  <c r="G567" i="22" s="1"/>
  <c r="H567" i="22"/>
  <c r="E568" i="22"/>
  <c r="G568" i="22" s="1"/>
  <c r="H568" i="22"/>
  <c r="E569" i="22"/>
  <c r="G569" i="22" s="1"/>
  <c r="H569" i="22"/>
  <c r="E570" i="22"/>
  <c r="G570" i="22" s="1"/>
  <c r="H570" i="22"/>
  <c r="E571" i="22"/>
  <c r="G571" i="22" s="1"/>
  <c r="H571" i="22"/>
  <c r="E572" i="22"/>
  <c r="G572" i="22" s="1"/>
  <c r="H572" i="22"/>
  <c r="E573" i="22"/>
  <c r="G573" i="22" s="1"/>
  <c r="H573" i="22"/>
  <c r="E574" i="22"/>
  <c r="G574" i="22" s="1"/>
  <c r="H574" i="22"/>
  <c r="E575" i="22"/>
  <c r="G575" i="22" s="1"/>
  <c r="H575" i="22"/>
  <c r="E576" i="22"/>
  <c r="G576" i="22" s="1"/>
  <c r="H576" i="22"/>
  <c r="E577" i="22"/>
  <c r="G577" i="22" s="1"/>
  <c r="H577" i="22"/>
  <c r="L119" i="15"/>
  <c r="W119" i="15" s="1"/>
  <c r="L118" i="15"/>
  <c r="V118" i="15" s="1"/>
  <c r="H910" i="14"/>
  <c r="E910" i="14"/>
  <c r="G910" i="14" s="1"/>
  <c r="H909" i="14"/>
  <c r="E909" i="14"/>
  <c r="G909" i="14" s="1"/>
  <c r="H908" i="14"/>
  <c r="E908" i="14"/>
  <c r="G908" i="14" s="1"/>
  <c r="H907" i="14"/>
  <c r="E907" i="14"/>
  <c r="G907" i="14" s="1"/>
  <c r="H906" i="14"/>
  <c r="E906" i="14"/>
  <c r="G906" i="14" s="1"/>
  <c r="H905" i="14"/>
  <c r="E905" i="14"/>
  <c r="G905" i="14" s="1"/>
  <c r="H904" i="14"/>
  <c r="E904" i="14"/>
  <c r="G904" i="14" s="1"/>
  <c r="H903" i="14"/>
  <c r="E903" i="14"/>
  <c r="G903" i="14" s="1"/>
  <c r="H902" i="14"/>
  <c r="H901" i="14"/>
  <c r="E901" i="14"/>
  <c r="G901" i="14" s="1"/>
  <c r="H900" i="14"/>
  <c r="E900" i="14"/>
  <c r="G900" i="14" s="1"/>
  <c r="H899" i="14"/>
  <c r="E899" i="14"/>
  <c r="G899" i="14" s="1"/>
  <c r="H898" i="14"/>
  <c r="E898" i="14"/>
  <c r="G898" i="14" s="1"/>
  <c r="H897" i="14"/>
  <c r="E897" i="14"/>
  <c r="G897" i="14" s="1"/>
  <c r="H896" i="14"/>
  <c r="E896" i="14"/>
  <c r="G896" i="14" s="1"/>
  <c r="H895" i="14"/>
  <c r="E895" i="14"/>
  <c r="G895" i="14" s="1"/>
  <c r="H894" i="14"/>
  <c r="E894" i="14"/>
  <c r="G894" i="14" s="1"/>
  <c r="H893" i="14"/>
  <c r="H892" i="14"/>
  <c r="E892" i="14"/>
  <c r="G892" i="14" s="1"/>
  <c r="H891" i="14"/>
  <c r="E891" i="14"/>
  <c r="G891" i="14" s="1"/>
  <c r="H890" i="14"/>
  <c r="E890" i="14"/>
  <c r="G890" i="14" s="1"/>
  <c r="H889" i="14"/>
  <c r="E889" i="14"/>
  <c r="G889" i="14" s="1"/>
  <c r="H888" i="14"/>
  <c r="E888" i="14"/>
  <c r="G888" i="14" s="1"/>
  <c r="H887" i="14"/>
  <c r="E887" i="14"/>
  <c r="G887" i="14" s="1"/>
  <c r="H886" i="14"/>
  <c r="E886" i="14"/>
  <c r="G886" i="14" s="1"/>
  <c r="H885" i="14"/>
  <c r="E885" i="14"/>
  <c r="G885" i="14" s="1"/>
  <c r="H884" i="14"/>
  <c r="H883" i="14"/>
  <c r="E883" i="14"/>
  <c r="G883" i="14" s="1"/>
  <c r="H882" i="14"/>
  <c r="E882" i="14"/>
  <c r="G882" i="14" s="1"/>
  <c r="H881" i="14"/>
  <c r="E881" i="14"/>
  <c r="G881" i="14" s="1"/>
  <c r="H880" i="14"/>
  <c r="E880" i="14"/>
  <c r="G880" i="14" s="1"/>
  <c r="H879" i="14"/>
  <c r="E879" i="14"/>
  <c r="G879" i="14" s="1"/>
  <c r="H878" i="14"/>
  <c r="E878" i="14"/>
  <c r="G878" i="14" s="1"/>
  <c r="H877" i="14"/>
  <c r="E877" i="14"/>
  <c r="G877" i="14" s="1"/>
  <c r="H876" i="14"/>
  <c r="E876" i="14"/>
  <c r="G876" i="14" s="1"/>
  <c r="H875" i="14"/>
  <c r="S270" i="1"/>
  <c r="AD270" i="1" s="1"/>
  <c r="S269" i="1"/>
  <c r="AC269" i="1" s="1"/>
  <c r="S268" i="1"/>
  <c r="AC268" i="1" s="1"/>
  <c r="S256" i="1"/>
  <c r="AC256" i="1" s="1"/>
  <c r="S257" i="1"/>
  <c r="AC257" i="1" s="1"/>
  <c r="H6347" i="13" l="1"/>
  <c r="J6347" i="13" s="1"/>
  <c r="E551" i="22"/>
  <c r="G551" i="22" s="1"/>
  <c r="E560" i="22"/>
  <c r="G560" i="22" s="1"/>
  <c r="E893" i="14"/>
  <c r="G893" i="14" s="1"/>
  <c r="E902" i="14"/>
  <c r="G902" i="14" s="1"/>
  <c r="E875" i="14"/>
  <c r="G875" i="14" s="1"/>
  <c r="B632" i="12"/>
  <c r="Q632" i="12" s="1"/>
  <c r="B845" i="12"/>
  <c r="V845" i="12" s="1"/>
  <c r="B630" i="12"/>
  <c r="V630" i="12" s="1"/>
  <c r="B633" i="12"/>
  <c r="Q633" i="12" s="1"/>
  <c r="B631" i="12"/>
  <c r="E631" i="12" s="1"/>
  <c r="AF269" i="1"/>
  <c r="B1063" i="12"/>
  <c r="G1063" i="12" s="1"/>
  <c r="B844" i="12"/>
  <c r="V844" i="12" s="1"/>
  <c r="B843" i="12"/>
  <c r="Q843" i="12" s="1"/>
  <c r="Y112" i="15"/>
  <c r="B1062" i="12"/>
  <c r="E1062" i="12" s="1"/>
  <c r="Y118" i="15"/>
  <c r="Y61" i="15"/>
  <c r="W118" i="15"/>
  <c r="B1064" i="12"/>
  <c r="G1064" i="12" s="1"/>
  <c r="W61" i="15"/>
  <c r="Y119" i="15"/>
  <c r="B1061" i="12"/>
  <c r="D1061" i="12" s="1"/>
  <c r="V112" i="15"/>
  <c r="V119" i="15"/>
  <c r="AF268" i="1"/>
  <c r="AF270" i="1"/>
  <c r="AC270" i="1"/>
  <c r="AD269" i="1"/>
  <c r="AD268" i="1"/>
  <c r="AF256" i="1"/>
  <c r="AD256" i="1"/>
  <c r="AF257" i="1"/>
  <c r="AD257" i="1"/>
  <c r="V632" i="12" l="1"/>
  <c r="D845" i="12"/>
  <c r="J630" i="12"/>
  <c r="E633" i="12"/>
  <c r="V633" i="12"/>
  <c r="V631" i="12"/>
  <c r="V1063" i="12"/>
  <c r="Q844" i="12"/>
  <c r="G844" i="12"/>
  <c r="V843" i="12"/>
  <c r="V1064" i="12"/>
  <c r="V1062" i="12"/>
  <c r="V1061" i="12"/>
  <c r="H3449" i="13"/>
  <c r="J3449" i="13" s="1"/>
  <c r="K3449" i="13"/>
  <c r="H3450" i="13"/>
  <c r="J3450" i="13" s="1"/>
  <c r="K3450" i="13"/>
  <c r="H3451" i="13"/>
  <c r="J3451" i="13" s="1"/>
  <c r="K3451" i="13"/>
  <c r="H3452" i="13"/>
  <c r="J3452" i="13" s="1"/>
  <c r="K3452" i="13"/>
  <c r="H3453" i="13"/>
  <c r="J3453" i="13" s="1"/>
  <c r="K3453" i="13"/>
  <c r="H3454" i="13"/>
  <c r="J3454" i="13" s="1"/>
  <c r="K3454" i="13"/>
  <c r="H3455" i="13"/>
  <c r="J3455" i="13" s="1"/>
  <c r="K3455" i="13"/>
  <c r="H3456" i="13"/>
  <c r="J3456" i="13" s="1"/>
  <c r="K3456" i="13"/>
  <c r="H3457" i="13"/>
  <c r="J3457" i="13" s="1"/>
  <c r="K3457" i="13"/>
  <c r="B299" i="12" l="1"/>
  <c r="Q299" i="12" s="1"/>
  <c r="B840" i="12"/>
  <c r="H840" i="12" s="1"/>
  <c r="B839" i="12"/>
  <c r="F839" i="12" s="1"/>
  <c r="B270" i="12"/>
  <c r="H270" i="12" s="1"/>
  <c r="B269" i="12"/>
  <c r="V269" i="12" s="1"/>
  <c r="B268" i="12"/>
  <c r="Q268" i="12" s="1"/>
  <c r="F299" i="12" l="1"/>
  <c r="V299" i="12"/>
  <c r="V840" i="12"/>
  <c r="Q839" i="12"/>
  <c r="V839" i="12"/>
  <c r="V270" i="12"/>
  <c r="R270" i="12"/>
  <c r="Q269" i="12"/>
  <c r="I269" i="12"/>
  <c r="J270" i="12"/>
  <c r="V268" i="12"/>
  <c r="I268" i="12"/>
  <c r="B273" i="12"/>
  <c r="V273" i="12" s="1"/>
  <c r="H2333" i="13"/>
  <c r="J2333" i="13" s="1"/>
  <c r="K2333" i="13"/>
  <c r="H2334" i="13"/>
  <c r="J2334" i="13" s="1"/>
  <c r="K2334" i="13"/>
  <c r="H2335" i="13"/>
  <c r="J2335" i="13" s="1"/>
  <c r="K2335" i="13"/>
  <c r="H2336" i="13"/>
  <c r="J2336" i="13" s="1"/>
  <c r="K2336" i="13"/>
  <c r="H2337" i="13"/>
  <c r="J2337" i="13" s="1"/>
  <c r="K2337" i="13"/>
  <c r="H2338" i="13"/>
  <c r="J2338" i="13" s="1"/>
  <c r="K2338" i="13"/>
  <c r="H2339" i="13"/>
  <c r="J2339" i="13" s="1"/>
  <c r="K2339" i="13"/>
  <c r="H2340" i="13"/>
  <c r="J2340" i="13" s="1"/>
  <c r="K2340" i="13"/>
  <c r="H2341" i="13"/>
  <c r="J2341" i="13" s="1"/>
  <c r="K2341" i="13"/>
  <c r="H2342" i="13"/>
  <c r="J2342" i="13" s="1"/>
  <c r="K2342" i="13"/>
  <c r="H2343" i="13"/>
  <c r="J2343" i="13" s="1"/>
  <c r="K2343" i="13"/>
  <c r="H2344" i="13"/>
  <c r="J2344" i="13" s="1"/>
  <c r="K2344" i="13"/>
  <c r="H2345" i="13"/>
  <c r="J2345" i="13" s="1"/>
  <c r="K2345" i="13"/>
  <c r="H2346" i="13"/>
  <c r="J2346" i="13" s="1"/>
  <c r="K2346" i="13"/>
  <c r="H2347" i="13"/>
  <c r="J2347" i="13" s="1"/>
  <c r="K2347" i="13"/>
  <c r="H2348" i="13"/>
  <c r="J2348" i="13" s="1"/>
  <c r="K2348" i="13"/>
  <c r="H2349" i="13"/>
  <c r="J2349" i="13" s="1"/>
  <c r="K2349" i="13"/>
  <c r="H2350" i="13"/>
  <c r="J2350" i="13" s="1"/>
  <c r="K2350" i="13"/>
  <c r="H2351" i="13"/>
  <c r="J2351" i="13" s="1"/>
  <c r="K2351" i="13"/>
  <c r="H2352" i="13"/>
  <c r="J2352" i="13" s="1"/>
  <c r="K2352" i="13"/>
  <c r="H2353" i="13"/>
  <c r="J2353" i="13" s="1"/>
  <c r="K2353" i="13"/>
  <c r="H2354" i="13"/>
  <c r="J2354" i="13" s="1"/>
  <c r="K2354" i="13"/>
  <c r="H2355" i="13"/>
  <c r="J2355" i="13" s="1"/>
  <c r="K2355" i="13"/>
  <c r="H2356" i="13"/>
  <c r="J2356" i="13" s="1"/>
  <c r="K2356" i="13"/>
  <c r="H2357" i="13"/>
  <c r="J2357" i="13" s="1"/>
  <c r="K2357" i="13"/>
  <c r="H2358" i="13"/>
  <c r="J2358" i="13" s="1"/>
  <c r="K2358" i="13"/>
  <c r="H2359" i="13"/>
  <c r="J2359" i="13" s="1"/>
  <c r="K2359" i="13"/>
  <c r="H2360" i="13"/>
  <c r="J2360" i="13" s="1"/>
  <c r="K2360" i="13"/>
  <c r="H2361" i="13"/>
  <c r="J2361" i="13" s="1"/>
  <c r="K2361" i="13"/>
  <c r="H2362" i="13"/>
  <c r="J2362" i="13" s="1"/>
  <c r="K2362" i="13"/>
  <c r="H2363" i="13"/>
  <c r="J2363" i="13" s="1"/>
  <c r="K2363" i="13"/>
  <c r="H2364" i="13"/>
  <c r="J2364" i="13" s="1"/>
  <c r="K2364" i="13"/>
  <c r="H2365" i="13"/>
  <c r="J2365" i="13" s="1"/>
  <c r="K2365" i="13"/>
  <c r="H2366" i="13"/>
  <c r="J2366" i="13" s="1"/>
  <c r="K2366" i="13"/>
  <c r="H2367" i="13"/>
  <c r="J2367" i="13" s="1"/>
  <c r="K2367" i="13"/>
  <c r="H2368" i="13"/>
  <c r="J2368" i="13" s="1"/>
  <c r="K2368" i="13"/>
  <c r="H2369" i="13"/>
  <c r="J2369" i="13" s="1"/>
  <c r="K2369" i="13"/>
  <c r="H2370" i="13"/>
  <c r="J2370" i="13" s="1"/>
  <c r="K2370" i="13"/>
  <c r="H2371" i="13"/>
  <c r="J2371" i="13" s="1"/>
  <c r="K2371" i="13"/>
  <c r="H2372" i="13"/>
  <c r="J2372" i="13" s="1"/>
  <c r="K2372" i="13"/>
  <c r="H2373" i="13"/>
  <c r="J2373" i="13" s="1"/>
  <c r="K2373" i="13"/>
  <c r="H2374" i="13"/>
  <c r="J2374" i="13" s="1"/>
  <c r="K2374" i="13"/>
  <c r="H2375" i="13"/>
  <c r="J2375" i="13" s="1"/>
  <c r="K2375" i="13"/>
  <c r="H2376" i="13"/>
  <c r="J2376" i="13" s="1"/>
  <c r="K2376" i="13"/>
  <c r="H2377" i="13"/>
  <c r="J2377" i="13" s="1"/>
  <c r="K2377" i="13"/>
  <c r="H2378" i="13"/>
  <c r="J2378" i="13" s="1"/>
  <c r="K2378" i="13"/>
  <c r="H2379" i="13"/>
  <c r="J2379" i="13" s="1"/>
  <c r="K2379" i="13"/>
  <c r="H2380" i="13"/>
  <c r="J2380" i="13" s="1"/>
  <c r="K2380" i="13"/>
  <c r="H2381" i="13"/>
  <c r="J2381" i="13" s="1"/>
  <c r="K2381" i="13"/>
  <c r="H2382" i="13"/>
  <c r="J2382" i="13" s="1"/>
  <c r="K2382" i="13"/>
  <c r="H2383" i="13"/>
  <c r="J2383" i="13" s="1"/>
  <c r="K2383" i="13"/>
  <c r="H2384" i="13"/>
  <c r="J2384" i="13" s="1"/>
  <c r="K2384" i="13"/>
  <c r="H2385" i="13"/>
  <c r="J2385" i="13" s="1"/>
  <c r="K2385" i="13"/>
  <c r="H2386" i="13"/>
  <c r="J2386" i="13" s="1"/>
  <c r="K2386" i="13"/>
  <c r="K6320" i="13"/>
  <c r="H6321" i="13"/>
  <c r="J6321" i="13" s="1"/>
  <c r="K6321" i="13"/>
  <c r="H6322" i="13"/>
  <c r="J6322" i="13" s="1"/>
  <c r="K6322" i="13"/>
  <c r="H6323" i="13"/>
  <c r="J6323" i="13" s="1"/>
  <c r="K6323" i="13"/>
  <c r="H6324" i="13"/>
  <c r="J6324" i="13" s="1"/>
  <c r="K6324" i="13"/>
  <c r="H6325" i="13"/>
  <c r="J6325" i="13" s="1"/>
  <c r="K6325" i="13"/>
  <c r="H6326" i="13"/>
  <c r="J6326" i="13" s="1"/>
  <c r="K6326" i="13"/>
  <c r="H6327" i="13"/>
  <c r="J6327" i="13" s="1"/>
  <c r="K6327" i="13"/>
  <c r="H6328" i="13"/>
  <c r="J6328" i="13" s="1"/>
  <c r="K6328" i="13"/>
  <c r="H6293" i="13"/>
  <c r="J6293" i="13" s="1"/>
  <c r="K6293" i="13"/>
  <c r="H6294" i="13"/>
  <c r="J6294" i="13" s="1"/>
  <c r="K6294" i="13"/>
  <c r="H6295" i="13"/>
  <c r="J6295" i="13" s="1"/>
  <c r="K6295" i="13"/>
  <c r="H6296" i="13"/>
  <c r="J6296" i="13" s="1"/>
  <c r="K6296" i="13"/>
  <c r="H6297" i="13"/>
  <c r="J6297" i="13" s="1"/>
  <c r="K6297" i="13"/>
  <c r="H6298" i="13"/>
  <c r="J6298" i="13" s="1"/>
  <c r="K6298" i="13"/>
  <c r="H6299" i="13"/>
  <c r="J6299" i="13" s="1"/>
  <c r="K6299" i="13"/>
  <c r="H6300" i="13"/>
  <c r="J6300" i="13" s="1"/>
  <c r="K6300" i="13"/>
  <c r="H6301" i="13"/>
  <c r="J6301" i="13" s="1"/>
  <c r="K6301" i="13"/>
  <c r="H6302" i="13"/>
  <c r="J6302" i="13" s="1"/>
  <c r="K6302" i="13"/>
  <c r="H6303" i="13"/>
  <c r="J6303" i="13" s="1"/>
  <c r="K6303" i="13"/>
  <c r="H6304" i="13"/>
  <c r="J6304" i="13" s="1"/>
  <c r="K6304" i="13"/>
  <c r="H6305" i="13"/>
  <c r="J6305" i="13" s="1"/>
  <c r="K6305" i="13"/>
  <c r="H6306" i="13"/>
  <c r="J6306" i="13" s="1"/>
  <c r="K6306" i="13"/>
  <c r="H6307" i="13"/>
  <c r="J6307" i="13" s="1"/>
  <c r="K6307" i="13"/>
  <c r="H6308" i="13"/>
  <c r="J6308" i="13" s="1"/>
  <c r="K6308" i="13"/>
  <c r="H6309" i="13"/>
  <c r="J6309" i="13" s="1"/>
  <c r="K6309" i="13"/>
  <c r="H6310" i="13"/>
  <c r="J6310" i="13" s="1"/>
  <c r="K6310" i="13"/>
  <c r="H6311" i="13"/>
  <c r="J6311" i="13" s="1"/>
  <c r="K6311" i="13"/>
  <c r="H6312" i="13"/>
  <c r="J6312" i="13" s="1"/>
  <c r="K6312" i="13"/>
  <c r="H6313" i="13"/>
  <c r="J6313" i="13" s="1"/>
  <c r="K6313" i="13"/>
  <c r="H6314" i="13"/>
  <c r="J6314" i="13" s="1"/>
  <c r="K6314" i="13"/>
  <c r="H6315" i="13"/>
  <c r="J6315" i="13" s="1"/>
  <c r="K6315" i="13"/>
  <c r="H6316" i="13"/>
  <c r="J6316" i="13" s="1"/>
  <c r="K6316" i="13"/>
  <c r="H6317" i="13"/>
  <c r="J6317" i="13" s="1"/>
  <c r="K6317" i="13"/>
  <c r="H6318" i="13"/>
  <c r="J6318" i="13" s="1"/>
  <c r="K6318" i="13"/>
  <c r="H6319" i="13"/>
  <c r="J6319" i="13" s="1"/>
  <c r="K6319" i="13"/>
  <c r="K6284" i="13"/>
  <c r="H6285" i="13"/>
  <c r="J6285" i="13" s="1"/>
  <c r="K6285" i="13"/>
  <c r="H6286" i="13"/>
  <c r="J6286" i="13" s="1"/>
  <c r="K6286" i="13"/>
  <c r="H6287" i="13"/>
  <c r="J6287" i="13" s="1"/>
  <c r="K6287" i="13"/>
  <c r="H6288" i="13"/>
  <c r="J6288" i="13" s="1"/>
  <c r="K6288" i="13"/>
  <c r="H6289" i="13"/>
  <c r="J6289" i="13" s="1"/>
  <c r="K6289" i="13"/>
  <c r="H6290" i="13"/>
  <c r="J6290" i="13" s="1"/>
  <c r="K6290" i="13"/>
  <c r="H6291" i="13"/>
  <c r="J6291" i="13" s="1"/>
  <c r="K6291" i="13"/>
  <c r="H6292" i="13"/>
  <c r="J6292" i="13" s="1"/>
  <c r="K6292" i="13"/>
  <c r="E542" i="22"/>
  <c r="G542" i="22" s="1"/>
  <c r="H542" i="22"/>
  <c r="E543" i="22"/>
  <c r="G543" i="22" s="1"/>
  <c r="H543" i="22"/>
  <c r="E544" i="22"/>
  <c r="G544" i="22" s="1"/>
  <c r="H544" i="22"/>
  <c r="E545" i="22"/>
  <c r="G545" i="22" s="1"/>
  <c r="H545" i="22"/>
  <c r="E546" i="22"/>
  <c r="G546" i="22" s="1"/>
  <c r="H546" i="22"/>
  <c r="E547" i="22"/>
  <c r="G547" i="22" s="1"/>
  <c r="H547" i="22"/>
  <c r="E548" i="22"/>
  <c r="G548" i="22" s="1"/>
  <c r="H548" i="22"/>
  <c r="E549" i="22"/>
  <c r="G549" i="22" s="1"/>
  <c r="H549" i="22"/>
  <c r="E550" i="22"/>
  <c r="G550" i="22" s="1"/>
  <c r="H550" i="22"/>
  <c r="H578" i="22"/>
  <c r="E579" i="22"/>
  <c r="G579" i="22" s="1"/>
  <c r="H579" i="22"/>
  <c r="E580" i="22"/>
  <c r="G580" i="22" s="1"/>
  <c r="H580" i="22"/>
  <c r="E581" i="22"/>
  <c r="G581" i="22" s="1"/>
  <c r="H581" i="22"/>
  <c r="E582" i="22"/>
  <c r="G582" i="22" s="1"/>
  <c r="H582" i="22"/>
  <c r="E583" i="22"/>
  <c r="G583" i="22" s="1"/>
  <c r="H583" i="22"/>
  <c r="E584" i="22"/>
  <c r="G584" i="22" s="1"/>
  <c r="H584" i="22"/>
  <c r="E585" i="22"/>
  <c r="G585" i="22" s="1"/>
  <c r="H585" i="22"/>
  <c r="E586" i="22"/>
  <c r="G586" i="22" s="1"/>
  <c r="H586" i="22"/>
  <c r="L125" i="15"/>
  <c r="W125" i="15" s="1"/>
  <c r="L123" i="15"/>
  <c r="W123" i="15" s="1"/>
  <c r="L122" i="15"/>
  <c r="B1058" i="12" s="1"/>
  <c r="D1058" i="12" s="1"/>
  <c r="L121" i="15"/>
  <c r="W121" i="15" s="1"/>
  <c r="C109" i="15"/>
  <c r="L76" i="15"/>
  <c r="S196" i="1"/>
  <c r="AC196" i="1" s="1"/>
  <c r="S195" i="1"/>
  <c r="AD195" i="1" s="1"/>
  <c r="S194" i="1"/>
  <c r="AD194" i="1" s="1"/>
  <c r="S193" i="1"/>
  <c r="AD193" i="1" s="1"/>
  <c r="H1694" i="14"/>
  <c r="E1695" i="14"/>
  <c r="G1695" i="14" s="1"/>
  <c r="H1695" i="14"/>
  <c r="E1696" i="14"/>
  <c r="G1696" i="14" s="1"/>
  <c r="H1696" i="14"/>
  <c r="E1697" i="14"/>
  <c r="G1697" i="14" s="1"/>
  <c r="H1697" i="14"/>
  <c r="E1698" i="14"/>
  <c r="G1698" i="14" s="1"/>
  <c r="H1698" i="14"/>
  <c r="E1699" i="14"/>
  <c r="G1699" i="14" s="1"/>
  <c r="H1699" i="14"/>
  <c r="E1700" i="14"/>
  <c r="G1700" i="14" s="1"/>
  <c r="H1700" i="14"/>
  <c r="E1701" i="14"/>
  <c r="G1701" i="14" s="1"/>
  <c r="H1701" i="14"/>
  <c r="E1702" i="14"/>
  <c r="G1702" i="14" s="1"/>
  <c r="H1702" i="14"/>
  <c r="H1703" i="14"/>
  <c r="E1704" i="14"/>
  <c r="G1704" i="14" s="1"/>
  <c r="H1704" i="14"/>
  <c r="E1705" i="14"/>
  <c r="G1705" i="14" s="1"/>
  <c r="H1705" i="14"/>
  <c r="E1706" i="14"/>
  <c r="G1706" i="14" s="1"/>
  <c r="H1706" i="14"/>
  <c r="E1707" i="14"/>
  <c r="G1707" i="14" s="1"/>
  <c r="H1707" i="14"/>
  <c r="E1708" i="14"/>
  <c r="G1708" i="14" s="1"/>
  <c r="H1708" i="14"/>
  <c r="E1709" i="14"/>
  <c r="G1709" i="14" s="1"/>
  <c r="H1709" i="14"/>
  <c r="E1710" i="14"/>
  <c r="G1710" i="14" s="1"/>
  <c r="H1710" i="14"/>
  <c r="E1711" i="14"/>
  <c r="G1711" i="14" s="1"/>
  <c r="H1711" i="14"/>
  <c r="H1712" i="14"/>
  <c r="E1713" i="14"/>
  <c r="G1713" i="14" s="1"/>
  <c r="H1713" i="14"/>
  <c r="E1714" i="14"/>
  <c r="G1714" i="14" s="1"/>
  <c r="H1714" i="14"/>
  <c r="E1715" i="14"/>
  <c r="G1715" i="14" s="1"/>
  <c r="H1715" i="14"/>
  <c r="E1716" i="14"/>
  <c r="G1716" i="14" s="1"/>
  <c r="H1716" i="14"/>
  <c r="E1717" i="14"/>
  <c r="G1717" i="14" s="1"/>
  <c r="H1717" i="14"/>
  <c r="E1718" i="14"/>
  <c r="G1718" i="14" s="1"/>
  <c r="H1718" i="14"/>
  <c r="E1719" i="14"/>
  <c r="G1719" i="14" s="1"/>
  <c r="H1719" i="14"/>
  <c r="E1720" i="14"/>
  <c r="G1720" i="14" s="1"/>
  <c r="H1720" i="14"/>
  <c r="H1721" i="14"/>
  <c r="E1722" i="14"/>
  <c r="G1722" i="14" s="1"/>
  <c r="H1722" i="14"/>
  <c r="E1723" i="14"/>
  <c r="G1723" i="14" s="1"/>
  <c r="H1723" i="14"/>
  <c r="E1724" i="14"/>
  <c r="G1724" i="14" s="1"/>
  <c r="H1724" i="14"/>
  <c r="E1725" i="14"/>
  <c r="G1725" i="14" s="1"/>
  <c r="H1725" i="14"/>
  <c r="E1726" i="14"/>
  <c r="G1726" i="14" s="1"/>
  <c r="H1726" i="14"/>
  <c r="E1727" i="14"/>
  <c r="G1727" i="14" s="1"/>
  <c r="H1727" i="14"/>
  <c r="E1728" i="14"/>
  <c r="G1728" i="14" s="1"/>
  <c r="H1728" i="14"/>
  <c r="E1729" i="14"/>
  <c r="G1729" i="14" s="1"/>
  <c r="H1729" i="14"/>
  <c r="H974" i="14"/>
  <c r="E975" i="14"/>
  <c r="G975" i="14" s="1"/>
  <c r="H975" i="14"/>
  <c r="E976" i="14"/>
  <c r="G976" i="14" s="1"/>
  <c r="H976" i="14"/>
  <c r="E977" i="14"/>
  <c r="G977" i="14" s="1"/>
  <c r="H977" i="14"/>
  <c r="E978" i="14"/>
  <c r="G978" i="14" s="1"/>
  <c r="H978" i="14"/>
  <c r="E979" i="14"/>
  <c r="G979" i="14" s="1"/>
  <c r="H979" i="14"/>
  <c r="E980" i="14"/>
  <c r="G980" i="14" s="1"/>
  <c r="H980" i="14"/>
  <c r="E981" i="14"/>
  <c r="G981" i="14" s="1"/>
  <c r="H981" i="14"/>
  <c r="E982" i="14"/>
  <c r="G982" i="14" s="1"/>
  <c r="H982" i="14"/>
  <c r="S45" i="1"/>
  <c r="AC45" i="1" s="1"/>
  <c r="H947" i="14"/>
  <c r="E948" i="14"/>
  <c r="G948" i="14" s="1"/>
  <c r="H948" i="14"/>
  <c r="E949" i="14"/>
  <c r="G949" i="14" s="1"/>
  <c r="H949" i="14"/>
  <c r="E950" i="14"/>
  <c r="G950" i="14" s="1"/>
  <c r="H950" i="14"/>
  <c r="E951" i="14"/>
  <c r="G951" i="14" s="1"/>
  <c r="H951" i="14"/>
  <c r="E952" i="14"/>
  <c r="G952" i="14" s="1"/>
  <c r="H952" i="14"/>
  <c r="E953" i="14"/>
  <c r="G953" i="14" s="1"/>
  <c r="H953" i="14"/>
  <c r="E954" i="14"/>
  <c r="G954" i="14" s="1"/>
  <c r="H954" i="14"/>
  <c r="E955" i="14"/>
  <c r="G955" i="14" s="1"/>
  <c r="H955" i="14"/>
  <c r="H929" i="14"/>
  <c r="E930" i="14"/>
  <c r="G930" i="14" s="1"/>
  <c r="H930" i="14"/>
  <c r="E931" i="14"/>
  <c r="G931" i="14" s="1"/>
  <c r="H931" i="14"/>
  <c r="E932" i="14"/>
  <c r="G932" i="14" s="1"/>
  <c r="H932" i="14"/>
  <c r="E933" i="14"/>
  <c r="G933" i="14" s="1"/>
  <c r="H933" i="14"/>
  <c r="E934" i="14"/>
  <c r="G934" i="14" s="1"/>
  <c r="H934" i="14"/>
  <c r="E935" i="14"/>
  <c r="G935" i="14" s="1"/>
  <c r="H935" i="14"/>
  <c r="E936" i="14"/>
  <c r="G936" i="14" s="1"/>
  <c r="H936" i="14"/>
  <c r="E937" i="14"/>
  <c r="G937" i="14" s="1"/>
  <c r="H937" i="14"/>
  <c r="S79" i="1"/>
  <c r="AC79" i="1" s="1"/>
  <c r="S62" i="1"/>
  <c r="B637" i="12" s="1"/>
  <c r="G637" i="12" s="1"/>
  <c r="K2324" i="13"/>
  <c r="H2325" i="13"/>
  <c r="J2325" i="13" s="1"/>
  <c r="K2325" i="13"/>
  <c r="H2326" i="13"/>
  <c r="J2326" i="13" s="1"/>
  <c r="K2326" i="13"/>
  <c r="H2327" i="13"/>
  <c r="J2327" i="13" s="1"/>
  <c r="K2327" i="13"/>
  <c r="H2328" i="13"/>
  <c r="J2328" i="13" s="1"/>
  <c r="K2328" i="13"/>
  <c r="H2329" i="13"/>
  <c r="J2329" i="13" s="1"/>
  <c r="K2329" i="13"/>
  <c r="H2330" i="13"/>
  <c r="J2330" i="13" s="1"/>
  <c r="K2330" i="13"/>
  <c r="H2331" i="13"/>
  <c r="J2331" i="13" s="1"/>
  <c r="K2331" i="13"/>
  <c r="H2332" i="13"/>
  <c r="J2332" i="13" s="1"/>
  <c r="K2332" i="13"/>
  <c r="K3440" i="13"/>
  <c r="H3441" i="13"/>
  <c r="J3441" i="13" s="1"/>
  <c r="K3441" i="13"/>
  <c r="H3442" i="13"/>
  <c r="J3442" i="13" s="1"/>
  <c r="K3442" i="13"/>
  <c r="H3443" i="13"/>
  <c r="J3443" i="13" s="1"/>
  <c r="K3443" i="13"/>
  <c r="H3444" i="13"/>
  <c r="J3444" i="13" s="1"/>
  <c r="K3444" i="13"/>
  <c r="H3445" i="13"/>
  <c r="J3445" i="13" s="1"/>
  <c r="K3445" i="13"/>
  <c r="H3446" i="13"/>
  <c r="J3446" i="13" s="1"/>
  <c r="K3446" i="13"/>
  <c r="H3447" i="13"/>
  <c r="J3447" i="13" s="1"/>
  <c r="K3447" i="13"/>
  <c r="H3448" i="13"/>
  <c r="J3448" i="13" s="1"/>
  <c r="K3448" i="13"/>
  <c r="S44" i="1"/>
  <c r="AD44" i="1" s="1"/>
  <c r="H2323" i="13"/>
  <c r="H2322" i="13"/>
  <c r="H2321" i="13"/>
  <c r="H2320" i="13"/>
  <c r="H2319" i="13"/>
  <c r="H2318" i="13"/>
  <c r="H2317" i="13"/>
  <c r="H2316" i="13"/>
  <c r="H2314" i="13"/>
  <c r="H2313" i="13"/>
  <c r="H2312" i="13"/>
  <c r="H2311" i="13"/>
  <c r="H2310" i="13"/>
  <c r="H2309" i="13"/>
  <c r="H2308" i="13"/>
  <c r="H2307" i="13"/>
  <c r="H2305" i="13"/>
  <c r="H2304" i="13"/>
  <c r="H2303" i="13"/>
  <c r="H2302" i="13"/>
  <c r="H2301" i="13"/>
  <c r="H2300" i="13"/>
  <c r="H2299" i="13"/>
  <c r="H2298" i="13"/>
  <c r="H2296" i="13"/>
  <c r="H2295" i="13"/>
  <c r="H2294" i="13"/>
  <c r="H2293" i="13"/>
  <c r="H2292" i="13"/>
  <c r="H2291" i="13"/>
  <c r="H2290" i="13"/>
  <c r="H2289" i="13"/>
  <c r="H6284" i="13" l="1"/>
  <c r="J6284" i="13" s="1"/>
  <c r="E1712" i="14"/>
  <c r="G1712" i="14" s="1"/>
  <c r="E1703" i="14"/>
  <c r="G1703" i="14" s="1"/>
  <c r="E1694" i="14"/>
  <c r="G1694" i="14" s="1"/>
  <c r="H6320" i="13"/>
  <c r="J6320" i="13" s="1"/>
  <c r="H2315" i="13"/>
  <c r="J2315" i="13" s="1"/>
  <c r="E578" i="22"/>
  <c r="G578" i="22" s="1"/>
  <c r="B1060" i="12"/>
  <c r="B838" i="12"/>
  <c r="V838" i="12" s="1"/>
  <c r="B841" i="12"/>
  <c r="V841" i="12" s="1"/>
  <c r="B272" i="12"/>
  <c r="F272" i="12" s="1"/>
  <c r="B707" i="12"/>
  <c r="D707" i="12" s="1"/>
  <c r="B842" i="12"/>
  <c r="I842" i="12" s="1"/>
  <c r="B271" i="12"/>
  <c r="Q271" i="12" s="1"/>
  <c r="B708" i="12"/>
  <c r="D708" i="12" s="1"/>
  <c r="J273" i="12"/>
  <c r="Q273" i="12"/>
  <c r="B709" i="12"/>
  <c r="V709" i="12" s="1"/>
  <c r="AF195" i="1"/>
  <c r="V122" i="15"/>
  <c r="W122" i="15"/>
  <c r="B638" i="12"/>
  <c r="V638" i="12" s="1"/>
  <c r="B706" i="12"/>
  <c r="D706" i="12" s="1"/>
  <c r="AD196" i="1"/>
  <c r="AF193" i="1"/>
  <c r="AF79" i="1"/>
  <c r="H2297" i="13"/>
  <c r="J2297" i="13" s="1"/>
  <c r="H2306" i="13"/>
  <c r="J2306" i="13" s="1"/>
  <c r="E974" i="14"/>
  <c r="G974" i="14" s="1"/>
  <c r="AC194" i="1"/>
  <c r="AF196" i="1"/>
  <c r="H3440" i="13"/>
  <c r="J3440" i="13" s="1"/>
  <c r="E929" i="14"/>
  <c r="G929" i="14" s="1"/>
  <c r="AF194" i="1"/>
  <c r="E1721" i="14"/>
  <c r="G1721" i="14" s="1"/>
  <c r="H2324" i="13"/>
  <c r="J2324" i="13" s="1"/>
  <c r="E947" i="14"/>
  <c r="G947" i="14" s="1"/>
  <c r="Y121" i="15"/>
  <c r="B1057" i="12"/>
  <c r="D1057" i="12" s="1"/>
  <c r="Y123" i="15"/>
  <c r="B1059" i="12"/>
  <c r="V1059" i="12" s="1"/>
  <c r="V123" i="15"/>
  <c r="B1056" i="12"/>
  <c r="D1056" i="12" s="1"/>
  <c r="Y125" i="15"/>
  <c r="Y122" i="15"/>
  <c r="V1058" i="12"/>
  <c r="V121" i="15"/>
  <c r="V125" i="15"/>
  <c r="Y76" i="15"/>
  <c r="V76" i="15"/>
  <c r="W76" i="15"/>
  <c r="B833" i="12"/>
  <c r="V833" i="12" s="1"/>
  <c r="B834" i="12"/>
  <c r="J834" i="12" s="1"/>
  <c r="AC195" i="1"/>
  <c r="AC193" i="1"/>
  <c r="B639" i="12"/>
  <c r="V639" i="12" s="1"/>
  <c r="AC62" i="1"/>
  <c r="AD62" i="1"/>
  <c r="AD45" i="1"/>
  <c r="AD79" i="1"/>
  <c r="AF45" i="1"/>
  <c r="V637" i="12"/>
  <c r="B298" i="12"/>
  <c r="V298" i="12" s="1"/>
  <c r="AF62" i="1"/>
  <c r="B267" i="12"/>
  <c r="V267" i="12" s="1"/>
  <c r="AF44" i="1"/>
  <c r="AC44" i="1"/>
  <c r="B266" i="12"/>
  <c r="Q266" i="12" s="1"/>
  <c r="B265" i="12"/>
  <c r="Q265" i="12" s="1"/>
  <c r="H6239" i="13"/>
  <c r="J6239" i="13" s="1"/>
  <c r="K6239" i="13"/>
  <c r="H6240" i="13"/>
  <c r="J6240" i="13" s="1"/>
  <c r="K6240" i="13"/>
  <c r="H6241" i="13"/>
  <c r="J6241" i="13" s="1"/>
  <c r="K6241" i="13"/>
  <c r="H6242" i="13"/>
  <c r="J6242" i="13" s="1"/>
  <c r="K6242" i="13"/>
  <c r="H6243" i="13"/>
  <c r="J6243" i="13" s="1"/>
  <c r="K6243" i="13"/>
  <c r="H6244" i="13"/>
  <c r="J6244" i="13" s="1"/>
  <c r="K6244" i="13"/>
  <c r="H6245" i="13"/>
  <c r="J6245" i="13" s="1"/>
  <c r="K6245" i="13"/>
  <c r="H6246" i="13"/>
  <c r="J6246" i="13" s="1"/>
  <c r="K6246" i="13"/>
  <c r="H6247" i="13"/>
  <c r="J6247" i="13" s="1"/>
  <c r="K6247" i="13"/>
  <c r="H6248" i="13"/>
  <c r="J6248" i="13" s="1"/>
  <c r="K6248" i="13"/>
  <c r="H6249" i="13"/>
  <c r="J6249" i="13" s="1"/>
  <c r="K6249" i="13"/>
  <c r="H6250" i="13"/>
  <c r="J6250" i="13" s="1"/>
  <c r="K6250" i="13"/>
  <c r="H6251" i="13"/>
  <c r="J6251" i="13" s="1"/>
  <c r="K6251" i="13"/>
  <c r="H6252" i="13"/>
  <c r="J6252" i="13" s="1"/>
  <c r="K6252" i="13"/>
  <c r="H6253" i="13"/>
  <c r="J6253" i="13" s="1"/>
  <c r="K6253" i="13"/>
  <c r="H6254" i="13"/>
  <c r="J6254" i="13" s="1"/>
  <c r="K6254" i="13"/>
  <c r="H6255" i="13"/>
  <c r="J6255" i="13" s="1"/>
  <c r="K6255" i="13"/>
  <c r="H6256" i="13"/>
  <c r="J6256" i="13" s="1"/>
  <c r="K6256" i="13"/>
  <c r="K6257" i="13"/>
  <c r="H6258" i="13"/>
  <c r="J6258" i="13" s="1"/>
  <c r="K6258" i="13"/>
  <c r="H6259" i="13"/>
  <c r="J6259" i="13" s="1"/>
  <c r="K6259" i="13"/>
  <c r="H6260" i="13"/>
  <c r="J6260" i="13" s="1"/>
  <c r="K6260" i="13"/>
  <c r="H6261" i="13"/>
  <c r="J6261" i="13" s="1"/>
  <c r="K6261" i="13"/>
  <c r="H6262" i="13"/>
  <c r="J6262" i="13" s="1"/>
  <c r="K6262" i="13"/>
  <c r="H6263" i="13"/>
  <c r="J6263" i="13" s="1"/>
  <c r="K6263" i="13"/>
  <c r="H6264" i="13"/>
  <c r="J6264" i="13" s="1"/>
  <c r="K6264" i="13"/>
  <c r="H6265" i="13"/>
  <c r="J6265" i="13" s="1"/>
  <c r="K6265" i="13"/>
  <c r="K6266" i="13"/>
  <c r="H6267" i="13"/>
  <c r="J6267" i="13" s="1"/>
  <c r="K6267" i="13"/>
  <c r="H6268" i="13"/>
  <c r="J6268" i="13" s="1"/>
  <c r="K6268" i="13"/>
  <c r="H6269" i="13"/>
  <c r="J6269" i="13" s="1"/>
  <c r="K6269" i="13"/>
  <c r="H6270" i="13"/>
  <c r="J6270" i="13" s="1"/>
  <c r="K6270" i="13"/>
  <c r="H6271" i="13"/>
  <c r="J6271" i="13" s="1"/>
  <c r="K6271" i="13"/>
  <c r="H6272" i="13"/>
  <c r="J6272" i="13" s="1"/>
  <c r="K6272" i="13"/>
  <c r="H6273" i="13"/>
  <c r="J6273" i="13" s="1"/>
  <c r="K6273" i="13"/>
  <c r="H6274" i="13"/>
  <c r="J6274" i="13" s="1"/>
  <c r="K6274" i="13"/>
  <c r="H6275" i="13"/>
  <c r="J6275" i="13" s="1"/>
  <c r="K6275" i="13"/>
  <c r="H6276" i="13"/>
  <c r="J6276" i="13" s="1"/>
  <c r="K6276" i="13"/>
  <c r="H6277" i="13"/>
  <c r="J6277" i="13" s="1"/>
  <c r="K6277" i="13"/>
  <c r="H6278" i="13"/>
  <c r="J6278" i="13" s="1"/>
  <c r="K6278" i="13"/>
  <c r="H6279" i="13"/>
  <c r="J6279" i="13" s="1"/>
  <c r="K6279" i="13"/>
  <c r="H6280" i="13"/>
  <c r="J6280" i="13" s="1"/>
  <c r="K6280" i="13"/>
  <c r="H6281" i="13"/>
  <c r="J6281" i="13" s="1"/>
  <c r="K6281" i="13"/>
  <c r="H6282" i="13"/>
  <c r="J6282" i="13" s="1"/>
  <c r="K6282" i="13"/>
  <c r="H6283" i="13"/>
  <c r="J6283" i="13" s="1"/>
  <c r="K6283" i="13"/>
  <c r="H3431" i="13"/>
  <c r="J3431" i="13" s="1"/>
  <c r="K3431" i="13"/>
  <c r="H3432" i="13"/>
  <c r="J3432" i="13" s="1"/>
  <c r="K3432" i="13"/>
  <c r="H3433" i="13"/>
  <c r="J3433" i="13" s="1"/>
  <c r="K3433" i="13"/>
  <c r="H3434" i="13"/>
  <c r="J3434" i="13" s="1"/>
  <c r="K3434" i="13"/>
  <c r="H3435" i="13"/>
  <c r="J3435" i="13" s="1"/>
  <c r="K3435" i="13"/>
  <c r="H3436" i="13"/>
  <c r="J3436" i="13" s="1"/>
  <c r="K3436" i="13"/>
  <c r="H3437" i="13"/>
  <c r="J3437" i="13" s="1"/>
  <c r="K3437" i="13"/>
  <c r="H3438" i="13"/>
  <c r="J3438" i="13" s="1"/>
  <c r="K3438" i="13"/>
  <c r="H3439" i="13"/>
  <c r="J3439" i="13" s="1"/>
  <c r="K3439" i="13"/>
  <c r="H2279" i="13"/>
  <c r="J2279" i="13" s="1"/>
  <c r="K2279" i="13"/>
  <c r="H2280" i="13"/>
  <c r="J2280" i="13" s="1"/>
  <c r="K2280" i="13"/>
  <c r="H2281" i="13"/>
  <c r="J2281" i="13" s="1"/>
  <c r="K2281" i="13"/>
  <c r="H2282" i="13"/>
  <c r="J2282" i="13" s="1"/>
  <c r="K2282" i="13"/>
  <c r="H2283" i="13"/>
  <c r="J2283" i="13" s="1"/>
  <c r="K2283" i="13"/>
  <c r="H2284" i="13"/>
  <c r="J2284" i="13" s="1"/>
  <c r="K2284" i="13"/>
  <c r="H2285" i="13"/>
  <c r="J2285" i="13" s="1"/>
  <c r="K2285" i="13"/>
  <c r="H2286" i="13"/>
  <c r="J2286" i="13" s="1"/>
  <c r="K2286" i="13"/>
  <c r="H2287" i="13"/>
  <c r="J2287" i="13" s="1"/>
  <c r="K2287" i="13"/>
  <c r="K2288" i="13"/>
  <c r="J2289" i="13"/>
  <c r="K2289" i="13"/>
  <c r="J2290" i="13"/>
  <c r="K2290" i="13"/>
  <c r="J2291" i="13"/>
  <c r="K2291" i="13"/>
  <c r="J2292" i="13"/>
  <c r="K2292" i="13"/>
  <c r="J2293" i="13"/>
  <c r="K2293" i="13"/>
  <c r="J2294" i="13"/>
  <c r="K2294" i="13"/>
  <c r="J2295" i="13"/>
  <c r="K2295" i="13"/>
  <c r="J2296" i="13"/>
  <c r="K2296" i="13"/>
  <c r="K2297" i="13"/>
  <c r="J2298" i="13"/>
  <c r="K2298" i="13"/>
  <c r="J2299" i="13"/>
  <c r="K2299" i="13"/>
  <c r="J2300" i="13"/>
  <c r="K2300" i="13"/>
  <c r="J2301" i="13"/>
  <c r="K2301" i="13"/>
  <c r="J2302" i="13"/>
  <c r="K2302" i="13"/>
  <c r="J2303" i="13"/>
  <c r="K2303" i="13"/>
  <c r="J2304" i="13"/>
  <c r="K2304" i="13"/>
  <c r="J2305" i="13"/>
  <c r="K2305" i="13"/>
  <c r="K2306" i="13"/>
  <c r="J2307" i="13"/>
  <c r="K2307" i="13"/>
  <c r="J2308" i="13"/>
  <c r="K2308" i="13"/>
  <c r="J2309" i="13"/>
  <c r="K2309" i="13"/>
  <c r="J2310" i="13"/>
  <c r="K2310" i="13"/>
  <c r="J2311" i="13"/>
  <c r="K2311" i="13"/>
  <c r="J2312" i="13"/>
  <c r="K2312" i="13"/>
  <c r="J2313" i="13"/>
  <c r="K2313" i="13"/>
  <c r="J2314" i="13"/>
  <c r="K2314" i="13"/>
  <c r="K2315" i="13"/>
  <c r="J2316" i="13"/>
  <c r="K2316" i="13"/>
  <c r="J2317" i="13"/>
  <c r="K2317" i="13"/>
  <c r="J2318" i="13"/>
  <c r="K2318" i="13"/>
  <c r="J2319" i="13"/>
  <c r="K2319" i="13"/>
  <c r="J2320" i="13"/>
  <c r="K2320" i="13"/>
  <c r="J2321" i="13"/>
  <c r="K2321" i="13"/>
  <c r="J2322" i="13"/>
  <c r="K2322" i="13"/>
  <c r="J2323" i="13"/>
  <c r="K2323" i="13"/>
  <c r="D1060" i="12" l="1"/>
  <c r="V1060" i="12"/>
  <c r="Q838" i="12"/>
  <c r="G841" i="12"/>
  <c r="Q841" i="12"/>
  <c r="E838" i="12"/>
  <c r="V272" i="12"/>
  <c r="E272" i="12"/>
  <c r="D272" i="12"/>
  <c r="V707" i="12"/>
  <c r="V842" i="12"/>
  <c r="Q842" i="12"/>
  <c r="G271" i="12"/>
  <c r="V271" i="12"/>
  <c r="E271" i="12"/>
  <c r="V708" i="12"/>
  <c r="D709" i="12"/>
  <c r="H6266" i="13"/>
  <c r="J6266" i="13" s="1"/>
  <c r="H6257" i="13"/>
  <c r="J6257" i="13" s="1"/>
  <c r="F638" i="12"/>
  <c r="V706" i="12"/>
  <c r="V1057" i="12"/>
  <c r="V1056" i="12"/>
  <c r="D1059" i="12"/>
  <c r="F833" i="12"/>
  <c r="R834" i="12"/>
  <c r="Q833" i="12"/>
  <c r="V834" i="12"/>
  <c r="Q639" i="12"/>
  <c r="R639" i="12"/>
  <c r="Q298" i="12"/>
  <c r="S267" i="12"/>
  <c r="B836" i="12"/>
  <c r="V836" i="12" s="1"/>
  <c r="B835" i="12"/>
  <c r="V835" i="12" s="1"/>
  <c r="B837" i="12"/>
  <c r="V837" i="12" s="1"/>
  <c r="B260" i="12"/>
  <c r="I260" i="12" s="1"/>
  <c r="V266" i="12"/>
  <c r="D266" i="12"/>
  <c r="V265" i="12"/>
  <c r="D265" i="12"/>
  <c r="Q836" i="12" l="1"/>
  <c r="H836" i="12"/>
  <c r="G836" i="12"/>
  <c r="Q837" i="12"/>
  <c r="Q835" i="12"/>
  <c r="D835" i="12"/>
  <c r="D837" i="12"/>
  <c r="E260" i="12"/>
  <c r="V260" i="12"/>
  <c r="F260" i="12"/>
  <c r="G260" i="12"/>
  <c r="H2288" i="13"/>
  <c r="J2288" i="13" s="1"/>
  <c r="B263" i="12" l="1"/>
  <c r="B264" i="12"/>
  <c r="B261" i="12"/>
  <c r="B262" i="12"/>
  <c r="B297" i="12"/>
  <c r="H1685" i="14"/>
  <c r="E1686" i="14"/>
  <c r="G1686" i="14" s="1"/>
  <c r="H1686" i="14"/>
  <c r="E1687" i="14"/>
  <c r="G1687" i="14" s="1"/>
  <c r="H1687" i="14"/>
  <c r="E1688" i="14"/>
  <c r="G1688" i="14" s="1"/>
  <c r="H1688" i="14"/>
  <c r="E1689" i="14"/>
  <c r="G1689" i="14" s="1"/>
  <c r="H1689" i="14"/>
  <c r="E1690" i="14"/>
  <c r="G1690" i="14" s="1"/>
  <c r="H1690" i="14"/>
  <c r="E1691" i="14"/>
  <c r="G1691" i="14" s="1"/>
  <c r="H1691" i="14"/>
  <c r="E1692" i="14"/>
  <c r="G1692" i="14" s="1"/>
  <c r="H1692" i="14"/>
  <c r="E1693" i="14"/>
  <c r="G1693" i="14" s="1"/>
  <c r="H1693" i="14"/>
  <c r="S200" i="1"/>
  <c r="AD200" i="1" s="1"/>
  <c r="C199" i="1"/>
  <c r="H965" i="14"/>
  <c r="E966" i="14"/>
  <c r="G966" i="14" s="1"/>
  <c r="H966" i="14"/>
  <c r="E967" i="14"/>
  <c r="G967" i="14" s="1"/>
  <c r="H967" i="14"/>
  <c r="E968" i="14"/>
  <c r="G968" i="14" s="1"/>
  <c r="H968" i="14"/>
  <c r="E969" i="14"/>
  <c r="G969" i="14" s="1"/>
  <c r="H969" i="14"/>
  <c r="E970" i="14"/>
  <c r="G970" i="14" s="1"/>
  <c r="H970" i="14"/>
  <c r="E971" i="14"/>
  <c r="G971" i="14" s="1"/>
  <c r="H971" i="14"/>
  <c r="E972" i="14"/>
  <c r="G972" i="14" s="1"/>
  <c r="H972" i="14"/>
  <c r="E973" i="14"/>
  <c r="G973" i="14" s="1"/>
  <c r="H973" i="14"/>
  <c r="S64" i="1"/>
  <c r="B702" i="12" s="1"/>
  <c r="G702" i="12" s="1"/>
  <c r="H983" i="14"/>
  <c r="E984" i="14"/>
  <c r="G984" i="14" s="1"/>
  <c r="H984" i="14"/>
  <c r="E985" i="14"/>
  <c r="G985" i="14" s="1"/>
  <c r="H985" i="14"/>
  <c r="E986" i="14"/>
  <c r="G986" i="14" s="1"/>
  <c r="H986" i="14"/>
  <c r="E987" i="14"/>
  <c r="G987" i="14" s="1"/>
  <c r="H987" i="14"/>
  <c r="E988" i="14"/>
  <c r="G988" i="14" s="1"/>
  <c r="H988" i="14"/>
  <c r="E989" i="14"/>
  <c r="G989" i="14" s="1"/>
  <c r="H989" i="14"/>
  <c r="E990" i="14"/>
  <c r="G990" i="14" s="1"/>
  <c r="H990" i="14"/>
  <c r="E991" i="14"/>
  <c r="G991" i="14" s="1"/>
  <c r="H991" i="14"/>
  <c r="S131" i="1"/>
  <c r="AD131" i="1" s="1"/>
  <c r="E938" i="14"/>
  <c r="G938" i="14" s="1"/>
  <c r="H938" i="14"/>
  <c r="E939" i="14"/>
  <c r="G939" i="14" s="1"/>
  <c r="H939" i="14"/>
  <c r="E940" i="14"/>
  <c r="G940" i="14" s="1"/>
  <c r="H940" i="14"/>
  <c r="E941" i="14"/>
  <c r="G941" i="14" s="1"/>
  <c r="H941" i="14"/>
  <c r="E942" i="14"/>
  <c r="G942" i="14" s="1"/>
  <c r="H942" i="14"/>
  <c r="E943" i="14"/>
  <c r="G943" i="14" s="1"/>
  <c r="H943" i="14"/>
  <c r="E944" i="14"/>
  <c r="G944" i="14" s="1"/>
  <c r="H944" i="14"/>
  <c r="E945" i="14"/>
  <c r="G945" i="14" s="1"/>
  <c r="H945" i="14"/>
  <c r="E946" i="14"/>
  <c r="G946" i="14" s="1"/>
  <c r="H946" i="14"/>
  <c r="H2261" i="14"/>
  <c r="E2262" i="14"/>
  <c r="G2262" i="14" s="1"/>
  <c r="H2262" i="14"/>
  <c r="E2263" i="14"/>
  <c r="G2263" i="14" s="1"/>
  <c r="H2263" i="14"/>
  <c r="E2264" i="14"/>
  <c r="G2264" i="14" s="1"/>
  <c r="H2264" i="14"/>
  <c r="E2265" i="14"/>
  <c r="G2265" i="14" s="1"/>
  <c r="H2265" i="14"/>
  <c r="E2266" i="14"/>
  <c r="G2266" i="14" s="1"/>
  <c r="H2266" i="14"/>
  <c r="E2267" i="14"/>
  <c r="G2267" i="14" s="1"/>
  <c r="H2267" i="14"/>
  <c r="E2268" i="14"/>
  <c r="G2268" i="14" s="1"/>
  <c r="H2268" i="14"/>
  <c r="E2269" i="14"/>
  <c r="G2269" i="14" s="1"/>
  <c r="H2269" i="14"/>
  <c r="H2225" i="14"/>
  <c r="E2226" i="14"/>
  <c r="G2226" i="14" s="1"/>
  <c r="H2226" i="14"/>
  <c r="E2227" i="14"/>
  <c r="G2227" i="14" s="1"/>
  <c r="H2227" i="14"/>
  <c r="E2228" i="14"/>
  <c r="G2228" i="14" s="1"/>
  <c r="H2228" i="14"/>
  <c r="E2229" i="14"/>
  <c r="G2229" i="14" s="1"/>
  <c r="H2229" i="14"/>
  <c r="E2230" i="14"/>
  <c r="G2230" i="14" s="1"/>
  <c r="H2230" i="14"/>
  <c r="E2231" i="14"/>
  <c r="G2231" i="14" s="1"/>
  <c r="H2231" i="14"/>
  <c r="E2232" i="14"/>
  <c r="G2232" i="14" s="1"/>
  <c r="H2232" i="14"/>
  <c r="E2233" i="14"/>
  <c r="G2233" i="14" s="1"/>
  <c r="H2233" i="14"/>
  <c r="H2198" i="14"/>
  <c r="E2199" i="14"/>
  <c r="G2199" i="14" s="1"/>
  <c r="H2199" i="14"/>
  <c r="E2200" i="14"/>
  <c r="G2200" i="14" s="1"/>
  <c r="H2200" i="14"/>
  <c r="E2201" i="14"/>
  <c r="G2201" i="14" s="1"/>
  <c r="H2201" i="14"/>
  <c r="E2202" i="14"/>
  <c r="G2202" i="14" s="1"/>
  <c r="H2202" i="14"/>
  <c r="E2203" i="14"/>
  <c r="G2203" i="14" s="1"/>
  <c r="H2203" i="14"/>
  <c r="E2204" i="14"/>
  <c r="G2204" i="14" s="1"/>
  <c r="H2204" i="14"/>
  <c r="E2205" i="14"/>
  <c r="G2205" i="14" s="1"/>
  <c r="H2205" i="14"/>
  <c r="E2206" i="14"/>
  <c r="G2206" i="14" s="1"/>
  <c r="H2206" i="14"/>
  <c r="S325" i="1"/>
  <c r="AD325" i="1" s="1"/>
  <c r="S328" i="1"/>
  <c r="B582" i="12" s="1"/>
  <c r="I582" i="12" s="1"/>
  <c r="S324" i="1"/>
  <c r="B581" i="12" s="1"/>
  <c r="I581" i="12" s="1"/>
  <c r="S323" i="1"/>
  <c r="B580" i="12" s="1"/>
  <c r="K3764" i="13"/>
  <c r="H3765" i="13"/>
  <c r="J3765" i="13" s="1"/>
  <c r="K3765" i="13"/>
  <c r="H3766" i="13"/>
  <c r="J3766" i="13" s="1"/>
  <c r="K3766" i="13"/>
  <c r="H3767" i="13"/>
  <c r="J3767" i="13" s="1"/>
  <c r="K3767" i="13"/>
  <c r="H3768" i="13"/>
  <c r="J3768" i="13" s="1"/>
  <c r="K3768" i="13"/>
  <c r="H3769" i="13"/>
  <c r="J3769" i="13" s="1"/>
  <c r="K3769" i="13"/>
  <c r="H3770" i="13"/>
  <c r="J3770" i="13" s="1"/>
  <c r="K3770" i="13"/>
  <c r="H3771" i="13"/>
  <c r="J3771" i="13" s="1"/>
  <c r="K3771" i="13"/>
  <c r="H3772" i="13"/>
  <c r="J3772" i="13" s="1"/>
  <c r="K3772" i="13"/>
  <c r="K2243" i="13"/>
  <c r="H2244" i="13"/>
  <c r="J2244" i="13" s="1"/>
  <c r="K2244" i="13"/>
  <c r="H2245" i="13"/>
  <c r="J2245" i="13" s="1"/>
  <c r="K2245" i="13"/>
  <c r="H2246" i="13"/>
  <c r="J2246" i="13" s="1"/>
  <c r="K2246" i="13"/>
  <c r="H2247" i="13"/>
  <c r="J2247" i="13" s="1"/>
  <c r="K2247" i="13"/>
  <c r="H2248" i="13"/>
  <c r="J2248" i="13" s="1"/>
  <c r="K2248" i="13"/>
  <c r="H2249" i="13"/>
  <c r="J2249" i="13" s="1"/>
  <c r="K2249" i="13"/>
  <c r="H2250" i="13"/>
  <c r="J2250" i="13" s="1"/>
  <c r="K2250" i="13"/>
  <c r="H2251" i="13"/>
  <c r="J2251" i="13" s="1"/>
  <c r="K2251" i="13"/>
  <c r="K2252" i="13"/>
  <c r="H2253" i="13"/>
  <c r="J2253" i="13" s="1"/>
  <c r="K2253" i="13"/>
  <c r="H2254" i="13"/>
  <c r="J2254" i="13" s="1"/>
  <c r="K2254" i="13"/>
  <c r="H2255" i="13"/>
  <c r="J2255" i="13" s="1"/>
  <c r="K2255" i="13"/>
  <c r="H2256" i="13"/>
  <c r="J2256" i="13" s="1"/>
  <c r="K2256" i="13"/>
  <c r="H2257" i="13"/>
  <c r="J2257" i="13" s="1"/>
  <c r="K2257" i="13"/>
  <c r="H2258" i="13"/>
  <c r="J2258" i="13" s="1"/>
  <c r="K2258" i="13"/>
  <c r="H2259" i="13"/>
  <c r="J2259" i="13" s="1"/>
  <c r="K2259" i="13"/>
  <c r="H2260" i="13"/>
  <c r="J2260" i="13" s="1"/>
  <c r="K2260" i="13"/>
  <c r="K2261" i="13"/>
  <c r="H2262" i="13"/>
  <c r="J2262" i="13" s="1"/>
  <c r="K2262" i="13"/>
  <c r="H2263" i="13"/>
  <c r="J2263" i="13" s="1"/>
  <c r="K2263" i="13"/>
  <c r="H2264" i="13"/>
  <c r="J2264" i="13" s="1"/>
  <c r="K2264" i="13"/>
  <c r="H2265" i="13"/>
  <c r="J2265" i="13" s="1"/>
  <c r="K2265" i="13"/>
  <c r="H2266" i="13"/>
  <c r="J2266" i="13" s="1"/>
  <c r="K2266" i="13"/>
  <c r="H2267" i="13"/>
  <c r="J2267" i="13" s="1"/>
  <c r="K2267" i="13"/>
  <c r="H2268" i="13"/>
  <c r="J2268" i="13" s="1"/>
  <c r="K2268" i="13"/>
  <c r="H2269" i="13"/>
  <c r="J2269" i="13" s="1"/>
  <c r="K2269" i="13"/>
  <c r="K2270" i="13"/>
  <c r="H2271" i="13"/>
  <c r="J2271" i="13" s="1"/>
  <c r="K2271" i="13"/>
  <c r="H2272" i="13"/>
  <c r="J2272" i="13" s="1"/>
  <c r="K2272" i="13"/>
  <c r="H2273" i="13"/>
  <c r="J2273" i="13" s="1"/>
  <c r="K2273" i="13"/>
  <c r="H2274" i="13"/>
  <c r="J2274" i="13" s="1"/>
  <c r="K2274" i="13"/>
  <c r="H2275" i="13"/>
  <c r="J2275" i="13" s="1"/>
  <c r="K2275" i="13"/>
  <c r="H2276" i="13"/>
  <c r="J2276" i="13" s="1"/>
  <c r="K2276" i="13"/>
  <c r="H2277" i="13"/>
  <c r="J2277" i="13" s="1"/>
  <c r="K2277" i="13"/>
  <c r="H2278" i="13"/>
  <c r="J2278" i="13" s="1"/>
  <c r="K2278" i="13"/>
  <c r="E2198" i="14" l="1"/>
  <c r="G2198" i="14" s="1"/>
  <c r="E2261" i="14"/>
  <c r="G2261" i="14" s="1"/>
  <c r="H2270" i="13"/>
  <c r="J2270" i="13" s="1"/>
  <c r="H2252" i="13"/>
  <c r="J2252" i="13" s="1"/>
  <c r="E965" i="14"/>
  <c r="G965" i="14" s="1"/>
  <c r="H2243" i="13"/>
  <c r="J2243" i="13" s="1"/>
  <c r="H3764" i="13"/>
  <c r="J3764" i="13" s="1"/>
  <c r="H2261" i="13"/>
  <c r="J2261" i="13" s="1"/>
  <c r="E2225" i="14"/>
  <c r="G2225" i="14" s="1"/>
  <c r="E983" i="14"/>
  <c r="G983" i="14" s="1"/>
  <c r="E1685" i="14"/>
  <c r="G1685" i="14" s="1"/>
  <c r="AF200" i="1"/>
  <c r="V262" i="12"/>
  <c r="Q262" i="12"/>
  <c r="D262" i="12"/>
  <c r="B705" i="12"/>
  <c r="Q705" i="12" s="1"/>
  <c r="Q261" i="12"/>
  <c r="D261" i="12"/>
  <c r="V261" i="12"/>
  <c r="Q264" i="12"/>
  <c r="V264" i="12"/>
  <c r="Q297" i="12"/>
  <c r="V297" i="12"/>
  <c r="D297" i="12"/>
  <c r="Q263" i="12"/>
  <c r="V263" i="12"/>
  <c r="AC200" i="1"/>
  <c r="B259" i="12"/>
  <c r="Q259" i="12" s="1"/>
  <c r="H702" i="12"/>
  <c r="B703" i="12"/>
  <c r="Q703" i="12" s="1"/>
  <c r="V702" i="12"/>
  <c r="AF64" i="1"/>
  <c r="AD64" i="1"/>
  <c r="AC64" i="1"/>
  <c r="V580" i="12"/>
  <c r="I580" i="12"/>
  <c r="B257" i="12"/>
  <c r="Q257" i="12" s="1"/>
  <c r="B636" i="12"/>
  <c r="I636" i="12" s="1"/>
  <c r="AC131" i="1"/>
  <c r="AF131" i="1"/>
  <c r="V582" i="12"/>
  <c r="V581" i="12"/>
  <c r="AF328" i="1"/>
  <c r="AC325" i="1"/>
  <c r="AF325" i="1"/>
  <c r="B384" i="12"/>
  <c r="Q384" i="12" s="1"/>
  <c r="B331" i="12"/>
  <c r="R331" i="12" s="1"/>
  <c r="AF324" i="1"/>
  <c r="AF323" i="1"/>
  <c r="AC328" i="1"/>
  <c r="AD328" i="1"/>
  <c r="AC324" i="1"/>
  <c r="AD324" i="1"/>
  <c r="AC323" i="1"/>
  <c r="AD323" i="1"/>
  <c r="B383" i="12"/>
  <c r="V383" i="12" s="1"/>
  <c r="B258" i="12"/>
  <c r="Q258" i="12" s="1"/>
  <c r="B256" i="12"/>
  <c r="S329" i="1"/>
  <c r="B712" i="12" s="1"/>
  <c r="I712" i="12" s="1"/>
  <c r="S298" i="1"/>
  <c r="AD298" i="1" s="1"/>
  <c r="H2279" i="14"/>
  <c r="E2280" i="14"/>
  <c r="G2280" i="14" s="1"/>
  <c r="H2280" i="14"/>
  <c r="E2281" i="14"/>
  <c r="G2281" i="14" s="1"/>
  <c r="H2281" i="14"/>
  <c r="E2282" i="14"/>
  <c r="G2282" i="14" s="1"/>
  <c r="H2282" i="14"/>
  <c r="E2283" i="14"/>
  <c r="G2283" i="14" s="1"/>
  <c r="H2283" i="14"/>
  <c r="E2284" i="14"/>
  <c r="G2284" i="14" s="1"/>
  <c r="H2284" i="14"/>
  <c r="E2285" i="14"/>
  <c r="G2285" i="14" s="1"/>
  <c r="H2285" i="14"/>
  <c r="E2286" i="14"/>
  <c r="G2286" i="14" s="1"/>
  <c r="H2286" i="14"/>
  <c r="E2287" i="14"/>
  <c r="G2287" i="14" s="1"/>
  <c r="H2287" i="14"/>
  <c r="H2207" i="14"/>
  <c r="E2208" i="14"/>
  <c r="G2208" i="14" s="1"/>
  <c r="H2208" i="14"/>
  <c r="E2209" i="14"/>
  <c r="G2209" i="14" s="1"/>
  <c r="H2209" i="14"/>
  <c r="E2210" i="14"/>
  <c r="G2210" i="14" s="1"/>
  <c r="H2210" i="14"/>
  <c r="E2211" i="14"/>
  <c r="G2211" i="14" s="1"/>
  <c r="H2211" i="14"/>
  <c r="E2212" i="14"/>
  <c r="G2212" i="14" s="1"/>
  <c r="H2212" i="14"/>
  <c r="E2213" i="14"/>
  <c r="G2213" i="14" s="1"/>
  <c r="H2213" i="14"/>
  <c r="E2214" i="14"/>
  <c r="G2214" i="14" s="1"/>
  <c r="H2214" i="14"/>
  <c r="E2215" i="14"/>
  <c r="G2215" i="14" s="1"/>
  <c r="H2215" i="14"/>
  <c r="H1676" i="14"/>
  <c r="E1677" i="14"/>
  <c r="G1677" i="14" s="1"/>
  <c r="H1677" i="14"/>
  <c r="E1678" i="14"/>
  <c r="G1678" i="14" s="1"/>
  <c r="H1678" i="14"/>
  <c r="E1679" i="14"/>
  <c r="G1679" i="14" s="1"/>
  <c r="H1679" i="14"/>
  <c r="E1680" i="14"/>
  <c r="G1680" i="14" s="1"/>
  <c r="H1680" i="14"/>
  <c r="E1681" i="14"/>
  <c r="G1681" i="14" s="1"/>
  <c r="H1681" i="14"/>
  <c r="E1682" i="14"/>
  <c r="G1682" i="14" s="1"/>
  <c r="H1682" i="14"/>
  <c r="E1683" i="14"/>
  <c r="G1683" i="14" s="1"/>
  <c r="H1683" i="14"/>
  <c r="E1684" i="14"/>
  <c r="G1684" i="14" s="1"/>
  <c r="H1684" i="14"/>
  <c r="S192" i="1"/>
  <c r="AF192" i="1" s="1"/>
  <c r="S191" i="1"/>
  <c r="AD191" i="1" s="1"/>
  <c r="S63" i="1"/>
  <c r="AD63" i="1" s="1"/>
  <c r="S73" i="1"/>
  <c r="AD73" i="1" s="1"/>
  <c r="S94" i="1"/>
  <c r="AD94" i="1" s="1"/>
  <c r="H956" i="14"/>
  <c r="E957" i="14"/>
  <c r="G957" i="14" s="1"/>
  <c r="H957" i="14"/>
  <c r="E958" i="14"/>
  <c r="G958" i="14" s="1"/>
  <c r="H958" i="14"/>
  <c r="E959" i="14"/>
  <c r="G959" i="14" s="1"/>
  <c r="H959" i="14"/>
  <c r="E960" i="14"/>
  <c r="G960" i="14" s="1"/>
  <c r="H960" i="14"/>
  <c r="E961" i="14"/>
  <c r="G961" i="14" s="1"/>
  <c r="H961" i="14"/>
  <c r="E962" i="14"/>
  <c r="G962" i="14" s="1"/>
  <c r="H962" i="14"/>
  <c r="E963" i="14"/>
  <c r="G963" i="14" s="1"/>
  <c r="H963" i="14"/>
  <c r="E964" i="14"/>
  <c r="G964" i="14" s="1"/>
  <c r="H964" i="14"/>
  <c r="E920" i="14"/>
  <c r="G920" i="14" s="1"/>
  <c r="H920" i="14"/>
  <c r="E921" i="14"/>
  <c r="G921" i="14" s="1"/>
  <c r="H921" i="14"/>
  <c r="E922" i="14"/>
  <c r="G922" i="14" s="1"/>
  <c r="H922" i="14"/>
  <c r="E923" i="14"/>
  <c r="G923" i="14" s="1"/>
  <c r="H923" i="14"/>
  <c r="E924" i="14"/>
  <c r="G924" i="14" s="1"/>
  <c r="H924" i="14"/>
  <c r="E925" i="14"/>
  <c r="G925" i="14" s="1"/>
  <c r="H925" i="14"/>
  <c r="E926" i="14"/>
  <c r="G926" i="14" s="1"/>
  <c r="H926" i="14"/>
  <c r="E927" i="14"/>
  <c r="G927" i="14" s="1"/>
  <c r="H927" i="14"/>
  <c r="E928" i="14"/>
  <c r="G928" i="14" s="1"/>
  <c r="H928" i="14"/>
  <c r="H911" i="14"/>
  <c r="E912" i="14"/>
  <c r="G912" i="14" s="1"/>
  <c r="H912" i="14"/>
  <c r="E913" i="14"/>
  <c r="G913" i="14" s="1"/>
  <c r="H913" i="14"/>
  <c r="E914" i="14"/>
  <c r="G914" i="14" s="1"/>
  <c r="H914" i="14"/>
  <c r="E915" i="14"/>
  <c r="G915" i="14" s="1"/>
  <c r="H915" i="14"/>
  <c r="E916" i="14"/>
  <c r="G916" i="14" s="1"/>
  <c r="H916" i="14"/>
  <c r="E917" i="14"/>
  <c r="G917" i="14" s="1"/>
  <c r="H917" i="14"/>
  <c r="E918" i="14"/>
  <c r="G918" i="14" s="1"/>
  <c r="H918" i="14"/>
  <c r="E919" i="14"/>
  <c r="G919" i="14" s="1"/>
  <c r="H919" i="14"/>
  <c r="K6203" i="13"/>
  <c r="H6204" i="13"/>
  <c r="J6204" i="13" s="1"/>
  <c r="K6204" i="13"/>
  <c r="H6205" i="13"/>
  <c r="J6205" i="13" s="1"/>
  <c r="K6205" i="13"/>
  <c r="H6206" i="13"/>
  <c r="J6206" i="13" s="1"/>
  <c r="K6206" i="13"/>
  <c r="H6207" i="13"/>
  <c r="J6207" i="13" s="1"/>
  <c r="K6207" i="13"/>
  <c r="H6208" i="13"/>
  <c r="J6208" i="13" s="1"/>
  <c r="K6208" i="13"/>
  <c r="H6209" i="13"/>
  <c r="J6209" i="13" s="1"/>
  <c r="K6209" i="13"/>
  <c r="H6210" i="13"/>
  <c r="J6210" i="13" s="1"/>
  <c r="K6210" i="13"/>
  <c r="H6211" i="13"/>
  <c r="J6211" i="13" s="1"/>
  <c r="K6211" i="13"/>
  <c r="K6212" i="13"/>
  <c r="H6213" i="13"/>
  <c r="J6213" i="13" s="1"/>
  <c r="K6213" i="13"/>
  <c r="H6214" i="13"/>
  <c r="J6214" i="13" s="1"/>
  <c r="K6214" i="13"/>
  <c r="H6215" i="13"/>
  <c r="J6215" i="13" s="1"/>
  <c r="K6215" i="13"/>
  <c r="H6216" i="13"/>
  <c r="J6216" i="13" s="1"/>
  <c r="K6216" i="13"/>
  <c r="H6217" i="13"/>
  <c r="J6217" i="13" s="1"/>
  <c r="K6217" i="13"/>
  <c r="H6218" i="13"/>
  <c r="J6218" i="13" s="1"/>
  <c r="K6218" i="13"/>
  <c r="H6219" i="13"/>
  <c r="J6219" i="13" s="1"/>
  <c r="K6219" i="13"/>
  <c r="H6220" i="13"/>
  <c r="J6220" i="13" s="1"/>
  <c r="K6220" i="13"/>
  <c r="H3413" i="13"/>
  <c r="J3413" i="13" s="1"/>
  <c r="K3413" i="13"/>
  <c r="H3414" i="13"/>
  <c r="J3414" i="13" s="1"/>
  <c r="K3414" i="13"/>
  <c r="H3415" i="13"/>
  <c r="J3415" i="13" s="1"/>
  <c r="K3415" i="13"/>
  <c r="H3416" i="13"/>
  <c r="J3416" i="13" s="1"/>
  <c r="K3416" i="13"/>
  <c r="H3417" i="13"/>
  <c r="J3417" i="13" s="1"/>
  <c r="K3417" i="13"/>
  <c r="H3418" i="13"/>
  <c r="J3418" i="13" s="1"/>
  <c r="K3418" i="13"/>
  <c r="H3419" i="13"/>
  <c r="J3419" i="13" s="1"/>
  <c r="K3419" i="13"/>
  <c r="H3420" i="13"/>
  <c r="J3420" i="13" s="1"/>
  <c r="K3420" i="13"/>
  <c r="H3421" i="13"/>
  <c r="J3421" i="13" s="1"/>
  <c r="K3421" i="13"/>
  <c r="K3422" i="13"/>
  <c r="H3423" i="13"/>
  <c r="J3423" i="13" s="1"/>
  <c r="K3423" i="13"/>
  <c r="H3424" i="13"/>
  <c r="J3424" i="13" s="1"/>
  <c r="K3424" i="13"/>
  <c r="H3425" i="13"/>
  <c r="J3425" i="13" s="1"/>
  <c r="K3425" i="13"/>
  <c r="H3426" i="13"/>
  <c r="J3426" i="13" s="1"/>
  <c r="K3426" i="13"/>
  <c r="H3427" i="13"/>
  <c r="J3427" i="13" s="1"/>
  <c r="K3427" i="13"/>
  <c r="H3428" i="13"/>
  <c r="J3428" i="13" s="1"/>
  <c r="K3428" i="13"/>
  <c r="H3429" i="13"/>
  <c r="J3429" i="13" s="1"/>
  <c r="K3429" i="13"/>
  <c r="H3430" i="13"/>
  <c r="J3430" i="13" s="1"/>
  <c r="K3430" i="13"/>
  <c r="K2234" i="13"/>
  <c r="H2235" i="13"/>
  <c r="J2235" i="13" s="1"/>
  <c r="K2235" i="13"/>
  <c r="H2236" i="13"/>
  <c r="J2236" i="13" s="1"/>
  <c r="K2236" i="13"/>
  <c r="H2237" i="13"/>
  <c r="J2237" i="13" s="1"/>
  <c r="K2237" i="13"/>
  <c r="H2238" i="13"/>
  <c r="J2238" i="13" s="1"/>
  <c r="K2238" i="13"/>
  <c r="H2239" i="13"/>
  <c r="J2239" i="13" s="1"/>
  <c r="K2239" i="13"/>
  <c r="H2240" i="13"/>
  <c r="J2240" i="13" s="1"/>
  <c r="K2240" i="13"/>
  <c r="H2241" i="13"/>
  <c r="J2241" i="13" s="1"/>
  <c r="K2241" i="13"/>
  <c r="H2242" i="13"/>
  <c r="J2242" i="13" s="1"/>
  <c r="K2242" i="13"/>
  <c r="K6185" i="13"/>
  <c r="H6186" i="13"/>
  <c r="J6186" i="13" s="1"/>
  <c r="K6186" i="13"/>
  <c r="H6187" i="13"/>
  <c r="J6187" i="13" s="1"/>
  <c r="K6187" i="13"/>
  <c r="H6188" i="13"/>
  <c r="J6188" i="13" s="1"/>
  <c r="K6188" i="13"/>
  <c r="H6189" i="13"/>
  <c r="J6189" i="13" s="1"/>
  <c r="K6189" i="13"/>
  <c r="H6190" i="13"/>
  <c r="J6190" i="13" s="1"/>
  <c r="K6190" i="13"/>
  <c r="H6191" i="13"/>
  <c r="J6191" i="13" s="1"/>
  <c r="K6191" i="13"/>
  <c r="H6192" i="13"/>
  <c r="J6192" i="13" s="1"/>
  <c r="K6192" i="13"/>
  <c r="H6193" i="13"/>
  <c r="J6193" i="13" s="1"/>
  <c r="K6193" i="13"/>
  <c r="K6194" i="13"/>
  <c r="H6195" i="13"/>
  <c r="J6195" i="13" s="1"/>
  <c r="K6195" i="13"/>
  <c r="H6196" i="13"/>
  <c r="J6196" i="13" s="1"/>
  <c r="K6196" i="13"/>
  <c r="H6197" i="13"/>
  <c r="J6197" i="13" s="1"/>
  <c r="K6197" i="13"/>
  <c r="H6198" i="13"/>
  <c r="J6198" i="13" s="1"/>
  <c r="K6198" i="13"/>
  <c r="H6199" i="13"/>
  <c r="J6199" i="13" s="1"/>
  <c r="K6199" i="13"/>
  <c r="H6200" i="13"/>
  <c r="J6200" i="13" s="1"/>
  <c r="K6200" i="13"/>
  <c r="H6201" i="13"/>
  <c r="J6201" i="13" s="1"/>
  <c r="K6201" i="13"/>
  <c r="H6202" i="13"/>
  <c r="J6202" i="13" s="1"/>
  <c r="K6202" i="13"/>
  <c r="K6221" i="13"/>
  <c r="H6222" i="13"/>
  <c r="J6222" i="13" s="1"/>
  <c r="K6222" i="13"/>
  <c r="H6223" i="13"/>
  <c r="J6223" i="13" s="1"/>
  <c r="K6223" i="13"/>
  <c r="H6224" i="13"/>
  <c r="J6224" i="13" s="1"/>
  <c r="K6224" i="13"/>
  <c r="H6225" i="13"/>
  <c r="J6225" i="13" s="1"/>
  <c r="K6225" i="13"/>
  <c r="H6226" i="13"/>
  <c r="J6226" i="13" s="1"/>
  <c r="K6226" i="13"/>
  <c r="H6227" i="13"/>
  <c r="J6227" i="13" s="1"/>
  <c r="K6227" i="13"/>
  <c r="H6228" i="13"/>
  <c r="J6228" i="13" s="1"/>
  <c r="K6228" i="13"/>
  <c r="H6229" i="13"/>
  <c r="J6229" i="13" s="1"/>
  <c r="K6229" i="13"/>
  <c r="K6230" i="13"/>
  <c r="H6231" i="13"/>
  <c r="J6231" i="13" s="1"/>
  <c r="K6231" i="13"/>
  <c r="H6232" i="13"/>
  <c r="J6232" i="13" s="1"/>
  <c r="K6232" i="13"/>
  <c r="H6233" i="13"/>
  <c r="J6233" i="13" s="1"/>
  <c r="K6233" i="13"/>
  <c r="H6234" i="13"/>
  <c r="J6234" i="13" s="1"/>
  <c r="K6234" i="13"/>
  <c r="H6235" i="13"/>
  <c r="J6235" i="13" s="1"/>
  <c r="K6235" i="13"/>
  <c r="H6236" i="13"/>
  <c r="J6236" i="13" s="1"/>
  <c r="K6236" i="13"/>
  <c r="H6237" i="13"/>
  <c r="J6237" i="13" s="1"/>
  <c r="K6237" i="13"/>
  <c r="H6238" i="13"/>
  <c r="J6238" i="13" s="1"/>
  <c r="K6238" i="13"/>
  <c r="H4727" i="13"/>
  <c r="J4727" i="13" s="1"/>
  <c r="K4727" i="13"/>
  <c r="H4728" i="13"/>
  <c r="J4728" i="13" s="1"/>
  <c r="K4728" i="13"/>
  <c r="H4729" i="13"/>
  <c r="J4729" i="13" s="1"/>
  <c r="K4729" i="13"/>
  <c r="H4730" i="13"/>
  <c r="J4730" i="13" s="1"/>
  <c r="K4730" i="13"/>
  <c r="H4731" i="13"/>
  <c r="J4731" i="13" s="1"/>
  <c r="K4731" i="13"/>
  <c r="H4732" i="13"/>
  <c r="J4732" i="13" s="1"/>
  <c r="K4732" i="13"/>
  <c r="H4733" i="13"/>
  <c r="J4733" i="13" s="1"/>
  <c r="K4733" i="13"/>
  <c r="H4734" i="13"/>
  <c r="J4734" i="13" s="1"/>
  <c r="K4734" i="13"/>
  <c r="H4735" i="13"/>
  <c r="J4735" i="13" s="1"/>
  <c r="K4735" i="13"/>
  <c r="K2225" i="13"/>
  <c r="H2226" i="13"/>
  <c r="J2226" i="13" s="1"/>
  <c r="K2226" i="13"/>
  <c r="H2227" i="13"/>
  <c r="J2227" i="13" s="1"/>
  <c r="K2227" i="13"/>
  <c r="H2228" i="13"/>
  <c r="J2228" i="13" s="1"/>
  <c r="K2228" i="13"/>
  <c r="H2229" i="13"/>
  <c r="J2229" i="13" s="1"/>
  <c r="K2229" i="13"/>
  <c r="H2230" i="13"/>
  <c r="J2230" i="13" s="1"/>
  <c r="K2230" i="13"/>
  <c r="H2231" i="13"/>
  <c r="J2231" i="13" s="1"/>
  <c r="K2231" i="13"/>
  <c r="H2232" i="13"/>
  <c r="J2232" i="13" s="1"/>
  <c r="K2232" i="13"/>
  <c r="H2233" i="13"/>
  <c r="J2233" i="13" s="1"/>
  <c r="K2233" i="13"/>
  <c r="H6212" i="13" l="1"/>
  <c r="J6212" i="13" s="1"/>
  <c r="H6194" i="13"/>
  <c r="J6194" i="13" s="1"/>
  <c r="H3422" i="13"/>
  <c r="J3422" i="13" s="1"/>
  <c r="H2234" i="13"/>
  <c r="J2234" i="13" s="1"/>
  <c r="E2207" i="14"/>
  <c r="G2207" i="14" s="1"/>
  <c r="H2225" i="13"/>
  <c r="J2225" i="13" s="1"/>
  <c r="H6230" i="13"/>
  <c r="J6230" i="13" s="1"/>
  <c r="H6221" i="13"/>
  <c r="J6221" i="13" s="1"/>
  <c r="H6185" i="13"/>
  <c r="J6185" i="13" s="1"/>
  <c r="H6203" i="13"/>
  <c r="J6203" i="13" s="1"/>
  <c r="E956" i="14"/>
  <c r="G956" i="14" s="1"/>
  <c r="E1676" i="14"/>
  <c r="G1676" i="14" s="1"/>
  <c r="E911" i="14"/>
  <c r="G911" i="14" s="1"/>
  <c r="E2279" i="14"/>
  <c r="G2279" i="14" s="1"/>
  <c r="B828" i="12"/>
  <c r="Q828" i="12" s="1"/>
  <c r="B829" i="12"/>
  <c r="I829" i="12" s="1"/>
  <c r="B832" i="12"/>
  <c r="Q832" i="12" s="1"/>
  <c r="B830" i="12"/>
  <c r="D830" i="12" s="1"/>
  <c r="V705" i="12"/>
  <c r="V259" i="12"/>
  <c r="V703" i="12"/>
  <c r="F257" i="12"/>
  <c r="V257" i="12"/>
  <c r="G257" i="12"/>
  <c r="V636" i="12"/>
  <c r="B255" i="12"/>
  <c r="F255" i="12" s="1"/>
  <c r="AF298" i="1"/>
  <c r="F331" i="12"/>
  <c r="B701" i="12"/>
  <c r="G701" i="12" s="1"/>
  <c r="B634" i="12"/>
  <c r="V634" i="12" s="1"/>
  <c r="AC298" i="1"/>
  <c r="V331" i="12"/>
  <c r="E331" i="12"/>
  <c r="V384" i="12"/>
  <c r="AF63" i="1"/>
  <c r="B710" i="12"/>
  <c r="I710" i="12" s="1"/>
  <c r="Q331" i="12"/>
  <c r="E384" i="12"/>
  <c r="AC329" i="1"/>
  <c r="AD329" i="1"/>
  <c r="B704" i="12"/>
  <c r="I704" i="12" s="1"/>
  <c r="AF329" i="1"/>
  <c r="B635" i="12"/>
  <c r="I635" i="12" s="1"/>
  <c r="Q383" i="12"/>
  <c r="E383" i="12"/>
  <c r="V258" i="12"/>
  <c r="V256" i="12"/>
  <c r="Q256" i="12"/>
  <c r="V712" i="12"/>
  <c r="AF73" i="1"/>
  <c r="B316" i="12"/>
  <c r="Q316" i="12" s="1"/>
  <c r="AC94" i="1"/>
  <c r="AC191" i="1"/>
  <c r="AF94" i="1"/>
  <c r="AC63" i="1"/>
  <c r="AF191" i="1"/>
  <c r="AC192" i="1"/>
  <c r="AD192" i="1"/>
  <c r="B343" i="12"/>
  <c r="Q343" i="12" s="1"/>
  <c r="AC73" i="1"/>
  <c r="B254" i="12"/>
  <c r="Q254" i="12" s="1"/>
  <c r="B342" i="12"/>
  <c r="M342" i="12" s="1"/>
  <c r="B831" i="12"/>
  <c r="F831" i="12" s="1"/>
  <c r="B827" i="12"/>
  <c r="Q827" i="12" s="1"/>
  <c r="V828" i="12" l="1"/>
  <c r="F828" i="12"/>
  <c r="V832" i="12"/>
  <c r="H829" i="12"/>
  <c r="G829" i="12"/>
  <c r="Q830" i="12"/>
  <c r="V829" i="12"/>
  <c r="V830" i="12"/>
  <c r="D832" i="12"/>
  <c r="Q829" i="12"/>
  <c r="E255" i="12"/>
  <c r="Q255" i="12"/>
  <c r="V255" i="12"/>
  <c r="H701" i="12"/>
  <c r="V701" i="12"/>
  <c r="F634" i="12"/>
  <c r="V710" i="12"/>
  <c r="V704" i="12"/>
  <c r="V635" i="12"/>
  <c r="V316" i="12"/>
  <c r="V343" i="12"/>
  <c r="V254" i="12"/>
  <c r="R254" i="12"/>
  <c r="H254" i="12"/>
  <c r="I254" i="12"/>
  <c r="O342" i="12"/>
  <c r="Q342" i="12"/>
  <c r="V342" i="12"/>
  <c r="V831" i="12"/>
  <c r="Q831" i="12"/>
  <c r="E827" i="12"/>
  <c r="V827" i="12"/>
  <c r="S43" i="1" l="1"/>
  <c r="AD43" i="1" s="1"/>
  <c r="AF43" i="1" l="1"/>
  <c r="AC43" i="1"/>
  <c r="B822" i="12" l="1"/>
  <c r="H822" i="12" s="1"/>
  <c r="B826" i="12"/>
  <c r="Q826" i="12" s="1"/>
  <c r="K6158" i="13"/>
  <c r="H6159" i="13"/>
  <c r="J6159" i="13" s="1"/>
  <c r="K6159" i="13"/>
  <c r="H6160" i="13"/>
  <c r="J6160" i="13" s="1"/>
  <c r="K6160" i="13"/>
  <c r="H6161" i="13"/>
  <c r="J6161" i="13" s="1"/>
  <c r="K6161" i="13"/>
  <c r="H6162" i="13"/>
  <c r="J6162" i="13" s="1"/>
  <c r="K6162" i="13"/>
  <c r="H6163" i="13"/>
  <c r="J6163" i="13" s="1"/>
  <c r="K6163" i="13"/>
  <c r="H6164" i="13"/>
  <c r="J6164" i="13" s="1"/>
  <c r="K6164" i="13"/>
  <c r="H6165" i="13"/>
  <c r="J6165" i="13" s="1"/>
  <c r="K6165" i="13"/>
  <c r="H6166" i="13"/>
  <c r="J6166" i="13" s="1"/>
  <c r="K6166" i="13"/>
  <c r="K6167" i="13"/>
  <c r="H6168" i="13"/>
  <c r="J6168" i="13" s="1"/>
  <c r="K6168" i="13"/>
  <c r="H6169" i="13"/>
  <c r="J6169" i="13" s="1"/>
  <c r="K6169" i="13"/>
  <c r="H6170" i="13"/>
  <c r="J6170" i="13" s="1"/>
  <c r="K6170" i="13"/>
  <c r="H6171" i="13"/>
  <c r="J6171" i="13" s="1"/>
  <c r="K6171" i="13"/>
  <c r="H6172" i="13"/>
  <c r="J6172" i="13" s="1"/>
  <c r="K6172" i="13"/>
  <c r="H6173" i="13"/>
  <c r="J6173" i="13" s="1"/>
  <c r="K6173" i="13"/>
  <c r="H6174" i="13"/>
  <c r="J6174" i="13" s="1"/>
  <c r="K6174" i="13"/>
  <c r="H6175" i="13"/>
  <c r="J6175" i="13" s="1"/>
  <c r="K6175" i="13"/>
  <c r="H6176" i="13"/>
  <c r="J6176" i="13" s="1"/>
  <c r="K6176" i="13"/>
  <c r="H6177" i="13"/>
  <c r="J6177" i="13" s="1"/>
  <c r="K6177" i="13"/>
  <c r="H6178" i="13"/>
  <c r="J6178" i="13" s="1"/>
  <c r="K6178" i="13"/>
  <c r="H6179" i="13"/>
  <c r="J6179" i="13" s="1"/>
  <c r="K6179" i="13"/>
  <c r="H6180" i="13"/>
  <c r="J6180" i="13" s="1"/>
  <c r="K6180" i="13"/>
  <c r="H6181" i="13"/>
  <c r="J6181" i="13" s="1"/>
  <c r="K6181" i="13"/>
  <c r="H6182" i="13"/>
  <c r="J6182" i="13" s="1"/>
  <c r="K6182" i="13"/>
  <c r="H6183" i="13"/>
  <c r="J6183" i="13" s="1"/>
  <c r="K6183" i="13"/>
  <c r="H6184" i="13"/>
  <c r="J6184" i="13" s="1"/>
  <c r="K6184" i="13"/>
  <c r="H6077" i="13"/>
  <c r="J6077" i="13" s="1"/>
  <c r="K6077" i="13"/>
  <c r="H6078" i="13"/>
  <c r="J6078" i="13" s="1"/>
  <c r="K6078" i="13"/>
  <c r="H6079" i="13"/>
  <c r="J6079" i="13" s="1"/>
  <c r="K6079" i="13"/>
  <c r="H6080" i="13"/>
  <c r="J6080" i="13" s="1"/>
  <c r="K6080" i="13"/>
  <c r="H6081" i="13"/>
  <c r="J6081" i="13" s="1"/>
  <c r="K6081" i="13"/>
  <c r="H6082" i="13"/>
  <c r="J6082" i="13" s="1"/>
  <c r="K6082" i="13"/>
  <c r="H6083" i="13"/>
  <c r="J6083" i="13" s="1"/>
  <c r="K6083" i="13"/>
  <c r="H6084" i="13"/>
  <c r="J6084" i="13" s="1"/>
  <c r="K6084" i="13"/>
  <c r="H6085" i="13"/>
  <c r="J6085" i="13" s="1"/>
  <c r="K6085" i="13"/>
  <c r="H6086" i="13"/>
  <c r="J6086" i="13" s="1"/>
  <c r="K6086" i="13"/>
  <c r="H6087" i="13"/>
  <c r="J6087" i="13" s="1"/>
  <c r="K6087" i="13"/>
  <c r="H6088" i="13"/>
  <c r="J6088" i="13" s="1"/>
  <c r="K6088" i="13"/>
  <c r="H6089" i="13"/>
  <c r="J6089" i="13" s="1"/>
  <c r="K6089" i="13"/>
  <c r="H6090" i="13"/>
  <c r="J6090" i="13" s="1"/>
  <c r="K6090" i="13"/>
  <c r="H6091" i="13"/>
  <c r="J6091" i="13" s="1"/>
  <c r="K6091" i="13"/>
  <c r="H6092" i="13"/>
  <c r="J6092" i="13" s="1"/>
  <c r="K6092" i="13"/>
  <c r="H6093" i="13"/>
  <c r="J6093" i="13" s="1"/>
  <c r="K6093" i="13"/>
  <c r="H6094" i="13"/>
  <c r="J6094" i="13" s="1"/>
  <c r="K6094" i="13"/>
  <c r="H6167" i="13" l="1"/>
  <c r="J6167" i="13" s="1"/>
  <c r="H6158" i="13"/>
  <c r="J6158" i="13" s="1"/>
  <c r="B825" i="12"/>
  <c r="Q825" i="12" s="1"/>
  <c r="B824" i="12"/>
  <c r="Q824" i="12" s="1"/>
  <c r="B823" i="12"/>
  <c r="Q823" i="12" s="1"/>
  <c r="F822" i="12"/>
  <c r="Q822" i="12"/>
  <c r="G822" i="12"/>
  <c r="F826" i="12"/>
  <c r="V822" i="12"/>
  <c r="V826" i="12"/>
  <c r="H6095" i="13"/>
  <c r="J6095" i="13" s="1"/>
  <c r="K6095" i="13"/>
  <c r="H6096" i="13"/>
  <c r="J6096" i="13" s="1"/>
  <c r="K6096" i="13"/>
  <c r="H6097" i="13"/>
  <c r="J6097" i="13" s="1"/>
  <c r="K6097" i="13"/>
  <c r="H6098" i="13"/>
  <c r="J6098" i="13" s="1"/>
  <c r="K6098" i="13"/>
  <c r="H6099" i="13"/>
  <c r="J6099" i="13" s="1"/>
  <c r="K6099" i="13"/>
  <c r="H6100" i="13"/>
  <c r="J6100" i="13" s="1"/>
  <c r="K6100" i="13"/>
  <c r="H6101" i="13"/>
  <c r="J6101" i="13" s="1"/>
  <c r="K6101" i="13"/>
  <c r="H6102" i="13"/>
  <c r="J6102" i="13" s="1"/>
  <c r="K6102" i="13"/>
  <c r="H6103" i="13"/>
  <c r="J6103" i="13" s="1"/>
  <c r="K6103" i="13"/>
  <c r="H3746" i="13"/>
  <c r="J3746" i="13" s="1"/>
  <c r="K3746" i="13"/>
  <c r="H3747" i="13"/>
  <c r="J3747" i="13" s="1"/>
  <c r="K3747" i="13"/>
  <c r="H3748" i="13"/>
  <c r="J3748" i="13" s="1"/>
  <c r="K3748" i="13"/>
  <c r="H3749" i="13"/>
  <c r="J3749" i="13" s="1"/>
  <c r="K3749" i="13"/>
  <c r="H3750" i="13"/>
  <c r="J3750" i="13" s="1"/>
  <c r="K3750" i="13"/>
  <c r="H3751" i="13"/>
  <c r="J3751" i="13" s="1"/>
  <c r="K3751" i="13"/>
  <c r="H3752" i="13"/>
  <c r="J3752" i="13" s="1"/>
  <c r="K3752" i="13"/>
  <c r="H3753" i="13"/>
  <c r="J3753" i="13" s="1"/>
  <c r="K3753" i="13"/>
  <c r="H3754" i="13"/>
  <c r="J3754" i="13" s="1"/>
  <c r="K3754" i="13"/>
  <c r="K3755" i="13"/>
  <c r="H3756" i="13"/>
  <c r="J3756" i="13" s="1"/>
  <c r="K3756" i="13"/>
  <c r="H3757" i="13"/>
  <c r="J3757" i="13" s="1"/>
  <c r="K3757" i="13"/>
  <c r="H3758" i="13"/>
  <c r="J3758" i="13" s="1"/>
  <c r="K3758" i="13"/>
  <c r="H3759" i="13"/>
  <c r="J3759" i="13" s="1"/>
  <c r="K3759" i="13"/>
  <c r="H3760" i="13"/>
  <c r="J3760" i="13" s="1"/>
  <c r="K3760" i="13"/>
  <c r="H3761" i="13"/>
  <c r="J3761" i="13" s="1"/>
  <c r="K3761" i="13"/>
  <c r="H3762" i="13"/>
  <c r="J3762" i="13" s="1"/>
  <c r="K3762" i="13"/>
  <c r="H3763" i="13"/>
  <c r="J3763" i="13" s="1"/>
  <c r="K3763" i="13"/>
  <c r="K3683" i="13"/>
  <c r="H3684" i="13"/>
  <c r="J3684" i="13" s="1"/>
  <c r="K3684" i="13"/>
  <c r="H3685" i="13"/>
  <c r="J3685" i="13" s="1"/>
  <c r="K3685" i="13"/>
  <c r="H3686" i="13"/>
  <c r="J3686" i="13" s="1"/>
  <c r="K3686" i="13"/>
  <c r="H3687" i="13"/>
  <c r="J3687" i="13" s="1"/>
  <c r="K3687" i="13"/>
  <c r="H3688" i="13"/>
  <c r="J3688" i="13" s="1"/>
  <c r="K3688" i="13"/>
  <c r="H3689" i="13"/>
  <c r="J3689" i="13" s="1"/>
  <c r="K3689" i="13"/>
  <c r="H3690" i="13"/>
  <c r="J3690" i="13" s="1"/>
  <c r="K3690" i="13"/>
  <c r="H3691" i="13"/>
  <c r="J3691" i="13" s="1"/>
  <c r="K3691" i="13"/>
  <c r="K3692" i="13"/>
  <c r="H3693" i="13"/>
  <c r="J3693" i="13" s="1"/>
  <c r="K3693" i="13"/>
  <c r="H3694" i="13"/>
  <c r="J3694" i="13" s="1"/>
  <c r="K3694" i="13"/>
  <c r="H3695" i="13"/>
  <c r="J3695" i="13" s="1"/>
  <c r="K3695" i="13"/>
  <c r="H3696" i="13"/>
  <c r="J3696" i="13" s="1"/>
  <c r="K3696" i="13"/>
  <c r="H3697" i="13"/>
  <c r="J3697" i="13" s="1"/>
  <c r="K3697" i="13"/>
  <c r="H3698" i="13"/>
  <c r="J3698" i="13" s="1"/>
  <c r="K3698" i="13"/>
  <c r="H3699" i="13"/>
  <c r="J3699" i="13" s="1"/>
  <c r="K3699" i="13"/>
  <c r="H3700" i="13"/>
  <c r="J3700" i="13" s="1"/>
  <c r="K3700" i="13"/>
  <c r="K3701" i="13"/>
  <c r="H3702" i="13"/>
  <c r="J3702" i="13" s="1"/>
  <c r="K3702" i="13"/>
  <c r="H3703" i="13"/>
  <c r="J3703" i="13" s="1"/>
  <c r="K3703" i="13"/>
  <c r="H3704" i="13"/>
  <c r="J3704" i="13" s="1"/>
  <c r="K3704" i="13"/>
  <c r="H3705" i="13"/>
  <c r="J3705" i="13" s="1"/>
  <c r="K3705" i="13"/>
  <c r="H3706" i="13"/>
  <c r="J3706" i="13" s="1"/>
  <c r="K3706" i="13"/>
  <c r="H3707" i="13"/>
  <c r="J3707" i="13" s="1"/>
  <c r="K3707" i="13"/>
  <c r="H3708" i="13"/>
  <c r="J3708" i="13" s="1"/>
  <c r="K3708" i="13"/>
  <c r="H3709" i="13"/>
  <c r="J3709" i="13" s="1"/>
  <c r="K3709" i="13"/>
  <c r="K3710" i="13"/>
  <c r="H3711" i="13"/>
  <c r="J3711" i="13" s="1"/>
  <c r="K3711" i="13"/>
  <c r="H3712" i="13"/>
  <c r="J3712" i="13" s="1"/>
  <c r="K3712" i="13"/>
  <c r="H3713" i="13"/>
  <c r="J3713" i="13" s="1"/>
  <c r="K3713" i="13"/>
  <c r="H3714" i="13"/>
  <c r="J3714" i="13" s="1"/>
  <c r="K3714" i="13"/>
  <c r="H3715" i="13"/>
  <c r="J3715" i="13" s="1"/>
  <c r="K3715" i="13"/>
  <c r="H3716" i="13"/>
  <c r="J3716" i="13" s="1"/>
  <c r="K3716" i="13"/>
  <c r="H3717" i="13"/>
  <c r="J3717" i="13" s="1"/>
  <c r="K3717" i="13"/>
  <c r="H3718" i="13"/>
  <c r="J3718" i="13" s="1"/>
  <c r="K3718" i="13"/>
  <c r="K3719" i="13"/>
  <c r="H3720" i="13"/>
  <c r="J3720" i="13" s="1"/>
  <c r="K3720" i="13"/>
  <c r="H3721" i="13"/>
  <c r="J3721" i="13" s="1"/>
  <c r="K3721" i="13"/>
  <c r="H3722" i="13"/>
  <c r="J3722" i="13" s="1"/>
  <c r="K3722" i="13"/>
  <c r="H3723" i="13"/>
  <c r="J3723" i="13" s="1"/>
  <c r="K3723" i="13"/>
  <c r="H3724" i="13"/>
  <c r="J3724" i="13" s="1"/>
  <c r="K3724" i="13"/>
  <c r="H3725" i="13"/>
  <c r="J3725" i="13" s="1"/>
  <c r="K3725" i="13"/>
  <c r="H3726" i="13"/>
  <c r="J3726" i="13" s="1"/>
  <c r="K3726" i="13"/>
  <c r="H3727" i="13"/>
  <c r="J3727" i="13" s="1"/>
  <c r="K3727" i="13"/>
  <c r="H3728" i="13"/>
  <c r="J3728" i="13" s="1"/>
  <c r="K3728" i="13"/>
  <c r="H3729" i="13"/>
  <c r="J3729" i="13" s="1"/>
  <c r="K3729" i="13"/>
  <c r="H3730" i="13"/>
  <c r="J3730" i="13" s="1"/>
  <c r="K3730" i="13"/>
  <c r="H3731" i="13"/>
  <c r="J3731" i="13" s="1"/>
  <c r="K3731" i="13"/>
  <c r="H3732" i="13"/>
  <c r="J3732" i="13" s="1"/>
  <c r="K3732" i="13"/>
  <c r="H3733" i="13"/>
  <c r="J3733" i="13" s="1"/>
  <c r="K3733" i="13"/>
  <c r="H3734" i="13"/>
  <c r="J3734" i="13" s="1"/>
  <c r="K3734" i="13"/>
  <c r="H3735" i="13"/>
  <c r="J3735" i="13" s="1"/>
  <c r="K3735" i="13"/>
  <c r="H3736" i="13"/>
  <c r="J3736" i="13" s="1"/>
  <c r="K3736" i="13"/>
  <c r="H3737" i="13"/>
  <c r="J3737" i="13" s="1"/>
  <c r="K3737" i="13"/>
  <c r="H3738" i="13"/>
  <c r="J3738" i="13" s="1"/>
  <c r="K3738" i="13"/>
  <c r="H3739" i="13"/>
  <c r="J3739" i="13" s="1"/>
  <c r="K3739" i="13"/>
  <c r="H3740" i="13"/>
  <c r="J3740" i="13" s="1"/>
  <c r="K3740" i="13"/>
  <c r="H3741" i="13"/>
  <c r="J3741" i="13" s="1"/>
  <c r="K3741" i="13"/>
  <c r="H3742" i="13"/>
  <c r="J3742" i="13" s="1"/>
  <c r="K3742" i="13"/>
  <c r="H3743" i="13"/>
  <c r="J3743" i="13" s="1"/>
  <c r="K3743" i="13"/>
  <c r="H3744" i="13"/>
  <c r="J3744" i="13" s="1"/>
  <c r="K3744" i="13"/>
  <c r="H3745" i="13"/>
  <c r="J3745" i="13" s="1"/>
  <c r="K3745" i="13"/>
  <c r="H3701" i="13" l="1"/>
  <c r="J3701" i="13" s="1"/>
  <c r="H3719" i="13"/>
  <c r="J3719" i="13" s="1"/>
  <c r="H3683" i="13"/>
  <c r="J3683" i="13" s="1"/>
  <c r="H3755" i="13"/>
  <c r="J3755" i="13" s="1"/>
  <c r="H3710" i="13"/>
  <c r="J3710" i="13" s="1"/>
  <c r="H3692" i="13"/>
  <c r="J3692" i="13" s="1"/>
  <c r="V825" i="12"/>
  <c r="E825" i="12"/>
  <c r="B385" i="12"/>
  <c r="E385" i="12" s="1"/>
  <c r="B381" i="12"/>
  <c r="Q381" i="12" s="1"/>
  <c r="B380" i="12"/>
  <c r="Q380" i="12" s="1"/>
  <c r="B382" i="12"/>
  <c r="G382" i="12" s="1"/>
  <c r="B378" i="12"/>
  <c r="M378" i="12" s="1"/>
  <c r="I824" i="12"/>
  <c r="H824" i="12"/>
  <c r="K824" i="12"/>
  <c r="V824" i="12"/>
  <c r="V823" i="12"/>
  <c r="B997" i="12"/>
  <c r="Q997" i="12" s="1"/>
  <c r="B379" i="12"/>
  <c r="G379" i="12" s="1"/>
  <c r="G823" i="12"/>
  <c r="F823" i="12"/>
  <c r="Q385" i="12" l="1"/>
  <c r="V385" i="12"/>
  <c r="D385" i="12"/>
  <c r="F381" i="12"/>
  <c r="V381" i="12"/>
  <c r="E381" i="12"/>
  <c r="G380" i="12"/>
  <c r="F380" i="12"/>
  <c r="V380" i="12"/>
  <c r="H382" i="12"/>
  <c r="I378" i="12"/>
  <c r="Q382" i="12"/>
  <c r="V382" i="12"/>
  <c r="H378" i="12"/>
  <c r="Q378" i="12"/>
  <c r="V378" i="12"/>
  <c r="B325" i="12"/>
  <c r="Q325" i="12" s="1"/>
  <c r="F379" i="12"/>
  <c r="G997" i="12"/>
  <c r="V997" i="12"/>
  <c r="H997" i="12"/>
  <c r="Q379" i="12"/>
  <c r="V379" i="12"/>
  <c r="V325" i="12" l="1"/>
  <c r="F325" i="12"/>
  <c r="E325" i="12"/>
  <c r="H3260" i="13" l="1"/>
  <c r="J3260" i="13" s="1"/>
  <c r="K3260" i="13"/>
  <c r="H3261" i="13"/>
  <c r="J3261" i="13" s="1"/>
  <c r="K3261" i="13"/>
  <c r="H3262" i="13"/>
  <c r="J3262" i="13" s="1"/>
  <c r="K3262" i="13"/>
  <c r="H3263" i="13"/>
  <c r="J3263" i="13" s="1"/>
  <c r="K3263" i="13"/>
  <c r="H3264" i="13"/>
  <c r="J3264" i="13" s="1"/>
  <c r="K3264" i="13"/>
  <c r="H3265" i="13"/>
  <c r="J3265" i="13" s="1"/>
  <c r="K3265" i="13"/>
  <c r="H3266" i="13"/>
  <c r="J3266" i="13" s="1"/>
  <c r="K3266" i="13"/>
  <c r="H3267" i="13"/>
  <c r="J3267" i="13" s="1"/>
  <c r="K3267" i="13"/>
  <c r="H3268" i="13"/>
  <c r="J3268" i="13" s="1"/>
  <c r="K3268" i="13"/>
  <c r="H3269" i="13"/>
  <c r="J3269" i="13" s="1"/>
  <c r="K3269" i="13"/>
  <c r="H3270" i="13"/>
  <c r="J3270" i="13" s="1"/>
  <c r="K3270" i="13"/>
  <c r="H3271" i="13"/>
  <c r="J3271" i="13" s="1"/>
  <c r="K3271" i="13"/>
  <c r="H3272" i="13"/>
  <c r="J3272" i="13" s="1"/>
  <c r="K3272" i="13"/>
  <c r="H3273" i="13"/>
  <c r="J3273" i="13" s="1"/>
  <c r="K3273" i="13"/>
  <c r="H3274" i="13"/>
  <c r="J3274" i="13" s="1"/>
  <c r="K3274" i="13"/>
  <c r="H3275" i="13"/>
  <c r="J3275" i="13" s="1"/>
  <c r="K3275" i="13"/>
  <c r="H3276" i="13"/>
  <c r="J3276" i="13" s="1"/>
  <c r="K3276" i="13"/>
  <c r="H3277" i="13"/>
  <c r="J3277" i="13" s="1"/>
  <c r="K3277" i="13"/>
  <c r="H3278" i="13"/>
  <c r="J3278" i="13" s="1"/>
  <c r="K3278" i="13"/>
  <c r="H3279" i="13"/>
  <c r="J3279" i="13" s="1"/>
  <c r="K3279" i="13"/>
  <c r="H3280" i="13"/>
  <c r="J3280" i="13" s="1"/>
  <c r="K3280" i="13"/>
  <c r="H3281" i="13"/>
  <c r="J3281" i="13" s="1"/>
  <c r="K3281" i="13"/>
  <c r="H3282" i="13"/>
  <c r="J3282" i="13" s="1"/>
  <c r="K3282" i="13"/>
  <c r="H3283" i="13"/>
  <c r="J3283" i="13" s="1"/>
  <c r="K3283" i="13"/>
  <c r="H3284" i="13"/>
  <c r="J3284" i="13" s="1"/>
  <c r="K3284" i="13"/>
  <c r="H3285" i="13"/>
  <c r="J3285" i="13" s="1"/>
  <c r="K3285" i="13"/>
  <c r="H3286" i="13"/>
  <c r="J3286" i="13" s="1"/>
  <c r="K3286" i="13"/>
  <c r="B327" i="12"/>
  <c r="R327" i="12" s="1"/>
  <c r="B328" i="12"/>
  <c r="Q328" i="12" s="1"/>
  <c r="B329" i="12"/>
  <c r="Q329" i="12" s="1"/>
  <c r="V328" i="12" l="1"/>
  <c r="J328" i="12"/>
  <c r="V327" i="12"/>
  <c r="N327" i="12"/>
  <c r="Q327" i="12"/>
  <c r="J329" i="12"/>
  <c r="V329" i="12"/>
  <c r="H2153" i="13"/>
  <c r="J2153" i="13" s="1"/>
  <c r="K2153" i="13"/>
  <c r="H2154" i="13"/>
  <c r="J2154" i="13" s="1"/>
  <c r="K2154" i="13"/>
  <c r="H2155" i="13"/>
  <c r="J2155" i="13" s="1"/>
  <c r="K2155" i="13"/>
  <c r="H2156" i="13"/>
  <c r="J2156" i="13" s="1"/>
  <c r="K2156" i="13"/>
  <c r="H2157" i="13"/>
  <c r="J2157" i="13" s="1"/>
  <c r="K2157" i="13"/>
  <c r="H2158" i="13"/>
  <c r="J2158" i="13" s="1"/>
  <c r="K2158" i="13"/>
  <c r="H2159" i="13"/>
  <c r="J2159" i="13" s="1"/>
  <c r="K2159" i="13"/>
  <c r="H2160" i="13"/>
  <c r="J2160" i="13" s="1"/>
  <c r="K2160" i="13"/>
  <c r="H2161" i="13"/>
  <c r="J2161" i="13" s="1"/>
  <c r="K2161" i="13"/>
  <c r="B326" i="12"/>
  <c r="Q326" i="12" s="1"/>
  <c r="H3251" i="13"/>
  <c r="J3251" i="13" s="1"/>
  <c r="K3251" i="13"/>
  <c r="H3252" i="13"/>
  <c r="J3252" i="13" s="1"/>
  <c r="K3252" i="13"/>
  <c r="H3253" i="13"/>
  <c r="J3253" i="13" s="1"/>
  <c r="K3253" i="13"/>
  <c r="H3254" i="13"/>
  <c r="J3254" i="13" s="1"/>
  <c r="K3254" i="13"/>
  <c r="H3255" i="13"/>
  <c r="J3255" i="13" s="1"/>
  <c r="K3255" i="13"/>
  <c r="H3256" i="13"/>
  <c r="J3256" i="13" s="1"/>
  <c r="K3256" i="13"/>
  <c r="H3257" i="13"/>
  <c r="J3257" i="13" s="1"/>
  <c r="K3257" i="13"/>
  <c r="H3258" i="13"/>
  <c r="J3258" i="13" s="1"/>
  <c r="K3258" i="13"/>
  <c r="H3259" i="13"/>
  <c r="J3259" i="13" s="1"/>
  <c r="K3259" i="13"/>
  <c r="B246" i="12" l="1"/>
  <c r="Q246" i="12" s="1"/>
  <c r="J326" i="12"/>
  <c r="N326" i="12"/>
  <c r="R326" i="12"/>
  <c r="V326" i="12"/>
  <c r="D217" i="27"/>
  <c r="D216" i="27"/>
  <c r="D215" i="27"/>
  <c r="D214" i="27"/>
  <c r="D213" i="27"/>
  <c r="D212" i="27"/>
  <c r="D211" i="27"/>
  <c r="D210" i="27"/>
  <c r="D12" i="27"/>
  <c r="D13" i="27"/>
  <c r="D14" i="27"/>
  <c r="D15" i="27"/>
  <c r="D16" i="27"/>
  <c r="D17" i="27"/>
  <c r="D18" i="27"/>
  <c r="D19" i="27"/>
  <c r="D21" i="27"/>
  <c r="D22" i="27"/>
  <c r="D23" i="27"/>
  <c r="D24" i="27"/>
  <c r="D25" i="27"/>
  <c r="D26" i="27"/>
  <c r="D27" i="27"/>
  <c r="D28" i="27"/>
  <c r="D30" i="27"/>
  <c r="D31" i="27"/>
  <c r="D32" i="27"/>
  <c r="D33" i="27"/>
  <c r="D34" i="27"/>
  <c r="D35" i="27"/>
  <c r="D36" i="27"/>
  <c r="D37" i="27"/>
  <c r="D39" i="27"/>
  <c r="D40" i="27"/>
  <c r="D41" i="27"/>
  <c r="D42" i="27"/>
  <c r="D43" i="27"/>
  <c r="D44" i="27"/>
  <c r="D45" i="27"/>
  <c r="D46" i="27"/>
  <c r="D48" i="27"/>
  <c r="D49" i="27"/>
  <c r="D50" i="27"/>
  <c r="D51" i="27"/>
  <c r="D52" i="27"/>
  <c r="D53" i="27"/>
  <c r="D54" i="27"/>
  <c r="D55" i="27"/>
  <c r="D57" i="27"/>
  <c r="D58" i="27"/>
  <c r="D59" i="27"/>
  <c r="D60" i="27"/>
  <c r="D61" i="27"/>
  <c r="D62" i="27"/>
  <c r="D63" i="27"/>
  <c r="D64" i="27"/>
  <c r="D66" i="27"/>
  <c r="D67" i="27"/>
  <c r="D68" i="27"/>
  <c r="D69" i="27"/>
  <c r="D70" i="27"/>
  <c r="D71" i="27"/>
  <c r="D72" i="27"/>
  <c r="D73" i="27"/>
  <c r="D75" i="27"/>
  <c r="D76" i="27"/>
  <c r="D77" i="27"/>
  <c r="D78" i="27"/>
  <c r="D79" i="27"/>
  <c r="D80" i="27"/>
  <c r="D81" i="27"/>
  <c r="D82" i="27"/>
  <c r="D84" i="27"/>
  <c r="D85" i="27"/>
  <c r="D86" i="27"/>
  <c r="D87" i="27"/>
  <c r="D88" i="27"/>
  <c r="D89" i="27"/>
  <c r="D90" i="27"/>
  <c r="D91" i="27"/>
  <c r="D93" i="27"/>
  <c r="D94" i="27"/>
  <c r="D95" i="27"/>
  <c r="D96" i="27"/>
  <c r="D97" i="27"/>
  <c r="D98" i="27"/>
  <c r="D99" i="27"/>
  <c r="D100" i="27"/>
  <c r="D102" i="27"/>
  <c r="D103" i="27"/>
  <c r="D104" i="27"/>
  <c r="D105" i="27"/>
  <c r="D106" i="27"/>
  <c r="D107" i="27"/>
  <c r="D108" i="27"/>
  <c r="D109" i="27"/>
  <c r="D111" i="27"/>
  <c r="D112" i="27"/>
  <c r="D113" i="27"/>
  <c r="D114" i="27"/>
  <c r="D115" i="27"/>
  <c r="D116" i="27"/>
  <c r="D117" i="27"/>
  <c r="D118" i="27"/>
  <c r="D120" i="27"/>
  <c r="D121" i="27"/>
  <c r="D122" i="27"/>
  <c r="D123" i="27"/>
  <c r="D124" i="27"/>
  <c r="D125" i="27"/>
  <c r="D126" i="27"/>
  <c r="D127" i="27"/>
  <c r="D129" i="27"/>
  <c r="D130" i="27"/>
  <c r="D131" i="27"/>
  <c r="D132" i="27"/>
  <c r="D133" i="27"/>
  <c r="D134" i="27"/>
  <c r="D135" i="27"/>
  <c r="D136" i="27"/>
  <c r="D138" i="27"/>
  <c r="D139" i="27"/>
  <c r="D140" i="27"/>
  <c r="D141" i="27"/>
  <c r="D142" i="27"/>
  <c r="D143" i="27"/>
  <c r="D144" i="27"/>
  <c r="D145" i="27"/>
  <c r="D147" i="27"/>
  <c r="D148" i="27"/>
  <c r="D149" i="27"/>
  <c r="D150" i="27"/>
  <c r="D151" i="27"/>
  <c r="D152" i="27"/>
  <c r="D153" i="27"/>
  <c r="D154" i="27"/>
  <c r="D156" i="27"/>
  <c r="D157" i="27"/>
  <c r="D158" i="27"/>
  <c r="D159" i="27"/>
  <c r="D160" i="27"/>
  <c r="D161" i="27"/>
  <c r="D162" i="27"/>
  <c r="D163" i="27"/>
  <c r="D165" i="27"/>
  <c r="D166" i="27"/>
  <c r="D167" i="27"/>
  <c r="D168" i="27"/>
  <c r="D169" i="27"/>
  <c r="D170" i="27"/>
  <c r="D171" i="27"/>
  <c r="D172" i="27"/>
  <c r="D174" i="27"/>
  <c r="D175" i="27"/>
  <c r="D176" i="27"/>
  <c r="D177" i="27"/>
  <c r="D178" i="27"/>
  <c r="D179" i="27"/>
  <c r="D180" i="27"/>
  <c r="D181" i="27"/>
  <c r="D183" i="27"/>
  <c r="D184" i="27"/>
  <c r="D185" i="27"/>
  <c r="D186" i="27"/>
  <c r="D187" i="27"/>
  <c r="D188" i="27"/>
  <c r="D189" i="27"/>
  <c r="D190" i="27"/>
  <c r="D192" i="27"/>
  <c r="D193" i="27"/>
  <c r="D194" i="27"/>
  <c r="D195" i="27"/>
  <c r="D196" i="27"/>
  <c r="D197" i="27"/>
  <c r="D198" i="27"/>
  <c r="D199" i="27"/>
  <c r="D201" i="27"/>
  <c r="D202" i="27"/>
  <c r="D203" i="27"/>
  <c r="D204" i="27"/>
  <c r="D205" i="27"/>
  <c r="D206" i="27"/>
  <c r="D207" i="27"/>
  <c r="D208" i="27"/>
  <c r="D10" i="27"/>
  <c r="D9" i="27"/>
  <c r="D8" i="27"/>
  <c r="D7" i="27"/>
  <c r="D6" i="27"/>
  <c r="D5" i="27"/>
  <c r="D4" i="27"/>
  <c r="D3" i="27"/>
  <c r="C2" i="27"/>
  <c r="C11" i="27" s="1"/>
  <c r="C20" i="27" s="1"/>
  <c r="C29" i="27" s="1"/>
  <c r="C38" i="27" s="1"/>
  <c r="C47" i="27" s="1"/>
  <c r="C56" i="27" s="1"/>
  <c r="C65" i="27" s="1"/>
  <c r="C74" i="27" s="1"/>
  <c r="C83" i="27" s="1"/>
  <c r="C92" i="27" s="1"/>
  <c r="C101" i="27" s="1"/>
  <c r="C110" i="27" s="1"/>
  <c r="C119" i="27" s="1"/>
  <c r="C128" i="27" s="1"/>
  <c r="C137" i="27" s="1"/>
  <c r="C146" i="27" s="1"/>
  <c r="C155" i="27" s="1"/>
  <c r="C164" i="27" s="1"/>
  <c r="C173" i="27" s="1"/>
  <c r="C182" i="27" s="1"/>
  <c r="C191" i="27" s="1"/>
  <c r="C200" i="27" s="1"/>
  <c r="C209" i="27" s="1"/>
  <c r="C3" i="27"/>
  <c r="C12" i="27" s="1"/>
  <c r="C21" i="27" s="1"/>
  <c r="C30" i="27" s="1"/>
  <c r="C39" i="27" s="1"/>
  <c r="C48" i="27" s="1"/>
  <c r="C57" i="27" s="1"/>
  <c r="C66" i="27" s="1"/>
  <c r="C75" i="27" s="1"/>
  <c r="C84" i="27" s="1"/>
  <c r="C93" i="27" s="1"/>
  <c r="C102" i="27" s="1"/>
  <c r="C111" i="27" s="1"/>
  <c r="C120" i="27" s="1"/>
  <c r="C129" i="27" s="1"/>
  <c r="C138" i="27" s="1"/>
  <c r="C147" i="27" s="1"/>
  <c r="C156" i="27" s="1"/>
  <c r="C165" i="27" s="1"/>
  <c r="C174" i="27" s="1"/>
  <c r="C183" i="27" s="1"/>
  <c r="C192" i="27" s="1"/>
  <c r="C201" i="27" s="1"/>
  <c r="C210" i="27" s="1"/>
  <c r="C4" i="27"/>
  <c r="C13" i="27" s="1"/>
  <c r="C22" i="27" s="1"/>
  <c r="C31" i="27" s="1"/>
  <c r="C40" i="27" s="1"/>
  <c r="C49" i="27" s="1"/>
  <c r="C58" i="27" s="1"/>
  <c r="C67" i="27" s="1"/>
  <c r="C76" i="27" s="1"/>
  <c r="C85" i="27" s="1"/>
  <c r="C94" i="27" s="1"/>
  <c r="C103" i="27" s="1"/>
  <c r="C112" i="27" s="1"/>
  <c r="C121" i="27" s="1"/>
  <c r="C130" i="27" s="1"/>
  <c r="C139" i="27" s="1"/>
  <c r="C148" i="27" s="1"/>
  <c r="C157" i="27" s="1"/>
  <c r="C166" i="27" s="1"/>
  <c r="C175" i="27" s="1"/>
  <c r="C184" i="27" s="1"/>
  <c r="C193" i="27" s="1"/>
  <c r="C202" i="27" s="1"/>
  <c r="C211" i="27" s="1"/>
  <c r="C5" i="27"/>
  <c r="C14" i="27" s="1"/>
  <c r="C23" i="27" s="1"/>
  <c r="C32" i="27" s="1"/>
  <c r="C41" i="27" s="1"/>
  <c r="C50" i="27" s="1"/>
  <c r="C59" i="27" s="1"/>
  <c r="C68" i="27" s="1"/>
  <c r="C77" i="27" s="1"/>
  <c r="C86" i="27" s="1"/>
  <c r="C95" i="27" s="1"/>
  <c r="C104" i="27" s="1"/>
  <c r="C113" i="27" s="1"/>
  <c r="C122" i="27" s="1"/>
  <c r="C131" i="27" s="1"/>
  <c r="C140" i="27" s="1"/>
  <c r="C149" i="27" s="1"/>
  <c r="C158" i="27" s="1"/>
  <c r="C167" i="27" s="1"/>
  <c r="C176" i="27" s="1"/>
  <c r="C185" i="27" s="1"/>
  <c r="C194" i="27" s="1"/>
  <c r="C203" i="27" s="1"/>
  <c r="C212" i="27" s="1"/>
  <c r="C6" i="27"/>
  <c r="C15" i="27" s="1"/>
  <c r="C24" i="27" s="1"/>
  <c r="C33" i="27" s="1"/>
  <c r="C42" i="27" s="1"/>
  <c r="C51" i="27" s="1"/>
  <c r="C60" i="27" s="1"/>
  <c r="C69" i="27" s="1"/>
  <c r="C78" i="27" s="1"/>
  <c r="C87" i="27" s="1"/>
  <c r="C96" i="27" s="1"/>
  <c r="C105" i="27" s="1"/>
  <c r="C114" i="27" s="1"/>
  <c r="C123" i="27" s="1"/>
  <c r="C132" i="27" s="1"/>
  <c r="C141" i="27" s="1"/>
  <c r="C150" i="27" s="1"/>
  <c r="C159" i="27" s="1"/>
  <c r="C168" i="27" s="1"/>
  <c r="C177" i="27" s="1"/>
  <c r="C186" i="27" s="1"/>
  <c r="C195" i="27" s="1"/>
  <c r="C204" i="27" s="1"/>
  <c r="C213" i="27" s="1"/>
  <c r="C7" i="27"/>
  <c r="C16" i="27" s="1"/>
  <c r="C25" i="27" s="1"/>
  <c r="C34" i="27" s="1"/>
  <c r="C43" i="27" s="1"/>
  <c r="C52" i="27" s="1"/>
  <c r="C61" i="27" s="1"/>
  <c r="C70" i="27" s="1"/>
  <c r="C79" i="27" s="1"/>
  <c r="C88" i="27" s="1"/>
  <c r="C97" i="27" s="1"/>
  <c r="C106" i="27" s="1"/>
  <c r="C115" i="27" s="1"/>
  <c r="C124" i="27" s="1"/>
  <c r="C133" i="27" s="1"/>
  <c r="C142" i="27" s="1"/>
  <c r="C151" i="27" s="1"/>
  <c r="C160" i="27" s="1"/>
  <c r="C169" i="27" s="1"/>
  <c r="C178" i="27" s="1"/>
  <c r="C187" i="27" s="1"/>
  <c r="C196" i="27" s="1"/>
  <c r="C205" i="27" s="1"/>
  <c r="C214" i="27" s="1"/>
  <c r="C8" i="27"/>
  <c r="C17" i="27" s="1"/>
  <c r="C26" i="27" s="1"/>
  <c r="C35" i="27" s="1"/>
  <c r="C44" i="27" s="1"/>
  <c r="C53" i="27" s="1"/>
  <c r="C62" i="27" s="1"/>
  <c r="C71" i="27" s="1"/>
  <c r="C80" i="27" s="1"/>
  <c r="C89" i="27" s="1"/>
  <c r="C98" i="27" s="1"/>
  <c r="C107" i="27" s="1"/>
  <c r="C116" i="27" s="1"/>
  <c r="C125" i="27" s="1"/>
  <c r="C134" i="27" s="1"/>
  <c r="C143" i="27" s="1"/>
  <c r="C152" i="27" s="1"/>
  <c r="C161" i="27" s="1"/>
  <c r="C170" i="27" s="1"/>
  <c r="C179" i="27" s="1"/>
  <c r="C188" i="27" s="1"/>
  <c r="C197" i="27" s="1"/>
  <c r="C206" i="27" s="1"/>
  <c r="C215" i="27" s="1"/>
  <c r="C9" i="27"/>
  <c r="C18" i="27" s="1"/>
  <c r="C27" i="27" s="1"/>
  <c r="C36" i="27" s="1"/>
  <c r="C45" i="27" s="1"/>
  <c r="C54" i="27" s="1"/>
  <c r="C63" i="27" s="1"/>
  <c r="C72" i="27" s="1"/>
  <c r="C81" i="27" s="1"/>
  <c r="C90" i="27" s="1"/>
  <c r="C99" i="27" s="1"/>
  <c r="C108" i="27" s="1"/>
  <c r="C117" i="27" s="1"/>
  <c r="C126" i="27" s="1"/>
  <c r="C135" i="27" s="1"/>
  <c r="C144" i="27" s="1"/>
  <c r="C153" i="27" s="1"/>
  <c r="C162" i="27" s="1"/>
  <c r="C171" i="27" s="1"/>
  <c r="C180" i="27" s="1"/>
  <c r="C189" i="27" s="1"/>
  <c r="C198" i="27" s="1"/>
  <c r="C207" i="27" s="1"/>
  <c r="C216" i="27" s="1"/>
  <c r="C10" i="27"/>
  <c r="C19" i="27" s="1"/>
  <c r="C28" i="27" s="1"/>
  <c r="C37" i="27" s="1"/>
  <c r="C46" i="27" s="1"/>
  <c r="C55" i="27" s="1"/>
  <c r="C64" i="27" s="1"/>
  <c r="C73" i="27" s="1"/>
  <c r="C82" i="27" s="1"/>
  <c r="C91" i="27" s="1"/>
  <c r="C100" i="27" s="1"/>
  <c r="C109" i="27" s="1"/>
  <c r="C118" i="27" s="1"/>
  <c r="C127" i="27" s="1"/>
  <c r="C136" i="27" s="1"/>
  <c r="C145" i="27" s="1"/>
  <c r="C154" i="27" s="1"/>
  <c r="C163" i="27" s="1"/>
  <c r="C172" i="27" s="1"/>
  <c r="C181" i="27" s="1"/>
  <c r="C190" i="27" s="1"/>
  <c r="C199" i="27" s="1"/>
  <c r="C208" i="27" s="1"/>
  <c r="C217" i="27" s="1"/>
  <c r="S369" i="1"/>
  <c r="AD369" i="1" s="1"/>
  <c r="S368" i="1"/>
  <c r="AF368" i="1" s="1"/>
  <c r="S363" i="1"/>
  <c r="AD363" i="1" s="1"/>
  <c r="S362" i="1"/>
  <c r="AD362" i="1" s="1"/>
  <c r="S361" i="1"/>
  <c r="AD361" i="1" s="1"/>
  <c r="S360" i="1"/>
  <c r="AD360" i="1" s="1"/>
  <c r="S359" i="1"/>
  <c r="AD359" i="1" s="1"/>
  <c r="S358" i="1"/>
  <c r="AC358" i="1" s="1"/>
  <c r="S352" i="1"/>
  <c r="AD352" i="1" s="1"/>
  <c r="S357" i="1"/>
  <c r="AD357" i="1" s="1"/>
  <c r="S355" i="1"/>
  <c r="AD355" i="1" s="1"/>
  <c r="S351" i="1"/>
  <c r="AD351" i="1" s="1"/>
  <c r="S350" i="1"/>
  <c r="AD350" i="1" s="1"/>
  <c r="S349" i="1"/>
  <c r="AD349" i="1" s="1"/>
  <c r="S348" i="1"/>
  <c r="AF348" i="1" s="1"/>
  <c r="S353" i="1"/>
  <c r="AD353" i="1" s="1"/>
  <c r="D92" i="27" l="1"/>
  <c r="D20" i="27"/>
  <c r="D101" i="27"/>
  <c r="D173" i="27"/>
  <c r="D164" i="27"/>
  <c r="D155" i="27"/>
  <c r="D83" i="27"/>
  <c r="D11" i="27"/>
  <c r="D2" i="27"/>
  <c r="D137" i="27"/>
  <c r="D65" i="27"/>
  <c r="D128" i="27"/>
  <c r="D56" i="27"/>
  <c r="D191" i="27"/>
  <c r="D119" i="27"/>
  <c r="D182" i="27"/>
  <c r="V246" i="12"/>
  <c r="AF369" i="1"/>
  <c r="AC369" i="1"/>
  <c r="AC368" i="1"/>
  <c r="AD368" i="1"/>
  <c r="AF362" i="1"/>
  <c r="AF363" i="1"/>
  <c r="AC363" i="1"/>
  <c r="AC362" i="1"/>
  <c r="AC361" i="1"/>
  <c r="AF360" i="1"/>
  <c r="AF361" i="1"/>
  <c r="AC360" i="1"/>
  <c r="AC359" i="1"/>
  <c r="AF359" i="1"/>
  <c r="AD358" i="1"/>
  <c r="AF358" i="1"/>
  <c r="AF357" i="1"/>
  <c r="AF352" i="1"/>
  <c r="AC352" i="1"/>
  <c r="AC357" i="1"/>
  <c r="AF355" i="1"/>
  <c r="AC355" i="1"/>
  <c r="AF351" i="1"/>
  <c r="AC351" i="1"/>
  <c r="AF350" i="1"/>
  <c r="AC350" i="1"/>
  <c r="AF349" i="1"/>
  <c r="AC349" i="1"/>
  <c r="AF353" i="1"/>
  <c r="AC348" i="1"/>
  <c r="AD348" i="1"/>
  <c r="AC353" i="1"/>
  <c r="H3395" i="13" l="1"/>
  <c r="J3395" i="13" s="1"/>
  <c r="K3395" i="13"/>
  <c r="H3396" i="13"/>
  <c r="J3396" i="13" s="1"/>
  <c r="K3396" i="13"/>
  <c r="H3397" i="13"/>
  <c r="J3397" i="13" s="1"/>
  <c r="K3397" i="13"/>
  <c r="H3398" i="13"/>
  <c r="J3398" i="13" s="1"/>
  <c r="K3398" i="13"/>
  <c r="H3399" i="13"/>
  <c r="J3399" i="13" s="1"/>
  <c r="K3399" i="13"/>
  <c r="H3400" i="13"/>
  <c r="J3400" i="13" s="1"/>
  <c r="K3400" i="13"/>
  <c r="H3401" i="13"/>
  <c r="J3401" i="13" s="1"/>
  <c r="K3401" i="13"/>
  <c r="H3402" i="13"/>
  <c r="J3402" i="13" s="1"/>
  <c r="K3402" i="13"/>
  <c r="H3403" i="13"/>
  <c r="J3403" i="13" s="1"/>
  <c r="K3403" i="13"/>
  <c r="H3404" i="13"/>
  <c r="J3404" i="13" s="1"/>
  <c r="K3404" i="13"/>
  <c r="H3405" i="13"/>
  <c r="J3405" i="13" s="1"/>
  <c r="K3405" i="13"/>
  <c r="H3406" i="13"/>
  <c r="J3406" i="13" s="1"/>
  <c r="K3406" i="13"/>
  <c r="H3407" i="13"/>
  <c r="J3407" i="13" s="1"/>
  <c r="K3407" i="13"/>
  <c r="H3408" i="13"/>
  <c r="J3408" i="13" s="1"/>
  <c r="K3408" i="13"/>
  <c r="H3409" i="13"/>
  <c r="J3409" i="13" s="1"/>
  <c r="K3409" i="13"/>
  <c r="H3410" i="13"/>
  <c r="J3410" i="13" s="1"/>
  <c r="K3410" i="13"/>
  <c r="H3411" i="13"/>
  <c r="J3411" i="13" s="1"/>
  <c r="K3411" i="13"/>
  <c r="H3412" i="13"/>
  <c r="J3412" i="13" s="1"/>
  <c r="K3412" i="13"/>
  <c r="B339" i="12"/>
  <c r="N339" i="12" s="1"/>
  <c r="B251" i="12"/>
  <c r="G251" i="12" s="1"/>
  <c r="K3377" i="13"/>
  <c r="H3378" i="13"/>
  <c r="J3378" i="13" s="1"/>
  <c r="K3378" i="13"/>
  <c r="H3379" i="13"/>
  <c r="J3379" i="13" s="1"/>
  <c r="K3379" i="13"/>
  <c r="H3380" i="13"/>
  <c r="J3380" i="13" s="1"/>
  <c r="K3380" i="13"/>
  <c r="H3381" i="13"/>
  <c r="J3381" i="13" s="1"/>
  <c r="K3381" i="13"/>
  <c r="H3382" i="13"/>
  <c r="J3382" i="13" s="1"/>
  <c r="K3382" i="13"/>
  <c r="H3383" i="13"/>
  <c r="J3383" i="13" s="1"/>
  <c r="K3383" i="13"/>
  <c r="H3384" i="13"/>
  <c r="J3384" i="13" s="1"/>
  <c r="K3384" i="13"/>
  <c r="H3385" i="13"/>
  <c r="J3385" i="13" s="1"/>
  <c r="K3385" i="13"/>
  <c r="H3386" i="13"/>
  <c r="J3386" i="13" s="1"/>
  <c r="K3386" i="13"/>
  <c r="H3387" i="13"/>
  <c r="J3387" i="13" s="1"/>
  <c r="K3387" i="13"/>
  <c r="H3388" i="13"/>
  <c r="J3388" i="13" s="1"/>
  <c r="K3388" i="13"/>
  <c r="H3389" i="13"/>
  <c r="J3389" i="13" s="1"/>
  <c r="K3389" i="13"/>
  <c r="H3390" i="13"/>
  <c r="J3390" i="13" s="1"/>
  <c r="K3390" i="13"/>
  <c r="H3391" i="13"/>
  <c r="J3391" i="13" s="1"/>
  <c r="K3391" i="13"/>
  <c r="H3392" i="13"/>
  <c r="J3392" i="13" s="1"/>
  <c r="K3392" i="13"/>
  <c r="H3393" i="13"/>
  <c r="J3393" i="13" s="1"/>
  <c r="K3393" i="13"/>
  <c r="H3394" i="13"/>
  <c r="J3394" i="13" s="1"/>
  <c r="K3394" i="13"/>
  <c r="H2198" i="13"/>
  <c r="J2198" i="13" s="1"/>
  <c r="K2198" i="13"/>
  <c r="H2199" i="13"/>
  <c r="J2199" i="13" s="1"/>
  <c r="K2199" i="13"/>
  <c r="H2200" i="13"/>
  <c r="J2200" i="13" s="1"/>
  <c r="K2200" i="13"/>
  <c r="H2201" i="13"/>
  <c r="J2201" i="13" s="1"/>
  <c r="K2201" i="13"/>
  <c r="H2202" i="13"/>
  <c r="J2202" i="13" s="1"/>
  <c r="K2202" i="13"/>
  <c r="H2203" i="13"/>
  <c r="J2203" i="13" s="1"/>
  <c r="K2203" i="13"/>
  <c r="H2204" i="13"/>
  <c r="J2204" i="13" s="1"/>
  <c r="K2204" i="13"/>
  <c r="H2205" i="13"/>
  <c r="J2205" i="13" s="1"/>
  <c r="K2205" i="13"/>
  <c r="H2206" i="13"/>
  <c r="J2206" i="13" s="1"/>
  <c r="K2206" i="13"/>
  <c r="H2207" i="13"/>
  <c r="J2207" i="13" s="1"/>
  <c r="K2207" i="13"/>
  <c r="H2208" i="13"/>
  <c r="J2208" i="13" s="1"/>
  <c r="K2208" i="13"/>
  <c r="H2209" i="13"/>
  <c r="J2209" i="13" s="1"/>
  <c r="K2209" i="13"/>
  <c r="H2210" i="13"/>
  <c r="J2210" i="13" s="1"/>
  <c r="K2210" i="13"/>
  <c r="H2211" i="13"/>
  <c r="J2211" i="13" s="1"/>
  <c r="K2211" i="13"/>
  <c r="H2212" i="13"/>
  <c r="J2212" i="13" s="1"/>
  <c r="K2212" i="13"/>
  <c r="H2213" i="13"/>
  <c r="J2213" i="13" s="1"/>
  <c r="K2213" i="13"/>
  <c r="H2214" i="13"/>
  <c r="J2214" i="13" s="1"/>
  <c r="K2214" i="13"/>
  <c r="H2215" i="13"/>
  <c r="J2215" i="13" s="1"/>
  <c r="K2215" i="13"/>
  <c r="K2216" i="13"/>
  <c r="H2217" i="13"/>
  <c r="J2217" i="13" s="1"/>
  <c r="K2217" i="13"/>
  <c r="H2218" i="13"/>
  <c r="J2218" i="13" s="1"/>
  <c r="K2218" i="13"/>
  <c r="H2219" i="13"/>
  <c r="J2219" i="13" s="1"/>
  <c r="K2219" i="13"/>
  <c r="H2220" i="13"/>
  <c r="J2220" i="13" s="1"/>
  <c r="K2220" i="13"/>
  <c r="H2221" i="13"/>
  <c r="J2221" i="13" s="1"/>
  <c r="K2221" i="13"/>
  <c r="H2222" i="13"/>
  <c r="J2222" i="13" s="1"/>
  <c r="K2222" i="13"/>
  <c r="H2223" i="13"/>
  <c r="J2223" i="13" s="1"/>
  <c r="K2223" i="13"/>
  <c r="H2224" i="13"/>
  <c r="J2224" i="13" s="1"/>
  <c r="K2224" i="13"/>
  <c r="H2162" i="13"/>
  <c r="J2162" i="13" s="1"/>
  <c r="K2162" i="13"/>
  <c r="H2163" i="13"/>
  <c r="J2163" i="13" s="1"/>
  <c r="K2163" i="13"/>
  <c r="H2164" i="13"/>
  <c r="J2164" i="13" s="1"/>
  <c r="K2164" i="13"/>
  <c r="H2165" i="13"/>
  <c r="J2165" i="13" s="1"/>
  <c r="K2165" i="13"/>
  <c r="H2166" i="13"/>
  <c r="J2166" i="13" s="1"/>
  <c r="K2166" i="13"/>
  <c r="H2167" i="13"/>
  <c r="J2167" i="13" s="1"/>
  <c r="K2167" i="13"/>
  <c r="H2168" i="13"/>
  <c r="J2168" i="13" s="1"/>
  <c r="K2168" i="13"/>
  <c r="H2169" i="13"/>
  <c r="J2169" i="13" s="1"/>
  <c r="K2169" i="13"/>
  <c r="H2170" i="13"/>
  <c r="J2170" i="13" s="1"/>
  <c r="K2170" i="13"/>
  <c r="H2216" i="13" l="1"/>
  <c r="J2216" i="13" s="1"/>
  <c r="H3377" i="13"/>
  <c r="J3377" i="13" s="1"/>
  <c r="B252" i="12"/>
  <c r="Q252" i="12" s="1"/>
  <c r="B247" i="12"/>
  <c r="Q247" i="12" s="1"/>
  <c r="B338" i="12"/>
  <c r="V338" i="12" s="1"/>
  <c r="B341" i="12"/>
  <c r="B340" i="12"/>
  <c r="B253" i="12"/>
  <c r="E253" i="12" s="1"/>
  <c r="V339" i="12"/>
  <c r="J339" i="12"/>
  <c r="Q339" i="12"/>
  <c r="H251" i="12"/>
  <c r="I251" i="12"/>
  <c r="Q251" i="12"/>
  <c r="V251" i="12"/>
  <c r="E839" i="14"/>
  <c r="G839" i="14" s="1"/>
  <c r="H839" i="14"/>
  <c r="E840" i="14"/>
  <c r="G840" i="14" s="1"/>
  <c r="H840" i="14"/>
  <c r="E841" i="14"/>
  <c r="G841" i="14" s="1"/>
  <c r="H841" i="14"/>
  <c r="E842" i="14"/>
  <c r="G842" i="14" s="1"/>
  <c r="H842" i="14"/>
  <c r="E843" i="14"/>
  <c r="G843" i="14" s="1"/>
  <c r="H843" i="14"/>
  <c r="E844" i="14"/>
  <c r="G844" i="14" s="1"/>
  <c r="H844" i="14"/>
  <c r="E845" i="14"/>
  <c r="G845" i="14" s="1"/>
  <c r="H845" i="14"/>
  <c r="E846" i="14"/>
  <c r="G846" i="14" s="1"/>
  <c r="H846" i="14"/>
  <c r="E847" i="14"/>
  <c r="G847" i="14" s="1"/>
  <c r="H847" i="14"/>
  <c r="S258" i="1"/>
  <c r="E884" i="14" s="1"/>
  <c r="G884" i="14" s="1"/>
  <c r="AD258" i="1" l="1"/>
  <c r="B629" i="12"/>
  <c r="R247" i="12"/>
  <c r="H252" i="12"/>
  <c r="V252" i="12"/>
  <c r="M247" i="12"/>
  <c r="G252" i="12"/>
  <c r="I252" i="12"/>
  <c r="P247" i="12"/>
  <c r="V247" i="12"/>
  <c r="Q340" i="12"/>
  <c r="N340" i="12"/>
  <c r="Q341" i="12"/>
  <c r="J341" i="12"/>
  <c r="Q338" i="12"/>
  <c r="V340" i="12"/>
  <c r="V341" i="12"/>
  <c r="B713" i="12"/>
  <c r="R713" i="12" s="1"/>
  <c r="R253" i="12"/>
  <c r="V253" i="12"/>
  <c r="AF258" i="1"/>
  <c r="F253" i="12"/>
  <c r="B628" i="12"/>
  <c r="V628" i="12" s="1"/>
  <c r="AC258" i="1"/>
  <c r="K3359" i="13"/>
  <c r="H3360" i="13"/>
  <c r="J3360" i="13" s="1"/>
  <c r="K3360" i="13"/>
  <c r="H3361" i="13"/>
  <c r="J3361" i="13" s="1"/>
  <c r="K3361" i="13"/>
  <c r="H3362" i="13"/>
  <c r="J3362" i="13" s="1"/>
  <c r="K3362" i="13"/>
  <c r="H3363" i="13"/>
  <c r="J3363" i="13" s="1"/>
  <c r="K3363" i="13"/>
  <c r="H3364" i="13"/>
  <c r="J3364" i="13" s="1"/>
  <c r="K3364" i="13"/>
  <c r="H3365" i="13"/>
  <c r="J3365" i="13" s="1"/>
  <c r="K3365" i="13"/>
  <c r="H3366" i="13"/>
  <c r="J3366" i="13" s="1"/>
  <c r="K3366" i="13"/>
  <c r="H3367" i="13"/>
  <c r="J3367" i="13" s="1"/>
  <c r="K3367" i="13"/>
  <c r="K3368" i="13"/>
  <c r="H3369" i="13"/>
  <c r="J3369" i="13" s="1"/>
  <c r="K3369" i="13"/>
  <c r="H3370" i="13"/>
  <c r="J3370" i="13" s="1"/>
  <c r="K3370" i="13"/>
  <c r="H3371" i="13"/>
  <c r="J3371" i="13" s="1"/>
  <c r="K3371" i="13"/>
  <c r="H3372" i="13"/>
  <c r="J3372" i="13" s="1"/>
  <c r="K3372" i="13"/>
  <c r="H3373" i="13"/>
  <c r="J3373" i="13" s="1"/>
  <c r="K3373" i="13"/>
  <c r="H3374" i="13"/>
  <c r="J3374" i="13" s="1"/>
  <c r="K3374" i="13"/>
  <c r="H3375" i="13"/>
  <c r="J3375" i="13" s="1"/>
  <c r="K3375" i="13"/>
  <c r="H3376" i="13"/>
  <c r="J3376" i="13" s="1"/>
  <c r="K3376" i="13"/>
  <c r="V629" i="12" l="1"/>
  <c r="J629" i="12"/>
  <c r="V713" i="12"/>
  <c r="K713" i="12"/>
  <c r="J628" i="12"/>
  <c r="K6149" i="13"/>
  <c r="H6150" i="13"/>
  <c r="J6150" i="13" s="1"/>
  <c r="K6150" i="13"/>
  <c r="H6151" i="13"/>
  <c r="J6151" i="13" s="1"/>
  <c r="K6151" i="13"/>
  <c r="H6152" i="13"/>
  <c r="J6152" i="13" s="1"/>
  <c r="K6152" i="13"/>
  <c r="H6153" i="13"/>
  <c r="J6153" i="13" s="1"/>
  <c r="K6153" i="13"/>
  <c r="H6154" i="13"/>
  <c r="J6154" i="13" s="1"/>
  <c r="K6154" i="13"/>
  <c r="H6155" i="13"/>
  <c r="J6155" i="13" s="1"/>
  <c r="K6155" i="13"/>
  <c r="H6156" i="13"/>
  <c r="J6156" i="13" s="1"/>
  <c r="K6156" i="13"/>
  <c r="H6157" i="13"/>
  <c r="J6157" i="13" s="1"/>
  <c r="K6157" i="13"/>
  <c r="K3350" i="13"/>
  <c r="H3351" i="13"/>
  <c r="J3351" i="13" s="1"/>
  <c r="K3351" i="13"/>
  <c r="H3352" i="13"/>
  <c r="J3352" i="13" s="1"/>
  <c r="K3352" i="13"/>
  <c r="H3353" i="13"/>
  <c r="J3353" i="13" s="1"/>
  <c r="K3353" i="13"/>
  <c r="H3354" i="13"/>
  <c r="J3354" i="13" s="1"/>
  <c r="K3354" i="13"/>
  <c r="H3355" i="13"/>
  <c r="J3355" i="13" s="1"/>
  <c r="K3355" i="13"/>
  <c r="H3356" i="13"/>
  <c r="J3356" i="13" s="1"/>
  <c r="K3356" i="13"/>
  <c r="H3357" i="13"/>
  <c r="J3357" i="13" s="1"/>
  <c r="K3357" i="13"/>
  <c r="H3358" i="13"/>
  <c r="J3358" i="13" s="1"/>
  <c r="K3358" i="13"/>
  <c r="H3305" i="13"/>
  <c r="J3305" i="13" s="1"/>
  <c r="K3305" i="13"/>
  <c r="H3306" i="13"/>
  <c r="J3306" i="13" s="1"/>
  <c r="K3306" i="13"/>
  <c r="H3307" i="13"/>
  <c r="J3307" i="13" s="1"/>
  <c r="K3307" i="13"/>
  <c r="H3308" i="13"/>
  <c r="J3308" i="13" s="1"/>
  <c r="K3308" i="13"/>
  <c r="H3309" i="13"/>
  <c r="J3309" i="13" s="1"/>
  <c r="K3309" i="13"/>
  <c r="H3310" i="13"/>
  <c r="J3310" i="13" s="1"/>
  <c r="K3310" i="13"/>
  <c r="H3311" i="13"/>
  <c r="J3311" i="13" s="1"/>
  <c r="K3311" i="13"/>
  <c r="H3312" i="13"/>
  <c r="J3312" i="13" s="1"/>
  <c r="K3312" i="13"/>
  <c r="H3313" i="13"/>
  <c r="J3313" i="13" s="1"/>
  <c r="K3313" i="13"/>
  <c r="K3314" i="13"/>
  <c r="H3315" i="13"/>
  <c r="J3315" i="13" s="1"/>
  <c r="K3315" i="13"/>
  <c r="H3316" i="13"/>
  <c r="J3316" i="13" s="1"/>
  <c r="K3316" i="13"/>
  <c r="H3317" i="13"/>
  <c r="J3317" i="13" s="1"/>
  <c r="K3317" i="13"/>
  <c r="H3318" i="13"/>
  <c r="J3318" i="13" s="1"/>
  <c r="K3318" i="13"/>
  <c r="H3319" i="13"/>
  <c r="J3319" i="13" s="1"/>
  <c r="K3319" i="13"/>
  <c r="H3320" i="13"/>
  <c r="J3320" i="13" s="1"/>
  <c r="K3320" i="13"/>
  <c r="H3321" i="13"/>
  <c r="J3321" i="13" s="1"/>
  <c r="K3321" i="13"/>
  <c r="H3322" i="13"/>
  <c r="J3322" i="13" s="1"/>
  <c r="K3322" i="13"/>
  <c r="H3323" i="13"/>
  <c r="J3323" i="13" s="1"/>
  <c r="K3323" i="13"/>
  <c r="H3324" i="13"/>
  <c r="J3324" i="13" s="1"/>
  <c r="K3324" i="13"/>
  <c r="H3325" i="13"/>
  <c r="J3325" i="13" s="1"/>
  <c r="K3325" i="13"/>
  <c r="H3326" i="13"/>
  <c r="J3326" i="13" s="1"/>
  <c r="K3326" i="13"/>
  <c r="H3327" i="13"/>
  <c r="J3327" i="13" s="1"/>
  <c r="K3327" i="13"/>
  <c r="H3328" i="13"/>
  <c r="J3328" i="13" s="1"/>
  <c r="K3328" i="13"/>
  <c r="H3329" i="13"/>
  <c r="J3329" i="13" s="1"/>
  <c r="K3329" i="13"/>
  <c r="H3330" i="13"/>
  <c r="J3330" i="13" s="1"/>
  <c r="K3330" i="13"/>
  <c r="H3331" i="13"/>
  <c r="J3331" i="13" s="1"/>
  <c r="K3331" i="13"/>
  <c r="K3332" i="13"/>
  <c r="H3333" i="13"/>
  <c r="J3333" i="13" s="1"/>
  <c r="K3333" i="13"/>
  <c r="H3334" i="13"/>
  <c r="J3334" i="13" s="1"/>
  <c r="K3334" i="13"/>
  <c r="H3335" i="13"/>
  <c r="J3335" i="13" s="1"/>
  <c r="K3335" i="13"/>
  <c r="H3336" i="13"/>
  <c r="J3336" i="13" s="1"/>
  <c r="K3336" i="13"/>
  <c r="H3337" i="13"/>
  <c r="J3337" i="13" s="1"/>
  <c r="K3337" i="13"/>
  <c r="H3338" i="13"/>
  <c r="J3338" i="13" s="1"/>
  <c r="K3338" i="13"/>
  <c r="H3339" i="13"/>
  <c r="J3339" i="13" s="1"/>
  <c r="K3339" i="13"/>
  <c r="H3340" i="13"/>
  <c r="J3340" i="13" s="1"/>
  <c r="K3340" i="13"/>
  <c r="K3341" i="13"/>
  <c r="H3342" i="13"/>
  <c r="J3342" i="13" s="1"/>
  <c r="K3342" i="13"/>
  <c r="H3343" i="13"/>
  <c r="J3343" i="13" s="1"/>
  <c r="K3343" i="13"/>
  <c r="H3344" i="13"/>
  <c r="J3344" i="13" s="1"/>
  <c r="K3344" i="13"/>
  <c r="H3345" i="13"/>
  <c r="J3345" i="13" s="1"/>
  <c r="K3345" i="13"/>
  <c r="H3346" i="13"/>
  <c r="J3346" i="13" s="1"/>
  <c r="K3346" i="13"/>
  <c r="H3347" i="13"/>
  <c r="J3347" i="13" s="1"/>
  <c r="K3347" i="13"/>
  <c r="H3348" i="13"/>
  <c r="J3348" i="13" s="1"/>
  <c r="K3348" i="13"/>
  <c r="H3349" i="13"/>
  <c r="J3349" i="13" s="1"/>
  <c r="K3349" i="13"/>
  <c r="H3368" i="13"/>
  <c r="J3368" i="13" s="1"/>
  <c r="H3359" i="13"/>
  <c r="J3359" i="13" s="1"/>
  <c r="H3341" i="13" l="1"/>
  <c r="J3341" i="13" s="1"/>
  <c r="H3314" i="13"/>
  <c r="J3314" i="13" s="1"/>
  <c r="B821" i="12"/>
  <c r="Q821" i="12" s="1"/>
  <c r="H6149" i="13"/>
  <c r="J6149" i="13" s="1"/>
  <c r="H3350" i="13"/>
  <c r="J3350" i="13" s="1"/>
  <c r="H3332" i="13"/>
  <c r="J3332" i="13" s="1"/>
  <c r="B333" i="12"/>
  <c r="Q333" i="12" s="1"/>
  <c r="B332" i="12"/>
  <c r="R332" i="12" s="1"/>
  <c r="B337" i="12"/>
  <c r="B336" i="12"/>
  <c r="B335" i="12"/>
  <c r="Q335" i="12" s="1"/>
  <c r="B334" i="12"/>
  <c r="V334" i="12" s="1"/>
  <c r="K2180" i="13"/>
  <c r="H2181" i="13"/>
  <c r="J2181" i="13" s="1"/>
  <c r="K2181" i="13"/>
  <c r="H2182" i="13"/>
  <c r="J2182" i="13" s="1"/>
  <c r="K2182" i="13"/>
  <c r="H2183" i="13"/>
  <c r="J2183" i="13" s="1"/>
  <c r="K2183" i="13"/>
  <c r="H2184" i="13"/>
  <c r="J2184" i="13" s="1"/>
  <c r="K2184" i="13"/>
  <c r="H2185" i="13"/>
  <c r="J2185" i="13" s="1"/>
  <c r="K2185" i="13"/>
  <c r="H2186" i="13"/>
  <c r="J2186" i="13" s="1"/>
  <c r="K2186" i="13"/>
  <c r="H2187" i="13"/>
  <c r="J2187" i="13" s="1"/>
  <c r="K2187" i="13"/>
  <c r="H2188" i="13"/>
  <c r="J2188" i="13" s="1"/>
  <c r="K2188" i="13"/>
  <c r="K2189" i="13"/>
  <c r="H2190" i="13"/>
  <c r="J2190" i="13" s="1"/>
  <c r="K2190" i="13"/>
  <c r="H2191" i="13"/>
  <c r="J2191" i="13" s="1"/>
  <c r="K2191" i="13"/>
  <c r="H2192" i="13"/>
  <c r="J2192" i="13" s="1"/>
  <c r="K2192" i="13"/>
  <c r="H2193" i="13"/>
  <c r="J2193" i="13" s="1"/>
  <c r="K2193" i="13"/>
  <c r="H2194" i="13"/>
  <c r="J2194" i="13" s="1"/>
  <c r="K2194" i="13"/>
  <c r="H2195" i="13"/>
  <c r="J2195" i="13" s="1"/>
  <c r="K2195" i="13"/>
  <c r="H2196" i="13"/>
  <c r="J2196" i="13" s="1"/>
  <c r="K2196" i="13"/>
  <c r="H2197" i="13"/>
  <c r="J2197" i="13" s="1"/>
  <c r="K2197" i="13"/>
  <c r="J821" i="12" l="1"/>
  <c r="V821" i="12"/>
  <c r="H2189" i="13"/>
  <c r="J2189" i="13" s="1"/>
  <c r="H2180" i="13"/>
  <c r="J2180" i="13" s="1"/>
  <c r="F332" i="12"/>
  <c r="V333" i="12"/>
  <c r="V332" i="12"/>
  <c r="Q334" i="12"/>
  <c r="Q332" i="12"/>
  <c r="V335" i="12"/>
  <c r="R335" i="12"/>
  <c r="I335" i="12"/>
  <c r="H335" i="12"/>
  <c r="T336" i="12"/>
  <c r="Q336" i="12"/>
  <c r="U336" i="12"/>
  <c r="I336" i="12"/>
  <c r="R336" i="12"/>
  <c r="V336" i="12"/>
  <c r="U337" i="12"/>
  <c r="I337" i="12"/>
  <c r="V337" i="12"/>
  <c r="T337" i="12"/>
  <c r="Q337" i="12"/>
  <c r="R337" i="12"/>
  <c r="B250" i="12"/>
  <c r="Q250" i="12" s="1"/>
  <c r="B249" i="12"/>
  <c r="D249" i="12" s="1"/>
  <c r="K3287" i="13"/>
  <c r="H3288" i="13"/>
  <c r="J3288" i="13" s="1"/>
  <c r="K3288" i="13"/>
  <c r="H3289" i="13"/>
  <c r="J3289" i="13" s="1"/>
  <c r="K3289" i="13"/>
  <c r="H3290" i="13"/>
  <c r="J3290" i="13" s="1"/>
  <c r="K3290" i="13"/>
  <c r="H3291" i="13"/>
  <c r="J3291" i="13" s="1"/>
  <c r="K3291" i="13"/>
  <c r="H3292" i="13"/>
  <c r="J3292" i="13" s="1"/>
  <c r="K3292" i="13"/>
  <c r="H3293" i="13"/>
  <c r="J3293" i="13" s="1"/>
  <c r="K3293" i="13"/>
  <c r="H3294" i="13"/>
  <c r="J3294" i="13" s="1"/>
  <c r="K3294" i="13"/>
  <c r="H3295" i="13"/>
  <c r="J3295" i="13" s="1"/>
  <c r="K3295" i="13"/>
  <c r="K3296" i="13"/>
  <c r="H3297" i="13"/>
  <c r="J3297" i="13" s="1"/>
  <c r="K3297" i="13"/>
  <c r="H3298" i="13"/>
  <c r="J3298" i="13" s="1"/>
  <c r="K3298" i="13"/>
  <c r="H3299" i="13"/>
  <c r="J3299" i="13" s="1"/>
  <c r="K3299" i="13"/>
  <c r="H3300" i="13"/>
  <c r="J3300" i="13" s="1"/>
  <c r="K3300" i="13"/>
  <c r="H3301" i="13"/>
  <c r="J3301" i="13" s="1"/>
  <c r="K3301" i="13"/>
  <c r="H3302" i="13"/>
  <c r="J3302" i="13" s="1"/>
  <c r="K3302" i="13"/>
  <c r="H3303" i="13"/>
  <c r="J3303" i="13" s="1"/>
  <c r="K3303" i="13"/>
  <c r="H3304" i="13"/>
  <c r="J3304" i="13" s="1"/>
  <c r="K3304" i="13"/>
  <c r="K6104" i="13"/>
  <c r="H6105" i="13"/>
  <c r="J6105" i="13" s="1"/>
  <c r="K6105" i="13"/>
  <c r="H6106" i="13"/>
  <c r="J6106" i="13" s="1"/>
  <c r="K6106" i="13"/>
  <c r="H6107" i="13"/>
  <c r="J6107" i="13" s="1"/>
  <c r="K6107" i="13"/>
  <c r="H6108" i="13"/>
  <c r="J6108" i="13" s="1"/>
  <c r="K6108" i="13"/>
  <c r="H6109" i="13"/>
  <c r="J6109" i="13" s="1"/>
  <c r="K6109" i="13"/>
  <c r="H6110" i="13"/>
  <c r="J6110" i="13" s="1"/>
  <c r="K6110" i="13"/>
  <c r="H6111" i="13"/>
  <c r="J6111" i="13" s="1"/>
  <c r="K6111" i="13"/>
  <c r="H6112" i="13"/>
  <c r="J6112" i="13" s="1"/>
  <c r="K6112" i="13"/>
  <c r="K6113" i="13"/>
  <c r="H6114" i="13"/>
  <c r="J6114" i="13" s="1"/>
  <c r="K6114" i="13"/>
  <c r="H6115" i="13"/>
  <c r="J6115" i="13" s="1"/>
  <c r="K6115" i="13"/>
  <c r="H6116" i="13"/>
  <c r="J6116" i="13" s="1"/>
  <c r="K6116" i="13"/>
  <c r="H6117" i="13"/>
  <c r="J6117" i="13" s="1"/>
  <c r="K6117" i="13"/>
  <c r="H6118" i="13"/>
  <c r="J6118" i="13" s="1"/>
  <c r="K6118" i="13"/>
  <c r="H6119" i="13"/>
  <c r="J6119" i="13" s="1"/>
  <c r="K6119" i="13"/>
  <c r="H6120" i="13"/>
  <c r="J6120" i="13" s="1"/>
  <c r="K6120" i="13"/>
  <c r="H6121" i="13"/>
  <c r="J6121" i="13" s="1"/>
  <c r="K6121" i="13"/>
  <c r="K6131" i="13"/>
  <c r="H6132" i="13"/>
  <c r="J6132" i="13" s="1"/>
  <c r="K6132" i="13"/>
  <c r="H6133" i="13"/>
  <c r="J6133" i="13" s="1"/>
  <c r="K6133" i="13"/>
  <c r="H6134" i="13"/>
  <c r="J6134" i="13" s="1"/>
  <c r="K6134" i="13"/>
  <c r="H6135" i="13"/>
  <c r="J6135" i="13" s="1"/>
  <c r="K6135" i="13"/>
  <c r="H6136" i="13"/>
  <c r="J6136" i="13" s="1"/>
  <c r="K6136" i="13"/>
  <c r="H6137" i="13"/>
  <c r="J6137" i="13" s="1"/>
  <c r="K6137" i="13"/>
  <c r="H6138" i="13"/>
  <c r="J6138" i="13" s="1"/>
  <c r="K6138" i="13"/>
  <c r="H6139" i="13"/>
  <c r="J6139" i="13" s="1"/>
  <c r="K6139" i="13"/>
  <c r="K6140" i="13"/>
  <c r="H6141" i="13"/>
  <c r="J6141" i="13" s="1"/>
  <c r="K6141" i="13"/>
  <c r="H6142" i="13"/>
  <c r="J6142" i="13" s="1"/>
  <c r="K6142" i="13"/>
  <c r="H6143" i="13"/>
  <c r="J6143" i="13" s="1"/>
  <c r="K6143" i="13"/>
  <c r="H6144" i="13"/>
  <c r="J6144" i="13" s="1"/>
  <c r="K6144" i="13"/>
  <c r="H6145" i="13"/>
  <c r="J6145" i="13" s="1"/>
  <c r="K6145" i="13"/>
  <c r="H6146" i="13"/>
  <c r="J6146" i="13" s="1"/>
  <c r="K6146" i="13"/>
  <c r="H6147" i="13"/>
  <c r="J6147" i="13" s="1"/>
  <c r="K6147" i="13"/>
  <c r="H6148" i="13"/>
  <c r="J6148" i="13" s="1"/>
  <c r="K6148" i="13"/>
  <c r="H6140" i="13" l="1"/>
  <c r="J6140" i="13" s="1"/>
  <c r="H3296" i="13"/>
  <c r="J3296" i="13" s="1"/>
  <c r="H6131" i="13"/>
  <c r="J6131" i="13" s="1"/>
  <c r="H6113" i="13"/>
  <c r="J6113" i="13" s="1"/>
  <c r="H6104" i="13"/>
  <c r="J6104" i="13" s="1"/>
  <c r="H3287" i="13"/>
  <c r="J3287" i="13" s="1"/>
  <c r="B330" i="12"/>
  <c r="Q330" i="12" s="1"/>
  <c r="B324" i="12"/>
  <c r="V324" i="12" s="1"/>
  <c r="B922" i="12"/>
  <c r="V922" i="12" s="1"/>
  <c r="B921" i="12"/>
  <c r="Q921" i="12" s="1"/>
  <c r="B924" i="12"/>
  <c r="P924" i="12" s="1"/>
  <c r="B923" i="12"/>
  <c r="V923" i="12" s="1"/>
  <c r="V250" i="12"/>
  <c r="H250" i="12"/>
  <c r="G250" i="12"/>
  <c r="Q249" i="12"/>
  <c r="V249" i="12"/>
  <c r="S204" i="1"/>
  <c r="AD204" i="1" s="1"/>
  <c r="C203" i="1"/>
  <c r="S301" i="1"/>
  <c r="AD301" i="1" s="1"/>
  <c r="H2288" i="14"/>
  <c r="E2289" i="14"/>
  <c r="G2289" i="14" s="1"/>
  <c r="H2289" i="14"/>
  <c r="E2290" i="14"/>
  <c r="G2290" i="14" s="1"/>
  <c r="H2290" i="14"/>
  <c r="E2291" i="14"/>
  <c r="G2291" i="14" s="1"/>
  <c r="H2291" i="14"/>
  <c r="E2292" i="14"/>
  <c r="G2292" i="14" s="1"/>
  <c r="H2292" i="14"/>
  <c r="E2293" i="14"/>
  <c r="G2293" i="14" s="1"/>
  <c r="H2293" i="14"/>
  <c r="E2294" i="14"/>
  <c r="G2294" i="14" s="1"/>
  <c r="H2294" i="14"/>
  <c r="E2295" i="14"/>
  <c r="G2295" i="14" s="1"/>
  <c r="H2295" i="14"/>
  <c r="E2296" i="14"/>
  <c r="G2296" i="14" s="1"/>
  <c r="H2296" i="14"/>
  <c r="H1739" i="14"/>
  <c r="E1740" i="14"/>
  <c r="G1740" i="14" s="1"/>
  <c r="H1740" i="14"/>
  <c r="E1741" i="14"/>
  <c r="G1741" i="14" s="1"/>
  <c r="H1741" i="14"/>
  <c r="E1742" i="14"/>
  <c r="G1742" i="14" s="1"/>
  <c r="H1742" i="14"/>
  <c r="E1743" i="14"/>
  <c r="G1743" i="14" s="1"/>
  <c r="H1743" i="14"/>
  <c r="E1744" i="14"/>
  <c r="G1744" i="14" s="1"/>
  <c r="H1744" i="14"/>
  <c r="E1745" i="14"/>
  <c r="G1745" i="14" s="1"/>
  <c r="H1745" i="14"/>
  <c r="E1746" i="14"/>
  <c r="G1746" i="14" s="1"/>
  <c r="H1746" i="14"/>
  <c r="E1747" i="14"/>
  <c r="G1747" i="14" s="1"/>
  <c r="H1747" i="14"/>
  <c r="H848" i="14"/>
  <c r="E849" i="14"/>
  <c r="G849" i="14" s="1"/>
  <c r="H849" i="14"/>
  <c r="E850" i="14"/>
  <c r="G850" i="14" s="1"/>
  <c r="H850" i="14"/>
  <c r="E851" i="14"/>
  <c r="G851" i="14" s="1"/>
  <c r="H851" i="14"/>
  <c r="E852" i="14"/>
  <c r="G852" i="14" s="1"/>
  <c r="H852" i="14"/>
  <c r="E853" i="14"/>
  <c r="G853" i="14" s="1"/>
  <c r="H853" i="14"/>
  <c r="E854" i="14"/>
  <c r="G854" i="14" s="1"/>
  <c r="H854" i="14"/>
  <c r="E855" i="14"/>
  <c r="G855" i="14" s="1"/>
  <c r="H855" i="14"/>
  <c r="E856" i="14"/>
  <c r="G856" i="14" s="1"/>
  <c r="H856" i="14"/>
  <c r="H857" i="14"/>
  <c r="E858" i="14"/>
  <c r="G858" i="14" s="1"/>
  <c r="H858" i="14"/>
  <c r="E859" i="14"/>
  <c r="G859" i="14" s="1"/>
  <c r="H859" i="14"/>
  <c r="E860" i="14"/>
  <c r="G860" i="14" s="1"/>
  <c r="H860" i="14"/>
  <c r="E861" i="14"/>
  <c r="G861" i="14" s="1"/>
  <c r="H861" i="14"/>
  <c r="E862" i="14"/>
  <c r="G862" i="14" s="1"/>
  <c r="H862" i="14"/>
  <c r="E863" i="14"/>
  <c r="G863" i="14" s="1"/>
  <c r="H863" i="14"/>
  <c r="E864" i="14"/>
  <c r="G864" i="14" s="1"/>
  <c r="H864" i="14"/>
  <c r="E865" i="14"/>
  <c r="G865" i="14" s="1"/>
  <c r="H865" i="14"/>
  <c r="H866" i="14"/>
  <c r="E867" i="14"/>
  <c r="G867" i="14" s="1"/>
  <c r="H867" i="14"/>
  <c r="E868" i="14"/>
  <c r="G868" i="14" s="1"/>
  <c r="H868" i="14"/>
  <c r="E869" i="14"/>
  <c r="G869" i="14" s="1"/>
  <c r="H869" i="14"/>
  <c r="E870" i="14"/>
  <c r="G870" i="14" s="1"/>
  <c r="H870" i="14"/>
  <c r="E871" i="14"/>
  <c r="G871" i="14" s="1"/>
  <c r="H871" i="14"/>
  <c r="E872" i="14"/>
  <c r="G872" i="14" s="1"/>
  <c r="H872" i="14"/>
  <c r="E873" i="14"/>
  <c r="G873" i="14" s="1"/>
  <c r="H873" i="14"/>
  <c r="E874" i="14"/>
  <c r="G874" i="14" s="1"/>
  <c r="H874" i="14"/>
  <c r="S263" i="1"/>
  <c r="E857" i="14" s="1"/>
  <c r="G857" i="14" s="1"/>
  <c r="S261" i="1"/>
  <c r="E866" i="14" s="1"/>
  <c r="G866" i="14" s="1"/>
  <c r="S260" i="1"/>
  <c r="E848" i="14" s="1"/>
  <c r="G848" i="14" s="1"/>
  <c r="E1739" i="14" l="1"/>
  <c r="G1739" i="14" s="1"/>
  <c r="E2288" i="14"/>
  <c r="G2288" i="14" s="1"/>
  <c r="AD260" i="1"/>
  <c r="B625" i="12"/>
  <c r="G324" i="12"/>
  <c r="AD261" i="1"/>
  <c r="B627" i="12"/>
  <c r="AD263" i="1"/>
  <c r="B626" i="12"/>
  <c r="F324" i="12"/>
  <c r="Q922" i="12"/>
  <c r="AC263" i="1"/>
  <c r="AC260" i="1"/>
  <c r="AF260" i="1"/>
  <c r="AF263" i="1"/>
  <c r="Q324" i="12"/>
  <c r="G330" i="12"/>
  <c r="H330" i="12"/>
  <c r="V330" i="12"/>
  <c r="AC301" i="1"/>
  <c r="AC204" i="1"/>
  <c r="AF301" i="1"/>
  <c r="AF204" i="1"/>
  <c r="H922" i="12"/>
  <c r="V924" i="12"/>
  <c r="Q924" i="12"/>
  <c r="J923" i="12"/>
  <c r="V921" i="12"/>
  <c r="Q923" i="12"/>
  <c r="M921" i="12"/>
  <c r="AF261" i="1"/>
  <c r="AC261" i="1"/>
  <c r="J1140" i="12"/>
  <c r="J1138" i="12"/>
  <c r="J1137" i="12"/>
  <c r="J1136" i="12"/>
  <c r="J1139" i="12"/>
  <c r="B32" i="12"/>
  <c r="D32" i="12" s="1"/>
  <c r="B542" i="12"/>
  <c r="D542" i="12" s="1"/>
  <c r="B1025" i="12"/>
  <c r="E1025" i="12" s="1"/>
  <c r="E110" i="12"/>
  <c r="B474" i="12"/>
  <c r="G474" i="12" s="1"/>
  <c r="G11" i="12"/>
  <c r="H11" i="12"/>
  <c r="B403" i="12"/>
  <c r="K403" i="12" s="1"/>
  <c r="B410" i="12"/>
  <c r="K410" i="12" s="1"/>
  <c r="T1132" i="12"/>
  <c r="U1132" i="12"/>
  <c r="L1131" i="12"/>
  <c r="L1134" i="12" s="1"/>
  <c r="J1141" i="12"/>
  <c r="J1142" i="12"/>
  <c r="J1143" i="12"/>
  <c r="J1144" i="12"/>
  <c r="J1145" i="12"/>
  <c r="L148" i="15"/>
  <c r="Z191" i="15" s="1"/>
  <c r="AC406" i="1"/>
  <c r="AC392" i="1"/>
  <c r="V155" i="15"/>
  <c r="V170" i="15"/>
  <c r="V184" i="15"/>
  <c r="N150" i="15"/>
  <c r="C26" i="2" s="1"/>
  <c r="O150" i="15"/>
  <c r="D67" i="2" s="1" a="1"/>
  <c r="D67" i="2" s="1"/>
  <c r="P150" i="15"/>
  <c r="E67" i="2" s="1" a="1"/>
  <c r="E67" i="2" s="1"/>
  <c r="Q150" i="15"/>
  <c r="F67" i="2" s="1" a="1"/>
  <c r="F67" i="2" s="1"/>
  <c r="R150" i="15"/>
  <c r="G67" i="2" s="1" a="1"/>
  <c r="G67" i="2" s="1"/>
  <c r="S150" i="15"/>
  <c r="H67" i="2" s="1" a="1"/>
  <c r="H67" i="2" s="1"/>
  <c r="T150" i="15"/>
  <c r="I67" i="2" s="1" a="1"/>
  <c r="I67" i="2" s="1"/>
  <c r="U150" i="15"/>
  <c r="L128" i="15"/>
  <c r="W128" i="15" s="1"/>
  <c r="M150" i="15"/>
  <c r="B67" i="2" s="1" a="1"/>
  <c r="B67" i="2" s="1"/>
  <c r="L37" i="15"/>
  <c r="W37" i="15" s="1"/>
  <c r="L38" i="15"/>
  <c r="B1043" i="12" s="1"/>
  <c r="J1043" i="12" s="1"/>
  <c r="L39" i="15"/>
  <c r="V39" i="15" s="1"/>
  <c r="L40" i="15"/>
  <c r="B1045" i="12" s="1"/>
  <c r="I1045" i="12" s="1"/>
  <c r="B932" i="12"/>
  <c r="D932" i="12" s="1"/>
  <c r="B934" i="12"/>
  <c r="E934" i="12" s="1"/>
  <c r="B936" i="12"/>
  <c r="D936" i="12" s="1"/>
  <c r="B938" i="12"/>
  <c r="E938" i="12" s="1"/>
  <c r="B940" i="12"/>
  <c r="D940" i="12" s="1"/>
  <c r="B942" i="12"/>
  <c r="I943" i="12" s="1"/>
  <c r="B1012" i="12"/>
  <c r="F1012" i="12" s="1"/>
  <c r="B945" i="12"/>
  <c r="E945" i="12" s="1"/>
  <c r="B947" i="12"/>
  <c r="D947" i="12" s="1"/>
  <c r="B949" i="12"/>
  <c r="D949" i="12" s="1"/>
  <c r="B952" i="12"/>
  <c r="B955" i="12"/>
  <c r="H955" i="12" s="1"/>
  <c r="B957" i="12"/>
  <c r="F957" i="12" s="1"/>
  <c r="B959" i="12"/>
  <c r="D959" i="12" s="1"/>
  <c r="B961" i="12"/>
  <c r="J961" i="12" s="1"/>
  <c r="B963" i="12"/>
  <c r="H963" i="12" s="1"/>
  <c r="B965" i="12"/>
  <c r="E965" i="12" s="1"/>
  <c r="B803" i="12"/>
  <c r="I803" i="12" s="1"/>
  <c r="B967" i="12"/>
  <c r="B968" i="12"/>
  <c r="I968" i="12" s="1"/>
  <c r="B969" i="12"/>
  <c r="B970" i="12"/>
  <c r="B973" i="12"/>
  <c r="E973" i="12" s="1"/>
  <c r="B814" i="12"/>
  <c r="B976" i="12"/>
  <c r="D976" i="12" s="1"/>
  <c r="B978" i="12"/>
  <c r="H978" i="12" s="1"/>
  <c r="B929" i="12"/>
  <c r="B980" i="12"/>
  <c r="B981" i="12"/>
  <c r="B982" i="12"/>
  <c r="B984" i="12"/>
  <c r="B985" i="12"/>
  <c r="B986" i="12"/>
  <c r="B815" i="12"/>
  <c r="B819" i="12"/>
  <c r="V819" i="12" s="1"/>
  <c r="B987" i="12"/>
  <c r="D987" i="12" s="1"/>
  <c r="B925" i="12"/>
  <c r="D925" i="12" s="1"/>
  <c r="B990" i="12"/>
  <c r="D990" i="12" s="1"/>
  <c r="B992" i="12"/>
  <c r="D992" i="12" s="1"/>
  <c r="B995" i="12"/>
  <c r="J995" i="12" s="1"/>
  <c r="B998" i="12"/>
  <c r="J998" i="12" s="1"/>
  <c r="B1000" i="12"/>
  <c r="E1000" i="12" s="1"/>
  <c r="B1004" i="12"/>
  <c r="E1004" i="12" s="1"/>
  <c r="B1006" i="12"/>
  <c r="H1006" i="12" s="1"/>
  <c r="B1008" i="12"/>
  <c r="J1008" i="12" s="1"/>
  <c r="B1014" i="12"/>
  <c r="H1014" i="12" s="1"/>
  <c r="B1016" i="12"/>
  <c r="H1016" i="12" s="1"/>
  <c r="B1018" i="12"/>
  <c r="H1018" i="12" s="1"/>
  <c r="B1022" i="12"/>
  <c r="H1022" i="12" s="1"/>
  <c r="B1026" i="12"/>
  <c r="E1026" i="12" s="1"/>
  <c r="B1029" i="12"/>
  <c r="E1029" i="12" s="1"/>
  <c r="B1033" i="12"/>
  <c r="E1033" i="12" s="1"/>
  <c r="B1035" i="12"/>
  <c r="D1035" i="12" s="1"/>
  <c r="B1037" i="12"/>
  <c r="D1037" i="12" s="1"/>
  <c r="B1041" i="12"/>
  <c r="U1041" i="12" s="1"/>
  <c r="B1027" i="12"/>
  <c r="E1027" i="12" s="1"/>
  <c r="L41" i="15"/>
  <c r="L42" i="15"/>
  <c r="B1047" i="12" s="1"/>
  <c r="H1047" i="12" s="1"/>
  <c r="L43" i="15"/>
  <c r="V43" i="15" s="1"/>
  <c r="L44" i="15"/>
  <c r="V44" i="15" s="1"/>
  <c r="L46" i="15"/>
  <c r="V46" i="15" s="1"/>
  <c r="L47" i="15"/>
  <c r="B1051" i="12" s="1"/>
  <c r="K1051" i="12" s="1"/>
  <c r="L48" i="15"/>
  <c r="W48" i="15" s="1"/>
  <c r="L49" i="15"/>
  <c r="B1053" i="12" s="1"/>
  <c r="J1053" i="12" s="1"/>
  <c r="L50" i="15"/>
  <c r="V50" i="15" s="1"/>
  <c r="L51" i="15"/>
  <c r="B1055" i="12" s="1"/>
  <c r="J1055" i="12" s="1"/>
  <c r="L52" i="15"/>
  <c r="W52" i="15" s="1"/>
  <c r="L53" i="15"/>
  <c r="V53" i="15" s="1"/>
  <c r="L54" i="15"/>
  <c r="L55" i="15"/>
  <c r="B1077" i="12" s="1"/>
  <c r="E1077" i="12" s="1"/>
  <c r="L56" i="15"/>
  <c r="V56" i="15" s="1"/>
  <c r="L57" i="15"/>
  <c r="B1079" i="12" s="1"/>
  <c r="D1079" i="12" s="1"/>
  <c r="L58" i="15"/>
  <c r="V58" i="15" s="1"/>
  <c r="L60" i="15"/>
  <c r="B1081" i="12" s="1"/>
  <c r="I1081" i="12" s="1"/>
  <c r="L67" i="15"/>
  <c r="V67" i="15" s="1"/>
  <c r="L68" i="15"/>
  <c r="B1083" i="12" s="1"/>
  <c r="H1083" i="12" s="1"/>
  <c r="L71" i="15"/>
  <c r="L87" i="15"/>
  <c r="B1085" i="12" s="1"/>
  <c r="I1085" i="12" s="1"/>
  <c r="L88" i="15"/>
  <c r="W88" i="15" s="1"/>
  <c r="L90" i="15"/>
  <c r="B1087" i="12" s="1"/>
  <c r="H1087" i="12" s="1"/>
  <c r="L91" i="15"/>
  <c r="V91" i="15" s="1"/>
  <c r="L92" i="15"/>
  <c r="B1089" i="12" s="1"/>
  <c r="H1089" i="12" s="1"/>
  <c r="L93" i="15"/>
  <c r="V93" i="15" s="1"/>
  <c r="B1091" i="12"/>
  <c r="E1091" i="12" s="1"/>
  <c r="L96" i="15"/>
  <c r="L97" i="15"/>
  <c r="B1093" i="12" s="1"/>
  <c r="E1093" i="12" s="1"/>
  <c r="L98" i="15"/>
  <c r="W98" i="15" s="1"/>
  <c r="L100" i="15"/>
  <c r="B1095" i="12" s="1"/>
  <c r="D1095" i="12" s="1"/>
  <c r="L102" i="15"/>
  <c r="V102" i="15" s="1"/>
  <c r="L103" i="15"/>
  <c r="B1097" i="12" s="1"/>
  <c r="D1097" i="12" s="1"/>
  <c r="L127" i="15"/>
  <c r="V127" i="15" s="1"/>
  <c r="L129" i="15"/>
  <c r="B1106" i="12" s="1"/>
  <c r="J1106" i="12" s="1"/>
  <c r="L130" i="15"/>
  <c r="L131" i="15"/>
  <c r="B1108" i="12" s="1"/>
  <c r="H1108" i="12" s="1"/>
  <c r="L132" i="15"/>
  <c r="V132" i="15" s="1"/>
  <c r="L133" i="15"/>
  <c r="B1113" i="12" s="1"/>
  <c r="D1113" i="12" s="1"/>
  <c r="L134" i="15"/>
  <c r="V134" i="15" s="1"/>
  <c r="L135" i="15"/>
  <c r="B1115" i="12" s="1"/>
  <c r="D1115" i="12" s="1"/>
  <c r="L136" i="15"/>
  <c r="V136" i="15" s="1"/>
  <c r="L138" i="15"/>
  <c r="B1117" i="12" s="1"/>
  <c r="I1117" i="12" s="1"/>
  <c r="L139" i="15"/>
  <c r="L140" i="15"/>
  <c r="B1125" i="12" s="1"/>
  <c r="I1125" i="12" s="1"/>
  <c r="L141" i="15"/>
  <c r="V141" i="15" s="1"/>
  <c r="L142" i="15"/>
  <c r="B1127" i="12" s="1"/>
  <c r="H1127" i="12" s="1"/>
  <c r="L143" i="15"/>
  <c r="V143" i="15" s="1"/>
  <c r="L144" i="15"/>
  <c r="B1129" i="12" s="1"/>
  <c r="D1129" i="12" s="1"/>
  <c r="L145" i="15"/>
  <c r="W145" i="15" s="1"/>
  <c r="B800" i="12"/>
  <c r="K800" i="12" s="1"/>
  <c r="B802" i="12"/>
  <c r="K802" i="12" s="1"/>
  <c r="B805" i="12"/>
  <c r="B808" i="12"/>
  <c r="V808" i="12" s="1"/>
  <c r="B809" i="12"/>
  <c r="B810" i="12"/>
  <c r="B804" i="12"/>
  <c r="I804" i="12" s="1"/>
  <c r="S354" i="1"/>
  <c r="B233" i="12"/>
  <c r="V233" i="12" s="1"/>
  <c r="B231" i="12"/>
  <c r="D231" i="12" s="1"/>
  <c r="B153" i="12"/>
  <c r="V153" i="12" s="1"/>
  <c r="B155" i="12"/>
  <c r="N155" i="12" s="1"/>
  <c r="B162" i="12"/>
  <c r="M162" i="12" s="1"/>
  <c r="B192" i="12"/>
  <c r="G192" i="12" s="1"/>
  <c r="B193" i="12"/>
  <c r="G193" i="12" s="1"/>
  <c r="B194" i="12"/>
  <c r="G194" i="12" s="1"/>
  <c r="B196" i="12"/>
  <c r="G196" i="12" s="1"/>
  <c r="B200" i="12"/>
  <c r="H200" i="12" s="1"/>
  <c r="B232" i="12"/>
  <c r="G232" i="12" s="1"/>
  <c r="B242" i="12"/>
  <c r="B158" i="12"/>
  <c r="V158" i="12" s="1"/>
  <c r="B149" i="12"/>
  <c r="V149" i="12" s="1"/>
  <c r="B168" i="12"/>
  <c r="V168" i="12" s="1"/>
  <c r="B36" i="12"/>
  <c r="D36" i="12" s="1"/>
  <c r="B134" i="12"/>
  <c r="D134" i="12" s="1"/>
  <c r="B163" i="12"/>
  <c r="D163" i="12" s="1"/>
  <c r="B182" i="12"/>
  <c r="D182" i="12" s="1"/>
  <c r="B208" i="12"/>
  <c r="D208" i="12" s="1"/>
  <c r="B221" i="12"/>
  <c r="D221" i="12" s="1"/>
  <c r="B5" i="12"/>
  <c r="D5" i="12" s="1"/>
  <c r="B35" i="12"/>
  <c r="D35" i="12" s="1"/>
  <c r="B167" i="12"/>
  <c r="D167" i="12" s="1"/>
  <c r="B170" i="12"/>
  <c r="D170" i="12" s="1"/>
  <c r="B171" i="12"/>
  <c r="D171" i="12" s="1"/>
  <c r="B172" i="12"/>
  <c r="D172" i="12" s="1"/>
  <c r="B173" i="12"/>
  <c r="D173" i="12" s="1"/>
  <c r="B175" i="12"/>
  <c r="D175" i="12" s="1"/>
  <c r="B180" i="12"/>
  <c r="D180" i="12" s="1"/>
  <c r="B183" i="12"/>
  <c r="D183" i="12" s="1"/>
  <c r="B243" i="12"/>
  <c r="V243" i="12" s="1"/>
  <c r="B174" i="12"/>
  <c r="D174" i="12" s="1"/>
  <c r="B187" i="12"/>
  <c r="D187" i="12" s="1"/>
  <c r="B188" i="12"/>
  <c r="D188" i="12" s="1"/>
  <c r="B214" i="12"/>
  <c r="D214" i="12" s="1"/>
  <c r="B215" i="12"/>
  <c r="D215" i="12" s="1"/>
  <c r="B178" i="12"/>
  <c r="D178" i="12" s="1"/>
  <c r="B179" i="12"/>
  <c r="D179" i="12" s="1"/>
  <c r="B222" i="12"/>
  <c r="D222" i="12" s="1"/>
  <c r="B209" i="12"/>
  <c r="D209" i="12" s="1"/>
  <c r="B229" i="12"/>
  <c r="Q229" i="12" s="1"/>
  <c r="B235" i="12"/>
  <c r="Q235" i="12" s="1"/>
  <c r="B351" i="12"/>
  <c r="Q351" i="12" s="1"/>
  <c r="B450" i="12"/>
  <c r="D450" i="12" s="1"/>
  <c r="B451" i="12"/>
  <c r="V451" i="12" s="1"/>
  <c r="B449" i="12"/>
  <c r="D449" i="12" s="1"/>
  <c r="B452" i="12"/>
  <c r="D452" i="12" s="1"/>
  <c r="B448" i="12"/>
  <c r="D448" i="12" s="1"/>
  <c r="B535" i="12"/>
  <c r="D535" i="12" s="1"/>
  <c r="B521" i="12"/>
  <c r="V521" i="12" s="1"/>
  <c r="B523" i="12"/>
  <c r="V523" i="12" s="1"/>
  <c r="B524" i="12"/>
  <c r="D524" i="12" s="1"/>
  <c r="B526" i="12"/>
  <c r="D526" i="12" s="1"/>
  <c r="B527" i="12"/>
  <c r="D527" i="12" s="1"/>
  <c r="B536" i="12"/>
  <c r="V536" i="12" s="1"/>
  <c r="B538" i="12"/>
  <c r="D538" i="12" s="1"/>
  <c r="B540" i="12"/>
  <c r="D540" i="12" s="1"/>
  <c r="B519" i="12"/>
  <c r="D519" i="12" s="1"/>
  <c r="B531" i="12"/>
  <c r="D531" i="12" s="1"/>
  <c r="B532" i="12"/>
  <c r="D532" i="12" s="1"/>
  <c r="B533" i="12"/>
  <c r="D533" i="12" s="1"/>
  <c r="B539" i="12"/>
  <c r="V539" i="12" s="1"/>
  <c r="B517" i="12"/>
  <c r="D517" i="12" s="1"/>
  <c r="B534" i="12"/>
  <c r="D534" i="12" s="1"/>
  <c r="B537" i="12"/>
  <c r="D537" i="12" s="1"/>
  <c r="B520" i="12"/>
  <c r="Q520" i="12" s="1"/>
  <c r="B528" i="12"/>
  <c r="Q528" i="12" s="1"/>
  <c r="B529" i="12"/>
  <c r="Q529" i="12" s="1"/>
  <c r="B372" i="12"/>
  <c r="V372" i="12" s="1"/>
  <c r="B373" i="12"/>
  <c r="V373" i="12" s="1"/>
  <c r="B376" i="12"/>
  <c r="V376" i="12" s="1"/>
  <c r="B387" i="12"/>
  <c r="V387" i="12" s="1"/>
  <c r="B389" i="12"/>
  <c r="B390" i="12"/>
  <c r="P390" i="12" s="1"/>
  <c r="B391" i="12"/>
  <c r="K391" i="12" s="1"/>
  <c r="B375" i="12"/>
  <c r="V375" i="12" s="1"/>
  <c r="B395" i="12"/>
  <c r="V395" i="12" s="1"/>
  <c r="B323" i="12"/>
  <c r="V323" i="12" s="1"/>
  <c r="B393" i="12"/>
  <c r="B237" i="12"/>
  <c r="V237" i="12" s="1"/>
  <c r="B371" i="12"/>
  <c r="D371" i="12" s="1"/>
  <c r="H3233" i="13"/>
  <c r="J3233" i="13" s="1"/>
  <c r="B510" i="12"/>
  <c r="N510" i="12" s="1"/>
  <c r="B511" i="12"/>
  <c r="M511" i="12" s="1"/>
  <c r="B354" i="12"/>
  <c r="V354" i="12" s="1"/>
  <c r="B355" i="12"/>
  <c r="M355" i="12" s="1"/>
  <c r="B356" i="12"/>
  <c r="N356" i="12" s="1"/>
  <c r="B512" i="12"/>
  <c r="V512" i="12" s="1"/>
  <c r="B366" i="12"/>
  <c r="F366" i="12" s="1"/>
  <c r="B367" i="12"/>
  <c r="V367" i="12" s="1"/>
  <c r="B506" i="12"/>
  <c r="V506" i="12" s="1"/>
  <c r="B514" i="12"/>
  <c r="V514" i="12" s="1"/>
  <c r="B515" i="12"/>
  <c r="V515" i="12" s="1"/>
  <c r="B364" i="12"/>
  <c r="V364" i="12" s="1"/>
  <c r="B502" i="12"/>
  <c r="E502" i="12" s="1"/>
  <c r="B513" i="12"/>
  <c r="V513" i="12" s="1"/>
  <c r="B365" i="12"/>
  <c r="V365" i="12" s="1"/>
  <c r="B516" i="12"/>
  <c r="E516" i="12" s="1"/>
  <c r="B503" i="12"/>
  <c r="D503" i="12" s="1"/>
  <c r="B359" i="12"/>
  <c r="D359" i="12" s="1"/>
  <c r="B469" i="12"/>
  <c r="Q469" i="12" s="1"/>
  <c r="B470" i="12"/>
  <c r="Q470" i="12" s="1"/>
  <c r="B352" i="12"/>
  <c r="Q352" i="12" s="1"/>
  <c r="B437" i="12"/>
  <c r="V437" i="12" s="1"/>
  <c r="B439" i="12"/>
  <c r="J439" i="12" s="1"/>
  <c r="B445" i="12"/>
  <c r="G445" i="12" s="1"/>
  <c r="B441" i="12"/>
  <c r="V441" i="12" s="1"/>
  <c r="B444" i="12"/>
  <c r="E444" i="12" s="1"/>
  <c r="B434" i="12"/>
  <c r="D434" i="12" s="1"/>
  <c r="B52" i="12"/>
  <c r="M52" i="12" s="1"/>
  <c r="B103" i="12"/>
  <c r="H103" i="12" s="1"/>
  <c r="B39" i="12"/>
  <c r="V39" i="12" s="1"/>
  <c r="B16" i="12"/>
  <c r="D16" i="12" s="1"/>
  <c r="B29" i="12"/>
  <c r="D29" i="12" s="1"/>
  <c r="B21" i="12"/>
  <c r="D21" i="12" s="1"/>
  <c r="B405" i="12"/>
  <c r="V405" i="12" s="1"/>
  <c r="B407" i="12"/>
  <c r="N407" i="12" s="1"/>
  <c r="B420" i="12"/>
  <c r="J420" i="12" s="1"/>
  <c r="B417" i="12"/>
  <c r="K417" i="12" s="1"/>
  <c r="B404" i="12"/>
  <c r="D404" i="12" s="1"/>
  <c r="B416" i="12"/>
  <c r="D416" i="12" s="1"/>
  <c r="B409" i="12"/>
  <c r="K409" i="12" s="1"/>
  <c r="B411" i="12"/>
  <c r="K411" i="12" s="1"/>
  <c r="B377" i="12"/>
  <c r="K377" i="12" s="1"/>
  <c r="B399" i="12"/>
  <c r="D399" i="12" s="1"/>
  <c r="B400" i="12"/>
  <c r="D400" i="12" s="1"/>
  <c r="B401" i="12"/>
  <c r="D401" i="12" s="1"/>
  <c r="B402" i="12"/>
  <c r="D402" i="12" s="1"/>
  <c r="B398" i="12"/>
  <c r="V398" i="12" s="1"/>
  <c r="B476" i="12"/>
  <c r="H476" i="12" s="1"/>
  <c r="B454" i="12"/>
  <c r="G454" i="12" s="1"/>
  <c r="B473" i="12"/>
  <c r="G473" i="12" s="1"/>
  <c r="B475" i="12"/>
  <c r="V475" i="12" s="1"/>
  <c r="B481" i="12"/>
  <c r="H481" i="12" s="1"/>
  <c r="B455" i="12"/>
  <c r="H455" i="12" s="1"/>
  <c r="B456" i="12"/>
  <c r="E456" i="12" s="1"/>
  <c r="B478" i="12"/>
  <c r="G478" i="12" s="1"/>
  <c r="B468" i="12"/>
  <c r="V468" i="12" s="1"/>
  <c r="B344" i="12"/>
  <c r="Q344" i="12" s="1"/>
  <c r="B346" i="12"/>
  <c r="Q346" i="12" s="1"/>
  <c r="B228" i="12"/>
  <c r="V228" i="12" s="1"/>
  <c r="B61" i="12"/>
  <c r="M61" i="12" s="1"/>
  <c r="B78" i="12"/>
  <c r="K78" i="12" s="1"/>
  <c r="B80" i="12"/>
  <c r="K80" i="12" s="1"/>
  <c r="B84" i="12"/>
  <c r="M84" i="12" s="1"/>
  <c r="B86" i="12"/>
  <c r="K86" i="12" s="1"/>
  <c r="B88" i="12"/>
  <c r="M88" i="12" s="1"/>
  <c r="B100" i="12"/>
  <c r="K100" i="12" s="1"/>
  <c r="B102" i="12"/>
  <c r="V102" i="12" s="1"/>
  <c r="B202" i="12"/>
  <c r="E202" i="12" s="1"/>
  <c r="H2" i="13"/>
  <c r="J2" i="13" s="1"/>
  <c r="B11" i="12"/>
  <c r="E11" i="12" s="1"/>
  <c r="B69" i="12"/>
  <c r="V69" i="12" s="1"/>
  <c r="B75" i="12"/>
  <c r="E75" i="12" s="1"/>
  <c r="B138" i="12"/>
  <c r="D138" i="12" s="1"/>
  <c r="B143" i="12"/>
  <c r="D143" i="12" s="1"/>
  <c r="B17" i="12"/>
  <c r="D17" i="12" s="1"/>
  <c r="B40" i="12"/>
  <c r="D40" i="12" s="1"/>
  <c r="B45" i="12"/>
  <c r="D45" i="12" s="1"/>
  <c r="B47" i="12"/>
  <c r="D47" i="12" s="1"/>
  <c r="B74" i="12"/>
  <c r="E74" i="12" s="1"/>
  <c r="B108" i="12"/>
  <c r="D108" i="12" s="1"/>
  <c r="B109" i="12"/>
  <c r="D109" i="12" s="1"/>
  <c r="B114" i="12"/>
  <c r="D114" i="12" s="1"/>
  <c r="B115" i="12"/>
  <c r="V115" i="12" s="1"/>
  <c r="B141" i="12"/>
  <c r="V141" i="12" s="1"/>
  <c r="B184" i="12"/>
  <c r="D184" i="12" s="1"/>
  <c r="B185" i="12"/>
  <c r="D185" i="12" s="1"/>
  <c r="B189" i="12"/>
  <c r="D189" i="12" s="1"/>
  <c r="B27" i="12"/>
  <c r="D27" i="12" s="1"/>
  <c r="B28" i="12"/>
  <c r="D28" i="12" s="1"/>
  <c r="B119" i="12"/>
  <c r="D119" i="12" s="1"/>
  <c r="B126" i="12"/>
  <c r="D126" i="12" s="1"/>
  <c r="B130" i="12"/>
  <c r="D130" i="12" s="1"/>
  <c r="B23" i="12"/>
  <c r="D23" i="12" s="1"/>
  <c r="B24" i="12"/>
  <c r="D24" i="12" s="1"/>
  <c r="B54" i="12"/>
  <c r="H54" i="12" s="1"/>
  <c r="B55" i="12"/>
  <c r="K55" i="12" s="1"/>
  <c r="B57" i="12"/>
  <c r="M57" i="12" s="1"/>
  <c r="B217" i="12"/>
  <c r="K217" i="12" s="1"/>
  <c r="B218" i="12"/>
  <c r="K218" i="12" s="1"/>
  <c r="B90" i="12"/>
  <c r="K90" i="12" s="1"/>
  <c r="B91" i="12"/>
  <c r="M91" i="12" s="1"/>
  <c r="B94" i="12"/>
  <c r="M94" i="12" s="1"/>
  <c r="B152" i="12"/>
  <c r="F152" i="12" s="1"/>
  <c r="B8" i="12"/>
  <c r="E8" i="12" s="1"/>
  <c r="B34" i="12"/>
  <c r="V34" i="12" s="1"/>
  <c r="B116" i="12"/>
  <c r="D116" i="12" s="1"/>
  <c r="B123" i="12"/>
  <c r="E123" i="12" s="1"/>
  <c r="B124" i="12"/>
  <c r="D124" i="12" s="1"/>
  <c r="B125" i="12"/>
  <c r="V125" i="12" s="1"/>
  <c r="B225" i="12"/>
  <c r="D225" i="12" s="1"/>
  <c r="B18" i="12"/>
  <c r="D18" i="12" s="1"/>
  <c r="B26" i="12"/>
  <c r="D26" i="12" s="1"/>
  <c r="B62" i="12"/>
  <c r="V62" i="12" s="1"/>
  <c r="B70" i="12"/>
  <c r="D70" i="12" s="1"/>
  <c r="B105" i="12"/>
  <c r="E105" i="12" s="1"/>
  <c r="B121" i="12"/>
  <c r="D121" i="12" s="1"/>
  <c r="B127" i="12"/>
  <c r="D127" i="12" s="1"/>
  <c r="B139" i="12"/>
  <c r="D139" i="12" s="1"/>
  <c r="B144" i="12"/>
  <c r="V144" i="12" s="1"/>
  <c r="B203" i="12"/>
  <c r="D203" i="12" s="1"/>
  <c r="B205" i="12"/>
  <c r="D205" i="12" s="1"/>
  <c r="B7" i="12"/>
  <c r="D7" i="12" s="1"/>
  <c r="B19" i="12"/>
  <c r="D19" i="12" s="1"/>
  <c r="B20" i="12"/>
  <c r="D20" i="12" s="1"/>
  <c r="B49" i="12"/>
  <c r="D49" i="12" s="1"/>
  <c r="B118" i="12"/>
  <c r="D118" i="12" s="1"/>
  <c r="B120" i="12"/>
  <c r="D120" i="12" s="1"/>
  <c r="B129" i="12"/>
  <c r="D129" i="12" s="1"/>
  <c r="B30" i="12"/>
  <c r="D30" i="12" s="1"/>
  <c r="B31" i="12"/>
  <c r="D31" i="12" s="1"/>
  <c r="B128" i="12"/>
  <c r="D128" i="12" s="1"/>
  <c r="B321" i="12"/>
  <c r="J321" i="12" s="1"/>
  <c r="B322" i="12"/>
  <c r="H322" i="12" s="1"/>
  <c r="B487" i="12"/>
  <c r="D487" i="12" s="1"/>
  <c r="B493" i="12"/>
  <c r="D493" i="12" s="1"/>
  <c r="B486" i="12"/>
  <c r="D486" i="12" s="1"/>
  <c r="B491" i="12"/>
  <c r="D491" i="12" s="1"/>
  <c r="B492" i="12"/>
  <c r="D492" i="12" s="1"/>
  <c r="B485" i="12"/>
  <c r="D485" i="12" s="1"/>
  <c r="B490" i="12"/>
  <c r="Q490" i="12" s="1"/>
  <c r="B541" i="12"/>
  <c r="Q541" i="12" s="1"/>
  <c r="B348" i="12"/>
  <c r="Q348" i="12" s="1"/>
  <c r="B453" i="12"/>
  <c r="Q453" i="12" s="1"/>
  <c r="B462" i="12"/>
  <c r="B464" i="12"/>
  <c r="V464" i="12" s="1"/>
  <c r="B465" i="12"/>
  <c r="D465" i="12" s="1"/>
  <c r="B466" i="12"/>
  <c r="D466" i="12" s="1"/>
  <c r="B467" i="12"/>
  <c r="D467" i="12" s="1"/>
  <c r="B494" i="12"/>
  <c r="D494" i="12" s="1"/>
  <c r="S37" i="1"/>
  <c r="AF37" i="1" s="1"/>
  <c r="S38" i="1"/>
  <c r="S39" i="1"/>
  <c r="AC39" i="1" s="1"/>
  <c r="S40" i="1"/>
  <c r="B621" i="12" s="1"/>
  <c r="K621" i="12" s="1"/>
  <c r="S41" i="1"/>
  <c r="AC41" i="1" s="1"/>
  <c r="S42" i="1"/>
  <c r="B623" i="12" s="1"/>
  <c r="R623" i="12" s="1"/>
  <c r="S47" i="1"/>
  <c r="B616" i="12" s="1"/>
  <c r="M616" i="12" s="1"/>
  <c r="S49" i="1"/>
  <c r="AF49" i="1" s="1"/>
  <c r="S50" i="1"/>
  <c r="B624" i="12" s="1"/>
  <c r="K624" i="12" s="1"/>
  <c r="S51" i="1"/>
  <c r="AD51" i="1" s="1"/>
  <c r="S57" i="1"/>
  <c r="B779" i="12" s="1"/>
  <c r="K779" i="12" s="1"/>
  <c r="S58" i="1"/>
  <c r="B780" i="12" s="1"/>
  <c r="K780" i="12" s="1"/>
  <c r="S60" i="1"/>
  <c r="B718" i="12" s="1"/>
  <c r="J718" i="12" s="1"/>
  <c r="S61" i="1"/>
  <c r="B719" i="12" s="1"/>
  <c r="J719" i="12" s="1"/>
  <c r="S67" i="1"/>
  <c r="AC67" i="1" s="1"/>
  <c r="S68" i="1"/>
  <c r="B782" i="12" s="1"/>
  <c r="J782" i="12" s="1"/>
  <c r="S69" i="1"/>
  <c r="AC69" i="1" s="1"/>
  <c r="S70" i="1"/>
  <c r="B784" i="12" s="1"/>
  <c r="J784" i="12" s="1"/>
  <c r="S71" i="1"/>
  <c r="B785" i="12" s="1"/>
  <c r="J785" i="12" s="1"/>
  <c r="S72" i="1"/>
  <c r="AD72" i="1" s="1"/>
  <c r="S75" i="1"/>
  <c r="B720" i="12" s="1"/>
  <c r="I720" i="12" s="1"/>
  <c r="S76" i="1"/>
  <c r="B721" i="12" s="1"/>
  <c r="I721" i="12" s="1"/>
  <c r="S77" i="1"/>
  <c r="B722" i="12" s="1"/>
  <c r="I722" i="12" s="1"/>
  <c r="S78" i="1"/>
  <c r="B723" i="12" s="1"/>
  <c r="I723" i="12" s="1"/>
  <c r="S84" i="1"/>
  <c r="B787" i="12" s="1"/>
  <c r="I787" i="12" s="1"/>
  <c r="S85" i="1"/>
  <c r="B788" i="12" s="1"/>
  <c r="G788" i="12" s="1"/>
  <c r="S86" i="1"/>
  <c r="B789" i="12" s="1"/>
  <c r="I789" i="12" s="1"/>
  <c r="S87" i="1"/>
  <c r="B790" i="12" s="1"/>
  <c r="I790" i="12" s="1"/>
  <c r="S88" i="1"/>
  <c r="S89" i="1"/>
  <c r="B792" i="12" s="1"/>
  <c r="I792" i="12" s="1"/>
  <c r="S91" i="1"/>
  <c r="AC91" i="1" s="1"/>
  <c r="S92" i="1"/>
  <c r="B725" i="12" s="1"/>
  <c r="H725" i="12" s="1"/>
  <c r="S93" i="1"/>
  <c r="AD93" i="1" s="1"/>
  <c r="S99" i="1"/>
  <c r="B793" i="12" s="1"/>
  <c r="H793" i="12" s="1"/>
  <c r="S100" i="1"/>
  <c r="B794" i="12" s="1"/>
  <c r="H794" i="12" s="1"/>
  <c r="S101" i="1"/>
  <c r="B795" i="12" s="1"/>
  <c r="H795" i="12" s="1"/>
  <c r="S102" i="1"/>
  <c r="S105" i="1"/>
  <c r="B726" i="12" s="1"/>
  <c r="G726" i="12" s="1"/>
  <c r="S106" i="1"/>
  <c r="AF106" i="1" s="1"/>
  <c r="S112" i="1"/>
  <c r="B796" i="12" s="1"/>
  <c r="E796" i="12" s="1"/>
  <c r="S113" i="1"/>
  <c r="AF113" i="1" s="1"/>
  <c r="S115" i="1"/>
  <c r="AF115" i="1" s="1"/>
  <c r="S129" i="1"/>
  <c r="AF129" i="1" s="1"/>
  <c r="S130" i="1"/>
  <c r="B798" i="12" s="1"/>
  <c r="S798" i="12" s="1"/>
  <c r="S134" i="1"/>
  <c r="S135" i="1"/>
  <c r="AD135" i="1" s="1"/>
  <c r="S136" i="1"/>
  <c r="B732" i="12" s="1"/>
  <c r="Q732" i="12" s="1"/>
  <c r="S137" i="1"/>
  <c r="B733" i="12" s="1"/>
  <c r="Q733" i="12" s="1"/>
  <c r="S138" i="1"/>
  <c r="B734" i="12" s="1"/>
  <c r="Q734" i="12" s="1"/>
  <c r="S139" i="1"/>
  <c r="B735" i="12" s="1"/>
  <c r="Q735" i="12" s="1"/>
  <c r="S140" i="1"/>
  <c r="AF140" i="1" s="1"/>
  <c r="S141" i="1"/>
  <c r="AD141" i="1" s="1"/>
  <c r="S142" i="1"/>
  <c r="B738" i="12" s="1"/>
  <c r="Q738" i="12" s="1"/>
  <c r="S143" i="1"/>
  <c r="AD143" i="1" s="1"/>
  <c r="S144" i="1"/>
  <c r="B740" i="12" s="1"/>
  <c r="Q740" i="12" s="1"/>
  <c r="S148" i="1"/>
  <c r="B799" i="12" s="1"/>
  <c r="Q799" i="12" s="1"/>
  <c r="S150" i="1"/>
  <c r="B715" i="12" s="1"/>
  <c r="I715" i="12" s="1"/>
  <c r="S152" i="1"/>
  <c r="B741" i="12" s="1"/>
  <c r="Q741" i="12" s="1"/>
  <c r="S153" i="1"/>
  <c r="B742" i="12" s="1"/>
  <c r="Q742" i="12" s="1"/>
  <c r="S155" i="1"/>
  <c r="B552" i="12" s="1"/>
  <c r="I552" i="12" s="1"/>
  <c r="S158" i="1"/>
  <c r="B743" i="12" s="1"/>
  <c r="K743" i="12" s="1"/>
  <c r="S159" i="1"/>
  <c r="B744" i="12" s="1"/>
  <c r="K744" i="12" s="1"/>
  <c r="S161" i="1"/>
  <c r="B745" i="12" s="1"/>
  <c r="J745" i="12" s="1"/>
  <c r="S162" i="1"/>
  <c r="B746" i="12" s="1"/>
  <c r="J746" i="12" s="1"/>
  <c r="S163" i="1"/>
  <c r="B753" i="12" s="1"/>
  <c r="J753" i="12" s="1"/>
  <c r="S165" i="1"/>
  <c r="B747" i="12" s="1"/>
  <c r="I747" i="12" s="1"/>
  <c r="S166" i="1"/>
  <c r="B748" i="12" s="1"/>
  <c r="I748" i="12" s="1"/>
  <c r="S167" i="1"/>
  <c r="B754" i="12" s="1"/>
  <c r="I754" i="12" s="1"/>
  <c r="S172" i="1"/>
  <c r="B553" i="12" s="1"/>
  <c r="H553" i="12" s="1"/>
  <c r="S174" i="1"/>
  <c r="B749" i="12" s="1"/>
  <c r="S750" i="12" s="1"/>
  <c r="S175" i="1"/>
  <c r="B750" i="12" s="1"/>
  <c r="S751" i="12" s="1"/>
  <c r="S176" i="1"/>
  <c r="AD176" i="1" s="1"/>
  <c r="S177" i="1"/>
  <c r="B752" i="12" s="1"/>
  <c r="Q752" i="12" s="1"/>
  <c r="S179" i="1"/>
  <c r="B543" i="12" s="1"/>
  <c r="K543" i="12" s="1"/>
  <c r="S180" i="1"/>
  <c r="B544" i="12" s="1"/>
  <c r="K544" i="12" s="1"/>
  <c r="S181" i="1"/>
  <c r="B545" i="12" s="1"/>
  <c r="K545" i="12" s="1"/>
  <c r="S183" i="1"/>
  <c r="AF183" i="1" s="1"/>
  <c r="S184" i="1"/>
  <c r="B547" i="12" s="1"/>
  <c r="I547" i="12" s="1"/>
  <c r="S185" i="1"/>
  <c r="AC185" i="1" s="1"/>
  <c r="S186" i="1"/>
  <c r="B549" i="12" s="1"/>
  <c r="I549" i="12" s="1"/>
  <c r="S188" i="1"/>
  <c r="B550" i="12" s="1"/>
  <c r="H550" i="12" s="1"/>
  <c r="S189" i="1"/>
  <c r="B551" i="12" s="1"/>
  <c r="H551" i="12" s="1"/>
  <c r="S197" i="1"/>
  <c r="AC197" i="1" s="1"/>
  <c r="S198" i="1"/>
  <c r="B556" i="12" s="1"/>
  <c r="R556" i="12" s="1"/>
  <c r="S206" i="1"/>
  <c r="B755" i="12" s="1"/>
  <c r="K755" i="12" s="1"/>
  <c r="S208" i="1"/>
  <c r="B756" i="12" s="1"/>
  <c r="J756" i="12" s="1"/>
  <c r="S209" i="1"/>
  <c r="B757" i="12" s="1"/>
  <c r="J757" i="12" s="1"/>
  <c r="S210" i="1"/>
  <c r="AF210" i="1" s="1"/>
  <c r="S211" i="1"/>
  <c r="AD211" i="1" s="1"/>
  <c r="S212" i="1"/>
  <c r="AC212" i="1" s="1"/>
  <c r="S213" i="1"/>
  <c r="B761" i="12" s="1"/>
  <c r="J761" i="12" s="1"/>
  <c r="S215" i="1"/>
  <c r="AF215" i="1" s="1"/>
  <c r="S216" i="1"/>
  <c r="B763" i="12" s="1"/>
  <c r="I763" i="12" s="1"/>
  <c r="S217" i="1"/>
  <c r="B764" i="12" s="1"/>
  <c r="I764" i="12" s="1"/>
  <c r="S218" i="1"/>
  <c r="B765" i="12" s="1"/>
  <c r="I765" i="12" s="1"/>
  <c r="S219" i="1"/>
  <c r="B766" i="12" s="1"/>
  <c r="I766" i="12" s="1"/>
  <c r="S220" i="1"/>
  <c r="B767" i="12" s="1"/>
  <c r="I767" i="12" s="1"/>
  <c r="S221" i="1"/>
  <c r="AF221" i="1" s="1"/>
  <c r="S222" i="1"/>
  <c r="B769" i="12" s="1"/>
  <c r="I769" i="12" s="1"/>
  <c r="S223" i="1"/>
  <c r="AF223" i="1" s="1"/>
  <c r="S227" i="1"/>
  <c r="B771" i="12" s="1"/>
  <c r="H771" i="12" s="1"/>
  <c r="S228" i="1"/>
  <c r="B772" i="12" s="1"/>
  <c r="H772" i="12" s="1"/>
  <c r="S234" i="1"/>
  <c r="AC234" i="1" s="1"/>
  <c r="S239" i="1"/>
  <c r="B774" i="12" s="1"/>
  <c r="E774" i="12" s="1"/>
  <c r="S240" i="1"/>
  <c r="B775" i="12" s="1"/>
  <c r="E775" i="12" s="1"/>
  <c r="S241" i="1"/>
  <c r="AF241" i="1" s="1"/>
  <c r="S242" i="1"/>
  <c r="B777" i="12" s="1"/>
  <c r="E777" i="12" s="1"/>
  <c r="S254" i="1"/>
  <c r="B778" i="12" s="1"/>
  <c r="K778" i="12" s="1"/>
  <c r="S277" i="1"/>
  <c r="B558" i="12" s="1"/>
  <c r="S278" i="1"/>
  <c r="AF278" i="1" s="1"/>
  <c r="S279" i="1"/>
  <c r="AC279" i="1" s="1"/>
  <c r="S280" i="1"/>
  <c r="B561" i="12" s="1"/>
  <c r="I561" i="12" s="1"/>
  <c r="S281" i="1"/>
  <c r="B562" i="12" s="1"/>
  <c r="I562" i="12" s="1"/>
  <c r="S282" i="1"/>
  <c r="B563" i="12" s="1"/>
  <c r="I563" i="12" s="1"/>
  <c r="S283" i="1"/>
  <c r="B564" i="12" s="1"/>
  <c r="I564" i="12" s="1"/>
  <c r="S284" i="1"/>
  <c r="B565" i="12" s="1"/>
  <c r="I565" i="12" s="1"/>
  <c r="S285" i="1"/>
  <c r="B566" i="12" s="1"/>
  <c r="I566" i="12" s="1"/>
  <c r="S286" i="1"/>
  <c r="AF286" i="1" s="1"/>
  <c r="S287" i="1"/>
  <c r="AC287" i="1" s="1"/>
  <c r="S288" i="1"/>
  <c r="B569" i="12" s="1"/>
  <c r="I569" i="12" s="1"/>
  <c r="S289" i="1"/>
  <c r="B570" i="12" s="1"/>
  <c r="I570" i="12" s="1"/>
  <c r="S290" i="1"/>
  <c r="B571" i="12" s="1"/>
  <c r="I571" i="12" s="1"/>
  <c r="S291" i="1"/>
  <c r="B572" i="12" s="1"/>
  <c r="I572" i="12" s="1"/>
  <c r="S292" i="1"/>
  <c r="B573" i="12" s="1"/>
  <c r="I573" i="12" s="1"/>
  <c r="S293" i="1"/>
  <c r="B574" i="12" s="1"/>
  <c r="I574" i="12" s="1"/>
  <c r="S294" i="1"/>
  <c r="B596" i="12" s="1"/>
  <c r="I596" i="12" s="1"/>
  <c r="S295" i="1"/>
  <c r="B575" i="12" s="1"/>
  <c r="I575" i="12" s="1"/>
  <c r="S296" i="1"/>
  <c r="B576" i="12" s="1"/>
  <c r="I576" i="12" s="1"/>
  <c r="S297" i="1"/>
  <c r="AD297" i="1" s="1"/>
  <c r="S299" i="1"/>
  <c r="B579" i="12" s="1"/>
  <c r="I579" i="12" s="1"/>
  <c r="S300" i="1"/>
  <c r="B583" i="12" s="1"/>
  <c r="I583" i="12" s="1"/>
  <c r="S302" i="1"/>
  <c r="B584" i="12" s="1"/>
  <c r="I584" i="12" s="1"/>
  <c r="S304" i="1"/>
  <c r="B587" i="12" s="1"/>
  <c r="I587" i="12" s="1"/>
  <c r="S305" i="1"/>
  <c r="AF305" i="1" s="1"/>
  <c r="S306" i="1"/>
  <c r="B589" i="12" s="1"/>
  <c r="I589" i="12" s="1"/>
  <c r="S307" i="1"/>
  <c r="AF307" i="1" s="1"/>
  <c r="S308" i="1"/>
  <c r="B591" i="12" s="1"/>
  <c r="I591" i="12" s="1"/>
  <c r="S309" i="1"/>
  <c r="AC309" i="1" s="1"/>
  <c r="S310" i="1"/>
  <c r="B593" i="12" s="1"/>
  <c r="I593" i="12" s="1"/>
  <c r="S311" i="1"/>
  <c r="AC311" i="1" s="1"/>
  <c r="S313" i="1"/>
  <c r="B597" i="12" s="1"/>
  <c r="I597" i="12" s="1"/>
  <c r="S314" i="1"/>
  <c r="AC314" i="1" s="1"/>
  <c r="S315" i="1"/>
  <c r="B599" i="12" s="1"/>
  <c r="I599" i="12" s="1"/>
  <c r="S316" i="1"/>
  <c r="AF316" i="1" s="1"/>
  <c r="S317" i="1"/>
  <c r="B601" i="12" s="1"/>
  <c r="I601" i="12" s="1"/>
  <c r="S318" i="1"/>
  <c r="AC318" i="1" s="1"/>
  <c r="S319" i="1"/>
  <c r="B603" i="12" s="1"/>
  <c r="I603" i="12" s="1"/>
  <c r="S320" i="1"/>
  <c r="AC320" i="1" s="1"/>
  <c r="S321" i="1"/>
  <c r="B605" i="12" s="1"/>
  <c r="I605" i="12" s="1"/>
  <c r="S322" i="1"/>
  <c r="AC322" i="1" s="1"/>
  <c r="S326" i="1"/>
  <c r="B607" i="12" s="1"/>
  <c r="I607" i="12" s="1"/>
  <c r="S327" i="1"/>
  <c r="B595" i="12" s="1"/>
  <c r="I595" i="12" s="1"/>
  <c r="S331" i="1"/>
  <c r="AC331" i="1" s="1"/>
  <c r="S332" i="1"/>
  <c r="B610" i="12" s="1"/>
  <c r="Q610" i="12" s="1"/>
  <c r="S333" i="1"/>
  <c r="AF333" i="1" s="1"/>
  <c r="S334" i="1"/>
  <c r="B612" i="12" s="1"/>
  <c r="Q612" i="12" s="1"/>
  <c r="S335" i="1"/>
  <c r="S336" i="1"/>
  <c r="B614" i="12" s="1"/>
  <c r="Q614" i="12" s="1"/>
  <c r="S337" i="1"/>
  <c r="AC337" i="1" s="1"/>
  <c r="S338" i="1"/>
  <c r="B578" i="12" s="1"/>
  <c r="R578" i="12" s="1"/>
  <c r="S339" i="1"/>
  <c r="S341" i="1"/>
  <c r="B585" i="12" s="1"/>
  <c r="I585" i="12" s="1"/>
  <c r="S342" i="1"/>
  <c r="AC342" i="1" s="1"/>
  <c r="S345" i="1"/>
  <c r="S346" i="1"/>
  <c r="S347" i="1"/>
  <c r="S364" i="1"/>
  <c r="S366" i="1"/>
  <c r="S370" i="1"/>
  <c r="D146" i="27" s="1"/>
  <c r="H1828" i="13"/>
  <c r="J1828" i="13" s="1"/>
  <c r="H1827" i="13"/>
  <c r="J1827" i="13" s="1"/>
  <c r="H1826" i="13"/>
  <c r="J1826" i="13" s="1"/>
  <c r="H1825" i="13"/>
  <c r="J1825" i="13" s="1"/>
  <c r="H1824" i="13"/>
  <c r="J1824" i="13" s="1"/>
  <c r="H1823" i="13"/>
  <c r="J1823" i="13" s="1"/>
  <c r="H1822" i="13"/>
  <c r="J1822" i="13" s="1"/>
  <c r="H1821" i="13"/>
  <c r="J1821" i="13" s="1"/>
  <c r="H1801" i="13"/>
  <c r="J1801" i="13" s="1"/>
  <c r="H1800" i="13"/>
  <c r="J1800" i="13" s="1"/>
  <c r="H1799" i="13"/>
  <c r="J1799" i="13" s="1"/>
  <c r="H1798" i="13"/>
  <c r="J1798" i="13" s="1"/>
  <c r="H1797" i="13"/>
  <c r="J1797" i="13" s="1"/>
  <c r="H1796" i="13"/>
  <c r="J1796" i="13" s="1"/>
  <c r="H1795" i="13"/>
  <c r="J1795" i="13" s="1"/>
  <c r="H1794" i="13"/>
  <c r="J1794" i="13" s="1"/>
  <c r="H163" i="13"/>
  <c r="J163" i="13" s="1"/>
  <c r="H162" i="13"/>
  <c r="J162" i="13" s="1"/>
  <c r="H161" i="13"/>
  <c r="J161" i="13" s="1"/>
  <c r="H160" i="13"/>
  <c r="J160" i="13" s="1"/>
  <c r="H159" i="13"/>
  <c r="J159" i="13" s="1"/>
  <c r="H158" i="13"/>
  <c r="J158" i="13" s="1"/>
  <c r="H157" i="13"/>
  <c r="J157" i="13" s="1"/>
  <c r="H156" i="13"/>
  <c r="J156" i="13" s="1"/>
  <c r="H4376" i="13"/>
  <c r="J4376" i="13" s="1"/>
  <c r="K4376" i="13"/>
  <c r="H4377" i="13"/>
  <c r="J4377" i="13" s="1"/>
  <c r="K4377" i="13"/>
  <c r="H4378" i="13"/>
  <c r="J4378" i="13" s="1"/>
  <c r="K4378" i="13"/>
  <c r="H4379" i="13"/>
  <c r="J4379" i="13" s="1"/>
  <c r="K4379" i="13"/>
  <c r="H4380" i="13"/>
  <c r="J4380" i="13" s="1"/>
  <c r="K4380" i="13"/>
  <c r="H4381" i="13"/>
  <c r="J4381" i="13" s="1"/>
  <c r="K4381" i="13"/>
  <c r="H4382" i="13"/>
  <c r="J4382" i="13" s="1"/>
  <c r="K4382" i="13"/>
  <c r="H4383" i="13"/>
  <c r="J4383" i="13" s="1"/>
  <c r="K4383" i="13"/>
  <c r="H4384" i="13"/>
  <c r="J4384" i="13" s="1"/>
  <c r="K4384" i="13"/>
  <c r="K4385" i="13"/>
  <c r="H4386" i="13"/>
  <c r="J4386" i="13" s="1"/>
  <c r="K4386" i="13"/>
  <c r="H4387" i="13"/>
  <c r="J4387" i="13" s="1"/>
  <c r="K4387" i="13"/>
  <c r="H4388" i="13"/>
  <c r="J4388" i="13" s="1"/>
  <c r="K4388" i="13"/>
  <c r="H4389" i="13"/>
  <c r="J4389" i="13" s="1"/>
  <c r="K4389" i="13"/>
  <c r="H4390" i="13"/>
  <c r="J4390" i="13" s="1"/>
  <c r="K4390" i="13"/>
  <c r="H4391" i="13"/>
  <c r="J4391" i="13" s="1"/>
  <c r="K4391" i="13"/>
  <c r="H4392" i="13"/>
  <c r="J4392" i="13" s="1"/>
  <c r="K4392" i="13"/>
  <c r="H4393" i="13"/>
  <c r="J4393" i="13" s="1"/>
  <c r="K4393" i="13"/>
  <c r="K2171" i="13"/>
  <c r="H2172" i="13"/>
  <c r="J2172" i="13" s="1"/>
  <c r="K2172" i="13"/>
  <c r="H2173" i="13"/>
  <c r="J2173" i="13" s="1"/>
  <c r="K2173" i="13"/>
  <c r="H2174" i="13"/>
  <c r="J2174" i="13" s="1"/>
  <c r="K2174" i="13"/>
  <c r="H2175" i="13"/>
  <c r="J2175" i="13" s="1"/>
  <c r="K2175" i="13"/>
  <c r="H2176" i="13"/>
  <c r="J2176" i="13" s="1"/>
  <c r="K2176" i="13"/>
  <c r="H2177" i="13"/>
  <c r="J2177" i="13" s="1"/>
  <c r="K2177" i="13"/>
  <c r="H2178" i="13"/>
  <c r="J2178" i="13" s="1"/>
  <c r="K2178" i="13"/>
  <c r="H2179" i="13"/>
  <c r="J2179" i="13" s="1"/>
  <c r="K2179" i="13"/>
  <c r="H3242" i="13"/>
  <c r="J3242" i="13" s="1"/>
  <c r="K3242" i="13"/>
  <c r="H3243" i="13"/>
  <c r="J3243" i="13" s="1"/>
  <c r="K3243" i="13"/>
  <c r="H3244" i="13"/>
  <c r="J3244" i="13" s="1"/>
  <c r="K3244" i="13"/>
  <c r="H3245" i="13"/>
  <c r="J3245" i="13" s="1"/>
  <c r="K3245" i="13"/>
  <c r="H3246" i="13"/>
  <c r="J3246" i="13" s="1"/>
  <c r="K3246" i="13"/>
  <c r="H3247" i="13"/>
  <c r="J3247" i="13" s="1"/>
  <c r="K3247" i="13"/>
  <c r="H3248" i="13"/>
  <c r="J3248" i="13" s="1"/>
  <c r="K3248" i="13"/>
  <c r="H3249" i="13"/>
  <c r="J3249" i="13" s="1"/>
  <c r="K3249" i="13"/>
  <c r="H3250" i="13"/>
  <c r="J3250" i="13" s="1"/>
  <c r="K3250" i="13"/>
  <c r="K6122" i="13"/>
  <c r="H6123" i="13"/>
  <c r="J6123" i="13" s="1"/>
  <c r="K6123" i="13"/>
  <c r="H6124" i="13"/>
  <c r="J6124" i="13" s="1"/>
  <c r="K6124" i="13"/>
  <c r="H6125" i="13"/>
  <c r="J6125" i="13" s="1"/>
  <c r="K6125" i="13"/>
  <c r="H6126" i="13"/>
  <c r="J6126" i="13" s="1"/>
  <c r="K6126" i="13"/>
  <c r="H6127" i="13"/>
  <c r="J6127" i="13" s="1"/>
  <c r="K6127" i="13"/>
  <c r="H6128" i="13"/>
  <c r="J6128" i="13" s="1"/>
  <c r="K6128" i="13"/>
  <c r="H6129" i="13"/>
  <c r="J6129" i="13" s="1"/>
  <c r="K6129" i="13"/>
  <c r="H6130" i="13"/>
  <c r="J6130" i="13" s="1"/>
  <c r="K6130" i="13"/>
  <c r="H2108" i="13"/>
  <c r="J2108" i="13" s="1"/>
  <c r="K2108" i="13"/>
  <c r="H2109" i="13"/>
  <c r="J2109" i="13" s="1"/>
  <c r="K2109" i="13"/>
  <c r="H2110" i="13"/>
  <c r="J2110" i="13" s="1"/>
  <c r="K2110" i="13"/>
  <c r="H2111" i="13"/>
  <c r="J2111" i="13" s="1"/>
  <c r="K2111" i="13"/>
  <c r="H2112" i="13"/>
  <c r="J2112" i="13" s="1"/>
  <c r="K2112" i="13"/>
  <c r="H2113" i="13"/>
  <c r="J2113" i="13" s="1"/>
  <c r="K2113" i="13"/>
  <c r="H2114" i="13"/>
  <c r="J2114" i="13" s="1"/>
  <c r="K2114" i="13"/>
  <c r="H2115" i="13"/>
  <c r="J2115" i="13" s="1"/>
  <c r="K2115" i="13"/>
  <c r="H2116" i="13"/>
  <c r="J2116" i="13" s="1"/>
  <c r="K2116" i="13"/>
  <c r="H2117" i="13"/>
  <c r="J2117" i="13" s="1"/>
  <c r="K2117" i="13"/>
  <c r="H2118" i="13"/>
  <c r="J2118" i="13" s="1"/>
  <c r="K2118" i="13"/>
  <c r="H2119" i="13"/>
  <c r="J2119" i="13" s="1"/>
  <c r="K2119" i="13"/>
  <c r="H2120" i="13"/>
  <c r="J2120" i="13" s="1"/>
  <c r="K2120" i="13"/>
  <c r="H2121" i="13"/>
  <c r="J2121" i="13" s="1"/>
  <c r="K2121" i="13"/>
  <c r="H2122" i="13"/>
  <c r="J2122" i="13" s="1"/>
  <c r="K2122" i="13"/>
  <c r="H2123" i="13"/>
  <c r="J2123" i="13" s="1"/>
  <c r="K2123" i="13"/>
  <c r="H2124" i="13"/>
  <c r="J2124" i="13" s="1"/>
  <c r="K2124" i="13"/>
  <c r="H2125" i="13"/>
  <c r="J2125" i="13" s="1"/>
  <c r="K2125" i="13"/>
  <c r="H2126" i="13"/>
  <c r="J2126" i="13" s="1"/>
  <c r="K2126" i="13"/>
  <c r="H2127" i="13"/>
  <c r="J2127" i="13" s="1"/>
  <c r="K2127" i="13"/>
  <c r="H2128" i="13"/>
  <c r="J2128" i="13" s="1"/>
  <c r="K2128" i="13"/>
  <c r="H2129" i="13"/>
  <c r="J2129" i="13" s="1"/>
  <c r="K2129" i="13"/>
  <c r="H2130" i="13"/>
  <c r="J2130" i="13" s="1"/>
  <c r="K2130" i="13"/>
  <c r="H2131" i="13"/>
  <c r="J2131" i="13" s="1"/>
  <c r="K2131" i="13"/>
  <c r="H2132" i="13"/>
  <c r="J2132" i="13" s="1"/>
  <c r="K2132" i="13"/>
  <c r="H2133" i="13"/>
  <c r="J2133" i="13" s="1"/>
  <c r="K2133" i="13"/>
  <c r="H2134" i="13"/>
  <c r="J2134" i="13" s="1"/>
  <c r="K2134" i="13"/>
  <c r="H2135" i="13"/>
  <c r="J2135" i="13" s="1"/>
  <c r="K2135" i="13"/>
  <c r="H2136" i="13"/>
  <c r="J2136" i="13" s="1"/>
  <c r="K2136" i="13"/>
  <c r="H2137" i="13"/>
  <c r="J2137" i="13" s="1"/>
  <c r="K2137" i="13"/>
  <c r="H2138" i="13"/>
  <c r="J2138" i="13" s="1"/>
  <c r="K2138" i="13"/>
  <c r="H2139" i="13"/>
  <c r="J2139" i="13" s="1"/>
  <c r="K2139" i="13"/>
  <c r="H2140" i="13"/>
  <c r="J2140" i="13" s="1"/>
  <c r="K2140" i="13"/>
  <c r="H2141" i="13"/>
  <c r="J2141" i="13" s="1"/>
  <c r="K2141" i="13"/>
  <c r="H2142" i="13"/>
  <c r="J2142" i="13" s="1"/>
  <c r="K2142" i="13"/>
  <c r="H2143" i="13"/>
  <c r="J2143" i="13" s="1"/>
  <c r="K2143" i="13"/>
  <c r="K2144" i="13"/>
  <c r="H2145" i="13"/>
  <c r="J2145" i="13" s="1"/>
  <c r="K2145" i="13"/>
  <c r="H2146" i="13"/>
  <c r="J2146" i="13" s="1"/>
  <c r="K2146" i="13"/>
  <c r="H2147" i="13"/>
  <c r="J2147" i="13" s="1"/>
  <c r="K2147" i="13"/>
  <c r="H2148" i="13"/>
  <c r="J2148" i="13" s="1"/>
  <c r="K2148" i="13"/>
  <c r="H2149" i="13"/>
  <c r="J2149" i="13" s="1"/>
  <c r="K2149" i="13"/>
  <c r="H2150" i="13"/>
  <c r="J2150" i="13" s="1"/>
  <c r="K2150" i="13"/>
  <c r="H2151" i="13"/>
  <c r="J2151" i="13" s="1"/>
  <c r="K2151" i="13"/>
  <c r="H2152" i="13"/>
  <c r="J2152" i="13" s="1"/>
  <c r="K2152" i="13"/>
  <c r="K3224" i="13"/>
  <c r="H3225" i="13"/>
  <c r="J3225" i="13" s="1"/>
  <c r="K3225" i="13"/>
  <c r="H3226" i="13"/>
  <c r="J3226" i="13" s="1"/>
  <c r="K3226" i="13"/>
  <c r="H3227" i="13"/>
  <c r="J3227" i="13" s="1"/>
  <c r="K3227" i="13"/>
  <c r="H3228" i="13"/>
  <c r="J3228" i="13" s="1"/>
  <c r="K3228" i="13"/>
  <c r="H3229" i="13"/>
  <c r="J3229" i="13" s="1"/>
  <c r="K3229" i="13"/>
  <c r="H3230" i="13"/>
  <c r="J3230" i="13" s="1"/>
  <c r="K3230" i="13"/>
  <c r="H3231" i="13"/>
  <c r="J3231" i="13" s="1"/>
  <c r="K3231" i="13"/>
  <c r="H3232" i="13"/>
  <c r="J3232" i="13" s="1"/>
  <c r="K3232" i="13"/>
  <c r="K3233" i="13"/>
  <c r="H3234" i="13"/>
  <c r="J3234" i="13" s="1"/>
  <c r="K3234" i="13"/>
  <c r="H3235" i="13"/>
  <c r="J3235" i="13" s="1"/>
  <c r="K3235" i="13"/>
  <c r="H3236" i="13"/>
  <c r="J3236" i="13" s="1"/>
  <c r="K3236" i="13"/>
  <c r="H3237" i="13"/>
  <c r="J3237" i="13" s="1"/>
  <c r="K3237" i="13"/>
  <c r="H3238" i="13"/>
  <c r="J3238" i="13" s="1"/>
  <c r="K3238" i="13"/>
  <c r="H3239" i="13"/>
  <c r="J3239" i="13" s="1"/>
  <c r="K3239" i="13"/>
  <c r="H3240" i="13"/>
  <c r="J3240" i="13" s="1"/>
  <c r="K3240" i="13"/>
  <c r="H3241" i="13"/>
  <c r="J3241" i="13" s="1"/>
  <c r="K3241" i="13"/>
  <c r="H6068" i="13"/>
  <c r="J6068" i="13" s="1"/>
  <c r="K6068" i="13"/>
  <c r="H6069" i="13"/>
  <c r="J6069" i="13" s="1"/>
  <c r="K6069" i="13"/>
  <c r="H6070" i="13"/>
  <c r="J6070" i="13" s="1"/>
  <c r="K6070" i="13"/>
  <c r="H6071" i="13"/>
  <c r="J6071" i="13" s="1"/>
  <c r="K6071" i="13"/>
  <c r="H6072" i="13"/>
  <c r="J6072" i="13" s="1"/>
  <c r="K6072" i="13"/>
  <c r="H6073" i="13"/>
  <c r="J6073" i="13" s="1"/>
  <c r="K6073" i="13"/>
  <c r="H6074" i="13"/>
  <c r="J6074" i="13" s="1"/>
  <c r="K6074" i="13"/>
  <c r="H6075" i="13"/>
  <c r="J6075" i="13" s="1"/>
  <c r="K6075" i="13"/>
  <c r="H6076" i="13"/>
  <c r="J6076" i="13" s="1"/>
  <c r="K6076" i="13"/>
  <c r="H6059" i="13"/>
  <c r="J6059" i="13" s="1"/>
  <c r="K6059" i="13"/>
  <c r="H6060" i="13"/>
  <c r="J6060" i="13" s="1"/>
  <c r="K6060" i="13"/>
  <c r="H6061" i="13"/>
  <c r="J6061" i="13" s="1"/>
  <c r="K6061" i="13"/>
  <c r="H6062" i="13"/>
  <c r="J6062" i="13" s="1"/>
  <c r="K6062" i="13"/>
  <c r="H6063" i="13"/>
  <c r="J6063" i="13" s="1"/>
  <c r="K6063" i="13"/>
  <c r="H6064" i="13"/>
  <c r="J6064" i="13" s="1"/>
  <c r="K6064" i="13"/>
  <c r="H6065" i="13"/>
  <c r="J6065" i="13" s="1"/>
  <c r="K6065" i="13"/>
  <c r="H6066" i="13"/>
  <c r="J6066" i="13" s="1"/>
  <c r="K6066" i="13"/>
  <c r="H6067" i="13"/>
  <c r="J6067" i="13" s="1"/>
  <c r="K6067" i="13"/>
  <c r="H6050" i="13"/>
  <c r="J6050" i="13" s="1"/>
  <c r="K6050" i="13"/>
  <c r="H6051" i="13"/>
  <c r="J6051" i="13" s="1"/>
  <c r="K6051" i="13"/>
  <c r="H6052" i="13"/>
  <c r="J6052" i="13" s="1"/>
  <c r="K6052" i="13"/>
  <c r="H6053" i="13"/>
  <c r="J6053" i="13" s="1"/>
  <c r="K6053" i="13"/>
  <c r="H6054" i="13"/>
  <c r="J6054" i="13" s="1"/>
  <c r="K6054" i="13"/>
  <c r="H6055" i="13"/>
  <c r="J6055" i="13" s="1"/>
  <c r="K6055" i="13"/>
  <c r="H6056" i="13"/>
  <c r="J6056" i="13" s="1"/>
  <c r="K6056" i="13"/>
  <c r="H6057" i="13"/>
  <c r="J6057" i="13" s="1"/>
  <c r="K6057" i="13"/>
  <c r="H6058" i="13"/>
  <c r="J6058" i="13" s="1"/>
  <c r="K6058" i="13"/>
  <c r="K3674" i="13"/>
  <c r="H3675" i="13"/>
  <c r="J3675" i="13" s="1"/>
  <c r="K3675" i="13"/>
  <c r="H3676" i="13"/>
  <c r="J3676" i="13" s="1"/>
  <c r="K3676" i="13"/>
  <c r="H3677" i="13"/>
  <c r="J3677" i="13" s="1"/>
  <c r="K3677" i="13"/>
  <c r="H3678" i="13"/>
  <c r="J3678" i="13" s="1"/>
  <c r="K3678" i="13"/>
  <c r="H3679" i="13"/>
  <c r="J3679" i="13" s="1"/>
  <c r="K3679" i="13"/>
  <c r="H3680" i="13"/>
  <c r="J3680" i="13" s="1"/>
  <c r="K3680" i="13"/>
  <c r="H3681" i="13"/>
  <c r="J3681" i="13" s="1"/>
  <c r="K3681" i="13"/>
  <c r="H3682" i="13"/>
  <c r="J3682" i="13" s="1"/>
  <c r="K3682" i="13"/>
  <c r="G2" i="13"/>
  <c r="G11" i="13" s="1"/>
  <c r="G20" i="13" s="1"/>
  <c r="G29" i="13" s="1"/>
  <c r="G38" i="13" s="1"/>
  <c r="G47" i="13" s="1"/>
  <c r="G56" i="13" s="1"/>
  <c r="G65" i="13" s="1"/>
  <c r="G74" i="13" s="1"/>
  <c r="G83" i="13" s="1"/>
  <c r="G92" i="13" s="1"/>
  <c r="G101" i="13" s="1"/>
  <c r="G110" i="13" s="1"/>
  <c r="G119" i="13" s="1"/>
  <c r="G128" i="13" s="1"/>
  <c r="G137" i="13" s="1"/>
  <c r="G146" i="13" s="1"/>
  <c r="G155" i="13" s="1"/>
  <c r="G164" i="13" s="1"/>
  <c r="G173" i="13" s="1"/>
  <c r="G182" i="13" s="1"/>
  <c r="G191" i="13" s="1"/>
  <c r="G200" i="13" s="1"/>
  <c r="G209" i="13" s="1"/>
  <c r="G218" i="13" s="1"/>
  <c r="G227" i="13" s="1"/>
  <c r="G236" i="13" s="1"/>
  <c r="G245" i="13" s="1"/>
  <c r="G254" i="13" s="1"/>
  <c r="G263" i="13" s="1"/>
  <c r="G272" i="13" s="1"/>
  <c r="G281" i="13" s="1"/>
  <c r="G290" i="13" s="1"/>
  <c r="G299" i="13" s="1"/>
  <c r="G308" i="13" s="1"/>
  <c r="G317" i="13" s="1"/>
  <c r="G326" i="13" s="1"/>
  <c r="G335" i="13" s="1"/>
  <c r="G344" i="13" s="1"/>
  <c r="G353" i="13" s="1"/>
  <c r="G362" i="13" s="1"/>
  <c r="G371" i="13" s="1"/>
  <c r="G380" i="13" s="1"/>
  <c r="G389" i="13" s="1"/>
  <c r="G398" i="13" s="1"/>
  <c r="G407" i="13" s="1"/>
  <c r="G416" i="13" s="1"/>
  <c r="G425" i="13" s="1"/>
  <c r="G434" i="13" s="1"/>
  <c r="G443" i="13" s="1"/>
  <c r="G452" i="13" s="1"/>
  <c r="G461" i="13" s="1"/>
  <c r="G470" i="13" s="1"/>
  <c r="G479" i="13" s="1"/>
  <c r="G488" i="13" s="1"/>
  <c r="G497" i="13" s="1"/>
  <c r="G506" i="13" s="1"/>
  <c r="G515" i="13" s="1"/>
  <c r="G524" i="13" s="1"/>
  <c r="G533" i="13" s="1"/>
  <c r="G542" i="13" s="1"/>
  <c r="G551" i="13" s="1"/>
  <c r="G560" i="13" s="1"/>
  <c r="G569" i="13" s="1"/>
  <c r="G578" i="13" s="1"/>
  <c r="G587" i="13" s="1"/>
  <c r="G596" i="13" s="1"/>
  <c r="G605" i="13" s="1"/>
  <c r="G614" i="13" s="1"/>
  <c r="G623" i="13" s="1"/>
  <c r="G632" i="13" s="1"/>
  <c r="G641" i="13" s="1"/>
  <c r="G650" i="13" s="1"/>
  <c r="G659" i="13" s="1"/>
  <c r="G668" i="13" s="1"/>
  <c r="G677" i="13" s="1"/>
  <c r="G686" i="13" s="1"/>
  <c r="G695" i="13" s="1"/>
  <c r="G704" i="13" s="1"/>
  <c r="G713" i="13" s="1"/>
  <c r="G722" i="13" s="1"/>
  <c r="G731" i="13" s="1"/>
  <c r="G740" i="13" s="1"/>
  <c r="G749" i="13" s="1"/>
  <c r="G758" i="13" s="1"/>
  <c r="G767" i="13" s="1"/>
  <c r="G776" i="13" s="1"/>
  <c r="G785" i="13" s="1"/>
  <c r="G794" i="13" s="1"/>
  <c r="G803" i="13" s="1"/>
  <c r="G812" i="13" s="1"/>
  <c r="G821" i="13" s="1"/>
  <c r="G830" i="13" s="1"/>
  <c r="G839" i="13" s="1"/>
  <c r="G848" i="13" s="1"/>
  <c r="G857" i="13" s="1"/>
  <c r="G866" i="13" s="1"/>
  <c r="G875" i="13" s="1"/>
  <c r="G884" i="13" s="1"/>
  <c r="G893" i="13" s="1"/>
  <c r="G902" i="13" s="1"/>
  <c r="G911" i="13" s="1"/>
  <c r="G920" i="13" s="1"/>
  <c r="G929" i="13" s="1"/>
  <c r="G938" i="13" s="1"/>
  <c r="G947" i="13" s="1"/>
  <c r="G956" i="13" s="1"/>
  <c r="G965" i="13" s="1"/>
  <c r="G974" i="13" s="1"/>
  <c r="G983" i="13" s="1"/>
  <c r="G992" i="13" s="1"/>
  <c r="G1001" i="13" s="1"/>
  <c r="G1010" i="13" s="1"/>
  <c r="G1019" i="13" s="1"/>
  <c r="G1028" i="13" s="1"/>
  <c r="G1037" i="13" s="1"/>
  <c r="G1046" i="13" s="1"/>
  <c r="G1055" i="13" s="1"/>
  <c r="G1064" i="13" s="1"/>
  <c r="G1073" i="13" s="1"/>
  <c r="G1082" i="13" s="1"/>
  <c r="G1091" i="13" s="1"/>
  <c r="G1100" i="13" s="1"/>
  <c r="G1109" i="13" s="1"/>
  <c r="G1118" i="13" s="1"/>
  <c r="G1127" i="13" s="1"/>
  <c r="G1136" i="13" s="1"/>
  <c r="G1145" i="13" s="1"/>
  <c r="G1154" i="13" s="1"/>
  <c r="G1163" i="13" s="1"/>
  <c r="G1172" i="13" s="1"/>
  <c r="G1181" i="13" s="1"/>
  <c r="G1190" i="13" s="1"/>
  <c r="G1199" i="13" s="1"/>
  <c r="G1208" i="13" s="1"/>
  <c r="G1217" i="13" s="1"/>
  <c r="G1226" i="13" s="1"/>
  <c r="G1235" i="13" s="1"/>
  <c r="G1244" i="13" s="1"/>
  <c r="G1253" i="13" s="1"/>
  <c r="G1262" i="13" s="1"/>
  <c r="G1271" i="13" s="1"/>
  <c r="G1280" i="13" s="1"/>
  <c r="G1289" i="13" s="1"/>
  <c r="G1298" i="13" s="1"/>
  <c r="G1307" i="13" s="1"/>
  <c r="G1316" i="13" s="1"/>
  <c r="G1325" i="13" s="1"/>
  <c r="G1334" i="13" s="1"/>
  <c r="G1343" i="13" s="1"/>
  <c r="G1352" i="13" s="1"/>
  <c r="G1361" i="13" s="1"/>
  <c r="G1370" i="13" s="1"/>
  <c r="G1379" i="13" s="1"/>
  <c r="G1388" i="13" s="1"/>
  <c r="G1397" i="13" s="1"/>
  <c r="G1406" i="13" s="1"/>
  <c r="G1415" i="13" s="1"/>
  <c r="G1424" i="13" s="1"/>
  <c r="G1433" i="13" s="1"/>
  <c r="G1442" i="13" s="1"/>
  <c r="G1451" i="13" s="1"/>
  <c r="G1460" i="13" s="1"/>
  <c r="G1469" i="13" s="1"/>
  <c r="G1478" i="13" s="1"/>
  <c r="G1487" i="13" s="1"/>
  <c r="G1496" i="13" s="1"/>
  <c r="G1505" i="13" s="1"/>
  <c r="G1514" i="13" s="1"/>
  <c r="G1523" i="13" s="1"/>
  <c r="G1532" i="13" s="1"/>
  <c r="G1541" i="13" s="1"/>
  <c r="G1550" i="13" s="1"/>
  <c r="G1559" i="13" s="1"/>
  <c r="G1568" i="13" s="1"/>
  <c r="G1577" i="13" s="1"/>
  <c r="G1586" i="13" s="1"/>
  <c r="G1595" i="13" s="1"/>
  <c r="G1604" i="13" s="1"/>
  <c r="G1613" i="13" s="1"/>
  <c r="G1622" i="13" s="1"/>
  <c r="G1631" i="13" s="1"/>
  <c r="G1640" i="13" s="1"/>
  <c r="G1649" i="13" s="1"/>
  <c r="G1658" i="13" s="1"/>
  <c r="G1667" i="13" s="1"/>
  <c r="G1676" i="13" s="1"/>
  <c r="G1685" i="13" s="1"/>
  <c r="G1694" i="13" s="1"/>
  <c r="G1703" i="13" s="1"/>
  <c r="G1712" i="13" s="1"/>
  <c r="G1721" i="13" s="1"/>
  <c r="G1730" i="13" s="1"/>
  <c r="G1739" i="13" s="1"/>
  <c r="G1748" i="13" s="1"/>
  <c r="G1757" i="13" s="1"/>
  <c r="G1766" i="13" s="1"/>
  <c r="G1775" i="13" s="1"/>
  <c r="G1784" i="13" s="1"/>
  <c r="G1793" i="13" s="1"/>
  <c r="G1802" i="13" s="1"/>
  <c r="G1811" i="13" s="1"/>
  <c r="G1820" i="13" s="1"/>
  <c r="G1829" i="13" s="1"/>
  <c r="G1838" i="13" s="1"/>
  <c r="G1847" i="13" s="1"/>
  <c r="G1856" i="13" s="1"/>
  <c r="G1865" i="13" s="1"/>
  <c r="G1874" i="13" s="1"/>
  <c r="G1883" i="13" s="1"/>
  <c r="G1892" i="13" s="1"/>
  <c r="G1901" i="13" s="1"/>
  <c r="G1910" i="13" s="1"/>
  <c r="G1919" i="13" s="1"/>
  <c r="G1928" i="13" s="1"/>
  <c r="G1937" i="13" s="1"/>
  <c r="G1946" i="13" s="1"/>
  <c r="G1955" i="13" s="1"/>
  <c r="G1964" i="13" s="1"/>
  <c r="G1973" i="13" s="1"/>
  <c r="G1982" i="13" s="1"/>
  <c r="H3197" i="13"/>
  <c r="J3197" i="13" s="1"/>
  <c r="K3197" i="13"/>
  <c r="G3" i="13"/>
  <c r="G12" i="13" s="1"/>
  <c r="G21" i="13" s="1"/>
  <c r="G30" i="13" s="1"/>
  <c r="G39" i="13" s="1"/>
  <c r="G48" i="13" s="1"/>
  <c r="G57" i="13" s="1"/>
  <c r="G66" i="13" s="1"/>
  <c r="G75" i="13" s="1"/>
  <c r="G84" i="13" s="1"/>
  <c r="G93" i="13" s="1"/>
  <c r="G102" i="13" s="1"/>
  <c r="G111" i="13" s="1"/>
  <c r="G120" i="13" s="1"/>
  <c r="G129" i="13" s="1"/>
  <c r="G138" i="13" s="1"/>
  <c r="G147" i="13" s="1"/>
  <c r="G156" i="13" s="1"/>
  <c r="G165" i="13" s="1"/>
  <c r="G174" i="13" s="1"/>
  <c r="G183" i="13" s="1"/>
  <c r="G192" i="13" s="1"/>
  <c r="G201" i="13" s="1"/>
  <c r="G210" i="13" s="1"/>
  <c r="G219" i="13" s="1"/>
  <c r="G228" i="13" s="1"/>
  <c r="G237" i="13" s="1"/>
  <c r="G246" i="13" s="1"/>
  <c r="G255" i="13" s="1"/>
  <c r="G264" i="13" s="1"/>
  <c r="G273" i="13" s="1"/>
  <c r="G282" i="13" s="1"/>
  <c r="G291" i="13" s="1"/>
  <c r="G300" i="13" s="1"/>
  <c r="G309" i="13" s="1"/>
  <c r="G318" i="13" s="1"/>
  <c r="G327" i="13" s="1"/>
  <c r="G336" i="13" s="1"/>
  <c r="G345" i="13" s="1"/>
  <c r="G354" i="13" s="1"/>
  <c r="G363" i="13" s="1"/>
  <c r="G372" i="13" s="1"/>
  <c r="G381" i="13" s="1"/>
  <c r="G390" i="13" s="1"/>
  <c r="G399" i="13" s="1"/>
  <c r="G408" i="13" s="1"/>
  <c r="G417" i="13" s="1"/>
  <c r="G426" i="13" s="1"/>
  <c r="G435" i="13" s="1"/>
  <c r="G444" i="13" s="1"/>
  <c r="G453" i="13" s="1"/>
  <c r="G462" i="13" s="1"/>
  <c r="G471" i="13" s="1"/>
  <c r="G480" i="13" s="1"/>
  <c r="G489" i="13" s="1"/>
  <c r="G498" i="13" s="1"/>
  <c r="G507" i="13" s="1"/>
  <c r="G516" i="13" s="1"/>
  <c r="G525" i="13" s="1"/>
  <c r="G534" i="13" s="1"/>
  <c r="G543" i="13" s="1"/>
  <c r="G552" i="13" s="1"/>
  <c r="G561" i="13" s="1"/>
  <c r="G570" i="13" s="1"/>
  <c r="G579" i="13" s="1"/>
  <c r="G588" i="13" s="1"/>
  <c r="G597" i="13" s="1"/>
  <c r="G606" i="13" s="1"/>
  <c r="G615" i="13" s="1"/>
  <c r="G624" i="13" s="1"/>
  <c r="G633" i="13" s="1"/>
  <c r="G642" i="13" s="1"/>
  <c r="G651" i="13" s="1"/>
  <c r="G660" i="13" s="1"/>
  <c r="G669" i="13" s="1"/>
  <c r="G678" i="13" s="1"/>
  <c r="G687" i="13" s="1"/>
  <c r="G696" i="13" s="1"/>
  <c r="G705" i="13" s="1"/>
  <c r="G714" i="13" s="1"/>
  <c r="G723" i="13" s="1"/>
  <c r="G732" i="13" s="1"/>
  <c r="G741" i="13" s="1"/>
  <c r="G750" i="13" s="1"/>
  <c r="G759" i="13" s="1"/>
  <c r="G768" i="13" s="1"/>
  <c r="G777" i="13" s="1"/>
  <c r="G786" i="13" s="1"/>
  <c r="G795" i="13" s="1"/>
  <c r="G804" i="13" s="1"/>
  <c r="G813" i="13" s="1"/>
  <c r="G822" i="13" s="1"/>
  <c r="G831" i="13" s="1"/>
  <c r="G840" i="13" s="1"/>
  <c r="G849" i="13" s="1"/>
  <c r="G858" i="13" s="1"/>
  <c r="G867" i="13" s="1"/>
  <c r="G876" i="13" s="1"/>
  <c r="G885" i="13" s="1"/>
  <c r="G894" i="13" s="1"/>
  <c r="G903" i="13" s="1"/>
  <c r="G912" i="13" s="1"/>
  <c r="G921" i="13" s="1"/>
  <c r="G930" i="13" s="1"/>
  <c r="G939" i="13" s="1"/>
  <c r="G948" i="13" s="1"/>
  <c r="G957" i="13" s="1"/>
  <c r="G966" i="13" s="1"/>
  <c r="G975" i="13" s="1"/>
  <c r="G984" i="13" s="1"/>
  <c r="G993" i="13" s="1"/>
  <c r="G1002" i="13" s="1"/>
  <c r="G1011" i="13" s="1"/>
  <c r="G1020" i="13" s="1"/>
  <c r="G1029" i="13" s="1"/>
  <c r="G1038" i="13" s="1"/>
  <c r="G1047" i="13" s="1"/>
  <c r="G1056" i="13" s="1"/>
  <c r="G1065" i="13" s="1"/>
  <c r="G1074" i="13" s="1"/>
  <c r="G1083" i="13" s="1"/>
  <c r="G1092" i="13" s="1"/>
  <c r="G1101" i="13" s="1"/>
  <c r="G1110" i="13" s="1"/>
  <c r="G1119" i="13" s="1"/>
  <c r="G1128" i="13" s="1"/>
  <c r="G1137" i="13" s="1"/>
  <c r="G1146" i="13" s="1"/>
  <c r="G1155" i="13" s="1"/>
  <c r="G1164" i="13" s="1"/>
  <c r="G1173" i="13" s="1"/>
  <c r="G1182" i="13" s="1"/>
  <c r="G1191" i="13" s="1"/>
  <c r="G1200" i="13" s="1"/>
  <c r="G1209" i="13" s="1"/>
  <c r="G1218" i="13" s="1"/>
  <c r="G1227" i="13" s="1"/>
  <c r="G1236" i="13" s="1"/>
  <c r="G1245" i="13" s="1"/>
  <c r="G1254" i="13" s="1"/>
  <c r="G1263" i="13" s="1"/>
  <c r="G1272" i="13" s="1"/>
  <c r="G1281" i="13" s="1"/>
  <c r="G1290" i="13" s="1"/>
  <c r="G1299" i="13" s="1"/>
  <c r="G1308" i="13" s="1"/>
  <c r="G1317" i="13" s="1"/>
  <c r="G1326" i="13" s="1"/>
  <c r="G1335" i="13" s="1"/>
  <c r="G1344" i="13" s="1"/>
  <c r="G1353" i="13" s="1"/>
  <c r="G1362" i="13" s="1"/>
  <c r="G1371" i="13" s="1"/>
  <c r="G1380" i="13" s="1"/>
  <c r="G1389" i="13" s="1"/>
  <c r="G1398" i="13" s="1"/>
  <c r="G1407" i="13" s="1"/>
  <c r="G1416" i="13" s="1"/>
  <c r="G1425" i="13" s="1"/>
  <c r="G1434" i="13" s="1"/>
  <c r="G1443" i="13" s="1"/>
  <c r="G1452" i="13" s="1"/>
  <c r="G1461" i="13" s="1"/>
  <c r="G1470" i="13" s="1"/>
  <c r="G1479" i="13" s="1"/>
  <c r="G1488" i="13" s="1"/>
  <c r="G1497" i="13" s="1"/>
  <c r="G1506" i="13" s="1"/>
  <c r="G1515" i="13" s="1"/>
  <c r="G1524" i="13" s="1"/>
  <c r="G1533" i="13" s="1"/>
  <c r="G1542" i="13" s="1"/>
  <c r="G1551" i="13" s="1"/>
  <c r="G1560" i="13" s="1"/>
  <c r="G1569" i="13" s="1"/>
  <c r="G1578" i="13" s="1"/>
  <c r="G1587" i="13" s="1"/>
  <c r="G1596" i="13" s="1"/>
  <c r="G1605" i="13" s="1"/>
  <c r="G1614" i="13" s="1"/>
  <c r="G1623" i="13" s="1"/>
  <c r="G1632" i="13" s="1"/>
  <c r="G1641" i="13" s="1"/>
  <c r="G1650" i="13" s="1"/>
  <c r="G1659" i="13" s="1"/>
  <c r="G1668" i="13" s="1"/>
  <c r="G1677" i="13" s="1"/>
  <c r="G1686" i="13" s="1"/>
  <c r="G1695" i="13" s="1"/>
  <c r="G1704" i="13" s="1"/>
  <c r="G1713" i="13" s="1"/>
  <c r="G1722" i="13" s="1"/>
  <c r="G1731" i="13" s="1"/>
  <c r="G1740" i="13" s="1"/>
  <c r="G1749" i="13" s="1"/>
  <c r="G1758" i="13" s="1"/>
  <c r="G1767" i="13" s="1"/>
  <c r="G1776" i="13" s="1"/>
  <c r="G1785" i="13" s="1"/>
  <c r="G1794" i="13" s="1"/>
  <c r="G1803" i="13" s="1"/>
  <c r="G1812" i="13" s="1"/>
  <c r="G1821" i="13" s="1"/>
  <c r="G1830" i="13" s="1"/>
  <c r="G1839" i="13" s="1"/>
  <c r="G1848" i="13" s="1"/>
  <c r="G1857" i="13" s="1"/>
  <c r="G1866" i="13" s="1"/>
  <c r="G1875" i="13" s="1"/>
  <c r="G1884" i="13" s="1"/>
  <c r="G1893" i="13" s="1"/>
  <c r="G1902" i="13" s="1"/>
  <c r="G1911" i="13" s="1"/>
  <c r="G1920" i="13" s="1"/>
  <c r="G1929" i="13" s="1"/>
  <c r="G1938" i="13" s="1"/>
  <c r="G1947" i="13" s="1"/>
  <c r="G1956" i="13" s="1"/>
  <c r="G1965" i="13" s="1"/>
  <c r="G1974" i="13" s="1"/>
  <c r="H3198" i="13"/>
  <c r="J3198" i="13" s="1"/>
  <c r="K3198" i="13"/>
  <c r="G4" i="13"/>
  <c r="G13" i="13" s="1"/>
  <c r="G22" i="13" s="1"/>
  <c r="G31" i="13" s="1"/>
  <c r="G40" i="13" s="1"/>
  <c r="G49" i="13" s="1"/>
  <c r="G58" i="13" s="1"/>
  <c r="G67" i="13" s="1"/>
  <c r="G76" i="13" s="1"/>
  <c r="G85" i="13" s="1"/>
  <c r="G94" i="13" s="1"/>
  <c r="G103" i="13" s="1"/>
  <c r="G112" i="13" s="1"/>
  <c r="G121" i="13" s="1"/>
  <c r="G130" i="13" s="1"/>
  <c r="G139" i="13" s="1"/>
  <c r="G148" i="13" s="1"/>
  <c r="G157" i="13" s="1"/>
  <c r="G166" i="13" s="1"/>
  <c r="G175" i="13" s="1"/>
  <c r="G184" i="13" s="1"/>
  <c r="G193" i="13" s="1"/>
  <c r="G202" i="13" s="1"/>
  <c r="G211" i="13" s="1"/>
  <c r="G220" i="13" s="1"/>
  <c r="G229" i="13" s="1"/>
  <c r="G238" i="13" s="1"/>
  <c r="G247" i="13" s="1"/>
  <c r="G256" i="13" s="1"/>
  <c r="G265" i="13" s="1"/>
  <c r="G274" i="13" s="1"/>
  <c r="G283" i="13" s="1"/>
  <c r="G292" i="13" s="1"/>
  <c r="G301" i="13" s="1"/>
  <c r="G310" i="13" s="1"/>
  <c r="G319" i="13" s="1"/>
  <c r="G328" i="13" s="1"/>
  <c r="G337" i="13" s="1"/>
  <c r="G346" i="13" s="1"/>
  <c r="G355" i="13" s="1"/>
  <c r="G364" i="13" s="1"/>
  <c r="G373" i="13" s="1"/>
  <c r="G382" i="13" s="1"/>
  <c r="G391" i="13" s="1"/>
  <c r="G400" i="13" s="1"/>
  <c r="G409" i="13" s="1"/>
  <c r="G418" i="13" s="1"/>
  <c r="G427" i="13" s="1"/>
  <c r="G436" i="13" s="1"/>
  <c r="G445" i="13" s="1"/>
  <c r="G454" i="13" s="1"/>
  <c r="G463" i="13" s="1"/>
  <c r="G472" i="13" s="1"/>
  <c r="G481" i="13" s="1"/>
  <c r="G490" i="13" s="1"/>
  <c r="G499" i="13" s="1"/>
  <c r="G508" i="13" s="1"/>
  <c r="G517" i="13" s="1"/>
  <c r="G526" i="13" s="1"/>
  <c r="G535" i="13" s="1"/>
  <c r="G544" i="13" s="1"/>
  <c r="G553" i="13" s="1"/>
  <c r="G562" i="13" s="1"/>
  <c r="G571" i="13" s="1"/>
  <c r="G580" i="13" s="1"/>
  <c r="G589" i="13" s="1"/>
  <c r="G598" i="13" s="1"/>
  <c r="G607" i="13" s="1"/>
  <c r="G616" i="13" s="1"/>
  <c r="G625" i="13" s="1"/>
  <c r="G634" i="13" s="1"/>
  <c r="G643" i="13" s="1"/>
  <c r="G652" i="13" s="1"/>
  <c r="G661" i="13" s="1"/>
  <c r="G670" i="13" s="1"/>
  <c r="G679" i="13" s="1"/>
  <c r="G688" i="13" s="1"/>
  <c r="G697" i="13" s="1"/>
  <c r="G706" i="13" s="1"/>
  <c r="G715" i="13" s="1"/>
  <c r="G724" i="13" s="1"/>
  <c r="G733" i="13" s="1"/>
  <c r="G742" i="13" s="1"/>
  <c r="G751" i="13" s="1"/>
  <c r="G760" i="13" s="1"/>
  <c r="G769" i="13" s="1"/>
  <c r="G778" i="13" s="1"/>
  <c r="G787" i="13" s="1"/>
  <c r="G796" i="13" s="1"/>
  <c r="G805" i="13" s="1"/>
  <c r="G814" i="13" s="1"/>
  <c r="G823" i="13" s="1"/>
  <c r="G832" i="13" s="1"/>
  <c r="G841" i="13" s="1"/>
  <c r="G850" i="13" s="1"/>
  <c r="G859" i="13" s="1"/>
  <c r="G868" i="13" s="1"/>
  <c r="G877" i="13" s="1"/>
  <c r="G886" i="13" s="1"/>
  <c r="G895" i="13" s="1"/>
  <c r="G904" i="13" s="1"/>
  <c r="G913" i="13" s="1"/>
  <c r="G922" i="13" s="1"/>
  <c r="G931" i="13" s="1"/>
  <c r="G940" i="13" s="1"/>
  <c r="G949" i="13" s="1"/>
  <c r="G958" i="13" s="1"/>
  <c r="G967" i="13" s="1"/>
  <c r="G976" i="13" s="1"/>
  <c r="G985" i="13" s="1"/>
  <c r="G994" i="13" s="1"/>
  <c r="G1003" i="13" s="1"/>
  <c r="G1012" i="13" s="1"/>
  <c r="G1021" i="13" s="1"/>
  <c r="G1030" i="13" s="1"/>
  <c r="G1039" i="13" s="1"/>
  <c r="G1048" i="13" s="1"/>
  <c r="G1057" i="13" s="1"/>
  <c r="G1066" i="13" s="1"/>
  <c r="G1075" i="13" s="1"/>
  <c r="G1084" i="13" s="1"/>
  <c r="G1093" i="13" s="1"/>
  <c r="G1102" i="13" s="1"/>
  <c r="G1111" i="13" s="1"/>
  <c r="G1120" i="13" s="1"/>
  <c r="G1129" i="13" s="1"/>
  <c r="G1138" i="13" s="1"/>
  <c r="G1147" i="13" s="1"/>
  <c r="G1156" i="13" s="1"/>
  <c r="G1165" i="13" s="1"/>
  <c r="G1174" i="13" s="1"/>
  <c r="G1183" i="13" s="1"/>
  <c r="G1192" i="13" s="1"/>
  <c r="G1201" i="13" s="1"/>
  <c r="G1210" i="13" s="1"/>
  <c r="G1219" i="13" s="1"/>
  <c r="G1228" i="13" s="1"/>
  <c r="G1237" i="13" s="1"/>
  <c r="G1246" i="13" s="1"/>
  <c r="G1255" i="13" s="1"/>
  <c r="G1264" i="13" s="1"/>
  <c r="G1273" i="13" s="1"/>
  <c r="G1282" i="13" s="1"/>
  <c r="G1291" i="13" s="1"/>
  <c r="G1300" i="13" s="1"/>
  <c r="G1309" i="13" s="1"/>
  <c r="G1318" i="13" s="1"/>
  <c r="G1327" i="13" s="1"/>
  <c r="G1336" i="13" s="1"/>
  <c r="G1345" i="13" s="1"/>
  <c r="G1354" i="13" s="1"/>
  <c r="G1363" i="13" s="1"/>
  <c r="G1372" i="13" s="1"/>
  <c r="G1381" i="13" s="1"/>
  <c r="G1390" i="13" s="1"/>
  <c r="G1399" i="13" s="1"/>
  <c r="G1408" i="13" s="1"/>
  <c r="G1417" i="13" s="1"/>
  <c r="G1426" i="13" s="1"/>
  <c r="G1435" i="13" s="1"/>
  <c r="G1444" i="13" s="1"/>
  <c r="G1453" i="13" s="1"/>
  <c r="G1462" i="13" s="1"/>
  <c r="G1471" i="13" s="1"/>
  <c r="G1480" i="13" s="1"/>
  <c r="G1489" i="13" s="1"/>
  <c r="G1498" i="13" s="1"/>
  <c r="G1507" i="13" s="1"/>
  <c r="G1516" i="13" s="1"/>
  <c r="G1525" i="13" s="1"/>
  <c r="G1534" i="13" s="1"/>
  <c r="G1543" i="13" s="1"/>
  <c r="G1552" i="13" s="1"/>
  <c r="G1561" i="13" s="1"/>
  <c r="G1570" i="13" s="1"/>
  <c r="G1579" i="13" s="1"/>
  <c r="G1588" i="13" s="1"/>
  <c r="G1597" i="13" s="1"/>
  <c r="G1606" i="13" s="1"/>
  <c r="G1615" i="13" s="1"/>
  <c r="G1624" i="13" s="1"/>
  <c r="G1633" i="13" s="1"/>
  <c r="G1642" i="13" s="1"/>
  <c r="G1651" i="13" s="1"/>
  <c r="G1660" i="13" s="1"/>
  <c r="G1669" i="13" s="1"/>
  <c r="G1678" i="13" s="1"/>
  <c r="G1687" i="13" s="1"/>
  <c r="G1696" i="13" s="1"/>
  <c r="G1705" i="13" s="1"/>
  <c r="G1714" i="13" s="1"/>
  <c r="G1723" i="13" s="1"/>
  <c r="G1732" i="13" s="1"/>
  <c r="G1741" i="13" s="1"/>
  <c r="G1750" i="13" s="1"/>
  <c r="G1759" i="13" s="1"/>
  <c r="G1768" i="13" s="1"/>
  <c r="G1777" i="13" s="1"/>
  <c r="G1786" i="13" s="1"/>
  <c r="G1795" i="13" s="1"/>
  <c r="G1804" i="13" s="1"/>
  <c r="G1813" i="13" s="1"/>
  <c r="G1822" i="13" s="1"/>
  <c r="G1831" i="13" s="1"/>
  <c r="G1840" i="13" s="1"/>
  <c r="G1849" i="13" s="1"/>
  <c r="G1858" i="13" s="1"/>
  <c r="G1867" i="13" s="1"/>
  <c r="G1876" i="13" s="1"/>
  <c r="G1885" i="13" s="1"/>
  <c r="G1894" i="13" s="1"/>
  <c r="G1903" i="13" s="1"/>
  <c r="G1912" i="13" s="1"/>
  <c r="G1921" i="13" s="1"/>
  <c r="G1930" i="13" s="1"/>
  <c r="G1939" i="13" s="1"/>
  <c r="G1948" i="13" s="1"/>
  <c r="G1957" i="13" s="1"/>
  <c r="G1966" i="13" s="1"/>
  <c r="G1975" i="13" s="1"/>
  <c r="G1984" i="13" s="1"/>
  <c r="H3199" i="13"/>
  <c r="J3199" i="13" s="1"/>
  <c r="K3199" i="13"/>
  <c r="G5" i="13"/>
  <c r="G14" i="13" s="1"/>
  <c r="G23" i="13" s="1"/>
  <c r="G32" i="13" s="1"/>
  <c r="G41" i="13" s="1"/>
  <c r="G50" i="13" s="1"/>
  <c r="G59" i="13" s="1"/>
  <c r="G68" i="13" s="1"/>
  <c r="G77" i="13" s="1"/>
  <c r="G86" i="13" s="1"/>
  <c r="G95" i="13" s="1"/>
  <c r="G104" i="13" s="1"/>
  <c r="G113" i="13" s="1"/>
  <c r="G122" i="13" s="1"/>
  <c r="G131" i="13" s="1"/>
  <c r="G140" i="13" s="1"/>
  <c r="G149" i="13" s="1"/>
  <c r="G158" i="13" s="1"/>
  <c r="G167" i="13" s="1"/>
  <c r="G176" i="13" s="1"/>
  <c r="G185" i="13" s="1"/>
  <c r="G194" i="13" s="1"/>
  <c r="G203" i="13" s="1"/>
  <c r="G212" i="13" s="1"/>
  <c r="G221" i="13" s="1"/>
  <c r="G230" i="13" s="1"/>
  <c r="G239" i="13" s="1"/>
  <c r="G248" i="13" s="1"/>
  <c r="G257" i="13" s="1"/>
  <c r="G266" i="13" s="1"/>
  <c r="G275" i="13" s="1"/>
  <c r="G284" i="13" s="1"/>
  <c r="G293" i="13" s="1"/>
  <c r="G302" i="13" s="1"/>
  <c r="G311" i="13" s="1"/>
  <c r="G320" i="13" s="1"/>
  <c r="G329" i="13" s="1"/>
  <c r="G338" i="13" s="1"/>
  <c r="G347" i="13" s="1"/>
  <c r="G356" i="13" s="1"/>
  <c r="G365" i="13" s="1"/>
  <c r="G374" i="13" s="1"/>
  <c r="G383" i="13" s="1"/>
  <c r="G392" i="13" s="1"/>
  <c r="G401" i="13" s="1"/>
  <c r="G410" i="13" s="1"/>
  <c r="G419" i="13" s="1"/>
  <c r="G428" i="13" s="1"/>
  <c r="G437" i="13" s="1"/>
  <c r="G446" i="13" s="1"/>
  <c r="G455" i="13" s="1"/>
  <c r="G464" i="13" s="1"/>
  <c r="G473" i="13" s="1"/>
  <c r="G482" i="13" s="1"/>
  <c r="G491" i="13" s="1"/>
  <c r="G500" i="13" s="1"/>
  <c r="G509" i="13" s="1"/>
  <c r="G518" i="13" s="1"/>
  <c r="G527" i="13" s="1"/>
  <c r="G536" i="13" s="1"/>
  <c r="G545" i="13" s="1"/>
  <c r="G554" i="13" s="1"/>
  <c r="G563" i="13" s="1"/>
  <c r="G572" i="13" s="1"/>
  <c r="G581" i="13" s="1"/>
  <c r="G590" i="13" s="1"/>
  <c r="G599" i="13" s="1"/>
  <c r="G608" i="13" s="1"/>
  <c r="G617" i="13" s="1"/>
  <c r="G626" i="13" s="1"/>
  <c r="G635" i="13" s="1"/>
  <c r="G644" i="13" s="1"/>
  <c r="G653" i="13" s="1"/>
  <c r="G662" i="13" s="1"/>
  <c r="G671" i="13" s="1"/>
  <c r="G680" i="13" s="1"/>
  <c r="G689" i="13" s="1"/>
  <c r="G698" i="13" s="1"/>
  <c r="G707" i="13" s="1"/>
  <c r="G716" i="13" s="1"/>
  <c r="G725" i="13" s="1"/>
  <c r="G734" i="13" s="1"/>
  <c r="G743" i="13" s="1"/>
  <c r="G752" i="13" s="1"/>
  <c r="G761" i="13" s="1"/>
  <c r="G770" i="13" s="1"/>
  <c r="G779" i="13" s="1"/>
  <c r="G788" i="13" s="1"/>
  <c r="G797" i="13" s="1"/>
  <c r="G806" i="13" s="1"/>
  <c r="G815" i="13" s="1"/>
  <c r="G824" i="13" s="1"/>
  <c r="G833" i="13" s="1"/>
  <c r="G842" i="13" s="1"/>
  <c r="G851" i="13" s="1"/>
  <c r="G860" i="13" s="1"/>
  <c r="G869" i="13" s="1"/>
  <c r="G878" i="13" s="1"/>
  <c r="G887" i="13" s="1"/>
  <c r="G896" i="13" s="1"/>
  <c r="G905" i="13" s="1"/>
  <c r="G914" i="13" s="1"/>
  <c r="G923" i="13" s="1"/>
  <c r="G932" i="13" s="1"/>
  <c r="G941" i="13" s="1"/>
  <c r="G950" i="13" s="1"/>
  <c r="G959" i="13" s="1"/>
  <c r="G968" i="13" s="1"/>
  <c r="G977" i="13" s="1"/>
  <c r="G986" i="13" s="1"/>
  <c r="G995" i="13" s="1"/>
  <c r="G1004" i="13" s="1"/>
  <c r="G1013" i="13" s="1"/>
  <c r="G1022" i="13" s="1"/>
  <c r="G1031" i="13" s="1"/>
  <c r="G1040" i="13" s="1"/>
  <c r="G1049" i="13" s="1"/>
  <c r="G1058" i="13" s="1"/>
  <c r="G1067" i="13" s="1"/>
  <c r="G1076" i="13" s="1"/>
  <c r="G1085" i="13" s="1"/>
  <c r="G1094" i="13" s="1"/>
  <c r="G1103" i="13" s="1"/>
  <c r="G1112" i="13" s="1"/>
  <c r="G1121" i="13" s="1"/>
  <c r="G1130" i="13" s="1"/>
  <c r="G1139" i="13" s="1"/>
  <c r="G1148" i="13" s="1"/>
  <c r="G1157" i="13" s="1"/>
  <c r="G1166" i="13" s="1"/>
  <c r="G1175" i="13" s="1"/>
  <c r="G1184" i="13" s="1"/>
  <c r="G1193" i="13" s="1"/>
  <c r="G1202" i="13" s="1"/>
  <c r="G1211" i="13" s="1"/>
  <c r="G1220" i="13" s="1"/>
  <c r="G1229" i="13" s="1"/>
  <c r="G1238" i="13" s="1"/>
  <c r="G1247" i="13" s="1"/>
  <c r="G1256" i="13" s="1"/>
  <c r="G1265" i="13" s="1"/>
  <c r="G1274" i="13" s="1"/>
  <c r="G1283" i="13" s="1"/>
  <c r="G1292" i="13" s="1"/>
  <c r="G1301" i="13" s="1"/>
  <c r="G1310" i="13" s="1"/>
  <c r="G1319" i="13" s="1"/>
  <c r="G1328" i="13" s="1"/>
  <c r="G1337" i="13" s="1"/>
  <c r="G1346" i="13" s="1"/>
  <c r="G1355" i="13" s="1"/>
  <c r="G1364" i="13" s="1"/>
  <c r="G1373" i="13" s="1"/>
  <c r="G1382" i="13" s="1"/>
  <c r="G1391" i="13" s="1"/>
  <c r="G1400" i="13" s="1"/>
  <c r="G1409" i="13" s="1"/>
  <c r="G1418" i="13" s="1"/>
  <c r="G1427" i="13" s="1"/>
  <c r="G1436" i="13" s="1"/>
  <c r="G1445" i="13" s="1"/>
  <c r="G1454" i="13" s="1"/>
  <c r="G1463" i="13" s="1"/>
  <c r="G1472" i="13" s="1"/>
  <c r="G1481" i="13" s="1"/>
  <c r="G1490" i="13" s="1"/>
  <c r="G1499" i="13" s="1"/>
  <c r="G1508" i="13" s="1"/>
  <c r="G1517" i="13" s="1"/>
  <c r="G1526" i="13" s="1"/>
  <c r="G1535" i="13" s="1"/>
  <c r="G1544" i="13" s="1"/>
  <c r="G1553" i="13" s="1"/>
  <c r="G1562" i="13" s="1"/>
  <c r="G1571" i="13" s="1"/>
  <c r="G1580" i="13" s="1"/>
  <c r="G1589" i="13" s="1"/>
  <c r="G1598" i="13" s="1"/>
  <c r="G1607" i="13" s="1"/>
  <c r="G1616" i="13" s="1"/>
  <c r="G1625" i="13" s="1"/>
  <c r="G1634" i="13" s="1"/>
  <c r="G1643" i="13" s="1"/>
  <c r="G1652" i="13" s="1"/>
  <c r="G1661" i="13" s="1"/>
  <c r="G1670" i="13" s="1"/>
  <c r="G1679" i="13" s="1"/>
  <c r="G1688" i="13" s="1"/>
  <c r="G1697" i="13" s="1"/>
  <c r="G1706" i="13" s="1"/>
  <c r="G1715" i="13" s="1"/>
  <c r="G1724" i="13" s="1"/>
  <c r="G1733" i="13" s="1"/>
  <c r="G1742" i="13" s="1"/>
  <c r="G1751" i="13" s="1"/>
  <c r="G1760" i="13" s="1"/>
  <c r="G1769" i="13" s="1"/>
  <c r="G1778" i="13" s="1"/>
  <c r="G1787" i="13" s="1"/>
  <c r="G1796" i="13" s="1"/>
  <c r="G1805" i="13" s="1"/>
  <c r="G1814" i="13" s="1"/>
  <c r="G1823" i="13" s="1"/>
  <c r="G1832" i="13" s="1"/>
  <c r="G1841" i="13" s="1"/>
  <c r="G1850" i="13" s="1"/>
  <c r="G1859" i="13" s="1"/>
  <c r="G1868" i="13" s="1"/>
  <c r="G1877" i="13" s="1"/>
  <c r="G1886" i="13" s="1"/>
  <c r="G1895" i="13" s="1"/>
  <c r="G1904" i="13" s="1"/>
  <c r="G1913" i="13" s="1"/>
  <c r="G1922" i="13" s="1"/>
  <c r="G1931" i="13" s="1"/>
  <c r="G1940" i="13" s="1"/>
  <c r="G1949" i="13" s="1"/>
  <c r="G1958" i="13" s="1"/>
  <c r="G1967" i="13" s="1"/>
  <c r="G1976" i="13" s="1"/>
  <c r="G1994" i="13" s="1"/>
  <c r="G2003" i="13" s="1"/>
  <c r="G2012" i="13" s="1"/>
  <c r="G2021" i="13" s="1"/>
  <c r="G2030" i="13" s="1"/>
  <c r="G2039" i="13" s="1"/>
  <c r="G2048" i="13" s="1"/>
  <c r="G2057" i="13" s="1"/>
  <c r="G2066" i="13" s="1"/>
  <c r="G2075" i="13" s="1"/>
  <c r="G2084" i="13" s="1"/>
  <c r="G2093" i="13" s="1"/>
  <c r="G2102" i="13" s="1"/>
  <c r="G2111" i="13" s="1"/>
  <c r="G2120" i="13" s="1"/>
  <c r="G2129" i="13" s="1"/>
  <c r="G2138" i="13" s="1"/>
  <c r="H3200" i="13"/>
  <c r="J3200" i="13" s="1"/>
  <c r="K3200" i="13"/>
  <c r="G6" i="13"/>
  <c r="G15" i="13" s="1"/>
  <c r="G24" i="13" s="1"/>
  <c r="G33" i="13" s="1"/>
  <c r="G42" i="13" s="1"/>
  <c r="G51" i="13" s="1"/>
  <c r="G60" i="13" s="1"/>
  <c r="G69" i="13" s="1"/>
  <c r="G78" i="13" s="1"/>
  <c r="G87" i="13" s="1"/>
  <c r="G96" i="13" s="1"/>
  <c r="G105" i="13" s="1"/>
  <c r="G114" i="13" s="1"/>
  <c r="G123" i="13" s="1"/>
  <c r="G132" i="13" s="1"/>
  <c r="G141" i="13" s="1"/>
  <c r="G150" i="13" s="1"/>
  <c r="G159" i="13" s="1"/>
  <c r="G168" i="13" s="1"/>
  <c r="G177" i="13" s="1"/>
  <c r="G186" i="13" s="1"/>
  <c r="G195" i="13" s="1"/>
  <c r="G204" i="13" s="1"/>
  <c r="G213" i="13" s="1"/>
  <c r="G222" i="13" s="1"/>
  <c r="G231" i="13" s="1"/>
  <c r="G240" i="13" s="1"/>
  <c r="G249" i="13" s="1"/>
  <c r="G258" i="13" s="1"/>
  <c r="G267" i="13" s="1"/>
  <c r="G276" i="13" s="1"/>
  <c r="G285" i="13" s="1"/>
  <c r="G294" i="13" s="1"/>
  <c r="G303" i="13" s="1"/>
  <c r="G312" i="13" s="1"/>
  <c r="G321" i="13" s="1"/>
  <c r="G330" i="13" s="1"/>
  <c r="G339" i="13" s="1"/>
  <c r="G348" i="13" s="1"/>
  <c r="G357" i="13" s="1"/>
  <c r="G366" i="13" s="1"/>
  <c r="G375" i="13" s="1"/>
  <c r="G384" i="13" s="1"/>
  <c r="G393" i="13" s="1"/>
  <c r="G402" i="13" s="1"/>
  <c r="G411" i="13" s="1"/>
  <c r="G420" i="13" s="1"/>
  <c r="G429" i="13" s="1"/>
  <c r="G438" i="13" s="1"/>
  <c r="G447" i="13" s="1"/>
  <c r="G456" i="13" s="1"/>
  <c r="G465" i="13" s="1"/>
  <c r="G474" i="13" s="1"/>
  <c r="G483" i="13" s="1"/>
  <c r="G492" i="13" s="1"/>
  <c r="G501" i="13" s="1"/>
  <c r="G510" i="13" s="1"/>
  <c r="G519" i="13" s="1"/>
  <c r="G528" i="13" s="1"/>
  <c r="G537" i="13" s="1"/>
  <c r="G546" i="13" s="1"/>
  <c r="G555" i="13" s="1"/>
  <c r="G564" i="13" s="1"/>
  <c r="G573" i="13" s="1"/>
  <c r="G582" i="13" s="1"/>
  <c r="G591" i="13" s="1"/>
  <c r="G600" i="13" s="1"/>
  <c r="G609" i="13" s="1"/>
  <c r="G618" i="13" s="1"/>
  <c r="G627" i="13" s="1"/>
  <c r="G636" i="13" s="1"/>
  <c r="G645" i="13" s="1"/>
  <c r="G654" i="13" s="1"/>
  <c r="G663" i="13" s="1"/>
  <c r="G672" i="13" s="1"/>
  <c r="G681" i="13" s="1"/>
  <c r="G690" i="13" s="1"/>
  <c r="G699" i="13" s="1"/>
  <c r="G708" i="13" s="1"/>
  <c r="G717" i="13" s="1"/>
  <c r="G726" i="13" s="1"/>
  <c r="G735" i="13" s="1"/>
  <c r="G744" i="13" s="1"/>
  <c r="G753" i="13" s="1"/>
  <c r="G762" i="13" s="1"/>
  <c r="G771" i="13" s="1"/>
  <c r="G780" i="13" s="1"/>
  <c r="G789" i="13" s="1"/>
  <c r="G798" i="13" s="1"/>
  <c r="G807" i="13" s="1"/>
  <c r="G816" i="13" s="1"/>
  <c r="G825" i="13" s="1"/>
  <c r="G834" i="13" s="1"/>
  <c r="G843" i="13" s="1"/>
  <c r="G852" i="13" s="1"/>
  <c r="G861" i="13" s="1"/>
  <c r="G870" i="13" s="1"/>
  <c r="G879" i="13" s="1"/>
  <c r="G888" i="13" s="1"/>
  <c r="G897" i="13" s="1"/>
  <c r="G906" i="13" s="1"/>
  <c r="G915" i="13" s="1"/>
  <c r="G924" i="13" s="1"/>
  <c r="G933" i="13" s="1"/>
  <c r="G942" i="13" s="1"/>
  <c r="G951" i="13" s="1"/>
  <c r="G960" i="13" s="1"/>
  <c r="G969" i="13" s="1"/>
  <c r="G978" i="13" s="1"/>
  <c r="G987" i="13" s="1"/>
  <c r="G996" i="13" s="1"/>
  <c r="G1005" i="13" s="1"/>
  <c r="G1014" i="13" s="1"/>
  <c r="G1023" i="13" s="1"/>
  <c r="G1032" i="13" s="1"/>
  <c r="G1041" i="13" s="1"/>
  <c r="G1050" i="13" s="1"/>
  <c r="G1059" i="13" s="1"/>
  <c r="G1068" i="13" s="1"/>
  <c r="G1077" i="13" s="1"/>
  <c r="G1086" i="13" s="1"/>
  <c r="G1095" i="13" s="1"/>
  <c r="G1104" i="13" s="1"/>
  <c r="G1113" i="13" s="1"/>
  <c r="G1122" i="13" s="1"/>
  <c r="G1131" i="13" s="1"/>
  <c r="G1140" i="13" s="1"/>
  <c r="G1149" i="13" s="1"/>
  <c r="G1158" i="13" s="1"/>
  <c r="G1167" i="13" s="1"/>
  <c r="G1176" i="13" s="1"/>
  <c r="G1185" i="13" s="1"/>
  <c r="G1194" i="13" s="1"/>
  <c r="G1203" i="13" s="1"/>
  <c r="G1212" i="13" s="1"/>
  <c r="G1221" i="13" s="1"/>
  <c r="G1230" i="13" s="1"/>
  <c r="G1239" i="13" s="1"/>
  <c r="G1248" i="13" s="1"/>
  <c r="G1257" i="13" s="1"/>
  <c r="G1266" i="13" s="1"/>
  <c r="G1275" i="13" s="1"/>
  <c r="G1284" i="13" s="1"/>
  <c r="G1293" i="13" s="1"/>
  <c r="G1302" i="13" s="1"/>
  <c r="G1311" i="13" s="1"/>
  <c r="G1320" i="13" s="1"/>
  <c r="G1329" i="13" s="1"/>
  <c r="G1338" i="13" s="1"/>
  <c r="G1347" i="13" s="1"/>
  <c r="G1356" i="13" s="1"/>
  <c r="G1365" i="13" s="1"/>
  <c r="G1374" i="13" s="1"/>
  <c r="G1383" i="13" s="1"/>
  <c r="G1392" i="13" s="1"/>
  <c r="G1401" i="13" s="1"/>
  <c r="G1410" i="13" s="1"/>
  <c r="G1419" i="13" s="1"/>
  <c r="G1428" i="13" s="1"/>
  <c r="G1437" i="13" s="1"/>
  <c r="G1446" i="13" s="1"/>
  <c r="G1455" i="13" s="1"/>
  <c r="G1464" i="13" s="1"/>
  <c r="G1473" i="13" s="1"/>
  <c r="G1482" i="13" s="1"/>
  <c r="G1491" i="13" s="1"/>
  <c r="G1500" i="13" s="1"/>
  <c r="G1509" i="13" s="1"/>
  <c r="G1518" i="13" s="1"/>
  <c r="G1527" i="13" s="1"/>
  <c r="G1536" i="13" s="1"/>
  <c r="G1545" i="13" s="1"/>
  <c r="G1554" i="13" s="1"/>
  <c r="G1563" i="13" s="1"/>
  <c r="G1572" i="13" s="1"/>
  <c r="G1581" i="13" s="1"/>
  <c r="G1590" i="13" s="1"/>
  <c r="G1599" i="13" s="1"/>
  <c r="G1608" i="13" s="1"/>
  <c r="G1617" i="13" s="1"/>
  <c r="G1626" i="13" s="1"/>
  <c r="G1635" i="13" s="1"/>
  <c r="G1644" i="13" s="1"/>
  <c r="G1653" i="13" s="1"/>
  <c r="G1662" i="13" s="1"/>
  <c r="G1671" i="13" s="1"/>
  <c r="G1680" i="13" s="1"/>
  <c r="G1689" i="13" s="1"/>
  <c r="G1698" i="13" s="1"/>
  <c r="G1707" i="13" s="1"/>
  <c r="G1716" i="13" s="1"/>
  <c r="G1725" i="13" s="1"/>
  <c r="G1734" i="13" s="1"/>
  <c r="G1743" i="13" s="1"/>
  <c r="G1752" i="13" s="1"/>
  <c r="G1761" i="13" s="1"/>
  <c r="G1770" i="13" s="1"/>
  <c r="G1779" i="13" s="1"/>
  <c r="G1788" i="13" s="1"/>
  <c r="G1797" i="13" s="1"/>
  <c r="G1806" i="13" s="1"/>
  <c r="G1815" i="13" s="1"/>
  <c r="G1824" i="13" s="1"/>
  <c r="G1833" i="13" s="1"/>
  <c r="G1842" i="13" s="1"/>
  <c r="G1851" i="13" s="1"/>
  <c r="G1860" i="13" s="1"/>
  <c r="G1869" i="13" s="1"/>
  <c r="G1878" i="13" s="1"/>
  <c r="G1887" i="13" s="1"/>
  <c r="G1896" i="13" s="1"/>
  <c r="G1905" i="13" s="1"/>
  <c r="G1914" i="13" s="1"/>
  <c r="G1923" i="13" s="1"/>
  <c r="G1932" i="13" s="1"/>
  <c r="G1941" i="13" s="1"/>
  <c r="G1950" i="13" s="1"/>
  <c r="G1959" i="13" s="1"/>
  <c r="G1968" i="13" s="1"/>
  <c r="G1977" i="13" s="1"/>
  <c r="H3201" i="13"/>
  <c r="J3201" i="13" s="1"/>
  <c r="K3201" i="13"/>
  <c r="G7" i="13"/>
  <c r="G16" i="13" s="1"/>
  <c r="G25" i="13" s="1"/>
  <c r="G34" i="13" s="1"/>
  <c r="G43" i="13" s="1"/>
  <c r="G52" i="13" s="1"/>
  <c r="G61" i="13" s="1"/>
  <c r="G70" i="13" s="1"/>
  <c r="G79" i="13" s="1"/>
  <c r="G88" i="13" s="1"/>
  <c r="G97" i="13" s="1"/>
  <c r="G106" i="13" s="1"/>
  <c r="G115" i="13" s="1"/>
  <c r="G124" i="13" s="1"/>
  <c r="G133" i="13" s="1"/>
  <c r="G142" i="13" s="1"/>
  <c r="G151" i="13" s="1"/>
  <c r="G160" i="13" s="1"/>
  <c r="G169" i="13" s="1"/>
  <c r="G178" i="13" s="1"/>
  <c r="G187" i="13" s="1"/>
  <c r="G196" i="13" s="1"/>
  <c r="G205" i="13" s="1"/>
  <c r="G214" i="13" s="1"/>
  <c r="G223" i="13" s="1"/>
  <c r="G232" i="13" s="1"/>
  <c r="G241" i="13" s="1"/>
  <c r="G250" i="13" s="1"/>
  <c r="G259" i="13" s="1"/>
  <c r="G268" i="13" s="1"/>
  <c r="G277" i="13" s="1"/>
  <c r="G286" i="13" s="1"/>
  <c r="G295" i="13" s="1"/>
  <c r="G304" i="13" s="1"/>
  <c r="G313" i="13" s="1"/>
  <c r="G322" i="13" s="1"/>
  <c r="G331" i="13" s="1"/>
  <c r="G340" i="13" s="1"/>
  <c r="G349" i="13" s="1"/>
  <c r="G358" i="13" s="1"/>
  <c r="G367" i="13" s="1"/>
  <c r="G376" i="13" s="1"/>
  <c r="G385" i="13" s="1"/>
  <c r="G394" i="13" s="1"/>
  <c r="G403" i="13" s="1"/>
  <c r="G412" i="13" s="1"/>
  <c r="G421" i="13" s="1"/>
  <c r="G430" i="13" s="1"/>
  <c r="G439" i="13" s="1"/>
  <c r="G448" i="13" s="1"/>
  <c r="G457" i="13" s="1"/>
  <c r="G466" i="13" s="1"/>
  <c r="G475" i="13" s="1"/>
  <c r="G484" i="13" s="1"/>
  <c r="G493" i="13" s="1"/>
  <c r="G502" i="13" s="1"/>
  <c r="G511" i="13" s="1"/>
  <c r="G520" i="13" s="1"/>
  <c r="G529" i="13" s="1"/>
  <c r="G538" i="13" s="1"/>
  <c r="G547" i="13" s="1"/>
  <c r="G556" i="13" s="1"/>
  <c r="G565" i="13" s="1"/>
  <c r="G574" i="13" s="1"/>
  <c r="G583" i="13" s="1"/>
  <c r="G592" i="13" s="1"/>
  <c r="G601" i="13" s="1"/>
  <c r="G610" i="13" s="1"/>
  <c r="G619" i="13" s="1"/>
  <c r="G628" i="13" s="1"/>
  <c r="G637" i="13" s="1"/>
  <c r="G646" i="13" s="1"/>
  <c r="G655" i="13" s="1"/>
  <c r="G664" i="13" s="1"/>
  <c r="G673" i="13" s="1"/>
  <c r="G682" i="13" s="1"/>
  <c r="G691" i="13" s="1"/>
  <c r="G700" i="13" s="1"/>
  <c r="G709" i="13" s="1"/>
  <c r="G718" i="13" s="1"/>
  <c r="G727" i="13" s="1"/>
  <c r="G736" i="13" s="1"/>
  <c r="G745" i="13" s="1"/>
  <c r="G754" i="13" s="1"/>
  <c r="G763" i="13" s="1"/>
  <c r="G772" i="13" s="1"/>
  <c r="G781" i="13" s="1"/>
  <c r="G790" i="13" s="1"/>
  <c r="G799" i="13" s="1"/>
  <c r="G808" i="13" s="1"/>
  <c r="G817" i="13" s="1"/>
  <c r="G826" i="13" s="1"/>
  <c r="G835" i="13" s="1"/>
  <c r="G844" i="13" s="1"/>
  <c r="G853" i="13" s="1"/>
  <c r="G862" i="13" s="1"/>
  <c r="G871" i="13" s="1"/>
  <c r="G880" i="13" s="1"/>
  <c r="G889" i="13" s="1"/>
  <c r="G898" i="13" s="1"/>
  <c r="G907" i="13" s="1"/>
  <c r="G916" i="13" s="1"/>
  <c r="G925" i="13" s="1"/>
  <c r="G934" i="13" s="1"/>
  <c r="G943" i="13" s="1"/>
  <c r="G952" i="13" s="1"/>
  <c r="G961" i="13" s="1"/>
  <c r="G970" i="13" s="1"/>
  <c r="G979" i="13" s="1"/>
  <c r="G988" i="13" s="1"/>
  <c r="G997" i="13" s="1"/>
  <c r="G1006" i="13" s="1"/>
  <c r="G1015" i="13" s="1"/>
  <c r="G1024" i="13" s="1"/>
  <c r="G1033" i="13" s="1"/>
  <c r="G1042" i="13" s="1"/>
  <c r="G1051" i="13" s="1"/>
  <c r="G1060" i="13" s="1"/>
  <c r="G1069" i="13" s="1"/>
  <c r="G1078" i="13" s="1"/>
  <c r="G1087" i="13" s="1"/>
  <c r="G1096" i="13" s="1"/>
  <c r="G1105" i="13" s="1"/>
  <c r="G1114" i="13" s="1"/>
  <c r="G1123" i="13" s="1"/>
  <c r="G1132" i="13" s="1"/>
  <c r="G1141" i="13" s="1"/>
  <c r="G1150" i="13" s="1"/>
  <c r="G1159" i="13" s="1"/>
  <c r="G1168" i="13" s="1"/>
  <c r="G1177" i="13" s="1"/>
  <c r="G1186" i="13" s="1"/>
  <c r="G1195" i="13" s="1"/>
  <c r="G1204" i="13" s="1"/>
  <c r="G1213" i="13" s="1"/>
  <c r="G1222" i="13" s="1"/>
  <c r="G1231" i="13" s="1"/>
  <c r="G1240" i="13" s="1"/>
  <c r="G1249" i="13" s="1"/>
  <c r="G1258" i="13" s="1"/>
  <c r="G1267" i="13" s="1"/>
  <c r="G1276" i="13" s="1"/>
  <c r="G1285" i="13" s="1"/>
  <c r="G1294" i="13" s="1"/>
  <c r="G1303" i="13" s="1"/>
  <c r="G1312" i="13" s="1"/>
  <c r="G1321" i="13" s="1"/>
  <c r="G1330" i="13" s="1"/>
  <c r="G1339" i="13" s="1"/>
  <c r="G1348" i="13" s="1"/>
  <c r="G1357" i="13" s="1"/>
  <c r="G1366" i="13" s="1"/>
  <c r="G1375" i="13" s="1"/>
  <c r="G1384" i="13" s="1"/>
  <c r="G1393" i="13" s="1"/>
  <c r="G1402" i="13" s="1"/>
  <c r="G1411" i="13" s="1"/>
  <c r="G1420" i="13" s="1"/>
  <c r="G1429" i="13" s="1"/>
  <c r="G1438" i="13" s="1"/>
  <c r="G1447" i="13" s="1"/>
  <c r="G1456" i="13" s="1"/>
  <c r="G1465" i="13" s="1"/>
  <c r="G1474" i="13" s="1"/>
  <c r="G1483" i="13" s="1"/>
  <c r="G1492" i="13" s="1"/>
  <c r="G1501" i="13" s="1"/>
  <c r="G1510" i="13" s="1"/>
  <c r="G1519" i="13" s="1"/>
  <c r="G1528" i="13" s="1"/>
  <c r="G1537" i="13" s="1"/>
  <c r="G1546" i="13" s="1"/>
  <c r="G1555" i="13" s="1"/>
  <c r="G1564" i="13" s="1"/>
  <c r="G1573" i="13" s="1"/>
  <c r="G1582" i="13" s="1"/>
  <c r="G1591" i="13" s="1"/>
  <c r="G1600" i="13" s="1"/>
  <c r="G1609" i="13" s="1"/>
  <c r="G1618" i="13" s="1"/>
  <c r="G1627" i="13" s="1"/>
  <c r="G1636" i="13" s="1"/>
  <c r="G1645" i="13" s="1"/>
  <c r="G1654" i="13" s="1"/>
  <c r="G1663" i="13" s="1"/>
  <c r="G1672" i="13" s="1"/>
  <c r="G1681" i="13" s="1"/>
  <c r="G1690" i="13" s="1"/>
  <c r="G1699" i="13" s="1"/>
  <c r="G1708" i="13" s="1"/>
  <c r="G1717" i="13" s="1"/>
  <c r="G1726" i="13" s="1"/>
  <c r="G1735" i="13" s="1"/>
  <c r="G1744" i="13" s="1"/>
  <c r="G1753" i="13" s="1"/>
  <c r="G1762" i="13" s="1"/>
  <c r="G1771" i="13" s="1"/>
  <c r="G1780" i="13" s="1"/>
  <c r="G1789" i="13" s="1"/>
  <c r="G1798" i="13" s="1"/>
  <c r="G1807" i="13" s="1"/>
  <c r="G1816" i="13" s="1"/>
  <c r="G1825" i="13" s="1"/>
  <c r="G1834" i="13" s="1"/>
  <c r="G1843" i="13" s="1"/>
  <c r="G1852" i="13" s="1"/>
  <c r="G1861" i="13" s="1"/>
  <c r="G1870" i="13" s="1"/>
  <c r="G1879" i="13" s="1"/>
  <c r="G1888" i="13" s="1"/>
  <c r="G1897" i="13" s="1"/>
  <c r="G1906" i="13" s="1"/>
  <c r="G1915" i="13" s="1"/>
  <c r="G1924" i="13" s="1"/>
  <c r="G1933" i="13" s="1"/>
  <c r="G1942" i="13" s="1"/>
  <c r="G1951" i="13" s="1"/>
  <c r="G1960" i="13" s="1"/>
  <c r="G1969" i="13" s="1"/>
  <c r="G1978" i="13" s="1"/>
  <c r="H3202" i="13"/>
  <c r="J3202" i="13" s="1"/>
  <c r="K3202" i="13"/>
  <c r="G8" i="13"/>
  <c r="G17" i="13" s="1"/>
  <c r="G26" i="13" s="1"/>
  <c r="G35" i="13" s="1"/>
  <c r="G44" i="13" s="1"/>
  <c r="G53" i="13" s="1"/>
  <c r="G62" i="13" s="1"/>
  <c r="G71" i="13" s="1"/>
  <c r="G80" i="13" s="1"/>
  <c r="G89" i="13" s="1"/>
  <c r="G98" i="13" s="1"/>
  <c r="G107" i="13" s="1"/>
  <c r="G116" i="13" s="1"/>
  <c r="G125" i="13" s="1"/>
  <c r="G134" i="13" s="1"/>
  <c r="G143" i="13" s="1"/>
  <c r="G152" i="13" s="1"/>
  <c r="G161" i="13" s="1"/>
  <c r="G170" i="13" s="1"/>
  <c r="G179" i="13" s="1"/>
  <c r="G188" i="13" s="1"/>
  <c r="G197" i="13" s="1"/>
  <c r="G206" i="13" s="1"/>
  <c r="G215" i="13" s="1"/>
  <c r="G224" i="13" s="1"/>
  <c r="G233" i="13" s="1"/>
  <c r="G242" i="13" s="1"/>
  <c r="G251" i="13" s="1"/>
  <c r="G260" i="13" s="1"/>
  <c r="G269" i="13" s="1"/>
  <c r="G278" i="13" s="1"/>
  <c r="G287" i="13" s="1"/>
  <c r="G296" i="13" s="1"/>
  <c r="G305" i="13" s="1"/>
  <c r="G314" i="13" s="1"/>
  <c r="G323" i="13" s="1"/>
  <c r="G332" i="13" s="1"/>
  <c r="G341" i="13" s="1"/>
  <c r="G350" i="13" s="1"/>
  <c r="G359" i="13" s="1"/>
  <c r="G368" i="13" s="1"/>
  <c r="G377" i="13" s="1"/>
  <c r="G386" i="13" s="1"/>
  <c r="G395" i="13" s="1"/>
  <c r="G404" i="13" s="1"/>
  <c r="G413" i="13" s="1"/>
  <c r="G422" i="13" s="1"/>
  <c r="G431" i="13" s="1"/>
  <c r="G440" i="13" s="1"/>
  <c r="G449" i="13" s="1"/>
  <c r="G458" i="13" s="1"/>
  <c r="G467" i="13" s="1"/>
  <c r="G476" i="13" s="1"/>
  <c r="G485" i="13" s="1"/>
  <c r="G494" i="13" s="1"/>
  <c r="G503" i="13" s="1"/>
  <c r="G512" i="13" s="1"/>
  <c r="G521" i="13" s="1"/>
  <c r="G530" i="13" s="1"/>
  <c r="G539" i="13" s="1"/>
  <c r="G548" i="13" s="1"/>
  <c r="G557" i="13" s="1"/>
  <c r="G566" i="13" s="1"/>
  <c r="G575" i="13" s="1"/>
  <c r="G584" i="13" s="1"/>
  <c r="G593" i="13" s="1"/>
  <c r="G602" i="13" s="1"/>
  <c r="G611" i="13" s="1"/>
  <c r="G620" i="13" s="1"/>
  <c r="G629" i="13" s="1"/>
  <c r="G638" i="13" s="1"/>
  <c r="G647" i="13" s="1"/>
  <c r="G656" i="13" s="1"/>
  <c r="G665" i="13" s="1"/>
  <c r="G674" i="13" s="1"/>
  <c r="G683" i="13" s="1"/>
  <c r="G692" i="13" s="1"/>
  <c r="G701" i="13" s="1"/>
  <c r="G710" i="13" s="1"/>
  <c r="G719" i="13" s="1"/>
  <c r="G728" i="13" s="1"/>
  <c r="G737" i="13" s="1"/>
  <c r="G746" i="13" s="1"/>
  <c r="G755" i="13" s="1"/>
  <c r="G764" i="13" s="1"/>
  <c r="G773" i="13" s="1"/>
  <c r="G782" i="13" s="1"/>
  <c r="G791" i="13" s="1"/>
  <c r="G800" i="13" s="1"/>
  <c r="G809" i="13" s="1"/>
  <c r="G818" i="13" s="1"/>
  <c r="G827" i="13" s="1"/>
  <c r="G836" i="13" s="1"/>
  <c r="G845" i="13" s="1"/>
  <c r="G854" i="13" s="1"/>
  <c r="G863" i="13" s="1"/>
  <c r="G872" i="13" s="1"/>
  <c r="G881" i="13" s="1"/>
  <c r="G890" i="13" s="1"/>
  <c r="G899" i="13" s="1"/>
  <c r="G908" i="13" s="1"/>
  <c r="G917" i="13" s="1"/>
  <c r="G926" i="13" s="1"/>
  <c r="G935" i="13" s="1"/>
  <c r="G944" i="13" s="1"/>
  <c r="G953" i="13" s="1"/>
  <c r="G962" i="13" s="1"/>
  <c r="G971" i="13" s="1"/>
  <c r="G980" i="13" s="1"/>
  <c r="G989" i="13" s="1"/>
  <c r="G998" i="13" s="1"/>
  <c r="G1007" i="13" s="1"/>
  <c r="G1016" i="13" s="1"/>
  <c r="G1025" i="13" s="1"/>
  <c r="G1034" i="13" s="1"/>
  <c r="G1043" i="13" s="1"/>
  <c r="G1052" i="13" s="1"/>
  <c r="G1061" i="13" s="1"/>
  <c r="G1070" i="13" s="1"/>
  <c r="G1079" i="13" s="1"/>
  <c r="G1088" i="13" s="1"/>
  <c r="G1097" i="13" s="1"/>
  <c r="G1106" i="13" s="1"/>
  <c r="G1115" i="13" s="1"/>
  <c r="G1124" i="13" s="1"/>
  <c r="G1133" i="13" s="1"/>
  <c r="G1142" i="13" s="1"/>
  <c r="G1151" i="13" s="1"/>
  <c r="G1160" i="13" s="1"/>
  <c r="G1169" i="13" s="1"/>
  <c r="G1178" i="13" s="1"/>
  <c r="G1187" i="13" s="1"/>
  <c r="G1196" i="13" s="1"/>
  <c r="G1205" i="13" s="1"/>
  <c r="G1214" i="13" s="1"/>
  <c r="G1223" i="13" s="1"/>
  <c r="G1232" i="13" s="1"/>
  <c r="G1241" i="13" s="1"/>
  <c r="G1250" i="13" s="1"/>
  <c r="G1259" i="13" s="1"/>
  <c r="G1268" i="13" s="1"/>
  <c r="G1277" i="13" s="1"/>
  <c r="G1286" i="13" s="1"/>
  <c r="G1295" i="13" s="1"/>
  <c r="G1304" i="13" s="1"/>
  <c r="G1313" i="13" s="1"/>
  <c r="G1322" i="13" s="1"/>
  <c r="G1331" i="13" s="1"/>
  <c r="G1340" i="13" s="1"/>
  <c r="G1349" i="13" s="1"/>
  <c r="G1358" i="13" s="1"/>
  <c r="G1367" i="13" s="1"/>
  <c r="G1376" i="13" s="1"/>
  <c r="G1385" i="13" s="1"/>
  <c r="G1394" i="13" s="1"/>
  <c r="G1403" i="13" s="1"/>
  <c r="G1412" i="13" s="1"/>
  <c r="G1421" i="13" s="1"/>
  <c r="G1430" i="13" s="1"/>
  <c r="G1439" i="13" s="1"/>
  <c r="G1448" i="13" s="1"/>
  <c r="G1457" i="13" s="1"/>
  <c r="G1466" i="13" s="1"/>
  <c r="G1475" i="13" s="1"/>
  <c r="G1484" i="13" s="1"/>
  <c r="G1493" i="13" s="1"/>
  <c r="G1502" i="13" s="1"/>
  <c r="G1511" i="13" s="1"/>
  <c r="G1520" i="13" s="1"/>
  <c r="G1529" i="13" s="1"/>
  <c r="G1538" i="13" s="1"/>
  <c r="G1547" i="13" s="1"/>
  <c r="G1556" i="13" s="1"/>
  <c r="G1565" i="13" s="1"/>
  <c r="G1574" i="13" s="1"/>
  <c r="G1583" i="13" s="1"/>
  <c r="G1592" i="13" s="1"/>
  <c r="G1601" i="13" s="1"/>
  <c r="G1610" i="13" s="1"/>
  <c r="G1619" i="13" s="1"/>
  <c r="G1628" i="13" s="1"/>
  <c r="G1637" i="13" s="1"/>
  <c r="G1646" i="13" s="1"/>
  <c r="G1655" i="13" s="1"/>
  <c r="G1664" i="13" s="1"/>
  <c r="G1673" i="13" s="1"/>
  <c r="G1682" i="13" s="1"/>
  <c r="G1691" i="13" s="1"/>
  <c r="G1700" i="13" s="1"/>
  <c r="G1709" i="13" s="1"/>
  <c r="G1718" i="13" s="1"/>
  <c r="G1727" i="13" s="1"/>
  <c r="G1736" i="13" s="1"/>
  <c r="G1745" i="13" s="1"/>
  <c r="G1754" i="13" s="1"/>
  <c r="G1763" i="13" s="1"/>
  <c r="G1772" i="13" s="1"/>
  <c r="G1781" i="13" s="1"/>
  <c r="G1790" i="13" s="1"/>
  <c r="G1799" i="13" s="1"/>
  <c r="G1808" i="13" s="1"/>
  <c r="G1817" i="13" s="1"/>
  <c r="G1826" i="13" s="1"/>
  <c r="G1835" i="13" s="1"/>
  <c r="G1844" i="13" s="1"/>
  <c r="G1853" i="13" s="1"/>
  <c r="G1862" i="13" s="1"/>
  <c r="G1871" i="13" s="1"/>
  <c r="G1880" i="13" s="1"/>
  <c r="G1889" i="13" s="1"/>
  <c r="G1898" i="13" s="1"/>
  <c r="G1907" i="13" s="1"/>
  <c r="G1916" i="13" s="1"/>
  <c r="G1925" i="13" s="1"/>
  <c r="G1934" i="13" s="1"/>
  <c r="G1943" i="13" s="1"/>
  <c r="G1952" i="13" s="1"/>
  <c r="G1961" i="13" s="1"/>
  <c r="G1970" i="13" s="1"/>
  <c r="G1979" i="13" s="1"/>
  <c r="H3203" i="13"/>
  <c r="J3203" i="13" s="1"/>
  <c r="K3203" i="13"/>
  <c r="G9" i="13"/>
  <c r="G18" i="13" s="1"/>
  <c r="G27" i="13" s="1"/>
  <c r="G36" i="13" s="1"/>
  <c r="G45" i="13" s="1"/>
  <c r="G54" i="13" s="1"/>
  <c r="G63" i="13" s="1"/>
  <c r="G72" i="13" s="1"/>
  <c r="G81" i="13" s="1"/>
  <c r="G90" i="13" s="1"/>
  <c r="G99" i="13" s="1"/>
  <c r="G108" i="13" s="1"/>
  <c r="G117" i="13" s="1"/>
  <c r="G126" i="13" s="1"/>
  <c r="G135" i="13" s="1"/>
  <c r="G144" i="13" s="1"/>
  <c r="G153" i="13" s="1"/>
  <c r="G162" i="13" s="1"/>
  <c r="G171" i="13" s="1"/>
  <c r="G180" i="13" s="1"/>
  <c r="G189" i="13" s="1"/>
  <c r="G198" i="13" s="1"/>
  <c r="G207" i="13" s="1"/>
  <c r="G216" i="13" s="1"/>
  <c r="G225" i="13" s="1"/>
  <c r="G234" i="13" s="1"/>
  <c r="G243" i="13" s="1"/>
  <c r="G252" i="13" s="1"/>
  <c r="G261" i="13" s="1"/>
  <c r="G270" i="13" s="1"/>
  <c r="G279" i="13" s="1"/>
  <c r="G288" i="13" s="1"/>
  <c r="G297" i="13" s="1"/>
  <c r="G306" i="13" s="1"/>
  <c r="G315" i="13" s="1"/>
  <c r="G324" i="13" s="1"/>
  <c r="G333" i="13" s="1"/>
  <c r="G342" i="13" s="1"/>
  <c r="G351" i="13" s="1"/>
  <c r="G360" i="13" s="1"/>
  <c r="G369" i="13" s="1"/>
  <c r="G378" i="13" s="1"/>
  <c r="G387" i="13" s="1"/>
  <c r="G396" i="13" s="1"/>
  <c r="G405" i="13" s="1"/>
  <c r="G414" i="13" s="1"/>
  <c r="G423" i="13" s="1"/>
  <c r="G432" i="13" s="1"/>
  <c r="G441" i="13" s="1"/>
  <c r="G450" i="13" s="1"/>
  <c r="G459" i="13" s="1"/>
  <c r="G468" i="13" s="1"/>
  <c r="G477" i="13" s="1"/>
  <c r="G486" i="13" s="1"/>
  <c r="G495" i="13" s="1"/>
  <c r="G504" i="13" s="1"/>
  <c r="G513" i="13" s="1"/>
  <c r="G522" i="13" s="1"/>
  <c r="G531" i="13" s="1"/>
  <c r="G540" i="13" s="1"/>
  <c r="G549" i="13" s="1"/>
  <c r="G558" i="13" s="1"/>
  <c r="G567" i="13" s="1"/>
  <c r="G576" i="13" s="1"/>
  <c r="G585" i="13" s="1"/>
  <c r="G594" i="13" s="1"/>
  <c r="G603" i="13" s="1"/>
  <c r="G612" i="13" s="1"/>
  <c r="G621" i="13" s="1"/>
  <c r="G630" i="13" s="1"/>
  <c r="G639" i="13" s="1"/>
  <c r="G648" i="13" s="1"/>
  <c r="G657" i="13" s="1"/>
  <c r="G666" i="13" s="1"/>
  <c r="G675" i="13" s="1"/>
  <c r="G684" i="13" s="1"/>
  <c r="G693" i="13" s="1"/>
  <c r="G702" i="13" s="1"/>
  <c r="G711" i="13" s="1"/>
  <c r="G720" i="13" s="1"/>
  <c r="G729" i="13" s="1"/>
  <c r="G738" i="13" s="1"/>
  <c r="G747" i="13" s="1"/>
  <c r="G756" i="13" s="1"/>
  <c r="G765" i="13" s="1"/>
  <c r="G774" i="13" s="1"/>
  <c r="G783" i="13" s="1"/>
  <c r="G792" i="13" s="1"/>
  <c r="G801" i="13" s="1"/>
  <c r="G810" i="13" s="1"/>
  <c r="G819" i="13" s="1"/>
  <c r="G828" i="13" s="1"/>
  <c r="G837" i="13" s="1"/>
  <c r="G846" i="13" s="1"/>
  <c r="G855" i="13" s="1"/>
  <c r="G864" i="13" s="1"/>
  <c r="G873" i="13" s="1"/>
  <c r="G882" i="13" s="1"/>
  <c r="G891" i="13" s="1"/>
  <c r="G900" i="13" s="1"/>
  <c r="G909" i="13" s="1"/>
  <c r="G918" i="13" s="1"/>
  <c r="G927" i="13" s="1"/>
  <c r="G936" i="13" s="1"/>
  <c r="G945" i="13" s="1"/>
  <c r="G954" i="13" s="1"/>
  <c r="G963" i="13" s="1"/>
  <c r="G972" i="13" s="1"/>
  <c r="G981" i="13" s="1"/>
  <c r="G990" i="13" s="1"/>
  <c r="G999" i="13" s="1"/>
  <c r="G1008" i="13" s="1"/>
  <c r="G1017" i="13" s="1"/>
  <c r="G1026" i="13" s="1"/>
  <c r="G1035" i="13" s="1"/>
  <c r="G1044" i="13" s="1"/>
  <c r="G1053" i="13" s="1"/>
  <c r="G1062" i="13" s="1"/>
  <c r="G1071" i="13" s="1"/>
  <c r="G1080" i="13" s="1"/>
  <c r="G1089" i="13" s="1"/>
  <c r="G1098" i="13" s="1"/>
  <c r="G1107" i="13" s="1"/>
  <c r="G1116" i="13" s="1"/>
  <c r="G1125" i="13" s="1"/>
  <c r="G1134" i="13" s="1"/>
  <c r="G1143" i="13" s="1"/>
  <c r="G1152" i="13" s="1"/>
  <c r="G1161" i="13" s="1"/>
  <c r="G1170" i="13" s="1"/>
  <c r="G1179" i="13" s="1"/>
  <c r="G1188" i="13" s="1"/>
  <c r="G1197" i="13" s="1"/>
  <c r="G1206" i="13" s="1"/>
  <c r="G1215" i="13" s="1"/>
  <c r="G1224" i="13" s="1"/>
  <c r="G1233" i="13" s="1"/>
  <c r="G1242" i="13" s="1"/>
  <c r="G1251" i="13" s="1"/>
  <c r="G1260" i="13" s="1"/>
  <c r="G1269" i="13" s="1"/>
  <c r="G1278" i="13" s="1"/>
  <c r="G1287" i="13" s="1"/>
  <c r="G1296" i="13" s="1"/>
  <c r="G1305" i="13" s="1"/>
  <c r="G1314" i="13" s="1"/>
  <c r="G1323" i="13" s="1"/>
  <c r="G1332" i="13" s="1"/>
  <c r="G1341" i="13" s="1"/>
  <c r="G1350" i="13" s="1"/>
  <c r="G1359" i="13" s="1"/>
  <c r="G1368" i="13" s="1"/>
  <c r="G1377" i="13" s="1"/>
  <c r="G1386" i="13" s="1"/>
  <c r="G1395" i="13" s="1"/>
  <c r="G1404" i="13" s="1"/>
  <c r="G1413" i="13" s="1"/>
  <c r="G1422" i="13" s="1"/>
  <c r="G1431" i="13" s="1"/>
  <c r="G1440" i="13" s="1"/>
  <c r="G1449" i="13" s="1"/>
  <c r="G1458" i="13" s="1"/>
  <c r="G1467" i="13" s="1"/>
  <c r="G1476" i="13" s="1"/>
  <c r="G1485" i="13" s="1"/>
  <c r="G1494" i="13" s="1"/>
  <c r="G1503" i="13" s="1"/>
  <c r="G1512" i="13" s="1"/>
  <c r="G1521" i="13" s="1"/>
  <c r="G1530" i="13" s="1"/>
  <c r="G1539" i="13" s="1"/>
  <c r="G1548" i="13" s="1"/>
  <c r="G1557" i="13" s="1"/>
  <c r="G1566" i="13" s="1"/>
  <c r="G1575" i="13" s="1"/>
  <c r="G1584" i="13" s="1"/>
  <c r="G1593" i="13" s="1"/>
  <c r="G1602" i="13" s="1"/>
  <c r="G1611" i="13" s="1"/>
  <c r="G1620" i="13" s="1"/>
  <c r="G1629" i="13" s="1"/>
  <c r="G1638" i="13" s="1"/>
  <c r="G1647" i="13" s="1"/>
  <c r="G1656" i="13" s="1"/>
  <c r="G1665" i="13" s="1"/>
  <c r="G1674" i="13" s="1"/>
  <c r="G1683" i="13" s="1"/>
  <c r="G1692" i="13" s="1"/>
  <c r="G1701" i="13" s="1"/>
  <c r="G1710" i="13" s="1"/>
  <c r="G1719" i="13" s="1"/>
  <c r="G1728" i="13" s="1"/>
  <c r="G1737" i="13" s="1"/>
  <c r="G1746" i="13" s="1"/>
  <c r="G1755" i="13" s="1"/>
  <c r="G1764" i="13" s="1"/>
  <c r="G1773" i="13" s="1"/>
  <c r="G1782" i="13" s="1"/>
  <c r="G1791" i="13" s="1"/>
  <c r="G1800" i="13" s="1"/>
  <c r="G1809" i="13" s="1"/>
  <c r="G1818" i="13" s="1"/>
  <c r="G1827" i="13" s="1"/>
  <c r="G1836" i="13" s="1"/>
  <c r="G1845" i="13" s="1"/>
  <c r="G1854" i="13" s="1"/>
  <c r="G1863" i="13" s="1"/>
  <c r="G1872" i="13" s="1"/>
  <c r="G1881" i="13" s="1"/>
  <c r="G1890" i="13" s="1"/>
  <c r="G1899" i="13" s="1"/>
  <c r="G1908" i="13" s="1"/>
  <c r="G1917" i="13" s="1"/>
  <c r="G1926" i="13" s="1"/>
  <c r="G1935" i="13" s="1"/>
  <c r="G1944" i="13" s="1"/>
  <c r="G1953" i="13" s="1"/>
  <c r="G1962" i="13" s="1"/>
  <c r="G1971" i="13" s="1"/>
  <c r="G1980" i="13" s="1"/>
  <c r="G1998" i="13" s="1"/>
  <c r="G2007" i="13" s="1"/>
  <c r="G2016" i="13" s="1"/>
  <c r="G2025" i="13" s="1"/>
  <c r="G2034" i="13" s="1"/>
  <c r="G2043" i="13" s="1"/>
  <c r="G2052" i="13" s="1"/>
  <c r="G2061" i="13" s="1"/>
  <c r="G2070" i="13" s="1"/>
  <c r="G2079" i="13" s="1"/>
  <c r="G2088" i="13" s="1"/>
  <c r="G2097" i="13" s="1"/>
  <c r="G2106" i="13" s="1"/>
  <c r="G2115" i="13" s="1"/>
  <c r="G2124" i="13" s="1"/>
  <c r="G2133" i="13" s="1"/>
  <c r="G2142" i="13" s="1"/>
  <c r="H3204" i="13"/>
  <c r="J3204" i="13" s="1"/>
  <c r="K3204" i="13"/>
  <c r="G10" i="13"/>
  <c r="G19" i="13" s="1"/>
  <c r="G28" i="13" s="1"/>
  <c r="G37" i="13" s="1"/>
  <c r="G46" i="13" s="1"/>
  <c r="G55" i="13" s="1"/>
  <c r="G64" i="13" s="1"/>
  <c r="G73" i="13" s="1"/>
  <c r="G82" i="13" s="1"/>
  <c r="G91" i="13" s="1"/>
  <c r="G100" i="13" s="1"/>
  <c r="G109" i="13" s="1"/>
  <c r="G118" i="13" s="1"/>
  <c r="G127" i="13" s="1"/>
  <c r="G136" i="13" s="1"/>
  <c r="G145" i="13" s="1"/>
  <c r="G154" i="13" s="1"/>
  <c r="G163" i="13" s="1"/>
  <c r="G172" i="13" s="1"/>
  <c r="G181" i="13" s="1"/>
  <c r="G190" i="13" s="1"/>
  <c r="G199" i="13" s="1"/>
  <c r="G208" i="13" s="1"/>
  <c r="G217" i="13" s="1"/>
  <c r="G226" i="13" s="1"/>
  <c r="G235" i="13" s="1"/>
  <c r="G244" i="13" s="1"/>
  <c r="G253" i="13" s="1"/>
  <c r="G262" i="13" s="1"/>
  <c r="G271" i="13" s="1"/>
  <c r="G280" i="13" s="1"/>
  <c r="G289" i="13" s="1"/>
  <c r="G298" i="13" s="1"/>
  <c r="G307" i="13" s="1"/>
  <c r="G316" i="13" s="1"/>
  <c r="G325" i="13" s="1"/>
  <c r="G334" i="13" s="1"/>
  <c r="G343" i="13" s="1"/>
  <c r="G352" i="13" s="1"/>
  <c r="G361" i="13" s="1"/>
  <c r="G370" i="13" s="1"/>
  <c r="G379" i="13" s="1"/>
  <c r="G388" i="13" s="1"/>
  <c r="G397" i="13" s="1"/>
  <c r="G406" i="13" s="1"/>
  <c r="G415" i="13" s="1"/>
  <c r="G424" i="13" s="1"/>
  <c r="G433" i="13" s="1"/>
  <c r="G442" i="13" s="1"/>
  <c r="G451" i="13" s="1"/>
  <c r="G460" i="13" s="1"/>
  <c r="G469" i="13" s="1"/>
  <c r="G478" i="13" s="1"/>
  <c r="G487" i="13" s="1"/>
  <c r="G496" i="13" s="1"/>
  <c r="G505" i="13" s="1"/>
  <c r="G514" i="13" s="1"/>
  <c r="G523" i="13" s="1"/>
  <c r="G532" i="13" s="1"/>
  <c r="G541" i="13" s="1"/>
  <c r="G550" i="13" s="1"/>
  <c r="G559" i="13" s="1"/>
  <c r="G568" i="13" s="1"/>
  <c r="G577" i="13" s="1"/>
  <c r="G586" i="13" s="1"/>
  <c r="G595" i="13" s="1"/>
  <c r="G604" i="13" s="1"/>
  <c r="G613" i="13" s="1"/>
  <c r="G622" i="13" s="1"/>
  <c r="G631" i="13" s="1"/>
  <c r="G640" i="13" s="1"/>
  <c r="G649" i="13" s="1"/>
  <c r="G658" i="13" s="1"/>
  <c r="G667" i="13" s="1"/>
  <c r="G676" i="13" s="1"/>
  <c r="G685" i="13" s="1"/>
  <c r="G694" i="13" s="1"/>
  <c r="G703" i="13" s="1"/>
  <c r="G712" i="13" s="1"/>
  <c r="G721" i="13" s="1"/>
  <c r="G730" i="13" s="1"/>
  <c r="G739" i="13" s="1"/>
  <c r="G748" i="13" s="1"/>
  <c r="G757" i="13" s="1"/>
  <c r="G766" i="13" s="1"/>
  <c r="G775" i="13" s="1"/>
  <c r="G784" i="13" s="1"/>
  <c r="G793" i="13" s="1"/>
  <c r="G802" i="13" s="1"/>
  <c r="G811" i="13" s="1"/>
  <c r="G820" i="13" s="1"/>
  <c r="G829" i="13" s="1"/>
  <c r="G838" i="13" s="1"/>
  <c r="G847" i="13" s="1"/>
  <c r="G856" i="13" s="1"/>
  <c r="G865" i="13" s="1"/>
  <c r="G874" i="13" s="1"/>
  <c r="G883" i="13" s="1"/>
  <c r="G892" i="13" s="1"/>
  <c r="G901" i="13" s="1"/>
  <c r="G910" i="13" s="1"/>
  <c r="G919" i="13" s="1"/>
  <c r="G928" i="13" s="1"/>
  <c r="G937" i="13" s="1"/>
  <c r="G946" i="13" s="1"/>
  <c r="G955" i="13" s="1"/>
  <c r="G964" i="13" s="1"/>
  <c r="G973" i="13" s="1"/>
  <c r="G982" i="13" s="1"/>
  <c r="G991" i="13" s="1"/>
  <c r="G1000" i="13" s="1"/>
  <c r="G1009" i="13" s="1"/>
  <c r="G1018" i="13" s="1"/>
  <c r="G1027" i="13" s="1"/>
  <c r="G1036" i="13" s="1"/>
  <c r="G1045" i="13" s="1"/>
  <c r="G1054" i="13" s="1"/>
  <c r="G1063" i="13" s="1"/>
  <c r="G1072" i="13" s="1"/>
  <c r="G1081" i="13" s="1"/>
  <c r="G1090" i="13" s="1"/>
  <c r="G1099" i="13" s="1"/>
  <c r="G1108" i="13" s="1"/>
  <c r="G1117" i="13" s="1"/>
  <c r="G1126" i="13" s="1"/>
  <c r="G1135" i="13" s="1"/>
  <c r="G1144" i="13" s="1"/>
  <c r="G1153" i="13" s="1"/>
  <c r="G1162" i="13" s="1"/>
  <c r="G1171" i="13" s="1"/>
  <c r="G1180" i="13" s="1"/>
  <c r="G1189" i="13" s="1"/>
  <c r="G1198" i="13" s="1"/>
  <c r="G1207" i="13" s="1"/>
  <c r="G1216" i="13" s="1"/>
  <c r="G1225" i="13" s="1"/>
  <c r="G1234" i="13" s="1"/>
  <c r="G1243" i="13" s="1"/>
  <c r="G1252" i="13" s="1"/>
  <c r="G1261" i="13" s="1"/>
  <c r="G1270" i="13" s="1"/>
  <c r="G1279" i="13" s="1"/>
  <c r="G1288" i="13" s="1"/>
  <c r="G1297" i="13" s="1"/>
  <c r="G1306" i="13" s="1"/>
  <c r="G1315" i="13" s="1"/>
  <c r="G1324" i="13" s="1"/>
  <c r="G1333" i="13" s="1"/>
  <c r="G1342" i="13" s="1"/>
  <c r="G1351" i="13" s="1"/>
  <c r="G1360" i="13" s="1"/>
  <c r="G1369" i="13" s="1"/>
  <c r="G1378" i="13" s="1"/>
  <c r="G1387" i="13" s="1"/>
  <c r="G1396" i="13" s="1"/>
  <c r="G1405" i="13" s="1"/>
  <c r="G1414" i="13" s="1"/>
  <c r="G1423" i="13" s="1"/>
  <c r="G1432" i="13" s="1"/>
  <c r="G1441" i="13" s="1"/>
  <c r="G1450" i="13" s="1"/>
  <c r="G1459" i="13" s="1"/>
  <c r="G1468" i="13" s="1"/>
  <c r="G1477" i="13" s="1"/>
  <c r="G1486" i="13" s="1"/>
  <c r="G1495" i="13" s="1"/>
  <c r="G1504" i="13" s="1"/>
  <c r="G1513" i="13" s="1"/>
  <c r="G1522" i="13" s="1"/>
  <c r="G1531" i="13" s="1"/>
  <c r="G1540" i="13" s="1"/>
  <c r="G1549" i="13" s="1"/>
  <c r="G1558" i="13" s="1"/>
  <c r="G1567" i="13" s="1"/>
  <c r="G1576" i="13" s="1"/>
  <c r="G1585" i="13" s="1"/>
  <c r="G1594" i="13" s="1"/>
  <c r="G1603" i="13" s="1"/>
  <c r="G1612" i="13" s="1"/>
  <c r="G1621" i="13" s="1"/>
  <c r="G1630" i="13" s="1"/>
  <c r="G1639" i="13" s="1"/>
  <c r="G1648" i="13" s="1"/>
  <c r="G1657" i="13" s="1"/>
  <c r="G1666" i="13" s="1"/>
  <c r="G1675" i="13" s="1"/>
  <c r="G1684" i="13" s="1"/>
  <c r="G1693" i="13" s="1"/>
  <c r="G1702" i="13" s="1"/>
  <c r="G1711" i="13" s="1"/>
  <c r="G1720" i="13" s="1"/>
  <c r="G1729" i="13" s="1"/>
  <c r="G1738" i="13" s="1"/>
  <c r="G1747" i="13" s="1"/>
  <c r="G1756" i="13" s="1"/>
  <c r="G1765" i="13" s="1"/>
  <c r="G1774" i="13" s="1"/>
  <c r="G1783" i="13" s="1"/>
  <c r="G1792" i="13" s="1"/>
  <c r="G1801" i="13" s="1"/>
  <c r="G1810" i="13" s="1"/>
  <c r="G1819" i="13" s="1"/>
  <c r="G1828" i="13" s="1"/>
  <c r="G1837" i="13" s="1"/>
  <c r="G1846" i="13" s="1"/>
  <c r="G1855" i="13" s="1"/>
  <c r="G1864" i="13" s="1"/>
  <c r="G1873" i="13" s="1"/>
  <c r="G1882" i="13" s="1"/>
  <c r="G1891" i="13" s="1"/>
  <c r="G1900" i="13" s="1"/>
  <c r="G1909" i="13" s="1"/>
  <c r="G1918" i="13" s="1"/>
  <c r="G1927" i="13" s="1"/>
  <c r="G1936" i="13" s="1"/>
  <c r="G1945" i="13" s="1"/>
  <c r="G1954" i="13" s="1"/>
  <c r="G1963" i="13" s="1"/>
  <c r="G1972" i="13" s="1"/>
  <c r="G1981" i="13" s="1"/>
  <c r="G1999" i="13" s="1"/>
  <c r="G2008" i="13" s="1"/>
  <c r="G2017" i="13" s="1"/>
  <c r="G2026" i="13" s="1"/>
  <c r="G2035" i="13" s="1"/>
  <c r="G2044" i="13" s="1"/>
  <c r="G2053" i="13" s="1"/>
  <c r="G2062" i="13" s="1"/>
  <c r="G2071" i="13" s="1"/>
  <c r="G2080" i="13" s="1"/>
  <c r="G2089" i="13" s="1"/>
  <c r="G2098" i="13" s="1"/>
  <c r="G2107" i="13" s="1"/>
  <c r="G2116" i="13" s="1"/>
  <c r="G2125" i="13" s="1"/>
  <c r="G2134" i="13" s="1"/>
  <c r="G2143" i="13" s="1"/>
  <c r="H3205" i="13"/>
  <c r="J3205" i="13" s="1"/>
  <c r="K3205" i="13"/>
  <c r="K1045" i="13"/>
  <c r="H1045" i="13"/>
  <c r="J1045" i="13" s="1"/>
  <c r="K1044" i="13"/>
  <c r="H1044" i="13"/>
  <c r="J1044" i="13" s="1"/>
  <c r="K1043" i="13"/>
  <c r="H1043" i="13"/>
  <c r="J1043" i="13" s="1"/>
  <c r="K1042" i="13"/>
  <c r="H1042" i="13"/>
  <c r="J1042" i="13" s="1"/>
  <c r="K1041" i="13"/>
  <c r="H1041" i="13"/>
  <c r="J1041" i="13" s="1"/>
  <c r="K1040" i="13"/>
  <c r="H1040" i="13"/>
  <c r="J1040" i="13" s="1"/>
  <c r="K1039" i="13"/>
  <c r="H1039" i="13"/>
  <c r="J1039" i="13" s="1"/>
  <c r="K1038" i="13"/>
  <c r="H1038" i="13"/>
  <c r="J1038" i="13" s="1"/>
  <c r="K1037" i="13"/>
  <c r="K928" i="13"/>
  <c r="H928" i="13"/>
  <c r="J928" i="13" s="1"/>
  <c r="K927" i="13"/>
  <c r="H927" i="13"/>
  <c r="J927" i="13" s="1"/>
  <c r="K926" i="13"/>
  <c r="H926" i="13"/>
  <c r="J926" i="13" s="1"/>
  <c r="K925" i="13"/>
  <c r="H925" i="13"/>
  <c r="J925" i="13" s="1"/>
  <c r="K924" i="13"/>
  <c r="H924" i="13"/>
  <c r="J924" i="13" s="1"/>
  <c r="K923" i="13"/>
  <c r="H923" i="13"/>
  <c r="J923" i="13" s="1"/>
  <c r="K922" i="13"/>
  <c r="H922" i="13"/>
  <c r="J922" i="13" s="1"/>
  <c r="K921" i="13"/>
  <c r="H921" i="13"/>
  <c r="J921" i="13" s="1"/>
  <c r="K920" i="13"/>
  <c r="K181" i="13"/>
  <c r="H181" i="13"/>
  <c r="J181" i="13" s="1"/>
  <c r="K180" i="13"/>
  <c r="H180" i="13"/>
  <c r="J180" i="13" s="1"/>
  <c r="K179" i="13"/>
  <c r="H179" i="13"/>
  <c r="J179" i="13" s="1"/>
  <c r="K178" i="13"/>
  <c r="H178" i="13"/>
  <c r="J178" i="13" s="1"/>
  <c r="K177" i="13"/>
  <c r="H177" i="13"/>
  <c r="J177" i="13" s="1"/>
  <c r="K176" i="13"/>
  <c r="H176" i="13"/>
  <c r="J176" i="13" s="1"/>
  <c r="K175" i="13"/>
  <c r="H175" i="13"/>
  <c r="J175" i="13" s="1"/>
  <c r="K174" i="13"/>
  <c r="H174" i="13"/>
  <c r="J174" i="13" s="1"/>
  <c r="K173" i="13"/>
  <c r="D2" i="14"/>
  <c r="D11" i="14" s="1"/>
  <c r="D20" i="14" s="1"/>
  <c r="D29" i="14" s="1"/>
  <c r="D38" i="14" s="1"/>
  <c r="D47" i="14" s="1"/>
  <c r="D56" i="14" s="1"/>
  <c r="D65" i="14" s="1"/>
  <c r="D74" i="14" s="1"/>
  <c r="D83" i="14" s="1"/>
  <c r="D92" i="14" s="1"/>
  <c r="D101" i="14" s="1"/>
  <c r="D110" i="14" s="1"/>
  <c r="D119" i="14" s="1"/>
  <c r="D128" i="14" s="1"/>
  <c r="D137" i="14" s="1"/>
  <c r="D146" i="14" s="1"/>
  <c r="D155" i="14" s="1"/>
  <c r="D164" i="14" s="1"/>
  <c r="D173" i="14" s="1"/>
  <c r="D182" i="14" s="1"/>
  <c r="D191" i="14" s="1"/>
  <c r="D200" i="14" s="1"/>
  <c r="D209" i="14" s="1"/>
  <c r="D218" i="14" s="1"/>
  <c r="D227" i="14" s="1"/>
  <c r="D236" i="14" s="1"/>
  <c r="D245" i="14" s="1"/>
  <c r="D254" i="14" s="1"/>
  <c r="D263" i="14" s="1"/>
  <c r="D272" i="14" s="1"/>
  <c r="D281" i="14" s="1"/>
  <c r="D290" i="14" s="1"/>
  <c r="D299" i="14" s="1"/>
  <c r="D308" i="14" s="1"/>
  <c r="D317" i="14" s="1"/>
  <c r="D326" i="14" s="1"/>
  <c r="D335" i="14" s="1"/>
  <c r="D344" i="14" s="1"/>
  <c r="D353" i="14" s="1"/>
  <c r="D362" i="14" s="1"/>
  <c r="D371" i="14" s="1"/>
  <c r="D380" i="14" s="1"/>
  <c r="D389" i="14" s="1"/>
  <c r="D398" i="14" s="1"/>
  <c r="D407" i="14" s="1"/>
  <c r="D416" i="14" s="1"/>
  <c r="D425" i="14" s="1"/>
  <c r="D434" i="14" s="1"/>
  <c r="D461" i="14" s="1"/>
  <c r="D470" i="14" s="1"/>
  <c r="D479" i="14" s="1"/>
  <c r="D488" i="14" s="1"/>
  <c r="D497" i="14" s="1"/>
  <c r="D506" i="14" s="1"/>
  <c r="D515" i="14" s="1"/>
  <c r="D524" i="14" s="1"/>
  <c r="D533" i="14" s="1"/>
  <c r="E2180" i="14"/>
  <c r="G2180" i="14" s="1"/>
  <c r="H2180" i="14"/>
  <c r="D3" i="14"/>
  <c r="D12" i="14" s="1"/>
  <c r="D21" i="14" s="1"/>
  <c r="D30" i="14" s="1"/>
  <c r="D39" i="14" s="1"/>
  <c r="D48" i="14" s="1"/>
  <c r="D57" i="14" s="1"/>
  <c r="D66" i="14" s="1"/>
  <c r="D75" i="14" s="1"/>
  <c r="D84" i="14" s="1"/>
  <c r="D93" i="14" s="1"/>
  <c r="D102" i="14" s="1"/>
  <c r="D111" i="14" s="1"/>
  <c r="D120" i="14" s="1"/>
  <c r="D129" i="14" s="1"/>
  <c r="D138" i="14" s="1"/>
  <c r="D147" i="14" s="1"/>
  <c r="D156" i="14" s="1"/>
  <c r="D165" i="14" s="1"/>
  <c r="D174" i="14" s="1"/>
  <c r="D183" i="14" s="1"/>
  <c r="D192" i="14" s="1"/>
  <c r="D201" i="14" s="1"/>
  <c r="D210" i="14" s="1"/>
  <c r="D219" i="14" s="1"/>
  <c r="D228" i="14" s="1"/>
  <c r="D237" i="14" s="1"/>
  <c r="D246" i="14" s="1"/>
  <c r="D255" i="14" s="1"/>
  <c r="D264" i="14" s="1"/>
  <c r="D273" i="14" s="1"/>
  <c r="D282" i="14" s="1"/>
  <c r="D291" i="14" s="1"/>
  <c r="D300" i="14" s="1"/>
  <c r="D309" i="14" s="1"/>
  <c r="D318" i="14" s="1"/>
  <c r="D327" i="14" s="1"/>
  <c r="D336" i="14" s="1"/>
  <c r="D345" i="14" s="1"/>
  <c r="D354" i="14" s="1"/>
  <c r="D363" i="14" s="1"/>
  <c r="D372" i="14" s="1"/>
  <c r="D381" i="14" s="1"/>
  <c r="D390" i="14" s="1"/>
  <c r="D399" i="14" s="1"/>
  <c r="D408" i="14" s="1"/>
  <c r="D417" i="14" s="1"/>
  <c r="D426" i="14" s="1"/>
  <c r="D435" i="14" s="1"/>
  <c r="D462" i="14" s="1"/>
  <c r="D471" i="14" s="1"/>
  <c r="D480" i="14" s="1"/>
  <c r="D489" i="14" s="1"/>
  <c r="D498" i="14" s="1"/>
  <c r="D507" i="14" s="1"/>
  <c r="D516" i="14" s="1"/>
  <c r="D525" i="14" s="1"/>
  <c r="D534" i="14" s="1"/>
  <c r="E2181" i="14"/>
  <c r="G2181" i="14" s="1"/>
  <c r="H2181" i="14"/>
  <c r="D4" i="14"/>
  <c r="D13" i="14" s="1"/>
  <c r="D22" i="14" s="1"/>
  <c r="D31" i="14" s="1"/>
  <c r="D40" i="14" s="1"/>
  <c r="D49" i="14" s="1"/>
  <c r="D58" i="14" s="1"/>
  <c r="D67" i="14" s="1"/>
  <c r="D76" i="14" s="1"/>
  <c r="D85" i="14" s="1"/>
  <c r="D94" i="14" s="1"/>
  <c r="D103" i="14" s="1"/>
  <c r="D112" i="14" s="1"/>
  <c r="D121" i="14" s="1"/>
  <c r="D130" i="14" s="1"/>
  <c r="D139" i="14" s="1"/>
  <c r="D148" i="14" s="1"/>
  <c r="D157" i="14" s="1"/>
  <c r="D166" i="14" s="1"/>
  <c r="D175" i="14" s="1"/>
  <c r="D184" i="14" s="1"/>
  <c r="D193" i="14" s="1"/>
  <c r="D202" i="14" s="1"/>
  <c r="D211" i="14" s="1"/>
  <c r="D220" i="14" s="1"/>
  <c r="D229" i="14" s="1"/>
  <c r="D238" i="14" s="1"/>
  <c r="D247" i="14" s="1"/>
  <c r="D256" i="14" s="1"/>
  <c r="D265" i="14" s="1"/>
  <c r="D274" i="14" s="1"/>
  <c r="D283" i="14" s="1"/>
  <c r="D292" i="14" s="1"/>
  <c r="D301" i="14" s="1"/>
  <c r="D310" i="14" s="1"/>
  <c r="D319" i="14" s="1"/>
  <c r="D328" i="14" s="1"/>
  <c r="D337" i="14" s="1"/>
  <c r="D346" i="14" s="1"/>
  <c r="D355" i="14" s="1"/>
  <c r="D364" i="14" s="1"/>
  <c r="D373" i="14" s="1"/>
  <c r="D382" i="14" s="1"/>
  <c r="D391" i="14" s="1"/>
  <c r="D400" i="14" s="1"/>
  <c r="D409" i="14" s="1"/>
  <c r="D418" i="14" s="1"/>
  <c r="D427" i="14" s="1"/>
  <c r="D436" i="14" s="1"/>
  <c r="D445" i="14" s="1"/>
  <c r="D454" i="14" s="1"/>
  <c r="E2182" i="14"/>
  <c r="G2182" i="14" s="1"/>
  <c r="H2182" i="14"/>
  <c r="D5" i="14"/>
  <c r="D14" i="14" s="1"/>
  <c r="D23" i="14" s="1"/>
  <c r="D32" i="14" s="1"/>
  <c r="D41" i="14" s="1"/>
  <c r="D50" i="14" s="1"/>
  <c r="D59" i="14" s="1"/>
  <c r="D68" i="14" s="1"/>
  <c r="D77" i="14" s="1"/>
  <c r="D86" i="14" s="1"/>
  <c r="D95" i="14" s="1"/>
  <c r="D104" i="14" s="1"/>
  <c r="D113" i="14" s="1"/>
  <c r="D122" i="14" s="1"/>
  <c r="D131" i="14" s="1"/>
  <c r="D140" i="14" s="1"/>
  <c r="D149" i="14" s="1"/>
  <c r="D158" i="14" s="1"/>
  <c r="D167" i="14" s="1"/>
  <c r="D176" i="14" s="1"/>
  <c r="D185" i="14" s="1"/>
  <c r="D194" i="14" s="1"/>
  <c r="D203" i="14" s="1"/>
  <c r="D212" i="14" s="1"/>
  <c r="D221" i="14" s="1"/>
  <c r="D230" i="14" s="1"/>
  <c r="D239" i="14" s="1"/>
  <c r="D248" i="14" s="1"/>
  <c r="D257" i="14" s="1"/>
  <c r="D266" i="14" s="1"/>
  <c r="D275" i="14" s="1"/>
  <c r="D284" i="14" s="1"/>
  <c r="D293" i="14" s="1"/>
  <c r="D302" i="14" s="1"/>
  <c r="D311" i="14" s="1"/>
  <c r="D320" i="14" s="1"/>
  <c r="D329" i="14" s="1"/>
  <c r="D338" i="14" s="1"/>
  <c r="D347" i="14" s="1"/>
  <c r="D356" i="14" s="1"/>
  <c r="D365" i="14" s="1"/>
  <c r="D374" i="14" s="1"/>
  <c r="D383" i="14" s="1"/>
  <c r="D392" i="14" s="1"/>
  <c r="D401" i="14" s="1"/>
  <c r="D410" i="14" s="1"/>
  <c r="D419" i="14" s="1"/>
  <c r="D428" i="14" s="1"/>
  <c r="D437" i="14" s="1"/>
  <c r="D464" i="14" s="1"/>
  <c r="D473" i="14" s="1"/>
  <c r="D482" i="14" s="1"/>
  <c r="D491" i="14" s="1"/>
  <c r="D500" i="14" s="1"/>
  <c r="D509" i="14" s="1"/>
  <c r="D518" i="14" s="1"/>
  <c r="D527" i="14" s="1"/>
  <c r="D536" i="14" s="1"/>
  <c r="E2183" i="14"/>
  <c r="G2183" i="14" s="1"/>
  <c r="H2183" i="14"/>
  <c r="D6" i="14"/>
  <c r="D15" i="14" s="1"/>
  <c r="D24" i="14" s="1"/>
  <c r="D33" i="14" s="1"/>
  <c r="D42" i="14" s="1"/>
  <c r="D51" i="14" s="1"/>
  <c r="D60" i="14" s="1"/>
  <c r="D69" i="14" s="1"/>
  <c r="D78" i="14" s="1"/>
  <c r="D87" i="14" s="1"/>
  <c r="D96" i="14" s="1"/>
  <c r="D105" i="14" s="1"/>
  <c r="D114" i="14" s="1"/>
  <c r="D123" i="14" s="1"/>
  <c r="D132" i="14" s="1"/>
  <c r="D141" i="14" s="1"/>
  <c r="D150" i="14" s="1"/>
  <c r="D159" i="14" s="1"/>
  <c r="D168" i="14" s="1"/>
  <c r="D177" i="14" s="1"/>
  <c r="D186" i="14" s="1"/>
  <c r="D195" i="14" s="1"/>
  <c r="D204" i="14" s="1"/>
  <c r="D213" i="14" s="1"/>
  <c r="D222" i="14" s="1"/>
  <c r="D231" i="14" s="1"/>
  <c r="D240" i="14" s="1"/>
  <c r="D249" i="14" s="1"/>
  <c r="D258" i="14" s="1"/>
  <c r="D267" i="14" s="1"/>
  <c r="D276" i="14" s="1"/>
  <c r="D285" i="14" s="1"/>
  <c r="D294" i="14" s="1"/>
  <c r="D303" i="14" s="1"/>
  <c r="D312" i="14" s="1"/>
  <c r="D321" i="14" s="1"/>
  <c r="D330" i="14" s="1"/>
  <c r="D339" i="14" s="1"/>
  <c r="D348" i="14" s="1"/>
  <c r="D357" i="14" s="1"/>
  <c r="D366" i="14" s="1"/>
  <c r="D375" i="14" s="1"/>
  <c r="D384" i="14" s="1"/>
  <c r="D393" i="14" s="1"/>
  <c r="D402" i="14" s="1"/>
  <c r="D411" i="14" s="1"/>
  <c r="D420" i="14" s="1"/>
  <c r="D429" i="14" s="1"/>
  <c r="D438" i="14" s="1"/>
  <c r="D465" i="14" s="1"/>
  <c r="D474" i="14" s="1"/>
  <c r="D483" i="14" s="1"/>
  <c r="D492" i="14" s="1"/>
  <c r="D501" i="14" s="1"/>
  <c r="D510" i="14" s="1"/>
  <c r="D519" i="14" s="1"/>
  <c r="D528" i="14" s="1"/>
  <c r="D537" i="14" s="1"/>
  <c r="E2184" i="14"/>
  <c r="G2184" i="14" s="1"/>
  <c r="H2184" i="14"/>
  <c r="D7" i="14"/>
  <c r="D16" i="14" s="1"/>
  <c r="D25" i="14" s="1"/>
  <c r="D34" i="14" s="1"/>
  <c r="D43" i="14" s="1"/>
  <c r="D52" i="14" s="1"/>
  <c r="D61" i="14" s="1"/>
  <c r="D70" i="14" s="1"/>
  <c r="D79" i="14" s="1"/>
  <c r="D88" i="14" s="1"/>
  <c r="D97" i="14" s="1"/>
  <c r="D106" i="14" s="1"/>
  <c r="D115" i="14" s="1"/>
  <c r="D124" i="14" s="1"/>
  <c r="D133" i="14" s="1"/>
  <c r="D142" i="14" s="1"/>
  <c r="D151" i="14" s="1"/>
  <c r="D160" i="14" s="1"/>
  <c r="D169" i="14" s="1"/>
  <c r="D178" i="14" s="1"/>
  <c r="D187" i="14" s="1"/>
  <c r="D196" i="14" s="1"/>
  <c r="D205" i="14" s="1"/>
  <c r="D214" i="14" s="1"/>
  <c r="D223" i="14" s="1"/>
  <c r="D232" i="14" s="1"/>
  <c r="D241" i="14" s="1"/>
  <c r="D250" i="14" s="1"/>
  <c r="D259" i="14" s="1"/>
  <c r="D268" i="14" s="1"/>
  <c r="D277" i="14" s="1"/>
  <c r="D286" i="14" s="1"/>
  <c r="D295" i="14" s="1"/>
  <c r="D304" i="14" s="1"/>
  <c r="D313" i="14" s="1"/>
  <c r="D322" i="14" s="1"/>
  <c r="D331" i="14" s="1"/>
  <c r="D340" i="14" s="1"/>
  <c r="D349" i="14" s="1"/>
  <c r="D358" i="14" s="1"/>
  <c r="D367" i="14" s="1"/>
  <c r="D376" i="14" s="1"/>
  <c r="D385" i="14" s="1"/>
  <c r="D394" i="14" s="1"/>
  <c r="D403" i="14" s="1"/>
  <c r="D412" i="14" s="1"/>
  <c r="D421" i="14" s="1"/>
  <c r="D430" i="14" s="1"/>
  <c r="D439" i="14" s="1"/>
  <c r="E2185" i="14"/>
  <c r="G2185" i="14" s="1"/>
  <c r="H2185" i="14"/>
  <c r="D8" i="14"/>
  <c r="D17" i="14" s="1"/>
  <c r="D26" i="14" s="1"/>
  <c r="D35" i="14" s="1"/>
  <c r="D44" i="14" s="1"/>
  <c r="D53" i="14" s="1"/>
  <c r="D62" i="14" s="1"/>
  <c r="D71" i="14" s="1"/>
  <c r="D80" i="14" s="1"/>
  <c r="D89" i="14" s="1"/>
  <c r="D98" i="14" s="1"/>
  <c r="D107" i="14" s="1"/>
  <c r="D116" i="14" s="1"/>
  <c r="D125" i="14" s="1"/>
  <c r="D134" i="14" s="1"/>
  <c r="D143" i="14" s="1"/>
  <c r="D152" i="14" s="1"/>
  <c r="D161" i="14" s="1"/>
  <c r="D170" i="14" s="1"/>
  <c r="D179" i="14" s="1"/>
  <c r="D188" i="14" s="1"/>
  <c r="D197" i="14" s="1"/>
  <c r="D206" i="14" s="1"/>
  <c r="D215" i="14" s="1"/>
  <c r="D224" i="14" s="1"/>
  <c r="D233" i="14" s="1"/>
  <c r="D242" i="14" s="1"/>
  <c r="D251" i="14" s="1"/>
  <c r="D260" i="14" s="1"/>
  <c r="D269" i="14" s="1"/>
  <c r="D278" i="14" s="1"/>
  <c r="D287" i="14" s="1"/>
  <c r="D296" i="14" s="1"/>
  <c r="D305" i="14" s="1"/>
  <c r="D314" i="14" s="1"/>
  <c r="D323" i="14" s="1"/>
  <c r="D332" i="14" s="1"/>
  <c r="D341" i="14" s="1"/>
  <c r="D350" i="14" s="1"/>
  <c r="D359" i="14" s="1"/>
  <c r="D368" i="14" s="1"/>
  <c r="D377" i="14" s="1"/>
  <c r="D386" i="14" s="1"/>
  <c r="D395" i="14" s="1"/>
  <c r="D404" i="14" s="1"/>
  <c r="D413" i="14" s="1"/>
  <c r="D422" i="14" s="1"/>
  <c r="D431" i="14" s="1"/>
  <c r="D440" i="14" s="1"/>
  <c r="E2186" i="14"/>
  <c r="G2186" i="14" s="1"/>
  <c r="H2186" i="14"/>
  <c r="D9" i="14"/>
  <c r="D18" i="14" s="1"/>
  <c r="D27" i="14" s="1"/>
  <c r="D36" i="14" s="1"/>
  <c r="D45" i="14" s="1"/>
  <c r="D54" i="14" s="1"/>
  <c r="D63" i="14" s="1"/>
  <c r="D72" i="14" s="1"/>
  <c r="D81" i="14" s="1"/>
  <c r="D90" i="14" s="1"/>
  <c r="D99" i="14" s="1"/>
  <c r="D108" i="14" s="1"/>
  <c r="D117" i="14" s="1"/>
  <c r="D126" i="14" s="1"/>
  <c r="D135" i="14" s="1"/>
  <c r="D144" i="14" s="1"/>
  <c r="D153" i="14" s="1"/>
  <c r="D162" i="14" s="1"/>
  <c r="D171" i="14" s="1"/>
  <c r="D180" i="14" s="1"/>
  <c r="D189" i="14" s="1"/>
  <c r="D198" i="14" s="1"/>
  <c r="D207" i="14" s="1"/>
  <c r="D216" i="14" s="1"/>
  <c r="D225" i="14" s="1"/>
  <c r="D234" i="14" s="1"/>
  <c r="D243" i="14" s="1"/>
  <c r="D252" i="14" s="1"/>
  <c r="D261" i="14" s="1"/>
  <c r="D270" i="14" s="1"/>
  <c r="D279" i="14" s="1"/>
  <c r="D288" i="14" s="1"/>
  <c r="D297" i="14" s="1"/>
  <c r="D306" i="14" s="1"/>
  <c r="D315" i="14" s="1"/>
  <c r="D324" i="14" s="1"/>
  <c r="D333" i="14" s="1"/>
  <c r="D342" i="14" s="1"/>
  <c r="D351" i="14" s="1"/>
  <c r="D360" i="14" s="1"/>
  <c r="D369" i="14" s="1"/>
  <c r="D378" i="14" s="1"/>
  <c r="D387" i="14" s="1"/>
  <c r="D396" i="14" s="1"/>
  <c r="D405" i="14" s="1"/>
  <c r="D414" i="14" s="1"/>
  <c r="D423" i="14" s="1"/>
  <c r="D432" i="14" s="1"/>
  <c r="D441" i="14" s="1"/>
  <c r="E2187" i="14"/>
  <c r="G2187" i="14" s="1"/>
  <c r="H2187" i="14"/>
  <c r="D10" i="14"/>
  <c r="D19" i="14" s="1"/>
  <c r="D28" i="14" s="1"/>
  <c r="D37" i="14" s="1"/>
  <c r="D46" i="14" s="1"/>
  <c r="D55" i="14" s="1"/>
  <c r="D64" i="14" s="1"/>
  <c r="D73" i="14" s="1"/>
  <c r="D82" i="14" s="1"/>
  <c r="D91" i="14" s="1"/>
  <c r="D100" i="14" s="1"/>
  <c r="D109" i="14" s="1"/>
  <c r="D118" i="14" s="1"/>
  <c r="D127" i="14" s="1"/>
  <c r="D136" i="14" s="1"/>
  <c r="D145" i="14" s="1"/>
  <c r="D154" i="14" s="1"/>
  <c r="D163" i="14" s="1"/>
  <c r="D172" i="14" s="1"/>
  <c r="D181" i="14" s="1"/>
  <c r="D190" i="14" s="1"/>
  <c r="D199" i="14" s="1"/>
  <c r="D208" i="14" s="1"/>
  <c r="D217" i="14" s="1"/>
  <c r="D226" i="14" s="1"/>
  <c r="D235" i="14" s="1"/>
  <c r="D244" i="14" s="1"/>
  <c r="D253" i="14" s="1"/>
  <c r="D262" i="14" s="1"/>
  <c r="D271" i="14" s="1"/>
  <c r="D280" i="14" s="1"/>
  <c r="D289" i="14" s="1"/>
  <c r="D298" i="14" s="1"/>
  <c r="D307" i="14" s="1"/>
  <c r="D316" i="14" s="1"/>
  <c r="D325" i="14" s="1"/>
  <c r="D334" i="14" s="1"/>
  <c r="D343" i="14" s="1"/>
  <c r="D352" i="14" s="1"/>
  <c r="D361" i="14" s="1"/>
  <c r="D370" i="14" s="1"/>
  <c r="D379" i="14" s="1"/>
  <c r="D388" i="14" s="1"/>
  <c r="D397" i="14" s="1"/>
  <c r="D406" i="14" s="1"/>
  <c r="D415" i="14" s="1"/>
  <c r="D424" i="14" s="1"/>
  <c r="D433" i="14" s="1"/>
  <c r="D442" i="14" s="1"/>
  <c r="E2188" i="14"/>
  <c r="G2188" i="14" s="1"/>
  <c r="H2188" i="14"/>
  <c r="E803" i="14"/>
  <c r="G803" i="14" s="1"/>
  <c r="H803" i="14"/>
  <c r="E804" i="14"/>
  <c r="G804" i="14" s="1"/>
  <c r="H804" i="14"/>
  <c r="E805" i="14"/>
  <c r="G805" i="14" s="1"/>
  <c r="H805" i="14"/>
  <c r="E806" i="14"/>
  <c r="G806" i="14" s="1"/>
  <c r="H806" i="14"/>
  <c r="E807" i="14"/>
  <c r="G807" i="14" s="1"/>
  <c r="H807" i="14"/>
  <c r="E808" i="14"/>
  <c r="G808" i="14" s="1"/>
  <c r="H808" i="14"/>
  <c r="E809" i="14"/>
  <c r="G809" i="14" s="1"/>
  <c r="H809" i="14"/>
  <c r="E810" i="14"/>
  <c r="G810" i="14" s="1"/>
  <c r="H810" i="14"/>
  <c r="E811" i="14"/>
  <c r="G811" i="14" s="1"/>
  <c r="H811" i="14"/>
  <c r="E812" i="14"/>
  <c r="G812" i="14" s="1"/>
  <c r="H812" i="14"/>
  <c r="E813" i="14"/>
  <c r="G813" i="14" s="1"/>
  <c r="H813" i="14"/>
  <c r="E814" i="14"/>
  <c r="G814" i="14" s="1"/>
  <c r="H814" i="14"/>
  <c r="E815" i="14"/>
  <c r="G815" i="14" s="1"/>
  <c r="H815" i="14"/>
  <c r="E816" i="14"/>
  <c r="G816" i="14" s="1"/>
  <c r="H816" i="14"/>
  <c r="E817" i="14"/>
  <c r="G817" i="14" s="1"/>
  <c r="H817" i="14"/>
  <c r="E818" i="14"/>
  <c r="G818" i="14" s="1"/>
  <c r="H818" i="14"/>
  <c r="E819" i="14"/>
  <c r="G819" i="14" s="1"/>
  <c r="H819" i="14"/>
  <c r="E820" i="14"/>
  <c r="G820" i="14" s="1"/>
  <c r="H820" i="14"/>
  <c r="H6023" i="13"/>
  <c r="J6023" i="13" s="1"/>
  <c r="K6023" i="13"/>
  <c r="H6024" i="13"/>
  <c r="J6024" i="13" s="1"/>
  <c r="K6024" i="13"/>
  <c r="H6025" i="13"/>
  <c r="J6025" i="13" s="1"/>
  <c r="K6025" i="13"/>
  <c r="H6026" i="13"/>
  <c r="J6026" i="13" s="1"/>
  <c r="K6026" i="13"/>
  <c r="H6027" i="13"/>
  <c r="J6027" i="13" s="1"/>
  <c r="K6027" i="13"/>
  <c r="H6028" i="13"/>
  <c r="J6028" i="13" s="1"/>
  <c r="K6028" i="13"/>
  <c r="H6029" i="13"/>
  <c r="J6029" i="13" s="1"/>
  <c r="K6029" i="13"/>
  <c r="H6030" i="13"/>
  <c r="J6030" i="13" s="1"/>
  <c r="K6030" i="13"/>
  <c r="H6031" i="13"/>
  <c r="J6031" i="13" s="1"/>
  <c r="K6031" i="13"/>
  <c r="K6032" i="13"/>
  <c r="H6033" i="13"/>
  <c r="J6033" i="13" s="1"/>
  <c r="K6033" i="13"/>
  <c r="H6034" i="13"/>
  <c r="J6034" i="13" s="1"/>
  <c r="K6034" i="13"/>
  <c r="H6035" i="13"/>
  <c r="J6035" i="13" s="1"/>
  <c r="K6035" i="13"/>
  <c r="H6036" i="13"/>
  <c r="J6036" i="13" s="1"/>
  <c r="K6036" i="13"/>
  <c r="H6037" i="13"/>
  <c r="J6037" i="13" s="1"/>
  <c r="K6037" i="13"/>
  <c r="H6038" i="13"/>
  <c r="J6038" i="13" s="1"/>
  <c r="K6038" i="13"/>
  <c r="H6039" i="13"/>
  <c r="J6039" i="13" s="1"/>
  <c r="K6039" i="13"/>
  <c r="H6040" i="13"/>
  <c r="J6040" i="13" s="1"/>
  <c r="K6040" i="13"/>
  <c r="K6041" i="13"/>
  <c r="H6042" i="13"/>
  <c r="J6042" i="13" s="1"/>
  <c r="K6042" i="13"/>
  <c r="H6043" i="13"/>
  <c r="J6043" i="13" s="1"/>
  <c r="K6043" i="13"/>
  <c r="H6044" i="13"/>
  <c r="J6044" i="13" s="1"/>
  <c r="K6044" i="13"/>
  <c r="H6045" i="13"/>
  <c r="J6045" i="13" s="1"/>
  <c r="K6045" i="13"/>
  <c r="H6046" i="13"/>
  <c r="J6046" i="13" s="1"/>
  <c r="K6046" i="13"/>
  <c r="H6047" i="13"/>
  <c r="J6047" i="13" s="1"/>
  <c r="K6047" i="13"/>
  <c r="H6048" i="13"/>
  <c r="J6048" i="13" s="1"/>
  <c r="K6048" i="13"/>
  <c r="H6049" i="13"/>
  <c r="J6049" i="13" s="1"/>
  <c r="K6049" i="13"/>
  <c r="K6014" i="13"/>
  <c r="H6015" i="13"/>
  <c r="J6015" i="13" s="1"/>
  <c r="K6015" i="13"/>
  <c r="H6016" i="13"/>
  <c r="J6016" i="13" s="1"/>
  <c r="K6016" i="13"/>
  <c r="H6017" i="13"/>
  <c r="J6017" i="13" s="1"/>
  <c r="K6017" i="13"/>
  <c r="H6018" i="13"/>
  <c r="J6018" i="13" s="1"/>
  <c r="K6018" i="13"/>
  <c r="H6019" i="13"/>
  <c r="J6019" i="13" s="1"/>
  <c r="K6019" i="13"/>
  <c r="H6020" i="13"/>
  <c r="J6020" i="13" s="1"/>
  <c r="K6020" i="13"/>
  <c r="H6021" i="13"/>
  <c r="J6021" i="13" s="1"/>
  <c r="K6021" i="13"/>
  <c r="H6022" i="13"/>
  <c r="J6022" i="13" s="1"/>
  <c r="K6022" i="13"/>
  <c r="H5951" i="13"/>
  <c r="J5951" i="13" s="1"/>
  <c r="K5951" i="13"/>
  <c r="H5952" i="13"/>
  <c r="J5952" i="13" s="1"/>
  <c r="K5952" i="13"/>
  <c r="H5953" i="13"/>
  <c r="J5953" i="13" s="1"/>
  <c r="K5953" i="13"/>
  <c r="H5954" i="13"/>
  <c r="J5954" i="13" s="1"/>
  <c r="K5954" i="13"/>
  <c r="H5955" i="13"/>
  <c r="J5955" i="13" s="1"/>
  <c r="K5955" i="13"/>
  <c r="H5956" i="13"/>
  <c r="J5956" i="13" s="1"/>
  <c r="K5956" i="13"/>
  <c r="H5957" i="13"/>
  <c r="J5957" i="13" s="1"/>
  <c r="K5957" i="13"/>
  <c r="H5958" i="13"/>
  <c r="J5958" i="13" s="1"/>
  <c r="K5958" i="13"/>
  <c r="H5959" i="13"/>
  <c r="J5959" i="13" s="1"/>
  <c r="K5959" i="13"/>
  <c r="H5960" i="13"/>
  <c r="J5960" i="13" s="1"/>
  <c r="K5960" i="13"/>
  <c r="H5961" i="13"/>
  <c r="J5961" i="13" s="1"/>
  <c r="K5961" i="13"/>
  <c r="H5962" i="13"/>
  <c r="J5962" i="13" s="1"/>
  <c r="K5962" i="13"/>
  <c r="H5963" i="13"/>
  <c r="J5963" i="13" s="1"/>
  <c r="K5963" i="13"/>
  <c r="H5964" i="13"/>
  <c r="J5964" i="13" s="1"/>
  <c r="K5964" i="13"/>
  <c r="H5965" i="13"/>
  <c r="J5965" i="13" s="1"/>
  <c r="K5965" i="13"/>
  <c r="H5966" i="13"/>
  <c r="J5966" i="13" s="1"/>
  <c r="K5966" i="13"/>
  <c r="H5967" i="13"/>
  <c r="J5967" i="13" s="1"/>
  <c r="K5967" i="13"/>
  <c r="H5968" i="13"/>
  <c r="J5968" i="13" s="1"/>
  <c r="K5968" i="13"/>
  <c r="H5969" i="13"/>
  <c r="J5969" i="13" s="1"/>
  <c r="K5969" i="13"/>
  <c r="H5970" i="13"/>
  <c r="J5970" i="13" s="1"/>
  <c r="K5970" i="13"/>
  <c r="H5971" i="13"/>
  <c r="J5971" i="13" s="1"/>
  <c r="K5971" i="13"/>
  <c r="H5972" i="13"/>
  <c r="J5972" i="13" s="1"/>
  <c r="K5972" i="13"/>
  <c r="H5973" i="13"/>
  <c r="J5973" i="13" s="1"/>
  <c r="K5973" i="13"/>
  <c r="H5974" i="13"/>
  <c r="J5974" i="13" s="1"/>
  <c r="K5974" i="13"/>
  <c r="H5975" i="13"/>
  <c r="J5975" i="13" s="1"/>
  <c r="K5975" i="13"/>
  <c r="H5976" i="13"/>
  <c r="J5976" i="13" s="1"/>
  <c r="K5976" i="13"/>
  <c r="H5977" i="13"/>
  <c r="J5977" i="13" s="1"/>
  <c r="K5977" i="13"/>
  <c r="H5978" i="13"/>
  <c r="J5978" i="13" s="1"/>
  <c r="K5978" i="13"/>
  <c r="H5979" i="13"/>
  <c r="J5979" i="13" s="1"/>
  <c r="K5979" i="13"/>
  <c r="H5980" i="13"/>
  <c r="J5980" i="13" s="1"/>
  <c r="K5980" i="13"/>
  <c r="H5981" i="13"/>
  <c r="J5981" i="13" s="1"/>
  <c r="K5981" i="13"/>
  <c r="H5982" i="13"/>
  <c r="J5982" i="13" s="1"/>
  <c r="K5982" i="13"/>
  <c r="H5983" i="13"/>
  <c r="J5983" i="13" s="1"/>
  <c r="K5983" i="13"/>
  <c r="H5984" i="13"/>
  <c r="J5984" i="13" s="1"/>
  <c r="K5984" i="13"/>
  <c r="H5985" i="13"/>
  <c r="J5985" i="13" s="1"/>
  <c r="K5985" i="13"/>
  <c r="H5986" i="13"/>
  <c r="J5986" i="13" s="1"/>
  <c r="K5986" i="13"/>
  <c r="K5987" i="13"/>
  <c r="H5988" i="13"/>
  <c r="J5988" i="13" s="1"/>
  <c r="K5988" i="13"/>
  <c r="H5989" i="13"/>
  <c r="J5989" i="13" s="1"/>
  <c r="K5989" i="13"/>
  <c r="H5990" i="13"/>
  <c r="J5990" i="13" s="1"/>
  <c r="K5990" i="13"/>
  <c r="H5991" i="13"/>
  <c r="J5991" i="13" s="1"/>
  <c r="K5991" i="13"/>
  <c r="H5992" i="13"/>
  <c r="J5992" i="13" s="1"/>
  <c r="K5992" i="13"/>
  <c r="H5993" i="13"/>
  <c r="J5993" i="13" s="1"/>
  <c r="K5993" i="13"/>
  <c r="H5994" i="13"/>
  <c r="J5994" i="13" s="1"/>
  <c r="K5994" i="13"/>
  <c r="H5995" i="13"/>
  <c r="J5995" i="13" s="1"/>
  <c r="K5995" i="13"/>
  <c r="H5996" i="13"/>
  <c r="J5996" i="13" s="1"/>
  <c r="K5996" i="13"/>
  <c r="H5997" i="13"/>
  <c r="J5997" i="13" s="1"/>
  <c r="K5997" i="13"/>
  <c r="H5998" i="13"/>
  <c r="J5998" i="13" s="1"/>
  <c r="K5998" i="13"/>
  <c r="H5999" i="13"/>
  <c r="J5999" i="13" s="1"/>
  <c r="K5999" i="13"/>
  <c r="H6000" i="13"/>
  <c r="J6000" i="13" s="1"/>
  <c r="K6000" i="13"/>
  <c r="H6001" i="13"/>
  <c r="J6001" i="13" s="1"/>
  <c r="K6001" i="13"/>
  <c r="H6002" i="13"/>
  <c r="J6002" i="13" s="1"/>
  <c r="K6002" i="13"/>
  <c r="H6003" i="13"/>
  <c r="J6003" i="13" s="1"/>
  <c r="K6003" i="13"/>
  <c r="H6004" i="13"/>
  <c r="J6004" i="13" s="1"/>
  <c r="K6004" i="13"/>
  <c r="H6005" i="13"/>
  <c r="J6005" i="13" s="1"/>
  <c r="K6005" i="13"/>
  <c r="H6006" i="13"/>
  <c r="J6006" i="13" s="1"/>
  <c r="K6006" i="13"/>
  <c r="H6007" i="13"/>
  <c r="J6007" i="13" s="1"/>
  <c r="K6007" i="13"/>
  <c r="H6008" i="13"/>
  <c r="J6008" i="13" s="1"/>
  <c r="K6008" i="13"/>
  <c r="H6009" i="13"/>
  <c r="J6009" i="13" s="1"/>
  <c r="K6009" i="13"/>
  <c r="H6010" i="13"/>
  <c r="J6010" i="13" s="1"/>
  <c r="K6010" i="13"/>
  <c r="H6011" i="13"/>
  <c r="J6011" i="13" s="1"/>
  <c r="K6011" i="13"/>
  <c r="H6012" i="13"/>
  <c r="J6012" i="13" s="1"/>
  <c r="K6012" i="13"/>
  <c r="H6013" i="13"/>
  <c r="J6013" i="13" s="1"/>
  <c r="K6013" i="13"/>
  <c r="H3215" i="13"/>
  <c r="J3215" i="13" s="1"/>
  <c r="K3215" i="13"/>
  <c r="H3216" i="13"/>
  <c r="J3216" i="13" s="1"/>
  <c r="K3216" i="13"/>
  <c r="H3217" i="13"/>
  <c r="J3217" i="13" s="1"/>
  <c r="K3217" i="13"/>
  <c r="H3218" i="13"/>
  <c r="J3218" i="13" s="1"/>
  <c r="K3218" i="13"/>
  <c r="H3219" i="13"/>
  <c r="J3219" i="13" s="1"/>
  <c r="K3219" i="13"/>
  <c r="H3220" i="13"/>
  <c r="J3220" i="13" s="1"/>
  <c r="K3220" i="13"/>
  <c r="H3221" i="13"/>
  <c r="J3221" i="13" s="1"/>
  <c r="K3221" i="13"/>
  <c r="H3222" i="13"/>
  <c r="J3222" i="13" s="1"/>
  <c r="K3222" i="13"/>
  <c r="H3223" i="13"/>
  <c r="J3223" i="13" s="1"/>
  <c r="K3223" i="13"/>
  <c r="K955" i="13"/>
  <c r="H955" i="13"/>
  <c r="J955" i="13" s="1"/>
  <c r="K954" i="13"/>
  <c r="H954" i="13"/>
  <c r="J954" i="13" s="1"/>
  <c r="K953" i="13"/>
  <c r="H953" i="13"/>
  <c r="J953" i="13" s="1"/>
  <c r="K952" i="13"/>
  <c r="H952" i="13"/>
  <c r="J952" i="13" s="1"/>
  <c r="K951" i="13"/>
  <c r="H951" i="13"/>
  <c r="J951" i="13" s="1"/>
  <c r="K950" i="13"/>
  <c r="H950" i="13"/>
  <c r="J950" i="13" s="1"/>
  <c r="K949" i="13"/>
  <c r="H949" i="13"/>
  <c r="J949" i="13" s="1"/>
  <c r="K948" i="13"/>
  <c r="H948" i="13"/>
  <c r="J948" i="13" s="1"/>
  <c r="K947" i="13"/>
  <c r="H515" i="13"/>
  <c r="J515" i="13" s="1"/>
  <c r="H335" i="13"/>
  <c r="J335" i="13" s="1"/>
  <c r="K343" i="13"/>
  <c r="H343" i="13"/>
  <c r="J343" i="13" s="1"/>
  <c r="K342" i="13"/>
  <c r="H342" i="13"/>
  <c r="J342" i="13" s="1"/>
  <c r="K341" i="13"/>
  <c r="H341" i="13"/>
  <c r="J341" i="13" s="1"/>
  <c r="K340" i="13"/>
  <c r="H340" i="13"/>
  <c r="J340" i="13" s="1"/>
  <c r="K339" i="13"/>
  <c r="H339" i="13"/>
  <c r="J339" i="13" s="1"/>
  <c r="K338" i="13"/>
  <c r="H338" i="13"/>
  <c r="J338" i="13" s="1"/>
  <c r="K337" i="13"/>
  <c r="H337" i="13"/>
  <c r="J337" i="13" s="1"/>
  <c r="K336" i="13"/>
  <c r="H336" i="13"/>
  <c r="J336" i="13" s="1"/>
  <c r="K335" i="13"/>
  <c r="K406" i="13"/>
  <c r="H406" i="13"/>
  <c r="J406" i="13" s="1"/>
  <c r="K405" i="13"/>
  <c r="H405" i="13"/>
  <c r="J405" i="13" s="1"/>
  <c r="K404" i="13"/>
  <c r="H404" i="13"/>
  <c r="J404" i="13" s="1"/>
  <c r="K403" i="13"/>
  <c r="H403" i="13"/>
  <c r="J403" i="13" s="1"/>
  <c r="K402" i="13"/>
  <c r="H402" i="13"/>
  <c r="J402" i="13" s="1"/>
  <c r="K401" i="13"/>
  <c r="H401" i="13"/>
  <c r="J401" i="13" s="1"/>
  <c r="K400" i="13"/>
  <c r="H400" i="13"/>
  <c r="J400" i="13" s="1"/>
  <c r="K399" i="13"/>
  <c r="H399" i="13"/>
  <c r="J399" i="13" s="1"/>
  <c r="K398" i="13"/>
  <c r="H398" i="13"/>
  <c r="J398" i="13" s="1"/>
  <c r="H4106" i="13"/>
  <c r="J4106" i="13" s="1"/>
  <c r="H4114" i="13"/>
  <c r="J4114" i="13" s="1"/>
  <c r="H4113" i="13"/>
  <c r="J4113" i="13" s="1"/>
  <c r="H4112" i="13"/>
  <c r="J4112" i="13" s="1"/>
  <c r="H4111" i="13"/>
  <c r="J4111" i="13" s="1"/>
  <c r="H4110" i="13"/>
  <c r="J4110" i="13" s="1"/>
  <c r="H4109" i="13"/>
  <c r="J4109" i="13" s="1"/>
  <c r="H4108" i="13"/>
  <c r="J4108" i="13" s="1"/>
  <c r="H4107" i="13"/>
  <c r="J4107" i="13" s="1"/>
  <c r="H4079" i="13"/>
  <c r="J4079" i="13" s="1"/>
  <c r="H4087" i="13"/>
  <c r="J4087" i="13" s="1"/>
  <c r="H4086" i="13"/>
  <c r="J4086" i="13" s="1"/>
  <c r="H4085" i="13"/>
  <c r="J4085" i="13" s="1"/>
  <c r="H4084" i="13"/>
  <c r="J4084" i="13" s="1"/>
  <c r="H4083" i="13"/>
  <c r="J4083" i="13" s="1"/>
  <c r="H4082" i="13"/>
  <c r="J4082" i="13" s="1"/>
  <c r="H4081" i="13"/>
  <c r="J4081" i="13" s="1"/>
  <c r="H4080" i="13"/>
  <c r="J4080" i="13" s="1"/>
  <c r="H910" i="13"/>
  <c r="J910" i="13" s="1"/>
  <c r="H909" i="13"/>
  <c r="J909" i="13" s="1"/>
  <c r="H908" i="13"/>
  <c r="J908" i="13" s="1"/>
  <c r="H907" i="13"/>
  <c r="J907" i="13" s="1"/>
  <c r="H906" i="13"/>
  <c r="J906" i="13" s="1"/>
  <c r="H905" i="13"/>
  <c r="J905" i="13" s="1"/>
  <c r="H904" i="13"/>
  <c r="J904" i="13" s="1"/>
  <c r="H903" i="13"/>
  <c r="J903" i="13" s="1"/>
  <c r="H605" i="13"/>
  <c r="J605" i="13" s="1"/>
  <c r="H4096" i="13"/>
  <c r="J4096" i="13" s="1"/>
  <c r="H4095" i="13"/>
  <c r="J4095" i="13" s="1"/>
  <c r="H4094" i="13"/>
  <c r="J4094" i="13" s="1"/>
  <c r="H4093" i="13"/>
  <c r="J4093" i="13" s="1"/>
  <c r="H4092" i="13"/>
  <c r="J4092" i="13" s="1"/>
  <c r="H4091" i="13"/>
  <c r="J4091" i="13" s="1"/>
  <c r="H4090" i="13"/>
  <c r="J4090" i="13" s="1"/>
  <c r="H4089" i="13"/>
  <c r="J4089" i="13" s="1"/>
  <c r="H613" i="13"/>
  <c r="J613" i="13" s="1"/>
  <c r="H612" i="13"/>
  <c r="J612" i="13" s="1"/>
  <c r="H611" i="13"/>
  <c r="J611" i="13" s="1"/>
  <c r="H610" i="13"/>
  <c r="J610" i="13" s="1"/>
  <c r="H609" i="13"/>
  <c r="J609" i="13" s="1"/>
  <c r="H608" i="13"/>
  <c r="J608" i="13" s="1"/>
  <c r="H607" i="13"/>
  <c r="J607" i="13" s="1"/>
  <c r="H606" i="13"/>
  <c r="J606" i="13" s="1"/>
  <c r="H523" i="13"/>
  <c r="J523" i="13" s="1"/>
  <c r="H522" i="13"/>
  <c r="J522" i="13" s="1"/>
  <c r="H521" i="13"/>
  <c r="J521" i="13" s="1"/>
  <c r="H520" i="13"/>
  <c r="J520" i="13" s="1"/>
  <c r="H519" i="13"/>
  <c r="J519" i="13" s="1"/>
  <c r="H518" i="13"/>
  <c r="J518" i="13" s="1"/>
  <c r="H517" i="13"/>
  <c r="J517" i="13" s="1"/>
  <c r="H516" i="13"/>
  <c r="J516" i="13" s="1"/>
  <c r="H677" i="14"/>
  <c r="E678" i="14"/>
  <c r="G678" i="14" s="1"/>
  <c r="H678" i="14"/>
  <c r="E679" i="14"/>
  <c r="G679" i="14" s="1"/>
  <c r="H679" i="14"/>
  <c r="E680" i="14"/>
  <c r="G680" i="14" s="1"/>
  <c r="H680" i="14"/>
  <c r="E681" i="14"/>
  <c r="G681" i="14" s="1"/>
  <c r="H681" i="14"/>
  <c r="E682" i="14"/>
  <c r="G682" i="14" s="1"/>
  <c r="H682" i="14"/>
  <c r="E683" i="14"/>
  <c r="G683" i="14" s="1"/>
  <c r="H683" i="14"/>
  <c r="E684" i="14"/>
  <c r="G684" i="14" s="1"/>
  <c r="H684" i="14"/>
  <c r="E685" i="14"/>
  <c r="G685" i="14" s="1"/>
  <c r="H685" i="14"/>
  <c r="E686" i="14"/>
  <c r="G686" i="14" s="1"/>
  <c r="H686" i="14"/>
  <c r="E687" i="14"/>
  <c r="G687" i="14" s="1"/>
  <c r="H687" i="14"/>
  <c r="E688" i="14"/>
  <c r="G688" i="14" s="1"/>
  <c r="H688" i="14"/>
  <c r="E689" i="14"/>
  <c r="G689" i="14" s="1"/>
  <c r="H689" i="14"/>
  <c r="E690" i="14"/>
  <c r="G690" i="14" s="1"/>
  <c r="H690" i="14"/>
  <c r="E691" i="14"/>
  <c r="G691" i="14" s="1"/>
  <c r="H691" i="14"/>
  <c r="E692" i="14"/>
  <c r="G692" i="14" s="1"/>
  <c r="H692" i="14"/>
  <c r="E693" i="14"/>
  <c r="G693" i="14" s="1"/>
  <c r="H693" i="14"/>
  <c r="E694" i="14"/>
  <c r="G694" i="14" s="1"/>
  <c r="H694" i="14"/>
  <c r="E695" i="14"/>
  <c r="G695" i="14" s="1"/>
  <c r="H695" i="14"/>
  <c r="E696" i="14"/>
  <c r="G696" i="14" s="1"/>
  <c r="H696" i="14"/>
  <c r="E697" i="14"/>
  <c r="G697" i="14" s="1"/>
  <c r="H697" i="14"/>
  <c r="E698" i="14"/>
  <c r="G698" i="14" s="1"/>
  <c r="H698" i="14"/>
  <c r="E699" i="14"/>
  <c r="G699" i="14" s="1"/>
  <c r="H699" i="14"/>
  <c r="E700" i="14"/>
  <c r="G700" i="14" s="1"/>
  <c r="H700" i="14"/>
  <c r="E701" i="14"/>
  <c r="G701" i="14" s="1"/>
  <c r="H701" i="14"/>
  <c r="E702" i="14"/>
  <c r="G702" i="14" s="1"/>
  <c r="H702" i="14"/>
  <c r="E703" i="14"/>
  <c r="G703" i="14" s="1"/>
  <c r="H703" i="14"/>
  <c r="E676" i="14"/>
  <c r="G676" i="14" s="1"/>
  <c r="E675" i="14"/>
  <c r="G675" i="14" s="1"/>
  <c r="E674" i="14"/>
  <c r="G674" i="14" s="1"/>
  <c r="E673" i="14"/>
  <c r="G673" i="14" s="1"/>
  <c r="E672" i="14"/>
  <c r="G672" i="14" s="1"/>
  <c r="E671" i="14"/>
  <c r="G671" i="14" s="1"/>
  <c r="E670" i="14"/>
  <c r="G670" i="14" s="1"/>
  <c r="E669" i="14"/>
  <c r="G669" i="14" s="1"/>
  <c r="K3206" i="13"/>
  <c r="H3207" i="13"/>
  <c r="J3207" i="13" s="1"/>
  <c r="K3207" i="13"/>
  <c r="H3208" i="13"/>
  <c r="J3208" i="13" s="1"/>
  <c r="K3208" i="13"/>
  <c r="H3209" i="13"/>
  <c r="J3209" i="13" s="1"/>
  <c r="K3209" i="13"/>
  <c r="H3210" i="13"/>
  <c r="J3210" i="13" s="1"/>
  <c r="K3210" i="13"/>
  <c r="H3211" i="13"/>
  <c r="J3211" i="13" s="1"/>
  <c r="K3211" i="13"/>
  <c r="H3212" i="13"/>
  <c r="J3212" i="13" s="1"/>
  <c r="K3212" i="13"/>
  <c r="H3213" i="13"/>
  <c r="J3213" i="13" s="1"/>
  <c r="K3213" i="13"/>
  <c r="H3214" i="13"/>
  <c r="J3214" i="13" s="1"/>
  <c r="K3214" i="13"/>
  <c r="E623" i="14"/>
  <c r="G623" i="14" s="1"/>
  <c r="H623" i="14"/>
  <c r="E624" i="14"/>
  <c r="G624" i="14" s="1"/>
  <c r="H624" i="14"/>
  <c r="E625" i="14"/>
  <c r="G625" i="14" s="1"/>
  <c r="H625" i="14"/>
  <c r="E626" i="14"/>
  <c r="G626" i="14" s="1"/>
  <c r="H626" i="14"/>
  <c r="E627" i="14"/>
  <c r="G627" i="14" s="1"/>
  <c r="H627" i="14"/>
  <c r="E628" i="14"/>
  <c r="G628" i="14" s="1"/>
  <c r="H628" i="14"/>
  <c r="E629" i="14"/>
  <c r="G629" i="14" s="1"/>
  <c r="H629" i="14"/>
  <c r="E630" i="14"/>
  <c r="G630" i="14" s="1"/>
  <c r="H630" i="14"/>
  <c r="E631" i="14"/>
  <c r="G631" i="14" s="1"/>
  <c r="H631" i="14"/>
  <c r="H5933" i="13"/>
  <c r="J5933" i="13" s="1"/>
  <c r="K5933" i="13"/>
  <c r="H5934" i="13"/>
  <c r="J5934" i="13" s="1"/>
  <c r="K5934" i="13"/>
  <c r="H5935" i="13"/>
  <c r="J5935" i="13" s="1"/>
  <c r="K5935" i="13"/>
  <c r="H5936" i="13"/>
  <c r="J5936" i="13" s="1"/>
  <c r="K5936" i="13"/>
  <c r="H5937" i="13"/>
  <c r="J5937" i="13" s="1"/>
  <c r="K5937" i="13"/>
  <c r="H5938" i="13"/>
  <c r="J5938" i="13" s="1"/>
  <c r="K5938" i="13"/>
  <c r="H5939" i="13"/>
  <c r="J5939" i="13" s="1"/>
  <c r="K5939" i="13"/>
  <c r="H5940" i="13"/>
  <c r="J5940" i="13" s="1"/>
  <c r="K5940" i="13"/>
  <c r="H5941" i="13"/>
  <c r="J5941" i="13" s="1"/>
  <c r="K5941" i="13"/>
  <c r="H5942" i="13"/>
  <c r="J5942" i="13" s="1"/>
  <c r="K5942" i="13"/>
  <c r="H5943" i="13"/>
  <c r="J5943" i="13" s="1"/>
  <c r="K5943" i="13"/>
  <c r="H5944" i="13"/>
  <c r="J5944" i="13" s="1"/>
  <c r="K5944" i="13"/>
  <c r="H5945" i="13"/>
  <c r="J5945" i="13" s="1"/>
  <c r="K5945" i="13"/>
  <c r="H5946" i="13"/>
  <c r="J5946" i="13" s="1"/>
  <c r="K5946" i="13"/>
  <c r="H5947" i="13"/>
  <c r="J5947" i="13" s="1"/>
  <c r="K5947" i="13"/>
  <c r="H5948" i="13"/>
  <c r="J5948" i="13" s="1"/>
  <c r="K5948" i="13"/>
  <c r="H5949" i="13"/>
  <c r="J5949" i="13" s="1"/>
  <c r="K5949" i="13"/>
  <c r="H5950" i="13"/>
  <c r="J5950" i="13" s="1"/>
  <c r="K5950" i="13"/>
  <c r="K3161" i="13"/>
  <c r="H3162" i="13"/>
  <c r="J3162" i="13" s="1"/>
  <c r="K3162" i="13"/>
  <c r="H3163" i="13"/>
  <c r="J3163" i="13" s="1"/>
  <c r="K3163" i="13"/>
  <c r="H3164" i="13"/>
  <c r="J3164" i="13" s="1"/>
  <c r="K3164" i="13"/>
  <c r="H3165" i="13"/>
  <c r="J3165" i="13" s="1"/>
  <c r="K3165" i="13"/>
  <c r="H3166" i="13"/>
  <c r="J3166" i="13" s="1"/>
  <c r="K3166" i="13"/>
  <c r="H3167" i="13"/>
  <c r="J3167" i="13" s="1"/>
  <c r="K3167" i="13"/>
  <c r="H3168" i="13"/>
  <c r="J3168" i="13" s="1"/>
  <c r="K3168" i="13"/>
  <c r="H3169" i="13"/>
  <c r="J3169" i="13" s="1"/>
  <c r="K3169" i="13"/>
  <c r="H3170" i="13"/>
  <c r="J3170" i="13" s="1"/>
  <c r="K3170" i="13"/>
  <c r="H3171" i="13"/>
  <c r="J3171" i="13" s="1"/>
  <c r="K3171" i="13"/>
  <c r="H3172" i="13"/>
  <c r="J3172" i="13" s="1"/>
  <c r="K3172" i="13"/>
  <c r="H3173" i="13"/>
  <c r="J3173" i="13" s="1"/>
  <c r="K3173" i="13"/>
  <c r="H3174" i="13"/>
  <c r="J3174" i="13" s="1"/>
  <c r="K3174" i="13"/>
  <c r="H3175" i="13"/>
  <c r="J3175" i="13" s="1"/>
  <c r="K3175" i="13"/>
  <c r="H3176" i="13"/>
  <c r="J3176" i="13" s="1"/>
  <c r="K3176" i="13"/>
  <c r="H3177" i="13"/>
  <c r="J3177" i="13" s="1"/>
  <c r="K3177" i="13"/>
  <c r="H3178" i="13"/>
  <c r="J3178" i="13" s="1"/>
  <c r="K3178" i="13"/>
  <c r="K3179" i="13"/>
  <c r="H3180" i="13"/>
  <c r="J3180" i="13" s="1"/>
  <c r="K3180" i="13"/>
  <c r="H3181" i="13"/>
  <c r="J3181" i="13" s="1"/>
  <c r="K3181" i="13"/>
  <c r="H3182" i="13"/>
  <c r="J3182" i="13" s="1"/>
  <c r="K3182" i="13"/>
  <c r="H3183" i="13"/>
  <c r="J3183" i="13" s="1"/>
  <c r="K3183" i="13"/>
  <c r="H3184" i="13"/>
  <c r="J3184" i="13" s="1"/>
  <c r="K3184" i="13"/>
  <c r="H3185" i="13"/>
  <c r="J3185" i="13" s="1"/>
  <c r="K3185" i="13"/>
  <c r="H3186" i="13"/>
  <c r="J3186" i="13" s="1"/>
  <c r="K3186" i="13"/>
  <c r="H3187" i="13"/>
  <c r="J3187" i="13" s="1"/>
  <c r="K3187" i="13"/>
  <c r="H3602" i="13"/>
  <c r="J3602" i="13" s="1"/>
  <c r="K3602" i="13"/>
  <c r="H3656" i="13"/>
  <c r="J3656" i="13" s="1"/>
  <c r="K3656" i="13"/>
  <c r="H3657" i="13"/>
  <c r="J3657" i="13" s="1"/>
  <c r="K3657" i="13"/>
  <c r="H3658" i="13"/>
  <c r="J3658" i="13" s="1"/>
  <c r="K3658" i="13"/>
  <c r="H3659" i="13"/>
  <c r="J3659" i="13" s="1"/>
  <c r="K3659" i="13"/>
  <c r="H3660" i="13"/>
  <c r="J3660" i="13" s="1"/>
  <c r="K3660" i="13"/>
  <c r="H3661" i="13"/>
  <c r="J3661" i="13" s="1"/>
  <c r="K3661" i="13"/>
  <c r="H3662" i="13"/>
  <c r="J3662" i="13" s="1"/>
  <c r="K3662" i="13"/>
  <c r="H3663" i="13"/>
  <c r="J3663" i="13" s="1"/>
  <c r="K3663" i="13"/>
  <c r="H3664" i="13"/>
  <c r="J3664" i="13" s="1"/>
  <c r="K3664" i="13"/>
  <c r="K3665" i="13"/>
  <c r="H3666" i="13"/>
  <c r="J3666" i="13" s="1"/>
  <c r="K3666" i="13"/>
  <c r="H3667" i="13"/>
  <c r="J3667" i="13" s="1"/>
  <c r="K3667" i="13"/>
  <c r="H3668" i="13"/>
  <c r="J3668" i="13" s="1"/>
  <c r="K3668" i="13"/>
  <c r="H3669" i="13"/>
  <c r="J3669" i="13" s="1"/>
  <c r="K3669" i="13"/>
  <c r="H3670" i="13"/>
  <c r="J3670" i="13" s="1"/>
  <c r="K3670" i="13"/>
  <c r="H3671" i="13"/>
  <c r="J3671" i="13" s="1"/>
  <c r="K3671" i="13"/>
  <c r="H3672" i="13"/>
  <c r="J3672" i="13" s="1"/>
  <c r="K3672" i="13"/>
  <c r="H3673" i="13"/>
  <c r="J3673" i="13" s="1"/>
  <c r="K3673" i="13"/>
  <c r="E2243" i="14"/>
  <c r="G2243" i="14" s="1"/>
  <c r="H2243" i="14"/>
  <c r="E2244" i="14"/>
  <c r="G2244" i="14" s="1"/>
  <c r="H2244" i="14"/>
  <c r="E2245" i="14"/>
  <c r="G2245" i="14" s="1"/>
  <c r="H2245" i="14"/>
  <c r="E2246" i="14"/>
  <c r="G2246" i="14" s="1"/>
  <c r="H2246" i="14"/>
  <c r="E2247" i="14"/>
  <c r="G2247" i="14" s="1"/>
  <c r="H2247" i="14"/>
  <c r="E2248" i="14"/>
  <c r="G2248" i="14" s="1"/>
  <c r="H2248" i="14"/>
  <c r="E2249" i="14"/>
  <c r="G2249" i="14" s="1"/>
  <c r="H2249" i="14"/>
  <c r="E2250" i="14"/>
  <c r="G2250" i="14" s="1"/>
  <c r="H2250" i="14"/>
  <c r="E2251" i="14"/>
  <c r="G2251" i="14" s="1"/>
  <c r="H2251" i="14"/>
  <c r="H2036" i="14"/>
  <c r="E2037" i="14"/>
  <c r="G2037" i="14" s="1"/>
  <c r="H2037" i="14"/>
  <c r="E2038" i="14"/>
  <c r="G2038" i="14" s="1"/>
  <c r="H2038" i="14"/>
  <c r="E2039" i="14"/>
  <c r="G2039" i="14" s="1"/>
  <c r="H2039" i="14"/>
  <c r="E2040" i="14"/>
  <c r="G2040" i="14" s="1"/>
  <c r="H2040" i="14"/>
  <c r="E2041" i="14"/>
  <c r="G2041" i="14" s="1"/>
  <c r="H2041" i="14"/>
  <c r="E2042" i="14"/>
  <c r="G2042" i="14" s="1"/>
  <c r="H2042" i="14"/>
  <c r="E2043" i="14"/>
  <c r="G2043" i="14" s="1"/>
  <c r="H2043" i="14"/>
  <c r="E2044" i="14"/>
  <c r="G2044" i="14" s="1"/>
  <c r="H2044" i="14"/>
  <c r="E1919" i="14"/>
  <c r="G1919" i="14" s="1"/>
  <c r="H1919" i="14"/>
  <c r="E1920" i="14"/>
  <c r="G1920" i="14" s="1"/>
  <c r="H1920" i="14"/>
  <c r="E1921" i="14"/>
  <c r="G1921" i="14" s="1"/>
  <c r="H1921" i="14"/>
  <c r="E1922" i="14"/>
  <c r="G1922" i="14" s="1"/>
  <c r="H1922" i="14"/>
  <c r="E1923" i="14"/>
  <c r="G1923" i="14" s="1"/>
  <c r="H1923" i="14"/>
  <c r="E1924" i="14"/>
  <c r="G1924" i="14" s="1"/>
  <c r="H1924" i="14"/>
  <c r="E1925" i="14"/>
  <c r="G1925" i="14" s="1"/>
  <c r="H1925" i="14"/>
  <c r="E1926" i="14"/>
  <c r="G1926" i="14" s="1"/>
  <c r="H1926" i="14"/>
  <c r="E1927" i="14"/>
  <c r="G1927" i="14" s="1"/>
  <c r="H1927" i="14"/>
  <c r="E722" i="14"/>
  <c r="G722" i="14" s="1"/>
  <c r="H722" i="14"/>
  <c r="E723" i="14"/>
  <c r="G723" i="14" s="1"/>
  <c r="H723" i="14"/>
  <c r="E724" i="14"/>
  <c r="G724" i="14" s="1"/>
  <c r="H724" i="14"/>
  <c r="E725" i="14"/>
  <c r="G725" i="14" s="1"/>
  <c r="H725" i="14"/>
  <c r="E726" i="14"/>
  <c r="G726" i="14" s="1"/>
  <c r="H726" i="14"/>
  <c r="E727" i="14"/>
  <c r="G727" i="14" s="1"/>
  <c r="H727" i="14"/>
  <c r="E728" i="14"/>
  <c r="G728" i="14" s="1"/>
  <c r="H728" i="14"/>
  <c r="E729" i="14"/>
  <c r="G729" i="14" s="1"/>
  <c r="H729" i="14"/>
  <c r="E730" i="14"/>
  <c r="G730" i="14" s="1"/>
  <c r="H730" i="14"/>
  <c r="C66" i="2"/>
  <c r="D66" i="2"/>
  <c r="E66" i="2"/>
  <c r="F66" i="2"/>
  <c r="G66" i="2"/>
  <c r="H66" i="2"/>
  <c r="I66" i="2"/>
  <c r="J66" i="2"/>
  <c r="B66" i="2"/>
  <c r="AC58" i="1"/>
  <c r="H2090" i="13"/>
  <c r="J2090" i="13" s="1"/>
  <c r="K2090" i="13"/>
  <c r="H2091" i="13"/>
  <c r="J2091" i="13" s="1"/>
  <c r="K2091" i="13"/>
  <c r="H2092" i="13"/>
  <c r="J2092" i="13" s="1"/>
  <c r="K2092" i="13"/>
  <c r="H2093" i="13"/>
  <c r="J2093" i="13" s="1"/>
  <c r="K2093" i="13"/>
  <c r="H2094" i="13"/>
  <c r="J2094" i="13" s="1"/>
  <c r="K2094" i="13"/>
  <c r="H2095" i="13"/>
  <c r="J2095" i="13" s="1"/>
  <c r="K2095" i="13"/>
  <c r="H2096" i="13"/>
  <c r="J2096" i="13" s="1"/>
  <c r="K2096" i="13"/>
  <c r="H2097" i="13"/>
  <c r="J2097" i="13" s="1"/>
  <c r="K2097" i="13"/>
  <c r="H2098" i="13"/>
  <c r="J2098" i="13" s="1"/>
  <c r="K2098" i="13"/>
  <c r="H2099" i="13"/>
  <c r="J2099" i="13" s="1"/>
  <c r="K2099" i="13"/>
  <c r="H2100" i="13"/>
  <c r="J2100" i="13" s="1"/>
  <c r="K2100" i="13"/>
  <c r="H2101" i="13"/>
  <c r="J2101" i="13" s="1"/>
  <c r="K2101" i="13"/>
  <c r="H2102" i="13"/>
  <c r="J2102" i="13" s="1"/>
  <c r="K2102" i="13"/>
  <c r="H2103" i="13"/>
  <c r="J2103" i="13" s="1"/>
  <c r="K2103" i="13"/>
  <c r="H2104" i="13"/>
  <c r="J2104" i="13" s="1"/>
  <c r="K2104" i="13"/>
  <c r="H2105" i="13"/>
  <c r="J2105" i="13" s="1"/>
  <c r="K2105" i="13"/>
  <c r="H2106" i="13"/>
  <c r="J2106" i="13" s="1"/>
  <c r="K2106" i="13"/>
  <c r="H2107" i="13"/>
  <c r="J2107" i="13" s="1"/>
  <c r="K2107" i="13"/>
  <c r="H5924" i="13"/>
  <c r="J5924" i="13" s="1"/>
  <c r="K5924" i="13"/>
  <c r="H5925" i="13"/>
  <c r="J5925" i="13" s="1"/>
  <c r="K5925" i="13"/>
  <c r="H5926" i="13"/>
  <c r="J5926" i="13" s="1"/>
  <c r="K5926" i="13"/>
  <c r="H5927" i="13"/>
  <c r="J5927" i="13" s="1"/>
  <c r="K5927" i="13"/>
  <c r="H5928" i="13"/>
  <c r="J5928" i="13" s="1"/>
  <c r="K5928" i="13"/>
  <c r="H5929" i="13"/>
  <c r="J5929" i="13" s="1"/>
  <c r="K5929" i="13"/>
  <c r="H5930" i="13"/>
  <c r="J5930" i="13" s="1"/>
  <c r="K5930" i="13"/>
  <c r="H5931" i="13"/>
  <c r="J5931" i="13" s="1"/>
  <c r="K5931" i="13"/>
  <c r="H5932" i="13"/>
  <c r="J5932" i="13" s="1"/>
  <c r="K5932" i="13"/>
  <c r="H3647" i="13"/>
  <c r="J3647" i="13" s="1"/>
  <c r="K3647" i="13"/>
  <c r="H3648" i="13"/>
  <c r="J3648" i="13" s="1"/>
  <c r="K3648" i="13"/>
  <c r="H3649" i="13"/>
  <c r="J3649" i="13" s="1"/>
  <c r="K3649" i="13"/>
  <c r="H3650" i="13"/>
  <c r="J3650" i="13" s="1"/>
  <c r="K3650" i="13"/>
  <c r="H3651" i="13"/>
  <c r="J3651" i="13" s="1"/>
  <c r="K3651" i="13"/>
  <c r="H3652" i="13"/>
  <c r="J3652" i="13" s="1"/>
  <c r="K3652" i="13"/>
  <c r="H3653" i="13"/>
  <c r="J3653" i="13" s="1"/>
  <c r="K3653" i="13"/>
  <c r="H3654" i="13"/>
  <c r="J3654" i="13" s="1"/>
  <c r="K3654" i="13"/>
  <c r="H3655" i="13"/>
  <c r="J3655" i="13" s="1"/>
  <c r="K3655" i="13"/>
  <c r="K7040" i="13"/>
  <c r="H7041" i="13"/>
  <c r="J7041" i="13" s="1"/>
  <c r="K7041" i="13"/>
  <c r="H7042" i="13"/>
  <c r="J7042" i="13" s="1"/>
  <c r="K7042" i="13"/>
  <c r="H7043" i="13"/>
  <c r="J7043" i="13" s="1"/>
  <c r="K7043" i="13"/>
  <c r="H7044" i="13"/>
  <c r="J7044" i="13" s="1"/>
  <c r="K7044" i="13"/>
  <c r="H7045" i="13"/>
  <c r="J7045" i="13" s="1"/>
  <c r="K7045" i="13"/>
  <c r="H7046" i="13"/>
  <c r="J7046" i="13" s="1"/>
  <c r="K7046" i="13"/>
  <c r="H7047" i="13"/>
  <c r="J7047" i="13" s="1"/>
  <c r="K7047" i="13"/>
  <c r="H7048" i="13"/>
  <c r="J7048" i="13" s="1"/>
  <c r="K7048" i="13"/>
  <c r="H51" i="2"/>
  <c r="C340" i="1"/>
  <c r="C330" i="1"/>
  <c r="C303" i="1"/>
  <c r="E2297" i="14"/>
  <c r="G2297" i="14" s="1"/>
  <c r="H2297" i="14"/>
  <c r="E2298" i="14"/>
  <c r="G2298" i="14" s="1"/>
  <c r="H2298" i="14"/>
  <c r="E2299" i="14"/>
  <c r="G2299" i="14" s="1"/>
  <c r="H2299" i="14"/>
  <c r="E2300" i="14"/>
  <c r="G2300" i="14" s="1"/>
  <c r="H2300" i="14"/>
  <c r="E2301" i="14"/>
  <c r="G2301" i="14" s="1"/>
  <c r="H2301" i="14"/>
  <c r="E2302" i="14"/>
  <c r="G2302" i="14" s="1"/>
  <c r="H2302" i="14"/>
  <c r="E2303" i="14"/>
  <c r="G2303" i="14" s="1"/>
  <c r="H2303" i="14"/>
  <c r="E2304" i="14"/>
  <c r="G2304" i="14" s="1"/>
  <c r="H2304" i="14"/>
  <c r="E2305" i="14"/>
  <c r="G2305" i="14" s="1"/>
  <c r="H2305" i="14"/>
  <c r="E2252" i="14"/>
  <c r="G2252" i="14" s="1"/>
  <c r="H2252" i="14"/>
  <c r="E2253" i="14"/>
  <c r="G2253" i="14" s="1"/>
  <c r="H2253" i="14"/>
  <c r="E2254" i="14"/>
  <c r="G2254" i="14" s="1"/>
  <c r="H2254" i="14"/>
  <c r="E2255" i="14"/>
  <c r="G2255" i="14" s="1"/>
  <c r="H2255" i="14"/>
  <c r="E2256" i="14"/>
  <c r="G2256" i="14" s="1"/>
  <c r="H2256" i="14"/>
  <c r="E2257" i="14"/>
  <c r="G2257" i="14" s="1"/>
  <c r="H2257" i="14"/>
  <c r="E2258" i="14"/>
  <c r="G2258" i="14" s="1"/>
  <c r="H2258" i="14"/>
  <c r="E2259" i="14"/>
  <c r="G2259" i="14" s="1"/>
  <c r="H2259" i="14"/>
  <c r="E2260" i="14"/>
  <c r="G2260" i="14" s="1"/>
  <c r="H2260" i="14"/>
  <c r="B13" i="26"/>
  <c r="B12" i="26"/>
  <c r="B11" i="26"/>
  <c r="B10" i="26"/>
  <c r="B8" i="26"/>
  <c r="B7" i="26"/>
  <c r="B1" i="26"/>
  <c r="C4" i="26"/>
  <c r="C3" i="26"/>
  <c r="H5915" i="13"/>
  <c r="J5915" i="13" s="1"/>
  <c r="K5915" i="13"/>
  <c r="H5916" i="13"/>
  <c r="J5916" i="13" s="1"/>
  <c r="K5916" i="13"/>
  <c r="H5917" i="13"/>
  <c r="J5917" i="13" s="1"/>
  <c r="K5917" i="13"/>
  <c r="H5918" i="13"/>
  <c r="J5918" i="13" s="1"/>
  <c r="K5918" i="13"/>
  <c r="H5919" i="13"/>
  <c r="J5919" i="13" s="1"/>
  <c r="K5919" i="13"/>
  <c r="H5920" i="13"/>
  <c r="J5920" i="13" s="1"/>
  <c r="K5920" i="13"/>
  <c r="H5921" i="13"/>
  <c r="J5921" i="13" s="1"/>
  <c r="K5921" i="13"/>
  <c r="H5922" i="13"/>
  <c r="J5922" i="13" s="1"/>
  <c r="K5922" i="13"/>
  <c r="H5923" i="13"/>
  <c r="J5923" i="13" s="1"/>
  <c r="K5923" i="13"/>
  <c r="H3152" i="13"/>
  <c r="J3152" i="13" s="1"/>
  <c r="K3152" i="13"/>
  <c r="H3153" i="13"/>
  <c r="J3153" i="13" s="1"/>
  <c r="K3153" i="13"/>
  <c r="H3154" i="13"/>
  <c r="J3154" i="13" s="1"/>
  <c r="K3154" i="13"/>
  <c r="H3155" i="13"/>
  <c r="J3155" i="13" s="1"/>
  <c r="K3155" i="13"/>
  <c r="H3156" i="13"/>
  <c r="J3156" i="13" s="1"/>
  <c r="K3156" i="13"/>
  <c r="H3157" i="13"/>
  <c r="J3157" i="13" s="1"/>
  <c r="K3157" i="13"/>
  <c r="H3158" i="13"/>
  <c r="J3158" i="13" s="1"/>
  <c r="K3158" i="13"/>
  <c r="H3159" i="13"/>
  <c r="J3159" i="13" s="1"/>
  <c r="K3159" i="13"/>
  <c r="H3160" i="13"/>
  <c r="J3160" i="13" s="1"/>
  <c r="K3160" i="13"/>
  <c r="H2126" i="14"/>
  <c r="E2127" i="14"/>
  <c r="G2127" i="14" s="1"/>
  <c r="H2127" i="14"/>
  <c r="E2128" i="14"/>
  <c r="G2128" i="14" s="1"/>
  <c r="H2128" i="14"/>
  <c r="E2129" i="14"/>
  <c r="G2129" i="14" s="1"/>
  <c r="H2129" i="14"/>
  <c r="E2130" i="14"/>
  <c r="G2130" i="14" s="1"/>
  <c r="H2130" i="14"/>
  <c r="E2131" i="14"/>
  <c r="G2131" i="14" s="1"/>
  <c r="H2131" i="14"/>
  <c r="E2132" i="14"/>
  <c r="G2132" i="14" s="1"/>
  <c r="H2132" i="14"/>
  <c r="E2133" i="14"/>
  <c r="G2133" i="14" s="1"/>
  <c r="H2133" i="14"/>
  <c r="E2134" i="14"/>
  <c r="G2134" i="14" s="1"/>
  <c r="H2134" i="14"/>
  <c r="E830" i="14"/>
  <c r="G830" i="14" s="1"/>
  <c r="H830" i="14"/>
  <c r="E831" i="14"/>
  <c r="G831" i="14" s="1"/>
  <c r="H831" i="14"/>
  <c r="E832" i="14"/>
  <c r="G832" i="14" s="1"/>
  <c r="H832" i="14"/>
  <c r="E833" i="14"/>
  <c r="G833" i="14" s="1"/>
  <c r="H833" i="14"/>
  <c r="E834" i="14"/>
  <c r="G834" i="14" s="1"/>
  <c r="H834" i="14"/>
  <c r="E835" i="14"/>
  <c r="G835" i="14" s="1"/>
  <c r="H835" i="14"/>
  <c r="E836" i="14"/>
  <c r="G836" i="14" s="1"/>
  <c r="H836" i="14"/>
  <c r="E837" i="14"/>
  <c r="G837" i="14" s="1"/>
  <c r="H837" i="14"/>
  <c r="E838" i="14"/>
  <c r="G838" i="14" s="1"/>
  <c r="H838" i="14"/>
  <c r="H3143" i="13"/>
  <c r="J3143" i="13" s="1"/>
  <c r="K3143" i="13"/>
  <c r="H3144" i="13"/>
  <c r="J3144" i="13" s="1"/>
  <c r="K3144" i="13"/>
  <c r="H3145" i="13"/>
  <c r="J3145" i="13" s="1"/>
  <c r="K3145" i="13"/>
  <c r="H3146" i="13"/>
  <c r="J3146" i="13" s="1"/>
  <c r="K3146" i="13"/>
  <c r="H3147" i="13"/>
  <c r="J3147" i="13" s="1"/>
  <c r="K3147" i="13"/>
  <c r="H3148" i="13"/>
  <c r="J3148" i="13" s="1"/>
  <c r="K3148" i="13"/>
  <c r="H3149" i="13"/>
  <c r="J3149" i="13" s="1"/>
  <c r="K3149" i="13"/>
  <c r="H3150" i="13"/>
  <c r="J3150" i="13" s="1"/>
  <c r="K3150" i="13"/>
  <c r="H3151" i="13"/>
  <c r="J3151" i="13" s="1"/>
  <c r="K3151" i="13"/>
  <c r="H3134" i="13"/>
  <c r="J3134" i="13" s="1"/>
  <c r="K3134" i="13"/>
  <c r="H3135" i="13"/>
  <c r="J3135" i="13" s="1"/>
  <c r="K3135" i="13"/>
  <c r="H3136" i="13"/>
  <c r="J3136" i="13" s="1"/>
  <c r="K3136" i="13"/>
  <c r="H3137" i="13"/>
  <c r="J3137" i="13" s="1"/>
  <c r="K3137" i="13"/>
  <c r="H3138" i="13"/>
  <c r="J3138" i="13" s="1"/>
  <c r="K3138" i="13"/>
  <c r="H3139" i="13"/>
  <c r="J3139" i="13" s="1"/>
  <c r="K3139" i="13"/>
  <c r="H3140" i="13"/>
  <c r="J3140" i="13" s="1"/>
  <c r="K3140" i="13"/>
  <c r="H3141" i="13"/>
  <c r="J3141" i="13" s="1"/>
  <c r="K3141" i="13"/>
  <c r="H3142" i="13"/>
  <c r="J3142" i="13" s="1"/>
  <c r="K3142" i="13"/>
  <c r="H3107" i="13"/>
  <c r="J3107" i="13" s="1"/>
  <c r="K3107" i="13"/>
  <c r="H3108" i="13"/>
  <c r="J3108" i="13" s="1"/>
  <c r="K3108" i="13"/>
  <c r="H3109" i="13"/>
  <c r="J3109" i="13" s="1"/>
  <c r="K3109" i="13"/>
  <c r="H3110" i="13"/>
  <c r="J3110" i="13" s="1"/>
  <c r="K3110" i="13"/>
  <c r="H3111" i="13"/>
  <c r="J3111" i="13" s="1"/>
  <c r="K3111" i="13"/>
  <c r="H3112" i="13"/>
  <c r="J3112" i="13" s="1"/>
  <c r="K3112" i="13"/>
  <c r="H3113" i="13"/>
  <c r="J3113" i="13" s="1"/>
  <c r="K3113" i="13"/>
  <c r="H3114" i="13"/>
  <c r="J3114" i="13" s="1"/>
  <c r="K3114" i="13"/>
  <c r="H3115" i="13"/>
  <c r="J3115" i="13" s="1"/>
  <c r="K3115" i="13"/>
  <c r="H3098" i="13"/>
  <c r="J3098" i="13" s="1"/>
  <c r="K3098" i="13"/>
  <c r="H3099" i="13"/>
  <c r="J3099" i="13" s="1"/>
  <c r="K3099" i="13"/>
  <c r="H3100" i="13"/>
  <c r="J3100" i="13" s="1"/>
  <c r="K3100" i="13"/>
  <c r="H3101" i="13"/>
  <c r="J3101" i="13" s="1"/>
  <c r="K3101" i="13"/>
  <c r="H3102" i="13"/>
  <c r="J3102" i="13" s="1"/>
  <c r="K3102" i="13"/>
  <c r="H3103" i="13"/>
  <c r="J3103" i="13" s="1"/>
  <c r="K3103" i="13"/>
  <c r="H3104" i="13"/>
  <c r="J3104" i="13" s="1"/>
  <c r="K3104" i="13"/>
  <c r="H3105" i="13"/>
  <c r="J3105" i="13" s="1"/>
  <c r="K3105" i="13"/>
  <c r="H3106" i="13"/>
  <c r="J3106" i="13" s="1"/>
  <c r="K3106" i="13"/>
  <c r="H2081" i="13"/>
  <c r="J2081" i="13" s="1"/>
  <c r="K2081" i="13"/>
  <c r="H2082" i="13"/>
  <c r="J2082" i="13" s="1"/>
  <c r="K2082" i="13"/>
  <c r="H2083" i="13"/>
  <c r="J2083" i="13" s="1"/>
  <c r="K2083" i="13"/>
  <c r="H2084" i="13"/>
  <c r="J2084" i="13" s="1"/>
  <c r="K2084" i="13"/>
  <c r="H2085" i="13"/>
  <c r="J2085" i="13" s="1"/>
  <c r="K2085" i="13"/>
  <c r="H2086" i="13"/>
  <c r="J2086" i="13" s="1"/>
  <c r="K2086" i="13"/>
  <c r="H2087" i="13"/>
  <c r="J2087" i="13" s="1"/>
  <c r="K2087" i="13"/>
  <c r="H2088" i="13"/>
  <c r="J2088" i="13" s="1"/>
  <c r="K2088" i="13"/>
  <c r="H2089" i="13"/>
  <c r="J2089" i="13" s="1"/>
  <c r="K2089" i="13"/>
  <c r="H3089" i="13"/>
  <c r="J3089" i="13" s="1"/>
  <c r="K3089" i="13"/>
  <c r="H3090" i="13"/>
  <c r="J3090" i="13" s="1"/>
  <c r="K3090" i="13"/>
  <c r="H3091" i="13"/>
  <c r="J3091" i="13" s="1"/>
  <c r="K3091" i="13"/>
  <c r="H3092" i="13"/>
  <c r="J3092" i="13" s="1"/>
  <c r="K3092" i="13"/>
  <c r="H3093" i="13"/>
  <c r="J3093" i="13" s="1"/>
  <c r="K3093" i="13"/>
  <c r="H3094" i="13"/>
  <c r="J3094" i="13" s="1"/>
  <c r="K3094" i="13"/>
  <c r="H3095" i="13"/>
  <c r="J3095" i="13" s="1"/>
  <c r="K3095" i="13"/>
  <c r="H3096" i="13"/>
  <c r="J3096" i="13" s="1"/>
  <c r="K3096" i="13"/>
  <c r="H3097" i="13"/>
  <c r="J3097" i="13" s="1"/>
  <c r="K3097" i="13"/>
  <c r="H3116" i="13"/>
  <c r="J3116" i="13" s="1"/>
  <c r="K3116" i="13"/>
  <c r="H3117" i="13"/>
  <c r="J3117" i="13" s="1"/>
  <c r="K3117" i="13"/>
  <c r="H3118" i="13"/>
  <c r="J3118" i="13" s="1"/>
  <c r="K3118" i="13"/>
  <c r="H3119" i="13"/>
  <c r="J3119" i="13" s="1"/>
  <c r="K3119" i="13"/>
  <c r="H3120" i="13"/>
  <c r="J3120" i="13" s="1"/>
  <c r="K3120" i="13"/>
  <c r="H3121" i="13"/>
  <c r="J3121" i="13" s="1"/>
  <c r="K3121" i="13"/>
  <c r="H3122" i="13"/>
  <c r="J3122" i="13" s="1"/>
  <c r="K3122" i="13"/>
  <c r="H3123" i="13"/>
  <c r="J3123" i="13" s="1"/>
  <c r="K3123" i="13"/>
  <c r="H3124" i="13"/>
  <c r="J3124" i="13" s="1"/>
  <c r="K3124" i="13"/>
  <c r="H3125" i="13"/>
  <c r="J3125" i="13" s="1"/>
  <c r="K3125" i="13"/>
  <c r="H3126" i="13"/>
  <c r="J3126" i="13" s="1"/>
  <c r="K3126" i="13"/>
  <c r="H3127" i="13"/>
  <c r="J3127" i="13" s="1"/>
  <c r="K3127" i="13"/>
  <c r="H3128" i="13"/>
  <c r="J3128" i="13" s="1"/>
  <c r="K3128" i="13"/>
  <c r="H3129" i="13"/>
  <c r="J3129" i="13" s="1"/>
  <c r="K3129" i="13"/>
  <c r="H3130" i="13"/>
  <c r="J3130" i="13" s="1"/>
  <c r="K3130" i="13"/>
  <c r="H3131" i="13"/>
  <c r="J3131" i="13" s="1"/>
  <c r="K3131" i="13"/>
  <c r="H3132" i="13"/>
  <c r="J3132" i="13" s="1"/>
  <c r="K3132" i="13"/>
  <c r="H3133" i="13"/>
  <c r="J3133" i="13" s="1"/>
  <c r="K3133" i="13"/>
  <c r="C275" i="1"/>
  <c r="C253" i="1"/>
  <c r="C205" i="1"/>
  <c r="C157" i="1"/>
  <c r="C154" i="1"/>
  <c r="C149" i="1"/>
  <c r="C36" i="1"/>
  <c r="C178" i="1"/>
  <c r="B236" i="12"/>
  <c r="V236" i="12" s="1"/>
  <c r="H4736" i="13"/>
  <c r="J4736" i="13" s="1"/>
  <c r="K4736" i="13"/>
  <c r="H4737" i="13"/>
  <c r="J4737" i="13" s="1"/>
  <c r="K4737" i="13"/>
  <c r="H4738" i="13"/>
  <c r="J4738" i="13" s="1"/>
  <c r="K4738" i="13"/>
  <c r="H4739" i="13"/>
  <c r="J4739" i="13" s="1"/>
  <c r="K4739" i="13"/>
  <c r="H4740" i="13"/>
  <c r="J4740" i="13" s="1"/>
  <c r="K4740" i="13"/>
  <c r="H4741" i="13"/>
  <c r="J4741" i="13" s="1"/>
  <c r="K4741" i="13"/>
  <c r="H4742" i="13"/>
  <c r="J4742" i="13" s="1"/>
  <c r="K4742" i="13"/>
  <c r="H4743" i="13"/>
  <c r="J4743" i="13" s="1"/>
  <c r="K4743" i="13"/>
  <c r="H4744" i="13"/>
  <c r="J4744" i="13" s="1"/>
  <c r="K4744" i="13"/>
  <c r="H3080" i="13"/>
  <c r="J3080" i="13" s="1"/>
  <c r="K3080" i="13"/>
  <c r="H3081" i="13"/>
  <c r="J3081" i="13" s="1"/>
  <c r="K3081" i="13"/>
  <c r="H3082" i="13"/>
  <c r="J3082" i="13" s="1"/>
  <c r="K3082" i="13"/>
  <c r="H3083" i="13"/>
  <c r="J3083" i="13" s="1"/>
  <c r="K3083" i="13"/>
  <c r="H3084" i="13"/>
  <c r="J3084" i="13" s="1"/>
  <c r="K3084" i="13"/>
  <c r="H3085" i="13"/>
  <c r="J3085" i="13" s="1"/>
  <c r="K3085" i="13"/>
  <c r="H3086" i="13"/>
  <c r="J3086" i="13" s="1"/>
  <c r="K3086" i="13"/>
  <c r="H3087" i="13"/>
  <c r="J3087" i="13" s="1"/>
  <c r="K3087" i="13"/>
  <c r="H3088" i="13"/>
  <c r="J3088" i="13" s="1"/>
  <c r="K3088" i="13"/>
  <c r="H4367" i="13"/>
  <c r="J4367" i="13" s="1"/>
  <c r="K4367" i="13"/>
  <c r="H4368" i="13"/>
  <c r="J4368" i="13" s="1"/>
  <c r="K4368" i="13"/>
  <c r="H4369" i="13"/>
  <c r="J4369" i="13" s="1"/>
  <c r="K4369" i="13"/>
  <c r="H4370" i="13"/>
  <c r="J4370" i="13" s="1"/>
  <c r="K4370" i="13"/>
  <c r="H4371" i="13"/>
  <c r="J4371" i="13" s="1"/>
  <c r="K4371" i="13"/>
  <c r="H4372" i="13"/>
  <c r="J4372" i="13" s="1"/>
  <c r="K4372" i="13"/>
  <c r="H4373" i="13"/>
  <c r="J4373" i="13" s="1"/>
  <c r="K4373" i="13"/>
  <c r="H4374" i="13"/>
  <c r="J4374" i="13" s="1"/>
  <c r="K4374" i="13"/>
  <c r="H4375" i="13"/>
  <c r="J4375" i="13" s="1"/>
  <c r="K4375" i="13"/>
  <c r="H4349" i="13"/>
  <c r="J4349" i="13" s="1"/>
  <c r="K4349" i="13"/>
  <c r="H4350" i="13"/>
  <c r="J4350" i="13" s="1"/>
  <c r="K4350" i="13"/>
  <c r="H4351" i="13"/>
  <c r="J4351" i="13" s="1"/>
  <c r="K4351" i="13"/>
  <c r="H4352" i="13"/>
  <c r="J4352" i="13" s="1"/>
  <c r="K4352" i="13"/>
  <c r="H4353" i="13"/>
  <c r="J4353" i="13" s="1"/>
  <c r="K4353" i="13"/>
  <c r="H4354" i="13"/>
  <c r="J4354" i="13" s="1"/>
  <c r="K4354" i="13"/>
  <c r="H4355" i="13"/>
  <c r="J4355" i="13" s="1"/>
  <c r="K4355" i="13"/>
  <c r="H4356" i="13"/>
  <c r="J4356" i="13" s="1"/>
  <c r="K4356" i="13"/>
  <c r="H4357" i="13"/>
  <c r="J4357" i="13" s="1"/>
  <c r="K4357" i="13"/>
  <c r="E1775" i="14"/>
  <c r="G1775" i="14" s="1"/>
  <c r="H1775" i="14"/>
  <c r="E1776" i="14"/>
  <c r="G1776" i="14" s="1"/>
  <c r="H1776" i="14"/>
  <c r="E1777" i="14"/>
  <c r="G1777" i="14" s="1"/>
  <c r="H1777" i="14"/>
  <c r="E1778" i="14"/>
  <c r="G1778" i="14" s="1"/>
  <c r="H1778" i="14"/>
  <c r="E1779" i="14"/>
  <c r="G1779" i="14" s="1"/>
  <c r="H1779" i="14"/>
  <c r="E1780" i="14"/>
  <c r="G1780" i="14" s="1"/>
  <c r="H1780" i="14"/>
  <c r="E1781" i="14"/>
  <c r="G1781" i="14" s="1"/>
  <c r="H1781" i="14"/>
  <c r="E1782" i="14"/>
  <c r="G1782" i="14" s="1"/>
  <c r="H1782" i="14"/>
  <c r="E1783" i="14"/>
  <c r="G1783" i="14" s="1"/>
  <c r="H1783" i="14"/>
  <c r="E2270" i="14"/>
  <c r="G2270" i="14" s="1"/>
  <c r="H2270" i="14"/>
  <c r="E2271" i="14"/>
  <c r="G2271" i="14" s="1"/>
  <c r="H2271" i="14"/>
  <c r="E2272" i="14"/>
  <c r="G2272" i="14" s="1"/>
  <c r="H2272" i="14"/>
  <c r="E2273" i="14"/>
  <c r="G2273" i="14" s="1"/>
  <c r="H2273" i="14"/>
  <c r="E2274" i="14"/>
  <c r="G2274" i="14" s="1"/>
  <c r="H2274" i="14"/>
  <c r="E2275" i="14"/>
  <c r="G2275" i="14" s="1"/>
  <c r="H2275" i="14"/>
  <c r="E2276" i="14"/>
  <c r="G2276" i="14" s="1"/>
  <c r="H2276" i="14"/>
  <c r="E2277" i="14"/>
  <c r="G2277" i="14" s="1"/>
  <c r="H2277" i="14"/>
  <c r="E2278" i="14"/>
  <c r="G2278" i="14" s="1"/>
  <c r="H2278" i="14"/>
  <c r="E2189" i="14"/>
  <c r="G2189" i="14" s="1"/>
  <c r="H2189" i="14"/>
  <c r="E2190" i="14"/>
  <c r="G2190" i="14" s="1"/>
  <c r="H2190" i="14"/>
  <c r="E2191" i="14"/>
  <c r="G2191" i="14" s="1"/>
  <c r="H2191" i="14"/>
  <c r="E2192" i="14"/>
  <c r="G2192" i="14" s="1"/>
  <c r="H2192" i="14"/>
  <c r="E2193" i="14"/>
  <c r="G2193" i="14" s="1"/>
  <c r="H2193" i="14"/>
  <c r="E2194" i="14"/>
  <c r="G2194" i="14" s="1"/>
  <c r="H2194" i="14"/>
  <c r="E2195" i="14"/>
  <c r="G2195" i="14" s="1"/>
  <c r="H2195" i="14"/>
  <c r="E2196" i="14"/>
  <c r="G2196" i="14" s="1"/>
  <c r="H2196" i="14"/>
  <c r="E2197" i="14"/>
  <c r="G2197" i="14" s="1"/>
  <c r="H2197" i="14"/>
  <c r="D2" i="22"/>
  <c r="D11" i="22" s="1"/>
  <c r="D20" i="22" s="1"/>
  <c r="D29" i="22" s="1"/>
  <c r="D38" i="22" s="1"/>
  <c r="D47" i="22" s="1"/>
  <c r="D56" i="22" s="1"/>
  <c r="D65" i="22" s="1"/>
  <c r="D74" i="22" s="1"/>
  <c r="D83" i="22" s="1"/>
  <c r="D92" i="22" s="1"/>
  <c r="D101" i="22" s="1"/>
  <c r="D110" i="22" s="1"/>
  <c r="D119" i="22" s="1"/>
  <c r="D128" i="22" s="1"/>
  <c r="D137" i="22" s="1"/>
  <c r="D146" i="22" s="1"/>
  <c r="D155" i="22" s="1"/>
  <c r="D164" i="22" s="1"/>
  <c r="D173" i="22" s="1"/>
  <c r="D182" i="22" s="1"/>
  <c r="D191" i="22" s="1"/>
  <c r="D200" i="22" s="1"/>
  <c r="D209" i="22" s="1"/>
  <c r="D218" i="22" s="1"/>
  <c r="D227" i="22" s="1"/>
  <c r="D236" i="22" s="1"/>
  <c r="D245" i="22" s="1"/>
  <c r="D254" i="22" s="1"/>
  <c r="D263" i="22" s="1"/>
  <c r="D272" i="22" s="1"/>
  <c r="D281" i="22" s="1"/>
  <c r="D290" i="22" s="1"/>
  <c r="D299" i="22" s="1"/>
  <c r="D308" i="22" s="1"/>
  <c r="D317" i="22" s="1"/>
  <c r="D326" i="22" s="1"/>
  <c r="D335" i="22" s="1"/>
  <c r="D344" i="22" s="1"/>
  <c r="D353" i="22" s="1"/>
  <c r="D362" i="22" s="1"/>
  <c r="D371" i="22" s="1"/>
  <c r="D380" i="22" s="1"/>
  <c r="D389" i="22" s="1"/>
  <c r="D398" i="22" s="1"/>
  <c r="D407" i="22" s="1"/>
  <c r="D416" i="22" s="1"/>
  <c r="D425" i="22" s="1"/>
  <c r="D434" i="22" s="1"/>
  <c r="D443" i="22" s="1"/>
  <c r="D452" i="22" s="1"/>
  <c r="D461" i="22" s="1"/>
  <c r="D470" i="22" s="1"/>
  <c r="D479" i="22" s="1"/>
  <c r="D488" i="22" s="1"/>
  <c r="D497" i="22" s="1"/>
  <c r="D506" i="22" s="1"/>
  <c r="D515" i="22" s="1"/>
  <c r="D524" i="22" s="1"/>
  <c r="D533" i="22" s="1"/>
  <c r="D542" i="22" s="1"/>
  <c r="H470" i="22"/>
  <c r="D3" i="22"/>
  <c r="D12" i="22" s="1"/>
  <c r="D21" i="22" s="1"/>
  <c r="D30" i="22" s="1"/>
  <c r="D39" i="22" s="1"/>
  <c r="D48" i="22" s="1"/>
  <c r="D57" i="22" s="1"/>
  <c r="D66" i="22" s="1"/>
  <c r="D75" i="22" s="1"/>
  <c r="D84" i="22" s="1"/>
  <c r="D93" i="22" s="1"/>
  <c r="D102" i="22" s="1"/>
  <c r="D111" i="22" s="1"/>
  <c r="D120" i="22" s="1"/>
  <c r="D129" i="22" s="1"/>
  <c r="D138" i="22" s="1"/>
  <c r="D147" i="22" s="1"/>
  <c r="D156" i="22" s="1"/>
  <c r="D165" i="22" s="1"/>
  <c r="D174" i="22" s="1"/>
  <c r="D183" i="22" s="1"/>
  <c r="D192" i="22" s="1"/>
  <c r="D201" i="22" s="1"/>
  <c r="D210" i="22" s="1"/>
  <c r="D219" i="22" s="1"/>
  <c r="D228" i="22" s="1"/>
  <c r="D237" i="22" s="1"/>
  <c r="D246" i="22" s="1"/>
  <c r="D255" i="22" s="1"/>
  <c r="D264" i="22" s="1"/>
  <c r="D273" i="22" s="1"/>
  <c r="D282" i="22" s="1"/>
  <c r="D291" i="22" s="1"/>
  <c r="D300" i="22" s="1"/>
  <c r="D309" i="22" s="1"/>
  <c r="D318" i="22" s="1"/>
  <c r="D327" i="22" s="1"/>
  <c r="D336" i="22" s="1"/>
  <c r="D345" i="22" s="1"/>
  <c r="D354" i="22" s="1"/>
  <c r="D363" i="22" s="1"/>
  <c r="D372" i="22" s="1"/>
  <c r="D381" i="22" s="1"/>
  <c r="D390" i="22" s="1"/>
  <c r="D399" i="22" s="1"/>
  <c r="D408" i="22" s="1"/>
  <c r="D417" i="22" s="1"/>
  <c r="D426" i="22" s="1"/>
  <c r="D435" i="22" s="1"/>
  <c r="D444" i="22" s="1"/>
  <c r="D453" i="22" s="1"/>
  <c r="D462" i="22" s="1"/>
  <c r="D471" i="22" s="1"/>
  <c r="D480" i="22" s="1"/>
  <c r="D489" i="22" s="1"/>
  <c r="D498" i="22" s="1"/>
  <c r="D507" i="22" s="1"/>
  <c r="D516" i="22" s="1"/>
  <c r="D525" i="22" s="1"/>
  <c r="D534" i="22" s="1"/>
  <c r="D543" i="22" s="1"/>
  <c r="E471" i="22"/>
  <c r="G471" i="22" s="1"/>
  <c r="H471" i="22"/>
  <c r="D4" i="22"/>
  <c r="D13" i="22" s="1"/>
  <c r="D22" i="22" s="1"/>
  <c r="D31" i="22" s="1"/>
  <c r="D40" i="22" s="1"/>
  <c r="D49" i="22" s="1"/>
  <c r="D58" i="22" s="1"/>
  <c r="D67" i="22" s="1"/>
  <c r="D76" i="22" s="1"/>
  <c r="D85" i="22" s="1"/>
  <c r="D94" i="22" s="1"/>
  <c r="D103" i="22" s="1"/>
  <c r="D112" i="22" s="1"/>
  <c r="D121" i="22" s="1"/>
  <c r="D130" i="22" s="1"/>
  <c r="D139" i="22" s="1"/>
  <c r="D148" i="22" s="1"/>
  <c r="D157" i="22" s="1"/>
  <c r="D166" i="22" s="1"/>
  <c r="D175" i="22" s="1"/>
  <c r="D184" i="22" s="1"/>
  <c r="D193" i="22" s="1"/>
  <c r="D202" i="22" s="1"/>
  <c r="D211" i="22" s="1"/>
  <c r="D220" i="22" s="1"/>
  <c r="D229" i="22" s="1"/>
  <c r="D238" i="22" s="1"/>
  <c r="D247" i="22" s="1"/>
  <c r="D256" i="22" s="1"/>
  <c r="D265" i="22" s="1"/>
  <c r="D274" i="22" s="1"/>
  <c r="D283" i="22" s="1"/>
  <c r="D292" i="22" s="1"/>
  <c r="D301" i="22" s="1"/>
  <c r="D310" i="22" s="1"/>
  <c r="D319" i="22" s="1"/>
  <c r="D328" i="22" s="1"/>
  <c r="D337" i="22" s="1"/>
  <c r="D346" i="22" s="1"/>
  <c r="D355" i="22" s="1"/>
  <c r="D364" i="22" s="1"/>
  <c r="D373" i="22" s="1"/>
  <c r="D382" i="22" s="1"/>
  <c r="D391" i="22" s="1"/>
  <c r="D400" i="22" s="1"/>
  <c r="D409" i="22" s="1"/>
  <c r="D418" i="22" s="1"/>
  <c r="D427" i="22" s="1"/>
  <c r="D436" i="22" s="1"/>
  <c r="D445" i="22" s="1"/>
  <c r="D454" i="22" s="1"/>
  <c r="D463" i="22" s="1"/>
  <c r="D472" i="22" s="1"/>
  <c r="D481" i="22" s="1"/>
  <c r="D490" i="22" s="1"/>
  <c r="D499" i="22" s="1"/>
  <c r="D508" i="22" s="1"/>
  <c r="D517" i="22" s="1"/>
  <c r="D526" i="22" s="1"/>
  <c r="D535" i="22" s="1"/>
  <c r="D544" i="22" s="1"/>
  <c r="E472" i="22"/>
  <c r="G472" i="22" s="1"/>
  <c r="H472" i="22"/>
  <c r="D5" i="22"/>
  <c r="D14" i="22" s="1"/>
  <c r="D23" i="22" s="1"/>
  <c r="D32" i="22" s="1"/>
  <c r="D41" i="22" s="1"/>
  <c r="D50" i="22" s="1"/>
  <c r="D59" i="22" s="1"/>
  <c r="D68" i="22" s="1"/>
  <c r="D77" i="22" s="1"/>
  <c r="D86" i="22" s="1"/>
  <c r="D95" i="22" s="1"/>
  <c r="D104" i="22" s="1"/>
  <c r="D113" i="22" s="1"/>
  <c r="D122" i="22" s="1"/>
  <c r="D131" i="22" s="1"/>
  <c r="D140" i="22" s="1"/>
  <c r="D149" i="22" s="1"/>
  <c r="D158" i="22" s="1"/>
  <c r="D167" i="22" s="1"/>
  <c r="D176" i="22" s="1"/>
  <c r="D185" i="22" s="1"/>
  <c r="D194" i="22" s="1"/>
  <c r="D203" i="22" s="1"/>
  <c r="D212" i="22" s="1"/>
  <c r="D221" i="22" s="1"/>
  <c r="D230" i="22" s="1"/>
  <c r="D239" i="22" s="1"/>
  <c r="D248" i="22" s="1"/>
  <c r="D257" i="22" s="1"/>
  <c r="D266" i="22" s="1"/>
  <c r="D275" i="22" s="1"/>
  <c r="D284" i="22" s="1"/>
  <c r="D293" i="22" s="1"/>
  <c r="D302" i="22" s="1"/>
  <c r="D311" i="22" s="1"/>
  <c r="D320" i="22" s="1"/>
  <c r="D329" i="22" s="1"/>
  <c r="D338" i="22" s="1"/>
  <c r="D347" i="22" s="1"/>
  <c r="D356" i="22" s="1"/>
  <c r="D365" i="22" s="1"/>
  <c r="D374" i="22" s="1"/>
  <c r="D383" i="22" s="1"/>
  <c r="D392" i="22" s="1"/>
  <c r="D401" i="22" s="1"/>
  <c r="D410" i="22" s="1"/>
  <c r="D419" i="22" s="1"/>
  <c r="D428" i="22" s="1"/>
  <c r="D437" i="22" s="1"/>
  <c r="D446" i="22" s="1"/>
  <c r="D455" i="22" s="1"/>
  <c r="D464" i="22" s="1"/>
  <c r="D473" i="22" s="1"/>
  <c r="D482" i="22" s="1"/>
  <c r="D491" i="22" s="1"/>
  <c r="D500" i="22" s="1"/>
  <c r="D509" i="22" s="1"/>
  <c r="D518" i="22" s="1"/>
  <c r="D527" i="22" s="1"/>
  <c r="D536" i="22" s="1"/>
  <c r="D545" i="22" s="1"/>
  <c r="E473" i="22"/>
  <c r="G473" i="22" s="1"/>
  <c r="H473" i="22"/>
  <c r="D6" i="22"/>
  <c r="D15" i="22" s="1"/>
  <c r="D24" i="22" s="1"/>
  <c r="D33" i="22" s="1"/>
  <c r="D42" i="22" s="1"/>
  <c r="D51" i="22" s="1"/>
  <c r="D60" i="22" s="1"/>
  <c r="D69" i="22" s="1"/>
  <c r="D78" i="22" s="1"/>
  <c r="D87" i="22" s="1"/>
  <c r="D96" i="22" s="1"/>
  <c r="D105" i="22" s="1"/>
  <c r="D114" i="22" s="1"/>
  <c r="D123" i="22" s="1"/>
  <c r="D132" i="22" s="1"/>
  <c r="D141" i="22" s="1"/>
  <c r="D150" i="22" s="1"/>
  <c r="D159" i="22" s="1"/>
  <c r="D168" i="22" s="1"/>
  <c r="D177" i="22" s="1"/>
  <c r="D186" i="22" s="1"/>
  <c r="D195" i="22" s="1"/>
  <c r="D204" i="22" s="1"/>
  <c r="D213" i="22" s="1"/>
  <c r="D222" i="22" s="1"/>
  <c r="D231" i="22" s="1"/>
  <c r="D240" i="22" s="1"/>
  <c r="D249" i="22" s="1"/>
  <c r="D258" i="22" s="1"/>
  <c r="D267" i="22" s="1"/>
  <c r="D276" i="22" s="1"/>
  <c r="D285" i="22" s="1"/>
  <c r="D294" i="22" s="1"/>
  <c r="D303" i="22" s="1"/>
  <c r="D312" i="22" s="1"/>
  <c r="D321" i="22" s="1"/>
  <c r="D330" i="22" s="1"/>
  <c r="D339" i="22" s="1"/>
  <c r="D348" i="22" s="1"/>
  <c r="D357" i="22" s="1"/>
  <c r="D366" i="22" s="1"/>
  <c r="D375" i="22" s="1"/>
  <c r="D384" i="22" s="1"/>
  <c r="D393" i="22" s="1"/>
  <c r="D402" i="22" s="1"/>
  <c r="D411" i="22" s="1"/>
  <c r="D420" i="22" s="1"/>
  <c r="D429" i="22" s="1"/>
  <c r="D438" i="22" s="1"/>
  <c r="D447" i="22" s="1"/>
  <c r="D456" i="22" s="1"/>
  <c r="D465" i="22" s="1"/>
  <c r="D474" i="22" s="1"/>
  <c r="D483" i="22" s="1"/>
  <c r="D492" i="22" s="1"/>
  <c r="D501" i="22" s="1"/>
  <c r="D510" i="22" s="1"/>
  <c r="D519" i="22" s="1"/>
  <c r="D528" i="22" s="1"/>
  <c r="D537" i="22" s="1"/>
  <c r="D546" i="22" s="1"/>
  <c r="E474" i="22"/>
  <c r="G474" i="22" s="1"/>
  <c r="H474" i="22"/>
  <c r="D7" i="22"/>
  <c r="D16" i="22" s="1"/>
  <c r="D25" i="22" s="1"/>
  <c r="D34" i="22" s="1"/>
  <c r="D43" i="22" s="1"/>
  <c r="D52" i="22" s="1"/>
  <c r="D61" i="22" s="1"/>
  <c r="D70" i="22" s="1"/>
  <c r="D79" i="22" s="1"/>
  <c r="D88" i="22" s="1"/>
  <c r="D97" i="22" s="1"/>
  <c r="D106" i="22" s="1"/>
  <c r="D115" i="22" s="1"/>
  <c r="D124" i="22" s="1"/>
  <c r="D133" i="22" s="1"/>
  <c r="D142" i="22" s="1"/>
  <c r="D151" i="22" s="1"/>
  <c r="D160" i="22" s="1"/>
  <c r="D169" i="22" s="1"/>
  <c r="D178" i="22" s="1"/>
  <c r="D187" i="22" s="1"/>
  <c r="D196" i="22" s="1"/>
  <c r="D205" i="22" s="1"/>
  <c r="D214" i="22" s="1"/>
  <c r="D223" i="22" s="1"/>
  <c r="D232" i="22" s="1"/>
  <c r="D241" i="22" s="1"/>
  <c r="D250" i="22" s="1"/>
  <c r="D259" i="22" s="1"/>
  <c r="D268" i="22" s="1"/>
  <c r="D277" i="22" s="1"/>
  <c r="D286" i="22" s="1"/>
  <c r="D295" i="22" s="1"/>
  <c r="D304" i="22" s="1"/>
  <c r="D313" i="22" s="1"/>
  <c r="D322" i="22" s="1"/>
  <c r="D331" i="22" s="1"/>
  <c r="D340" i="22" s="1"/>
  <c r="D349" i="22" s="1"/>
  <c r="D358" i="22" s="1"/>
  <c r="D367" i="22" s="1"/>
  <c r="D376" i="22" s="1"/>
  <c r="D385" i="22" s="1"/>
  <c r="D394" i="22" s="1"/>
  <c r="D403" i="22" s="1"/>
  <c r="D412" i="22" s="1"/>
  <c r="D421" i="22" s="1"/>
  <c r="D430" i="22" s="1"/>
  <c r="D439" i="22" s="1"/>
  <c r="D448" i="22" s="1"/>
  <c r="D457" i="22" s="1"/>
  <c r="D466" i="22" s="1"/>
  <c r="D475" i="22" s="1"/>
  <c r="D484" i="22" s="1"/>
  <c r="D493" i="22" s="1"/>
  <c r="D502" i="22" s="1"/>
  <c r="D511" i="22" s="1"/>
  <c r="D520" i="22" s="1"/>
  <c r="D529" i="22" s="1"/>
  <c r="D538" i="22" s="1"/>
  <c r="D547" i="22" s="1"/>
  <c r="E475" i="22"/>
  <c r="G475" i="22" s="1"/>
  <c r="H475" i="22"/>
  <c r="D8" i="22"/>
  <c r="D17" i="22" s="1"/>
  <c r="D26" i="22" s="1"/>
  <c r="D35" i="22" s="1"/>
  <c r="D44" i="22" s="1"/>
  <c r="D53" i="22" s="1"/>
  <c r="D62" i="22" s="1"/>
  <c r="D71" i="22" s="1"/>
  <c r="D80" i="22" s="1"/>
  <c r="D89" i="22" s="1"/>
  <c r="D98" i="22" s="1"/>
  <c r="D107" i="22" s="1"/>
  <c r="D116" i="22" s="1"/>
  <c r="D125" i="22" s="1"/>
  <c r="D134" i="22" s="1"/>
  <c r="D143" i="22" s="1"/>
  <c r="D152" i="22" s="1"/>
  <c r="D161" i="22" s="1"/>
  <c r="D170" i="22" s="1"/>
  <c r="D179" i="22" s="1"/>
  <c r="D188" i="22" s="1"/>
  <c r="D197" i="22" s="1"/>
  <c r="D206" i="22" s="1"/>
  <c r="D215" i="22" s="1"/>
  <c r="D224" i="22" s="1"/>
  <c r="D233" i="22" s="1"/>
  <c r="D242" i="22" s="1"/>
  <c r="D251" i="22" s="1"/>
  <c r="D260" i="22" s="1"/>
  <c r="D269" i="22" s="1"/>
  <c r="D278" i="22" s="1"/>
  <c r="D287" i="22" s="1"/>
  <c r="D296" i="22" s="1"/>
  <c r="D305" i="22" s="1"/>
  <c r="D314" i="22" s="1"/>
  <c r="D323" i="22" s="1"/>
  <c r="D332" i="22" s="1"/>
  <c r="D341" i="22" s="1"/>
  <c r="D350" i="22" s="1"/>
  <c r="D359" i="22" s="1"/>
  <c r="D368" i="22" s="1"/>
  <c r="D377" i="22" s="1"/>
  <c r="D386" i="22" s="1"/>
  <c r="D395" i="22" s="1"/>
  <c r="D404" i="22" s="1"/>
  <c r="D413" i="22" s="1"/>
  <c r="D422" i="22" s="1"/>
  <c r="D431" i="22" s="1"/>
  <c r="D440" i="22" s="1"/>
  <c r="D449" i="22" s="1"/>
  <c r="D458" i="22" s="1"/>
  <c r="D467" i="22" s="1"/>
  <c r="D476" i="22" s="1"/>
  <c r="D485" i="22" s="1"/>
  <c r="D494" i="22" s="1"/>
  <c r="D503" i="22" s="1"/>
  <c r="D512" i="22" s="1"/>
  <c r="D521" i="22" s="1"/>
  <c r="D530" i="22" s="1"/>
  <c r="D539" i="22" s="1"/>
  <c r="D548" i="22" s="1"/>
  <c r="E476" i="22"/>
  <c r="G476" i="22" s="1"/>
  <c r="H476" i="22"/>
  <c r="D9" i="22"/>
  <c r="D18" i="22" s="1"/>
  <c r="D27" i="22" s="1"/>
  <c r="D36" i="22" s="1"/>
  <c r="D45" i="22" s="1"/>
  <c r="D54" i="22" s="1"/>
  <c r="D63" i="22" s="1"/>
  <c r="D72" i="22" s="1"/>
  <c r="D81" i="22" s="1"/>
  <c r="D90" i="22" s="1"/>
  <c r="D99" i="22" s="1"/>
  <c r="D108" i="22" s="1"/>
  <c r="D117" i="22" s="1"/>
  <c r="D126" i="22" s="1"/>
  <c r="D135" i="22" s="1"/>
  <c r="D144" i="22" s="1"/>
  <c r="D153" i="22" s="1"/>
  <c r="D162" i="22" s="1"/>
  <c r="D171" i="22" s="1"/>
  <c r="D180" i="22" s="1"/>
  <c r="D189" i="22" s="1"/>
  <c r="D198" i="22" s="1"/>
  <c r="D207" i="22" s="1"/>
  <c r="D216" i="22" s="1"/>
  <c r="D225" i="22" s="1"/>
  <c r="D234" i="22" s="1"/>
  <c r="D243" i="22" s="1"/>
  <c r="D252" i="22" s="1"/>
  <c r="D261" i="22" s="1"/>
  <c r="D270" i="22" s="1"/>
  <c r="D279" i="22" s="1"/>
  <c r="D288" i="22" s="1"/>
  <c r="D297" i="22" s="1"/>
  <c r="D306" i="22" s="1"/>
  <c r="D315" i="22" s="1"/>
  <c r="D324" i="22" s="1"/>
  <c r="D333" i="22" s="1"/>
  <c r="D342" i="22" s="1"/>
  <c r="D351" i="22" s="1"/>
  <c r="D360" i="22" s="1"/>
  <c r="D369" i="22" s="1"/>
  <c r="D378" i="22" s="1"/>
  <c r="D387" i="22" s="1"/>
  <c r="D396" i="22" s="1"/>
  <c r="D405" i="22" s="1"/>
  <c r="D414" i="22" s="1"/>
  <c r="D423" i="22" s="1"/>
  <c r="D432" i="22" s="1"/>
  <c r="D441" i="22" s="1"/>
  <c r="D450" i="22" s="1"/>
  <c r="D459" i="22" s="1"/>
  <c r="D468" i="22" s="1"/>
  <c r="D477" i="22" s="1"/>
  <c r="D486" i="22" s="1"/>
  <c r="D495" i="22" s="1"/>
  <c r="D504" i="22" s="1"/>
  <c r="D513" i="22" s="1"/>
  <c r="D522" i="22" s="1"/>
  <c r="D531" i="22" s="1"/>
  <c r="D540" i="22" s="1"/>
  <c r="D549" i="22" s="1"/>
  <c r="E477" i="22"/>
  <c r="G477" i="22" s="1"/>
  <c r="H477" i="22"/>
  <c r="D10" i="22"/>
  <c r="D19" i="22" s="1"/>
  <c r="D28" i="22" s="1"/>
  <c r="D37" i="22" s="1"/>
  <c r="D46" i="22" s="1"/>
  <c r="D55" i="22" s="1"/>
  <c r="D64" i="22" s="1"/>
  <c r="D73" i="22" s="1"/>
  <c r="D82" i="22" s="1"/>
  <c r="D91" i="22" s="1"/>
  <c r="D100" i="22" s="1"/>
  <c r="D109" i="22" s="1"/>
  <c r="D118" i="22" s="1"/>
  <c r="D127" i="22" s="1"/>
  <c r="D136" i="22" s="1"/>
  <c r="D145" i="22" s="1"/>
  <c r="D154" i="22" s="1"/>
  <c r="D163" i="22" s="1"/>
  <c r="D172" i="22" s="1"/>
  <c r="D181" i="22" s="1"/>
  <c r="D190" i="22" s="1"/>
  <c r="D199" i="22" s="1"/>
  <c r="D208" i="22" s="1"/>
  <c r="D217" i="22" s="1"/>
  <c r="D226" i="22" s="1"/>
  <c r="D235" i="22" s="1"/>
  <c r="D244" i="22" s="1"/>
  <c r="D253" i="22" s="1"/>
  <c r="D262" i="22" s="1"/>
  <c r="D271" i="22" s="1"/>
  <c r="D280" i="22" s="1"/>
  <c r="D289" i="22" s="1"/>
  <c r="D298" i="22" s="1"/>
  <c r="D307" i="22" s="1"/>
  <c r="D316" i="22" s="1"/>
  <c r="D325" i="22" s="1"/>
  <c r="D334" i="22" s="1"/>
  <c r="D343" i="22" s="1"/>
  <c r="D352" i="22" s="1"/>
  <c r="D361" i="22" s="1"/>
  <c r="D370" i="22" s="1"/>
  <c r="D379" i="22" s="1"/>
  <c r="D388" i="22" s="1"/>
  <c r="D397" i="22" s="1"/>
  <c r="D406" i="22" s="1"/>
  <c r="D415" i="22" s="1"/>
  <c r="D424" i="22" s="1"/>
  <c r="D433" i="22" s="1"/>
  <c r="D442" i="22" s="1"/>
  <c r="D451" i="22" s="1"/>
  <c r="D460" i="22" s="1"/>
  <c r="D469" i="22" s="1"/>
  <c r="D478" i="22" s="1"/>
  <c r="D487" i="22" s="1"/>
  <c r="D496" i="22" s="1"/>
  <c r="D505" i="22" s="1"/>
  <c r="D514" i="22" s="1"/>
  <c r="D523" i="22" s="1"/>
  <c r="D532" i="22" s="1"/>
  <c r="D541" i="22" s="1"/>
  <c r="D550" i="22" s="1"/>
  <c r="E478" i="22"/>
  <c r="G478" i="22" s="1"/>
  <c r="H478" i="22"/>
  <c r="E479" i="22"/>
  <c r="G479" i="22" s="1"/>
  <c r="H479" i="22"/>
  <c r="E480" i="22"/>
  <c r="G480" i="22" s="1"/>
  <c r="H480" i="22"/>
  <c r="E481" i="22"/>
  <c r="G481" i="22" s="1"/>
  <c r="H481" i="22"/>
  <c r="E482" i="22"/>
  <c r="G482" i="22" s="1"/>
  <c r="H482" i="22"/>
  <c r="E483" i="22"/>
  <c r="G483" i="22" s="1"/>
  <c r="H483" i="22"/>
  <c r="E484" i="22"/>
  <c r="G484" i="22" s="1"/>
  <c r="H484" i="22"/>
  <c r="E485" i="22"/>
  <c r="G485" i="22" s="1"/>
  <c r="H485" i="22"/>
  <c r="E486" i="22"/>
  <c r="G486" i="22" s="1"/>
  <c r="H486" i="22"/>
  <c r="E487" i="22"/>
  <c r="G487" i="22" s="1"/>
  <c r="H487" i="22"/>
  <c r="E488" i="22"/>
  <c r="G488" i="22" s="1"/>
  <c r="H488" i="22"/>
  <c r="E489" i="22"/>
  <c r="G489" i="22" s="1"/>
  <c r="H489" i="22"/>
  <c r="E490" i="22"/>
  <c r="G490" i="22" s="1"/>
  <c r="H490" i="22"/>
  <c r="E491" i="22"/>
  <c r="G491" i="22" s="1"/>
  <c r="H491" i="22"/>
  <c r="E492" i="22"/>
  <c r="G492" i="22" s="1"/>
  <c r="H492" i="22"/>
  <c r="E493" i="22"/>
  <c r="G493" i="22" s="1"/>
  <c r="H493" i="22"/>
  <c r="E494" i="22"/>
  <c r="G494" i="22" s="1"/>
  <c r="H494" i="22"/>
  <c r="E495" i="22"/>
  <c r="G495" i="22" s="1"/>
  <c r="H495" i="22"/>
  <c r="E496" i="22"/>
  <c r="G496" i="22" s="1"/>
  <c r="H496" i="22"/>
  <c r="E497" i="22"/>
  <c r="G497" i="22" s="1"/>
  <c r="H497" i="22"/>
  <c r="E498" i="22"/>
  <c r="G498" i="22" s="1"/>
  <c r="H498" i="22"/>
  <c r="E499" i="22"/>
  <c r="G499" i="22" s="1"/>
  <c r="H499" i="22"/>
  <c r="E500" i="22"/>
  <c r="G500" i="22" s="1"/>
  <c r="H500" i="22"/>
  <c r="E501" i="22"/>
  <c r="G501" i="22" s="1"/>
  <c r="H501" i="22"/>
  <c r="E502" i="22"/>
  <c r="G502" i="22" s="1"/>
  <c r="H502" i="22"/>
  <c r="E503" i="22"/>
  <c r="G503" i="22" s="1"/>
  <c r="H503" i="22"/>
  <c r="E504" i="22"/>
  <c r="G504" i="22" s="1"/>
  <c r="H504" i="22"/>
  <c r="E505" i="22"/>
  <c r="G505" i="22" s="1"/>
  <c r="H505" i="22"/>
  <c r="E506" i="22"/>
  <c r="G506" i="22" s="1"/>
  <c r="H506" i="22"/>
  <c r="E507" i="22"/>
  <c r="G507" i="22" s="1"/>
  <c r="H507" i="22"/>
  <c r="E508" i="22"/>
  <c r="G508" i="22" s="1"/>
  <c r="H508" i="22"/>
  <c r="E509" i="22"/>
  <c r="G509" i="22" s="1"/>
  <c r="H509" i="22"/>
  <c r="E510" i="22"/>
  <c r="G510" i="22" s="1"/>
  <c r="H510" i="22"/>
  <c r="E511" i="22"/>
  <c r="G511" i="22" s="1"/>
  <c r="H511" i="22"/>
  <c r="E512" i="22"/>
  <c r="G512" i="22" s="1"/>
  <c r="H512" i="22"/>
  <c r="E513" i="22"/>
  <c r="G513" i="22" s="1"/>
  <c r="H513" i="22"/>
  <c r="E514" i="22"/>
  <c r="G514" i="22" s="1"/>
  <c r="H514" i="22"/>
  <c r="E515" i="22"/>
  <c r="G515" i="22" s="1"/>
  <c r="H515" i="22"/>
  <c r="E516" i="22"/>
  <c r="G516" i="22" s="1"/>
  <c r="H516" i="22"/>
  <c r="E517" i="22"/>
  <c r="G517" i="22" s="1"/>
  <c r="H517" i="22"/>
  <c r="E518" i="22"/>
  <c r="G518" i="22" s="1"/>
  <c r="H518" i="22"/>
  <c r="E519" i="22"/>
  <c r="G519" i="22" s="1"/>
  <c r="H519" i="22"/>
  <c r="E520" i="22"/>
  <c r="G520" i="22" s="1"/>
  <c r="H520" i="22"/>
  <c r="E521" i="22"/>
  <c r="G521" i="22" s="1"/>
  <c r="H521" i="22"/>
  <c r="E522" i="22"/>
  <c r="G522" i="22" s="1"/>
  <c r="H522" i="22"/>
  <c r="E523" i="22"/>
  <c r="G523" i="22" s="1"/>
  <c r="H523" i="22"/>
  <c r="E524" i="22"/>
  <c r="G524" i="22" s="1"/>
  <c r="H524" i="22"/>
  <c r="E525" i="22"/>
  <c r="G525" i="22" s="1"/>
  <c r="H525" i="22"/>
  <c r="E526" i="22"/>
  <c r="G526" i="22" s="1"/>
  <c r="H526" i="22"/>
  <c r="E527" i="22"/>
  <c r="G527" i="22" s="1"/>
  <c r="H527" i="22"/>
  <c r="E528" i="22"/>
  <c r="G528" i="22" s="1"/>
  <c r="H528" i="22"/>
  <c r="E529" i="22"/>
  <c r="G529" i="22" s="1"/>
  <c r="H529" i="22"/>
  <c r="E530" i="22"/>
  <c r="G530" i="22" s="1"/>
  <c r="H530" i="22"/>
  <c r="E531" i="22"/>
  <c r="G531" i="22" s="1"/>
  <c r="H531" i="22"/>
  <c r="E532" i="22"/>
  <c r="G532" i="22" s="1"/>
  <c r="H532" i="22"/>
  <c r="E533" i="22"/>
  <c r="G533" i="22" s="1"/>
  <c r="H533" i="22"/>
  <c r="E534" i="22"/>
  <c r="G534" i="22" s="1"/>
  <c r="H534" i="22"/>
  <c r="E535" i="22"/>
  <c r="G535" i="22" s="1"/>
  <c r="H535" i="22"/>
  <c r="E536" i="22"/>
  <c r="G536" i="22" s="1"/>
  <c r="H536" i="22"/>
  <c r="E537" i="22"/>
  <c r="G537" i="22" s="1"/>
  <c r="H537" i="22"/>
  <c r="E538" i="22"/>
  <c r="G538" i="22" s="1"/>
  <c r="H538" i="22"/>
  <c r="E539" i="22"/>
  <c r="G539" i="22" s="1"/>
  <c r="H539" i="22"/>
  <c r="E540" i="22"/>
  <c r="G540" i="22" s="1"/>
  <c r="H540" i="22"/>
  <c r="E541" i="22"/>
  <c r="G541" i="22" s="1"/>
  <c r="H541" i="22"/>
  <c r="E587" i="14"/>
  <c r="G587" i="14" s="1"/>
  <c r="H587" i="14"/>
  <c r="E588" i="14"/>
  <c r="G588" i="14" s="1"/>
  <c r="H588" i="14"/>
  <c r="E589" i="14"/>
  <c r="G589" i="14" s="1"/>
  <c r="H589" i="14"/>
  <c r="E590" i="14"/>
  <c r="G590" i="14" s="1"/>
  <c r="H590" i="14"/>
  <c r="E591" i="14"/>
  <c r="G591" i="14" s="1"/>
  <c r="H591" i="14"/>
  <c r="E592" i="14"/>
  <c r="G592" i="14" s="1"/>
  <c r="H592" i="14"/>
  <c r="E593" i="14"/>
  <c r="G593" i="14" s="1"/>
  <c r="H593" i="14"/>
  <c r="E594" i="14"/>
  <c r="G594" i="14" s="1"/>
  <c r="H594" i="14"/>
  <c r="E595" i="14"/>
  <c r="G595" i="14" s="1"/>
  <c r="H595" i="14"/>
  <c r="H2054" i="13"/>
  <c r="J2054" i="13" s="1"/>
  <c r="K2054" i="13"/>
  <c r="H2055" i="13"/>
  <c r="J2055" i="13" s="1"/>
  <c r="K2055" i="13"/>
  <c r="H2056" i="13"/>
  <c r="J2056" i="13" s="1"/>
  <c r="K2056" i="13"/>
  <c r="H2057" i="13"/>
  <c r="J2057" i="13" s="1"/>
  <c r="K2057" i="13"/>
  <c r="H2058" i="13"/>
  <c r="J2058" i="13" s="1"/>
  <c r="K2058" i="13"/>
  <c r="H2059" i="13"/>
  <c r="J2059" i="13" s="1"/>
  <c r="K2059" i="13"/>
  <c r="H2060" i="13"/>
  <c r="J2060" i="13" s="1"/>
  <c r="K2060" i="13"/>
  <c r="H2061" i="13"/>
  <c r="J2061" i="13" s="1"/>
  <c r="K2061" i="13"/>
  <c r="H2062" i="13"/>
  <c r="J2062" i="13" s="1"/>
  <c r="K2062" i="13"/>
  <c r="H2063" i="13"/>
  <c r="J2063" i="13" s="1"/>
  <c r="K2063" i="13"/>
  <c r="H2064" i="13"/>
  <c r="J2064" i="13" s="1"/>
  <c r="K2064" i="13"/>
  <c r="H2065" i="13"/>
  <c r="J2065" i="13" s="1"/>
  <c r="K2065" i="13"/>
  <c r="H2066" i="13"/>
  <c r="J2066" i="13" s="1"/>
  <c r="K2066" i="13"/>
  <c r="H2067" i="13"/>
  <c r="J2067" i="13" s="1"/>
  <c r="K2067" i="13"/>
  <c r="H2068" i="13"/>
  <c r="J2068" i="13" s="1"/>
  <c r="K2068" i="13"/>
  <c r="H2069" i="13"/>
  <c r="J2069" i="13" s="1"/>
  <c r="K2069" i="13"/>
  <c r="H2070" i="13"/>
  <c r="J2070" i="13" s="1"/>
  <c r="K2070" i="13"/>
  <c r="H2071" i="13"/>
  <c r="J2071" i="13" s="1"/>
  <c r="K2071" i="13"/>
  <c r="H2072" i="13"/>
  <c r="J2072" i="13" s="1"/>
  <c r="K2072" i="13"/>
  <c r="H2073" i="13"/>
  <c r="J2073" i="13" s="1"/>
  <c r="K2073" i="13"/>
  <c r="H2074" i="13"/>
  <c r="J2074" i="13" s="1"/>
  <c r="K2074" i="13"/>
  <c r="H2075" i="13"/>
  <c r="J2075" i="13" s="1"/>
  <c r="K2075" i="13"/>
  <c r="H2076" i="13"/>
  <c r="J2076" i="13" s="1"/>
  <c r="K2076" i="13"/>
  <c r="H2077" i="13"/>
  <c r="J2077" i="13" s="1"/>
  <c r="K2077" i="13"/>
  <c r="H2078" i="13"/>
  <c r="J2078" i="13" s="1"/>
  <c r="K2078" i="13"/>
  <c r="H2079" i="13"/>
  <c r="J2079" i="13" s="1"/>
  <c r="K2079" i="13"/>
  <c r="H2080" i="13"/>
  <c r="J2080" i="13" s="1"/>
  <c r="K2080" i="13"/>
  <c r="H5906" i="13"/>
  <c r="J5906" i="13" s="1"/>
  <c r="K5906" i="13"/>
  <c r="H5907" i="13"/>
  <c r="J5907" i="13" s="1"/>
  <c r="K5907" i="13"/>
  <c r="H5908" i="13"/>
  <c r="J5908" i="13" s="1"/>
  <c r="K5908" i="13"/>
  <c r="H5909" i="13"/>
  <c r="J5909" i="13" s="1"/>
  <c r="K5909" i="13"/>
  <c r="H5910" i="13"/>
  <c r="J5910" i="13" s="1"/>
  <c r="K5910" i="13"/>
  <c r="H5911" i="13"/>
  <c r="J5911" i="13" s="1"/>
  <c r="K5911" i="13"/>
  <c r="H5912" i="13"/>
  <c r="J5912" i="13" s="1"/>
  <c r="K5912" i="13"/>
  <c r="H5913" i="13"/>
  <c r="J5913" i="13" s="1"/>
  <c r="K5913" i="13"/>
  <c r="H5914" i="13"/>
  <c r="J5914" i="13" s="1"/>
  <c r="K5914" i="13"/>
  <c r="E2234" i="14"/>
  <c r="G2234" i="14" s="1"/>
  <c r="H2234" i="14"/>
  <c r="E2235" i="14"/>
  <c r="G2235" i="14" s="1"/>
  <c r="H2235" i="14"/>
  <c r="E2236" i="14"/>
  <c r="G2236" i="14" s="1"/>
  <c r="H2236" i="14"/>
  <c r="E2237" i="14"/>
  <c r="G2237" i="14" s="1"/>
  <c r="H2237" i="14"/>
  <c r="E2238" i="14"/>
  <c r="G2238" i="14" s="1"/>
  <c r="H2238" i="14"/>
  <c r="E2239" i="14"/>
  <c r="G2239" i="14" s="1"/>
  <c r="H2239" i="14"/>
  <c r="E2240" i="14"/>
  <c r="G2240" i="14" s="1"/>
  <c r="H2240" i="14"/>
  <c r="E2241" i="14"/>
  <c r="G2241" i="14" s="1"/>
  <c r="H2241" i="14"/>
  <c r="E2242" i="14"/>
  <c r="G2242" i="14" s="1"/>
  <c r="H2242" i="14"/>
  <c r="E2306" i="14"/>
  <c r="G2306" i="14" s="1"/>
  <c r="H2306" i="14"/>
  <c r="E2307" i="14"/>
  <c r="G2307" i="14" s="1"/>
  <c r="H2307" i="14"/>
  <c r="E2308" i="14"/>
  <c r="G2308" i="14" s="1"/>
  <c r="H2308" i="14"/>
  <c r="E2309" i="14"/>
  <c r="G2309" i="14" s="1"/>
  <c r="H2309" i="14"/>
  <c r="E2310" i="14"/>
  <c r="G2310" i="14" s="1"/>
  <c r="H2310" i="14"/>
  <c r="E2311" i="14"/>
  <c r="G2311" i="14" s="1"/>
  <c r="H2311" i="14"/>
  <c r="E2312" i="14"/>
  <c r="G2312" i="14" s="1"/>
  <c r="H2312" i="14"/>
  <c r="E2313" i="14"/>
  <c r="G2313" i="14" s="1"/>
  <c r="H2313" i="14"/>
  <c r="E2314" i="14"/>
  <c r="G2314" i="14" s="1"/>
  <c r="H2314" i="14"/>
  <c r="E2162" i="14"/>
  <c r="G2162" i="14" s="1"/>
  <c r="H2162" i="14"/>
  <c r="E2163" i="14"/>
  <c r="G2163" i="14" s="1"/>
  <c r="H2163" i="14"/>
  <c r="E2164" i="14"/>
  <c r="G2164" i="14" s="1"/>
  <c r="H2164" i="14"/>
  <c r="E2165" i="14"/>
  <c r="G2165" i="14" s="1"/>
  <c r="H2165" i="14"/>
  <c r="E2166" i="14"/>
  <c r="G2166" i="14" s="1"/>
  <c r="H2166" i="14"/>
  <c r="E2167" i="14"/>
  <c r="G2167" i="14" s="1"/>
  <c r="H2167" i="14"/>
  <c r="E2168" i="14"/>
  <c r="G2168" i="14" s="1"/>
  <c r="H2168" i="14"/>
  <c r="E2169" i="14"/>
  <c r="G2169" i="14" s="1"/>
  <c r="H2169" i="14"/>
  <c r="E2170" i="14"/>
  <c r="G2170" i="14" s="1"/>
  <c r="H2170" i="14"/>
  <c r="E2171" i="14"/>
  <c r="G2171" i="14" s="1"/>
  <c r="H2171" i="14"/>
  <c r="E2172" i="14"/>
  <c r="G2172" i="14" s="1"/>
  <c r="H2172" i="14"/>
  <c r="E2173" i="14"/>
  <c r="G2173" i="14" s="1"/>
  <c r="H2173" i="14"/>
  <c r="E2174" i="14"/>
  <c r="G2174" i="14" s="1"/>
  <c r="H2174" i="14"/>
  <c r="E2175" i="14"/>
  <c r="G2175" i="14" s="1"/>
  <c r="H2175" i="14"/>
  <c r="E2176" i="14"/>
  <c r="G2176" i="14" s="1"/>
  <c r="H2176" i="14"/>
  <c r="E2177" i="14"/>
  <c r="G2177" i="14" s="1"/>
  <c r="H2177" i="14"/>
  <c r="E2178" i="14"/>
  <c r="G2178" i="14" s="1"/>
  <c r="H2178" i="14"/>
  <c r="E2179" i="14"/>
  <c r="G2179" i="14" s="1"/>
  <c r="H2179" i="14"/>
  <c r="E2054" i="14"/>
  <c r="G2054" i="14" s="1"/>
  <c r="H2054" i="14"/>
  <c r="E2055" i="14"/>
  <c r="G2055" i="14" s="1"/>
  <c r="H2055" i="14"/>
  <c r="E2056" i="14"/>
  <c r="G2056" i="14" s="1"/>
  <c r="H2056" i="14"/>
  <c r="E2057" i="14"/>
  <c r="G2057" i="14" s="1"/>
  <c r="H2057" i="14"/>
  <c r="E2058" i="14"/>
  <c r="G2058" i="14" s="1"/>
  <c r="H2058" i="14"/>
  <c r="E2059" i="14"/>
  <c r="G2059" i="14" s="1"/>
  <c r="H2059" i="14"/>
  <c r="E2060" i="14"/>
  <c r="G2060" i="14" s="1"/>
  <c r="H2060" i="14"/>
  <c r="E2061" i="14"/>
  <c r="G2061" i="14" s="1"/>
  <c r="H2061" i="14"/>
  <c r="E2062" i="14"/>
  <c r="G2062" i="14" s="1"/>
  <c r="H2062" i="14"/>
  <c r="E1910" i="14"/>
  <c r="G1910" i="14" s="1"/>
  <c r="H1910" i="14"/>
  <c r="E1911" i="14"/>
  <c r="G1911" i="14" s="1"/>
  <c r="H1911" i="14"/>
  <c r="E1912" i="14"/>
  <c r="G1912" i="14" s="1"/>
  <c r="H1912" i="14"/>
  <c r="E1913" i="14"/>
  <c r="G1913" i="14" s="1"/>
  <c r="H1913" i="14"/>
  <c r="E1914" i="14"/>
  <c r="G1914" i="14" s="1"/>
  <c r="H1914" i="14"/>
  <c r="E1915" i="14"/>
  <c r="G1915" i="14" s="1"/>
  <c r="H1915" i="14"/>
  <c r="E1916" i="14"/>
  <c r="G1916" i="14" s="1"/>
  <c r="H1916" i="14"/>
  <c r="E1917" i="14"/>
  <c r="G1917" i="14" s="1"/>
  <c r="H1917" i="14"/>
  <c r="E1918" i="14"/>
  <c r="G1918" i="14" s="1"/>
  <c r="H1918" i="14"/>
  <c r="E1937" i="14"/>
  <c r="G1937" i="14" s="1"/>
  <c r="H1937" i="14"/>
  <c r="E1938" i="14"/>
  <c r="G1938" i="14" s="1"/>
  <c r="H1938" i="14"/>
  <c r="E1939" i="14"/>
  <c r="G1939" i="14" s="1"/>
  <c r="H1939" i="14"/>
  <c r="E1940" i="14"/>
  <c r="G1940" i="14" s="1"/>
  <c r="H1940" i="14"/>
  <c r="E1941" i="14"/>
  <c r="G1941" i="14" s="1"/>
  <c r="H1941" i="14"/>
  <c r="E1942" i="14"/>
  <c r="G1942" i="14" s="1"/>
  <c r="H1942" i="14"/>
  <c r="E1943" i="14"/>
  <c r="G1943" i="14" s="1"/>
  <c r="H1943" i="14"/>
  <c r="E1944" i="14"/>
  <c r="G1944" i="14" s="1"/>
  <c r="H1944" i="14"/>
  <c r="E1945" i="14"/>
  <c r="G1945" i="14" s="1"/>
  <c r="H1945" i="14"/>
  <c r="E821" i="14"/>
  <c r="G821" i="14" s="1"/>
  <c r="H821" i="14"/>
  <c r="E822" i="14"/>
  <c r="G822" i="14" s="1"/>
  <c r="H822" i="14"/>
  <c r="E823" i="14"/>
  <c r="G823" i="14" s="1"/>
  <c r="H823" i="14"/>
  <c r="E824" i="14"/>
  <c r="G824" i="14" s="1"/>
  <c r="H824" i="14"/>
  <c r="E825" i="14"/>
  <c r="G825" i="14" s="1"/>
  <c r="H825" i="14"/>
  <c r="E826" i="14"/>
  <c r="G826" i="14" s="1"/>
  <c r="H826" i="14"/>
  <c r="E827" i="14"/>
  <c r="G827" i="14" s="1"/>
  <c r="H827" i="14"/>
  <c r="E828" i="14"/>
  <c r="G828" i="14" s="1"/>
  <c r="H828" i="14"/>
  <c r="E829" i="14"/>
  <c r="G829" i="14" s="1"/>
  <c r="H829" i="14"/>
  <c r="C10" i="25"/>
  <c r="C21" i="25"/>
  <c r="C26" i="25"/>
  <c r="C25" i="25"/>
  <c r="D21" i="25"/>
  <c r="D26" i="25"/>
  <c r="D25" i="25"/>
  <c r="E21" i="25"/>
  <c r="E26" i="25"/>
  <c r="E25" i="25"/>
  <c r="F21" i="25"/>
  <c r="F26" i="25"/>
  <c r="F25" i="25"/>
  <c r="G21" i="25"/>
  <c r="G26" i="25"/>
  <c r="G25" i="25"/>
  <c r="H21" i="25"/>
  <c r="H26" i="25"/>
  <c r="H25" i="25"/>
  <c r="I21" i="25"/>
  <c r="I26" i="25"/>
  <c r="I25" i="25"/>
  <c r="J21" i="25"/>
  <c r="J26" i="25"/>
  <c r="J25" i="25"/>
  <c r="B21" i="25"/>
  <c r="B26" i="25"/>
  <c r="B27" i="25"/>
  <c r="C17" i="25"/>
  <c r="C14" i="25"/>
  <c r="C11" i="25"/>
  <c r="C3" i="25"/>
  <c r="C4" i="25"/>
  <c r="E5" i="25"/>
  <c r="C5" i="25"/>
  <c r="E2153" i="14"/>
  <c r="G2153" i="14" s="1"/>
  <c r="H2153" i="14"/>
  <c r="E2154" i="14"/>
  <c r="G2154" i="14" s="1"/>
  <c r="H2154" i="14"/>
  <c r="E2155" i="14"/>
  <c r="G2155" i="14" s="1"/>
  <c r="H2155" i="14"/>
  <c r="E2156" i="14"/>
  <c r="G2156" i="14" s="1"/>
  <c r="H2156" i="14"/>
  <c r="E2157" i="14"/>
  <c r="G2157" i="14" s="1"/>
  <c r="H2157" i="14"/>
  <c r="E2158" i="14"/>
  <c r="G2158" i="14" s="1"/>
  <c r="H2158" i="14"/>
  <c r="E2159" i="14"/>
  <c r="G2159" i="14" s="1"/>
  <c r="H2159" i="14"/>
  <c r="E2160" i="14"/>
  <c r="G2160" i="14" s="1"/>
  <c r="H2160" i="14"/>
  <c r="E2161" i="14"/>
  <c r="G2161" i="14" s="1"/>
  <c r="H2161" i="14"/>
  <c r="E2216" i="14"/>
  <c r="G2216" i="14" s="1"/>
  <c r="H2216" i="14"/>
  <c r="E2217" i="14"/>
  <c r="G2217" i="14" s="1"/>
  <c r="H2217" i="14"/>
  <c r="E2218" i="14"/>
  <c r="G2218" i="14" s="1"/>
  <c r="H2218" i="14"/>
  <c r="E2219" i="14"/>
  <c r="G2219" i="14" s="1"/>
  <c r="H2219" i="14"/>
  <c r="E2220" i="14"/>
  <c r="G2220" i="14" s="1"/>
  <c r="H2220" i="14"/>
  <c r="E2221" i="14"/>
  <c r="G2221" i="14" s="1"/>
  <c r="H2221" i="14"/>
  <c r="E2222" i="14"/>
  <c r="G2222" i="14" s="1"/>
  <c r="H2222" i="14"/>
  <c r="E2223" i="14"/>
  <c r="G2223" i="14" s="1"/>
  <c r="H2223" i="14"/>
  <c r="E2224" i="14"/>
  <c r="G2224" i="14" s="1"/>
  <c r="H2224" i="14"/>
  <c r="E2027" i="14"/>
  <c r="G2027" i="14" s="1"/>
  <c r="H2027" i="14"/>
  <c r="E2028" i="14"/>
  <c r="G2028" i="14" s="1"/>
  <c r="H2028" i="14"/>
  <c r="E2029" i="14"/>
  <c r="G2029" i="14" s="1"/>
  <c r="H2029" i="14"/>
  <c r="E2030" i="14"/>
  <c r="G2030" i="14" s="1"/>
  <c r="H2030" i="14"/>
  <c r="E2031" i="14"/>
  <c r="G2031" i="14" s="1"/>
  <c r="H2031" i="14"/>
  <c r="E2032" i="14"/>
  <c r="G2032" i="14" s="1"/>
  <c r="H2032" i="14"/>
  <c r="E2033" i="14"/>
  <c r="G2033" i="14" s="1"/>
  <c r="H2033" i="14"/>
  <c r="E2034" i="14"/>
  <c r="G2034" i="14" s="1"/>
  <c r="H2034" i="14"/>
  <c r="E2035" i="14"/>
  <c r="G2035" i="14" s="1"/>
  <c r="H2035" i="14"/>
  <c r="E2045" i="14"/>
  <c r="G2045" i="14" s="1"/>
  <c r="H2045" i="14"/>
  <c r="E2046" i="14"/>
  <c r="G2046" i="14" s="1"/>
  <c r="H2046" i="14"/>
  <c r="E2047" i="14"/>
  <c r="G2047" i="14" s="1"/>
  <c r="H2047" i="14"/>
  <c r="E2048" i="14"/>
  <c r="G2048" i="14" s="1"/>
  <c r="H2048" i="14"/>
  <c r="E2049" i="14"/>
  <c r="G2049" i="14" s="1"/>
  <c r="H2049" i="14"/>
  <c r="E2050" i="14"/>
  <c r="G2050" i="14" s="1"/>
  <c r="H2050" i="14"/>
  <c r="E2051" i="14"/>
  <c r="G2051" i="14" s="1"/>
  <c r="H2051" i="14"/>
  <c r="E2052" i="14"/>
  <c r="G2052" i="14" s="1"/>
  <c r="H2052" i="14"/>
  <c r="E2053" i="14"/>
  <c r="G2053" i="14" s="1"/>
  <c r="H2053" i="14"/>
  <c r="E1865" i="14"/>
  <c r="G1865" i="14" s="1"/>
  <c r="H1865" i="14"/>
  <c r="E1866" i="14"/>
  <c r="G1866" i="14" s="1"/>
  <c r="H1866" i="14"/>
  <c r="E1867" i="14"/>
  <c r="G1867" i="14" s="1"/>
  <c r="H1867" i="14"/>
  <c r="E1868" i="14"/>
  <c r="G1868" i="14" s="1"/>
  <c r="H1868" i="14"/>
  <c r="E1869" i="14"/>
  <c r="G1869" i="14" s="1"/>
  <c r="H1869" i="14"/>
  <c r="E1870" i="14"/>
  <c r="G1870" i="14" s="1"/>
  <c r="H1870" i="14"/>
  <c r="E1871" i="14"/>
  <c r="G1871" i="14" s="1"/>
  <c r="H1871" i="14"/>
  <c r="E1872" i="14"/>
  <c r="G1872" i="14" s="1"/>
  <c r="H1872" i="14"/>
  <c r="E1873" i="14"/>
  <c r="G1873" i="14" s="1"/>
  <c r="H1873" i="14"/>
  <c r="H2045" i="13"/>
  <c r="J2045" i="13" s="1"/>
  <c r="K2045" i="13"/>
  <c r="H2046" i="13"/>
  <c r="J2046" i="13" s="1"/>
  <c r="K2046" i="13"/>
  <c r="H2047" i="13"/>
  <c r="J2047" i="13" s="1"/>
  <c r="K2047" i="13"/>
  <c r="H2048" i="13"/>
  <c r="J2048" i="13" s="1"/>
  <c r="K2048" i="13"/>
  <c r="H2049" i="13"/>
  <c r="J2049" i="13" s="1"/>
  <c r="K2049" i="13"/>
  <c r="H2050" i="13"/>
  <c r="J2050" i="13" s="1"/>
  <c r="K2050" i="13"/>
  <c r="H2051" i="13"/>
  <c r="J2051" i="13" s="1"/>
  <c r="K2051" i="13"/>
  <c r="H2052" i="13"/>
  <c r="J2052" i="13" s="1"/>
  <c r="K2052" i="13"/>
  <c r="H2053" i="13"/>
  <c r="J2053" i="13" s="1"/>
  <c r="K2053" i="13"/>
  <c r="H2027" i="13"/>
  <c r="J2027" i="13" s="1"/>
  <c r="K2027" i="13"/>
  <c r="H2028" i="13"/>
  <c r="J2028" i="13" s="1"/>
  <c r="K2028" i="13"/>
  <c r="H2029" i="13"/>
  <c r="J2029" i="13" s="1"/>
  <c r="K2029" i="13"/>
  <c r="H2030" i="13"/>
  <c r="J2030" i="13" s="1"/>
  <c r="K2030" i="13"/>
  <c r="H2031" i="13"/>
  <c r="J2031" i="13" s="1"/>
  <c r="K2031" i="13"/>
  <c r="H2032" i="13"/>
  <c r="J2032" i="13" s="1"/>
  <c r="K2032" i="13"/>
  <c r="H2033" i="13"/>
  <c r="J2033" i="13" s="1"/>
  <c r="K2033" i="13"/>
  <c r="H2034" i="13"/>
  <c r="J2034" i="13" s="1"/>
  <c r="K2034" i="13"/>
  <c r="H2035" i="13"/>
  <c r="J2035" i="13" s="1"/>
  <c r="K2035" i="13"/>
  <c r="H2036" i="13"/>
  <c r="J2036" i="13" s="1"/>
  <c r="K2036" i="13"/>
  <c r="H2037" i="13"/>
  <c r="J2037" i="13" s="1"/>
  <c r="K2037" i="13"/>
  <c r="H2038" i="13"/>
  <c r="J2038" i="13" s="1"/>
  <c r="K2038" i="13"/>
  <c r="H2039" i="13"/>
  <c r="J2039" i="13" s="1"/>
  <c r="K2039" i="13"/>
  <c r="H2040" i="13"/>
  <c r="J2040" i="13" s="1"/>
  <c r="K2040" i="13"/>
  <c r="H2041" i="13"/>
  <c r="J2041" i="13" s="1"/>
  <c r="K2041" i="13"/>
  <c r="H2042" i="13"/>
  <c r="J2042" i="13" s="1"/>
  <c r="K2042" i="13"/>
  <c r="H2043" i="13"/>
  <c r="J2043" i="13" s="1"/>
  <c r="K2043" i="13"/>
  <c r="H2044" i="13"/>
  <c r="J2044" i="13" s="1"/>
  <c r="K2044" i="13"/>
  <c r="H4331" i="13"/>
  <c r="J4331" i="13" s="1"/>
  <c r="K4331" i="13"/>
  <c r="H4332" i="13"/>
  <c r="J4332" i="13" s="1"/>
  <c r="K4332" i="13"/>
  <c r="H4333" i="13"/>
  <c r="J4333" i="13" s="1"/>
  <c r="K4333" i="13"/>
  <c r="H4334" i="13"/>
  <c r="J4334" i="13" s="1"/>
  <c r="K4334" i="13"/>
  <c r="H4335" i="13"/>
  <c r="J4335" i="13" s="1"/>
  <c r="K4335" i="13"/>
  <c r="H4336" i="13"/>
  <c r="J4336" i="13" s="1"/>
  <c r="K4336" i="13"/>
  <c r="H4337" i="13"/>
  <c r="J4337" i="13" s="1"/>
  <c r="K4337" i="13"/>
  <c r="H4338" i="13"/>
  <c r="J4338" i="13" s="1"/>
  <c r="K4338" i="13"/>
  <c r="H4339" i="13"/>
  <c r="J4339" i="13" s="1"/>
  <c r="K4339" i="13"/>
  <c r="H4340" i="13"/>
  <c r="J4340" i="13" s="1"/>
  <c r="K4340" i="13"/>
  <c r="H4341" i="13"/>
  <c r="J4341" i="13" s="1"/>
  <c r="K4341" i="13"/>
  <c r="H4342" i="13"/>
  <c r="J4342" i="13" s="1"/>
  <c r="K4342" i="13"/>
  <c r="H4343" i="13"/>
  <c r="J4343" i="13" s="1"/>
  <c r="K4343" i="13"/>
  <c r="H4344" i="13"/>
  <c r="J4344" i="13" s="1"/>
  <c r="K4344" i="13"/>
  <c r="H4345" i="13"/>
  <c r="J4345" i="13" s="1"/>
  <c r="K4345" i="13"/>
  <c r="H4346" i="13"/>
  <c r="J4346" i="13" s="1"/>
  <c r="K4346" i="13"/>
  <c r="H4347" i="13"/>
  <c r="J4347" i="13" s="1"/>
  <c r="K4347" i="13"/>
  <c r="H4348" i="13"/>
  <c r="J4348" i="13" s="1"/>
  <c r="K4348" i="13"/>
  <c r="H4358" i="13"/>
  <c r="J4358" i="13" s="1"/>
  <c r="K4358" i="13"/>
  <c r="H4359" i="13"/>
  <c r="J4359" i="13" s="1"/>
  <c r="K4359" i="13"/>
  <c r="H4360" i="13"/>
  <c r="J4360" i="13" s="1"/>
  <c r="K4360" i="13"/>
  <c r="H4361" i="13"/>
  <c r="J4361" i="13" s="1"/>
  <c r="K4361" i="13"/>
  <c r="H4362" i="13"/>
  <c r="J4362" i="13" s="1"/>
  <c r="K4362" i="13"/>
  <c r="H4363" i="13"/>
  <c r="J4363" i="13" s="1"/>
  <c r="K4363" i="13"/>
  <c r="H4364" i="13"/>
  <c r="J4364" i="13" s="1"/>
  <c r="K4364" i="13"/>
  <c r="H4365" i="13"/>
  <c r="J4365" i="13" s="1"/>
  <c r="K4365" i="13"/>
  <c r="H4366" i="13"/>
  <c r="J4366" i="13" s="1"/>
  <c r="K4366" i="13"/>
  <c r="K5861" i="13"/>
  <c r="H5862" i="13"/>
  <c r="J5862" i="13" s="1"/>
  <c r="K5862" i="13"/>
  <c r="H5863" i="13"/>
  <c r="J5863" i="13" s="1"/>
  <c r="K5863" i="13"/>
  <c r="H5864" i="13"/>
  <c r="J5864" i="13" s="1"/>
  <c r="K5864" i="13"/>
  <c r="H5865" i="13"/>
  <c r="J5865" i="13" s="1"/>
  <c r="K5865" i="13"/>
  <c r="H5866" i="13"/>
  <c r="J5866" i="13" s="1"/>
  <c r="K5866" i="13"/>
  <c r="H5867" i="13"/>
  <c r="J5867" i="13" s="1"/>
  <c r="K5867" i="13"/>
  <c r="H5868" i="13"/>
  <c r="J5868" i="13" s="1"/>
  <c r="K5868" i="13"/>
  <c r="H5869" i="13"/>
  <c r="J5869" i="13" s="1"/>
  <c r="K5869" i="13"/>
  <c r="H5870" i="13"/>
  <c r="J5870" i="13" s="1"/>
  <c r="K5870" i="13"/>
  <c r="H5871" i="13"/>
  <c r="J5871" i="13" s="1"/>
  <c r="K5871" i="13"/>
  <c r="H5872" i="13"/>
  <c r="J5872" i="13" s="1"/>
  <c r="K5872" i="13"/>
  <c r="H5873" i="13"/>
  <c r="J5873" i="13" s="1"/>
  <c r="K5873" i="13"/>
  <c r="H5874" i="13"/>
  <c r="J5874" i="13" s="1"/>
  <c r="K5874" i="13"/>
  <c r="H5875" i="13"/>
  <c r="J5875" i="13" s="1"/>
  <c r="K5875" i="13"/>
  <c r="H5876" i="13"/>
  <c r="J5876" i="13" s="1"/>
  <c r="K5876" i="13"/>
  <c r="H5877" i="13"/>
  <c r="J5877" i="13" s="1"/>
  <c r="K5877" i="13"/>
  <c r="H5878" i="13"/>
  <c r="J5878" i="13" s="1"/>
  <c r="K5878" i="13"/>
  <c r="H5879" i="13"/>
  <c r="J5879" i="13" s="1"/>
  <c r="K5879" i="13"/>
  <c r="H5880" i="13"/>
  <c r="J5880" i="13" s="1"/>
  <c r="K5880" i="13"/>
  <c r="H5881" i="13"/>
  <c r="J5881" i="13" s="1"/>
  <c r="K5881" i="13"/>
  <c r="H5882" i="13"/>
  <c r="J5882" i="13" s="1"/>
  <c r="K5882" i="13"/>
  <c r="H5883" i="13"/>
  <c r="J5883" i="13" s="1"/>
  <c r="K5883" i="13"/>
  <c r="H5884" i="13"/>
  <c r="J5884" i="13" s="1"/>
  <c r="K5884" i="13"/>
  <c r="H5885" i="13"/>
  <c r="J5885" i="13" s="1"/>
  <c r="K5885" i="13"/>
  <c r="H5886" i="13"/>
  <c r="J5886" i="13" s="1"/>
  <c r="K5886" i="13"/>
  <c r="H5887" i="13"/>
  <c r="J5887" i="13" s="1"/>
  <c r="K5887" i="13"/>
  <c r="H5888" i="13"/>
  <c r="J5888" i="13" s="1"/>
  <c r="K5888" i="13"/>
  <c r="H5889" i="13"/>
  <c r="J5889" i="13" s="1"/>
  <c r="K5889" i="13"/>
  <c r="H5890" i="13"/>
  <c r="J5890" i="13" s="1"/>
  <c r="K5890" i="13"/>
  <c r="H5891" i="13"/>
  <c r="J5891" i="13" s="1"/>
  <c r="K5891" i="13"/>
  <c r="H5892" i="13"/>
  <c r="J5892" i="13" s="1"/>
  <c r="K5892" i="13"/>
  <c r="H5893" i="13"/>
  <c r="J5893" i="13" s="1"/>
  <c r="K5893" i="13"/>
  <c r="H5894" i="13"/>
  <c r="J5894" i="13" s="1"/>
  <c r="K5894" i="13"/>
  <c r="H5895" i="13"/>
  <c r="J5895" i="13" s="1"/>
  <c r="K5895" i="13"/>
  <c r="H5896" i="13"/>
  <c r="J5896" i="13" s="1"/>
  <c r="K5896" i="13"/>
  <c r="H5897" i="13"/>
  <c r="J5897" i="13" s="1"/>
  <c r="K5897" i="13"/>
  <c r="H5898" i="13"/>
  <c r="J5898" i="13" s="1"/>
  <c r="K5898" i="13"/>
  <c r="H5899" i="13"/>
  <c r="J5899" i="13" s="1"/>
  <c r="K5899" i="13"/>
  <c r="H5900" i="13"/>
  <c r="J5900" i="13" s="1"/>
  <c r="K5900" i="13"/>
  <c r="H5901" i="13"/>
  <c r="J5901" i="13" s="1"/>
  <c r="K5901" i="13"/>
  <c r="H5902" i="13"/>
  <c r="J5902" i="13" s="1"/>
  <c r="K5902" i="13"/>
  <c r="H5903" i="13"/>
  <c r="J5903" i="13" s="1"/>
  <c r="K5903" i="13"/>
  <c r="H5904" i="13"/>
  <c r="J5904" i="13" s="1"/>
  <c r="K5904" i="13"/>
  <c r="H5905" i="13"/>
  <c r="J5905" i="13" s="1"/>
  <c r="K5905" i="13"/>
  <c r="E2018" i="14"/>
  <c r="G2018" i="14" s="1"/>
  <c r="H2018" i="14"/>
  <c r="E2019" i="14"/>
  <c r="G2019" i="14" s="1"/>
  <c r="H2019" i="14"/>
  <c r="E2020" i="14"/>
  <c r="G2020" i="14" s="1"/>
  <c r="H2020" i="14"/>
  <c r="E2021" i="14"/>
  <c r="G2021" i="14" s="1"/>
  <c r="H2021" i="14"/>
  <c r="E2022" i="14"/>
  <c r="G2022" i="14" s="1"/>
  <c r="H2022" i="14"/>
  <c r="E2023" i="14"/>
  <c r="G2023" i="14" s="1"/>
  <c r="H2023" i="14"/>
  <c r="E2024" i="14"/>
  <c r="G2024" i="14" s="1"/>
  <c r="H2024" i="14"/>
  <c r="E2025" i="14"/>
  <c r="G2025" i="14" s="1"/>
  <c r="H2025" i="14"/>
  <c r="E2026" i="14"/>
  <c r="G2026" i="14" s="1"/>
  <c r="H2026" i="14"/>
  <c r="E632" i="14"/>
  <c r="G632" i="14" s="1"/>
  <c r="H632" i="14"/>
  <c r="E633" i="14"/>
  <c r="G633" i="14" s="1"/>
  <c r="H633" i="14"/>
  <c r="E634" i="14"/>
  <c r="G634" i="14" s="1"/>
  <c r="H634" i="14"/>
  <c r="E635" i="14"/>
  <c r="G635" i="14" s="1"/>
  <c r="H635" i="14"/>
  <c r="E636" i="14"/>
  <c r="G636" i="14" s="1"/>
  <c r="H636" i="14"/>
  <c r="E637" i="14"/>
  <c r="G637" i="14" s="1"/>
  <c r="H637" i="14"/>
  <c r="E638" i="14"/>
  <c r="G638" i="14" s="1"/>
  <c r="H638" i="14"/>
  <c r="E639" i="14"/>
  <c r="G639" i="14" s="1"/>
  <c r="H639" i="14"/>
  <c r="E640" i="14"/>
  <c r="G640" i="14" s="1"/>
  <c r="H640" i="14"/>
  <c r="E1667" i="14"/>
  <c r="G1667" i="14" s="1"/>
  <c r="H1667" i="14"/>
  <c r="E1668" i="14"/>
  <c r="G1668" i="14" s="1"/>
  <c r="H1668" i="14"/>
  <c r="E1669" i="14"/>
  <c r="G1669" i="14" s="1"/>
  <c r="H1669" i="14"/>
  <c r="E1670" i="14"/>
  <c r="G1670" i="14" s="1"/>
  <c r="H1670" i="14"/>
  <c r="E1671" i="14"/>
  <c r="G1671" i="14" s="1"/>
  <c r="H1671" i="14"/>
  <c r="E1672" i="14"/>
  <c r="G1672" i="14" s="1"/>
  <c r="H1672" i="14"/>
  <c r="E1673" i="14"/>
  <c r="G1673" i="14" s="1"/>
  <c r="H1673" i="14"/>
  <c r="E1674" i="14"/>
  <c r="G1674" i="14" s="1"/>
  <c r="H1674" i="14"/>
  <c r="E1675" i="14"/>
  <c r="G1675" i="14" s="1"/>
  <c r="H1675" i="14"/>
  <c r="E2117" i="14"/>
  <c r="G2117" i="14" s="1"/>
  <c r="H2117" i="14"/>
  <c r="E2118" i="14"/>
  <c r="G2118" i="14" s="1"/>
  <c r="H2118" i="14"/>
  <c r="E2119" i="14"/>
  <c r="G2119" i="14" s="1"/>
  <c r="H2119" i="14"/>
  <c r="E2120" i="14"/>
  <c r="G2120" i="14" s="1"/>
  <c r="H2120" i="14"/>
  <c r="E2121" i="14"/>
  <c r="G2121" i="14" s="1"/>
  <c r="H2121" i="14"/>
  <c r="E2122" i="14"/>
  <c r="G2122" i="14" s="1"/>
  <c r="H2122" i="14"/>
  <c r="E2123" i="14"/>
  <c r="G2123" i="14" s="1"/>
  <c r="H2123" i="14"/>
  <c r="E2124" i="14"/>
  <c r="G2124" i="14" s="1"/>
  <c r="H2124" i="14"/>
  <c r="E2125" i="14"/>
  <c r="G2125" i="14" s="1"/>
  <c r="H2125" i="14"/>
  <c r="E1973" i="14"/>
  <c r="G1973" i="14" s="1"/>
  <c r="H1973" i="14"/>
  <c r="E1974" i="14"/>
  <c r="G1974" i="14" s="1"/>
  <c r="H1974" i="14"/>
  <c r="E1975" i="14"/>
  <c r="G1975" i="14" s="1"/>
  <c r="H1975" i="14"/>
  <c r="E1976" i="14"/>
  <c r="G1976" i="14" s="1"/>
  <c r="H1976" i="14"/>
  <c r="E1977" i="14"/>
  <c r="G1977" i="14" s="1"/>
  <c r="H1977" i="14"/>
  <c r="E1978" i="14"/>
  <c r="G1978" i="14" s="1"/>
  <c r="H1978" i="14"/>
  <c r="E1979" i="14"/>
  <c r="G1979" i="14" s="1"/>
  <c r="H1979" i="14"/>
  <c r="E1980" i="14"/>
  <c r="G1980" i="14" s="1"/>
  <c r="H1980" i="14"/>
  <c r="E1981" i="14"/>
  <c r="G1981" i="14" s="1"/>
  <c r="H1981" i="14"/>
  <c r="E1946" i="14"/>
  <c r="G1946" i="14" s="1"/>
  <c r="H1946" i="14"/>
  <c r="E1947" i="14"/>
  <c r="G1947" i="14" s="1"/>
  <c r="H1947" i="14"/>
  <c r="E1948" i="14"/>
  <c r="G1948" i="14" s="1"/>
  <c r="H1948" i="14"/>
  <c r="E1949" i="14"/>
  <c r="G1949" i="14" s="1"/>
  <c r="H1949" i="14"/>
  <c r="E1950" i="14"/>
  <c r="G1950" i="14" s="1"/>
  <c r="H1950" i="14"/>
  <c r="E1951" i="14"/>
  <c r="G1951" i="14" s="1"/>
  <c r="H1951" i="14"/>
  <c r="E1952" i="14"/>
  <c r="G1952" i="14" s="1"/>
  <c r="H1952" i="14"/>
  <c r="E1953" i="14"/>
  <c r="G1953" i="14" s="1"/>
  <c r="H1953" i="14"/>
  <c r="E1954" i="14"/>
  <c r="G1954" i="14" s="1"/>
  <c r="H1954" i="14"/>
  <c r="E1856" i="14"/>
  <c r="G1856" i="14" s="1"/>
  <c r="H1856" i="14"/>
  <c r="E1857" i="14"/>
  <c r="G1857" i="14" s="1"/>
  <c r="H1857" i="14"/>
  <c r="E1858" i="14"/>
  <c r="G1858" i="14" s="1"/>
  <c r="H1858" i="14"/>
  <c r="E1859" i="14"/>
  <c r="G1859" i="14" s="1"/>
  <c r="H1859" i="14"/>
  <c r="E1860" i="14"/>
  <c r="G1860" i="14" s="1"/>
  <c r="H1860" i="14"/>
  <c r="E1861" i="14"/>
  <c r="G1861" i="14" s="1"/>
  <c r="H1861" i="14"/>
  <c r="E1862" i="14"/>
  <c r="G1862" i="14" s="1"/>
  <c r="H1862" i="14"/>
  <c r="E1863" i="14"/>
  <c r="G1863" i="14" s="1"/>
  <c r="H1863" i="14"/>
  <c r="E1864" i="14"/>
  <c r="G1864" i="14" s="1"/>
  <c r="H1864" i="14"/>
  <c r="E1874" i="14"/>
  <c r="G1874" i="14" s="1"/>
  <c r="H1874" i="14"/>
  <c r="E1875" i="14"/>
  <c r="G1875" i="14" s="1"/>
  <c r="H1875" i="14"/>
  <c r="E1876" i="14"/>
  <c r="G1876" i="14" s="1"/>
  <c r="H1876" i="14"/>
  <c r="E1877" i="14"/>
  <c r="G1877" i="14" s="1"/>
  <c r="H1877" i="14"/>
  <c r="E1878" i="14"/>
  <c r="G1878" i="14" s="1"/>
  <c r="H1878" i="14"/>
  <c r="E1879" i="14"/>
  <c r="G1879" i="14" s="1"/>
  <c r="H1879" i="14"/>
  <c r="E1880" i="14"/>
  <c r="G1880" i="14" s="1"/>
  <c r="H1880" i="14"/>
  <c r="E1881" i="14"/>
  <c r="G1881" i="14" s="1"/>
  <c r="H1881" i="14"/>
  <c r="E1882" i="14"/>
  <c r="G1882" i="14" s="1"/>
  <c r="H1882" i="14"/>
  <c r="E1820" i="14"/>
  <c r="G1820" i="14" s="1"/>
  <c r="H1820" i="14"/>
  <c r="E1821" i="14"/>
  <c r="G1821" i="14" s="1"/>
  <c r="H1821" i="14"/>
  <c r="E1822" i="14"/>
  <c r="G1822" i="14" s="1"/>
  <c r="H1822" i="14"/>
  <c r="E1823" i="14"/>
  <c r="G1823" i="14" s="1"/>
  <c r="H1823" i="14"/>
  <c r="E1824" i="14"/>
  <c r="G1824" i="14" s="1"/>
  <c r="H1824" i="14"/>
  <c r="E1825" i="14"/>
  <c r="G1825" i="14" s="1"/>
  <c r="H1825" i="14"/>
  <c r="E1826" i="14"/>
  <c r="G1826" i="14" s="1"/>
  <c r="H1826" i="14"/>
  <c r="E1827" i="14"/>
  <c r="G1827" i="14" s="1"/>
  <c r="H1827" i="14"/>
  <c r="E1828" i="14"/>
  <c r="G1828" i="14" s="1"/>
  <c r="H1828" i="14"/>
  <c r="E1829" i="14"/>
  <c r="G1829" i="14" s="1"/>
  <c r="H1829" i="14"/>
  <c r="E1830" i="14"/>
  <c r="G1830" i="14" s="1"/>
  <c r="H1830" i="14"/>
  <c r="E1831" i="14"/>
  <c r="G1831" i="14" s="1"/>
  <c r="H1831" i="14"/>
  <c r="E1832" i="14"/>
  <c r="G1832" i="14" s="1"/>
  <c r="H1832" i="14"/>
  <c r="E1833" i="14"/>
  <c r="G1833" i="14" s="1"/>
  <c r="H1833" i="14"/>
  <c r="E1834" i="14"/>
  <c r="G1834" i="14" s="1"/>
  <c r="H1834" i="14"/>
  <c r="E1835" i="14"/>
  <c r="G1835" i="14" s="1"/>
  <c r="H1835" i="14"/>
  <c r="E1836" i="14"/>
  <c r="G1836" i="14" s="1"/>
  <c r="H1836" i="14"/>
  <c r="E1837" i="14"/>
  <c r="G1837" i="14" s="1"/>
  <c r="H1837" i="14"/>
  <c r="E1748" i="14"/>
  <c r="G1748" i="14" s="1"/>
  <c r="H1748" i="14"/>
  <c r="E1749" i="14"/>
  <c r="G1749" i="14" s="1"/>
  <c r="H1749" i="14"/>
  <c r="E1750" i="14"/>
  <c r="G1750" i="14" s="1"/>
  <c r="H1750" i="14"/>
  <c r="E1751" i="14"/>
  <c r="G1751" i="14" s="1"/>
  <c r="H1751" i="14"/>
  <c r="E1752" i="14"/>
  <c r="G1752" i="14" s="1"/>
  <c r="H1752" i="14"/>
  <c r="E1753" i="14"/>
  <c r="G1753" i="14" s="1"/>
  <c r="H1753" i="14"/>
  <c r="E1754" i="14"/>
  <c r="G1754" i="14" s="1"/>
  <c r="H1754" i="14"/>
  <c r="E1755" i="14"/>
  <c r="G1755" i="14" s="1"/>
  <c r="H1755" i="14"/>
  <c r="E1756" i="14"/>
  <c r="G1756" i="14" s="1"/>
  <c r="H1756" i="14"/>
  <c r="E569" i="14"/>
  <c r="G569" i="14" s="1"/>
  <c r="H569" i="14"/>
  <c r="E570" i="14"/>
  <c r="G570" i="14" s="1"/>
  <c r="H570" i="14"/>
  <c r="E571" i="14"/>
  <c r="G571" i="14" s="1"/>
  <c r="H571" i="14"/>
  <c r="E572" i="14"/>
  <c r="G572" i="14" s="1"/>
  <c r="H572" i="14"/>
  <c r="E573" i="14"/>
  <c r="G573" i="14" s="1"/>
  <c r="H573" i="14"/>
  <c r="E574" i="14"/>
  <c r="G574" i="14" s="1"/>
  <c r="H574" i="14"/>
  <c r="E575" i="14"/>
  <c r="G575" i="14" s="1"/>
  <c r="H575" i="14"/>
  <c r="E576" i="14"/>
  <c r="G576" i="14" s="1"/>
  <c r="H576" i="14"/>
  <c r="E577" i="14"/>
  <c r="G577" i="14" s="1"/>
  <c r="H577" i="14"/>
  <c r="E578" i="14"/>
  <c r="G578" i="14" s="1"/>
  <c r="H578" i="14"/>
  <c r="E579" i="14"/>
  <c r="G579" i="14" s="1"/>
  <c r="H579" i="14"/>
  <c r="E580" i="14"/>
  <c r="G580" i="14" s="1"/>
  <c r="H580" i="14"/>
  <c r="E581" i="14"/>
  <c r="G581" i="14" s="1"/>
  <c r="H581" i="14"/>
  <c r="E582" i="14"/>
  <c r="G582" i="14" s="1"/>
  <c r="H582" i="14"/>
  <c r="E583" i="14"/>
  <c r="G583" i="14" s="1"/>
  <c r="H583" i="14"/>
  <c r="E584" i="14"/>
  <c r="G584" i="14" s="1"/>
  <c r="H584" i="14"/>
  <c r="E585" i="14"/>
  <c r="G585" i="14" s="1"/>
  <c r="H585" i="14"/>
  <c r="E586" i="14"/>
  <c r="G586" i="14" s="1"/>
  <c r="H586" i="14"/>
  <c r="E1649" i="14"/>
  <c r="G1649" i="14" s="1"/>
  <c r="H1649" i="14"/>
  <c r="E1650" i="14"/>
  <c r="G1650" i="14" s="1"/>
  <c r="H1650" i="14"/>
  <c r="E1651" i="14"/>
  <c r="G1651" i="14" s="1"/>
  <c r="H1651" i="14"/>
  <c r="E1652" i="14"/>
  <c r="G1652" i="14" s="1"/>
  <c r="H1652" i="14"/>
  <c r="E1653" i="14"/>
  <c r="G1653" i="14" s="1"/>
  <c r="H1653" i="14"/>
  <c r="E1654" i="14"/>
  <c r="G1654" i="14" s="1"/>
  <c r="H1654" i="14"/>
  <c r="E1655" i="14"/>
  <c r="G1655" i="14" s="1"/>
  <c r="H1655" i="14"/>
  <c r="E1656" i="14"/>
  <c r="G1656" i="14" s="1"/>
  <c r="H1656" i="14"/>
  <c r="E1657" i="14"/>
  <c r="G1657" i="14" s="1"/>
  <c r="H1657" i="14"/>
  <c r="E1658" i="14"/>
  <c r="G1658" i="14" s="1"/>
  <c r="H1658" i="14"/>
  <c r="E1659" i="14"/>
  <c r="G1659" i="14" s="1"/>
  <c r="H1659" i="14"/>
  <c r="E1660" i="14"/>
  <c r="G1660" i="14" s="1"/>
  <c r="H1660" i="14"/>
  <c r="E1661" i="14"/>
  <c r="G1661" i="14" s="1"/>
  <c r="H1661" i="14"/>
  <c r="E1662" i="14"/>
  <c r="G1662" i="14" s="1"/>
  <c r="H1662" i="14"/>
  <c r="E1663" i="14"/>
  <c r="G1663" i="14" s="1"/>
  <c r="H1663" i="14"/>
  <c r="E1664" i="14"/>
  <c r="G1664" i="14" s="1"/>
  <c r="H1664" i="14"/>
  <c r="E1665" i="14"/>
  <c r="G1665" i="14" s="1"/>
  <c r="H1665" i="14"/>
  <c r="E1666" i="14"/>
  <c r="G1666" i="14" s="1"/>
  <c r="H1666" i="14"/>
  <c r="C190" i="1"/>
  <c r="E650" i="14"/>
  <c r="G650" i="14" s="1"/>
  <c r="H650" i="14"/>
  <c r="E651" i="14"/>
  <c r="G651" i="14" s="1"/>
  <c r="H651" i="14"/>
  <c r="E652" i="14"/>
  <c r="G652" i="14" s="1"/>
  <c r="H652" i="14"/>
  <c r="E653" i="14"/>
  <c r="G653" i="14" s="1"/>
  <c r="H653" i="14"/>
  <c r="E654" i="14"/>
  <c r="G654" i="14" s="1"/>
  <c r="H654" i="14"/>
  <c r="E655" i="14"/>
  <c r="G655" i="14" s="1"/>
  <c r="H655" i="14"/>
  <c r="E656" i="14"/>
  <c r="G656" i="14" s="1"/>
  <c r="H656" i="14"/>
  <c r="E657" i="14"/>
  <c r="G657" i="14" s="1"/>
  <c r="H657" i="14"/>
  <c r="E658" i="14"/>
  <c r="G658" i="14" s="1"/>
  <c r="H658" i="14"/>
  <c r="E767" i="14"/>
  <c r="G767" i="14" s="1"/>
  <c r="H767" i="14"/>
  <c r="E768" i="14"/>
  <c r="G768" i="14" s="1"/>
  <c r="H768" i="14"/>
  <c r="E769" i="14"/>
  <c r="G769" i="14" s="1"/>
  <c r="H769" i="14"/>
  <c r="E770" i="14"/>
  <c r="G770" i="14" s="1"/>
  <c r="H770" i="14"/>
  <c r="E771" i="14"/>
  <c r="G771" i="14" s="1"/>
  <c r="H771" i="14"/>
  <c r="E772" i="14"/>
  <c r="G772" i="14" s="1"/>
  <c r="H772" i="14"/>
  <c r="E773" i="14"/>
  <c r="G773" i="14" s="1"/>
  <c r="H773" i="14"/>
  <c r="E774" i="14"/>
  <c r="G774" i="14" s="1"/>
  <c r="H774" i="14"/>
  <c r="E775" i="14"/>
  <c r="G775" i="14" s="1"/>
  <c r="H775" i="14"/>
  <c r="E704" i="14"/>
  <c r="G704" i="14" s="1"/>
  <c r="H704" i="14"/>
  <c r="E705" i="14"/>
  <c r="G705" i="14" s="1"/>
  <c r="H705" i="14"/>
  <c r="E706" i="14"/>
  <c r="G706" i="14" s="1"/>
  <c r="H706" i="14"/>
  <c r="E707" i="14"/>
  <c r="G707" i="14" s="1"/>
  <c r="H707" i="14"/>
  <c r="E708" i="14"/>
  <c r="G708" i="14" s="1"/>
  <c r="H708" i="14"/>
  <c r="E709" i="14"/>
  <c r="G709" i="14" s="1"/>
  <c r="H709" i="14"/>
  <c r="E710" i="14"/>
  <c r="G710" i="14" s="1"/>
  <c r="H710" i="14"/>
  <c r="E711" i="14"/>
  <c r="G711" i="14" s="1"/>
  <c r="H711" i="14"/>
  <c r="E712" i="14"/>
  <c r="G712" i="14" s="1"/>
  <c r="H712" i="14"/>
  <c r="H668" i="14"/>
  <c r="H669" i="14"/>
  <c r="H670" i="14"/>
  <c r="H671" i="14"/>
  <c r="H672" i="14"/>
  <c r="H673" i="14"/>
  <c r="H674" i="14"/>
  <c r="H675" i="14"/>
  <c r="H676" i="14"/>
  <c r="E641" i="14"/>
  <c r="G641" i="14" s="1"/>
  <c r="H641" i="14"/>
  <c r="E642" i="14"/>
  <c r="G642" i="14" s="1"/>
  <c r="H642" i="14"/>
  <c r="E643" i="14"/>
  <c r="G643" i="14" s="1"/>
  <c r="H643" i="14"/>
  <c r="E644" i="14"/>
  <c r="G644" i="14" s="1"/>
  <c r="H644" i="14"/>
  <c r="E645" i="14"/>
  <c r="G645" i="14" s="1"/>
  <c r="H645" i="14"/>
  <c r="E646" i="14"/>
  <c r="G646" i="14" s="1"/>
  <c r="H646" i="14"/>
  <c r="E647" i="14"/>
  <c r="G647" i="14" s="1"/>
  <c r="H647" i="14"/>
  <c r="E648" i="14"/>
  <c r="G648" i="14" s="1"/>
  <c r="H648" i="14"/>
  <c r="E649" i="14"/>
  <c r="G649" i="14" s="1"/>
  <c r="H649" i="14"/>
  <c r="E713" i="14"/>
  <c r="G713" i="14" s="1"/>
  <c r="H713" i="14"/>
  <c r="E714" i="14"/>
  <c r="G714" i="14" s="1"/>
  <c r="H714" i="14"/>
  <c r="E715" i="14"/>
  <c r="G715" i="14" s="1"/>
  <c r="H715" i="14"/>
  <c r="E716" i="14"/>
  <c r="G716" i="14" s="1"/>
  <c r="H716" i="14"/>
  <c r="E717" i="14"/>
  <c r="G717" i="14" s="1"/>
  <c r="H717" i="14"/>
  <c r="E718" i="14"/>
  <c r="G718" i="14" s="1"/>
  <c r="H718" i="14"/>
  <c r="E719" i="14"/>
  <c r="G719" i="14" s="1"/>
  <c r="H719" i="14"/>
  <c r="E720" i="14"/>
  <c r="G720" i="14" s="1"/>
  <c r="H720" i="14"/>
  <c r="E721" i="14"/>
  <c r="G721" i="14" s="1"/>
  <c r="H721" i="14"/>
  <c r="E11" i="22"/>
  <c r="G11" i="22" s="1"/>
  <c r="E12" i="22"/>
  <c r="G12" i="22" s="1"/>
  <c r="E13" i="22"/>
  <c r="G13" i="22" s="1"/>
  <c r="E14" i="22"/>
  <c r="G14" i="22" s="1"/>
  <c r="E15" i="22"/>
  <c r="G15" i="22" s="1"/>
  <c r="E16" i="22"/>
  <c r="G16" i="22" s="1"/>
  <c r="E17" i="22"/>
  <c r="G17" i="22" s="1"/>
  <c r="E18" i="22"/>
  <c r="G18" i="22" s="1"/>
  <c r="E19" i="22"/>
  <c r="G19" i="22" s="1"/>
  <c r="E20" i="22"/>
  <c r="G20" i="22" s="1"/>
  <c r="E21" i="22"/>
  <c r="G21" i="22" s="1"/>
  <c r="E22" i="22"/>
  <c r="G22" i="22" s="1"/>
  <c r="E23" i="22"/>
  <c r="G23" i="22" s="1"/>
  <c r="E24" i="22"/>
  <c r="G24" i="22" s="1"/>
  <c r="E25" i="22"/>
  <c r="G25" i="22" s="1"/>
  <c r="E26" i="22"/>
  <c r="G26" i="22" s="1"/>
  <c r="E27" i="22"/>
  <c r="G27" i="22" s="1"/>
  <c r="E28" i="22"/>
  <c r="G28" i="22" s="1"/>
  <c r="E29" i="22"/>
  <c r="G29" i="22" s="1"/>
  <c r="E30" i="22"/>
  <c r="G30" i="22" s="1"/>
  <c r="E31" i="22"/>
  <c r="G31" i="22" s="1"/>
  <c r="E32" i="22"/>
  <c r="G32" i="22" s="1"/>
  <c r="E33" i="22"/>
  <c r="G33" i="22" s="1"/>
  <c r="E34" i="22"/>
  <c r="G34" i="22" s="1"/>
  <c r="E35" i="22"/>
  <c r="G35" i="22" s="1"/>
  <c r="E36" i="22"/>
  <c r="G36" i="22" s="1"/>
  <c r="E37" i="22"/>
  <c r="G37" i="22" s="1"/>
  <c r="E38" i="22"/>
  <c r="G38" i="22" s="1"/>
  <c r="E39" i="22"/>
  <c r="G39" i="22" s="1"/>
  <c r="E40" i="22"/>
  <c r="G40" i="22" s="1"/>
  <c r="E41" i="22"/>
  <c r="G41" i="22" s="1"/>
  <c r="E42" i="22"/>
  <c r="G42" i="22" s="1"/>
  <c r="E43" i="22"/>
  <c r="G43" i="22" s="1"/>
  <c r="E44" i="22"/>
  <c r="G44" i="22" s="1"/>
  <c r="E45" i="22"/>
  <c r="G45" i="22" s="1"/>
  <c r="E46" i="22"/>
  <c r="G46" i="22" s="1"/>
  <c r="E47" i="22"/>
  <c r="G47" i="22" s="1"/>
  <c r="E48" i="22"/>
  <c r="G48" i="22" s="1"/>
  <c r="E49" i="22"/>
  <c r="G49" i="22" s="1"/>
  <c r="E50" i="22"/>
  <c r="G50" i="22" s="1"/>
  <c r="E51" i="22"/>
  <c r="G51" i="22" s="1"/>
  <c r="E52" i="22"/>
  <c r="G52" i="22" s="1"/>
  <c r="E53" i="22"/>
  <c r="G53" i="22" s="1"/>
  <c r="E54" i="22"/>
  <c r="G54" i="22" s="1"/>
  <c r="E55" i="22"/>
  <c r="G55" i="22" s="1"/>
  <c r="E56" i="22"/>
  <c r="G56" i="22" s="1"/>
  <c r="E57" i="22"/>
  <c r="G57" i="22" s="1"/>
  <c r="E58" i="22"/>
  <c r="G58" i="22" s="1"/>
  <c r="E59" i="22"/>
  <c r="G59" i="22" s="1"/>
  <c r="E60" i="22"/>
  <c r="G60" i="22" s="1"/>
  <c r="E61" i="22"/>
  <c r="G61" i="22" s="1"/>
  <c r="E62" i="22"/>
  <c r="G62" i="22" s="1"/>
  <c r="E63" i="22"/>
  <c r="G63" i="22" s="1"/>
  <c r="E64" i="22"/>
  <c r="G64" i="22" s="1"/>
  <c r="E65" i="22"/>
  <c r="G65" i="22" s="1"/>
  <c r="E66" i="22"/>
  <c r="G66" i="22" s="1"/>
  <c r="E67" i="22"/>
  <c r="G67" i="22" s="1"/>
  <c r="E68" i="22"/>
  <c r="G68" i="22" s="1"/>
  <c r="E69" i="22"/>
  <c r="G69" i="22" s="1"/>
  <c r="E70" i="22"/>
  <c r="G70" i="22" s="1"/>
  <c r="E71" i="22"/>
  <c r="G71" i="22" s="1"/>
  <c r="E72" i="22"/>
  <c r="G72" i="22" s="1"/>
  <c r="E73" i="22"/>
  <c r="G73" i="22" s="1"/>
  <c r="E74" i="22"/>
  <c r="G74" i="22" s="1"/>
  <c r="E75" i="22"/>
  <c r="G75" i="22" s="1"/>
  <c r="E76" i="22"/>
  <c r="G76" i="22" s="1"/>
  <c r="E77" i="22"/>
  <c r="G77" i="22" s="1"/>
  <c r="E78" i="22"/>
  <c r="G78" i="22" s="1"/>
  <c r="E79" i="22"/>
  <c r="G79" i="22" s="1"/>
  <c r="E80" i="22"/>
  <c r="G80" i="22" s="1"/>
  <c r="E81" i="22"/>
  <c r="G81" i="22" s="1"/>
  <c r="E82" i="22"/>
  <c r="G82" i="22" s="1"/>
  <c r="E83" i="22"/>
  <c r="G83" i="22" s="1"/>
  <c r="E84" i="22"/>
  <c r="G84" i="22" s="1"/>
  <c r="E85" i="22"/>
  <c r="G85" i="22" s="1"/>
  <c r="E86" i="22"/>
  <c r="G86" i="22" s="1"/>
  <c r="E87" i="22"/>
  <c r="G87" i="22" s="1"/>
  <c r="E88" i="22"/>
  <c r="G88" i="22" s="1"/>
  <c r="E89" i="22"/>
  <c r="G89" i="22" s="1"/>
  <c r="E90" i="22"/>
  <c r="G90" i="22" s="1"/>
  <c r="E91" i="22"/>
  <c r="G91" i="22" s="1"/>
  <c r="E93" i="22"/>
  <c r="G93" i="22" s="1"/>
  <c r="E94" i="22"/>
  <c r="G94" i="22" s="1"/>
  <c r="E95" i="22"/>
  <c r="G95" i="22" s="1"/>
  <c r="E96" i="22"/>
  <c r="G96" i="22" s="1"/>
  <c r="E97" i="22"/>
  <c r="G97" i="22" s="1"/>
  <c r="E98" i="22"/>
  <c r="G98" i="22" s="1"/>
  <c r="E99" i="22"/>
  <c r="G99" i="22" s="1"/>
  <c r="E100" i="22"/>
  <c r="G100" i="22" s="1"/>
  <c r="E101" i="22"/>
  <c r="G101" i="22" s="1"/>
  <c r="E102" i="22"/>
  <c r="G102" i="22" s="1"/>
  <c r="E103" i="22"/>
  <c r="G103" i="22" s="1"/>
  <c r="E104" i="22"/>
  <c r="G104" i="22" s="1"/>
  <c r="E105" i="22"/>
  <c r="G105" i="22" s="1"/>
  <c r="E106" i="22"/>
  <c r="G106" i="22" s="1"/>
  <c r="E107" i="22"/>
  <c r="G107" i="22" s="1"/>
  <c r="E108" i="22"/>
  <c r="G108" i="22" s="1"/>
  <c r="E109" i="22"/>
  <c r="G109" i="22" s="1"/>
  <c r="E110" i="22"/>
  <c r="G110" i="22" s="1"/>
  <c r="E111" i="22"/>
  <c r="G111" i="22" s="1"/>
  <c r="E112" i="22"/>
  <c r="G112" i="22" s="1"/>
  <c r="E113" i="22"/>
  <c r="G113" i="22" s="1"/>
  <c r="E114" i="22"/>
  <c r="G114" i="22" s="1"/>
  <c r="E115" i="22"/>
  <c r="G115" i="22" s="1"/>
  <c r="E116" i="22"/>
  <c r="G116" i="22" s="1"/>
  <c r="E117" i="22"/>
  <c r="G117" i="22" s="1"/>
  <c r="E118" i="22"/>
  <c r="G118" i="22" s="1"/>
  <c r="E119" i="22"/>
  <c r="G119" i="22" s="1"/>
  <c r="E120" i="22"/>
  <c r="G120" i="22" s="1"/>
  <c r="E121" i="22"/>
  <c r="G121" i="22" s="1"/>
  <c r="E122" i="22"/>
  <c r="G122" i="22" s="1"/>
  <c r="E123" i="22"/>
  <c r="G123" i="22" s="1"/>
  <c r="E124" i="22"/>
  <c r="G124" i="22" s="1"/>
  <c r="E125" i="22"/>
  <c r="G125" i="22" s="1"/>
  <c r="E126" i="22"/>
  <c r="G126" i="22" s="1"/>
  <c r="E127" i="22"/>
  <c r="G127" i="22" s="1"/>
  <c r="E128" i="22"/>
  <c r="G128" i="22" s="1"/>
  <c r="E129" i="22"/>
  <c r="G129" i="22" s="1"/>
  <c r="E130" i="22"/>
  <c r="G130" i="22" s="1"/>
  <c r="E131" i="22"/>
  <c r="G131" i="22" s="1"/>
  <c r="E132" i="22"/>
  <c r="G132" i="22" s="1"/>
  <c r="E133" i="22"/>
  <c r="G133" i="22" s="1"/>
  <c r="E134" i="22"/>
  <c r="G134" i="22" s="1"/>
  <c r="E135" i="22"/>
  <c r="G135" i="22" s="1"/>
  <c r="E136" i="22"/>
  <c r="G136" i="22" s="1"/>
  <c r="E137" i="22"/>
  <c r="G137" i="22" s="1"/>
  <c r="E138" i="22"/>
  <c r="G138" i="22" s="1"/>
  <c r="E139" i="22"/>
  <c r="G139" i="22" s="1"/>
  <c r="E140" i="22"/>
  <c r="G140" i="22" s="1"/>
  <c r="E141" i="22"/>
  <c r="G141" i="22" s="1"/>
  <c r="E142" i="22"/>
  <c r="G142" i="22" s="1"/>
  <c r="E143" i="22"/>
  <c r="G143" i="22" s="1"/>
  <c r="E144" i="22"/>
  <c r="G144" i="22" s="1"/>
  <c r="E145" i="22"/>
  <c r="G145" i="22" s="1"/>
  <c r="E146" i="22"/>
  <c r="G146" i="22" s="1"/>
  <c r="E147" i="22"/>
  <c r="G147" i="22" s="1"/>
  <c r="E148" i="22"/>
  <c r="G148" i="22" s="1"/>
  <c r="E149" i="22"/>
  <c r="G149" i="22" s="1"/>
  <c r="E150" i="22"/>
  <c r="G150" i="22" s="1"/>
  <c r="E151" i="22"/>
  <c r="G151" i="22" s="1"/>
  <c r="E152" i="22"/>
  <c r="G152" i="22" s="1"/>
  <c r="E153" i="22"/>
  <c r="G153" i="22" s="1"/>
  <c r="E154" i="22"/>
  <c r="G154" i="22" s="1"/>
  <c r="E155" i="22"/>
  <c r="G155" i="22" s="1"/>
  <c r="E156" i="22"/>
  <c r="G156" i="22" s="1"/>
  <c r="E157" i="22"/>
  <c r="G157" i="22" s="1"/>
  <c r="E158" i="22"/>
  <c r="G158" i="22" s="1"/>
  <c r="E159" i="22"/>
  <c r="G159" i="22" s="1"/>
  <c r="E160" i="22"/>
  <c r="G160" i="22" s="1"/>
  <c r="E161" i="22"/>
  <c r="G161" i="22" s="1"/>
  <c r="E162" i="22"/>
  <c r="G162" i="22" s="1"/>
  <c r="E163" i="22"/>
  <c r="G163" i="22" s="1"/>
  <c r="E164" i="22"/>
  <c r="G164" i="22" s="1"/>
  <c r="E165" i="22"/>
  <c r="G165" i="22" s="1"/>
  <c r="E166" i="22"/>
  <c r="G166" i="22" s="1"/>
  <c r="E167" i="22"/>
  <c r="G167" i="22" s="1"/>
  <c r="E168" i="22"/>
  <c r="G168" i="22" s="1"/>
  <c r="E169" i="22"/>
  <c r="G169" i="22" s="1"/>
  <c r="E170" i="22"/>
  <c r="G170" i="22" s="1"/>
  <c r="E171" i="22"/>
  <c r="G171" i="22" s="1"/>
  <c r="E172" i="22"/>
  <c r="G172" i="22" s="1"/>
  <c r="E173" i="22"/>
  <c r="G173" i="22" s="1"/>
  <c r="E174" i="22"/>
  <c r="G174" i="22" s="1"/>
  <c r="E175" i="22"/>
  <c r="G175" i="22" s="1"/>
  <c r="E176" i="22"/>
  <c r="G176" i="22" s="1"/>
  <c r="E177" i="22"/>
  <c r="G177" i="22" s="1"/>
  <c r="E178" i="22"/>
  <c r="G178" i="22" s="1"/>
  <c r="E179" i="22"/>
  <c r="G179" i="22" s="1"/>
  <c r="E180" i="22"/>
  <c r="G180" i="22" s="1"/>
  <c r="E181" i="22"/>
  <c r="G181" i="22" s="1"/>
  <c r="E182" i="22"/>
  <c r="G182" i="22" s="1"/>
  <c r="E183" i="22"/>
  <c r="G183" i="22" s="1"/>
  <c r="E184" i="22"/>
  <c r="G184" i="22" s="1"/>
  <c r="E185" i="22"/>
  <c r="G185" i="22" s="1"/>
  <c r="E186" i="22"/>
  <c r="G186" i="22" s="1"/>
  <c r="E187" i="22"/>
  <c r="G187" i="22" s="1"/>
  <c r="E188" i="22"/>
  <c r="G188" i="22" s="1"/>
  <c r="E189" i="22"/>
  <c r="G189" i="22" s="1"/>
  <c r="E190" i="22"/>
  <c r="G190" i="22" s="1"/>
  <c r="E191" i="22"/>
  <c r="G191" i="22" s="1"/>
  <c r="E192" i="22"/>
  <c r="G192" i="22" s="1"/>
  <c r="E193" i="22"/>
  <c r="G193" i="22" s="1"/>
  <c r="E194" i="22"/>
  <c r="G194" i="22" s="1"/>
  <c r="E195" i="22"/>
  <c r="G195" i="22" s="1"/>
  <c r="E196" i="22"/>
  <c r="G196" i="22" s="1"/>
  <c r="E197" i="22"/>
  <c r="G197" i="22" s="1"/>
  <c r="E198" i="22"/>
  <c r="G198" i="22" s="1"/>
  <c r="E199" i="22"/>
  <c r="G199" i="22" s="1"/>
  <c r="E200" i="22"/>
  <c r="G200" i="22" s="1"/>
  <c r="E201" i="22"/>
  <c r="G201" i="22" s="1"/>
  <c r="E202" i="22"/>
  <c r="G202" i="22" s="1"/>
  <c r="E203" i="22"/>
  <c r="G203" i="22" s="1"/>
  <c r="E204" i="22"/>
  <c r="G204" i="22" s="1"/>
  <c r="E205" i="22"/>
  <c r="G205" i="22" s="1"/>
  <c r="E206" i="22"/>
  <c r="G206" i="22" s="1"/>
  <c r="E207" i="22"/>
  <c r="G207" i="22" s="1"/>
  <c r="E208" i="22"/>
  <c r="G208" i="22" s="1"/>
  <c r="E209" i="22"/>
  <c r="G209" i="22" s="1"/>
  <c r="E210" i="22"/>
  <c r="G210" i="22" s="1"/>
  <c r="E211" i="22"/>
  <c r="G211" i="22" s="1"/>
  <c r="E212" i="22"/>
  <c r="G212" i="22" s="1"/>
  <c r="E213" i="22"/>
  <c r="G213" i="22" s="1"/>
  <c r="E214" i="22"/>
  <c r="G214" i="22" s="1"/>
  <c r="E215" i="22"/>
  <c r="G215" i="22" s="1"/>
  <c r="E216" i="22"/>
  <c r="G216" i="22" s="1"/>
  <c r="E217" i="22"/>
  <c r="G217" i="22" s="1"/>
  <c r="E219" i="22"/>
  <c r="G219" i="22" s="1"/>
  <c r="E220" i="22"/>
  <c r="G220" i="22" s="1"/>
  <c r="E221" i="22"/>
  <c r="G221" i="22" s="1"/>
  <c r="E222" i="22"/>
  <c r="G222" i="22" s="1"/>
  <c r="E223" i="22"/>
  <c r="G223" i="22" s="1"/>
  <c r="E224" i="22"/>
  <c r="G224" i="22" s="1"/>
  <c r="E225" i="22"/>
  <c r="G225" i="22" s="1"/>
  <c r="E226" i="22"/>
  <c r="G226" i="22" s="1"/>
  <c r="E228" i="22"/>
  <c r="G228" i="22" s="1"/>
  <c r="E229" i="22"/>
  <c r="G229" i="22" s="1"/>
  <c r="E230" i="22"/>
  <c r="G230" i="22" s="1"/>
  <c r="E231" i="22"/>
  <c r="G231" i="22" s="1"/>
  <c r="E232" i="22"/>
  <c r="G232" i="22" s="1"/>
  <c r="E233" i="22"/>
  <c r="G233" i="22" s="1"/>
  <c r="E234" i="22"/>
  <c r="G234" i="22" s="1"/>
  <c r="E235" i="22"/>
  <c r="G235" i="22" s="1"/>
  <c r="E236" i="22"/>
  <c r="G236" i="22" s="1"/>
  <c r="E237" i="22"/>
  <c r="G237" i="22" s="1"/>
  <c r="E238" i="22"/>
  <c r="G238" i="22" s="1"/>
  <c r="E239" i="22"/>
  <c r="G239" i="22" s="1"/>
  <c r="E240" i="22"/>
  <c r="G240" i="22" s="1"/>
  <c r="E241" i="22"/>
  <c r="G241" i="22" s="1"/>
  <c r="E242" i="22"/>
  <c r="G242" i="22" s="1"/>
  <c r="E243" i="22"/>
  <c r="G243" i="22" s="1"/>
  <c r="E244" i="22"/>
  <c r="G244" i="22" s="1"/>
  <c r="E245" i="22"/>
  <c r="G245" i="22" s="1"/>
  <c r="E246" i="22"/>
  <c r="G246" i="22" s="1"/>
  <c r="E247" i="22"/>
  <c r="G247" i="22" s="1"/>
  <c r="E248" i="22"/>
  <c r="G248" i="22" s="1"/>
  <c r="E249" i="22"/>
  <c r="G249" i="22" s="1"/>
  <c r="E250" i="22"/>
  <c r="G250" i="22" s="1"/>
  <c r="E251" i="22"/>
  <c r="G251" i="22" s="1"/>
  <c r="E252" i="22"/>
  <c r="G252" i="22" s="1"/>
  <c r="E253" i="22"/>
  <c r="G253" i="22" s="1"/>
  <c r="E254" i="22"/>
  <c r="G254" i="22" s="1"/>
  <c r="E255" i="22"/>
  <c r="G255" i="22" s="1"/>
  <c r="E256" i="22"/>
  <c r="G256" i="22" s="1"/>
  <c r="E257" i="22"/>
  <c r="G257" i="22" s="1"/>
  <c r="E258" i="22"/>
  <c r="G258" i="22" s="1"/>
  <c r="E259" i="22"/>
  <c r="G259" i="22" s="1"/>
  <c r="E260" i="22"/>
  <c r="G260" i="22" s="1"/>
  <c r="E261" i="22"/>
  <c r="G261" i="22" s="1"/>
  <c r="E262" i="22"/>
  <c r="G262" i="22" s="1"/>
  <c r="E263" i="22"/>
  <c r="G263" i="22" s="1"/>
  <c r="E264" i="22"/>
  <c r="G264" i="22" s="1"/>
  <c r="E265" i="22"/>
  <c r="G265" i="22" s="1"/>
  <c r="E266" i="22"/>
  <c r="G266" i="22" s="1"/>
  <c r="E267" i="22"/>
  <c r="G267" i="22" s="1"/>
  <c r="E268" i="22"/>
  <c r="G268" i="22" s="1"/>
  <c r="E269" i="22"/>
  <c r="G269" i="22" s="1"/>
  <c r="E270" i="22"/>
  <c r="G270" i="22" s="1"/>
  <c r="E271" i="22"/>
  <c r="G271" i="22" s="1"/>
  <c r="E272" i="22"/>
  <c r="G272" i="22" s="1"/>
  <c r="E273" i="22"/>
  <c r="G273" i="22" s="1"/>
  <c r="E274" i="22"/>
  <c r="G274" i="22" s="1"/>
  <c r="E275" i="22"/>
  <c r="G275" i="22" s="1"/>
  <c r="E276" i="22"/>
  <c r="G276" i="22" s="1"/>
  <c r="E277" i="22"/>
  <c r="G277" i="22" s="1"/>
  <c r="E278" i="22"/>
  <c r="G278" i="22" s="1"/>
  <c r="E279" i="22"/>
  <c r="G279" i="22" s="1"/>
  <c r="E280" i="22"/>
  <c r="G280" i="22" s="1"/>
  <c r="E281" i="22"/>
  <c r="G281" i="22" s="1"/>
  <c r="E282" i="22"/>
  <c r="G282" i="22" s="1"/>
  <c r="E283" i="22"/>
  <c r="G283" i="22" s="1"/>
  <c r="E284" i="22"/>
  <c r="G284" i="22" s="1"/>
  <c r="E285" i="22"/>
  <c r="G285" i="22" s="1"/>
  <c r="E286" i="22"/>
  <c r="G286" i="22" s="1"/>
  <c r="E287" i="22"/>
  <c r="G287" i="22" s="1"/>
  <c r="E288" i="22"/>
  <c r="G288" i="22" s="1"/>
  <c r="E289" i="22"/>
  <c r="G289" i="22" s="1"/>
  <c r="E291" i="22"/>
  <c r="G291" i="22" s="1"/>
  <c r="E292" i="22"/>
  <c r="G292" i="22" s="1"/>
  <c r="E293" i="22"/>
  <c r="G293" i="22" s="1"/>
  <c r="E294" i="22"/>
  <c r="G294" i="22" s="1"/>
  <c r="E295" i="22"/>
  <c r="G295" i="22" s="1"/>
  <c r="E296" i="22"/>
  <c r="G296" i="22" s="1"/>
  <c r="E297" i="22"/>
  <c r="G297" i="22" s="1"/>
  <c r="E298" i="22"/>
  <c r="G298" i="22" s="1"/>
  <c r="E300" i="22"/>
  <c r="G300" i="22" s="1"/>
  <c r="E301" i="22"/>
  <c r="G301" i="22" s="1"/>
  <c r="E302" i="22"/>
  <c r="G302" i="22" s="1"/>
  <c r="E303" i="22"/>
  <c r="G303" i="22" s="1"/>
  <c r="E304" i="22"/>
  <c r="G304" i="22" s="1"/>
  <c r="E305" i="22"/>
  <c r="G305" i="22" s="1"/>
  <c r="E306" i="22"/>
  <c r="G306" i="22" s="1"/>
  <c r="E307" i="22"/>
  <c r="G307" i="22" s="1"/>
  <c r="E308" i="22"/>
  <c r="G308" i="22" s="1"/>
  <c r="E309" i="22"/>
  <c r="G309" i="22" s="1"/>
  <c r="E310" i="22"/>
  <c r="G310" i="22" s="1"/>
  <c r="E311" i="22"/>
  <c r="G311" i="22" s="1"/>
  <c r="E312" i="22"/>
  <c r="G312" i="22" s="1"/>
  <c r="E313" i="22"/>
  <c r="G313" i="22" s="1"/>
  <c r="E314" i="22"/>
  <c r="G314" i="22" s="1"/>
  <c r="E315" i="22"/>
  <c r="G315" i="22" s="1"/>
  <c r="E316" i="22"/>
  <c r="G316" i="22" s="1"/>
  <c r="E317" i="22"/>
  <c r="G317" i="22" s="1"/>
  <c r="E318" i="22"/>
  <c r="G318" i="22" s="1"/>
  <c r="E319" i="22"/>
  <c r="G319" i="22" s="1"/>
  <c r="E320" i="22"/>
  <c r="G320" i="22" s="1"/>
  <c r="E321" i="22"/>
  <c r="G321" i="22" s="1"/>
  <c r="E322" i="22"/>
  <c r="G322" i="22" s="1"/>
  <c r="E323" i="22"/>
  <c r="G323" i="22" s="1"/>
  <c r="E324" i="22"/>
  <c r="G324" i="22" s="1"/>
  <c r="E325" i="22"/>
  <c r="G325" i="22" s="1"/>
  <c r="E327" i="22"/>
  <c r="G327" i="22" s="1"/>
  <c r="E328" i="22"/>
  <c r="G328" i="22" s="1"/>
  <c r="E329" i="22"/>
  <c r="G329" i="22" s="1"/>
  <c r="E330" i="22"/>
  <c r="G330" i="22" s="1"/>
  <c r="E331" i="22"/>
  <c r="G331" i="22" s="1"/>
  <c r="E332" i="22"/>
  <c r="G332" i="22" s="1"/>
  <c r="E333" i="22"/>
  <c r="G333" i="22" s="1"/>
  <c r="E334" i="22"/>
  <c r="G334" i="22" s="1"/>
  <c r="E336" i="22"/>
  <c r="G336" i="22" s="1"/>
  <c r="E337" i="22"/>
  <c r="G337" i="22" s="1"/>
  <c r="E338" i="22"/>
  <c r="G338" i="22" s="1"/>
  <c r="E339" i="22"/>
  <c r="G339" i="22" s="1"/>
  <c r="E340" i="22"/>
  <c r="G340" i="22" s="1"/>
  <c r="E341" i="22"/>
  <c r="G341" i="22" s="1"/>
  <c r="E342" i="22"/>
  <c r="G342" i="22" s="1"/>
  <c r="E343" i="22"/>
  <c r="G343" i="22" s="1"/>
  <c r="E344" i="22"/>
  <c r="G344" i="22" s="1"/>
  <c r="E345" i="22"/>
  <c r="G345" i="22" s="1"/>
  <c r="E346" i="22"/>
  <c r="G346" i="22" s="1"/>
  <c r="E347" i="22"/>
  <c r="G347" i="22" s="1"/>
  <c r="E348" i="22"/>
  <c r="G348" i="22" s="1"/>
  <c r="E349" i="22"/>
  <c r="G349" i="22" s="1"/>
  <c r="E350" i="22"/>
  <c r="G350" i="22" s="1"/>
  <c r="E351" i="22"/>
  <c r="G351" i="22" s="1"/>
  <c r="E352" i="22"/>
  <c r="G352" i="22" s="1"/>
  <c r="E353" i="22"/>
  <c r="G353" i="22" s="1"/>
  <c r="E354" i="22"/>
  <c r="G354" i="22" s="1"/>
  <c r="E355" i="22"/>
  <c r="G355" i="22" s="1"/>
  <c r="E356" i="22"/>
  <c r="G356" i="22" s="1"/>
  <c r="E357" i="22"/>
  <c r="G357" i="22" s="1"/>
  <c r="E358" i="22"/>
  <c r="G358" i="22" s="1"/>
  <c r="E359" i="22"/>
  <c r="G359" i="22" s="1"/>
  <c r="E360" i="22"/>
  <c r="G360" i="22" s="1"/>
  <c r="E361" i="22"/>
  <c r="G361" i="22" s="1"/>
  <c r="E362" i="22"/>
  <c r="G362" i="22" s="1"/>
  <c r="E363" i="22"/>
  <c r="G363" i="22" s="1"/>
  <c r="E364" i="22"/>
  <c r="G364" i="22" s="1"/>
  <c r="E365" i="22"/>
  <c r="G365" i="22" s="1"/>
  <c r="E366" i="22"/>
  <c r="G366" i="22" s="1"/>
  <c r="E367" i="22"/>
  <c r="G367" i="22" s="1"/>
  <c r="E368" i="22"/>
  <c r="G368" i="22" s="1"/>
  <c r="E369" i="22"/>
  <c r="G369" i="22" s="1"/>
  <c r="E370" i="22"/>
  <c r="G370" i="22" s="1"/>
  <c r="E371" i="22"/>
  <c r="G371" i="22" s="1"/>
  <c r="E372" i="22"/>
  <c r="G372" i="22" s="1"/>
  <c r="E373" i="22"/>
  <c r="G373" i="22" s="1"/>
  <c r="E374" i="22"/>
  <c r="G374" i="22" s="1"/>
  <c r="E375" i="22"/>
  <c r="G375" i="22" s="1"/>
  <c r="E376" i="22"/>
  <c r="G376" i="22" s="1"/>
  <c r="E377" i="22"/>
  <c r="G377" i="22" s="1"/>
  <c r="E378" i="22"/>
  <c r="G378" i="22" s="1"/>
  <c r="E379" i="22"/>
  <c r="G379" i="22" s="1"/>
  <c r="E380" i="22"/>
  <c r="G380" i="22" s="1"/>
  <c r="E381" i="22"/>
  <c r="G381" i="22" s="1"/>
  <c r="E382" i="22"/>
  <c r="G382" i="22" s="1"/>
  <c r="E383" i="22"/>
  <c r="G383" i="22" s="1"/>
  <c r="E384" i="22"/>
  <c r="G384" i="22" s="1"/>
  <c r="E385" i="22"/>
  <c r="G385" i="22" s="1"/>
  <c r="E386" i="22"/>
  <c r="G386" i="22" s="1"/>
  <c r="E387" i="22"/>
  <c r="G387" i="22" s="1"/>
  <c r="E388" i="22"/>
  <c r="G388" i="22" s="1"/>
  <c r="E389" i="22"/>
  <c r="G389" i="22" s="1"/>
  <c r="E390" i="22"/>
  <c r="G390" i="22" s="1"/>
  <c r="E391" i="22"/>
  <c r="G391" i="22" s="1"/>
  <c r="E392" i="22"/>
  <c r="G392" i="22" s="1"/>
  <c r="E393" i="22"/>
  <c r="G393" i="22" s="1"/>
  <c r="E394" i="22"/>
  <c r="G394" i="22" s="1"/>
  <c r="E395" i="22"/>
  <c r="G395" i="22" s="1"/>
  <c r="E396" i="22"/>
  <c r="G396" i="22" s="1"/>
  <c r="E397" i="22"/>
  <c r="G397" i="22" s="1"/>
  <c r="E399" i="22"/>
  <c r="G399" i="22" s="1"/>
  <c r="E400" i="22"/>
  <c r="G400" i="22" s="1"/>
  <c r="E401" i="22"/>
  <c r="G401" i="22" s="1"/>
  <c r="E402" i="22"/>
  <c r="G402" i="22" s="1"/>
  <c r="E403" i="22"/>
  <c r="G403" i="22" s="1"/>
  <c r="E404" i="22"/>
  <c r="G404" i="22" s="1"/>
  <c r="E405" i="22"/>
  <c r="G405" i="22" s="1"/>
  <c r="E406" i="22"/>
  <c r="G406" i="22" s="1"/>
  <c r="E408" i="22"/>
  <c r="G408" i="22" s="1"/>
  <c r="E409" i="22"/>
  <c r="G409" i="22" s="1"/>
  <c r="E410" i="22"/>
  <c r="G410" i="22" s="1"/>
  <c r="E411" i="22"/>
  <c r="G411" i="22" s="1"/>
  <c r="E412" i="22"/>
  <c r="G412" i="22" s="1"/>
  <c r="E413" i="22"/>
  <c r="G413" i="22" s="1"/>
  <c r="E414" i="22"/>
  <c r="G414" i="22" s="1"/>
  <c r="E415" i="22"/>
  <c r="G415" i="22" s="1"/>
  <c r="E416" i="22"/>
  <c r="G416" i="22" s="1"/>
  <c r="E417" i="22"/>
  <c r="G417" i="22" s="1"/>
  <c r="E418" i="22"/>
  <c r="G418" i="22" s="1"/>
  <c r="E419" i="22"/>
  <c r="G419" i="22" s="1"/>
  <c r="E420" i="22"/>
  <c r="G420" i="22" s="1"/>
  <c r="E421" i="22"/>
  <c r="G421" i="22" s="1"/>
  <c r="E422" i="22"/>
  <c r="G422" i="22" s="1"/>
  <c r="E423" i="22"/>
  <c r="G423" i="22" s="1"/>
  <c r="E424" i="22"/>
  <c r="G424" i="22" s="1"/>
  <c r="E425" i="22"/>
  <c r="G425" i="22" s="1"/>
  <c r="E426" i="22"/>
  <c r="G426" i="22" s="1"/>
  <c r="E427" i="22"/>
  <c r="G427" i="22" s="1"/>
  <c r="E428" i="22"/>
  <c r="G428" i="22" s="1"/>
  <c r="E429" i="22"/>
  <c r="G429" i="22" s="1"/>
  <c r="E430" i="22"/>
  <c r="G430" i="22" s="1"/>
  <c r="E431" i="22"/>
  <c r="G431" i="22" s="1"/>
  <c r="E432" i="22"/>
  <c r="G432" i="22" s="1"/>
  <c r="E433" i="22"/>
  <c r="G433" i="22" s="1"/>
  <c r="E434" i="22"/>
  <c r="G434" i="22" s="1"/>
  <c r="E435" i="22"/>
  <c r="G435" i="22" s="1"/>
  <c r="E436" i="22"/>
  <c r="G436" i="22" s="1"/>
  <c r="E437" i="22"/>
  <c r="G437" i="22" s="1"/>
  <c r="E438" i="22"/>
  <c r="G438" i="22" s="1"/>
  <c r="E439" i="22"/>
  <c r="G439" i="22" s="1"/>
  <c r="E440" i="22"/>
  <c r="G440" i="22" s="1"/>
  <c r="E441" i="22"/>
  <c r="G441" i="22" s="1"/>
  <c r="E442" i="22"/>
  <c r="G442" i="22" s="1"/>
  <c r="E443" i="22"/>
  <c r="G443" i="22" s="1"/>
  <c r="E444" i="22"/>
  <c r="G444" i="22" s="1"/>
  <c r="E445" i="22"/>
  <c r="G445" i="22" s="1"/>
  <c r="E446" i="22"/>
  <c r="G446" i="22" s="1"/>
  <c r="E447" i="22"/>
  <c r="G447" i="22" s="1"/>
  <c r="E448" i="22"/>
  <c r="G448" i="22" s="1"/>
  <c r="E449" i="22"/>
  <c r="G449" i="22" s="1"/>
  <c r="E450" i="22"/>
  <c r="G450" i="22" s="1"/>
  <c r="E451" i="22"/>
  <c r="G451" i="22" s="1"/>
  <c r="E452" i="22"/>
  <c r="G452" i="22" s="1"/>
  <c r="E453" i="22"/>
  <c r="G453" i="22" s="1"/>
  <c r="E454" i="22"/>
  <c r="G454" i="22" s="1"/>
  <c r="E455" i="22"/>
  <c r="G455" i="22" s="1"/>
  <c r="E456" i="22"/>
  <c r="G456" i="22" s="1"/>
  <c r="E457" i="22"/>
  <c r="G457" i="22" s="1"/>
  <c r="E458" i="22"/>
  <c r="G458" i="22" s="1"/>
  <c r="E459" i="22"/>
  <c r="G459" i="22" s="1"/>
  <c r="E460" i="22"/>
  <c r="G460" i="22" s="1"/>
  <c r="E462" i="22"/>
  <c r="G462" i="22" s="1"/>
  <c r="E463" i="22"/>
  <c r="G463" i="22" s="1"/>
  <c r="E464" i="22"/>
  <c r="G464" i="22" s="1"/>
  <c r="E465" i="22"/>
  <c r="G465" i="22" s="1"/>
  <c r="E466" i="22"/>
  <c r="G466" i="22" s="1"/>
  <c r="E467" i="22"/>
  <c r="G467" i="22" s="1"/>
  <c r="E468" i="22"/>
  <c r="G468" i="22" s="1"/>
  <c r="E469" i="22"/>
  <c r="G469" i="22" s="1"/>
  <c r="E10" i="22"/>
  <c r="G10" i="22" s="1"/>
  <c r="E9" i="22"/>
  <c r="G9" i="22" s="1"/>
  <c r="E8" i="22"/>
  <c r="G8" i="22" s="1"/>
  <c r="E7" i="22"/>
  <c r="G7" i="22" s="1"/>
  <c r="E6" i="22"/>
  <c r="G6" i="22" s="1"/>
  <c r="E5" i="22"/>
  <c r="G5" i="22" s="1"/>
  <c r="E4" i="22"/>
  <c r="G4" i="22" s="1"/>
  <c r="E3" i="22"/>
  <c r="G3" i="22" s="1"/>
  <c r="E2" i="22"/>
  <c r="G2" i="22" s="1"/>
  <c r="H4790" i="13"/>
  <c r="J4790" i="13" s="1"/>
  <c r="H4791" i="13"/>
  <c r="J4791" i="13" s="1"/>
  <c r="H4792" i="13"/>
  <c r="J4792" i="13" s="1"/>
  <c r="H4793" i="13"/>
  <c r="J4793" i="13" s="1"/>
  <c r="H4794" i="13"/>
  <c r="J4794" i="13" s="1"/>
  <c r="H4795" i="13"/>
  <c r="J4795" i="13" s="1"/>
  <c r="H4796" i="13"/>
  <c r="J4796" i="13" s="1"/>
  <c r="H4797" i="13"/>
  <c r="J4797" i="13" s="1"/>
  <c r="H4798" i="13"/>
  <c r="J4798" i="13" s="1"/>
  <c r="H4799" i="13"/>
  <c r="J4799" i="13" s="1"/>
  <c r="H4800" i="13"/>
  <c r="J4800" i="13" s="1"/>
  <c r="H4801" i="13"/>
  <c r="J4801" i="13" s="1"/>
  <c r="H4802" i="13"/>
  <c r="J4802" i="13" s="1"/>
  <c r="H4803" i="13"/>
  <c r="J4803" i="13" s="1"/>
  <c r="H4804" i="13"/>
  <c r="J4804" i="13" s="1"/>
  <c r="H4805" i="13"/>
  <c r="J4805" i="13" s="1"/>
  <c r="H4806" i="13"/>
  <c r="J4806" i="13" s="1"/>
  <c r="H4807" i="13"/>
  <c r="J4807" i="13" s="1"/>
  <c r="H4808" i="13"/>
  <c r="J4808" i="13" s="1"/>
  <c r="H4809" i="13"/>
  <c r="J4809" i="13" s="1"/>
  <c r="H4810" i="13"/>
  <c r="J4810" i="13" s="1"/>
  <c r="H4811" i="13"/>
  <c r="J4811" i="13" s="1"/>
  <c r="H4812" i="13"/>
  <c r="J4812" i="13" s="1"/>
  <c r="H4813" i="13"/>
  <c r="J4813" i="13" s="1"/>
  <c r="H4814" i="13"/>
  <c r="J4814" i="13" s="1"/>
  <c r="H4815" i="13"/>
  <c r="J4815" i="13" s="1"/>
  <c r="H4816" i="13"/>
  <c r="J4816" i="13" s="1"/>
  <c r="H4817" i="13"/>
  <c r="J4817" i="13" s="1"/>
  <c r="H4818" i="13"/>
  <c r="J4818" i="13" s="1"/>
  <c r="H4819" i="13"/>
  <c r="J4819" i="13" s="1"/>
  <c r="H4820" i="13"/>
  <c r="J4820" i="13" s="1"/>
  <c r="H4821" i="13"/>
  <c r="J4821" i="13" s="1"/>
  <c r="H4822" i="13"/>
  <c r="J4822" i="13" s="1"/>
  <c r="H4823" i="13"/>
  <c r="J4823" i="13" s="1"/>
  <c r="H4824" i="13"/>
  <c r="J4824" i="13" s="1"/>
  <c r="H4825" i="13"/>
  <c r="J4825" i="13" s="1"/>
  <c r="H4826" i="13"/>
  <c r="J4826" i="13" s="1"/>
  <c r="H4827" i="13"/>
  <c r="J4827" i="13" s="1"/>
  <c r="H4828" i="13"/>
  <c r="J4828" i="13" s="1"/>
  <c r="H4829" i="13"/>
  <c r="J4829" i="13" s="1"/>
  <c r="H4830" i="13"/>
  <c r="J4830" i="13" s="1"/>
  <c r="H4831" i="13"/>
  <c r="J4831" i="13" s="1"/>
  <c r="H4832" i="13"/>
  <c r="J4832" i="13" s="1"/>
  <c r="H4833" i="13"/>
  <c r="J4833" i="13" s="1"/>
  <c r="H4834" i="13"/>
  <c r="J4834" i="13" s="1"/>
  <c r="H4835" i="13"/>
  <c r="J4835" i="13" s="1"/>
  <c r="H4836" i="13"/>
  <c r="J4836" i="13" s="1"/>
  <c r="H4837" i="13"/>
  <c r="J4837" i="13" s="1"/>
  <c r="H4838" i="13"/>
  <c r="J4838" i="13" s="1"/>
  <c r="H4839" i="13"/>
  <c r="J4839" i="13" s="1"/>
  <c r="H4840" i="13"/>
  <c r="J4840" i="13" s="1"/>
  <c r="H4841" i="13"/>
  <c r="J4841" i="13" s="1"/>
  <c r="H4842" i="13"/>
  <c r="J4842" i="13" s="1"/>
  <c r="H4843" i="13"/>
  <c r="J4843" i="13" s="1"/>
  <c r="H4844" i="13"/>
  <c r="J4844" i="13" s="1"/>
  <c r="H4845" i="13"/>
  <c r="J4845" i="13" s="1"/>
  <c r="H4846" i="13"/>
  <c r="J4846" i="13" s="1"/>
  <c r="H4847" i="13"/>
  <c r="J4847" i="13" s="1"/>
  <c r="H4848" i="13"/>
  <c r="J4848" i="13" s="1"/>
  <c r="H4849" i="13"/>
  <c r="J4849" i="13" s="1"/>
  <c r="H4850" i="13"/>
  <c r="J4850" i="13" s="1"/>
  <c r="H4851" i="13"/>
  <c r="J4851" i="13" s="1"/>
  <c r="H4852" i="13"/>
  <c r="J4852" i="13" s="1"/>
  <c r="H4853" i="13"/>
  <c r="J4853" i="13" s="1"/>
  <c r="H4854" i="13"/>
  <c r="J4854" i="13" s="1"/>
  <c r="H4855" i="13"/>
  <c r="J4855" i="13" s="1"/>
  <c r="H4856" i="13"/>
  <c r="J4856" i="13" s="1"/>
  <c r="H4857" i="13"/>
  <c r="J4857" i="13" s="1"/>
  <c r="H4858" i="13"/>
  <c r="J4858" i="13" s="1"/>
  <c r="H4859" i="13"/>
  <c r="J4859" i="13" s="1"/>
  <c r="H4860" i="13"/>
  <c r="J4860" i="13" s="1"/>
  <c r="H4861" i="13"/>
  <c r="J4861" i="13" s="1"/>
  <c r="H4862" i="13"/>
  <c r="J4862" i="13" s="1"/>
  <c r="H4863" i="13"/>
  <c r="J4863" i="13" s="1"/>
  <c r="H4864" i="13"/>
  <c r="J4864" i="13" s="1"/>
  <c r="H4865" i="13"/>
  <c r="J4865" i="13" s="1"/>
  <c r="H4866" i="13"/>
  <c r="J4866" i="13" s="1"/>
  <c r="H4867" i="13"/>
  <c r="J4867" i="13" s="1"/>
  <c r="H4868" i="13"/>
  <c r="J4868" i="13" s="1"/>
  <c r="H4869" i="13"/>
  <c r="J4869" i="13" s="1"/>
  <c r="H4870" i="13"/>
  <c r="J4870" i="13" s="1"/>
  <c r="H4871" i="13"/>
  <c r="J4871" i="13" s="1"/>
  <c r="H4872" i="13"/>
  <c r="J4872" i="13" s="1"/>
  <c r="H4873" i="13"/>
  <c r="J4873" i="13" s="1"/>
  <c r="H4874" i="13"/>
  <c r="J4874" i="13" s="1"/>
  <c r="H4875" i="13"/>
  <c r="J4875" i="13" s="1"/>
  <c r="H4876" i="13"/>
  <c r="J4876" i="13" s="1"/>
  <c r="H4877" i="13"/>
  <c r="J4877" i="13" s="1"/>
  <c r="H4878" i="13"/>
  <c r="J4878" i="13" s="1"/>
  <c r="H4879" i="13"/>
  <c r="J4879" i="13" s="1"/>
  <c r="H4880" i="13"/>
  <c r="J4880" i="13" s="1"/>
  <c r="H4881" i="13"/>
  <c r="J4881" i="13" s="1"/>
  <c r="H4882" i="13"/>
  <c r="J4882" i="13" s="1"/>
  <c r="H4883" i="13"/>
  <c r="J4883" i="13" s="1"/>
  <c r="H4884" i="13"/>
  <c r="J4884" i="13" s="1"/>
  <c r="H4885" i="13"/>
  <c r="J4885" i="13" s="1"/>
  <c r="H4886" i="13"/>
  <c r="J4886" i="13" s="1"/>
  <c r="H4887" i="13"/>
  <c r="J4887" i="13" s="1"/>
  <c r="H4888" i="13"/>
  <c r="J4888" i="13" s="1"/>
  <c r="H4889" i="13"/>
  <c r="J4889" i="13" s="1"/>
  <c r="H4890" i="13"/>
  <c r="J4890" i="13" s="1"/>
  <c r="H4891" i="13"/>
  <c r="J4891" i="13" s="1"/>
  <c r="H4892" i="13"/>
  <c r="J4892" i="13" s="1"/>
  <c r="H4893" i="13"/>
  <c r="J4893" i="13" s="1"/>
  <c r="H4894" i="13"/>
  <c r="J4894" i="13" s="1"/>
  <c r="H4895" i="13"/>
  <c r="J4895" i="13" s="1"/>
  <c r="H4896" i="13"/>
  <c r="J4896" i="13" s="1"/>
  <c r="H4897" i="13"/>
  <c r="J4897" i="13" s="1"/>
  <c r="H4898" i="13"/>
  <c r="J4898" i="13" s="1"/>
  <c r="H4899" i="13"/>
  <c r="J4899" i="13" s="1"/>
  <c r="H4900" i="13"/>
  <c r="J4900" i="13" s="1"/>
  <c r="H4901" i="13"/>
  <c r="J4901" i="13" s="1"/>
  <c r="H4902" i="13"/>
  <c r="J4902" i="13" s="1"/>
  <c r="H4903" i="13"/>
  <c r="J4903" i="13" s="1"/>
  <c r="H4904" i="13"/>
  <c r="J4904" i="13" s="1"/>
  <c r="H4905" i="13"/>
  <c r="J4905" i="13" s="1"/>
  <c r="H4906" i="13"/>
  <c r="J4906" i="13" s="1"/>
  <c r="H4907" i="13"/>
  <c r="J4907" i="13" s="1"/>
  <c r="H4908" i="13"/>
  <c r="J4908" i="13" s="1"/>
  <c r="H4909" i="13"/>
  <c r="J4909" i="13" s="1"/>
  <c r="H4910" i="13"/>
  <c r="J4910" i="13" s="1"/>
  <c r="H4911" i="13"/>
  <c r="J4911" i="13" s="1"/>
  <c r="H4912" i="13"/>
  <c r="J4912" i="13" s="1"/>
  <c r="H4913" i="13"/>
  <c r="J4913" i="13" s="1"/>
  <c r="H4914" i="13"/>
  <c r="J4914" i="13" s="1"/>
  <c r="H4915" i="13"/>
  <c r="J4915" i="13" s="1"/>
  <c r="H4917" i="13"/>
  <c r="J4917" i="13" s="1"/>
  <c r="H4918" i="13"/>
  <c r="J4918" i="13" s="1"/>
  <c r="H4919" i="13"/>
  <c r="J4919" i="13" s="1"/>
  <c r="H4920" i="13"/>
  <c r="J4920" i="13" s="1"/>
  <c r="H4921" i="13"/>
  <c r="J4921" i="13" s="1"/>
  <c r="H4922" i="13"/>
  <c r="J4922" i="13" s="1"/>
  <c r="H4923" i="13"/>
  <c r="J4923" i="13" s="1"/>
  <c r="H4924" i="13"/>
  <c r="J4924" i="13" s="1"/>
  <c r="H4925" i="13"/>
  <c r="J4925" i="13" s="1"/>
  <c r="H4926" i="13"/>
  <c r="J4926" i="13" s="1"/>
  <c r="H4927" i="13"/>
  <c r="J4927" i="13" s="1"/>
  <c r="H4928" i="13"/>
  <c r="J4928" i="13" s="1"/>
  <c r="H4929" i="13"/>
  <c r="J4929" i="13" s="1"/>
  <c r="H4930" i="13"/>
  <c r="J4930" i="13" s="1"/>
  <c r="H4931" i="13"/>
  <c r="J4931" i="13" s="1"/>
  <c r="H4932" i="13"/>
  <c r="J4932" i="13" s="1"/>
  <c r="H4933" i="13"/>
  <c r="J4933" i="13" s="1"/>
  <c r="H4934" i="13"/>
  <c r="J4934" i="13" s="1"/>
  <c r="H4935" i="13"/>
  <c r="J4935" i="13" s="1"/>
  <c r="H4936" i="13"/>
  <c r="J4936" i="13" s="1"/>
  <c r="H4937" i="13"/>
  <c r="J4937" i="13" s="1"/>
  <c r="H4938" i="13"/>
  <c r="J4938" i="13" s="1"/>
  <c r="H4939" i="13"/>
  <c r="J4939" i="13" s="1"/>
  <c r="H4940" i="13"/>
  <c r="J4940" i="13" s="1"/>
  <c r="H4941" i="13"/>
  <c r="J4941" i="13" s="1"/>
  <c r="H4942" i="13"/>
  <c r="J4942" i="13" s="1"/>
  <c r="H4943" i="13"/>
  <c r="J4943" i="13" s="1"/>
  <c r="H4944" i="13"/>
  <c r="J4944" i="13" s="1"/>
  <c r="H4945" i="13"/>
  <c r="J4945" i="13" s="1"/>
  <c r="H4946" i="13"/>
  <c r="J4946" i="13" s="1"/>
  <c r="H4947" i="13"/>
  <c r="J4947" i="13" s="1"/>
  <c r="H4948" i="13"/>
  <c r="J4948" i="13" s="1"/>
  <c r="H4949" i="13"/>
  <c r="J4949" i="13" s="1"/>
  <c r="H4950" i="13"/>
  <c r="J4950" i="13" s="1"/>
  <c r="H4951" i="13"/>
  <c r="J4951" i="13" s="1"/>
  <c r="H4952" i="13"/>
  <c r="J4952" i="13" s="1"/>
  <c r="H4953" i="13"/>
  <c r="J4953" i="13" s="1"/>
  <c r="H4954" i="13"/>
  <c r="J4954" i="13" s="1"/>
  <c r="H4955" i="13"/>
  <c r="J4955" i="13" s="1"/>
  <c r="H4956" i="13"/>
  <c r="J4956" i="13" s="1"/>
  <c r="H4957" i="13"/>
  <c r="J4957" i="13" s="1"/>
  <c r="H4958" i="13"/>
  <c r="J4958" i="13" s="1"/>
  <c r="H4959" i="13"/>
  <c r="J4959" i="13" s="1"/>
  <c r="H4960" i="13"/>
  <c r="J4960" i="13" s="1"/>
  <c r="H4961" i="13"/>
  <c r="J4961" i="13" s="1"/>
  <c r="H4962" i="13"/>
  <c r="J4962" i="13" s="1"/>
  <c r="H4963" i="13"/>
  <c r="J4963" i="13" s="1"/>
  <c r="H4964" i="13"/>
  <c r="J4964" i="13" s="1"/>
  <c r="H4965" i="13"/>
  <c r="J4965" i="13" s="1"/>
  <c r="H4966" i="13"/>
  <c r="J4966" i="13" s="1"/>
  <c r="H4967" i="13"/>
  <c r="J4967" i="13" s="1"/>
  <c r="H4968" i="13"/>
  <c r="J4968" i="13" s="1"/>
  <c r="H4969" i="13"/>
  <c r="J4969" i="13" s="1"/>
  <c r="H4970" i="13"/>
  <c r="J4970" i="13" s="1"/>
  <c r="H4971" i="13"/>
  <c r="J4971" i="13" s="1"/>
  <c r="H4972" i="13"/>
  <c r="J4972" i="13" s="1"/>
  <c r="H4973" i="13"/>
  <c r="J4973" i="13" s="1"/>
  <c r="H4974" i="13"/>
  <c r="J4974" i="13" s="1"/>
  <c r="H4975" i="13"/>
  <c r="J4975" i="13" s="1"/>
  <c r="H4976" i="13"/>
  <c r="J4976" i="13" s="1"/>
  <c r="H4977" i="13"/>
  <c r="J4977" i="13" s="1"/>
  <c r="H4978" i="13"/>
  <c r="J4978" i="13" s="1"/>
  <c r="H4979" i="13"/>
  <c r="J4979" i="13" s="1"/>
  <c r="H4980" i="13"/>
  <c r="J4980" i="13" s="1"/>
  <c r="H4981" i="13"/>
  <c r="J4981" i="13" s="1"/>
  <c r="H4982" i="13"/>
  <c r="J4982" i="13" s="1"/>
  <c r="H4983" i="13"/>
  <c r="J4983" i="13" s="1"/>
  <c r="H4984" i="13"/>
  <c r="J4984" i="13" s="1"/>
  <c r="H4985" i="13"/>
  <c r="J4985" i="13" s="1"/>
  <c r="H4986" i="13"/>
  <c r="J4986" i="13" s="1"/>
  <c r="H4987" i="13"/>
  <c r="J4987" i="13" s="1"/>
  <c r="H4988" i="13"/>
  <c r="J4988" i="13" s="1"/>
  <c r="H4989" i="13"/>
  <c r="J4989" i="13" s="1"/>
  <c r="H4990" i="13"/>
  <c r="J4990" i="13" s="1"/>
  <c r="H4991" i="13"/>
  <c r="J4991" i="13" s="1"/>
  <c r="H4992" i="13"/>
  <c r="J4992" i="13" s="1"/>
  <c r="H4993" i="13"/>
  <c r="J4993" i="13" s="1"/>
  <c r="H4994" i="13"/>
  <c r="J4994" i="13" s="1"/>
  <c r="H4995" i="13"/>
  <c r="J4995" i="13" s="1"/>
  <c r="H4996" i="13"/>
  <c r="J4996" i="13" s="1"/>
  <c r="H4997" i="13"/>
  <c r="J4997" i="13" s="1"/>
  <c r="H4998" i="13"/>
  <c r="J4998" i="13" s="1"/>
  <c r="H4999" i="13"/>
  <c r="J4999" i="13" s="1"/>
  <c r="H5000" i="13"/>
  <c r="J5000" i="13" s="1"/>
  <c r="H5001" i="13"/>
  <c r="J5001" i="13" s="1"/>
  <c r="H5002" i="13"/>
  <c r="J5002" i="13" s="1"/>
  <c r="H5003" i="13"/>
  <c r="J5003" i="13" s="1"/>
  <c r="H5004" i="13"/>
  <c r="J5004" i="13" s="1"/>
  <c r="H5005" i="13"/>
  <c r="J5005" i="13" s="1"/>
  <c r="H5007" i="13"/>
  <c r="J5007" i="13" s="1"/>
  <c r="H5008" i="13"/>
  <c r="J5008" i="13" s="1"/>
  <c r="H5009" i="13"/>
  <c r="J5009" i="13" s="1"/>
  <c r="H5010" i="13"/>
  <c r="J5010" i="13" s="1"/>
  <c r="H5011" i="13"/>
  <c r="J5011" i="13" s="1"/>
  <c r="H5012" i="13"/>
  <c r="J5012" i="13" s="1"/>
  <c r="H5013" i="13"/>
  <c r="J5013" i="13" s="1"/>
  <c r="H5014" i="13"/>
  <c r="J5014" i="13" s="1"/>
  <c r="H5015" i="13"/>
  <c r="J5015" i="13" s="1"/>
  <c r="H5016" i="13"/>
  <c r="J5016" i="13" s="1"/>
  <c r="H5017" i="13"/>
  <c r="J5017" i="13" s="1"/>
  <c r="H5018" i="13"/>
  <c r="J5018" i="13" s="1"/>
  <c r="H5019" i="13"/>
  <c r="J5019" i="13" s="1"/>
  <c r="H5020" i="13"/>
  <c r="J5020" i="13" s="1"/>
  <c r="H5021" i="13"/>
  <c r="J5021" i="13" s="1"/>
  <c r="H5022" i="13"/>
  <c r="J5022" i="13" s="1"/>
  <c r="H5023" i="13"/>
  <c r="J5023" i="13" s="1"/>
  <c r="H5024" i="13"/>
  <c r="J5024" i="13" s="1"/>
  <c r="H5025" i="13"/>
  <c r="J5025" i="13" s="1"/>
  <c r="H5026" i="13"/>
  <c r="J5026" i="13" s="1"/>
  <c r="H5027" i="13"/>
  <c r="J5027" i="13" s="1"/>
  <c r="H5028" i="13"/>
  <c r="J5028" i="13" s="1"/>
  <c r="H5029" i="13"/>
  <c r="J5029" i="13" s="1"/>
  <c r="H5030" i="13"/>
  <c r="J5030" i="13" s="1"/>
  <c r="H5031" i="13"/>
  <c r="J5031" i="13" s="1"/>
  <c r="H5032" i="13"/>
  <c r="J5032" i="13" s="1"/>
  <c r="H5034" i="13"/>
  <c r="J5034" i="13" s="1"/>
  <c r="H5035" i="13"/>
  <c r="J5035" i="13" s="1"/>
  <c r="H5036" i="13"/>
  <c r="J5036" i="13" s="1"/>
  <c r="H5037" i="13"/>
  <c r="J5037" i="13" s="1"/>
  <c r="H5038" i="13"/>
  <c r="J5038" i="13" s="1"/>
  <c r="H5039" i="13"/>
  <c r="J5039" i="13" s="1"/>
  <c r="H5040" i="13"/>
  <c r="J5040" i="13" s="1"/>
  <c r="H5041" i="13"/>
  <c r="J5041" i="13" s="1"/>
  <c r="H5042" i="13"/>
  <c r="J5042" i="13" s="1"/>
  <c r="H5043" i="13"/>
  <c r="J5043" i="13" s="1"/>
  <c r="H5044" i="13"/>
  <c r="J5044" i="13" s="1"/>
  <c r="H5045" i="13"/>
  <c r="J5045" i="13" s="1"/>
  <c r="H5046" i="13"/>
  <c r="J5046" i="13" s="1"/>
  <c r="H5047" i="13"/>
  <c r="J5047" i="13" s="1"/>
  <c r="H5048" i="13"/>
  <c r="J5048" i="13" s="1"/>
  <c r="H5049" i="13"/>
  <c r="J5049" i="13" s="1"/>
  <c r="H5050" i="13"/>
  <c r="J5050" i="13" s="1"/>
  <c r="H5051" i="13"/>
  <c r="J5051" i="13" s="1"/>
  <c r="H5052" i="13"/>
  <c r="J5052" i="13" s="1"/>
  <c r="H5053" i="13"/>
  <c r="J5053" i="13" s="1"/>
  <c r="H5054" i="13"/>
  <c r="J5054" i="13" s="1"/>
  <c r="H5055" i="13"/>
  <c r="J5055" i="13" s="1"/>
  <c r="H5056" i="13"/>
  <c r="J5056" i="13" s="1"/>
  <c r="H5057" i="13"/>
  <c r="J5057" i="13" s="1"/>
  <c r="H5058" i="13"/>
  <c r="J5058" i="13" s="1"/>
  <c r="H5059" i="13"/>
  <c r="J5059" i="13" s="1"/>
  <c r="H5060" i="13"/>
  <c r="J5060" i="13" s="1"/>
  <c r="H5061" i="13"/>
  <c r="J5061" i="13" s="1"/>
  <c r="H5062" i="13"/>
  <c r="J5062" i="13" s="1"/>
  <c r="H5063" i="13"/>
  <c r="J5063" i="13" s="1"/>
  <c r="H5064" i="13"/>
  <c r="J5064" i="13" s="1"/>
  <c r="H5065" i="13"/>
  <c r="J5065" i="13" s="1"/>
  <c r="H5066" i="13"/>
  <c r="J5066" i="13" s="1"/>
  <c r="H5067" i="13"/>
  <c r="J5067" i="13" s="1"/>
  <c r="H5068" i="13"/>
  <c r="J5068" i="13" s="1"/>
  <c r="H5069" i="13"/>
  <c r="J5069" i="13" s="1"/>
  <c r="H5070" i="13"/>
  <c r="J5070" i="13" s="1"/>
  <c r="H5071" i="13"/>
  <c r="J5071" i="13" s="1"/>
  <c r="H5072" i="13"/>
  <c r="J5072" i="13" s="1"/>
  <c r="H5073" i="13"/>
  <c r="J5073" i="13" s="1"/>
  <c r="H5074" i="13"/>
  <c r="J5074" i="13" s="1"/>
  <c r="H5075" i="13"/>
  <c r="J5075" i="13" s="1"/>
  <c r="H5076" i="13"/>
  <c r="J5076" i="13" s="1"/>
  <c r="H5077" i="13"/>
  <c r="J5077" i="13" s="1"/>
  <c r="H5078" i="13"/>
  <c r="J5078" i="13" s="1"/>
  <c r="H5079" i="13"/>
  <c r="J5079" i="13" s="1"/>
  <c r="H5080" i="13"/>
  <c r="J5080" i="13" s="1"/>
  <c r="H5081" i="13"/>
  <c r="J5081" i="13" s="1"/>
  <c r="H5082" i="13"/>
  <c r="J5082" i="13" s="1"/>
  <c r="H5083" i="13"/>
  <c r="J5083" i="13" s="1"/>
  <c r="H5084" i="13"/>
  <c r="J5084" i="13" s="1"/>
  <c r="H5085" i="13"/>
  <c r="J5085" i="13" s="1"/>
  <c r="H5086" i="13"/>
  <c r="J5086" i="13" s="1"/>
  <c r="H5087" i="13"/>
  <c r="J5087" i="13" s="1"/>
  <c r="H5088" i="13"/>
  <c r="J5088" i="13" s="1"/>
  <c r="H5089" i="13"/>
  <c r="J5089" i="13" s="1"/>
  <c r="H5090" i="13"/>
  <c r="J5090" i="13" s="1"/>
  <c r="H5091" i="13"/>
  <c r="J5091" i="13" s="1"/>
  <c r="H5092" i="13"/>
  <c r="J5092" i="13" s="1"/>
  <c r="H5093" i="13"/>
  <c r="J5093" i="13" s="1"/>
  <c r="H5094" i="13"/>
  <c r="J5094" i="13" s="1"/>
  <c r="H5095" i="13"/>
  <c r="J5095" i="13" s="1"/>
  <c r="H5096" i="13"/>
  <c r="J5096" i="13" s="1"/>
  <c r="H5097" i="13"/>
  <c r="J5097" i="13" s="1"/>
  <c r="H5098" i="13"/>
  <c r="J5098" i="13" s="1"/>
  <c r="H5099" i="13"/>
  <c r="J5099" i="13" s="1"/>
  <c r="H5100" i="13"/>
  <c r="J5100" i="13" s="1"/>
  <c r="H5101" i="13"/>
  <c r="J5101" i="13" s="1"/>
  <c r="H5102" i="13"/>
  <c r="J5102" i="13" s="1"/>
  <c r="H5103" i="13"/>
  <c r="J5103" i="13" s="1"/>
  <c r="H5104" i="13"/>
  <c r="J5104" i="13" s="1"/>
  <c r="H5105" i="13"/>
  <c r="J5105" i="13" s="1"/>
  <c r="H5106" i="13"/>
  <c r="J5106" i="13" s="1"/>
  <c r="H5107" i="13"/>
  <c r="J5107" i="13" s="1"/>
  <c r="H5108" i="13"/>
  <c r="J5108" i="13" s="1"/>
  <c r="H5109" i="13"/>
  <c r="J5109" i="13" s="1"/>
  <c r="H5110" i="13"/>
  <c r="J5110" i="13" s="1"/>
  <c r="H5111" i="13"/>
  <c r="J5111" i="13" s="1"/>
  <c r="H5112" i="13"/>
  <c r="J5112" i="13" s="1"/>
  <c r="H5113" i="13"/>
  <c r="J5113" i="13" s="1"/>
  <c r="H5114" i="13"/>
  <c r="J5114" i="13" s="1"/>
  <c r="H5115" i="13"/>
  <c r="J5115" i="13" s="1"/>
  <c r="H5116" i="13"/>
  <c r="J5116" i="13" s="1"/>
  <c r="H5117" i="13"/>
  <c r="J5117" i="13" s="1"/>
  <c r="H5118" i="13"/>
  <c r="J5118" i="13" s="1"/>
  <c r="H5119" i="13"/>
  <c r="J5119" i="13" s="1"/>
  <c r="H5120" i="13"/>
  <c r="J5120" i="13" s="1"/>
  <c r="H5121" i="13"/>
  <c r="J5121" i="13" s="1"/>
  <c r="H5122" i="13"/>
  <c r="J5122" i="13" s="1"/>
  <c r="H5123" i="13"/>
  <c r="J5123" i="13" s="1"/>
  <c r="H5124" i="13"/>
  <c r="J5124" i="13" s="1"/>
  <c r="H5125" i="13"/>
  <c r="J5125" i="13" s="1"/>
  <c r="H5126" i="13"/>
  <c r="J5126" i="13" s="1"/>
  <c r="H5127" i="13"/>
  <c r="J5127" i="13" s="1"/>
  <c r="H5128" i="13"/>
  <c r="J5128" i="13" s="1"/>
  <c r="H5129" i="13"/>
  <c r="J5129" i="13" s="1"/>
  <c r="H5130" i="13"/>
  <c r="J5130" i="13" s="1"/>
  <c r="H5131" i="13"/>
  <c r="J5131" i="13" s="1"/>
  <c r="H5132" i="13"/>
  <c r="J5132" i="13" s="1"/>
  <c r="H5133" i="13"/>
  <c r="J5133" i="13" s="1"/>
  <c r="H5134" i="13"/>
  <c r="J5134" i="13" s="1"/>
  <c r="H5135" i="13"/>
  <c r="J5135" i="13" s="1"/>
  <c r="H5136" i="13"/>
  <c r="J5136" i="13" s="1"/>
  <c r="H5137" i="13"/>
  <c r="J5137" i="13" s="1"/>
  <c r="H5138" i="13"/>
  <c r="J5138" i="13" s="1"/>
  <c r="H5139" i="13"/>
  <c r="J5139" i="13" s="1"/>
  <c r="H5140" i="13"/>
  <c r="J5140" i="13" s="1"/>
  <c r="H5141" i="13"/>
  <c r="J5141" i="13" s="1"/>
  <c r="H5142" i="13"/>
  <c r="J5142" i="13" s="1"/>
  <c r="H5143" i="13"/>
  <c r="J5143" i="13" s="1"/>
  <c r="H5144" i="13"/>
  <c r="J5144" i="13" s="1"/>
  <c r="H5145" i="13"/>
  <c r="J5145" i="13" s="1"/>
  <c r="H5146" i="13"/>
  <c r="J5146" i="13" s="1"/>
  <c r="H5147" i="13"/>
  <c r="J5147" i="13" s="1"/>
  <c r="H5148" i="13"/>
  <c r="J5148" i="13" s="1"/>
  <c r="H5149" i="13"/>
  <c r="J5149" i="13" s="1"/>
  <c r="H5150" i="13"/>
  <c r="J5150" i="13" s="1"/>
  <c r="H5151" i="13"/>
  <c r="J5151" i="13" s="1"/>
  <c r="H5152" i="13"/>
  <c r="J5152" i="13" s="1"/>
  <c r="H5153" i="13"/>
  <c r="J5153" i="13" s="1"/>
  <c r="H5154" i="13"/>
  <c r="J5154" i="13" s="1"/>
  <c r="H5155" i="13"/>
  <c r="J5155" i="13" s="1"/>
  <c r="H5156" i="13"/>
  <c r="J5156" i="13" s="1"/>
  <c r="H5157" i="13"/>
  <c r="J5157" i="13" s="1"/>
  <c r="H5158" i="13"/>
  <c r="J5158" i="13" s="1"/>
  <c r="H5159" i="13"/>
  <c r="J5159" i="13" s="1"/>
  <c r="H5160" i="13"/>
  <c r="J5160" i="13" s="1"/>
  <c r="H5161" i="13"/>
  <c r="J5161" i="13" s="1"/>
  <c r="H5162" i="13"/>
  <c r="J5162" i="13" s="1"/>
  <c r="H5163" i="13"/>
  <c r="J5163" i="13" s="1"/>
  <c r="H5164" i="13"/>
  <c r="J5164" i="13" s="1"/>
  <c r="H5165" i="13"/>
  <c r="J5165" i="13" s="1"/>
  <c r="H5166" i="13"/>
  <c r="J5166" i="13" s="1"/>
  <c r="H5167" i="13"/>
  <c r="J5167" i="13" s="1"/>
  <c r="H5168" i="13"/>
  <c r="J5168" i="13" s="1"/>
  <c r="H5169" i="13"/>
  <c r="J5169" i="13" s="1"/>
  <c r="H5170" i="13"/>
  <c r="J5170" i="13" s="1"/>
  <c r="H5171" i="13"/>
  <c r="J5171" i="13" s="1"/>
  <c r="H5172" i="13"/>
  <c r="J5172" i="13" s="1"/>
  <c r="H5173" i="13"/>
  <c r="J5173" i="13" s="1"/>
  <c r="H5174" i="13"/>
  <c r="J5174" i="13" s="1"/>
  <c r="H5175" i="13"/>
  <c r="J5175" i="13" s="1"/>
  <c r="H5176" i="13"/>
  <c r="J5176" i="13" s="1"/>
  <c r="H5177" i="13"/>
  <c r="J5177" i="13" s="1"/>
  <c r="H5178" i="13"/>
  <c r="J5178" i="13" s="1"/>
  <c r="H5179" i="13"/>
  <c r="J5179" i="13" s="1"/>
  <c r="H5180" i="13"/>
  <c r="J5180" i="13" s="1"/>
  <c r="H5181" i="13"/>
  <c r="J5181" i="13" s="1"/>
  <c r="H5182" i="13"/>
  <c r="J5182" i="13" s="1"/>
  <c r="H5183" i="13"/>
  <c r="J5183" i="13" s="1"/>
  <c r="H5184" i="13"/>
  <c r="J5184" i="13" s="1"/>
  <c r="H5185" i="13"/>
  <c r="J5185" i="13" s="1"/>
  <c r="H5186" i="13"/>
  <c r="J5186" i="13" s="1"/>
  <c r="H5187" i="13"/>
  <c r="J5187" i="13" s="1"/>
  <c r="H5188" i="13"/>
  <c r="J5188" i="13" s="1"/>
  <c r="H5189" i="13"/>
  <c r="J5189" i="13" s="1"/>
  <c r="H5190" i="13"/>
  <c r="J5190" i="13" s="1"/>
  <c r="H5191" i="13"/>
  <c r="J5191" i="13" s="1"/>
  <c r="H5192" i="13"/>
  <c r="J5192" i="13" s="1"/>
  <c r="H5193" i="13"/>
  <c r="J5193" i="13" s="1"/>
  <c r="H5194" i="13"/>
  <c r="J5194" i="13" s="1"/>
  <c r="H5196" i="13"/>
  <c r="J5196" i="13" s="1"/>
  <c r="H5197" i="13"/>
  <c r="J5197" i="13" s="1"/>
  <c r="H5198" i="13"/>
  <c r="J5198" i="13" s="1"/>
  <c r="H5199" i="13"/>
  <c r="J5199" i="13" s="1"/>
  <c r="H5200" i="13"/>
  <c r="J5200" i="13" s="1"/>
  <c r="H5201" i="13"/>
  <c r="J5201" i="13" s="1"/>
  <c r="H5202" i="13"/>
  <c r="J5202" i="13" s="1"/>
  <c r="H5203" i="13"/>
  <c r="J5203" i="13" s="1"/>
  <c r="H5204" i="13"/>
  <c r="J5204" i="13" s="1"/>
  <c r="H5205" i="13"/>
  <c r="J5205" i="13" s="1"/>
  <c r="H5206" i="13"/>
  <c r="J5206" i="13" s="1"/>
  <c r="H5207" i="13"/>
  <c r="J5207" i="13" s="1"/>
  <c r="H5208" i="13"/>
  <c r="J5208" i="13" s="1"/>
  <c r="H5209" i="13"/>
  <c r="J5209" i="13" s="1"/>
  <c r="H5210" i="13"/>
  <c r="J5210" i="13" s="1"/>
  <c r="H5211" i="13"/>
  <c r="J5211" i="13" s="1"/>
  <c r="H5212" i="13"/>
  <c r="J5212" i="13" s="1"/>
  <c r="H5213" i="13"/>
  <c r="J5213" i="13" s="1"/>
  <c r="H5214" i="13"/>
  <c r="J5214" i="13" s="1"/>
  <c r="H5215" i="13"/>
  <c r="J5215" i="13" s="1"/>
  <c r="H5216" i="13"/>
  <c r="J5216" i="13" s="1"/>
  <c r="H5217" i="13"/>
  <c r="J5217" i="13" s="1"/>
  <c r="H5218" i="13"/>
  <c r="J5218" i="13" s="1"/>
  <c r="H5219" i="13"/>
  <c r="J5219" i="13" s="1"/>
  <c r="H5220" i="13"/>
  <c r="J5220" i="13" s="1"/>
  <c r="H5221" i="13"/>
  <c r="J5221" i="13" s="1"/>
  <c r="H5222" i="13"/>
  <c r="J5222" i="13" s="1"/>
  <c r="H5223" i="13"/>
  <c r="J5223" i="13" s="1"/>
  <c r="H5224" i="13"/>
  <c r="J5224" i="13" s="1"/>
  <c r="H5225" i="13"/>
  <c r="J5225" i="13" s="1"/>
  <c r="H5226" i="13"/>
  <c r="J5226" i="13" s="1"/>
  <c r="H5227" i="13"/>
  <c r="J5227" i="13" s="1"/>
  <c r="H5228" i="13"/>
  <c r="J5228" i="13" s="1"/>
  <c r="H5229" i="13"/>
  <c r="J5229" i="13" s="1"/>
  <c r="H5230" i="13"/>
  <c r="J5230" i="13" s="1"/>
  <c r="H5231" i="13"/>
  <c r="J5231" i="13" s="1"/>
  <c r="H5232" i="13"/>
  <c r="J5232" i="13" s="1"/>
  <c r="H5233" i="13"/>
  <c r="J5233" i="13" s="1"/>
  <c r="H5234" i="13"/>
  <c r="J5234" i="13" s="1"/>
  <c r="H5235" i="13"/>
  <c r="J5235" i="13" s="1"/>
  <c r="H5236" i="13"/>
  <c r="J5236" i="13" s="1"/>
  <c r="H5237" i="13"/>
  <c r="J5237" i="13" s="1"/>
  <c r="H5238" i="13"/>
  <c r="J5238" i="13" s="1"/>
  <c r="H5239" i="13"/>
  <c r="J5239" i="13" s="1"/>
  <c r="H5241" i="13"/>
  <c r="J5241" i="13" s="1"/>
  <c r="H5242" i="13"/>
  <c r="J5242" i="13" s="1"/>
  <c r="H5243" i="13"/>
  <c r="J5243" i="13" s="1"/>
  <c r="H5244" i="13"/>
  <c r="J5244" i="13" s="1"/>
  <c r="H5245" i="13"/>
  <c r="J5245" i="13" s="1"/>
  <c r="H5246" i="13"/>
  <c r="J5246" i="13" s="1"/>
  <c r="H5247" i="13"/>
  <c r="J5247" i="13" s="1"/>
  <c r="H5248" i="13"/>
  <c r="J5248" i="13" s="1"/>
  <c r="H5249" i="13"/>
  <c r="J5249" i="13" s="1"/>
  <c r="H5250" i="13"/>
  <c r="J5250" i="13" s="1"/>
  <c r="H5251" i="13"/>
  <c r="J5251" i="13" s="1"/>
  <c r="H5252" i="13"/>
  <c r="J5252" i="13" s="1"/>
  <c r="H5253" i="13"/>
  <c r="J5253" i="13" s="1"/>
  <c r="H5254" i="13"/>
  <c r="J5254" i="13" s="1"/>
  <c r="H5255" i="13"/>
  <c r="J5255" i="13" s="1"/>
  <c r="H5256" i="13"/>
  <c r="J5256" i="13" s="1"/>
  <c r="H5257" i="13"/>
  <c r="J5257" i="13" s="1"/>
  <c r="H5258" i="13"/>
  <c r="J5258" i="13" s="1"/>
  <c r="H5259" i="13"/>
  <c r="J5259" i="13" s="1"/>
  <c r="H5260" i="13"/>
  <c r="J5260" i="13" s="1"/>
  <c r="H5261" i="13"/>
  <c r="J5261" i="13" s="1"/>
  <c r="H5262" i="13"/>
  <c r="J5262" i="13" s="1"/>
  <c r="H5263" i="13"/>
  <c r="J5263" i="13" s="1"/>
  <c r="H5264" i="13"/>
  <c r="J5264" i="13" s="1"/>
  <c r="H5265" i="13"/>
  <c r="J5265" i="13" s="1"/>
  <c r="H5266" i="13"/>
  <c r="J5266" i="13" s="1"/>
  <c r="H5267" i="13"/>
  <c r="J5267" i="13" s="1"/>
  <c r="H5268" i="13"/>
  <c r="J5268" i="13" s="1"/>
  <c r="H5269" i="13"/>
  <c r="J5269" i="13" s="1"/>
  <c r="H5270" i="13"/>
  <c r="J5270" i="13" s="1"/>
  <c r="H5271" i="13"/>
  <c r="J5271" i="13" s="1"/>
  <c r="H5272" i="13"/>
  <c r="J5272" i="13" s="1"/>
  <c r="H5273" i="13"/>
  <c r="J5273" i="13" s="1"/>
  <c r="H5274" i="13"/>
  <c r="J5274" i="13" s="1"/>
  <c r="H5275" i="13"/>
  <c r="J5275" i="13" s="1"/>
  <c r="H5276" i="13"/>
  <c r="J5276" i="13" s="1"/>
  <c r="H5277" i="13"/>
  <c r="J5277" i="13" s="1"/>
  <c r="H5278" i="13"/>
  <c r="J5278" i="13" s="1"/>
  <c r="H5279" i="13"/>
  <c r="J5279" i="13" s="1"/>
  <c r="H5280" i="13"/>
  <c r="J5280" i="13" s="1"/>
  <c r="H5281" i="13"/>
  <c r="J5281" i="13" s="1"/>
  <c r="H5282" i="13"/>
  <c r="J5282" i="13" s="1"/>
  <c r="H5283" i="13"/>
  <c r="J5283" i="13" s="1"/>
  <c r="H5284" i="13"/>
  <c r="J5284" i="13" s="1"/>
  <c r="H5285" i="13"/>
  <c r="J5285" i="13" s="1"/>
  <c r="H5286" i="13"/>
  <c r="J5286" i="13" s="1"/>
  <c r="H5287" i="13"/>
  <c r="J5287" i="13" s="1"/>
  <c r="H5288" i="13"/>
  <c r="J5288" i="13" s="1"/>
  <c r="H5289" i="13"/>
  <c r="J5289" i="13" s="1"/>
  <c r="H5290" i="13"/>
  <c r="J5290" i="13" s="1"/>
  <c r="H5291" i="13"/>
  <c r="J5291" i="13" s="1"/>
  <c r="H5292" i="13"/>
  <c r="J5292" i="13" s="1"/>
  <c r="H5293" i="13"/>
  <c r="J5293" i="13" s="1"/>
  <c r="H5294" i="13"/>
  <c r="J5294" i="13" s="1"/>
  <c r="H5295" i="13"/>
  <c r="J5295" i="13" s="1"/>
  <c r="H5296" i="13"/>
  <c r="J5296" i="13" s="1"/>
  <c r="H5297" i="13"/>
  <c r="J5297" i="13" s="1"/>
  <c r="H5298" i="13"/>
  <c r="J5298" i="13" s="1"/>
  <c r="H5299" i="13"/>
  <c r="J5299" i="13" s="1"/>
  <c r="H5300" i="13"/>
  <c r="J5300" i="13" s="1"/>
  <c r="H5301" i="13"/>
  <c r="J5301" i="13" s="1"/>
  <c r="H5302" i="13"/>
  <c r="J5302" i="13" s="1"/>
  <c r="H5303" i="13"/>
  <c r="J5303" i="13" s="1"/>
  <c r="H5304" i="13"/>
  <c r="J5304" i="13" s="1"/>
  <c r="H5305" i="13"/>
  <c r="J5305" i="13" s="1"/>
  <c r="H5306" i="13"/>
  <c r="J5306" i="13" s="1"/>
  <c r="H5307" i="13"/>
  <c r="J5307" i="13" s="1"/>
  <c r="H5308" i="13"/>
  <c r="J5308" i="13" s="1"/>
  <c r="H5309" i="13"/>
  <c r="J5309" i="13" s="1"/>
  <c r="H5310" i="13"/>
  <c r="J5310" i="13" s="1"/>
  <c r="H5311" i="13"/>
  <c r="J5311" i="13" s="1"/>
  <c r="H5312" i="13"/>
  <c r="J5312" i="13" s="1"/>
  <c r="H5313" i="13"/>
  <c r="J5313" i="13" s="1"/>
  <c r="H5314" i="13"/>
  <c r="J5314" i="13" s="1"/>
  <c r="H5315" i="13"/>
  <c r="J5315" i="13" s="1"/>
  <c r="H5316" i="13"/>
  <c r="J5316" i="13" s="1"/>
  <c r="H5317" i="13"/>
  <c r="J5317" i="13" s="1"/>
  <c r="H5318" i="13"/>
  <c r="J5318" i="13" s="1"/>
  <c r="H5319" i="13"/>
  <c r="J5319" i="13" s="1"/>
  <c r="H5320" i="13"/>
  <c r="J5320" i="13" s="1"/>
  <c r="H5321" i="13"/>
  <c r="J5321" i="13" s="1"/>
  <c r="H5322" i="13"/>
  <c r="J5322" i="13" s="1"/>
  <c r="H5323" i="13"/>
  <c r="J5323" i="13" s="1"/>
  <c r="H5324" i="13"/>
  <c r="J5324" i="13" s="1"/>
  <c r="H5325" i="13"/>
  <c r="J5325" i="13" s="1"/>
  <c r="H5326" i="13"/>
  <c r="J5326" i="13" s="1"/>
  <c r="H5327" i="13"/>
  <c r="J5327" i="13" s="1"/>
  <c r="H5328" i="13"/>
  <c r="J5328" i="13" s="1"/>
  <c r="H5329" i="13"/>
  <c r="J5329" i="13" s="1"/>
  <c r="H5330" i="13"/>
  <c r="J5330" i="13" s="1"/>
  <c r="H5331" i="13"/>
  <c r="J5331" i="13" s="1"/>
  <c r="H5332" i="13"/>
  <c r="J5332" i="13" s="1"/>
  <c r="H5333" i="13"/>
  <c r="J5333" i="13" s="1"/>
  <c r="H5334" i="13"/>
  <c r="J5334" i="13" s="1"/>
  <c r="H5335" i="13"/>
  <c r="J5335" i="13" s="1"/>
  <c r="H5336" i="13"/>
  <c r="J5336" i="13" s="1"/>
  <c r="H5337" i="13"/>
  <c r="J5337" i="13" s="1"/>
  <c r="H5338" i="13"/>
  <c r="J5338" i="13" s="1"/>
  <c r="H5340" i="13"/>
  <c r="J5340" i="13" s="1"/>
  <c r="H5341" i="13"/>
  <c r="J5341" i="13" s="1"/>
  <c r="H5342" i="13"/>
  <c r="J5342" i="13" s="1"/>
  <c r="H5343" i="13"/>
  <c r="J5343" i="13" s="1"/>
  <c r="H5344" i="13"/>
  <c r="J5344" i="13" s="1"/>
  <c r="H5345" i="13"/>
  <c r="J5345" i="13" s="1"/>
  <c r="H5346" i="13"/>
  <c r="J5346" i="13" s="1"/>
  <c r="H5347" i="13"/>
  <c r="J5347" i="13" s="1"/>
  <c r="H5349" i="13"/>
  <c r="J5349" i="13" s="1"/>
  <c r="H5350" i="13"/>
  <c r="J5350" i="13" s="1"/>
  <c r="H5351" i="13"/>
  <c r="J5351" i="13" s="1"/>
  <c r="H5352" i="13"/>
  <c r="J5352" i="13" s="1"/>
  <c r="H5353" i="13"/>
  <c r="J5353" i="13" s="1"/>
  <c r="H5354" i="13"/>
  <c r="J5354" i="13" s="1"/>
  <c r="H5355" i="13"/>
  <c r="J5355" i="13" s="1"/>
  <c r="H5356" i="13"/>
  <c r="J5356" i="13" s="1"/>
  <c r="H5358" i="13"/>
  <c r="J5358" i="13" s="1"/>
  <c r="H5359" i="13"/>
  <c r="J5359" i="13" s="1"/>
  <c r="H5360" i="13"/>
  <c r="J5360" i="13" s="1"/>
  <c r="H5361" i="13"/>
  <c r="J5361" i="13" s="1"/>
  <c r="H5362" i="13"/>
  <c r="J5362" i="13" s="1"/>
  <c r="H5363" i="13"/>
  <c r="J5363" i="13" s="1"/>
  <c r="H5364" i="13"/>
  <c r="J5364" i="13" s="1"/>
  <c r="H5365" i="13"/>
  <c r="J5365" i="13" s="1"/>
  <c r="H5366" i="13"/>
  <c r="J5366" i="13" s="1"/>
  <c r="H5367" i="13"/>
  <c r="J5367" i="13" s="1"/>
  <c r="H5368" i="13"/>
  <c r="J5368" i="13" s="1"/>
  <c r="H5369" i="13"/>
  <c r="J5369" i="13" s="1"/>
  <c r="H5370" i="13"/>
  <c r="J5370" i="13" s="1"/>
  <c r="H5371" i="13"/>
  <c r="J5371" i="13" s="1"/>
  <c r="H5372" i="13"/>
  <c r="J5372" i="13" s="1"/>
  <c r="H5373" i="13"/>
  <c r="J5373" i="13" s="1"/>
  <c r="H5374" i="13"/>
  <c r="J5374" i="13" s="1"/>
  <c r="H5376" i="13"/>
  <c r="J5376" i="13" s="1"/>
  <c r="H5377" i="13"/>
  <c r="J5377" i="13" s="1"/>
  <c r="H5378" i="13"/>
  <c r="J5378" i="13" s="1"/>
  <c r="H5379" i="13"/>
  <c r="J5379" i="13" s="1"/>
  <c r="H5380" i="13"/>
  <c r="J5380" i="13" s="1"/>
  <c r="H5381" i="13"/>
  <c r="J5381" i="13" s="1"/>
  <c r="H5382" i="13"/>
  <c r="J5382" i="13" s="1"/>
  <c r="H5383" i="13"/>
  <c r="J5383" i="13" s="1"/>
  <c r="H5384" i="13"/>
  <c r="J5384" i="13" s="1"/>
  <c r="H5385" i="13"/>
  <c r="J5385" i="13" s="1"/>
  <c r="H5386" i="13"/>
  <c r="J5386" i="13" s="1"/>
  <c r="H5387" i="13"/>
  <c r="J5387" i="13" s="1"/>
  <c r="H5388" i="13"/>
  <c r="J5388" i="13" s="1"/>
  <c r="H5389" i="13"/>
  <c r="J5389" i="13" s="1"/>
  <c r="H5390" i="13"/>
  <c r="J5390" i="13" s="1"/>
  <c r="H5391" i="13"/>
  <c r="J5391" i="13" s="1"/>
  <c r="H5392" i="13"/>
  <c r="J5392" i="13" s="1"/>
  <c r="H5394" i="13"/>
  <c r="J5394" i="13" s="1"/>
  <c r="H5395" i="13"/>
  <c r="J5395" i="13" s="1"/>
  <c r="H5396" i="13"/>
  <c r="J5396" i="13" s="1"/>
  <c r="H5397" i="13"/>
  <c r="J5397" i="13" s="1"/>
  <c r="H5398" i="13"/>
  <c r="J5398" i="13" s="1"/>
  <c r="H5399" i="13"/>
  <c r="J5399" i="13" s="1"/>
  <c r="H5400" i="13"/>
  <c r="J5400" i="13" s="1"/>
  <c r="H5401" i="13"/>
  <c r="J5401" i="13" s="1"/>
  <c r="H5402" i="13"/>
  <c r="J5402" i="13" s="1"/>
  <c r="H5403" i="13"/>
  <c r="J5403" i="13" s="1"/>
  <c r="H5404" i="13"/>
  <c r="J5404" i="13" s="1"/>
  <c r="H5405" i="13"/>
  <c r="J5405" i="13" s="1"/>
  <c r="H5406" i="13"/>
  <c r="J5406" i="13" s="1"/>
  <c r="H5407" i="13"/>
  <c r="J5407" i="13" s="1"/>
  <c r="H5408" i="13"/>
  <c r="J5408" i="13" s="1"/>
  <c r="H5409" i="13"/>
  <c r="J5409" i="13" s="1"/>
  <c r="H5410" i="13"/>
  <c r="J5410" i="13" s="1"/>
  <c r="H5411" i="13"/>
  <c r="J5411" i="13" s="1"/>
  <c r="H5412" i="13"/>
  <c r="J5412" i="13" s="1"/>
  <c r="H5413" i="13"/>
  <c r="J5413" i="13" s="1"/>
  <c r="H5414" i="13"/>
  <c r="J5414" i="13" s="1"/>
  <c r="H5415" i="13"/>
  <c r="J5415" i="13" s="1"/>
  <c r="H5416" i="13"/>
  <c r="J5416" i="13" s="1"/>
  <c r="H5417" i="13"/>
  <c r="J5417" i="13" s="1"/>
  <c r="H5418" i="13"/>
  <c r="J5418" i="13" s="1"/>
  <c r="H5419" i="13"/>
  <c r="J5419" i="13" s="1"/>
  <c r="H5420" i="13"/>
  <c r="J5420" i="13" s="1"/>
  <c r="H5421" i="13"/>
  <c r="J5421" i="13" s="1"/>
  <c r="H5422" i="13"/>
  <c r="J5422" i="13" s="1"/>
  <c r="H5423" i="13"/>
  <c r="J5423" i="13" s="1"/>
  <c r="H5424" i="13"/>
  <c r="J5424" i="13" s="1"/>
  <c r="H5425" i="13"/>
  <c r="J5425" i="13" s="1"/>
  <c r="H5426" i="13"/>
  <c r="J5426" i="13" s="1"/>
  <c r="H5427" i="13"/>
  <c r="J5427" i="13" s="1"/>
  <c r="H5428" i="13"/>
  <c r="J5428" i="13" s="1"/>
  <c r="H5429" i="13"/>
  <c r="J5429" i="13" s="1"/>
  <c r="H5430" i="13"/>
  <c r="J5430" i="13" s="1"/>
  <c r="H5431" i="13"/>
  <c r="J5431" i="13" s="1"/>
  <c r="H5432" i="13"/>
  <c r="J5432" i="13" s="1"/>
  <c r="H5433" i="13"/>
  <c r="J5433" i="13" s="1"/>
  <c r="H5434" i="13"/>
  <c r="J5434" i="13" s="1"/>
  <c r="H5435" i="13"/>
  <c r="J5435" i="13" s="1"/>
  <c r="H5436" i="13"/>
  <c r="J5436" i="13" s="1"/>
  <c r="H5437" i="13"/>
  <c r="J5437" i="13" s="1"/>
  <c r="H5438" i="13"/>
  <c r="J5438" i="13" s="1"/>
  <c r="H5439" i="13"/>
  <c r="J5439" i="13" s="1"/>
  <c r="H5440" i="13"/>
  <c r="J5440" i="13" s="1"/>
  <c r="H5441" i="13"/>
  <c r="J5441" i="13" s="1"/>
  <c r="H5442" i="13"/>
  <c r="J5442" i="13" s="1"/>
  <c r="H5443" i="13"/>
  <c r="J5443" i="13" s="1"/>
  <c r="H5444" i="13"/>
  <c r="J5444" i="13" s="1"/>
  <c r="H5445" i="13"/>
  <c r="J5445" i="13" s="1"/>
  <c r="H5446" i="13"/>
  <c r="J5446" i="13" s="1"/>
  <c r="H5447" i="13"/>
  <c r="J5447" i="13" s="1"/>
  <c r="H5448" i="13"/>
  <c r="J5448" i="13" s="1"/>
  <c r="H5449" i="13"/>
  <c r="J5449" i="13" s="1"/>
  <c r="H5450" i="13"/>
  <c r="J5450" i="13" s="1"/>
  <c r="H5451" i="13"/>
  <c r="J5451" i="13" s="1"/>
  <c r="H5452" i="13"/>
  <c r="J5452" i="13" s="1"/>
  <c r="H5453" i="13"/>
  <c r="J5453" i="13" s="1"/>
  <c r="H5454" i="13"/>
  <c r="J5454" i="13" s="1"/>
  <c r="H5455" i="13"/>
  <c r="J5455" i="13" s="1"/>
  <c r="H5456" i="13"/>
  <c r="J5456" i="13" s="1"/>
  <c r="H5457" i="13"/>
  <c r="J5457" i="13" s="1"/>
  <c r="H5458" i="13"/>
  <c r="J5458" i="13" s="1"/>
  <c r="H5459" i="13"/>
  <c r="J5459" i="13" s="1"/>
  <c r="H5460" i="13"/>
  <c r="J5460" i="13" s="1"/>
  <c r="H5461" i="13"/>
  <c r="J5461" i="13" s="1"/>
  <c r="H5462" i="13"/>
  <c r="J5462" i="13" s="1"/>
  <c r="H5463" i="13"/>
  <c r="J5463" i="13" s="1"/>
  <c r="H5464" i="13"/>
  <c r="J5464" i="13" s="1"/>
  <c r="H5465" i="13"/>
  <c r="J5465" i="13" s="1"/>
  <c r="H5466" i="13"/>
  <c r="J5466" i="13" s="1"/>
  <c r="H5467" i="13"/>
  <c r="J5467" i="13" s="1"/>
  <c r="H5468" i="13"/>
  <c r="J5468" i="13" s="1"/>
  <c r="H5469" i="13"/>
  <c r="J5469" i="13" s="1"/>
  <c r="H5470" i="13"/>
  <c r="J5470" i="13" s="1"/>
  <c r="H5471" i="13"/>
  <c r="J5471" i="13" s="1"/>
  <c r="H5472" i="13"/>
  <c r="J5472" i="13" s="1"/>
  <c r="H5473" i="13"/>
  <c r="J5473" i="13" s="1"/>
  <c r="H5474" i="13"/>
  <c r="J5474" i="13" s="1"/>
  <c r="H5475" i="13"/>
  <c r="J5475" i="13" s="1"/>
  <c r="H5476" i="13"/>
  <c r="J5476" i="13" s="1"/>
  <c r="H5477" i="13"/>
  <c r="J5477" i="13" s="1"/>
  <c r="H5478" i="13"/>
  <c r="J5478" i="13" s="1"/>
  <c r="H5479" i="13"/>
  <c r="J5479" i="13" s="1"/>
  <c r="H5480" i="13"/>
  <c r="J5480" i="13" s="1"/>
  <c r="H5481" i="13"/>
  <c r="J5481" i="13" s="1"/>
  <c r="H5482" i="13"/>
  <c r="J5482" i="13" s="1"/>
  <c r="H5483" i="13"/>
  <c r="J5483" i="13" s="1"/>
  <c r="H5484" i="13"/>
  <c r="J5484" i="13" s="1"/>
  <c r="H5485" i="13"/>
  <c r="J5485" i="13" s="1"/>
  <c r="H5486" i="13"/>
  <c r="J5486" i="13" s="1"/>
  <c r="H5487" i="13"/>
  <c r="J5487" i="13" s="1"/>
  <c r="H5488" i="13"/>
  <c r="J5488" i="13" s="1"/>
  <c r="H5489" i="13"/>
  <c r="J5489" i="13" s="1"/>
  <c r="H5490" i="13"/>
  <c r="J5490" i="13" s="1"/>
  <c r="H5491" i="13"/>
  <c r="J5491" i="13" s="1"/>
  <c r="H5492" i="13"/>
  <c r="J5492" i="13" s="1"/>
  <c r="H5493" i="13"/>
  <c r="J5493" i="13" s="1"/>
  <c r="H5494" i="13"/>
  <c r="J5494" i="13" s="1"/>
  <c r="H5495" i="13"/>
  <c r="J5495" i="13" s="1"/>
  <c r="H5496" i="13"/>
  <c r="J5496" i="13" s="1"/>
  <c r="H5497" i="13"/>
  <c r="J5497" i="13" s="1"/>
  <c r="H5498" i="13"/>
  <c r="J5498" i="13" s="1"/>
  <c r="H5499" i="13"/>
  <c r="J5499" i="13" s="1"/>
  <c r="H5500" i="13"/>
  <c r="J5500" i="13" s="1"/>
  <c r="H5501" i="13"/>
  <c r="J5501" i="13" s="1"/>
  <c r="H5502" i="13"/>
  <c r="J5502" i="13" s="1"/>
  <c r="H5503" i="13"/>
  <c r="J5503" i="13" s="1"/>
  <c r="H5504" i="13"/>
  <c r="J5504" i="13" s="1"/>
  <c r="H5505" i="13"/>
  <c r="J5505" i="13" s="1"/>
  <c r="H5506" i="13"/>
  <c r="J5506" i="13" s="1"/>
  <c r="H5507" i="13"/>
  <c r="J5507" i="13" s="1"/>
  <c r="H5508" i="13"/>
  <c r="J5508" i="13" s="1"/>
  <c r="H5509" i="13"/>
  <c r="J5509" i="13" s="1"/>
  <c r="H5510" i="13"/>
  <c r="J5510" i="13" s="1"/>
  <c r="H5511" i="13"/>
  <c r="J5511" i="13" s="1"/>
  <c r="H5512" i="13"/>
  <c r="J5512" i="13" s="1"/>
  <c r="H5513" i="13"/>
  <c r="J5513" i="13" s="1"/>
  <c r="H5514" i="13"/>
  <c r="J5514" i="13" s="1"/>
  <c r="H5515" i="13"/>
  <c r="J5515" i="13" s="1"/>
  <c r="H5516" i="13"/>
  <c r="J5516" i="13" s="1"/>
  <c r="H5517" i="13"/>
  <c r="J5517" i="13" s="1"/>
  <c r="H5518" i="13"/>
  <c r="J5518" i="13" s="1"/>
  <c r="H5519" i="13"/>
  <c r="J5519" i="13" s="1"/>
  <c r="H5520" i="13"/>
  <c r="J5520" i="13" s="1"/>
  <c r="H5521" i="13"/>
  <c r="J5521" i="13" s="1"/>
  <c r="H5522" i="13"/>
  <c r="J5522" i="13" s="1"/>
  <c r="H5523" i="13"/>
  <c r="J5523" i="13" s="1"/>
  <c r="H5524" i="13"/>
  <c r="J5524" i="13" s="1"/>
  <c r="H5525" i="13"/>
  <c r="J5525" i="13" s="1"/>
  <c r="H5526" i="13"/>
  <c r="J5526" i="13" s="1"/>
  <c r="H5527" i="13"/>
  <c r="J5527" i="13" s="1"/>
  <c r="H5528" i="13"/>
  <c r="J5528" i="13" s="1"/>
  <c r="H5529" i="13"/>
  <c r="J5529" i="13" s="1"/>
  <c r="H5530" i="13"/>
  <c r="J5530" i="13" s="1"/>
  <c r="H5531" i="13"/>
  <c r="J5531" i="13" s="1"/>
  <c r="H5532" i="13"/>
  <c r="J5532" i="13" s="1"/>
  <c r="H5533" i="13"/>
  <c r="J5533" i="13" s="1"/>
  <c r="H5534" i="13"/>
  <c r="J5534" i="13" s="1"/>
  <c r="H5535" i="13"/>
  <c r="J5535" i="13" s="1"/>
  <c r="H5536" i="13"/>
  <c r="J5536" i="13" s="1"/>
  <c r="H5537" i="13"/>
  <c r="J5537" i="13" s="1"/>
  <c r="H5538" i="13"/>
  <c r="J5538" i="13" s="1"/>
  <c r="H5539" i="13"/>
  <c r="J5539" i="13" s="1"/>
  <c r="H5540" i="13"/>
  <c r="J5540" i="13" s="1"/>
  <c r="H5541" i="13"/>
  <c r="J5541" i="13" s="1"/>
  <c r="H5542" i="13"/>
  <c r="J5542" i="13" s="1"/>
  <c r="H5543" i="13"/>
  <c r="J5543" i="13" s="1"/>
  <c r="H5544" i="13"/>
  <c r="J5544" i="13" s="1"/>
  <c r="H5545" i="13"/>
  <c r="J5545" i="13" s="1"/>
  <c r="H5546" i="13"/>
  <c r="J5546" i="13" s="1"/>
  <c r="H5547" i="13"/>
  <c r="J5547" i="13" s="1"/>
  <c r="H5548" i="13"/>
  <c r="J5548" i="13" s="1"/>
  <c r="H5549" i="13"/>
  <c r="J5549" i="13" s="1"/>
  <c r="H5550" i="13"/>
  <c r="J5550" i="13" s="1"/>
  <c r="H5551" i="13"/>
  <c r="J5551" i="13" s="1"/>
  <c r="H5552" i="13"/>
  <c r="J5552" i="13" s="1"/>
  <c r="H5553" i="13"/>
  <c r="J5553" i="13" s="1"/>
  <c r="H5554" i="13"/>
  <c r="J5554" i="13" s="1"/>
  <c r="H5555" i="13"/>
  <c r="J5555" i="13" s="1"/>
  <c r="H5556" i="13"/>
  <c r="J5556" i="13" s="1"/>
  <c r="H5557" i="13"/>
  <c r="J5557" i="13" s="1"/>
  <c r="H5558" i="13"/>
  <c r="J5558" i="13" s="1"/>
  <c r="H5559" i="13"/>
  <c r="J5559" i="13" s="1"/>
  <c r="H5560" i="13"/>
  <c r="J5560" i="13" s="1"/>
  <c r="H5561" i="13"/>
  <c r="J5561" i="13" s="1"/>
  <c r="H5562" i="13"/>
  <c r="J5562" i="13" s="1"/>
  <c r="H5563" i="13"/>
  <c r="J5563" i="13" s="1"/>
  <c r="H5564" i="13"/>
  <c r="J5564" i="13" s="1"/>
  <c r="H5565" i="13"/>
  <c r="J5565" i="13" s="1"/>
  <c r="H5566" i="13"/>
  <c r="J5566" i="13" s="1"/>
  <c r="H5567" i="13"/>
  <c r="J5567" i="13" s="1"/>
  <c r="H5568" i="13"/>
  <c r="J5568" i="13" s="1"/>
  <c r="H5569" i="13"/>
  <c r="J5569" i="13" s="1"/>
  <c r="H5570" i="13"/>
  <c r="J5570" i="13" s="1"/>
  <c r="H5571" i="13"/>
  <c r="J5571" i="13" s="1"/>
  <c r="H5572" i="13"/>
  <c r="J5572" i="13" s="1"/>
  <c r="H5573" i="13"/>
  <c r="J5573" i="13" s="1"/>
  <c r="H5574" i="13"/>
  <c r="J5574" i="13" s="1"/>
  <c r="H5575" i="13"/>
  <c r="J5575" i="13" s="1"/>
  <c r="H5576" i="13"/>
  <c r="J5576" i="13" s="1"/>
  <c r="H5577" i="13"/>
  <c r="J5577" i="13" s="1"/>
  <c r="H5578" i="13"/>
  <c r="J5578" i="13" s="1"/>
  <c r="H5579" i="13"/>
  <c r="J5579" i="13" s="1"/>
  <c r="H5580" i="13"/>
  <c r="J5580" i="13" s="1"/>
  <c r="H5581" i="13"/>
  <c r="J5581" i="13" s="1"/>
  <c r="H5582" i="13"/>
  <c r="J5582" i="13" s="1"/>
  <c r="H5583" i="13"/>
  <c r="J5583" i="13" s="1"/>
  <c r="H5584" i="13"/>
  <c r="J5584" i="13" s="1"/>
  <c r="H5585" i="13"/>
  <c r="J5585" i="13" s="1"/>
  <c r="H5586" i="13"/>
  <c r="J5586" i="13" s="1"/>
  <c r="H5587" i="13"/>
  <c r="J5587" i="13" s="1"/>
  <c r="H5588" i="13"/>
  <c r="J5588" i="13" s="1"/>
  <c r="H5589" i="13"/>
  <c r="J5589" i="13" s="1"/>
  <c r="H5590" i="13"/>
  <c r="J5590" i="13" s="1"/>
  <c r="H5591" i="13"/>
  <c r="J5591" i="13" s="1"/>
  <c r="H5592" i="13"/>
  <c r="J5592" i="13" s="1"/>
  <c r="H5593" i="13"/>
  <c r="J5593" i="13" s="1"/>
  <c r="H5594" i="13"/>
  <c r="J5594" i="13" s="1"/>
  <c r="H5595" i="13"/>
  <c r="J5595" i="13" s="1"/>
  <c r="H5596" i="13"/>
  <c r="J5596" i="13" s="1"/>
  <c r="H5597" i="13"/>
  <c r="J5597" i="13" s="1"/>
  <c r="H5598" i="13"/>
  <c r="J5598" i="13" s="1"/>
  <c r="H5599" i="13"/>
  <c r="J5599" i="13" s="1"/>
  <c r="H5600" i="13"/>
  <c r="J5600" i="13" s="1"/>
  <c r="H5601" i="13"/>
  <c r="J5601" i="13" s="1"/>
  <c r="H5602" i="13"/>
  <c r="J5602" i="13" s="1"/>
  <c r="H5603" i="13"/>
  <c r="J5603" i="13" s="1"/>
  <c r="H5604" i="13"/>
  <c r="J5604" i="13" s="1"/>
  <c r="H5605" i="13"/>
  <c r="J5605" i="13" s="1"/>
  <c r="H5606" i="13"/>
  <c r="J5606" i="13" s="1"/>
  <c r="H5607" i="13"/>
  <c r="J5607" i="13" s="1"/>
  <c r="H5608" i="13"/>
  <c r="J5608" i="13" s="1"/>
  <c r="H5609" i="13"/>
  <c r="J5609" i="13" s="1"/>
  <c r="H5610" i="13"/>
  <c r="J5610" i="13" s="1"/>
  <c r="H5611" i="13"/>
  <c r="J5611" i="13" s="1"/>
  <c r="H5612" i="13"/>
  <c r="J5612" i="13" s="1"/>
  <c r="H5613" i="13"/>
  <c r="J5613" i="13" s="1"/>
  <c r="H5614" i="13"/>
  <c r="J5614" i="13" s="1"/>
  <c r="H5615" i="13"/>
  <c r="J5615" i="13" s="1"/>
  <c r="H5616" i="13"/>
  <c r="J5616" i="13" s="1"/>
  <c r="H5617" i="13"/>
  <c r="J5617" i="13" s="1"/>
  <c r="H5618" i="13"/>
  <c r="J5618" i="13" s="1"/>
  <c r="H5619" i="13"/>
  <c r="J5619" i="13" s="1"/>
  <c r="H5620" i="13"/>
  <c r="J5620" i="13" s="1"/>
  <c r="H5621" i="13"/>
  <c r="J5621" i="13" s="1"/>
  <c r="H5622" i="13"/>
  <c r="J5622" i="13" s="1"/>
  <c r="H5623" i="13"/>
  <c r="J5623" i="13" s="1"/>
  <c r="H5624" i="13"/>
  <c r="J5624" i="13" s="1"/>
  <c r="H5625" i="13"/>
  <c r="J5625" i="13" s="1"/>
  <c r="H5626" i="13"/>
  <c r="J5626" i="13" s="1"/>
  <c r="H5628" i="13"/>
  <c r="J5628" i="13" s="1"/>
  <c r="H5629" i="13"/>
  <c r="J5629" i="13" s="1"/>
  <c r="H5630" i="13"/>
  <c r="J5630" i="13" s="1"/>
  <c r="H5631" i="13"/>
  <c r="J5631" i="13" s="1"/>
  <c r="H5632" i="13"/>
  <c r="J5632" i="13" s="1"/>
  <c r="H5633" i="13"/>
  <c r="J5633" i="13" s="1"/>
  <c r="H5634" i="13"/>
  <c r="J5634" i="13" s="1"/>
  <c r="H5635" i="13"/>
  <c r="J5635" i="13" s="1"/>
  <c r="H5636" i="13"/>
  <c r="J5636" i="13" s="1"/>
  <c r="H5637" i="13"/>
  <c r="J5637" i="13" s="1"/>
  <c r="H5638" i="13"/>
  <c r="J5638" i="13" s="1"/>
  <c r="H5639" i="13"/>
  <c r="J5639" i="13" s="1"/>
  <c r="H5640" i="13"/>
  <c r="J5640" i="13" s="1"/>
  <c r="H5641" i="13"/>
  <c r="J5641" i="13" s="1"/>
  <c r="H5642" i="13"/>
  <c r="J5642" i="13" s="1"/>
  <c r="H5643" i="13"/>
  <c r="J5643" i="13" s="1"/>
  <c r="H5644" i="13"/>
  <c r="J5644" i="13" s="1"/>
  <c r="H5645" i="13"/>
  <c r="J5645" i="13" s="1"/>
  <c r="H5646" i="13"/>
  <c r="J5646" i="13" s="1"/>
  <c r="H5647" i="13"/>
  <c r="J5647" i="13" s="1"/>
  <c r="H5648" i="13"/>
  <c r="J5648" i="13" s="1"/>
  <c r="H5649" i="13"/>
  <c r="J5649" i="13" s="1"/>
  <c r="H5650" i="13"/>
  <c r="J5650" i="13" s="1"/>
  <c r="H5651" i="13"/>
  <c r="J5651" i="13" s="1"/>
  <c r="H5652" i="13"/>
  <c r="J5652" i="13" s="1"/>
  <c r="H5653" i="13"/>
  <c r="J5653" i="13" s="1"/>
  <c r="H5654" i="13"/>
  <c r="J5654" i="13" s="1"/>
  <c r="H5655" i="13"/>
  <c r="J5655" i="13" s="1"/>
  <c r="H5656" i="13"/>
  <c r="J5656" i="13" s="1"/>
  <c r="H5657" i="13"/>
  <c r="J5657" i="13" s="1"/>
  <c r="H5658" i="13"/>
  <c r="J5658" i="13" s="1"/>
  <c r="H5659" i="13"/>
  <c r="J5659" i="13" s="1"/>
  <c r="H5660" i="13"/>
  <c r="J5660" i="13" s="1"/>
  <c r="H5661" i="13"/>
  <c r="J5661" i="13" s="1"/>
  <c r="H5662" i="13"/>
  <c r="J5662" i="13" s="1"/>
  <c r="H5663" i="13"/>
  <c r="J5663" i="13" s="1"/>
  <c r="H5664" i="13"/>
  <c r="J5664" i="13" s="1"/>
  <c r="H5665" i="13"/>
  <c r="J5665" i="13" s="1"/>
  <c r="H5666" i="13"/>
  <c r="J5666" i="13" s="1"/>
  <c r="H5667" i="13"/>
  <c r="J5667" i="13" s="1"/>
  <c r="H5668" i="13"/>
  <c r="J5668" i="13" s="1"/>
  <c r="H5669" i="13"/>
  <c r="J5669" i="13" s="1"/>
  <c r="H5670" i="13"/>
  <c r="J5670" i="13" s="1"/>
  <c r="H5671" i="13"/>
  <c r="J5671" i="13" s="1"/>
  <c r="H5672" i="13"/>
  <c r="J5672" i="13" s="1"/>
  <c r="H5673" i="13"/>
  <c r="J5673" i="13" s="1"/>
  <c r="H5674" i="13"/>
  <c r="J5674" i="13" s="1"/>
  <c r="H5675" i="13"/>
  <c r="J5675" i="13" s="1"/>
  <c r="H5676" i="13"/>
  <c r="J5676" i="13" s="1"/>
  <c r="H5677" i="13"/>
  <c r="J5677" i="13" s="1"/>
  <c r="H5678" i="13"/>
  <c r="J5678" i="13" s="1"/>
  <c r="H5679" i="13"/>
  <c r="J5679" i="13" s="1"/>
  <c r="H5680" i="13"/>
  <c r="J5680" i="13" s="1"/>
  <c r="H5681" i="13"/>
  <c r="J5681" i="13" s="1"/>
  <c r="H5682" i="13"/>
  <c r="J5682" i="13" s="1"/>
  <c r="H5683" i="13"/>
  <c r="J5683" i="13" s="1"/>
  <c r="H5684" i="13"/>
  <c r="J5684" i="13" s="1"/>
  <c r="H5685" i="13"/>
  <c r="J5685" i="13" s="1"/>
  <c r="H5686" i="13"/>
  <c r="J5686" i="13" s="1"/>
  <c r="H5687" i="13"/>
  <c r="J5687" i="13" s="1"/>
  <c r="H5688" i="13"/>
  <c r="J5688" i="13" s="1"/>
  <c r="H5689" i="13"/>
  <c r="J5689" i="13" s="1"/>
  <c r="H5690" i="13"/>
  <c r="J5690" i="13" s="1"/>
  <c r="H5691" i="13"/>
  <c r="J5691" i="13" s="1"/>
  <c r="H5692" i="13"/>
  <c r="J5692" i="13" s="1"/>
  <c r="H5693" i="13"/>
  <c r="J5693" i="13" s="1"/>
  <c r="H5694" i="13"/>
  <c r="J5694" i="13" s="1"/>
  <c r="H5695" i="13"/>
  <c r="J5695" i="13" s="1"/>
  <c r="H5696" i="13"/>
  <c r="J5696" i="13" s="1"/>
  <c r="H5697" i="13"/>
  <c r="J5697" i="13" s="1"/>
  <c r="H5698" i="13"/>
  <c r="J5698" i="13" s="1"/>
  <c r="H5699" i="13"/>
  <c r="J5699" i="13" s="1"/>
  <c r="H5700" i="13"/>
  <c r="J5700" i="13" s="1"/>
  <c r="H5701" i="13"/>
  <c r="J5701" i="13" s="1"/>
  <c r="H5702" i="13"/>
  <c r="J5702" i="13" s="1"/>
  <c r="H5703" i="13"/>
  <c r="J5703" i="13" s="1"/>
  <c r="H5704" i="13"/>
  <c r="J5704" i="13" s="1"/>
  <c r="H5705" i="13"/>
  <c r="J5705" i="13" s="1"/>
  <c r="H5706" i="13"/>
  <c r="J5706" i="13" s="1"/>
  <c r="H5707" i="13"/>
  <c r="J5707" i="13" s="1"/>
  <c r="H5708" i="13"/>
  <c r="J5708" i="13" s="1"/>
  <c r="H5709" i="13"/>
  <c r="J5709" i="13" s="1"/>
  <c r="H5710" i="13"/>
  <c r="J5710" i="13" s="1"/>
  <c r="H5711" i="13"/>
  <c r="J5711" i="13" s="1"/>
  <c r="H5712" i="13"/>
  <c r="J5712" i="13" s="1"/>
  <c r="H5713" i="13"/>
  <c r="J5713" i="13" s="1"/>
  <c r="H5714" i="13"/>
  <c r="J5714" i="13" s="1"/>
  <c r="H5715" i="13"/>
  <c r="J5715" i="13" s="1"/>
  <c r="H5716" i="13"/>
  <c r="J5716" i="13" s="1"/>
  <c r="H5717" i="13"/>
  <c r="J5717" i="13" s="1"/>
  <c r="H5718" i="13"/>
  <c r="J5718" i="13" s="1"/>
  <c r="H5719" i="13"/>
  <c r="J5719" i="13" s="1"/>
  <c r="H5720" i="13"/>
  <c r="J5720" i="13" s="1"/>
  <c r="H5721" i="13"/>
  <c r="J5721" i="13" s="1"/>
  <c r="H5722" i="13"/>
  <c r="J5722" i="13" s="1"/>
  <c r="H5723" i="13"/>
  <c r="J5723" i="13" s="1"/>
  <c r="H5724" i="13"/>
  <c r="J5724" i="13" s="1"/>
  <c r="H5725" i="13"/>
  <c r="J5725" i="13" s="1"/>
  <c r="H5726" i="13"/>
  <c r="J5726" i="13" s="1"/>
  <c r="H5727" i="13"/>
  <c r="J5727" i="13" s="1"/>
  <c r="H5728" i="13"/>
  <c r="J5728" i="13" s="1"/>
  <c r="H5729" i="13"/>
  <c r="J5729" i="13" s="1"/>
  <c r="H5730" i="13"/>
  <c r="J5730" i="13" s="1"/>
  <c r="H5731" i="13"/>
  <c r="J5731" i="13" s="1"/>
  <c r="H5732" i="13"/>
  <c r="J5732" i="13" s="1"/>
  <c r="H5733" i="13"/>
  <c r="J5733" i="13" s="1"/>
  <c r="H5734" i="13"/>
  <c r="J5734" i="13" s="1"/>
  <c r="H5736" i="13"/>
  <c r="J5736" i="13" s="1"/>
  <c r="H5737" i="13"/>
  <c r="J5737" i="13" s="1"/>
  <c r="H5738" i="13"/>
  <c r="J5738" i="13" s="1"/>
  <c r="H5739" i="13"/>
  <c r="J5739" i="13" s="1"/>
  <c r="H5740" i="13"/>
  <c r="J5740" i="13" s="1"/>
  <c r="H5741" i="13"/>
  <c r="J5741" i="13" s="1"/>
  <c r="H5742" i="13"/>
  <c r="J5742" i="13" s="1"/>
  <c r="H5743" i="13"/>
  <c r="J5743" i="13" s="1"/>
  <c r="H5744" i="13"/>
  <c r="J5744" i="13" s="1"/>
  <c r="H5745" i="13"/>
  <c r="J5745" i="13" s="1"/>
  <c r="H5746" i="13"/>
  <c r="J5746" i="13" s="1"/>
  <c r="H5747" i="13"/>
  <c r="J5747" i="13" s="1"/>
  <c r="H5748" i="13"/>
  <c r="J5748" i="13" s="1"/>
  <c r="H5749" i="13"/>
  <c r="J5749" i="13" s="1"/>
  <c r="H5750" i="13"/>
  <c r="J5750" i="13" s="1"/>
  <c r="H5751" i="13"/>
  <c r="J5751" i="13" s="1"/>
  <c r="H5752" i="13"/>
  <c r="J5752" i="13" s="1"/>
  <c r="H5753" i="13"/>
  <c r="J5753" i="13" s="1"/>
  <c r="H5754" i="13"/>
  <c r="J5754" i="13" s="1"/>
  <c r="H5755" i="13"/>
  <c r="J5755" i="13" s="1"/>
  <c r="H5756" i="13"/>
  <c r="J5756" i="13" s="1"/>
  <c r="H5757" i="13"/>
  <c r="J5757" i="13" s="1"/>
  <c r="H5758" i="13"/>
  <c r="J5758" i="13" s="1"/>
  <c r="H5759" i="13"/>
  <c r="J5759" i="13" s="1"/>
  <c r="H5760" i="13"/>
  <c r="J5760" i="13" s="1"/>
  <c r="H5761" i="13"/>
  <c r="J5761" i="13" s="1"/>
  <c r="H5762" i="13"/>
  <c r="J5762" i="13" s="1"/>
  <c r="H5763" i="13"/>
  <c r="J5763" i="13" s="1"/>
  <c r="H5764" i="13"/>
  <c r="J5764" i="13" s="1"/>
  <c r="H5765" i="13"/>
  <c r="J5765" i="13" s="1"/>
  <c r="H5766" i="13"/>
  <c r="J5766" i="13" s="1"/>
  <c r="H5767" i="13"/>
  <c r="J5767" i="13" s="1"/>
  <c r="H5768" i="13"/>
  <c r="J5768" i="13" s="1"/>
  <c r="H5769" i="13"/>
  <c r="J5769" i="13" s="1"/>
  <c r="H5770" i="13"/>
  <c r="J5770" i="13" s="1"/>
  <c r="H5771" i="13"/>
  <c r="J5771" i="13" s="1"/>
  <c r="H5772" i="13"/>
  <c r="J5772" i="13" s="1"/>
  <c r="H5773" i="13"/>
  <c r="J5773" i="13" s="1"/>
  <c r="H5774" i="13"/>
  <c r="J5774" i="13" s="1"/>
  <c r="H5775" i="13"/>
  <c r="J5775" i="13" s="1"/>
  <c r="H5776" i="13"/>
  <c r="J5776" i="13" s="1"/>
  <c r="H5777" i="13"/>
  <c r="J5777" i="13" s="1"/>
  <c r="H5778" i="13"/>
  <c r="J5778" i="13" s="1"/>
  <c r="H5779" i="13"/>
  <c r="J5779" i="13" s="1"/>
  <c r="H5780" i="13"/>
  <c r="J5780" i="13" s="1"/>
  <c r="H5781" i="13"/>
  <c r="J5781" i="13" s="1"/>
  <c r="H5782" i="13"/>
  <c r="J5782" i="13" s="1"/>
  <c r="H5783" i="13"/>
  <c r="J5783" i="13" s="1"/>
  <c r="H5784" i="13"/>
  <c r="J5784" i="13" s="1"/>
  <c r="H5785" i="13"/>
  <c r="J5785" i="13" s="1"/>
  <c r="H5786" i="13"/>
  <c r="J5786" i="13" s="1"/>
  <c r="H5787" i="13"/>
  <c r="J5787" i="13" s="1"/>
  <c r="H5788" i="13"/>
  <c r="J5788" i="13" s="1"/>
  <c r="H5789" i="13"/>
  <c r="J5789" i="13" s="1"/>
  <c r="H5790" i="13"/>
  <c r="J5790" i="13" s="1"/>
  <c r="H5791" i="13"/>
  <c r="J5791" i="13" s="1"/>
  <c r="H5792" i="13"/>
  <c r="J5792" i="13" s="1"/>
  <c r="H5793" i="13"/>
  <c r="J5793" i="13" s="1"/>
  <c r="H5794" i="13"/>
  <c r="J5794" i="13" s="1"/>
  <c r="H5795" i="13"/>
  <c r="J5795" i="13" s="1"/>
  <c r="H5796" i="13"/>
  <c r="J5796" i="13" s="1"/>
  <c r="H5797" i="13"/>
  <c r="J5797" i="13" s="1"/>
  <c r="H5798" i="13"/>
  <c r="J5798" i="13" s="1"/>
  <c r="H5799" i="13"/>
  <c r="J5799" i="13" s="1"/>
  <c r="H5800" i="13"/>
  <c r="J5800" i="13" s="1"/>
  <c r="H5801" i="13"/>
  <c r="J5801" i="13" s="1"/>
  <c r="H5802" i="13"/>
  <c r="J5802" i="13" s="1"/>
  <c r="H5803" i="13"/>
  <c r="J5803" i="13" s="1"/>
  <c r="H5804" i="13"/>
  <c r="J5804" i="13" s="1"/>
  <c r="H5805" i="13"/>
  <c r="J5805" i="13" s="1"/>
  <c r="H5806" i="13"/>
  <c r="J5806" i="13" s="1"/>
  <c r="H5807" i="13"/>
  <c r="J5807" i="13" s="1"/>
  <c r="H5808" i="13"/>
  <c r="J5808" i="13" s="1"/>
  <c r="H5809" i="13"/>
  <c r="J5809" i="13" s="1"/>
  <c r="H5810" i="13"/>
  <c r="J5810" i="13" s="1"/>
  <c r="H5811" i="13"/>
  <c r="J5811" i="13" s="1"/>
  <c r="H5812" i="13"/>
  <c r="J5812" i="13" s="1"/>
  <c r="H5813" i="13"/>
  <c r="J5813" i="13" s="1"/>
  <c r="H5814" i="13"/>
  <c r="J5814" i="13" s="1"/>
  <c r="H5815" i="13"/>
  <c r="J5815" i="13" s="1"/>
  <c r="H5817" i="13"/>
  <c r="J5817" i="13" s="1"/>
  <c r="H5818" i="13"/>
  <c r="J5818" i="13" s="1"/>
  <c r="H5819" i="13"/>
  <c r="J5819" i="13" s="1"/>
  <c r="H5820" i="13"/>
  <c r="J5820" i="13" s="1"/>
  <c r="H5821" i="13"/>
  <c r="J5821" i="13" s="1"/>
  <c r="H5822" i="13"/>
  <c r="J5822" i="13" s="1"/>
  <c r="H5823" i="13"/>
  <c r="J5823" i="13" s="1"/>
  <c r="H5824" i="13"/>
  <c r="J5824" i="13" s="1"/>
  <c r="H5825" i="13"/>
  <c r="J5825" i="13" s="1"/>
  <c r="H5826" i="13"/>
  <c r="J5826" i="13" s="1"/>
  <c r="H5827" i="13"/>
  <c r="J5827" i="13" s="1"/>
  <c r="H5828" i="13"/>
  <c r="J5828" i="13" s="1"/>
  <c r="H5829" i="13"/>
  <c r="J5829" i="13" s="1"/>
  <c r="H5830" i="13"/>
  <c r="J5830" i="13" s="1"/>
  <c r="H5831" i="13"/>
  <c r="J5831" i="13" s="1"/>
  <c r="H5832" i="13"/>
  <c r="J5832" i="13" s="1"/>
  <c r="H5833" i="13"/>
  <c r="J5833" i="13" s="1"/>
  <c r="H5834" i="13"/>
  <c r="J5834" i="13" s="1"/>
  <c r="H5835" i="13"/>
  <c r="J5835" i="13" s="1"/>
  <c r="H5836" i="13"/>
  <c r="J5836" i="13" s="1"/>
  <c r="H5837" i="13"/>
  <c r="J5837" i="13" s="1"/>
  <c r="H5838" i="13"/>
  <c r="J5838" i="13" s="1"/>
  <c r="H5839" i="13"/>
  <c r="J5839" i="13" s="1"/>
  <c r="H5840" i="13"/>
  <c r="J5840" i="13" s="1"/>
  <c r="H5841" i="13"/>
  <c r="J5841" i="13" s="1"/>
  <c r="H5842" i="13"/>
  <c r="J5842" i="13" s="1"/>
  <c r="H5843" i="13"/>
  <c r="J5843" i="13" s="1"/>
  <c r="H5844" i="13"/>
  <c r="J5844" i="13" s="1"/>
  <c r="H5845" i="13"/>
  <c r="J5845" i="13" s="1"/>
  <c r="H5846" i="13"/>
  <c r="J5846" i="13" s="1"/>
  <c r="H5847" i="13"/>
  <c r="J5847" i="13" s="1"/>
  <c r="H5848" i="13"/>
  <c r="J5848" i="13" s="1"/>
  <c r="H5849" i="13"/>
  <c r="J5849" i="13" s="1"/>
  <c r="H5850" i="13"/>
  <c r="J5850" i="13" s="1"/>
  <c r="H5851" i="13"/>
  <c r="J5851" i="13" s="1"/>
  <c r="H5852" i="13"/>
  <c r="J5852" i="13" s="1"/>
  <c r="H5853" i="13"/>
  <c r="J5853" i="13" s="1"/>
  <c r="H5854" i="13"/>
  <c r="J5854" i="13" s="1"/>
  <c r="H5855" i="13"/>
  <c r="J5855" i="13" s="1"/>
  <c r="H5856" i="13"/>
  <c r="J5856" i="13" s="1"/>
  <c r="H5857" i="13"/>
  <c r="J5857" i="13" s="1"/>
  <c r="H5858" i="13"/>
  <c r="J5858" i="13" s="1"/>
  <c r="H5859" i="13"/>
  <c r="J5859" i="13" s="1"/>
  <c r="H5860" i="13"/>
  <c r="J5860" i="13" s="1"/>
  <c r="H4789" i="13"/>
  <c r="J4789" i="13" s="1"/>
  <c r="H4788" i="13"/>
  <c r="J4788" i="13" s="1"/>
  <c r="H4787" i="13"/>
  <c r="J4787" i="13" s="1"/>
  <c r="H4786" i="13"/>
  <c r="J4786" i="13" s="1"/>
  <c r="H4785" i="13"/>
  <c r="J4785" i="13" s="1"/>
  <c r="H4784" i="13"/>
  <c r="J4784" i="13" s="1"/>
  <c r="H4783" i="13"/>
  <c r="J4783" i="13" s="1"/>
  <c r="H4782" i="13"/>
  <c r="J4782" i="13" s="1"/>
  <c r="H4781" i="13"/>
  <c r="J4781" i="13" s="1"/>
  <c r="E2090" i="14"/>
  <c r="G2090" i="14" s="1"/>
  <c r="H2090" i="14"/>
  <c r="E2091" i="14"/>
  <c r="G2091" i="14" s="1"/>
  <c r="H2091" i="14"/>
  <c r="E2092" i="14"/>
  <c r="G2092" i="14" s="1"/>
  <c r="H2092" i="14"/>
  <c r="E2093" i="14"/>
  <c r="G2093" i="14" s="1"/>
  <c r="H2093" i="14"/>
  <c r="E2094" i="14"/>
  <c r="G2094" i="14" s="1"/>
  <c r="H2094" i="14"/>
  <c r="E2095" i="14"/>
  <c r="G2095" i="14" s="1"/>
  <c r="H2095" i="14"/>
  <c r="E2096" i="14"/>
  <c r="G2096" i="14" s="1"/>
  <c r="H2096" i="14"/>
  <c r="E2097" i="14"/>
  <c r="G2097" i="14" s="1"/>
  <c r="H2097" i="14"/>
  <c r="E2098" i="14"/>
  <c r="G2098" i="14" s="1"/>
  <c r="H2098" i="14"/>
  <c r="E1784" i="14"/>
  <c r="G1784" i="14" s="1"/>
  <c r="H1784" i="14"/>
  <c r="E1785" i="14"/>
  <c r="G1785" i="14" s="1"/>
  <c r="H1785" i="14"/>
  <c r="E1786" i="14"/>
  <c r="G1786" i="14" s="1"/>
  <c r="H1786" i="14"/>
  <c r="E1787" i="14"/>
  <c r="G1787" i="14" s="1"/>
  <c r="H1787" i="14"/>
  <c r="E1788" i="14"/>
  <c r="G1788" i="14" s="1"/>
  <c r="H1788" i="14"/>
  <c r="E1789" i="14"/>
  <c r="G1789" i="14" s="1"/>
  <c r="H1789" i="14"/>
  <c r="E1790" i="14"/>
  <c r="G1790" i="14" s="1"/>
  <c r="H1790" i="14"/>
  <c r="E1791" i="14"/>
  <c r="G1791" i="14" s="1"/>
  <c r="H1791" i="14"/>
  <c r="E1792" i="14"/>
  <c r="G1792" i="14" s="1"/>
  <c r="H1792" i="14"/>
  <c r="E1757" i="14"/>
  <c r="G1757" i="14" s="1"/>
  <c r="H1757" i="14"/>
  <c r="E1758" i="14"/>
  <c r="G1758" i="14" s="1"/>
  <c r="H1758" i="14"/>
  <c r="E1759" i="14"/>
  <c r="G1759" i="14" s="1"/>
  <c r="H1759" i="14"/>
  <c r="E1760" i="14"/>
  <c r="G1760" i="14" s="1"/>
  <c r="H1760" i="14"/>
  <c r="E1761" i="14"/>
  <c r="G1761" i="14" s="1"/>
  <c r="H1761" i="14"/>
  <c r="E1762" i="14"/>
  <c r="G1762" i="14" s="1"/>
  <c r="H1762" i="14"/>
  <c r="E1763" i="14"/>
  <c r="G1763" i="14" s="1"/>
  <c r="H1763" i="14"/>
  <c r="E1764" i="14"/>
  <c r="G1764" i="14" s="1"/>
  <c r="H1764" i="14"/>
  <c r="E1765" i="14"/>
  <c r="G1765" i="14" s="1"/>
  <c r="H1765" i="14"/>
  <c r="E2009" i="14"/>
  <c r="G2009" i="14" s="1"/>
  <c r="H2009" i="14"/>
  <c r="E2010" i="14"/>
  <c r="G2010" i="14" s="1"/>
  <c r="H2010" i="14"/>
  <c r="E2011" i="14"/>
  <c r="G2011" i="14" s="1"/>
  <c r="H2011" i="14"/>
  <c r="E2012" i="14"/>
  <c r="G2012" i="14" s="1"/>
  <c r="H2012" i="14"/>
  <c r="E2013" i="14"/>
  <c r="G2013" i="14" s="1"/>
  <c r="H2013" i="14"/>
  <c r="E2014" i="14"/>
  <c r="G2014" i="14" s="1"/>
  <c r="H2014" i="14"/>
  <c r="E2015" i="14"/>
  <c r="G2015" i="14" s="1"/>
  <c r="H2015" i="14"/>
  <c r="E2016" i="14"/>
  <c r="G2016" i="14" s="1"/>
  <c r="H2016" i="14"/>
  <c r="E2017" i="14"/>
  <c r="G2017" i="14" s="1"/>
  <c r="H2017" i="14"/>
  <c r="E1901" i="14"/>
  <c r="G1901" i="14" s="1"/>
  <c r="H1901" i="14"/>
  <c r="E1902" i="14"/>
  <c r="G1902" i="14" s="1"/>
  <c r="H1902" i="14"/>
  <c r="E1903" i="14"/>
  <c r="G1903" i="14" s="1"/>
  <c r="H1903" i="14"/>
  <c r="E1904" i="14"/>
  <c r="G1904" i="14" s="1"/>
  <c r="H1904" i="14"/>
  <c r="E1905" i="14"/>
  <c r="G1905" i="14" s="1"/>
  <c r="H1905" i="14"/>
  <c r="E1906" i="14"/>
  <c r="G1906" i="14" s="1"/>
  <c r="H1906" i="14"/>
  <c r="E1907" i="14"/>
  <c r="G1907" i="14" s="1"/>
  <c r="H1907" i="14"/>
  <c r="E1908" i="14"/>
  <c r="G1908" i="14" s="1"/>
  <c r="H1908" i="14"/>
  <c r="E1909" i="14"/>
  <c r="G1909" i="14" s="1"/>
  <c r="H1909" i="14"/>
  <c r="E749" i="14"/>
  <c r="G749" i="14" s="1"/>
  <c r="H749" i="14"/>
  <c r="E750" i="14"/>
  <c r="G750" i="14" s="1"/>
  <c r="H750" i="14"/>
  <c r="E751" i="14"/>
  <c r="G751" i="14" s="1"/>
  <c r="H751" i="14"/>
  <c r="E752" i="14"/>
  <c r="G752" i="14" s="1"/>
  <c r="H752" i="14"/>
  <c r="E753" i="14"/>
  <c r="G753" i="14" s="1"/>
  <c r="H753" i="14"/>
  <c r="E754" i="14"/>
  <c r="G754" i="14" s="1"/>
  <c r="H754" i="14"/>
  <c r="E755" i="14"/>
  <c r="G755" i="14" s="1"/>
  <c r="H755" i="14"/>
  <c r="E756" i="14"/>
  <c r="G756" i="14" s="1"/>
  <c r="H756" i="14"/>
  <c r="E757" i="14"/>
  <c r="G757" i="14" s="1"/>
  <c r="H757" i="14"/>
  <c r="E731" i="14"/>
  <c r="G731" i="14" s="1"/>
  <c r="H731" i="14"/>
  <c r="E732" i="14"/>
  <c r="G732" i="14" s="1"/>
  <c r="H732" i="14"/>
  <c r="E733" i="14"/>
  <c r="G733" i="14" s="1"/>
  <c r="H733" i="14"/>
  <c r="E734" i="14"/>
  <c r="G734" i="14" s="1"/>
  <c r="H734" i="14"/>
  <c r="E735" i="14"/>
  <c r="G735" i="14" s="1"/>
  <c r="H735" i="14"/>
  <c r="E736" i="14"/>
  <c r="G736" i="14" s="1"/>
  <c r="H736" i="14"/>
  <c r="E737" i="14"/>
  <c r="G737" i="14" s="1"/>
  <c r="H737" i="14"/>
  <c r="E738" i="14"/>
  <c r="G738" i="14" s="1"/>
  <c r="H738" i="14"/>
  <c r="E739" i="14"/>
  <c r="G739" i="14" s="1"/>
  <c r="H739" i="14"/>
  <c r="E614" i="14"/>
  <c r="G614" i="14" s="1"/>
  <c r="H614" i="14"/>
  <c r="E615" i="14"/>
  <c r="G615" i="14" s="1"/>
  <c r="H615" i="14"/>
  <c r="E616" i="14"/>
  <c r="G616" i="14" s="1"/>
  <c r="H616" i="14"/>
  <c r="E617" i="14"/>
  <c r="G617" i="14" s="1"/>
  <c r="H617" i="14"/>
  <c r="E618" i="14"/>
  <c r="G618" i="14" s="1"/>
  <c r="H618" i="14"/>
  <c r="E619" i="14"/>
  <c r="G619" i="14" s="1"/>
  <c r="H619" i="14"/>
  <c r="E620" i="14"/>
  <c r="G620" i="14" s="1"/>
  <c r="H620" i="14"/>
  <c r="E621" i="14"/>
  <c r="G621" i="14" s="1"/>
  <c r="H621" i="14"/>
  <c r="E622" i="14"/>
  <c r="G622" i="14" s="1"/>
  <c r="H622" i="14"/>
  <c r="E605" i="14"/>
  <c r="G605" i="14" s="1"/>
  <c r="H605" i="14"/>
  <c r="E606" i="14"/>
  <c r="G606" i="14" s="1"/>
  <c r="H606" i="14"/>
  <c r="E607" i="14"/>
  <c r="G607" i="14" s="1"/>
  <c r="H607" i="14"/>
  <c r="E608" i="14"/>
  <c r="G608" i="14" s="1"/>
  <c r="H608" i="14"/>
  <c r="E609" i="14"/>
  <c r="G609" i="14" s="1"/>
  <c r="H609" i="14"/>
  <c r="E610" i="14"/>
  <c r="G610" i="14" s="1"/>
  <c r="H610" i="14"/>
  <c r="E611" i="14"/>
  <c r="G611" i="14" s="1"/>
  <c r="H611" i="14"/>
  <c r="E612" i="14"/>
  <c r="G612" i="14" s="1"/>
  <c r="H612" i="14"/>
  <c r="E613" i="14"/>
  <c r="G613" i="14" s="1"/>
  <c r="H613" i="14"/>
  <c r="K5843" i="13"/>
  <c r="K5844" i="13"/>
  <c r="K5845" i="13"/>
  <c r="K5846" i="13"/>
  <c r="K5847" i="13"/>
  <c r="K5848" i="13"/>
  <c r="K5849" i="13"/>
  <c r="K5850" i="13"/>
  <c r="K5851" i="13"/>
  <c r="K5852" i="13"/>
  <c r="K5853" i="13"/>
  <c r="K5854" i="13"/>
  <c r="K5855" i="13"/>
  <c r="K5856" i="13"/>
  <c r="K5857" i="13"/>
  <c r="K5858" i="13"/>
  <c r="K5859" i="13"/>
  <c r="K5860" i="13"/>
  <c r="K5798" i="13"/>
  <c r="K5799" i="13"/>
  <c r="K5800" i="13"/>
  <c r="K5801" i="13"/>
  <c r="K5802" i="13"/>
  <c r="K5803" i="13"/>
  <c r="K5804" i="13"/>
  <c r="K5805" i="13"/>
  <c r="K5806" i="13"/>
  <c r="K5807" i="13"/>
  <c r="K5808" i="13"/>
  <c r="K5809" i="13"/>
  <c r="K5810" i="13"/>
  <c r="K5811" i="13"/>
  <c r="K5812" i="13"/>
  <c r="K5813" i="13"/>
  <c r="K5814" i="13"/>
  <c r="K5815" i="13"/>
  <c r="K5816" i="13"/>
  <c r="K5817" i="13"/>
  <c r="K5818" i="13"/>
  <c r="K5819" i="13"/>
  <c r="K5820" i="13"/>
  <c r="K5821" i="13"/>
  <c r="K5822" i="13"/>
  <c r="K5823" i="13"/>
  <c r="K5824" i="13"/>
  <c r="K5825" i="13"/>
  <c r="K5826" i="13"/>
  <c r="K5827" i="13"/>
  <c r="K5828" i="13"/>
  <c r="K5829" i="13"/>
  <c r="K5830" i="13"/>
  <c r="K5831" i="13"/>
  <c r="K5832" i="13"/>
  <c r="K5833" i="13"/>
  <c r="K5834" i="13"/>
  <c r="K5835" i="13"/>
  <c r="K5836" i="13"/>
  <c r="K5837" i="13"/>
  <c r="K5838" i="13"/>
  <c r="K5839" i="13"/>
  <c r="K5840" i="13"/>
  <c r="K5841" i="13"/>
  <c r="K5842" i="13"/>
  <c r="H4322" i="13"/>
  <c r="J4322" i="13" s="1"/>
  <c r="K4322" i="13"/>
  <c r="H4323" i="13"/>
  <c r="J4323" i="13" s="1"/>
  <c r="K4323" i="13"/>
  <c r="H4324" i="13"/>
  <c r="J4324" i="13" s="1"/>
  <c r="K4324" i="13"/>
  <c r="H4325" i="13"/>
  <c r="J4325" i="13" s="1"/>
  <c r="K4325" i="13"/>
  <c r="H4326" i="13"/>
  <c r="J4326" i="13" s="1"/>
  <c r="K4326" i="13"/>
  <c r="H4327" i="13"/>
  <c r="J4327" i="13" s="1"/>
  <c r="K4327" i="13"/>
  <c r="H4328" i="13"/>
  <c r="J4328" i="13" s="1"/>
  <c r="K4328" i="13"/>
  <c r="H4329" i="13"/>
  <c r="J4329" i="13" s="1"/>
  <c r="K4329" i="13"/>
  <c r="H4330" i="13"/>
  <c r="J4330" i="13" s="1"/>
  <c r="K4330" i="13"/>
  <c r="T372" i="1"/>
  <c r="G4384" i="24"/>
  <c r="G4383" i="24"/>
  <c r="G4382" i="24"/>
  <c r="G4381" i="24"/>
  <c r="G4380" i="24"/>
  <c r="G4379" i="24"/>
  <c r="G4378" i="24"/>
  <c r="G4377" i="24"/>
  <c r="G4376" i="24"/>
  <c r="G4375" i="24"/>
  <c r="G4374" i="24"/>
  <c r="G4373" i="24"/>
  <c r="G4372" i="24"/>
  <c r="G4371" i="24"/>
  <c r="G4370" i="24"/>
  <c r="G4369" i="24"/>
  <c r="G4368" i="24"/>
  <c r="G4367" i="24"/>
  <c r="G4366" i="24"/>
  <c r="G4365" i="24"/>
  <c r="G4364" i="24"/>
  <c r="G4363" i="24"/>
  <c r="G4362" i="24"/>
  <c r="G4361" i="24"/>
  <c r="G4360" i="24"/>
  <c r="G4359" i="24"/>
  <c r="G4358" i="24"/>
  <c r="G4357" i="24"/>
  <c r="G4356" i="24"/>
  <c r="G4355" i="24"/>
  <c r="G4354" i="24"/>
  <c r="G4353" i="24"/>
  <c r="G4352" i="24"/>
  <c r="G4351" i="24"/>
  <c r="G4350" i="24"/>
  <c r="G4349" i="24"/>
  <c r="G4348" i="24"/>
  <c r="G4347" i="24"/>
  <c r="G4346" i="24"/>
  <c r="G4345" i="24"/>
  <c r="G4344" i="24"/>
  <c r="G4343" i="24"/>
  <c r="G4342" i="24"/>
  <c r="G4341" i="24"/>
  <c r="G4340" i="24"/>
  <c r="G4339" i="24"/>
  <c r="G4338" i="24"/>
  <c r="G4337" i="24"/>
  <c r="G4336" i="24"/>
  <c r="G4335" i="24"/>
  <c r="G4334" i="24"/>
  <c r="G4333" i="24"/>
  <c r="G4332" i="24"/>
  <c r="G4331" i="24"/>
  <c r="G4330" i="24"/>
  <c r="G4329" i="24"/>
  <c r="G4328" i="24"/>
  <c r="G4327" i="24"/>
  <c r="G4326" i="24"/>
  <c r="G4325" i="24"/>
  <c r="G4324" i="24"/>
  <c r="G4323" i="24"/>
  <c r="G4322" i="24"/>
  <c r="G4321" i="24"/>
  <c r="G4320" i="24"/>
  <c r="G4319" i="24"/>
  <c r="G4318" i="24"/>
  <c r="G4317" i="24"/>
  <c r="G4316" i="24"/>
  <c r="G4315" i="24"/>
  <c r="G4314" i="24"/>
  <c r="G4313" i="24"/>
  <c r="G4312" i="24"/>
  <c r="G4311" i="24"/>
  <c r="G4310" i="24"/>
  <c r="G4309" i="24"/>
  <c r="G4308" i="24"/>
  <c r="G4307" i="24"/>
  <c r="G4306" i="24"/>
  <c r="G4305" i="24"/>
  <c r="G4304" i="24"/>
  <c r="G4303" i="24"/>
  <c r="G4302" i="24"/>
  <c r="G4301" i="24"/>
  <c r="G4300" i="24"/>
  <c r="G4299" i="24"/>
  <c r="G4298" i="24"/>
  <c r="G4297" i="24"/>
  <c r="G4296" i="24"/>
  <c r="G4295" i="24"/>
  <c r="G4294" i="24"/>
  <c r="G4293" i="24"/>
  <c r="G4292" i="24"/>
  <c r="G4291" i="24"/>
  <c r="G4290" i="24"/>
  <c r="G4289" i="24"/>
  <c r="G4288" i="24"/>
  <c r="G4287" i="24"/>
  <c r="G4286" i="24"/>
  <c r="G4285" i="24"/>
  <c r="G4284" i="24"/>
  <c r="G4283" i="24"/>
  <c r="G4282" i="24"/>
  <c r="G4281" i="24"/>
  <c r="G4280" i="24"/>
  <c r="G4279" i="24"/>
  <c r="G4278" i="24"/>
  <c r="G4277" i="24"/>
  <c r="G4276" i="24"/>
  <c r="G4275" i="24"/>
  <c r="G4274" i="24"/>
  <c r="G4273" i="24"/>
  <c r="G4272" i="24"/>
  <c r="G4271" i="24"/>
  <c r="G4270" i="24"/>
  <c r="G4269" i="24"/>
  <c r="G4268" i="24"/>
  <c r="G4267" i="24"/>
  <c r="G4266" i="24"/>
  <c r="G4265" i="24"/>
  <c r="G4264" i="24"/>
  <c r="G4263" i="24"/>
  <c r="G4262" i="24"/>
  <c r="G4261" i="24"/>
  <c r="G4260" i="24"/>
  <c r="G4259" i="24"/>
  <c r="G4258" i="24"/>
  <c r="G4257" i="24"/>
  <c r="G4256" i="24"/>
  <c r="G4255" i="24"/>
  <c r="G4254" i="24"/>
  <c r="G4253" i="24"/>
  <c r="G4252" i="24"/>
  <c r="G4251" i="24"/>
  <c r="G4250" i="24"/>
  <c r="G4249" i="24"/>
  <c r="G4248" i="24"/>
  <c r="G4247" i="24"/>
  <c r="G4246" i="24"/>
  <c r="G4245" i="24"/>
  <c r="G4244" i="24"/>
  <c r="G4243" i="24"/>
  <c r="G4242" i="24"/>
  <c r="G4241" i="24"/>
  <c r="G4240" i="24"/>
  <c r="G4239" i="24"/>
  <c r="G4238" i="24"/>
  <c r="G4237" i="24"/>
  <c r="G4236" i="24"/>
  <c r="G4235" i="24"/>
  <c r="G4234" i="24"/>
  <c r="G4233" i="24"/>
  <c r="G4232" i="24"/>
  <c r="G4231" i="24"/>
  <c r="G4230" i="24"/>
  <c r="G4229" i="24"/>
  <c r="G4228" i="24"/>
  <c r="G4227" i="24"/>
  <c r="G4226" i="24"/>
  <c r="G4225" i="24"/>
  <c r="G4224" i="24"/>
  <c r="G4223" i="24"/>
  <c r="G4222" i="24"/>
  <c r="G4221" i="24"/>
  <c r="G4220" i="24"/>
  <c r="G4219" i="24"/>
  <c r="G4218" i="24"/>
  <c r="G4217" i="24"/>
  <c r="G4216" i="24"/>
  <c r="G4215" i="24"/>
  <c r="G4214" i="24"/>
  <c r="G4213" i="24"/>
  <c r="G4212" i="24"/>
  <c r="G4211" i="24"/>
  <c r="G4210" i="24"/>
  <c r="G4209" i="24"/>
  <c r="G4208" i="24"/>
  <c r="G4207" i="24"/>
  <c r="G4206" i="24"/>
  <c r="G4205" i="24"/>
  <c r="G4204" i="24"/>
  <c r="G4203" i="24"/>
  <c r="G4202" i="24"/>
  <c r="G4201" i="24"/>
  <c r="G4200" i="24"/>
  <c r="G4199" i="24"/>
  <c r="G4198" i="24"/>
  <c r="G4197" i="24"/>
  <c r="G4196" i="24"/>
  <c r="G4195" i="24"/>
  <c r="G4194" i="24"/>
  <c r="G4193" i="24"/>
  <c r="G4192" i="24"/>
  <c r="G4191" i="24"/>
  <c r="G4190" i="24"/>
  <c r="G4189" i="24"/>
  <c r="G4188" i="24"/>
  <c r="G4187" i="24"/>
  <c r="G4186" i="24"/>
  <c r="G4185" i="24"/>
  <c r="G4184" i="24"/>
  <c r="G4183" i="24"/>
  <c r="G4182" i="24"/>
  <c r="G4181" i="24"/>
  <c r="G4180" i="24"/>
  <c r="G4179" i="24"/>
  <c r="G4178" i="24"/>
  <c r="G4177" i="24"/>
  <c r="G4176" i="24"/>
  <c r="G4175" i="24"/>
  <c r="G4174" i="24"/>
  <c r="G4173" i="24"/>
  <c r="G4172" i="24"/>
  <c r="G4171" i="24"/>
  <c r="G4170" i="24"/>
  <c r="G4169" i="24"/>
  <c r="G4168" i="24"/>
  <c r="G4167" i="24"/>
  <c r="G4166" i="24"/>
  <c r="G4165" i="24"/>
  <c r="G4164" i="24"/>
  <c r="G4163" i="24"/>
  <c r="G4162" i="24"/>
  <c r="G4161" i="24"/>
  <c r="G4160" i="24"/>
  <c r="G4159" i="24"/>
  <c r="G4158" i="24"/>
  <c r="G4157" i="24"/>
  <c r="G4156" i="24"/>
  <c r="G4155" i="24"/>
  <c r="G4154" i="24"/>
  <c r="G4153" i="24"/>
  <c r="G4152" i="24"/>
  <c r="G4151" i="24"/>
  <c r="G4150" i="24"/>
  <c r="G4149" i="24"/>
  <c r="G4148" i="24"/>
  <c r="G4147" i="24"/>
  <c r="G4146" i="24"/>
  <c r="G4145" i="24"/>
  <c r="G4144" i="24"/>
  <c r="G4143" i="24"/>
  <c r="G4142" i="24"/>
  <c r="G4141" i="24"/>
  <c r="G4140" i="24"/>
  <c r="G4139" i="24"/>
  <c r="G4138" i="24"/>
  <c r="G4137" i="24"/>
  <c r="G4136" i="24"/>
  <c r="G4135" i="24"/>
  <c r="G4134" i="24"/>
  <c r="G4133" i="24"/>
  <c r="G4132" i="24"/>
  <c r="G4131" i="24"/>
  <c r="G4130" i="24"/>
  <c r="G4129" i="24"/>
  <c r="G4128" i="24"/>
  <c r="G4127" i="24"/>
  <c r="G4126" i="24"/>
  <c r="G4125" i="24"/>
  <c r="G4124" i="24"/>
  <c r="G4123" i="24"/>
  <c r="G4122" i="24"/>
  <c r="G4121" i="24"/>
  <c r="G4120" i="24"/>
  <c r="G4119" i="24"/>
  <c r="G4118" i="24"/>
  <c r="G4117" i="24"/>
  <c r="G4116" i="24"/>
  <c r="G4115" i="24"/>
  <c r="G4114" i="24"/>
  <c r="G4113" i="24"/>
  <c r="G4112" i="24"/>
  <c r="G4111" i="24"/>
  <c r="G4110" i="24"/>
  <c r="G4109" i="24"/>
  <c r="G4108" i="24"/>
  <c r="G4107" i="24"/>
  <c r="G4106" i="24"/>
  <c r="G4105" i="24"/>
  <c r="G4104" i="24"/>
  <c r="G4103" i="24"/>
  <c r="G4102" i="24"/>
  <c r="G4101" i="24"/>
  <c r="G4100" i="24"/>
  <c r="G4099" i="24"/>
  <c r="G4098" i="24"/>
  <c r="G4097" i="24"/>
  <c r="G4096" i="24"/>
  <c r="G4095" i="24"/>
  <c r="G4094" i="24"/>
  <c r="G4093" i="24"/>
  <c r="G4092" i="24"/>
  <c r="G4091" i="24"/>
  <c r="G4090" i="24"/>
  <c r="G4089" i="24"/>
  <c r="G4088" i="24"/>
  <c r="G4087" i="24"/>
  <c r="G4086" i="24"/>
  <c r="G4085" i="24"/>
  <c r="G4084" i="24"/>
  <c r="G4083" i="24"/>
  <c r="G4082" i="24"/>
  <c r="G4081" i="24"/>
  <c r="G4080" i="24"/>
  <c r="G4079" i="24"/>
  <c r="G4078" i="24"/>
  <c r="G4077" i="24"/>
  <c r="G4076" i="24"/>
  <c r="G4075" i="24"/>
  <c r="G4074" i="24"/>
  <c r="G4073" i="24"/>
  <c r="G4072" i="24"/>
  <c r="G4071" i="24"/>
  <c r="G4070" i="24"/>
  <c r="G4069" i="24"/>
  <c r="G4068" i="24"/>
  <c r="G4067" i="24"/>
  <c r="G4066" i="24"/>
  <c r="G4065" i="24"/>
  <c r="G4064" i="24"/>
  <c r="G4063" i="24"/>
  <c r="G4062" i="24"/>
  <c r="G4061" i="24"/>
  <c r="G4060" i="24"/>
  <c r="G4059" i="24"/>
  <c r="G4058" i="24"/>
  <c r="G4057" i="24"/>
  <c r="G4056" i="24"/>
  <c r="G4055" i="24"/>
  <c r="G4054" i="24"/>
  <c r="G4053" i="24"/>
  <c r="G4052" i="24"/>
  <c r="G4051" i="24"/>
  <c r="G4050" i="24"/>
  <c r="G4049" i="24"/>
  <c r="G4048" i="24"/>
  <c r="G4047" i="24"/>
  <c r="G4046" i="24"/>
  <c r="G4045" i="24"/>
  <c r="G4044" i="24"/>
  <c r="G4043" i="24"/>
  <c r="G4042" i="24"/>
  <c r="G4041" i="24"/>
  <c r="G4040" i="24"/>
  <c r="G4039" i="24"/>
  <c r="G4038" i="24"/>
  <c r="G4037" i="24"/>
  <c r="G4036" i="24"/>
  <c r="G4035" i="24"/>
  <c r="G4034" i="24"/>
  <c r="G4033" i="24"/>
  <c r="G4032" i="24"/>
  <c r="G4031" i="24"/>
  <c r="G4030" i="24"/>
  <c r="G4029" i="24"/>
  <c r="G4028" i="24"/>
  <c r="G4027" i="24"/>
  <c r="G4026" i="24"/>
  <c r="G4025" i="24"/>
  <c r="G4024" i="24"/>
  <c r="G4023" i="24"/>
  <c r="G4022" i="24"/>
  <c r="G4021" i="24"/>
  <c r="G4020" i="24"/>
  <c r="G4019" i="24"/>
  <c r="G4018" i="24"/>
  <c r="G4017" i="24"/>
  <c r="G4016" i="24"/>
  <c r="G4015" i="24"/>
  <c r="G4014" i="24"/>
  <c r="G4013" i="24"/>
  <c r="G4012" i="24"/>
  <c r="G4011" i="24"/>
  <c r="G4010" i="24"/>
  <c r="G4009" i="24"/>
  <c r="G4008" i="24"/>
  <c r="G4007" i="24"/>
  <c r="G4006" i="24"/>
  <c r="G4005" i="24"/>
  <c r="G4004" i="24"/>
  <c r="G4003" i="24"/>
  <c r="G4002" i="24"/>
  <c r="G4001" i="24"/>
  <c r="G4000" i="24"/>
  <c r="G3999" i="24"/>
  <c r="G3998" i="24"/>
  <c r="G3997" i="24"/>
  <c r="G3996" i="24"/>
  <c r="G3995" i="24"/>
  <c r="G3994" i="24"/>
  <c r="G3993" i="24"/>
  <c r="G3992" i="24"/>
  <c r="G3991" i="24"/>
  <c r="G3990" i="24"/>
  <c r="G3989" i="24"/>
  <c r="G3988" i="24"/>
  <c r="G3987" i="24"/>
  <c r="G3986" i="24"/>
  <c r="G3985" i="24"/>
  <c r="G3984" i="24"/>
  <c r="G3983" i="24"/>
  <c r="G3982" i="24"/>
  <c r="G3981" i="24"/>
  <c r="G3980" i="24"/>
  <c r="G3979" i="24"/>
  <c r="G3978" i="24"/>
  <c r="G3977" i="24"/>
  <c r="G3976" i="24"/>
  <c r="G3975" i="24"/>
  <c r="G3974" i="24"/>
  <c r="G3973" i="24"/>
  <c r="G3972" i="24"/>
  <c r="G3971" i="24"/>
  <c r="G3970" i="24"/>
  <c r="G3969" i="24"/>
  <c r="G3968" i="24"/>
  <c r="G3967" i="24"/>
  <c r="G3966" i="24"/>
  <c r="G3965" i="24"/>
  <c r="G3964" i="24"/>
  <c r="G3963" i="24"/>
  <c r="G3962" i="24"/>
  <c r="G3961" i="24"/>
  <c r="G3960" i="24"/>
  <c r="G3959" i="24"/>
  <c r="G3958" i="24"/>
  <c r="G3957" i="24"/>
  <c r="G3956" i="24"/>
  <c r="G3955" i="24"/>
  <c r="G3954" i="24"/>
  <c r="G3953" i="24"/>
  <c r="G3952" i="24"/>
  <c r="G3951" i="24"/>
  <c r="G3950" i="24"/>
  <c r="G3949" i="24"/>
  <c r="G3948" i="24"/>
  <c r="G3947" i="24"/>
  <c r="G3946" i="24"/>
  <c r="G3945" i="24"/>
  <c r="G3944" i="24"/>
  <c r="G3943" i="24"/>
  <c r="G3942" i="24"/>
  <c r="G3941" i="24"/>
  <c r="G3940" i="24"/>
  <c r="G3939" i="24"/>
  <c r="G3938" i="24"/>
  <c r="G3937" i="24"/>
  <c r="G3936" i="24"/>
  <c r="G3935" i="24"/>
  <c r="G3934" i="24"/>
  <c r="G3933" i="24"/>
  <c r="G3932" i="24"/>
  <c r="G3931" i="24"/>
  <c r="G3930" i="24"/>
  <c r="G3929" i="24"/>
  <c r="G3928" i="24"/>
  <c r="G3927" i="24"/>
  <c r="G3926" i="24"/>
  <c r="G3925" i="24"/>
  <c r="G3924" i="24"/>
  <c r="G3923" i="24"/>
  <c r="G3922" i="24"/>
  <c r="G3921" i="24"/>
  <c r="G3920" i="24"/>
  <c r="G3919" i="24"/>
  <c r="G3918" i="24"/>
  <c r="G3917" i="24"/>
  <c r="G3916" i="24"/>
  <c r="G3915" i="24"/>
  <c r="G3914" i="24"/>
  <c r="G3913" i="24"/>
  <c r="G3912" i="24"/>
  <c r="G3911" i="24"/>
  <c r="G3910" i="24"/>
  <c r="G3909" i="24"/>
  <c r="G3908" i="24"/>
  <c r="G3907" i="24"/>
  <c r="G3906" i="24"/>
  <c r="G3905" i="24"/>
  <c r="G3904" i="24"/>
  <c r="G3903" i="24"/>
  <c r="G3902" i="24"/>
  <c r="G3901" i="24"/>
  <c r="G3900" i="24"/>
  <c r="G3899" i="24"/>
  <c r="G3898" i="24"/>
  <c r="G3897" i="24"/>
  <c r="G3896" i="24"/>
  <c r="G3895" i="24"/>
  <c r="G3894" i="24"/>
  <c r="G3893" i="24"/>
  <c r="G3892" i="24"/>
  <c r="G3891" i="24"/>
  <c r="G3890" i="24"/>
  <c r="G3889" i="24"/>
  <c r="G3888" i="24"/>
  <c r="G3887" i="24"/>
  <c r="G3886" i="24"/>
  <c r="G3885" i="24"/>
  <c r="G3884" i="24"/>
  <c r="G3883" i="24"/>
  <c r="G3882" i="24"/>
  <c r="G3881" i="24"/>
  <c r="G3880" i="24"/>
  <c r="G3879" i="24"/>
  <c r="G3878" i="24"/>
  <c r="G3877" i="24"/>
  <c r="G3876" i="24"/>
  <c r="G3875" i="24"/>
  <c r="G3874" i="24"/>
  <c r="G3873" i="24"/>
  <c r="G3872" i="24"/>
  <c r="G3871" i="24"/>
  <c r="G3870" i="24"/>
  <c r="G3869" i="24"/>
  <c r="G3868" i="24"/>
  <c r="G3867" i="24"/>
  <c r="G3866" i="24"/>
  <c r="G3865" i="24"/>
  <c r="G3864" i="24"/>
  <c r="G3863" i="24"/>
  <c r="G3862" i="24"/>
  <c r="G3861" i="24"/>
  <c r="G3860" i="24"/>
  <c r="G3859" i="24"/>
  <c r="G3858" i="24"/>
  <c r="G3857" i="24"/>
  <c r="G3856" i="24"/>
  <c r="G3855" i="24"/>
  <c r="G3854" i="24"/>
  <c r="G3853" i="24"/>
  <c r="G3852" i="24"/>
  <c r="G3851" i="24"/>
  <c r="G3850" i="24"/>
  <c r="G3849" i="24"/>
  <c r="G3848" i="24"/>
  <c r="G3847" i="24"/>
  <c r="G3846" i="24"/>
  <c r="G3845" i="24"/>
  <c r="G3844" i="24"/>
  <c r="G3843" i="24"/>
  <c r="G3842" i="24"/>
  <c r="G3841" i="24"/>
  <c r="G3840" i="24"/>
  <c r="G3839" i="24"/>
  <c r="G3838" i="24"/>
  <c r="G3837" i="24"/>
  <c r="G3836" i="24"/>
  <c r="G3835" i="24"/>
  <c r="G3834" i="24"/>
  <c r="G3833" i="24"/>
  <c r="G3832" i="24"/>
  <c r="G3831" i="24"/>
  <c r="G3830" i="24"/>
  <c r="G3829" i="24"/>
  <c r="G3828" i="24"/>
  <c r="G3827" i="24"/>
  <c r="G3826" i="24"/>
  <c r="G3825" i="24"/>
  <c r="G3824" i="24"/>
  <c r="G3823" i="24"/>
  <c r="G3822" i="24"/>
  <c r="G3821" i="24"/>
  <c r="G3820" i="24"/>
  <c r="G3819" i="24"/>
  <c r="G3818" i="24"/>
  <c r="G3817" i="24"/>
  <c r="G3816" i="24"/>
  <c r="G3815" i="24"/>
  <c r="G3814" i="24"/>
  <c r="G3813" i="24"/>
  <c r="G3812" i="24"/>
  <c r="G3811" i="24"/>
  <c r="G3810" i="24"/>
  <c r="G3809" i="24"/>
  <c r="G3808" i="24"/>
  <c r="G3807" i="24"/>
  <c r="G3806" i="24"/>
  <c r="G3805" i="24"/>
  <c r="G3804" i="24"/>
  <c r="G3803" i="24"/>
  <c r="G3802" i="24"/>
  <c r="G3801" i="24"/>
  <c r="G3800" i="24"/>
  <c r="G3799" i="24"/>
  <c r="G3798" i="24"/>
  <c r="G3797" i="24"/>
  <c r="G3796" i="24"/>
  <c r="G3795" i="24"/>
  <c r="G3794" i="24"/>
  <c r="G3793" i="24"/>
  <c r="G3792" i="24"/>
  <c r="G3791" i="24"/>
  <c r="G3790" i="24"/>
  <c r="G3789" i="24"/>
  <c r="G3788" i="24"/>
  <c r="G3787" i="24"/>
  <c r="G3786" i="24"/>
  <c r="G3785" i="24"/>
  <c r="G3784" i="24"/>
  <c r="G3783" i="24"/>
  <c r="G3782" i="24"/>
  <c r="G3781" i="24"/>
  <c r="G3780" i="24"/>
  <c r="G3779" i="24"/>
  <c r="G3778" i="24"/>
  <c r="G3777" i="24"/>
  <c r="G3776" i="24"/>
  <c r="G3775" i="24"/>
  <c r="G3774" i="24"/>
  <c r="G3773" i="24"/>
  <c r="G3772" i="24"/>
  <c r="G3771" i="24"/>
  <c r="G3770" i="24"/>
  <c r="G3769" i="24"/>
  <c r="G3768" i="24"/>
  <c r="G3767" i="24"/>
  <c r="G3766" i="24"/>
  <c r="G3765" i="24"/>
  <c r="G3764" i="24"/>
  <c r="G3763" i="24"/>
  <c r="G3762" i="24"/>
  <c r="G3761" i="24"/>
  <c r="G3760" i="24"/>
  <c r="G3759" i="24"/>
  <c r="G3758" i="24"/>
  <c r="G3757" i="24"/>
  <c r="G3756" i="24"/>
  <c r="G3755" i="24"/>
  <c r="G3754" i="24"/>
  <c r="G3753" i="24"/>
  <c r="G3752" i="24"/>
  <c r="G3751" i="24"/>
  <c r="G3750" i="24"/>
  <c r="G3749" i="24"/>
  <c r="G3748" i="24"/>
  <c r="G3747" i="24"/>
  <c r="G3746" i="24"/>
  <c r="G3745" i="24"/>
  <c r="G3744" i="24"/>
  <c r="G3743" i="24"/>
  <c r="G3742" i="24"/>
  <c r="G3741" i="24"/>
  <c r="G3740" i="24"/>
  <c r="G3739" i="24"/>
  <c r="G3738" i="24"/>
  <c r="G3737" i="24"/>
  <c r="G3736" i="24"/>
  <c r="G3735" i="24"/>
  <c r="G3734" i="24"/>
  <c r="G3733" i="24"/>
  <c r="G3732" i="24"/>
  <c r="G3731" i="24"/>
  <c r="G3730" i="24"/>
  <c r="G3729" i="24"/>
  <c r="G3728" i="24"/>
  <c r="G3727" i="24"/>
  <c r="G3726" i="24"/>
  <c r="G3725" i="24"/>
  <c r="G3724" i="24"/>
  <c r="G3723" i="24"/>
  <c r="G3722" i="24"/>
  <c r="G3721" i="24"/>
  <c r="G3720" i="24"/>
  <c r="G3719" i="24"/>
  <c r="G3718" i="24"/>
  <c r="G3717" i="24"/>
  <c r="G3716" i="24"/>
  <c r="G3715" i="24"/>
  <c r="G3714" i="24"/>
  <c r="G3713" i="24"/>
  <c r="G3712" i="24"/>
  <c r="G3711" i="24"/>
  <c r="G3710" i="24"/>
  <c r="G3709" i="24"/>
  <c r="G3708" i="24"/>
  <c r="G3707" i="24"/>
  <c r="G3706" i="24"/>
  <c r="G3705" i="24"/>
  <c r="G3704" i="24"/>
  <c r="G3703" i="24"/>
  <c r="G3702" i="24"/>
  <c r="G3701" i="24"/>
  <c r="G3700" i="24"/>
  <c r="G3699" i="24"/>
  <c r="G3698" i="24"/>
  <c r="G3697" i="24"/>
  <c r="G3696" i="24"/>
  <c r="G3695" i="24"/>
  <c r="G3694" i="24"/>
  <c r="G3693" i="24"/>
  <c r="G3692" i="24"/>
  <c r="G3691" i="24"/>
  <c r="G3690" i="24"/>
  <c r="G3689" i="24"/>
  <c r="G3688" i="24"/>
  <c r="G3687" i="24"/>
  <c r="G3686" i="24"/>
  <c r="G3685" i="24"/>
  <c r="G3684" i="24"/>
  <c r="G3683" i="24"/>
  <c r="G3682" i="24"/>
  <c r="G3681" i="24"/>
  <c r="G3680" i="24"/>
  <c r="G3679" i="24"/>
  <c r="G3678" i="24"/>
  <c r="G3677" i="24"/>
  <c r="G3676" i="24"/>
  <c r="G3675" i="24"/>
  <c r="G3674" i="24"/>
  <c r="G3673" i="24"/>
  <c r="G3672" i="24"/>
  <c r="G3671" i="24"/>
  <c r="G3670" i="24"/>
  <c r="G3669" i="24"/>
  <c r="G3668" i="24"/>
  <c r="G3667" i="24"/>
  <c r="G3666" i="24"/>
  <c r="G3665" i="24"/>
  <c r="G3664" i="24"/>
  <c r="G3663" i="24"/>
  <c r="G3662" i="24"/>
  <c r="G3661" i="24"/>
  <c r="G3660" i="24"/>
  <c r="G3659" i="24"/>
  <c r="G3658" i="24"/>
  <c r="G3657" i="24"/>
  <c r="G3656" i="24"/>
  <c r="G3655" i="24"/>
  <c r="G3654" i="24"/>
  <c r="G3653" i="24"/>
  <c r="G3652" i="24"/>
  <c r="G3651" i="24"/>
  <c r="G3650" i="24"/>
  <c r="G3649" i="24"/>
  <c r="G3648" i="24"/>
  <c r="G3647" i="24"/>
  <c r="G3646" i="24"/>
  <c r="G3645" i="24"/>
  <c r="G3644" i="24"/>
  <c r="G3643" i="24"/>
  <c r="G3642" i="24"/>
  <c r="G3641" i="24"/>
  <c r="G3640" i="24"/>
  <c r="G3639" i="24"/>
  <c r="G3638" i="24"/>
  <c r="G3637" i="24"/>
  <c r="G3636" i="24"/>
  <c r="G3635" i="24"/>
  <c r="G3634" i="24"/>
  <c r="G3633" i="24"/>
  <c r="G3632" i="24"/>
  <c r="G3631" i="24"/>
  <c r="G3630" i="24"/>
  <c r="G3629" i="24"/>
  <c r="G3628" i="24"/>
  <c r="G3627" i="24"/>
  <c r="G3626" i="24"/>
  <c r="G3625" i="24"/>
  <c r="G3624" i="24"/>
  <c r="G3623" i="24"/>
  <c r="G3622" i="24"/>
  <c r="G3621" i="24"/>
  <c r="G3620" i="24"/>
  <c r="G3619" i="24"/>
  <c r="G3618" i="24"/>
  <c r="G3617" i="24"/>
  <c r="G3616" i="24"/>
  <c r="G3615" i="24"/>
  <c r="G3614" i="24"/>
  <c r="G3613" i="24"/>
  <c r="G3612" i="24"/>
  <c r="G3611" i="24"/>
  <c r="G3610" i="24"/>
  <c r="G3609" i="24"/>
  <c r="G3608" i="24"/>
  <c r="G3607" i="24"/>
  <c r="G3606" i="24"/>
  <c r="G3605" i="24"/>
  <c r="G3604" i="24"/>
  <c r="G3603" i="24"/>
  <c r="G3602" i="24"/>
  <c r="G3601" i="24"/>
  <c r="G3600" i="24"/>
  <c r="G3599" i="24"/>
  <c r="G3598" i="24"/>
  <c r="G3597" i="24"/>
  <c r="G3596" i="24"/>
  <c r="G3595" i="24"/>
  <c r="G3594" i="24"/>
  <c r="G3593" i="24"/>
  <c r="G3592" i="24"/>
  <c r="G3591" i="24"/>
  <c r="G3590" i="24"/>
  <c r="G3589" i="24"/>
  <c r="G3588" i="24"/>
  <c r="G3587" i="24"/>
  <c r="G3586" i="24"/>
  <c r="G3585" i="24"/>
  <c r="G3584" i="24"/>
  <c r="G3583" i="24"/>
  <c r="G3582" i="24"/>
  <c r="G3581" i="24"/>
  <c r="G3580" i="24"/>
  <c r="G3579" i="24"/>
  <c r="G3578" i="24"/>
  <c r="G3577" i="24"/>
  <c r="G3576" i="24"/>
  <c r="G3575" i="24"/>
  <c r="G3574" i="24"/>
  <c r="G3573" i="24"/>
  <c r="G3572" i="24"/>
  <c r="G3571" i="24"/>
  <c r="G3570" i="24"/>
  <c r="G3569" i="24"/>
  <c r="G3568" i="24"/>
  <c r="G3567" i="24"/>
  <c r="G3566" i="24"/>
  <c r="G3565" i="24"/>
  <c r="G3564" i="24"/>
  <c r="G3563" i="24"/>
  <c r="G3562" i="24"/>
  <c r="G3561" i="24"/>
  <c r="G3560" i="24"/>
  <c r="G3559" i="24"/>
  <c r="G3558" i="24"/>
  <c r="G3557" i="24"/>
  <c r="G3556" i="24"/>
  <c r="G3555" i="24"/>
  <c r="G3554" i="24"/>
  <c r="G3553" i="24"/>
  <c r="G3552" i="24"/>
  <c r="G3551" i="24"/>
  <c r="G3550" i="24"/>
  <c r="G3549" i="24"/>
  <c r="G3548" i="24"/>
  <c r="G3547" i="24"/>
  <c r="G3546" i="24"/>
  <c r="G3545" i="24"/>
  <c r="G3544" i="24"/>
  <c r="G3543" i="24"/>
  <c r="G3542" i="24"/>
  <c r="G3541" i="24"/>
  <c r="G3540" i="24"/>
  <c r="G3539" i="24"/>
  <c r="G3538" i="24"/>
  <c r="G3537" i="24"/>
  <c r="G3536" i="24"/>
  <c r="G3535" i="24"/>
  <c r="G3534" i="24"/>
  <c r="G3533" i="24"/>
  <c r="G3532" i="24"/>
  <c r="G3531" i="24"/>
  <c r="G3530" i="24"/>
  <c r="G3529" i="24"/>
  <c r="G3528" i="24"/>
  <c r="G3527" i="24"/>
  <c r="G3526" i="24"/>
  <c r="G3525" i="24"/>
  <c r="G3524" i="24"/>
  <c r="G3523" i="24"/>
  <c r="G3522" i="24"/>
  <c r="G3521" i="24"/>
  <c r="G3520" i="24"/>
  <c r="G3519" i="24"/>
  <c r="G3518" i="24"/>
  <c r="G3517" i="24"/>
  <c r="G3516" i="24"/>
  <c r="G3515" i="24"/>
  <c r="G3514" i="24"/>
  <c r="G3513" i="24"/>
  <c r="G3512" i="24"/>
  <c r="G3511" i="24"/>
  <c r="G3510" i="24"/>
  <c r="G3509" i="24"/>
  <c r="G3508" i="24"/>
  <c r="G3507" i="24"/>
  <c r="G3506" i="24"/>
  <c r="G3505" i="24"/>
  <c r="G3504" i="24"/>
  <c r="G3503" i="24"/>
  <c r="G3502" i="24"/>
  <c r="G3501" i="24"/>
  <c r="G3500" i="24"/>
  <c r="G3499" i="24"/>
  <c r="G3498" i="24"/>
  <c r="G3497" i="24"/>
  <c r="G3496" i="24"/>
  <c r="G3495" i="24"/>
  <c r="G3494" i="24"/>
  <c r="G3493" i="24"/>
  <c r="G3492" i="24"/>
  <c r="G3491" i="24"/>
  <c r="G3490" i="24"/>
  <c r="G3489" i="24"/>
  <c r="G3488" i="24"/>
  <c r="G3487" i="24"/>
  <c r="G3486" i="24"/>
  <c r="G3485" i="24"/>
  <c r="G3484" i="24"/>
  <c r="G3483" i="24"/>
  <c r="G3482" i="24"/>
  <c r="G3481" i="24"/>
  <c r="G3480" i="24"/>
  <c r="G3479" i="24"/>
  <c r="G3478" i="24"/>
  <c r="G3477" i="24"/>
  <c r="G3476" i="24"/>
  <c r="G3475" i="24"/>
  <c r="G3474" i="24"/>
  <c r="G3473" i="24"/>
  <c r="G3472" i="24"/>
  <c r="G3471" i="24"/>
  <c r="G3470" i="24"/>
  <c r="G3469" i="24"/>
  <c r="G3468" i="24"/>
  <c r="G3467" i="24"/>
  <c r="G3466" i="24"/>
  <c r="G3465" i="24"/>
  <c r="G3464" i="24"/>
  <c r="G3463" i="24"/>
  <c r="G3462" i="24"/>
  <c r="G3461" i="24"/>
  <c r="G3460" i="24"/>
  <c r="G3459" i="24"/>
  <c r="G3458" i="24"/>
  <c r="G3457" i="24"/>
  <c r="G3456" i="24"/>
  <c r="G3455" i="24"/>
  <c r="G3454" i="24"/>
  <c r="G3453" i="24"/>
  <c r="G3452" i="24"/>
  <c r="G3451" i="24"/>
  <c r="G3450" i="24"/>
  <c r="G3449" i="24"/>
  <c r="G3448" i="24"/>
  <c r="G3447" i="24"/>
  <c r="G3446" i="24"/>
  <c r="G3445" i="24"/>
  <c r="G3444" i="24"/>
  <c r="G3443" i="24"/>
  <c r="G3442" i="24"/>
  <c r="G3441" i="24"/>
  <c r="G3440" i="24"/>
  <c r="G3439" i="24"/>
  <c r="G3438" i="24"/>
  <c r="G3437" i="24"/>
  <c r="G3436" i="24"/>
  <c r="G3435" i="24"/>
  <c r="G3434" i="24"/>
  <c r="G3433" i="24"/>
  <c r="G3432" i="24"/>
  <c r="G3431" i="24"/>
  <c r="G3430" i="24"/>
  <c r="G3429" i="24"/>
  <c r="G3428" i="24"/>
  <c r="G3427" i="24"/>
  <c r="G3426" i="24"/>
  <c r="G3425" i="24"/>
  <c r="G3424" i="24"/>
  <c r="G3423" i="24"/>
  <c r="G3422" i="24"/>
  <c r="G3421" i="24"/>
  <c r="G3420" i="24"/>
  <c r="G3419" i="24"/>
  <c r="G3418" i="24"/>
  <c r="G3417" i="24"/>
  <c r="G3416" i="24"/>
  <c r="G3415" i="24"/>
  <c r="G3414" i="24"/>
  <c r="G3413" i="24"/>
  <c r="G3412" i="24"/>
  <c r="G3411" i="24"/>
  <c r="G3410" i="24"/>
  <c r="G3409" i="24"/>
  <c r="G3408" i="24"/>
  <c r="G3407" i="24"/>
  <c r="G3406" i="24"/>
  <c r="G3405" i="24"/>
  <c r="G3404" i="24"/>
  <c r="G3403" i="24"/>
  <c r="G3402" i="24"/>
  <c r="G3401" i="24"/>
  <c r="G3400" i="24"/>
  <c r="G3399" i="24"/>
  <c r="G3398" i="24"/>
  <c r="G3397" i="24"/>
  <c r="G3396" i="24"/>
  <c r="G3395" i="24"/>
  <c r="G3394" i="24"/>
  <c r="G3393" i="24"/>
  <c r="G3392" i="24"/>
  <c r="G3391" i="24"/>
  <c r="G3390" i="24"/>
  <c r="G3389" i="24"/>
  <c r="G3388" i="24"/>
  <c r="G3387" i="24"/>
  <c r="G3386" i="24"/>
  <c r="G3385" i="24"/>
  <c r="G3384" i="24"/>
  <c r="G3383" i="24"/>
  <c r="G3382" i="24"/>
  <c r="G3381" i="24"/>
  <c r="G3380" i="24"/>
  <c r="G3379" i="24"/>
  <c r="G3378" i="24"/>
  <c r="G3377" i="24"/>
  <c r="G3376" i="24"/>
  <c r="G3375" i="24"/>
  <c r="G3374" i="24"/>
  <c r="G3373" i="24"/>
  <c r="G3372" i="24"/>
  <c r="G3371" i="24"/>
  <c r="G3370" i="24"/>
  <c r="G3369" i="24"/>
  <c r="G3368" i="24"/>
  <c r="G3367" i="24"/>
  <c r="G3366" i="24"/>
  <c r="G3365" i="24"/>
  <c r="G3364" i="24"/>
  <c r="G3363" i="24"/>
  <c r="G3362" i="24"/>
  <c r="G3361" i="24"/>
  <c r="G3360" i="24"/>
  <c r="G3359" i="24"/>
  <c r="G3358" i="24"/>
  <c r="G3357" i="24"/>
  <c r="G3356" i="24"/>
  <c r="G3355" i="24"/>
  <c r="G3354" i="24"/>
  <c r="G3353" i="24"/>
  <c r="G3352" i="24"/>
  <c r="G3351" i="24"/>
  <c r="G3350" i="24"/>
  <c r="G3349" i="24"/>
  <c r="G3348" i="24"/>
  <c r="G3347" i="24"/>
  <c r="G3346" i="24"/>
  <c r="G3345" i="24"/>
  <c r="G3344" i="24"/>
  <c r="G3343" i="24"/>
  <c r="G3342" i="24"/>
  <c r="G3341" i="24"/>
  <c r="G3340" i="24"/>
  <c r="G3339" i="24"/>
  <c r="G3338" i="24"/>
  <c r="G3337" i="24"/>
  <c r="G3336" i="24"/>
  <c r="G3335" i="24"/>
  <c r="G3334" i="24"/>
  <c r="G3333" i="24"/>
  <c r="G3332" i="24"/>
  <c r="G3331" i="24"/>
  <c r="G3330" i="24"/>
  <c r="G3329" i="24"/>
  <c r="G3328" i="24"/>
  <c r="G3327" i="24"/>
  <c r="G3326" i="24"/>
  <c r="G3325" i="24"/>
  <c r="G3324" i="24"/>
  <c r="G3323" i="24"/>
  <c r="G3322" i="24"/>
  <c r="G3321" i="24"/>
  <c r="G3320" i="24"/>
  <c r="G3319" i="24"/>
  <c r="G3318" i="24"/>
  <c r="G3317" i="24"/>
  <c r="G3316" i="24"/>
  <c r="G3315" i="24"/>
  <c r="G3314" i="24"/>
  <c r="G3313" i="24"/>
  <c r="G3312" i="24"/>
  <c r="G3311" i="24"/>
  <c r="G3310" i="24"/>
  <c r="G3309" i="24"/>
  <c r="G3308" i="24"/>
  <c r="G3307" i="24"/>
  <c r="G3306" i="24"/>
  <c r="G3305" i="24"/>
  <c r="G3304" i="24"/>
  <c r="G3303" i="24"/>
  <c r="G3302" i="24"/>
  <c r="G3301" i="24"/>
  <c r="G3300" i="24"/>
  <c r="G3299" i="24"/>
  <c r="G3298" i="24"/>
  <c r="G3297" i="24"/>
  <c r="G3296" i="24"/>
  <c r="G3295" i="24"/>
  <c r="G3294" i="24"/>
  <c r="G3293" i="24"/>
  <c r="G3292" i="24"/>
  <c r="G3291" i="24"/>
  <c r="G3290" i="24"/>
  <c r="G3289" i="24"/>
  <c r="G3288" i="24"/>
  <c r="G3287" i="24"/>
  <c r="G3286" i="24"/>
  <c r="G3285" i="24"/>
  <c r="G3284" i="24"/>
  <c r="G3283" i="24"/>
  <c r="G3282" i="24"/>
  <c r="G3281" i="24"/>
  <c r="G3280" i="24"/>
  <c r="G3279" i="24"/>
  <c r="G3278" i="24"/>
  <c r="G3277" i="24"/>
  <c r="G3276" i="24"/>
  <c r="G3275" i="24"/>
  <c r="G3274" i="24"/>
  <c r="G3273" i="24"/>
  <c r="G3272" i="24"/>
  <c r="G3271" i="24"/>
  <c r="G3270" i="24"/>
  <c r="G3269" i="24"/>
  <c r="G3268" i="24"/>
  <c r="G3267" i="24"/>
  <c r="G3266" i="24"/>
  <c r="G3265" i="24"/>
  <c r="G3264" i="24"/>
  <c r="G3263" i="24"/>
  <c r="G3262" i="24"/>
  <c r="G3261" i="24"/>
  <c r="G3260" i="24"/>
  <c r="G3259" i="24"/>
  <c r="G3258" i="24"/>
  <c r="G3257" i="24"/>
  <c r="G3256" i="24"/>
  <c r="G3255" i="24"/>
  <c r="G3254" i="24"/>
  <c r="G3253" i="24"/>
  <c r="G3252" i="24"/>
  <c r="G3251" i="24"/>
  <c r="G3250" i="24"/>
  <c r="G3249" i="24"/>
  <c r="G3248" i="24"/>
  <c r="G3247" i="24"/>
  <c r="G3246" i="24"/>
  <c r="G3245" i="24"/>
  <c r="G3244" i="24"/>
  <c r="G3243" i="24"/>
  <c r="G3242" i="24"/>
  <c r="G3241" i="24"/>
  <c r="G3240" i="24"/>
  <c r="G3239" i="24"/>
  <c r="G3238" i="24"/>
  <c r="G3237" i="24"/>
  <c r="G3236" i="24"/>
  <c r="G3235" i="24"/>
  <c r="G3234" i="24"/>
  <c r="G3233" i="24"/>
  <c r="G3232" i="24"/>
  <c r="G3231" i="24"/>
  <c r="G3230" i="24"/>
  <c r="G3229" i="24"/>
  <c r="G3228" i="24"/>
  <c r="G3227" i="24"/>
  <c r="G3226" i="24"/>
  <c r="G3225" i="24"/>
  <c r="G3224" i="24"/>
  <c r="G3223" i="24"/>
  <c r="G3222" i="24"/>
  <c r="G3221" i="24"/>
  <c r="G3220" i="24"/>
  <c r="G3219" i="24"/>
  <c r="G3218" i="24"/>
  <c r="G3217" i="24"/>
  <c r="G3216" i="24"/>
  <c r="G3215" i="24"/>
  <c r="G3214" i="24"/>
  <c r="G3213" i="24"/>
  <c r="G3212" i="24"/>
  <c r="G3211" i="24"/>
  <c r="G3210" i="24"/>
  <c r="G3209" i="24"/>
  <c r="G3208" i="24"/>
  <c r="G3207" i="24"/>
  <c r="G3206" i="24"/>
  <c r="G3205" i="24"/>
  <c r="G3204" i="24"/>
  <c r="G3203" i="24"/>
  <c r="G3202" i="24"/>
  <c r="G3201" i="24"/>
  <c r="G3200" i="24"/>
  <c r="G3199" i="24"/>
  <c r="G3198" i="24"/>
  <c r="G3197" i="24"/>
  <c r="G3196" i="24"/>
  <c r="G3195" i="24"/>
  <c r="G3194" i="24"/>
  <c r="G3193" i="24"/>
  <c r="G3192" i="24"/>
  <c r="G3191" i="24"/>
  <c r="G3190" i="24"/>
  <c r="G3189" i="24"/>
  <c r="G3188" i="24"/>
  <c r="G3187" i="24"/>
  <c r="G3186" i="24"/>
  <c r="G3185" i="24"/>
  <c r="G3184" i="24"/>
  <c r="G3183" i="24"/>
  <c r="G3182" i="24"/>
  <c r="G3181" i="24"/>
  <c r="G3180" i="24"/>
  <c r="G3179" i="24"/>
  <c r="G3178" i="24"/>
  <c r="G3177" i="24"/>
  <c r="G3176" i="24"/>
  <c r="G3175" i="24"/>
  <c r="G3174" i="24"/>
  <c r="G3173" i="24"/>
  <c r="G3172" i="24"/>
  <c r="G3171" i="24"/>
  <c r="G3170" i="24"/>
  <c r="G3169" i="24"/>
  <c r="G3168" i="24"/>
  <c r="G3167" i="24"/>
  <c r="G3166" i="24"/>
  <c r="G3165" i="24"/>
  <c r="G3164" i="24"/>
  <c r="G3163" i="24"/>
  <c r="G3162" i="24"/>
  <c r="G3161" i="24"/>
  <c r="G3160" i="24"/>
  <c r="G3159" i="24"/>
  <c r="G3158" i="24"/>
  <c r="G3157" i="24"/>
  <c r="G3156" i="24"/>
  <c r="G3155" i="24"/>
  <c r="G3154" i="24"/>
  <c r="G3153" i="24"/>
  <c r="G3152" i="24"/>
  <c r="G3151" i="24"/>
  <c r="G3150" i="24"/>
  <c r="G3149" i="24"/>
  <c r="G3148" i="24"/>
  <c r="G3147" i="24"/>
  <c r="G3146" i="24"/>
  <c r="G3145" i="24"/>
  <c r="G3144" i="24"/>
  <c r="G3143" i="24"/>
  <c r="G3142" i="24"/>
  <c r="G3141" i="24"/>
  <c r="G3140" i="24"/>
  <c r="G3139" i="24"/>
  <c r="G3138" i="24"/>
  <c r="G3137" i="24"/>
  <c r="G3136" i="24"/>
  <c r="G3135" i="24"/>
  <c r="G3134" i="24"/>
  <c r="G3133" i="24"/>
  <c r="G3132" i="24"/>
  <c r="G3131" i="24"/>
  <c r="G3130" i="24"/>
  <c r="G3129" i="24"/>
  <c r="G3128" i="24"/>
  <c r="G3127" i="24"/>
  <c r="G3126" i="24"/>
  <c r="G3125" i="24"/>
  <c r="G3124" i="24"/>
  <c r="G3123" i="24"/>
  <c r="G3122" i="24"/>
  <c r="G3121" i="24"/>
  <c r="G3120" i="24"/>
  <c r="G3119" i="24"/>
  <c r="G3118" i="24"/>
  <c r="G3117" i="24"/>
  <c r="G3116" i="24"/>
  <c r="G3115" i="24"/>
  <c r="G3114" i="24"/>
  <c r="G3113" i="24"/>
  <c r="G3112" i="24"/>
  <c r="G3111" i="24"/>
  <c r="G3110" i="24"/>
  <c r="G3109" i="24"/>
  <c r="G3108" i="24"/>
  <c r="G3107" i="24"/>
  <c r="G3106" i="24"/>
  <c r="G3105" i="24"/>
  <c r="G3104" i="24"/>
  <c r="G3103" i="24"/>
  <c r="G3102" i="24"/>
  <c r="G3101" i="24"/>
  <c r="G3100" i="24"/>
  <c r="G3099" i="24"/>
  <c r="G3098" i="24"/>
  <c r="G3097" i="24"/>
  <c r="G3096" i="24"/>
  <c r="G3095" i="24"/>
  <c r="G3094" i="24"/>
  <c r="G3093" i="24"/>
  <c r="G3092" i="24"/>
  <c r="G3091" i="24"/>
  <c r="G3090" i="24"/>
  <c r="G3089" i="24"/>
  <c r="G3088" i="24"/>
  <c r="G3087" i="24"/>
  <c r="G3086" i="24"/>
  <c r="G3085" i="24"/>
  <c r="G3084" i="24"/>
  <c r="G3083" i="24"/>
  <c r="G3082" i="24"/>
  <c r="G3081" i="24"/>
  <c r="G3080" i="24"/>
  <c r="G3079" i="24"/>
  <c r="G3078" i="24"/>
  <c r="G3077" i="24"/>
  <c r="G3076" i="24"/>
  <c r="G3075" i="24"/>
  <c r="G3074" i="24"/>
  <c r="G3073" i="24"/>
  <c r="G3072" i="24"/>
  <c r="G3071" i="24"/>
  <c r="G3070" i="24"/>
  <c r="G3069" i="24"/>
  <c r="G3068" i="24"/>
  <c r="G3067" i="24"/>
  <c r="G3066" i="24"/>
  <c r="G3065" i="24"/>
  <c r="G3064" i="24"/>
  <c r="G3063" i="24"/>
  <c r="G3062" i="24"/>
  <c r="G3061" i="24"/>
  <c r="G3060" i="24"/>
  <c r="G3059" i="24"/>
  <c r="G3058" i="24"/>
  <c r="G3057" i="24"/>
  <c r="G3056" i="24"/>
  <c r="G3055" i="24"/>
  <c r="G3054" i="24"/>
  <c r="G3053" i="24"/>
  <c r="G3052" i="24"/>
  <c r="G3051" i="24"/>
  <c r="G3050" i="24"/>
  <c r="G3049" i="24"/>
  <c r="G3048" i="24"/>
  <c r="G3047" i="24"/>
  <c r="G3046" i="24"/>
  <c r="G3045" i="24"/>
  <c r="G3044" i="24"/>
  <c r="G3043" i="24"/>
  <c r="G3042" i="24"/>
  <c r="G3041" i="24"/>
  <c r="G3040" i="24"/>
  <c r="G3039" i="24"/>
  <c r="G3038" i="24"/>
  <c r="G3037" i="24"/>
  <c r="G3036" i="24"/>
  <c r="G3035" i="24"/>
  <c r="G3034" i="24"/>
  <c r="G3033" i="24"/>
  <c r="G3032" i="24"/>
  <c r="G3031" i="24"/>
  <c r="G3030" i="24"/>
  <c r="G3029" i="24"/>
  <c r="G3028" i="24"/>
  <c r="G3027" i="24"/>
  <c r="G3026" i="24"/>
  <c r="G3025" i="24"/>
  <c r="G3024" i="24"/>
  <c r="G3023" i="24"/>
  <c r="G3022" i="24"/>
  <c r="G3021" i="24"/>
  <c r="G3020" i="24"/>
  <c r="G3019" i="24"/>
  <c r="G3018" i="24"/>
  <c r="G3017" i="24"/>
  <c r="G3016" i="24"/>
  <c r="G3015" i="24"/>
  <c r="G3014" i="24"/>
  <c r="G3013" i="24"/>
  <c r="G3012" i="24"/>
  <c r="G3011" i="24"/>
  <c r="G3010" i="24"/>
  <c r="G3009" i="24"/>
  <c r="G3008" i="24"/>
  <c r="G3007" i="24"/>
  <c r="G3006" i="24"/>
  <c r="G3005" i="24"/>
  <c r="G3004" i="24"/>
  <c r="G3003" i="24"/>
  <c r="G3002" i="24"/>
  <c r="G3001" i="24"/>
  <c r="G3000" i="24"/>
  <c r="G2999" i="24"/>
  <c r="G2998" i="24"/>
  <c r="G2997" i="24"/>
  <c r="G2996" i="24"/>
  <c r="G2995" i="24"/>
  <c r="G2994" i="24"/>
  <c r="G2993" i="24"/>
  <c r="G2992" i="24"/>
  <c r="G2991" i="24"/>
  <c r="G2990" i="24"/>
  <c r="G2989" i="24"/>
  <c r="G2988" i="24"/>
  <c r="G2987" i="24"/>
  <c r="G2986" i="24"/>
  <c r="G2985" i="24"/>
  <c r="G2984" i="24"/>
  <c r="G2983" i="24"/>
  <c r="G2982" i="24"/>
  <c r="G2981" i="24"/>
  <c r="G2980" i="24"/>
  <c r="G2979" i="24"/>
  <c r="G2978" i="24"/>
  <c r="G2977" i="24"/>
  <c r="G2976" i="24"/>
  <c r="G2975" i="24"/>
  <c r="G2974" i="24"/>
  <c r="G2973" i="24"/>
  <c r="G2972" i="24"/>
  <c r="G2971" i="24"/>
  <c r="G2970" i="24"/>
  <c r="G2969" i="24"/>
  <c r="G2968" i="24"/>
  <c r="G2967" i="24"/>
  <c r="G2966" i="24"/>
  <c r="G2965" i="24"/>
  <c r="G2964" i="24"/>
  <c r="G2963" i="24"/>
  <c r="G2962" i="24"/>
  <c r="G2961" i="24"/>
  <c r="G2960" i="24"/>
  <c r="G2959" i="24"/>
  <c r="G2958" i="24"/>
  <c r="G2957" i="24"/>
  <c r="G2956" i="24"/>
  <c r="G2955" i="24"/>
  <c r="G2954" i="24"/>
  <c r="G2953" i="24"/>
  <c r="G2952" i="24"/>
  <c r="G2951" i="24"/>
  <c r="G2950" i="24"/>
  <c r="G2949" i="24"/>
  <c r="G2948" i="24"/>
  <c r="G2947" i="24"/>
  <c r="G2946" i="24"/>
  <c r="G2945" i="24"/>
  <c r="G2944" i="24"/>
  <c r="G2943" i="24"/>
  <c r="G2942" i="24"/>
  <c r="G2941" i="24"/>
  <c r="G2940" i="24"/>
  <c r="G2939" i="24"/>
  <c r="G2938" i="24"/>
  <c r="G2937" i="24"/>
  <c r="G2936" i="24"/>
  <c r="G2935" i="24"/>
  <c r="G2934" i="24"/>
  <c r="G2933" i="24"/>
  <c r="G2932" i="24"/>
  <c r="G2931" i="24"/>
  <c r="G2930" i="24"/>
  <c r="G2929" i="24"/>
  <c r="G2928" i="24"/>
  <c r="G2927" i="24"/>
  <c r="G2926" i="24"/>
  <c r="G2925" i="24"/>
  <c r="G2924" i="24"/>
  <c r="G2923" i="24"/>
  <c r="G2922" i="24"/>
  <c r="G2921" i="24"/>
  <c r="G2920" i="24"/>
  <c r="G2919" i="24"/>
  <c r="G2918" i="24"/>
  <c r="G2917" i="24"/>
  <c r="G2916" i="24"/>
  <c r="G2915" i="24"/>
  <c r="G2914" i="24"/>
  <c r="G2913" i="24"/>
  <c r="G2912" i="24"/>
  <c r="G2911" i="24"/>
  <c r="G2910" i="24"/>
  <c r="G2909" i="24"/>
  <c r="G2908" i="24"/>
  <c r="G2907" i="24"/>
  <c r="G2906" i="24"/>
  <c r="G2905" i="24"/>
  <c r="G2904" i="24"/>
  <c r="G2903" i="24"/>
  <c r="G2902" i="24"/>
  <c r="G2901" i="24"/>
  <c r="G2900" i="24"/>
  <c r="G2899" i="24"/>
  <c r="G2898" i="24"/>
  <c r="G2897" i="24"/>
  <c r="G2896" i="24"/>
  <c r="G2895" i="24"/>
  <c r="G2894" i="24"/>
  <c r="G2893" i="24"/>
  <c r="G2892" i="24"/>
  <c r="G2891" i="24"/>
  <c r="G2890" i="24"/>
  <c r="G2889" i="24"/>
  <c r="G2888" i="24"/>
  <c r="G2887" i="24"/>
  <c r="G2886" i="24"/>
  <c r="G2885" i="24"/>
  <c r="G2884" i="24"/>
  <c r="G2883" i="24"/>
  <c r="G2882" i="24"/>
  <c r="G2881" i="24"/>
  <c r="G2880" i="24"/>
  <c r="G2879" i="24"/>
  <c r="G2878" i="24"/>
  <c r="G2877" i="24"/>
  <c r="G2876" i="24"/>
  <c r="G2875" i="24"/>
  <c r="G2874" i="24"/>
  <c r="G2873" i="24"/>
  <c r="G2872" i="24"/>
  <c r="G2871" i="24"/>
  <c r="G2870" i="24"/>
  <c r="G2869" i="24"/>
  <c r="G2868" i="24"/>
  <c r="G2867" i="24"/>
  <c r="G2866" i="24"/>
  <c r="G2865" i="24"/>
  <c r="G2864" i="24"/>
  <c r="G2863" i="24"/>
  <c r="G2862" i="24"/>
  <c r="G2861" i="24"/>
  <c r="G2860" i="24"/>
  <c r="G2859" i="24"/>
  <c r="G2858" i="24"/>
  <c r="G2857" i="24"/>
  <c r="G2856" i="24"/>
  <c r="G2855" i="24"/>
  <c r="G2854" i="24"/>
  <c r="G2853" i="24"/>
  <c r="G2852" i="24"/>
  <c r="G2851" i="24"/>
  <c r="G2850" i="24"/>
  <c r="G2849" i="24"/>
  <c r="G2848" i="24"/>
  <c r="G2847" i="24"/>
  <c r="G2846" i="24"/>
  <c r="G2845" i="24"/>
  <c r="G2844" i="24"/>
  <c r="G2843" i="24"/>
  <c r="G2842" i="24"/>
  <c r="G2841" i="24"/>
  <c r="G2840" i="24"/>
  <c r="G2839" i="24"/>
  <c r="G2838" i="24"/>
  <c r="G2837" i="24"/>
  <c r="G2836" i="24"/>
  <c r="G2835" i="24"/>
  <c r="G2834" i="24"/>
  <c r="G2833" i="24"/>
  <c r="G2832" i="24"/>
  <c r="G2831" i="24"/>
  <c r="G2830" i="24"/>
  <c r="G2829" i="24"/>
  <c r="G2828" i="24"/>
  <c r="G2827" i="24"/>
  <c r="G2826" i="24"/>
  <c r="G2825" i="24"/>
  <c r="G2824" i="24"/>
  <c r="G2823" i="24"/>
  <c r="G2822" i="24"/>
  <c r="G2821" i="24"/>
  <c r="G2820" i="24"/>
  <c r="G2819" i="24"/>
  <c r="G2818" i="24"/>
  <c r="G2817" i="24"/>
  <c r="G2816" i="24"/>
  <c r="G2815" i="24"/>
  <c r="G2814" i="24"/>
  <c r="G2813" i="24"/>
  <c r="G2812" i="24"/>
  <c r="G2811" i="24"/>
  <c r="G2810" i="24"/>
  <c r="G2809" i="24"/>
  <c r="G2808" i="24"/>
  <c r="G2807" i="24"/>
  <c r="G2806" i="24"/>
  <c r="G2805" i="24"/>
  <c r="G2804" i="24"/>
  <c r="G2803" i="24"/>
  <c r="G2802" i="24"/>
  <c r="G2801" i="24"/>
  <c r="G2800" i="24"/>
  <c r="G2799" i="24"/>
  <c r="G2798" i="24"/>
  <c r="G2797" i="24"/>
  <c r="G2796" i="24"/>
  <c r="G2795" i="24"/>
  <c r="G2794" i="24"/>
  <c r="G2793" i="24"/>
  <c r="G2792" i="24"/>
  <c r="G2791" i="24"/>
  <c r="G2790" i="24"/>
  <c r="G2789" i="24"/>
  <c r="G2788" i="24"/>
  <c r="G2787" i="24"/>
  <c r="G2786" i="24"/>
  <c r="G2785" i="24"/>
  <c r="G2784" i="24"/>
  <c r="G2783" i="24"/>
  <c r="G2782" i="24"/>
  <c r="G2781" i="24"/>
  <c r="G2780" i="24"/>
  <c r="G2779" i="24"/>
  <c r="G2778" i="24"/>
  <c r="G2777" i="24"/>
  <c r="G2776" i="24"/>
  <c r="G2775" i="24"/>
  <c r="G2774" i="24"/>
  <c r="G2773" i="24"/>
  <c r="G2772" i="24"/>
  <c r="G2771" i="24"/>
  <c r="G2770" i="24"/>
  <c r="G2769" i="24"/>
  <c r="G2768" i="24"/>
  <c r="G2767" i="24"/>
  <c r="G2766" i="24"/>
  <c r="G2765" i="24"/>
  <c r="G2764" i="24"/>
  <c r="G2763" i="24"/>
  <c r="G2762" i="24"/>
  <c r="G2761" i="24"/>
  <c r="G2760" i="24"/>
  <c r="G2759" i="24"/>
  <c r="G2758" i="24"/>
  <c r="G2757" i="24"/>
  <c r="G2756" i="24"/>
  <c r="G2755" i="24"/>
  <c r="G2754" i="24"/>
  <c r="G2753" i="24"/>
  <c r="G2752" i="24"/>
  <c r="G2751" i="24"/>
  <c r="G2750" i="24"/>
  <c r="G2749" i="24"/>
  <c r="G2748" i="24"/>
  <c r="G2747" i="24"/>
  <c r="G2746" i="24"/>
  <c r="G2745" i="24"/>
  <c r="G2744" i="24"/>
  <c r="G2743" i="24"/>
  <c r="G2742" i="24"/>
  <c r="G2741" i="24"/>
  <c r="G2740" i="24"/>
  <c r="G2739" i="24"/>
  <c r="G2738" i="24"/>
  <c r="G2737" i="24"/>
  <c r="G2736" i="24"/>
  <c r="G2735" i="24"/>
  <c r="G2734" i="24"/>
  <c r="G2733" i="24"/>
  <c r="G2732" i="24"/>
  <c r="G2731" i="24"/>
  <c r="G2730" i="24"/>
  <c r="G2729" i="24"/>
  <c r="G2728" i="24"/>
  <c r="G2727" i="24"/>
  <c r="G2726" i="24"/>
  <c r="G2725" i="24"/>
  <c r="G2724" i="24"/>
  <c r="G2723" i="24"/>
  <c r="G2722" i="24"/>
  <c r="G2721" i="24"/>
  <c r="G2720" i="24"/>
  <c r="G2719" i="24"/>
  <c r="G2718" i="24"/>
  <c r="G2717" i="24"/>
  <c r="G2716" i="24"/>
  <c r="G2715" i="24"/>
  <c r="G2714" i="24"/>
  <c r="G2713" i="24"/>
  <c r="G2712" i="24"/>
  <c r="G2711" i="24"/>
  <c r="G2710" i="24"/>
  <c r="G2709" i="24"/>
  <c r="G2708" i="24"/>
  <c r="G2707" i="24"/>
  <c r="G2706" i="24"/>
  <c r="G2705" i="24"/>
  <c r="G2704" i="24"/>
  <c r="G2703" i="24"/>
  <c r="G2702" i="24"/>
  <c r="G2701" i="24"/>
  <c r="G2700" i="24"/>
  <c r="G2699" i="24"/>
  <c r="G2698" i="24"/>
  <c r="G2697" i="24"/>
  <c r="G2696" i="24"/>
  <c r="G2695" i="24"/>
  <c r="G2694" i="24"/>
  <c r="G2693" i="24"/>
  <c r="G2692" i="24"/>
  <c r="G2691" i="24"/>
  <c r="G2690" i="24"/>
  <c r="G2689" i="24"/>
  <c r="G2688" i="24"/>
  <c r="G2687" i="24"/>
  <c r="G2686" i="24"/>
  <c r="G2685" i="24"/>
  <c r="G2684" i="24"/>
  <c r="G2683" i="24"/>
  <c r="G2682" i="24"/>
  <c r="G2681" i="24"/>
  <c r="G2680" i="24"/>
  <c r="G2679" i="24"/>
  <c r="G2678" i="24"/>
  <c r="G2677" i="24"/>
  <c r="G2676" i="24"/>
  <c r="G2675" i="24"/>
  <c r="G2674" i="24"/>
  <c r="G2673" i="24"/>
  <c r="G2672" i="24"/>
  <c r="G2671" i="24"/>
  <c r="G2670" i="24"/>
  <c r="G2669" i="24"/>
  <c r="G2668" i="24"/>
  <c r="G2667" i="24"/>
  <c r="G2666" i="24"/>
  <c r="G2665" i="24"/>
  <c r="G2664" i="24"/>
  <c r="G2663" i="24"/>
  <c r="G2662" i="24"/>
  <c r="G2661" i="24"/>
  <c r="G2660" i="24"/>
  <c r="G2659" i="24"/>
  <c r="G2658" i="24"/>
  <c r="G2657" i="24"/>
  <c r="G2656" i="24"/>
  <c r="G2655" i="24"/>
  <c r="G2654" i="24"/>
  <c r="G2653" i="24"/>
  <c r="G2652" i="24"/>
  <c r="G2651" i="24"/>
  <c r="G2650" i="24"/>
  <c r="G2649" i="24"/>
  <c r="G2648" i="24"/>
  <c r="G2647" i="24"/>
  <c r="G2646" i="24"/>
  <c r="G2645" i="24"/>
  <c r="G2644" i="24"/>
  <c r="G2643" i="24"/>
  <c r="G2642" i="24"/>
  <c r="G2641" i="24"/>
  <c r="G2640" i="24"/>
  <c r="G2639" i="24"/>
  <c r="G2638" i="24"/>
  <c r="G2637" i="24"/>
  <c r="G2636" i="24"/>
  <c r="G2635" i="24"/>
  <c r="G2634" i="24"/>
  <c r="G2633" i="24"/>
  <c r="G2632" i="24"/>
  <c r="G2631" i="24"/>
  <c r="G2630" i="24"/>
  <c r="G2629" i="24"/>
  <c r="G2628" i="24"/>
  <c r="G2627" i="24"/>
  <c r="G2626" i="24"/>
  <c r="G2625" i="24"/>
  <c r="G2624" i="24"/>
  <c r="G2623" i="24"/>
  <c r="G2622" i="24"/>
  <c r="G2621" i="24"/>
  <c r="G2620" i="24"/>
  <c r="G2619" i="24"/>
  <c r="G2618" i="24"/>
  <c r="G2617" i="24"/>
  <c r="G2616" i="24"/>
  <c r="G2615" i="24"/>
  <c r="G2614" i="24"/>
  <c r="G2613" i="24"/>
  <c r="G2612" i="24"/>
  <c r="G2611" i="24"/>
  <c r="G2610" i="24"/>
  <c r="G2609" i="24"/>
  <c r="G2608" i="24"/>
  <c r="G2607" i="24"/>
  <c r="G2606" i="24"/>
  <c r="G2605" i="24"/>
  <c r="G2604" i="24"/>
  <c r="G2603" i="24"/>
  <c r="G2602" i="24"/>
  <c r="G2601" i="24"/>
  <c r="G2600" i="24"/>
  <c r="G2599" i="24"/>
  <c r="G2598" i="24"/>
  <c r="G2597" i="24"/>
  <c r="G2596" i="24"/>
  <c r="G2595" i="24"/>
  <c r="G2594" i="24"/>
  <c r="G2593" i="24"/>
  <c r="G2592" i="24"/>
  <c r="G2591" i="24"/>
  <c r="G2590" i="24"/>
  <c r="G2589" i="24"/>
  <c r="G2588" i="24"/>
  <c r="G2587" i="24"/>
  <c r="G2586" i="24"/>
  <c r="G2585" i="24"/>
  <c r="G2584" i="24"/>
  <c r="G2583" i="24"/>
  <c r="G2582" i="24"/>
  <c r="G2581" i="24"/>
  <c r="G2580" i="24"/>
  <c r="G2579" i="24"/>
  <c r="G2578" i="24"/>
  <c r="G2577" i="24"/>
  <c r="G2576" i="24"/>
  <c r="G2575" i="24"/>
  <c r="G2574" i="24"/>
  <c r="G2573" i="24"/>
  <c r="G2572" i="24"/>
  <c r="G2571" i="24"/>
  <c r="G2570" i="24"/>
  <c r="G2569" i="24"/>
  <c r="G2568" i="24"/>
  <c r="G2567" i="24"/>
  <c r="G2566" i="24"/>
  <c r="G2565" i="24"/>
  <c r="G2564" i="24"/>
  <c r="G2563" i="24"/>
  <c r="G2562" i="24"/>
  <c r="G2561" i="24"/>
  <c r="G2560" i="24"/>
  <c r="G2559" i="24"/>
  <c r="G2558" i="24"/>
  <c r="G2557" i="24"/>
  <c r="G2556" i="24"/>
  <c r="G2555" i="24"/>
  <c r="G2554" i="24"/>
  <c r="G2553" i="24"/>
  <c r="G2552" i="24"/>
  <c r="G2551" i="24"/>
  <c r="G2550" i="24"/>
  <c r="G2549" i="24"/>
  <c r="G2548" i="24"/>
  <c r="G2547" i="24"/>
  <c r="G2546" i="24"/>
  <c r="G2545" i="24"/>
  <c r="G2544" i="24"/>
  <c r="G2543" i="24"/>
  <c r="G2542" i="24"/>
  <c r="G2541" i="24"/>
  <c r="G2540" i="24"/>
  <c r="G2539" i="24"/>
  <c r="G2538" i="24"/>
  <c r="G2537" i="24"/>
  <c r="G2536" i="24"/>
  <c r="G2535" i="24"/>
  <c r="G2534" i="24"/>
  <c r="G2533" i="24"/>
  <c r="G2532" i="24"/>
  <c r="G2531" i="24"/>
  <c r="G2530" i="24"/>
  <c r="G2529" i="24"/>
  <c r="G2528" i="24"/>
  <c r="G2527" i="24"/>
  <c r="G2526" i="24"/>
  <c r="G2525" i="24"/>
  <c r="G2524" i="24"/>
  <c r="G2523" i="24"/>
  <c r="G2522" i="24"/>
  <c r="G2521" i="24"/>
  <c r="G2520" i="24"/>
  <c r="G2519" i="24"/>
  <c r="G2518" i="24"/>
  <c r="G2517" i="24"/>
  <c r="G2516" i="24"/>
  <c r="G2515" i="24"/>
  <c r="G2514" i="24"/>
  <c r="G2513" i="24"/>
  <c r="G2512" i="24"/>
  <c r="G2511" i="24"/>
  <c r="G2510" i="24"/>
  <c r="G2509" i="24"/>
  <c r="G2508" i="24"/>
  <c r="G2507" i="24"/>
  <c r="G2506" i="24"/>
  <c r="G2505" i="24"/>
  <c r="G2504" i="24"/>
  <c r="G2503" i="24"/>
  <c r="G2502" i="24"/>
  <c r="G2501" i="24"/>
  <c r="G2500" i="24"/>
  <c r="G2499" i="24"/>
  <c r="G2498" i="24"/>
  <c r="G2497" i="24"/>
  <c r="G2496" i="24"/>
  <c r="G2495" i="24"/>
  <c r="G2494" i="24"/>
  <c r="G2493" i="24"/>
  <c r="G2492" i="24"/>
  <c r="G2491" i="24"/>
  <c r="G2490" i="24"/>
  <c r="G2489" i="24"/>
  <c r="G2488" i="24"/>
  <c r="G2487" i="24"/>
  <c r="G2486" i="24"/>
  <c r="G2485" i="24"/>
  <c r="G2484" i="24"/>
  <c r="G2483" i="24"/>
  <c r="G2482" i="24"/>
  <c r="G2481" i="24"/>
  <c r="G2480" i="24"/>
  <c r="G2479" i="24"/>
  <c r="G2478" i="24"/>
  <c r="G2477" i="24"/>
  <c r="G2476" i="24"/>
  <c r="G2475" i="24"/>
  <c r="G2474" i="24"/>
  <c r="G2473" i="24"/>
  <c r="G2472" i="24"/>
  <c r="G2471" i="24"/>
  <c r="G2470" i="24"/>
  <c r="G2469" i="24"/>
  <c r="G2468" i="24"/>
  <c r="G2467" i="24"/>
  <c r="G2466" i="24"/>
  <c r="G2465" i="24"/>
  <c r="G2464" i="24"/>
  <c r="G2463" i="24"/>
  <c r="G2462" i="24"/>
  <c r="G2461" i="24"/>
  <c r="G2460" i="24"/>
  <c r="G2459" i="24"/>
  <c r="G2458" i="24"/>
  <c r="G2457" i="24"/>
  <c r="G2456" i="24"/>
  <c r="G2455" i="24"/>
  <c r="G2454" i="24"/>
  <c r="G2453" i="24"/>
  <c r="G2452" i="24"/>
  <c r="G2451" i="24"/>
  <c r="G2450" i="24"/>
  <c r="G2449" i="24"/>
  <c r="G2448" i="24"/>
  <c r="G2447" i="24"/>
  <c r="G2446" i="24"/>
  <c r="G2445" i="24"/>
  <c r="G2444" i="24"/>
  <c r="G2443" i="24"/>
  <c r="G2442" i="24"/>
  <c r="G2441" i="24"/>
  <c r="G2440" i="24"/>
  <c r="G2439" i="24"/>
  <c r="G2438" i="24"/>
  <c r="G2437" i="24"/>
  <c r="G2436" i="24"/>
  <c r="G2435" i="24"/>
  <c r="G2434" i="24"/>
  <c r="G2433" i="24"/>
  <c r="G2432" i="24"/>
  <c r="G2431" i="24"/>
  <c r="G2430" i="24"/>
  <c r="G2429" i="24"/>
  <c r="G2428" i="24"/>
  <c r="G2427" i="24"/>
  <c r="G2426" i="24"/>
  <c r="G2425" i="24"/>
  <c r="G2424" i="24"/>
  <c r="G2423" i="24"/>
  <c r="G2422" i="24"/>
  <c r="G2421" i="24"/>
  <c r="G2420" i="24"/>
  <c r="G2419" i="24"/>
  <c r="G2418" i="24"/>
  <c r="G2417" i="24"/>
  <c r="G2416" i="24"/>
  <c r="G2415" i="24"/>
  <c r="G2414" i="24"/>
  <c r="G2413" i="24"/>
  <c r="G2412" i="24"/>
  <c r="G2411" i="24"/>
  <c r="G2410" i="24"/>
  <c r="G2409" i="24"/>
  <c r="G2408" i="24"/>
  <c r="G2407" i="24"/>
  <c r="G2406" i="24"/>
  <c r="G2405" i="24"/>
  <c r="G2404" i="24"/>
  <c r="G2403" i="24"/>
  <c r="G2402" i="24"/>
  <c r="G2401" i="24"/>
  <c r="G2400" i="24"/>
  <c r="G2399" i="24"/>
  <c r="G2398" i="24"/>
  <c r="G2397" i="24"/>
  <c r="G2396" i="24"/>
  <c r="G2395" i="24"/>
  <c r="G2394" i="24"/>
  <c r="G2393" i="24"/>
  <c r="G2392" i="24"/>
  <c r="G2391" i="24"/>
  <c r="G2390" i="24"/>
  <c r="G2389" i="24"/>
  <c r="G2388" i="24"/>
  <c r="G2387" i="24"/>
  <c r="G2386" i="24"/>
  <c r="G2385" i="24"/>
  <c r="G2384" i="24"/>
  <c r="G2383" i="24"/>
  <c r="G2382" i="24"/>
  <c r="G2381" i="24"/>
  <c r="G2380" i="24"/>
  <c r="G2379" i="24"/>
  <c r="G2378" i="24"/>
  <c r="G2377" i="24"/>
  <c r="G2376" i="24"/>
  <c r="G2375" i="24"/>
  <c r="G2374" i="24"/>
  <c r="G2373" i="24"/>
  <c r="G2372" i="24"/>
  <c r="G2371" i="24"/>
  <c r="G2370" i="24"/>
  <c r="G2369" i="24"/>
  <c r="G2368" i="24"/>
  <c r="G2367" i="24"/>
  <c r="G2366" i="24"/>
  <c r="G2365" i="24"/>
  <c r="G2364" i="24"/>
  <c r="G2363" i="24"/>
  <c r="G2362" i="24"/>
  <c r="G2361" i="24"/>
  <c r="G2360" i="24"/>
  <c r="G2359" i="24"/>
  <c r="G2358" i="24"/>
  <c r="G2357" i="24"/>
  <c r="G2356" i="24"/>
  <c r="G2355" i="24"/>
  <c r="G2354" i="24"/>
  <c r="G2353" i="24"/>
  <c r="G2352" i="24"/>
  <c r="G2351" i="24"/>
  <c r="G2350" i="24"/>
  <c r="G2349" i="24"/>
  <c r="G2348" i="24"/>
  <c r="G2347" i="24"/>
  <c r="G2346" i="24"/>
  <c r="G2345" i="24"/>
  <c r="G2344" i="24"/>
  <c r="G2343" i="24"/>
  <c r="G2342" i="24"/>
  <c r="G2341" i="24"/>
  <c r="G2340" i="24"/>
  <c r="G2339" i="24"/>
  <c r="G2338" i="24"/>
  <c r="G2337" i="24"/>
  <c r="G2336" i="24"/>
  <c r="G2335" i="24"/>
  <c r="G2334" i="24"/>
  <c r="G2333" i="24"/>
  <c r="G2332" i="24"/>
  <c r="G2331" i="24"/>
  <c r="G2330" i="24"/>
  <c r="G2329" i="24"/>
  <c r="G2328" i="24"/>
  <c r="G2327" i="24"/>
  <c r="G2326" i="24"/>
  <c r="G2325" i="24"/>
  <c r="G2324" i="24"/>
  <c r="G2323" i="24"/>
  <c r="G2322" i="24"/>
  <c r="G2321" i="24"/>
  <c r="G2320" i="24"/>
  <c r="G2319" i="24"/>
  <c r="G2318" i="24"/>
  <c r="G2317" i="24"/>
  <c r="G2316" i="24"/>
  <c r="G2315" i="24"/>
  <c r="G2314" i="24"/>
  <c r="G2313" i="24"/>
  <c r="G2312" i="24"/>
  <c r="G2311" i="24"/>
  <c r="G2310" i="24"/>
  <c r="G2309" i="24"/>
  <c r="G2308" i="24"/>
  <c r="G2307" i="24"/>
  <c r="G2306" i="24"/>
  <c r="G2305" i="24"/>
  <c r="G2304" i="24"/>
  <c r="G2303" i="24"/>
  <c r="G2302" i="24"/>
  <c r="G2301" i="24"/>
  <c r="G2300" i="24"/>
  <c r="G2299" i="24"/>
  <c r="G2298" i="24"/>
  <c r="G2297" i="24"/>
  <c r="G2296" i="24"/>
  <c r="G2295" i="24"/>
  <c r="G2294" i="24"/>
  <c r="G2293" i="24"/>
  <c r="G2292" i="24"/>
  <c r="G2291" i="24"/>
  <c r="G2290" i="24"/>
  <c r="G2289" i="24"/>
  <c r="G2288" i="24"/>
  <c r="G2287" i="24"/>
  <c r="G2286" i="24"/>
  <c r="G2285" i="24"/>
  <c r="G2284" i="24"/>
  <c r="G2283" i="24"/>
  <c r="G2282" i="24"/>
  <c r="G2281" i="24"/>
  <c r="G2280" i="24"/>
  <c r="G2279" i="24"/>
  <c r="G2278" i="24"/>
  <c r="G2277" i="24"/>
  <c r="G2276" i="24"/>
  <c r="G2275" i="24"/>
  <c r="G2274" i="24"/>
  <c r="G2273" i="24"/>
  <c r="G2272" i="24"/>
  <c r="G2271" i="24"/>
  <c r="G2270" i="24"/>
  <c r="G2269" i="24"/>
  <c r="G2268" i="24"/>
  <c r="G2267" i="24"/>
  <c r="G2266" i="24"/>
  <c r="G2265" i="24"/>
  <c r="G2264" i="24"/>
  <c r="G2263" i="24"/>
  <c r="G2262" i="24"/>
  <c r="G2261" i="24"/>
  <c r="G2260" i="24"/>
  <c r="G2259" i="24"/>
  <c r="G2258" i="24"/>
  <c r="G2257" i="24"/>
  <c r="G2256" i="24"/>
  <c r="G2255" i="24"/>
  <c r="G2254" i="24"/>
  <c r="G2253" i="24"/>
  <c r="G2252" i="24"/>
  <c r="G2251" i="24"/>
  <c r="G2250" i="24"/>
  <c r="G2249" i="24"/>
  <c r="G2248" i="24"/>
  <c r="G2247" i="24"/>
  <c r="G2246" i="24"/>
  <c r="G2245" i="24"/>
  <c r="G2244" i="24"/>
  <c r="G2243" i="24"/>
  <c r="G2242" i="24"/>
  <c r="G2241" i="24"/>
  <c r="G2240" i="24"/>
  <c r="G2239" i="24"/>
  <c r="G2238" i="24"/>
  <c r="G2237" i="24"/>
  <c r="G2236" i="24"/>
  <c r="G2235" i="24"/>
  <c r="G2234" i="24"/>
  <c r="G2233" i="24"/>
  <c r="G2232" i="24"/>
  <c r="G2231" i="24"/>
  <c r="G2230" i="24"/>
  <c r="G2229" i="24"/>
  <c r="G2228" i="24"/>
  <c r="G2227" i="24"/>
  <c r="G2226" i="24"/>
  <c r="G2225" i="24"/>
  <c r="G2224" i="24"/>
  <c r="G2223" i="24"/>
  <c r="G2222" i="24"/>
  <c r="G2221" i="24"/>
  <c r="G2220" i="24"/>
  <c r="G2219" i="24"/>
  <c r="G2218" i="24"/>
  <c r="G2217" i="24"/>
  <c r="G2216" i="24"/>
  <c r="G2215" i="24"/>
  <c r="G2214" i="24"/>
  <c r="G2213" i="24"/>
  <c r="G2212" i="24"/>
  <c r="G2211" i="24"/>
  <c r="G2210" i="24"/>
  <c r="G2209" i="24"/>
  <c r="G2208" i="24"/>
  <c r="G2207" i="24"/>
  <c r="G2206" i="24"/>
  <c r="G2205" i="24"/>
  <c r="G2204" i="24"/>
  <c r="G2203" i="24"/>
  <c r="G2202" i="24"/>
  <c r="G2201" i="24"/>
  <c r="G2200" i="24"/>
  <c r="G2199" i="24"/>
  <c r="G2198" i="24"/>
  <c r="G2197" i="24"/>
  <c r="G2196" i="24"/>
  <c r="G2195" i="24"/>
  <c r="G2194" i="24"/>
  <c r="G2193" i="24"/>
  <c r="G2192" i="24"/>
  <c r="G2191" i="24"/>
  <c r="G2190" i="24"/>
  <c r="G2189" i="24"/>
  <c r="G2188" i="24"/>
  <c r="G2187" i="24"/>
  <c r="G2186" i="24"/>
  <c r="G2185" i="24"/>
  <c r="G2184" i="24"/>
  <c r="G2183" i="24"/>
  <c r="G2182" i="24"/>
  <c r="G2181" i="24"/>
  <c r="G2180" i="24"/>
  <c r="G2179" i="24"/>
  <c r="G2178" i="24"/>
  <c r="G2177" i="24"/>
  <c r="G2176" i="24"/>
  <c r="G2175" i="24"/>
  <c r="G2174" i="24"/>
  <c r="G2173" i="24"/>
  <c r="G2172" i="24"/>
  <c r="G2171" i="24"/>
  <c r="G2170" i="24"/>
  <c r="G2169" i="24"/>
  <c r="G2168" i="24"/>
  <c r="G2167" i="24"/>
  <c r="G2166" i="24"/>
  <c r="G2165" i="24"/>
  <c r="G2164" i="24"/>
  <c r="G2163" i="24"/>
  <c r="G2162" i="24"/>
  <c r="G2161" i="24"/>
  <c r="G2160" i="24"/>
  <c r="G2159" i="24"/>
  <c r="G2158" i="24"/>
  <c r="G2157" i="24"/>
  <c r="G2156" i="24"/>
  <c r="G2155" i="24"/>
  <c r="G2154" i="24"/>
  <c r="G2153" i="24"/>
  <c r="G2152" i="24"/>
  <c r="G2151" i="24"/>
  <c r="G2150" i="24"/>
  <c r="G2149" i="24"/>
  <c r="G2148" i="24"/>
  <c r="G2147" i="24"/>
  <c r="G2146" i="24"/>
  <c r="G2145" i="24"/>
  <c r="G2144" i="24"/>
  <c r="G2143" i="24"/>
  <c r="G2142" i="24"/>
  <c r="G2141" i="24"/>
  <c r="G2140" i="24"/>
  <c r="G2139" i="24"/>
  <c r="G2138" i="24"/>
  <c r="G2137" i="24"/>
  <c r="G2136" i="24"/>
  <c r="G2135" i="24"/>
  <c r="G2134" i="24"/>
  <c r="G2133" i="24"/>
  <c r="G2132" i="24"/>
  <c r="G2131" i="24"/>
  <c r="G2130" i="24"/>
  <c r="G2129" i="24"/>
  <c r="G2128" i="24"/>
  <c r="G2127" i="24"/>
  <c r="G2126" i="24"/>
  <c r="G2125" i="24"/>
  <c r="G2124" i="24"/>
  <c r="G2123" i="24"/>
  <c r="G2122" i="24"/>
  <c r="G2121" i="24"/>
  <c r="G2120" i="24"/>
  <c r="G2119" i="24"/>
  <c r="G2118" i="24"/>
  <c r="G2117" i="24"/>
  <c r="G2116" i="24"/>
  <c r="G2115" i="24"/>
  <c r="G2114" i="24"/>
  <c r="G2113" i="24"/>
  <c r="G2112" i="24"/>
  <c r="G2111" i="24"/>
  <c r="G2110" i="24"/>
  <c r="G2109" i="24"/>
  <c r="G2108" i="24"/>
  <c r="G2107" i="24"/>
  <c r="G2106" i="24"/>
  <c r="G2105" i="24"/>
  <c r="G2104" i="24"/>
  <c r="G2103" i="24"/>
  <c r="G2102" i="24"/>
  <c r="G2101" i="24"/>
  <c r="G2100" i="24"/>
  <c r="G2099" i="24"/>
  <c r="G2098" i="24"/>
  <c r="G2097" i="24"/>
  <c r="G2096" i="24"/>
  <c r="G2095" i="24"/>
  <c r="G2094" i="24"/>
  <c r="G2093" i="24"/>
  <c r="G2092" i="24"/>
  <c r="G2091" i="24"/>
  <c r="G2090" i="24"/>
  <c r="G2089" i="24"/>
  <c r="G2088" i="24"/>
  <c r="G2087" i="24"/>
  <c r="G2086" i="24"/>
  <c r="G2085" i="24"/>
  <c r="G2084" i="24"/>
  <c r="G2083" i="24"/>
  <c r="G2082" i="24"/>
  <c r="G2081" i="24"/>
  <c r="G2080" i="24"/>
  <c r="G2079" i="24"/>
  <c r="G2078" i="24"/>
  <c r="G2077" i="24"/>
  <c r="G2076" i="24"/>
  <c r="G2075" i="24"/>
  <c r="G2074" i="24"/>
  <c r="G2073" i="24"/>
  <c r="G2072" i="24"/>
  <c r="G2071" i="24"/>
  <c r="G2070" i="24"/>
  <c r="G2069" i="24"/>
  <c r="G2068" i="24"/>
  <c r="G2067" i="24"/>
  <c r="G2066" i="24"/>
  <c r="G2065" i="24"/>
  <c r="G2064" i="24"/>
  <c r="G2063" i="24"/>
  <c r="G2062" i="24"/>
  <c r="G2061" i="24"/>
  <c r="G2060" i="24"/>
  <c r="G2059" i="24"/>
  <c r="G2058" i="24"/>
  <c r="G2057" i="24"/>
  <c r="G2056" i="24"/>
  <c r="G2055" i="24"/>
  <c r="G2054" i="24"/>
  <c r="G2053" i="24"/>
  <c r="G2052" i="24"/>
  <c r="G2051" i="24"/>
  <c r="G2050" i="24"/>
  <c r="G2049" i="24"/>
  <c r="G2048" i="24"/>
  <c r="G2047" i="24"/>
  <c r="G2046" i="24"/>
  <c r="G2045" i="24"/>
  <c r="G2044" i="24"/>
  <c r="G2043" i="24"/>
  <c r="G2042" i="24"/>
  <c r="G2041" i="24"/>
  <c r="G2040" i="24"/>
  <c r="G2039" i="24"/>
  <c r="G2038" i="24"/>
  <c r="G2037" i="24"/>
  <c r="G2036" i="24"/>
  <c r="G2035" i="24"/>
  <c r="G2034" i="24"/>
  <c r="G2033" i="24"/>
  <c r="G2032" i="24"/>
  <c r="G2031" i="24"/>
  <c r="G2030" i="24"/>
  <c r="G2029" i="24"/>
  <c r="G2028" i="24"/>
  <c r="G2027" i="24"/>
  <c r="G2026" i="24"/>
  <c r="G2025" i="24"/>
  <c r="G2024" i="24"/>
  <c r="G2023" i="24"/>
  <c r="G2022" i="24"/>
  <c r="G2021" i="24"/>
  <c r="G2020" i="24"/>
  <c r="G2019" i="24"/>
  <c r="G2018" i="24"/>
  <c r="G2017" i="24"/>
  <c r="G2016" i="24"/>
  <c r="G2015" i="24"/>
  <c r="G2014" i="24"/>
  <c r="G2013" i="24"/>
  <c r="G2012" i="24"/>
  <c r="G2011" i="24"/>
  <c r="G2010" i="24"/>
  <c r="G2009" i="24"/>
  <c r="G2008" i="24"/>
  <c r="G2007" i="24"/>
  <c r="G2006" i="24"/>
  <c r="G2005" i="24"/>
  <c r="G2004" i="24"/>
  <c r="G2003" i="24"/>
  <c r="G2002" i="24"/>
  <c r="G2001" i="24"/>
  <c r="G2000" i="24"/>
  <c r="G1999" i="24"/>
  <c r="G1998" i="24"/>
  <c r="G1997" i="24"/>
  <c r="G1996" i="24"/>
  <c r="G1995" i="24"/>
  <c r="G1994" i="24"/>
  <c r="G1993" i="24"/>
  <c r="G1992" i="24"/>
  <c r="G1991" i="24"/>
  <c r="G1990" i="24"/>
  <c r="G1989" i="24"/>
  <c r="G1988" i="24"/>
  <c r="G1987" i="24"/>
  <c r="G1986" i="24"/>
  <c r="G1985" i="24"/>
  <c r="G1984" i="24"/>
  <c r="G1983" i="24"/>
  <c r="G1982" i="24"/>
  <c r="G1981" i="24"/>
  <c r="G1980" i="24"/>
  <c r="G1979" i="24"/>
  <c r="G1978" i="24"/>
  <c r="G1977" i="24"/>
  <c r="G1976" i="24"/>
  <c r="G1975" i="24"/>
  <c r="G1974" i="24"/>
  <c r="G1973" i="24"/>
  <c r="G1972" i="24"/>
  <c r="G1971" i="24"/>
  <c r="G1970" i="24"/>
  <c r="G1969" i="24"/>
  <c r="G1968" i="24"/>
  <c r="G1967" i="24"/>
  <c r="G1966" i="24"/>
  <c r="G1965" i="24"/>
  <c r="G1964" i="24"/>
  <c r="G1963" i="24"/>
  <c r="G1962" i="24"/>
  <c r="G1961" i="24"/>
  <c r="G1960" i="24"/>
  <c r="G1959" i="24"/>
  <c r="G1958" i="24"/>
  <c r="G1957" i="24"/>
  <c r="G1956" i="24"/>
  <c r="G1955" i="24"/>
  <c r="G1954" i="24"/>
  <c r="G1953" i="24"/>
  <c r="G1952" i="24"/>
  <c r="G1951" i="24"/>
  <c r="G1950" i="24"/>
  <c r="G1949" i="24"/>
  <c r="G1948" i="24"/>
  <c r="G1947" i="24"/>
  <c r="G1946" i="24"/>
  <c r="G1945" i="24"/>
  <c r="G1944" i="24"/>
  <c r="G1943" i="24"/>
  <c r="G1942" i="24"/>
  <c r="G1941" i="24"/>
  <c r="G1940" i="24"/>
  <c r="G1939" i="24"/>
  <c r="G1938" i="24"/>
  <c r="G1937" i="24"/>
  <c r="G1936" i="24"/>
  <c r="G1935" i="24"/>
  <c r="G1934" i="24"/>
  <c r="G1933" i="24"/>
  <c r="G1932" i="24"/>
  <c r="G1931" i="24"/>
  <c r="G1930" i="24"/>
  <c r="G1929" i="24"/>
  <c r="G1928" i="24"/>
  <c r="G1927" i="24"/>
  <c r="G1926" i="24"/>
  <c r="G1925" i="24"/>
  <c r="G1924" i="24"/>
  <c r="G1923" i="24"/>
  <c r="G1922" i="24"/>
  <c r="G1921" i="24"/>
  <c r="G1920" i="24"/>
  <c r="G1919" i="24"/>
  <c r="G1918" i="24"/>
  <c r="G1917" i="24"/>
  <c r="G1916" i="24"/>
  <c r="G1915" i="24"/>
  <c r="G1914" i="24"/>
  <c r="G1913" i="24"/>
  <c r="G1912" i="24"/>
  <c r="G1911" i="24"/>
  <c r="G1910" i="24"/>
  <c r="G1909" i="24"/>
  <c r="G1908" i="24"/>
  <c r="G1907" i="24"/>
  <c r="G1906" i="24"/>
  <c r="G1905" i="24"/>
  <c r="G1904" i="24"/>
  <c r="G1903" i="24"/>
  <c r="G1902" i="24"/>
  <c r="G1901" i="24"/>
  <c r="G1900" i="24"/>
  <c r="G1899" i="24"/>
  <c r="G1898" i="24"/>
  <c r="G1897" i="24"/>
  <c r="G1896" i="24"/>
  <c r="G1895" i="24"/>
  <c r="G1894" i="24"/>
  <c r="G1893" i="24"/>
  <c r="G1892" i="24"/>
  <c r="G1891" i="24"/>
  <c r="G1890" i="24"/>
  <c r="G1889" i="24"/>
  <c r="G1888" i="24"/>
  <c r="G1887" i="24"/>
  <c r="G1886" i="24"/>
  <c r="G1885" i="24"/>
  <c r="G1884" i="24"/>
  <c r="G1883" i="24"/>
  <c r="G1882" i="24"/>
  <c r="G1881" i="24"/>
  <c r="G1880" i="24"/>
  <c r="G1879" i="24"/>
  <c r="G1878" i="24"/>
  <c r="G1877" i="24"/>
  <c r="G1876" i="24"/>
  <c r="G1875" i="24"/>
  <c r="G1874" i="24"/>
  <c r="G1873" i="24"/>
  <c r="G1872" i="24"/>
  <c r="G1871" i="24"/>
  <c r="G1870" i="24"/>
  <c r="G1869" i="24"/>
  <c r="G1868" i="24"/>
  <c r="G1867" i="24"/>
  <c r="G1866" i="24"/>
  <c r="G1865" i="24"/>
  <c r="G1864" i="24"/>
  <c r="G1863" i="24"/>
  <c r="G1862" i="24"/>
  <c r="G1861" i="24"/>
  <c r="G1860" i="24"/>
  <c r="G1859" i="24"/>
  <c r="G1858" i="24"/>
  <c r="G1857" i="24"/>
  <c r="G1856" i="24"/>
  <c r="G1855" i="24"/>
  <c r="G1854" i="24"/>
  <c r="G1853" i="24"/>
  <c r="G1852" i="24"/>
  <c r="G1851" i="24"/>
  <c r="G1850" i="24"/>
  <c r="G1849" i="24"/>
  <c r="G1848" i="24"/>
  <c r="G1847" i="24"/>
  <c r="G1846" i="24"/>
  <c r="G1845" i="24"/>
  <c r="G1844" i="24"/>
  <c r="G1843" i="24"/>
  <c r="G1842" i="24"/>
  <c r="G1841" i="24"/>
  <c r="G1840" i="24"/>
  <c r="G1839" i="24"/>
  <c r="G1838" i="24"/>
  <c r="G1837" i="24"/>
  <c r="G1836" i="24"/>
  <c r="G1835" i="24"/>
  <c r="G1834" i="24"/>
  <c r="G1833" i="24"/>
  <c r="G1832" i="24"/>
  <c r="G1831" i="24"/>
  <c r="G1830" i="24"/>
  <c r="G1829" i="24"/>
  <c r="G1828" i="24"/>
  <c r="G1827" i="24"/>
  <c r="G1826" i="24"/>
  <c r="G1825" i="24"/>
  <c r="G1824" i="24"/>
  <c r="G1823" i="24"/>
  <c r="G1822" i="24"/>
  <c r="G1821" i="24"/>
  <c r="G1820" i="24"/>
  <c r="G1819" i="24"/>
  <c r="G1818" i="24"/>
  <c r="G1817" i="24"/>
  <c r="G1816" i="24"/>
  <c r="G1815" i="24"/>
  <c r="G1814" i="24"/>
  <c r="G1813" i="24"/>
  <c r="G1812" i="24"/>
  <c r="G1811" i="24"/>
  <c r="G1810" i="24"/>
  <c r="G1809" i="24"/>
  <c r="G1808" i="24"/>
  <c r="G1807" i="24"/>
  <c r="G1806" i="24"/>
  <c r="G1805" i="24"/>
  <c r="G1804" i="24"/>
  <c r="G1803" i="24"/>
  <c r="G1802" i="24"/>
  <c r="G1801" i="24"/>
  <c r="G1800" i="24"/>
  <c r="G1799" i="24"/>
  <c r="G1798" i="24"/>
  <c r="G1797" i="24"/>
  <c r="G1796" i="24"/>
  <c r="G1795" i="24"/>
  <c r="G1794" i="24"/>
  <c r="G1793" i="24"/>
  <c r="G1792" i="24"/>
  <c r="G1791" i="24"/>
  <c r="G1790" i="24"/>
  <c r="G1789" i="24"/>
  <c r="G1788" i="24"/>
  <c r="G1787" i="24"/>
  <c r="G1786" i="24"/>
  <c r="G1785" i="24"/>
  <c r="G1784" i="24"/>
  <c r="G1783" i="24"/>
  <c r="G1782" i="24"/>
  <c r="G1781" i="24"/>
  <c r="G1780" i="24"/>
  <c r="G1779" i="24"/>
  <c r="G1778" i="24"/>
  <c r="G1777" i="24"/>
  <c r="G1776" i="24"/>
  <c r="G1775" i="24"/>
  <c r="G1774" i="24"/>
  <c r="G1773" i="24"/>
  <c r="G1772" i="24"/>
  <c r="G1771" i="24"/>
  <c r="G1770" i="24"/>
  <c r="G1769" i="24"/>
  <c r="G1768" i="24"/>
  <c r="G1767" i="24"/>
  <c r="G1766" i="24"/>
  <c r="G1765" i="24"/>
  <c r="G1764" i="24"/>
  <c r="G1763" i="24"/>
  <c r="G1762" i="24"/>
  <c r="G1761" i="24"/>
  <c r="G1760" i="24"/>
  <c r="G1759" i="24"/>
  <c r="G1758" i="24"/>
  <c r="G1757" i="24"/>
  <c r="G1756" i="24"/>
  <c r="G1755" i="24"/>
  <c r="G1754" i="24"/>
  <c r="G1753" i="24"/>
  <c r="G1752" i="24"/>
  <c r="G1751" i="24"/>
  <c r="G1750" i="24"/>
  <c r="G1749" i="24"/>
  <c r="G1748" i="24"/>
  <c r="G1747" i="24"/>
  <c r="G1746" i="24"/>
  <c r="G1745" i="24"/>
  <c r="G1744" i="24"/>
  <c r="G1743" i="24"/>
  <c r="G1742" i="24"/>
  <c r="G1741" i="24"/>
  <c r="G1740" i="24"/>
  <c r="G1739" i="24"/>
  <c r="G1738" i="24"/>
  <c r="G1737" i="24"/>
  <c r="G1736" i="24"/>
  <c r="G1735" i="24"/>
  <c r="G1734" i="24"/>
  <c r="G1733" i="24"/>
  <c r="G1732" i="24"/>
  <c r="G1731" i="24"/>
  <c r="G1730" i="24"/>
  <c r="G1729" i="24"/>
  <c r="G1728" i="24"/>
  <c r="G1727" i="24"/>
  <c r="G1726" i="24"/>
  <c r="G1725" i="24"/>
  <c r="G1724" i="24"/>
  <c r="G1723" i="24"/>
  <c r="G1722" i="24"/>
  <c r="G1721" i="24"/>
  <c r="G1720" i="24"/>
  <c r="G1719" i="24"/>
  <c r="G1718" i="24"/>
  <c r="G1717" i="24"/>
  <c r="G1716" i="24"/>
  <c r="G1715" i="24"/>
  <c r="G1714" i="24"/>
  <c r="G1713" i="24"/>
  <c r="G1712" i="24"/>
  <c r="G1711" i="24"/>
  <c r="G1710" i="24"/>
  <c r="G1709" i="24"/>
  <c r="G1708" i="24"/>
  <c r="G1707" i="24"/>
  <c r="G1706" i="24"/>
  <c r="G1705" i="24"/>
  <c r="G1704" i="24"/>
  <c r="G1703" i="24"/>
  <c r="G1702" i="24"/>
  <c r="G1701" i="24"/>
  <c r="G1700" i="24"/>
  <c r="G1699" i="24"/>
  <c r="G1698" i="24"/>
  <c r="G1697" i="24"/>
  <c r="G1696" i="24"/>
  <c r="G1695" i="24"/>
  <c r="G1694" i="24"/>
  <c r="G1693" i="24"/>
  <c r="G1692" i="24"/>
  <c r="G1691" i="24"/>
  <c r="G1690" i="24"/>
  <c r="G1689" i="24"/>
  <c r="G1688" i="24"/>
  <c r="G1687" i="24"/>
  <c r="G1686" i="24"/>
  <c r="G1685" i="24"/>
  <c r="G1684" i="24"/>
  <c r="G1683" i="24"/>
  <c r="G1682" i="24"/>
  <c r="G1681" i="24"/>
  <c r="G1680" i="24"/>
  <c r="G1679" i="24"/>
  <c r="G1678" i="24"/>
  <c r="G1677" i="24"/>
  <c r="G1676" i="24"/>
  <c r="G1675" i="24"/>
  <c r="G1674" i="24"/>
  <c r="G1673" i="24"/>
  <c r="G1672" i="24"/>
  <c r="G1671" i="24"/>
  <c r="G1670" i="24"/>
  <c r="G1669" i="24"/>
  <c r="G1668" i="24"/>
  <c r="G1667" i="24"/>
  <c r="G1666" i="24"/>
  <c r="G1665" i="24"/>
  <c r="G1664" i="24"/>
  <c r="G1663" i="24"/>
  <c r="G1662" i="24"/>
  <c r="G1661" i="24"/>
  <c r="G1660" i="24"/>
  <c r="G1659" i="24"/>
  <c r="G1658" i="24"/>
  <c r="G1657" i="24"/>
  <c r="G1656" i="24"/>
  <c r="G1655" i="24"/>
  <c r="G1654" i="24"/>
  <c r="G1653" i="24"/>
  <c r="G1652" i="24"/>
  <c r="G1651" i="24"/>
  <c r="G1650" i="24"/>
  <c r="G1649" i="24"/>
  <c r="G1648" i="24"/>
  <c r="G1647" i="24"/>
  <c r="G1646" i="24"/>
  <c r="G1645" i="24"/>
  <c r="G1644" i="24"/>
  <c r="G1643" i="24"/>
  <c r="G1642" i="24"/>
  <c r="G1641" i="24"/>
  <c r="G1640" i="24"/>
  <c r="G1639" i="24"/>
  <c r="G1638" i="24"/>
  <c r="G1637" i="24"/>
  <c r="G1636" i="24"/>
  <c r="G1635" i="24"/>
  <c r="G1634" i="24"/>
  <c r="G1633" i="24"/>
  <c r="G1632" i="24"/>
  <c r="G1631" i="24"/>
  <c r="G1630" i="24"/>
  <c r="G1629" i="24"/>
  <c r="G1628" i="24"/>
  <c r="G1627" i="24"/>
  <c r="G1626" i="24"/>
  <c r="G1625" i="24"/>
  <c r="G1624" i="24"/>
  <c r="G1623" i="24"/>
  <c r="G1622" i="24"/>
  <c r="G1621" i="24"/>
  <c r="G1620" i="24"/>
  <c r="G1619" i="24"/>
  <c r="G1618" i="24"/>
  <c r="G1617" i="24"/>
  <c r="G1616" i="24"/>
  <c r="G1615" i="24"/>
  <c r="G1614" i="24"/>
  <c r="G1613" i="24"/>
  <c r="G1612" i="24"/>
  <c r="G1611" i="24"/>
  <c r="G1610" i="24"/>
  <c r="G1609" i="24"/>
  <c r="G1608" i="24"/>
  <c r="G1607" i="24"/>
  <c r="G1606" i="24"/>
  <c r="G1605" i="24"/>
  <c r="G1604" i="24"/>
  <c r="G1603" i="24"/>
  <c r="G1602" i="24"/>
  <c r="G1601" i="24"/>
  <c r="G1600" i="24"/>
  <c r="G1599" i="24"/>
  <c r="G1598" i="24"/>
  <c r="G1597" i="24"/>
  <c r="G1596" i="24"/>
  <c r="G1595" i="24"/>
  <c r="G1594" i="24"/>
  <c r="G1593" i="24"/>
  <c r="G1592" i="24"/>
  <c r="G1591" i="24"/>
  <c r="G1590" i="24"/>
  <c r="G1589" i="24"/>
  <c r="G1588" i="24"/>
  <c r="G1587" i="24"/>
  <c r="G1586" i="24"/>
  <c r="G1585" i="24"/>
  <c r="G1584" i="24"/>
  <c r="G1583" i="24"/>
  <c r="G1582" i="24"/>
  <c r="G1581" i="24"/>
  <c r="G1580" i="24"/>
  <c r="G1579" i="24"/>
  <c r="G1578" i="24"/>
  <c r="G1577" i="24"/>
  <c r="G1576" i="24"/>
  <c r="G1575" i="24"/>
  <c r="G1574" i="24"/>
  <c r="G1573" i="24"/>
  <c r="G1572" i="24"/>
  <c r="G1571" i="24"/>
  <c r="G1570" i="24"/>
  <c r="G1569" i="24"/>
  <c r="G1568" i="24"/>
  <c r="G1567" i="24"/>
  <c r="G1566" i="24"/>
  <c r="G1565" i="24"/>
  <c r="G1564" i="24"/>
  <c r="G1563" i="24"/>
  <c r="G1562" i="24"/>
  <c r="G1561" i="24"/>
  <c r="G1560" i="24"/>
  <c r="G1559" i="24"/>
  <c r="G1558" i="24"/>
  <c r="G1557" i="24"/>
  <c r="G1556" i="24"/>
  <c r="G1555" i="24"/>
  <c r="G1554" i="24"/>
  <c r="G1553" i="24"/>
  <c r="G1552" i="24"/>
  <c r="G1551" i="24"/>
  <c r="G1550" i="24"/>
  <c r="G1549" i="24"/>
  <c r="G1548" i="24"/>
  <c r="G1547" i="24"/>
  <c r="G1546" i="24"/>
  <c r="G1545" i="24"/>
  <c r="G1544" i="24"/>
  <c r="G1543" i="24"/>
  <c r="G1542" i="24"/>
  <c r="G1541" i="24"/>
  <c r="G1540" i="24"/>
  <c r="G1539" i="24"/>
  <c r="G1538" i="24"/>
  <c r="G1537" i="24"/>
  <c r="G1536" i="24"/>
  <c r="G1535" i="24"/>
  <c r="G1534" i="24"/>
  <c r="G1533" i="24"/>
  <c r="G1532" i="24"/>
  <c r="G1531" i="24"/>
  <c r="G1530" i="24"/>
  <c r="G1529" i="24"/>
  <c r="G1528" i="24"/>
  <c r="G1527" i="24"/>
  <c r="G1526" i="24"/>
  <c r="G1525" i="24"/>
  <c r="G1524" i="24"/>
  <c r="G1523" i="24"/>
  <c r="G1522" i="24"/>
  <c r="G1521" i="24"/>
  <c r="G1520" i="24"/>
  <c r="G1519" i="24"/>
  <c r="G1518" i="24"/>
  <c r="G1517" i="24"/>
  <c r="G1516" i="24"/>
  <c r="G1515" i="24"/>
  <c r="G1514" i="24"/>
  <c r="G1513" i="24"/>
  <c r="G1512" i="24"/>
  <c r="G1511" i="24"/>
  <c r="G1510" i="24"/>
  <c r="G1509" i="24"/>
  <c r="G1508" i="24"/>
  <c r="G1507" i="24"/>
  <c r="G1506" i="24"/>
  <c r="G1505" i="24"/>
  <c r="G1504" i="24"/>
  <c r="G1503" i="24"/>
  <c r="G1502" i="24"/>
  <c r="G1501" i="24"/>
  <c r="G1500" i="24"/>
  <c r="G1499" i="24"/>
  <c r="G1498" i="24"/>
  <c r="G1497" i="24"/>
  <c r="G1496" i="24"/>
  <c r="G1495" i="24"/>
  <c r="G1494" i="24"/>
  <c r="G1493" i="24"/>
  <c r="G1492" i="24"/>
  <c r="G1491" i="24"/>
  <c r="G1490" i="24"/>
  <c r="G1489" i="24"/>
  <c r="G1488" i="24"/>
  <c r="G1487" i="24"/>
  <c r="G1486" i="24"/>
  <c r="G1485" i="24"/>
  <c r="G1484" i="24"/>
  <c r="G1483" i="24"/>
  <c r="G1482" i="24"/>
  <c r="G1481" i="24"/>
  <c r="G1480" i="24"/>
  <c r="G1479" i="24"/>
  <c r="G1478" i="24"/>
  <c r="G1477" i="24"/>
  <c r="G1476" i="24"/>
  <c r="G1475" i="24"/>
  <c r="G1474" i="24"/>
  <c r="G1473" i="24"/>
  <c r="G1472" i="24"/>
  <c r="G1471" i="24"/>
  <c r="G1470" i="24"/>
  <c r="G1469" i="24"/>
  <c r="G1468" i="24"/>
  <c r="G1467" i="24"/>
  <c r="G1466" i="24"/>
  <c r="G1465" i="24"/>
  <c r="G1464" i="24"/>
  <c r="G1463" i="24"/>
  <c r="G1462" i="24"/>
  <c r="G1461" i="24"/>
  <c r="G1460" i="24"/>
  <c r="G1459" i="24"/>
  <c r="G1458" i="24"/>
  <c r="G1457" i="24"/>
  <c r="G1456" i="24"/>
  <c r="G1455" i="24"/>
  <c r="G1454" i="24"/>
  <c r="G1453" i="24"/>
  <c r="G1452" i="24"/>
  <c r="G1451" i="24"/>
  <c r="G1450" i="24"/>
  <c r="G1449" i="24"/>
  <c r="G1448" i="24"/>
  <c r="G1447" i="24"/>
  <c r="G1446" i="24"/>
  <c r="G1445" i="24"/>
  <c r="G1444" i="24"/>
  <c r="G1443" i="24"/>
  <c r="G1442" i="24"/>
  <c r="G1441" i="24"/>
  <c r="G1440" i="24"/>
  <c r="G1439" i="24"/>
  <c r="G1438" i="24"/>
  <c r="G1437" i="24"/>
  <c r="G1436" i="24"/>
  <c r="G1435" i="24"/>
  <c r="G1434" i="24"/>
  <c r="G1433" i="24"/>
  <c r="G1432" i="24"/>
  <c r="G1431" i="24"/>
  <c r="G1430" i="24"/>
  <c r="G1429" i="24"/>
  <c r="G1428" i="24"/>
  <c r="G1427" i="24"/>
  <c r="G1426" i="24"/>
  <c r="G1425" i="24"/>
  <c r="G1424" i="24"/>
  <c r="G1423" i="24"/>
  <c r="G1422" i="24"/>
  <c r="G1421" i="24"/>
  <c r="G1420" i="24"/>
  <c r="G1419" i="24"/>
  <c r="G1418" i="24"/>
  <c r="G1417" i="24"/>
  <c r="G1416" i="24"/>
  <c r="G1415" i="24"/>
  <c r="G1414" i="24"/>
  <c r="G1413" i="24"/>
  <c r="G1412" i="24"/>
  <c r="G1411" i="24"/>
  <c r="G1410" i="24"/>
  <c r="G1409" i="24"/>
  <c r="G1408" i="24"/>
  <c r="G1407" i="24"/>
  <c r="G1406" i="24"/>
  <c r="G1405" i="24"/>
  <c r="G1404" i="24"/>
  <c r="G1403" i="24"/>
  <c r="G1402" i="24"/>
  <c r="G1401" i="24"/>
  <c r="G1400" i="24"/>
  <c r="G1399" i="24"/>
  <c r="G1398" i="24"/>
  <c r="G1397" i="24"/>
  <c r="G1396" i="24"/>
  <c r="G1395" i="24"/>
  <c r="G1394" i="24"/>
  <c r="G1393" i="24"/>
  <c r="G1392" i="24"/>
  <c r="G1391" i="24"/>
  <c r="G1390" i="24"/>
  <c r="G1389" i="24"/>
  <c r="G1388" i="24"/>
  <c r="G1387" i="24"/>
  <c r="G1386" i="24"/>
  <c r="G1385" i="24"/>
  <c r="G1384" i="24"/>
  <c r="G1383" i="24"/>
  <c r="G1382" i="24"/>
  <c r="G1381" i="24"/>
  <c r="G1380" i="24"/>
  <c r="G1379" i="24"/>
  <c r="G1378" i="24"/>
  <c r="G1377" i="24"/>
  <c r="G1376" i="24"/>
  <c r="G1375" i="24"/>
  <c r="G1374" i="24"/>
  <c r="G1373" i="24"/>
  <c r="G1372" i="24"/>
  <c r="G1371" i="24"/>
  <c r="G1370" i="24"/>
  <c r="G1369" i="24"/>
  <c r="G1368" i="24"/>
  <c r="G1367" i="24"/>
  <c r="G1366" i="24"/>
  <c r="G1365" i="24"/>
  <c r="G1364" i="24"/>
  <c r="G1363" i="24"/>
  <c r="G1362" i="24"/>
  <c r="G1361" i="24"/>
  <c r="G1360" i="24"/>
  <c r="G1359" i="24"/>
  <c r="G1358" i="24"/>
  <c r="G1357" i="24"/>
  <c r="G1356" i="24"/>
  <c r="G1355" i="24"/>
  <c r="G1354" i="24"/>
  <c r="G1353" i="24"/>
  <c r="G1352" i="24"/>
  <c r="G1351" i="24"/>
  <c r="G1350" i="24"/>
  <c r="G1349" i="24"/>
  <c r="G1348" i="24"/>
  <c r="G1347" i="24"/>
  <c r="G1346" i="24"/>
  <c r="G1345" i="24"/>
  <c r="G1344" i="24"/>
  <c r="G1343" i="24"/>
  <c r="G1342" i="24"/>
  <c r="G1341" i="24"/>
  <c r="G1340" i="24"/>
  <c r="G1339" i="24"/>
  <c r="G1338" i="24"/>
  <c r="G1337" i="24"/>
  <c r="G1336" i="24"/>
  <c r="G1335" i="24"/>
  <c r="G1334" i="24"/>
  <c r="G1333" i="24"/>
  <c r="G1332" i="24"/>
  <c r="G1331" i="24"/>
  <c r="G1330" i="24"/>
  <c r="G1329" i="24"/>
  <c r="G1328" i="24"/>
  <c r="G1327" i="24"/>
  <c r="G1326" i="24"/>
  <c r="G1325" i="24"/>
  <c r="G1324" i="24"/>
  <c r="G1323" i="24"/>
  <c r="G1322" i="24"/>
  <c r="G1321" i="24"/>
  <c r="G1320" i="24"/>
  <c r="G1319" i="24"/>
  <c r="G1318" i="24"/>
  <c r="G1317" i="24"/>
  <c r="G1316" i="24"/>
  <c r="G1315" i="24"/>
  <c r="G1314" i="24"/>
  <c r="G1313" i="24"/>
  <c r="G1312" i="24"/>
  <c r="G1311" i="24"/>
  <c r="G1310" i="24"/>
  <c r="G1309" i="24"/>
  <c r="G1308" i="24"/>
  <c r="G1307" i="24"/>
  <c r="G1306" i="24"/>
  <c r="G1305" i="24"/>
  <c r="G1304" i="24"/>
  <c r="G1303" i="24"/>
  <c r="G1302" i="24"/>
  <c r="G1301" i="24"/>
  <c r="G1300" i="24"/>
  <c r="G1299" i="24"/>
  <c r="G1298" i="24"/>
  <c r="G1297" i="24"/>
  <c r="G1296" i="24"/>
  <c r="G1295" i="24"/>
  <c r="G1294" i="24"/>
  <c r="G1293" i="24"/>
  <c r="G1292" i="24"/>
  <c r="G1291" i="24"/>
  <c r="G1290" i="24"/>
  <c r="G1289" i="24"/>
  <c r="G1288" i="24"/>
  <c r="G1287" i="24"/>
  <c r="G1286" i="24"/>
  <c r="G1285" i="24"/>
  <c r="G1284" i="24"/>
  <c r="G1283" i="24"/>
  <c r="G1282" i="24"/>
  <c r="G1281" i="24"/>
  <c r="G1280" i="24"/>
  <c r="G1279" i="24"/>
  <c r="G1278" i="24"/>
  <c r="G1277" i="24"/>
  <c r="G1276" i="24"/>
  <c r="G1275" i="24"/>
  <c r="G1274" i="24"/>
  <c r="G1273" i="24"/>
  <c r="G1272" i="24"/>
  <c r="G1271" i="24"/>
  <c r="G1270" i="24"/>
  <c r="G1269" i="24"/>
  <c r="G1268" i="24"/>
  <c r="G1267" i="24"/>
  <c r="G1266" i="24"/>
  <c r="G1265" i="24"/>
  <c r="G1264" i="24"/>
  <c r="G1263" i="24"/>
  <c r="G1262" i="24"/>
  <c r="G1261" i="24"/>
  <c r="G1260" i="24"/>
  <c r="G1259" i="24"/>
  <c r="G1258" i="24"/>
  <c r="G1257" i="24"/>
  <c r="G1256" i="24"/>
  <c r="G1255" i="24"/>
  <c r="G1254" i="24"/>
  <c r="G1253" i="24"/>
  <c r="G1252" i="24"/>
  <c r="G1251" i="24"/>
  <c r="G1250" i="24"/>
  <c r="G1249" i="24"/>
  <c r="G1248" i="24"/>
  <c r="G1247" i="24"/>
  <c r="G1246" i="24"/>
  <c r="G1245" i="24"/>
  <c r="G1244" i="24"/>
  <c r="G1243" i="24"/>
  <c r="G1242" i="24"/>
  <c r="G1241" i="24"/>
  <c r="G1240" i="24"/>
  <c r="G1239" i="24"/>
  <c r="G1238" i="24"/>
  <c r="G1237" i="24"/>
  <c r="G1236" i="24"/>
  <c r="G1235" i="24"/>
  <c r="G1234" i="24"/>
  <c r="G1233" i="24"/>
  <c r="G1232" i="24"/>
  <c r="G1231" i="24"/>
  <c r="G1230" i="24"/>
  <c r="G1229" i="24"/>
  <c r="G1228" i="24"/>
  <c r="G1227" i="24"/>
  <c r="G1226" i="24"/>
  <c r="G1225" i="24"/>
  <c r="G1224" i="24"/>
  <c r="G1223" i="24"/>
  <c r="G1222" i="24"/>
  <c r="G1221" i="24"/>
  <c r="G1220" i="24"/>
  <c r="G1219" i="24"/>
  <c r="G1218" i="24"/>
  <c r="G1217" i="24"/>
  <c r="G1216" i="24"/>
  <c r="G1215" i="24"/>
  <c r="G1214" i="24"/>
  <c r="G1213" i="24"/>
  <c r="G1212" i="24"/>
  <c r="G1211" i="24"/>
  <c r="G1210" i="24"/>
  <c r="G1209" i="24"/>
  <c r="G1208" i="24"/>
  <c r="G1207" i="24"/>
  <c r="G1206" i="24"/>
  <c r="G1205" i="24"/>
  <c r="G1204" i="24"/>
  <c r="G1203" i="24"/>
  <c r="G1202" i="24"/>
  <c r="G1201" i="24"/>
  <c r="G1200" i="24"/>
  <c r="G1199" i="24"/>
  <c r="G1198" i="24"/>
  <c r="G1197" i="24"/>
  <c r="G1196" i="24"/>
  <c r="G1195" i="24"/>
  <c r="G1194" i="24"/>
  <c r="G1193" i="24"/>
  <c r="G1192" i="24"/>
  <c r="G1191" i="24"/>
  <c r="G1190" i="24"/>
  <c r="G1189" i="24"/>
  <c r="G1188" i="24"/>
  <c r="G1187" i="24"/>
  <c r="G1186" i="24"/>
  <c r="G1185" i="24"/>
  <c r="G1184" i="24"/>
  <c r="G1183" i="24"/>
  <c r="G1182" i="24"/>
  <c r="G1181" i="24"/>
  <c r="G1180" i="24"/>
  <c r="G1179" i="24"/>
  <c r="G1178" i="24"/>
  <c r="G1177" i="24"/>
  <c r="G1176" i="24"/>
  <c r="G1175" i="24"/>
  <c r="G1174" i="24"/>
  <c r="G1173" i="24"/>
  <c r="G1172" i="24"/>
  <c r="G1171" i="24"/>
  <c r="G1170" i="24"/>
  <c r="G1169" i="24"/>
  <c r="G1168" i="24"/>
  <c r="G1167" i="24"/>
  <c r="G1166" i="24"/>
  <c r="G1165" i="24"/>
  <c r="G1164" i="24"/>
  <c r="G1163" i="24"/>
  <c r="G1162" i="24"/>
  <c r="G1161" i="24"/>
  <c r="G1160" i="24"/>
  <c r="G1159" i="24"/>
  <c r="G1158" i="24"/>
  <c r="G1157" i="24"/>
  <c r="G1156" i="24"/>
  <c r="G1155" i="24"/>
  <c r="G1154" i="24"/>
  <c r="G1153" i="24"/>
  <c r="G1152" i="24"/>
  <c r="G1151" i="24"/>
  <c r="G1150" i="24"/>
  <c r="G1149" i="24"/>
  <c r="G1148" i="24"/>
  <c r="G1147" i="24"/>
  <c r="G1146" i="24"/>
  <c r="G1145" i="24"/>
  <c r="G1144" i="24"/>
  <c r="G1143" i="24"/>
  <c r="G1142" i="24"/>
  <c r="G1141" i="24"/>
  <c r="G1140" i="24"/>
  <c r="G1139" i="24"/>
  <c r="G1138" i="24"/>
  <c r="G1137" i="24"/>
  <c r="G1136" i="24"/>
  <c r="G1135" i="24"/>
  <c r="G1134" i="24"/>
  <c r="G1133" i="24"/>
  <c r="G1132" i="24"/>
  <c r="G1131" i="24"/>
  <c r="G1130" i="24"/>
  <c r="G1129" i="24"/>
  <c r="G1128" i="24"/>
  <c r="G1127" i="24"/>
  <c r="G1126" i="24"/>
  <c r="G1125" i="24"/>
  <c r="G1124" i="24"/>
  <c r="G1123" i="24"/>
  <c r="G1122" i="24"/>
  <c r="G1121" i="24"/>
  <c r="G1120" i="24"/>
  <c r="G1119" i="24"/>
  <c r="G1118" i="24"/>
  <c r="G1117" i="24"/>
  <c r="G1116" i="24"/>
  <c r="G1115" i="24"/>
  <c r="G1114" i="24"/>
  <c r="G1113" i="24"/>
  <c r="G1112" i="24"/>
  <c r="G1111" i="24"/>
  <c r="G1110" i="24"/>
  <c r="G1109" i="24"/>
  <c r="G1108" i="24"/>
  <c r="G1107" i="24"/>
  <c r="G1106" i="24"/>
  <c r="G1105" i="24"/>
  <c r="G1104" i="24"/>
  <c r="G1103" i="24"/>
  <c r="G1102" i="24"/>
  <c r="G1101" i="24"/>
  <c r="G1100" i="24"/>
  <c r="G1099" i="24"/>
  <c r="G1098" i="24"/>
  <c r="G1097" i="24"/>
  <c r="G1096" i="24"/>
  <c r="G1095" i="24"/>
  <c r="G1094" i="24"/>
  <c r="G1093" i="24"/>
  <c r="G1092" i="24"/>
  <c r="G1091" i="24"/>
  <c r="G1090" i="24"/>
  <c r="G1089" i="24"/>
  <c r="G1088" i="24"/>
  <c r="G1087" i="24"/>
  <c r="G1086" i="24"/>
  <c r="G1085" i="24"/>
  <c r="G1084" i="24"/>
  <c r="G1083" i="24"/>
  <c r="G1082" i="24"/>
  <c r="G1081" i="24"/>
  <c r="G1080" i="24"/>
  <c r="G1079" i="24"/>
  <c r="G1078" i="24"/>
  <c r="G1077" i="24"/>
  <c r="G1076" i="24"/>
  <c r="G1075" i="24"/>
  <c r="G1074" i="24"/>
  <c r="G1073" i="24"/>
  <c r="G1072" i="24"/>
  <c r="G1071" i="24"/>
  <c r="G1070" i="24"/>
  <c r="G1069" i="24"/>
  <c r="G1068" i="24"/>
  <c r="G1067" i="24"/>
  <c r="G1066" i="24"/>
  <c r="G1065" i="24"/>
  <c r="G1064" i="24"/>
  <c r="G1063" i="24"/>
  <c r="G1062" i="24"/>
  <c r="G1061" i="24"/>
  <c r="G1060" i="24"/>
  <c r="G1059" i="24"/>
  <c r="G1058" i="24"/>
  <c r="G1057" i="24"/>
  <c r="G1056" i="24"/>
  <c r="G1055" i="24"/>
  <c r="G1054" i="24"/>
  <c r="G1053" i="24"/>
  <c r="G1052" i="24"/>
  <c r="G1051" i="24"/>
  <c r="G1050" i="24"/>
  <c r="G1049" i="24"/>
  <c r="G1048" i="24"/>
  <c r="G1047" i="24"/>
  <c r="G1046" i="24"/>
  <c r="G1045" i="24"/>
  <c r="G1044" i="24"/>
  <c r="G1043" i="24"/>
  <c r="G1042" i="24"/>
  <c r="G1041" i="24"/>
  <c r="G1040" i="24"/>
  <c r="G1039" i="24"/>
  <c r="G1038" i="24"/>
  <c r="G1037" i="24"/>
  <c r="G1036" i="24"/>
  <c r="G1035" i="24"/>
  <c r="G1034" i="24"/>
  <c r="G1033" i="24"/>
  <c r="G1032" i="24"/>
  <c r="G1031" i="24"/>
  <c r="G1030" i="24"/>
  <c r="G1029" i="24"/>
  <c r="G1028" i="24"/>
  <c r="G1027" i="24"/>
  <c r="G1026" i="24"/>
  <c r="G1025" i="24"/>
  <c r="G1024" i="24"/>
  <c r="G1023" i="24"/>
  <c r="G1022" i="24"/>
  <c r="G1021" i="24"/>
  <c r="G1020" i="24"/>
  <c r="G1019" i="24"/>
  <c r="G1018" i="24"/>
  <c r="G1017" i="24"/>
  <c r="G1016" i="24"/>
  <c r="G1015" i="24"/>
  <c r="G1014" i="24"/>
  <c r="G1013" i="24"/>
  <c r="G1012" i="24"/>
  <c r="G1011" i="24"/>
  <c r="G1010" i="24"/>
  <c r="G1009" i="24"/>
  <c r="G1008" i="24"/>
  <c r="G1007" i="24"/>
  <c r="G1006" i="24"/>
  <c r="G1005" i="24"/>
  <c r="G1004" i="24"/>
  <c r="G1003" i="24"/>
  <c r="G1002" i="24"/>
  <c r="G1001" i="24"/>
  <c r="G1000" i="24"/>
  <c r="G999" i="24"/>
  <c r="G998" i="24"/>
  <c r="G997" i="24"/>
  <c r="G996" i="24"/>
  <c r="G995" i="24"/>
  <c r="G994" i="24"/>
  <c r="G993" i="24"/>
  <c r="G992" i="24"/>
  <c r="G991" i="24"/>
  <c r="G990" i="24"/>
  <c r="G989" i="24"/>
  <c r="G988" i="24"/>
  <c r="G987" i="24"/>
  <c r="G986" i="24"/>
  <c r="G985" i="24"/>
  <c r="G984" i="24"/>
  <c r="G983" i="24"/>
  <c r="G982" i="24"/>
  <c r="G981" i="24"/>
  <c r="G980" i="24"/>
  <c r="G979" i="24"/>
  <c r="G978" i="24"/>
  <c r="G977" i="24"/>
  <c r="G976" i="24"/>
  <c r="G975" i="24"/>
  <c r="G974" i="24"/>
  <c r="G973" i="24"/>
  <c r="G972" i="24"/>
  <c r="G971" i="24"/>
  <c r="G970" i="24"/>
  <c r="G969" i="24"/>
  <c r="G968" i="24"/>
  <c r="G967" i="24"/>
  <c r="G966" i="24"/>
  <c r="G965" i="24"/>
  <c r="G964" i="24"/>
  <c r="G963" i="24"/>
  <c r="G962" i="24"/>
  <c r="G961" i="24"/>
  <c r="G960" i="24"/>
  <c r="G959" i="24"/>
  <c r="G958" i="24"/>
  <c r="G957" i="24"/>
  <c r="G956" i="24"/>
  <c r="G955" i="24"/>
  <c r="G954" i="24"/>
  <c r="G953" i="24"/>
  <c r="G952" i="24"/>
  <c r="G951" i="24"/>
  <c r="G950" i="24"/>
  <c r="G949" i="24"/>
  <c r="G948" i="24"/>
  <c r="G947" i="24"/>
  <c r="G946" i="24"/>
  <c r="G945" i="24"/>
  <c r="G944" i="24"/>
  <c r="G943" i="24"/>
  <c r="G942" i="24"/>
  <c r="G941" i="24"/>
  <c r="G940" i="24"/>
  <c r="G939" i="24"/>
  <c r="G938" i="24"/>
  <c r="G937" i="24"/>
  <c r="G936" i="24"/>
  <c r="G935" i="24"/>
  <c r="G934" i="24"/>
  <c r="G933" i="24"/>
  <c r="G932" i="24"/>
  <c r="G931" i="24"/>
  <c r="G930" i="24"/>
  <c r="G929" i="24"/>
  <c r="G928" i="24"/>
  <c r="G927" i="24"/>
  <c r="G926" i="24"/>
  <c r="G925" i="24"/>
  <c r="G924" i="24"/>
  <c r="G923" i="24"/>
  <c r="G922" i="24"/>
  <c r="G921" i="24"/>
  <c r="G920" i="24"/>
  <c r="G919" i="24"/>
  <c r="G918" i="24"/>
  <c r="G917" i="24"/>
  <c r="G916" i="24"/>
  <c r="G915" i="24"/>
  <c r="G914" i="24"/>
  <c r="G913" i="24"/>
  <c r="G912" i="24"/>
  <c r="G911" i="24"/>
  <c r="G910" i="24"/>
  <c r="G909" i="24"/>
  <c r="G908" i="24"/>
  <c r="G907" i="24"/>
  <c r="G906" i="24"/>
  <c r="G905" i="24"/>
  <c r="G904" i="24"/>
  <c r="G903" i="24"/>
  <c r="G902" i="24"/>
  <c r="G901" i="24"/>
  <c r="G900" i="24"/>
  <c r="G899" i="24"/>
  <c r="G898" i="24"/>
  <c r="G897" i="24"/>
  <c r="G896" i="24"/>
  <c r="G895" i="24"/>
  <c r="G894" i="24"/>
  <c r="G893" i="24"/>
  <c r="G892" i="24"/>
  <c r="G891" i="24"/>
  <c r="G890" i="24"/>
  <c r="G889" i="24"/>
  <c r="G888" i="24"/>
  <c r="G887" i="24"/>
  <c r="G886" i="24"/>
  <c r="G885" i="24"/>
  <c r="G884" i="24"/>
  <c r="G883" i="24"/>
  <c r="G882" i="24"/>
  <c r="G881" i="24"/>
  <c r="G880" i="24"/>
  <c r="G879" i="24"/>
  <c r="G878" i="24"/>
  <c r="G877" i="24"/>
  <c r="G876" i="24"/>
  <c r="G875" i="24"/>
  <c r="G874" i="24"/>
  <c r="G873" i="24"/>
  <c r="G872" i="24"/>
  <c r="G871" i="24"/>
  <c r="G870" i="24"/>
  <c r="G869" i="24"/>
  <c r="G868" i="24"/>
  <c r="G867" i="24"/>
  <c r="G866" i="24"/>
  <c r="G865" i="24"/>
  <c r="G864" i="24"/>
  <c r="G863" i="24"/>
  <c r="G862" i="24"/>
  <c r="G861" i="24"/>
  <c r="G860" i="24"/>
  <c r="G859" i="24"/>
  <c r="G858" i="24"/>
  <c r="G857" i="24"/>
  <c r="G856" i="24"/>
  <c r="G855" i="24"/>
  <c r="G854" i="24"/>
  <c r="G853" i="24"/>
  <c r="G852" i="24"/>
  <c r="G851" i="24"/>
  <c r="G850" i="24"/>
  <c r="G849" i="24"/>
  <c r="G848" i="24"/>
  <c r="G847" i="24"/>
  <c r="G846" i="24"/>
  <c r="G845" i="24"/>
  <c r="G844" i="24"/>
  <c r="G843" i="24"/>
  <c r="G842" i="24"/>
  <c r="G841" i="24"/>
  <c r="G840" i="24"/>
  <c r="G839" i="24"/>
  <c r="G838" i="24"/>
  <c r="G837" i="24"/>
  <c r="G836" i="24"/>
  <c r="G835" i="24"/>
  <c r="G834" i="24"/>
  <c r="G833" i="24"/>
  <c r="G832" i="24"/>
  <c r="G831" i="24"/>
  <c r="G830" i="24"/>
  <c r="G829" i="24"/>
  <c r="G828" i="24"/>
  <c r="G827" i="24"/>
  <c r="G826" i="24"/>
  <c r="G825" i="24"/>
  <c r="G824" i="24"/>
  <c r="G823" i="24"/>
  <c r="G822" i="24"/>
  <c r="G821" i="24"/>
  <c r="G820" i="24"/>
  <c r="G819" i="24"/>
  <c r="G818" i="24"/>
  <c r="G817" i="24"/>
  <c r="G816" i="24"/>
  <c r="G815" i="24"/>
  <c r="G814" i="24"/>
  <c r="G813" i="24"/>
  <c r="G812" i="24"/>
  <c r="G811" i="24"/>
  <c r="G810" i="24"/>
  <c r="G809" i="24"/>
  <c r="G808" i="24"/>
  <c r="G807" i="24"/>
  <c r="G806" i="24"/>
  <c r="G805" i="24"/>
  <c r="G804" i="24"/>
  <c r="G803" i="24"/>
  <c r="G802" i="24"/>
  <c r="G801" i="24"/>
  <c r="G800" i="24"/>
  <c r="G799" i="24"/>
  <c r="G798" i="24"/>
  <c r="G797" i="24"/>
  <c r="G796" i="24"/>
  <c r="G795" i="24"/>
  <c r="G794" i="24"/>
  <c r="G793" i="24"/>
  <c r="G792" i="24"/>
  <c r="G791" i="24"/>
  <c r="G790" i="24"/>
  <c r="G789" i="24"/>
  <c r="G788" i="24"/>
  <c r="G787" i="24"/>
  <c r="G786" i="24"/>
  <c r="G785" i="24"/>
  <c r="G784" i="24"/>
  <c r="G783" i="24"/>
  <c r="G782" i="24"/>
  <c r="G781" i="24"/>
  <c r="G780" i="24"/>
  <c r="G779" i="24"/>
  <c r="G778" i="24"/>
  <c r="G777" i="24"/>
  <c r="G776" i="24"/>
  <c r="G775" i="24"/>
  <c r="G774" i="24"/>
  <c r="G773" i="24"/>
  <c r="G772" i="24"/>
  <c r="G771" i="24"/>
  <c r="G770" i="24"/>
  <c r="G769" i="24"/>
  <c r="G768" i="24"/>
  <c r="G767" i="24"/>
  <c r="G766" i="24"/>
  <c r="G765" i="24"/>
  <c r="G764" i="24"/>
  <c r="G763" i="24"/>
  <c r="G762" i="24"/>
  <c r="G761" i="24"/>
  <c r="G760" i="24"/>
  <c r="G759" i="24"/>
  <c r="G758" i="24"/>
  <c r="G757" i="24"/>
  <c r="G756" i="24"/>
  <c r="G755" i="24"/>
  <c r="G754" i="24"/>
  <c r="G753" i="24"/>
  <c r="G752" i="24"/>
  <c r="G751" i="24"/>
  <c r="G750" i="24"/>
  <c r="G749" i="24"/>
  <c r="G748" i="24"/>
  <c r="G747" i="24"/>
  <c r="G746" i="24"/>
  <c r="G745" i="24"/>
  <c r="G744" i="24"/>
  <c r="G743" i="24"/>
  <c r="G742" i="24"/>
  <c r="G741" i="24"/>
  <c r="G740" i="24"/>
  <c r="G739" i="24"/>
  <c r="G738" i="24"/>
  <c r="G737" i="24"/>
  <c r="G736" i="24"/>
  <c r="G735" i="24"/>
  <c r="G734" i="24"/>
  <c r="G733" i="24"/>
  <c r="G732" i="24"/>
  <c r="G731" i="24"/>
  <c r="G730" i="24"/>
  <c r="G729" i="24"/>
  <c r="G728" i="24"/>
  <c r="G727" i="24"/>
  <c r="G726" i="24"/>
  <c r="G725" i="24"/>
  <c r="G724" i="24"/>
  <c r="G723" i="24"/>
  <c r="G722" i="24"/>
  <c r="G721" i="24"/>
  <c r="G720" i="24"/>
  <c r="G719" i="24"/>
  <c r="G718" i="24"/>
  <c r="G717" i="24"/>
  <c r="G716" i="24"/>
  <c r="G715" i="24"/>
  <c r="G714" i="24"/>
  <c r="G713" i="24"/>
  <c r="G712" i="24"/>
  <c r="G711" i="24"/>
  <c r="G710" i="24"/>
  <c r="G709" i="24"/>
  <c r="G708" i="24"/>
  <c r="G707" i="24"/>
  <c r="G706" i="24"/>
  <c r="G705" i="24"/>
  <c r="G704" i="24"/>
  <c r="G703" i="24"/>
  <c r="G702" i="24"/>
  <c r="G701" i="24"/>
  <c r="G700" i="24"/>
  <c r="G699" i="24"/>
  <c r="G698" i="24"/>
  <c r="G697" i="24"/>
  <c r="G696" i="24"/>
  <c r="G695" i="24"/>
  <c r="G694" i="24"/>
  <c r="G693" i="24"/>
  <c r="G692" i="24"/>
  <c r="G691" i="24"/>
  <c r="G690" i="24"/>
  <c r="G689" i="24"/>
  <c r="G688" i="24"/>
  <c r="G687" i="24"/>
  <c r="G686" i="24"/>
  <c r="G685" i="24"/>
  <c r="G684" i="24"/>
  <c r="G683" i="24"/>
  <c r="G682" i="24"/>
  <c r="G681" i="24"/>
  <c r="G680" i="24"/>
  <c r="G679" i="24"/>
  <c r="G678" i="24"/>
  <c r="G677" i="24"/>
  <c r="G676" i="24"/>
  <c r="G675" i="24"/>
  <c r="G674" i="24"/>
  <c r="G673" i="24"/>
  <c r="G672" i="24"/>
  <c r="G671" i="24"/>
  <c r="G670" i="24"/>
  <c r="G669" i="24"/>
  <c r="G668" i="24"/>
  <c r="G667" i="24"/>
  <c r="G666" i="24"/>
  <c r="G665" i="24"/>
  <c r="G664" i="24"/>
  <c r="G663" i="24"/>
  <c r="G662" i="24"/>
  <c r="G661" i="24"/>
  <c r="G660" i="24"/>
  <c r="G659" i="24"/>
  <c r="G658" i="24"/>
  <c r="G657" i="24"/>
  <c r="G656" i="24"/>
  <c r="G655" i="24"/>
  <c r="G654" i="24"/>
  <c r="G653" i="24"/>
  <c r="G652" i="24"/>
  <c r="G651" i="24"/>
  <c r="G650" i="24"/>
  <c r="G649" i="24"/>
  <c r="G648" i="24"/>
  <c r="G647" i="24"/>
  <c r="G646" i="24"/>
  <c r="G645" i="24"/>
  <c r="G644" i="24"/>
  <c r="G643" i="24"/>
  <c r="G642" i="24"/>
  <c r="G641" i="24"/>
  <c r="G640" i="24"/>
  <c r="G639" i="24"/>
  <c r="G638" i="24"/>
  <c r="G637" i="24"/>
  <c r="G636" i="24"/>
  <c r="G635" i="24"/>
  <c r="G634" i="24"/>
  <c r="G633" i="24"/>
  <c r="G632" i="24"/>
  <c r="G631" i="24"/>
  <c r="G630" i="24"/>
  <c r="G629" i="24"/>
  <c r="G628" i="24"/>
  <c r="G627" i="24"/>
  <c r="G626" i="24"/>
  <c r="G625" i="24"/>
  <c r="G624" i="24"/>
  <c r="G623" i="24"/>
  <c r="G622" i="24"/>
  <c r="G621" i="24"/>
  <c r="G620" i="24"/>
  <c r="G619" i="24"/>
  <c r="G618" i="24"/>
  <c r="G617" i="24"/>
  <c r="G616" i="24"/>
  <c r="G615" i="24"/>
  <c r="G614" i="24"/>
  <c r="G613" i="24"/>
  <c r="G612" i="24"/>
  <c r="G611" i="24"/>
  <c r="G610" i="24"/>
  <c r="G609" i="24"/>
  <c r="G608" i="24"/>
  <c r="G607" i="24"/>
  <c r="G606" i="24"/>
  <c r="G605" i="24"/>
  <c r="G604" i="24"/>
  <c r="G603" i="24"/>
  <c r="G602" i="24"/>
  <c r="G601" i="24"/>
  <c r="G600" i="24"/>
  <c r="G599" i="24"/>
  <c r="G598" i="24"/>
  <c r="G597" i="24"/>
  <c r="G596" i="24"/>
  <c r="G595" i="24"/>
  <c r="G594" i="24"/>
  <c r="G593" i="24"/>
  <c r="G592" i="24"/>
  <c r="G591" i="24"/>
  <c r="G590" i="24"/>
  <c r="G589" i="24"/>
  <c r="G588" i="24"/>
  <c r="G587" i="24"/>
  <c r="G586" i="24"/>
  <c r="G585" i="24"/>
  <c r="G584" i="24"/>
  <c r="G583" i="24"/>
  <c r="G582" i="24"/>
  <c r="G581" i="24"/>
  <c r="G580" i="24"/>
  <c r="G579" i="24"/>
  <c r="G578" i="24"/>
  <c r="G577" i="24"/>
  <c r="G576" i="24"/>
  <c r="G575" i="24"/>
  <c r="G574" i="24"/>
  <c r="G573" i="24"/>
  <c r="G572" i="24"/>
  <c r="G571" i="24"/>
  <c r="G570" i="24"/>
  <c r="G569" i="24"/>
  <c r="G568" i="24"/>
  <c r="G567" i="24"/>
  <c r="G566" i="24"/>
  <c r="G565" i="24"/>
  <c r="G564" i="24"/>
  <c r="G563" i="24"/>
  <c r="G562" i="24"/>
  <c r="G561" i="24"/>
  <c r="G560" i="24"/>
  <c r="G559" i="24"/>
  <c r="G558" i="24"/>
  <c r="G557" i="24"/>
  <c r="G556" i="24"/>
  <c r="G555" i="24"/>
  <c r="G554" i="24"/>
  <c r="G553" i="24"/>
  <c r="G552" i="24"/>
  <c r="G551" i="24"/>
  <c r="G550" i="24"/>
  <c r="G549" i="24"/>
  <c r="G548" i="24"/>
  <c r="G547" i="24"/>
  <c r="G546" i="24"/>
  <c r="G545" i="24"/>
  <c r="G544" i="24"/>
  <c r="G543" i="24"/>
  <c r="G542" i="24"/>
  <c r="G541" i="24"/>
  <c r="G540" i="24"/>
  <c r="G539" i="24"/>
  <c r="G538" i="24"/>
  <c r="G537" i="24"/>
  <c r="G536" i="24"/>
  <c r="G535" i="24"/>
  <c r="G534" i="24"/>
  <c r="G533" i="24"/>
  <c r="G532" i="24"/>
  <c r="G531" i="24"/>
  <c r="G530" i="24"/>
  <c r="G529" i="24"/>
  <c r="G528" i="24"/>
  <c r="G527" i="24"/>
  <c r="G526" i="24"/>
  <c r="G525" i="24"/>
  <c r="G524" i="24"/>
  <c r="G523" i="24"/>
  <c r="G522" i="24"/>
  <c r="G521" i="24"/>
  <c r="G520" i="24"/>
  <c r="G519" i="24"/>
  <c r="G518" i="24"/>
  <c r="G517" i="24"/>
  <c r="G516" i="24"/>
  <c r="G515" i="24"/>
  <c r="G514" i="24"/>
  <c r="G513" i="24"/>
  <c r="G512" i="24"/>
  <c r="G511" i="24"/>
  <c r="G510" i="24"/>
  <c r="G509" i="24"/>
  <c r="G508" i="24"/>
  <c r="G507" i="24"/>
  <c r="G506" i="24"/>
  <c r="G505" i="24"/>
  <c r="G504" i="24"/>
  <c r="G503" i="24"/>
  <c r="G502" i="24"/>
  <c r="G501" i="24"/>
  <c r="G500" i="24"/>
  <c r="G499" i="24"/>
  <c r="G498" i="24"/>
  <c r="G497" i="24"/>
  <c r="G496" i="24"/>
  <c r="G495" i="24"/>
  <c r="G494" i="24"/>
  <c r="G493" i="24"/>
  <c r="G492" i="24"/>
  <c r="G491" i="24"/>
  <c r="G490" i="24"/>
  <c r="G489" i="24"/>
  <c r="G488" i="24"/>
  <c r="G487" i="24"/>
  <c r="G486" i="24"/>
  <c r="G485" i="24"/>
  <c r="G484" i="24"/>
  <c r="G483" i="24"/>
  <c r="G482" i="24"/>
  <c r="G481" i="24"/>
  <c r="G480" i="24"/>
  <c r="G479" i="24"/>
  <c r="G478" i="24"/>
  <c r="G477" i="24"/>
  <c r="G476" i="24"/>
  <c r="G475" i="24"/>
  <c r="G474" i="24"/>
  <c r="G473" i="24"/>
  <c r="G472" i="24"/>
  <c r="G471" i="24"/>
  <c r="G470" i="24"/>
  <c r="G469" i="24"/>
  <c r="G468" i="24"/>
  <c r="G467" i="24"/>
  <c r="G466" i="24"/>
  <c r="G465" i="24"/>
  <c r="G464" i="24"/>
  <c r="G463" i="24"/>
  <c r="G462" i="24"/>
  <c r="G461" i="24"/>
  <c r="G460" i="24"/>
  <c r="G459" i="24"/>
  <c r="G458" i="24"/>
  <c r="G457" i="24"/>
  <c r="G456" i="24"/>
  <c r="G455" i="24"/>
  <c r="G454" i="24"/>
  <c r="G453" i="24"/>
  <c r="G452" i="24"/>
  <c r="G451" i="24"/>
  <c r="G450" i="24"/>
  <c r="G449" i="24"/>
  <c r="G448" i="24"/>
  <c r="G447" i="24"/>
  <c r="G446" i="24"/>
  <c r="G445" i="24"/>
  <c r="G444" i="24"/>
  <c r="G443" i="24"/>
  <c r="G442" i="24"/>
  <c r="G441" i="24"/>
  <c r="G440" i="24"/>
  <c r="G439" i="24"/>
  <c r="G438" i="24"/>
  <c r="G437" i="24"/>
  <c r="G436" i="24"/>
  <c r="G435" i="24"/>
  <c r="G434" i="24"/>
  <c r="G433" i="24"/>
  <c r="G432" i="24"/>
  <c r="G431" i="24"/>
  <c r="G430" i="24"/>
  <c r="G429" i="24"/>
  <c r="G428" i="24"/>
  <c r="G427" i="24"/>
  <c r="G426" i="24"/>
  <c r="G425" i="24"/>
  <c r="G424" i="24"/>
  <c r="G423" i="24"/>
  <c r="G422" i="24"/>
  <c r="G421" i="24"/>
  <c r="G420" i="24"/>
  <c r="G419" i="24"/>
  <c r="G418" i="24"/>
  <c r="G417" i="24"/>
  <c r="G416" i="24"/>
  <c r="G415" i="24"/>
  <c r="G414" i="24"/>
  <c r="G413" i="24"/>
  <c r="G412" i="24"/>
  <c r="G411" i="24"/>
  <c r="G410" i="24"/>
  <c r="G409" i="24"/>
  <c r="G408" i="24"/>
  <c r="G407" i="24"/>
  <c r="G406" i="24"/>
  <c r="G405" i="24"/>
  <c r="G404" i="24"/>
  <c r="G403" i="24"/>
  <c r="G402" i="24"/>
  <c r="G401" i="24"/>
  <c r="G400" i="24"/>
  <c r="G399" i="24"/>
  <c r="G398" i="24"/>
  <c r="G397" i="24"/>
  <c r="G396" i="24"/>
  <c r="G395" i="24"/>
  <c r="G394" i="24"/>
  <c r="G393" i="24"/>
  <c r="G392" i="24"/>
  <c r="G391" i="24"/>
  <c r="G390" i="24"/>
  <c r="G389" i="24"/>
  <c r="G388" i="24"/>
  <c r="G387" i="24"/>
  <c r="G386" i="24"/>
  <c r="G385" i="24"/>
  <c r="G384" i="24"/>
  <c r="G383" i="24"/>
  <c r="G382" i="24"/>
  <c r="G381" i="24"/>
  <c r="G380" i="24"/>
  <c r="G379" i="24"/>
  <c r="G378" i="24"/>
  <c r="G377" i="24"/>
  <c r="G376" i="24"/>
  <c r="G375" i="24"/>
  <c r="G374" i="24"/>
  <c r="G373" i="24"/>
  <c r="G372" i="24"/>
  <c r="G371" i="24"/>
  <c r="G370" i="24"/>
  <c r="G369" i="24"/>
  <c r="G368" i="24"/>
  <c r="G367" i="24"/>
  <c r="G366" i="24"/>
  <c r="G365" i="24"/>
  <c r="G364" i="24"/>
  <c r="G363" i="24"/>
  <c r="G362" i="24"/>
  <c r="G361" i="24"/>
  <c r="G360" i="24"/>
  <c r="G359" i="24"/>
  <c r="G358" i="24"/>
  <c r="G357" i="24"/>
  <c r="G356" i="24"/>
  <c r="G355" i="24"/>
  <c r="G354" i="24"/>
  <c r="G353" i="24"/>
  <c r="G352" i="24"/>
  <c r="G351" i="24"/>
  <c r="G350" i="24"/>
  <c r="G349" i="24"/>
  <c r="G348" i="24"/>
  <c r="G347" i="24"/>
  <c r="G346" i="24"/>
  <c r="G345" i="24"/>
  <c r="G344" i="24"/>
  <c r="G343" i="24"/>
  <c r="G342" i="24"/>
  <c r="G341" i="24"/>
  <c r="G340" i="24"/>
  <c r="G339" i="24"/>
  <c r="G338" i="24"/>
  <c r="G337" i="24"/>
  <c r="G336" i="24"/>
  <c r="G335" i="24"/>
  <c r="G334" i="24"/>
  <c r="G333" i="24"/>
  <c r="G332" i="24"/>
  <c r="G331" i="24"/>
  <c r="G330" i="24"/>
  <c r="G329" i="24"/>
  <c r="G328" i="24"/>
  <c r="G327" i="24"/>
  <c r="G326" i="24"/>
  <c r="G325" i="24"/>
  <c r="G324" i="24"/>
  <c r="G323" i="24"/>
  <c r="G322" i="24"/>
  <c r="G321" i="24"/>
  <c r="G320" i="24"/>
  <c r="G319" i="24"/>
  <c r="G318" i="24"/>
  <c r="G317" i="24"/>
  <c r="G316" i="24"/>
  <c r="G315" i="24"/>
  <c r="G314" i="24"/>
  <c r="G313" i="24"/>
  <c r="G312" i="24"/>
  <c r="G311" i="24"/>
  <c r="G310" i="24"/>
  <c r="G309" i="24"/>
  <c r="G308" i="24"/>
  <c r="G307" i="24"/>
  <c r="G306" i="24"/>
  <c r="G305" i="24"/>
  <c r="G304" i="24"/>
  <c r="G303" i="24"/>
  <c r="G302" i="24"/>
  <c r="G301" i="24"/>
  <c r="G300" i="24"/>
  <c r="G299" i="24"/>
  <c r="G298" i="24"/>
  <c r="G297" i="24"/>
  <c r="G296" i="24"/>
  <c r="G295" i="24"/>
  <c r="G294" i="24"/>
  <c r="G293" i="24"/>
  <c r="G292" i="24"/>
  <c r="G291" i="24"/>
  <c r="G290" i="24"/>
  <c r="G289" i="24"/>
  <c r="G288" i="24"/>
  <c r="G287" i="24"/>
  <c r="G286" i="24"/>
  <c r="G285" i="24"/>
  <c r="G284" i="24"/>
  <c r="G283" i="24"/>
  <c r="G282" i="24"/>
  <c r="G281" i="24"/>
  <c r="G280" i="24"/>
  <c r="G279" i="24"/>
  <c r="G278" i="24"/>
  <c r="G277" i="24"/>
  <c r="G276" i="24"/>
  <c r="G275" i="24"/>
  <c r="G274" i="24"/>
  <c r="G273" i="24"/>
  <c r="G272" i="24"/>
  <c r="G271" i="24"/>
  <c r="G270" i="24"/>
  <c r="G269" i="24"/>
  <c r="G268" i="24"/>
  <c r="G267" i="24"/>
  <c r="G266" i="24"/>
  <c r="G265" i="24"/>
  <c r="G264" i="24"/>
  <c r="G263" i="24"/>
  <c r="G262" i="24"/>
  <c r="G261" i="24"/>
  <c r="G260" i="24"/>
  <c r="G259" i="24"/>
  <c r="G258" i="24"/>
  <c r="G257" i="24"/>
  <c r="G256" i="24"/>
  <c r="G255" i="24"/>
  <c r="G254" i="24"/>
  <c r="G253" i="24"/>
  <c r="G252" i="24"/>
  <c r="G251" i="24"/>
  <c r="G250" i="24"/>
  <c r="G249" i="24"/>
  <c r="G248" i="24"/>
  <c r="G247" i="24"/>
  <c r="G246" i="24"/>
  <c r="G245" i="24"/>
  <c r="G244" i="24"/>
  <c r="G243" i="24"/>
  <c r="G242" i="24"/>
  <c r="G241" i="24"/>
  <c r="G240" i="24"/>
  <c r="G239" i="24"/>
  <c r="G238" i="24"/>
  <c r="G237" i="24"/>
  <c r="G236" i="24"/>
  <c r="G235" i="24"/>
  <c r="G234" i="24"/>
  <c r="G233" i="24"/>
  <c r="G232" i="24"/>
  <c r="G231" i="24"/>
  <c r="G230" i="24"/>
  <c r="G229" i="24"/>
  <c r="G228" i="24"/>
  <c r="G227" i="24"/>
  <c r="G226" i="24"/>
  <c r="G225" i="24"/>
  <c r="G224" i="24"/>
  <c r="G223" i="24"/>
  <c r="G222" i="24"/>
  <c r="G221" i="24"/>
  <c r="G220" i="24"/>
  <c r="G219" i="24"/>
  <c r="G218" i="24"/>
  <c r="G217" i="24"/>
  <c r="G216" i="24"/>
  <c r="G215" i="24"/>
  <c r="G214" i="24"/>
  <c r="G213" i="24"/>
  <c r="G212" i="24"/>
  <c r="G211" i="24"/>
  <c r="G210" i="24"/>
  <c r="G209" i="24"/>
  <c r="G208" i="24"/>
  <c r="G207" i="24"/>
  <c r="G206" i="24"/>
  <c r="G205" i="24"/>
  <c r="G204" i="24"/>
  <c r="G203" i="24"/>
  <c r="G202" i="24"/>
  <c r="G201" i="24"/>
  <c r="G200" i="24"/>
  <c r="G199" i="24"/>
  <c r="G198" i="24"/>
  <c r="G197" i="24"/>
  <c r="G196" i="24"/>
  <c r="G195" i="24"/>
  <c r="G194" i="24"/>
  <c r="G193" i="24"/>
  <c r="G192" i="24"/>
  <c r="G191" i="24"/>
  <c r="G190" i="24"/>
  <c r="G189" i="24"/>
  <c r="G188" i="24"/>
  <c r="G187" i="24"/>
  <c r="G186" i="24"/>
  <c r="G185" i="24"/>
  <c r="G184" i="24"/>
  <c r="G183" i="24"/>
  <c r="G182" i="24"/>
  <c r="G181" i="24"/>
  <c r="G180" i="24"/>
  <c r="G179" i="24"/>
  <c r="G178" i="24"/>
  <c r="G177" i="24"/>
  <c r="G176" i="24"/>
  <c r="G175" i="24"/>
  <c r="G174" i="24"/>
  <c r="G173" i="24"/>
  <c r="G172" i="24"/>
  <c r="G171" i="24"/>
  <c r="G170" i="24"/>
  <c r="G169" i="24"/>
  <c r="G168" i="24"/>
  <c r="G167" i="24"/>
  <c r="G166" i="24"/>
  <c r="G165" i="24"/>
  <c r="G164" i="24"/>
  <c r="G163" i="24"/>
  <c r="G162" i="24"/>
  <c r="G161" i="24"/>
  <c r="G160" i="24"/>
  <c r="G159" i="24"/>
  <c r="G158" i="24"/>
  <c r="G157" i="24"/>
  <c r="G156" i="24"/>
  <c r="G155" i="24"/>
  <c r="G154" i="24"/>
  <c r="G153" i="24"/>
  <c r="G152" i="24"/>
  <c r="G151" i="24"/>
  <c r="G150" i="24"/>
  <c r="G149" i="24"/>
  <c r="G148" i="24"/>
  <c r="G147" i="24"/>
  <c r="G146" i="24"/>
  <c r="G145" i="24"/>
  <c r="G144" i="24"/>
  <c r="G143" i="24"/>
  <c r="G142" i="24"/>
  <c r="G141" i="24"/>
  <c r="G140" i="24"/>
  <c r="G139" i="24"/>
  <c r="G138" i="24"/>
  <c r="G137" i="24"/>
  <c r="G136" i="24"/>
  <c r="G135" i="24"/>
  <c r="G134" i="24"/>
  <c r="G133" i="24"/>
  <c r="G132" i="24"/>
  <c r="G131" i="24"/>
  <c r="G130" i="24"/>
  <c r="G129" i="24"/>
  <c r="G128" i="24"/>
  <c r="G127" i="24"/>
  <c r="G126" i="24"/>
  <c r="G125" i="24"/>
  <c r="G124" i="24"/>
  <c r="G123" i="24"/>
  <c r="G122" i="24"/>
  <c r="G121" i="24"/>
  <c r="G120" i="24"/>
  <c r="G119" i="24"/>
  <c r="G118" i="24"/>
  <c r="G117" i="24"/>
  <c r="G116" i="24"/>
  <c r="G115" i="24"/>
  <c r="G114" i="24"/>
  <c r="G113" i="24"/>
  <c r="G112" i="24"/>
  <c r="G111" i="24"/>
  <c r="G110" i="24"/>
  <c r="G109" i="24"/>
  <c r="G108" i="24"/>
  <c r="G107" i="24"/>
  <c r="G106" i="24"/>
  <c r="G105" i="24"/>
  <c r="G104" i="24"/>
  <c r="G103" i="24"/>
  <c r="G102" i="24"/>
  <c r="G101" i="24"/>
  <c r="G100" i="24"/>
  <c r="G99" i="24"/>
  <c r="G98" i="24"/>
  <c r="G97" i="24"/>
  <c r="G96" i="24"/>
  <c r="G95" i="24"/>
  <c r="G94" i="24"/>
  <c r="G93" i="24"/>
  <c r="G92" i="24"/>
  <c r="G91" i="24"/>
  <c r="G90" i="24"/>
  <c r="G89" i="24"/>
  <c r="G88" i="24"/>
  <c r="G87" i="24"/>
  <c r="G86" i="24"/>
  <c r="G85" i="24"/>
  <c r="G84" i="24"/>
  <c r="G83" i="24"/>
  <c r="G82" i="24"/>
  <c r="G81" i="24"/>
  <c r="G80" i="24"/>
  <c r="G79" i="24"/>
  <c r="G78" i="24"/>
  <c r="G77" i="24"/>
  <c r="G76" i="24"/>
  <c r="G75" i="24"/>
  <c r="G74" i="24"/>
  <c r="G73" i="24"/>
  <c r="G72" i="24"/>
  <c r="G71" i="24"/>
  <c r="G70" i="24"/>
  <c r="G69" i="24"/>
  <c r="G68" i="24"/>
  <c r="G67" i="24"/>
  <c r="G66" i="24"/>
  <c r="G65" i="24"/>
  <c r="G64" i="24"/>
  <c r="G63" i="24"/>
  <c r="G62" i="24"/>
  <c r="G61" i="24"/>
  <c r="G60" i="24"/>
  <c r="G59" i="24"/>
  <c r="G58" i="24"/>
  <c r="G57" i="24"/>
  <c r="G56" i="24"/>
  <c r="G55" i="24"/>
  <c r="G54" i="24"/>
  <c r="G53" i="24"/>
  <c r="G52" i="24"/>
  <c r="G51" i="24"/>
  <c r="G50" i="24"/>
  <c r="G49" i="24"/>
  <c r="G48" i="24"/>
  <c r="G47" i="24"/>
  <c r="G46" i="24"/>
  <c r="G45" i="24"/>
  <c r="G44" i="24"/>
  <c r="G43" i="24"/>
  <c r="G42" i="24"/>
  <c r="G41" i="24"/>
  <c r="G40" i="24"/>
  <c r="G39" i="24"/>
  <c r="G38" i="24"/>
  <c r="G37" i="24"/>
  <c r="G36" i="24"/>
  <c r="G35" i="24"/>
  <c r="G34" i="24"/>
  <c r="G33" i="24"/>
  <c r="G32" i="24"/>
  <c r="G31" i="24"/>
  <c r="G30" i="24"/>
  <c r="G29" i="24"/>
  <c r="G28" i="24"/>
  <c r="G27" i="24"/>
  <c r="G26" i="24"/>
  <c r="G25" i="24"/>
  <c r="G24" i="24"/>
  <c r="G23" i="24"/>
  <c r="G22" i="24"/>
  <c r="G21" i="24"/>
  <c r="G20" i="24"/>
  <c r="G19" i="24"/>
  <c r="G18" i="24"/>
  <c r="G17" i="24"/>
  <c r="G16" i="24"/>
  <c r="G15" i="24"/>
  <c r="G14" i="24"/>
  <c r="G13" i="24"/>
  <c r="G12" i="24"/>
  <c r="N1" i="24"/>
  <c r="N2" i="24"/>
  <c r="G11" i="24"/>
  <c r="R10" i="24"/>
  <c r="G10" i="24"/>
  <c r="R9" i="24"/>
  <c r="G9" i="24"/>
  <c r="R8" i="24"/>
  <c r="G8" i="24"/>
  <c r="R7" i="24"/>
  <c r="G7" i="24"/>
  <c r="R6" i="24"/>
  <c r="G6" i="24"/>
  <c r="R5" i="24"/>
  <c r="G5" i="24"/>
  <c r="R4" i="24"/>
  <c r="G4" i="24"/>
  <c r="R3" i="24"/>
  <c r="G3" i="24"/>
  <c r="R2" i="24"/>
  <c r="G2" i="24"/>
  <c r="N3" i="24"/>
  <c r="E2108" i="14"/>
  <c r="G2108" i="14" s="1"/>
  <c r="H2108" i="14"/>
  <c r="E2109" i="14"/>
  <c r="G2109" i="14" s="1"/>
  <c r="H2109" i="14"/>
  <c r="E2110" i="14"/>
  <c r="G2110" i="14" s="1"/>
  <c r="H2110" i="14"/>
  <c r="E2111" i="14"/>
  <c r="G2111" i="14" s="1"/>
  <c r="H2111" i="14"/>
  <c r="E2112" i="14"/>
  <c r="G2112" i="14" s="1"/>
  <c r="H2112" i="14"/>
  <c r="E2113" i="14"/>
  <c r="G2113" i="14" s="1"/>
  <c r="H2113" i="14"/>
  <c r="E2114" i="14"/>
  <c r="G2114" i="14" s="1"/>
  <c r="H2114" i="14"/>
  <c r="E2115" i="14"/>
  <c r="G2115" i="14" s="1"/>
  <c r="H2115" i="14"/>
  <c r="E2116" i="14"/>
  <c r="G2116" i="14" s="1"/>
  <c r="H2116" i="14"/>
  <c r="E2135" i="14"/>
  <c r="G2135" i="14" s="1"/>
  <c r="H2135" i="14"/>
  <c r="E2136" i="14"/>
  <c r="G2136" i="14" s="1"/>
  <c r="H2136" i="14"/>
  <c r="E2137" i="14"/>
  <c r="G2137" i="14" s="1"/>
  <c r="H2137" i="14"/>
  <c r="E2138" i="14"/>
  <c r="G2138" i="14" s="1"/>
  <c r="H2138" i="14"/>
  <c r="E2139" i="14"/>
  <c r="G2139" i="14" s="1"/>
  <c r="H2139" i="14"/>
  <c r="E2140" i="14"/>
  <c r="G2140" i="14" s="1"/>
  <c r="H2140" i="14"/>
  <c r="E2141" i="14"/>
  <c r="G2141" i="14" s="1"/>
  <c r="H2141" i="14"/>
  <c r="E2142" i="14"/>
  <c r="G2142" i="14" s="1"/>
  <c r="H2142" i="14"/>
  <c r="E2143" i="14"/>
  <c r="G2143" i="14" s="1"/>
  <c r="H2143" i="14"/>
  <c r="E2144" i="14"/>
  <c r="G2144" i="14" s="1"/>
  <c r="H2144" i="14"/>
  <c r="E2145" i="14"/>
  <c r="G2145" i="14" s="1"/>
  <c r="H2145" i="14"/>
  <c r="E2146" i="14"/>
  <c r="G2146" i="14" s="1"/>
  <c r="H2146" i="14"/>
  <c r="E2147" i="14"/>
  <c r="G2147" i="14" s="1"/>
  <c r="H2147" i="14"/>
  <c r="E2148" i="14"/>
  <c r="G2148" i="14" s="1"/>
  <c r="H2148" i="14"/>
  <c r="E2149" i="14"/>
  <c r="G2149" i="14" s="1"/>
  <c r="H2149" i="14"/>
  <c r="E2150" i="14"/>
  <c r="G2150" i="14" s="1"/>
  <c r="H2150" i="14"/>
  <c r="E2151" i="14"/>
  <c r="G2151" i="14" s="1"/>
  <c r="H2151" i="14"/>
  <c r="E2152" i="14"/>
  <c r="G2152" i="14" s="1"/>
  <c r="H2152" i="14"/>
  <c r="E2000" i="14"/>
  <c r="G2000" i="14" s="1"/>
  <c r="H2000" i="14"/>
  <c r="E2001" i="14"/>
  <c r="G2001" i="14" s="1"/>
  <c r="H2001" i="14"/>
  <c r="E2002" i="14"/>
  <c r="G2002" i="14" s="1"/>
  <c r="H2002" i="14"/>
  <c r="E2003" i="14"/>
  <c r="G2003" i="14" s="1"/>
  <c r="H2003" i="14"/>
  <c r="E2004" i="14"/>
  <c r="G2004" i="14" s="1"/>
  <c r="H2004" i="14"/>
  <c r="E2005" i="14"/>
  <c r="G2005" i="14" s="1"/>
  <c r="H2005" i="14"/>
  <c r="E2006" i="14"/>
  <c r="G2006" i="14" s="1"/>
  <c r="H2006" i="14"/>
  <c r="E2007" i="14"/>
  <c r="G2007" i="14" s="1"/>
  <c r="H2007" i="14"/>
  <c r="E2008" i="14"/>
  <c r="G2008" i="14" s="1"/>
  <c r="H2008" i="14"/>
  <c r="E1883" i="14"/>
  <c r="G1883" i="14" s="1"/>
  <c r="H1883" i="14"/>
  <c r="E1884" i="14"/>
  <c r="G1884" i="14" s="1"/>
  <c r="H1884" i="14"/>
  <c r="E1885" i="14"/>
  <c r="G1885" i="14" s="1"/>
  <c r="H1885" i="14"/>
  <c r="E1886" i="14"/>
  <c r="G1886" i="14" s="1"/>
  <c r="H1886" i="14"/>
  <c r="E1887" i="14"/>
  <c r="G1887" i="14" s="1"/>
  <c r="H1887" i="14"/>
  <c r="E1888" i="14"/>
  <c r="G1888" i="14" s="1"/>
  <c r="H1888" i="14"/>
  <c r="E1889" i="14"/>
  <c r="G1889" i="14" s="1"/>
  <c r="H1889" i="14"/>
  <c r="E1890" i="14"/>
  <c r="G1890" i="14" s="1"/>
  <c r="H1890" i="14"/>
  <c r="E1891" i="14"/>
  <c r="G1891" i="14" s="1"/>
  <c r="H1891" i="14"/>
  <c r="E740" i="14"/>
  <c r="G740" i="14" s="1"/>
  <c r="H740" i="14"/>
  <c r="E741" i="14"/>
  <c r="G741" i="14" s="1"/>
  <c r="H741" i="14"/>
  <c r="E742" i="14"/>
  <c r="G742" i="14" s="1"/>
  <c r="H742" i="14"/>
  <c r="E743" i="14"/>
  <c r="G743" i="14" s="1"/>
  <c r="H743" i="14"/>
  <c r="E744" i="14"/>
  <c r="G744" i="14" s="1"/>
  <c r="H744" i="14"/>
  <c r="E745" i="14"/>
  <c r="G745" i="14" s="1"/>
  <c r="H745" i="14"/>
  <c r="E746" i="14"/>
  <c r="G746" i="14" s="1"/>
  <c r="H746" i="14"/>
  <c r="E747" i="14"/>
  <c r="G747" i="14" s="1"/>
  <c r="H747" i="14"/>
  <c r="E748" i="14"/>
  <c r="G748" i="14" s="1"/>
  <c r="H748" i="14"/>
  <c r="E758" i="14"/>
  <c r="G758" i="14" s="1"/>
  <c r="H758" i="14"/>
  <c r="E759" i="14"/>
  <c r="G759" i="14" s="1"/>
  <c r="H759" i="14"/>
  <c r="E760" i="14"/>
  <c r="G760" i="14" s="1"/>
  <c r="H760" i="14"/>
  <c r="E761" i="14"/>
  <c r="G761" i="14" s="1"/>
  <c r="H761" i="14"/>
  <c r="E762" i="14"/>
  <c r="G762" i="14" s="1"/>
  <c r="H762" i="14"/>
  <c r="E763" i="14"/>
  <c r="G763" i="14" s="1"/>
  <c r="H763" i="14"/>
  <c r="E764" i="14"/>
  <c r="G764" i="14" s="1"/>
  <c r="H764" i="14"/>
  <c r="E765" i="14"/>
  <c r="G765" i="14" s="1"/>
  <c r="H765" i="14"/>
  <c r="E766" i="14"/>
  <c r="G766" i="14" s="1"/>
  <c r="H766" i="14"/>
  <c r="E1811" i="14"/>
  <c r="G1811" i="14" s="1"/>
  <c r="H1811" i="14"/>
  <c r="E1812" i="14"/>
  <c r="G1812" i="14" s="1"/>
  <c r="H1812" i="14"/>
  <c r="E1813" i="14"/>
  <c r="G1813" i="14" s="1"/>
  <c r="H1813" i="14"/>
  <c r="E1814" i="14"/>
  <c r="G1814" i="14" s="1"/>
  <c r="H1814" i="14"/>
  <c r="E1815" i="14"/>
  <c r="G1815" i="14" s="1"/>
  <c r="H1815" i="14"/>
  <c r="E1816" i="14"/>
  <c r="G1816" i="14" s="1"/>
  <c r="H1816" i="14"/>
  <c r="E1817" i="14"/>
  <c r="G1817" i="14" s="1"/>
  <c r="H1817" i="14"/>
  <c r="E1818" i="14"/>
  <c r="G1818" i="14" s="1"/>
  <c r="H1818" i="14"/>
  <c r="E1819" i="14"/>
  <c r="G1819" i="14" s="1"/>
  <c r="H1819" i="14"/>
  <c r="E1964" i="14"/>
  <c r="G1964" i="14" s="1"/>
  <c r="H1964" i="14"/>
  <c r="E1965" i="14"/>
  <c r="G1965" i="14" s="1"/>
  <c r="H1965" i="14"/>
  <c r="E1966" i="14"/>
  <c r="G1966" i="14" s="1"/>
  <c r="H1966" i="14"/>
  <c r="E1967" i="14"/>
  <c r="G1967" i="14" s="1"/>
  <c r="H1967" i="14"/>
  <c r="E1968" i="14"/>
  <c r="G1968" i="14" s="1"/>
  <c r="H1968" i="14"/>
  <c r="E1969" i="14"/>
  <c r="G1969" i="14" s="1"/>
  <c r="H1969" i="14"/>
  <c r="E1970" i="14"/>
  <c r="G1970" i="14" s="1"/>
  <c r="H1970" i="14"/>
  <c r="E1971" i="14"/>
  <c r="G1971" i="14" s="1"/>
  <c r="H1971" i="14"/>
  <c r="E1972" i="14"/>
  <c r="G1972" i="14" s="1"/>
  <c r="H1972" i="14"/>
  <c r="E1982" i="14"/>
  <c r="G1982" i="14" s="1"/>
  <c r="H1982" i="14"/>
  <c r="E1983" i="14"/>
  <c r="G1983" i="14" s="1"/>
  <c r="H1983" i="14"/>
  <c r="E1984" i="14"/>
  <c r="G1984" i="14" s="1"/>
  <c r="H1984" i="14"/>
  <c r="E1985" i="14"/>
  <c r="G1985" i="14" s="1"/>
  <c r="H1985" i="14"/>
  <c r="E1986" i="14"/>
  <c r="G1986" i="14" s="1"/>
  <c r="H1986" i="14"/>
  <c r="E1987" i="14"/>
  <c r="G1987" i="14" s="1"/>
  <c r="H1987" i="14"/>
  <c r="E1988" i="14"/>
  <c r="G1988" i="14" s="1"/>
  <c r="H1988" i="14"/>
  <c r="E1989" i="14"/>
  <c r="G1989" i="14" s="1"/>
  <c r="H1989" i="14"/>
  <c r="E1990" i="14"/>
  <c r="G1990" i="14" s="1"/>
  <c r="H1990" i="14"/>
  <c r="E2072" i="14"/>
  <c r="G2072" i="14" s="1"/>
  <c r="H2072" i="14"/>
  <c r="E2073" i="14"/>
  <c r="G2073" i="14" s="1"/>
  <c r="H2073" i="14"/>
  <c r="E2074" i="14"/>
  <c r="G2074" i="14" s="1"/>
  <c r="H2074" i="14"/>
  <c r="E2075" i="14"/>
  <c r="G2075" i="14" s="1"/>
  <c r="H2075" i="14"/>
  <c r="E2076" i="14"/>
  <c r="G2076" i="14" s="1"/>
  <c r="H2076" i="14"/>
  <c r="E2077" i="14"/>
  <c r="G2077" i="14" s="1"/>
  <c r="H2077" i="14"/>
  <c r="E2078" i="14"/>
  <c r="G2078" i="14" s="1"/>
  <c r="H2078" i="14"/>
  <c r="E2079" i="14"/>
  <c r="G2079" i="14" s="1"/>
  <c r="H2079" i="14"/>
  <c r="E2080" i="14"/>
  <c r="G2080" i="14" s="1"/>
  <c r="H2080" i="14"/>
  <c r="E2063" i="14"/>
  <c r="G2063" i="14" s="1"/>
  <c r="H2063" i="14"/>
  <c r="E2064" i="14"/>
  <c r="G2064" i="14" s="1"/>
  <c r="H2064" i="14"/>
  <c r="E2065" i="14"/>
  <c r="G2065" i="14" s="1"/>
  <c r="H2065" i="14"/>
  <c r="E2066" i="14"/>
  <c r="G2066" i="14" s="1"/>
  <c r="H2066" i="14"/>
  <c r="E2067" i="14"/>
  <c r="G2067" i="14" s="1"/>
  <c r="H2067" i="14"/>
  <c r="E2068" i="14"/>
  <c r="G2068" i="14" s="1"/>
  <c r="H2068" i="14"/>
  <c r="E2069" i="14"/>
  <c r="G2069" i="14" s="1"/>
  <c r="H2069" i="14"/>
  <c r="E2070" i="14"/>
  <c r="G2070" i="14" s="1"/>
  <c r="H2070" i="14"/>
  <c r="E2071" i="14"/>
  <c r="G2071" i="14" s="1"/>
  <c r="H2071" i="14"/>
  <c r="E1847" i="14"/>
  <c r="G1847" i="14" s="1"/>
  <c r="H1847" i="14"/>
  <c r="E1848" i="14"/>
  <c r="G1848" i="14" s="1"/>
  <c r="H1848" i="14"/>
  <c r="E1849" i="14"/>
  <c r="G1849" i="14" s="1"/>
  <c r="H1849" i="14"/>
  <c r="E1850" i="14"/>
  <c r="G1850" i="14" s="1"/>
  <c r="H1850" i="14"/>
  <c r="E1851" i="14"/>
  <c r="G1851" i="14" s="1"/>
  <c r="H1851" i="14"/>
  <c r="E1852" i="14"/>
  <c r="G1852" i="14" s="1"/>
  <c r="H1852" i="14"/>
  <c r="E1853" i="14"/>
  <c r="G1853" i="14" s="1"/>
  <c r="H1853" i="14"/>
  <c r="E1854" i="14"/>
  <c r="G1854" i="14" s="1"/>
  <c r="H1854" i="14"/>
  <c r="E1855" i="14"/>
  <c r="G1855" i="14" s="1"/>
  <c r="H1855" i="14"/>
  <c r="E1892" i="14"/>
  <c r="G1892" i="14" s="1"/>
  <c r="H1892" i="14"/>
  <c r="E1893" i="14"/>
  <c r="G1893" i="14" s="1"/>
  <c r="H1893" i="14"/>
  <c r="E1894" i="14"/>
  <c r="G1894" i="14" s="1"/>
  <c r="H1894" i="14"/>
  <c r="E1895" i="14"/>
  <c r="G1895" i="14" s="1"/>
  <c r="H1895" i="14"/>
  <c r="E1896" i="14"/>
  <c r="G1896" i="14" s="1"/>
  <c r="H1896" i="14"/>
  <c r="E1897" i="14"/>
  <c r="G1897" i="14" s="1"/>
  <c r="H1897" i="14"/>
  <c r="E1898" i="14"/>
  <c r="G1898" i="14" s="1"/>
  <c r="H1898" i="14"/>
  <c r="E1899" i="14"/>
  <c r="G1899" i="14" s="1"/>
  <c r="H1899" i="14"/>
  <c r="E1900" i="14"/>
  <c r="G1900" i="14" s="1"/>
  <c r="H1900" i="14"/>
  <c r="E1955" i="14"/>
  <c r="G1955" i="14" s="1"/>
  <c r="H1955" i="14"/>
  <c r="E1956" i="14"/>
  <c r="G1956" i="14" s="1"/>
  <c r="H1956" i="14"/>
  <c r="E1957" i="14"/>
  <c r="G1957" i="14" s="1"/>
  <c r="H1957" i="14"/>
  <c r="E1958" i="14"/>
  <c r="G1958" i="14" s="1"/>
  <c r="H1958" i="14"/>
  <c r="E1959" i="14"/>
  <c r="G1959" i="14" s="1"/>
  <c r="H1959" i="14"/>
  <c r="E1960" i="14"/>
  <c r="G1960" i="14" s="1"/>
  <c r="H1960" i="14"/>
  <c r="E1961" i="14"/>
  <c r="G1961" i="14" s="1"/>
  <c r="H1961" i="14"/>
  <c r="E1962" i="14"/>
  <c r="G1962" i="14" s="1"/>
  <c r="H1962" i="14"/>
  <c r="E1963" i="14"/>
  <c r="G1963" i="14" s="1"/>
  <c r="H1963" i="14"/>
  <c r="E542" i="14"/>
  <c r="G542" i="14" s="1"/>
  <c r="H542" i="14"/>
  <c r="E543" i="14"/>
  <c r="G543" i="14" s="1"/>
  <c r="H543" i="14"/>
  <c r="E544" i="14"/>
  <c r="G544" i="14" s="1"/>
  <c r="H544" i="14"/>
  <c r="E545" i="14"/>
  <c r="G545" i="14" s="1"/>
  <c r="H545" i="14"/>
  <c r="E546" i="14"/>
  <c r="G546" i="14" s="1"/>
  <c r="H546" i="14"/>
  <c r="E547" i="14"/>
  <c r="G547" i="14" s="1"/>
  <c r="H547" i="14"/>
  <c r="E548" i="14"/>
  <c r="G548" i="14" s="1"/>
  <c r="H548" i="14"/>
  <c r="E549" i="14"/>
  <c r="G549" i="14" s="1"/>
  <c r="H549" i="14"/>
  <c r="E550" i="14"/>
  <c r="G550" i="14" s="1"/>
  <c r="H550" i="14"/>
  <c r="E443" i="14"/>
  <c r="G443" i="14" s="1"/>
  <c r="H443" i="14"/>
  <c r="E444" i="14"/>
  <c r="G444" i="14" s="1"/>
  <c r="H444" i="14"/>
  <c r="E445" i="14"/>
  <c r="G445" i="14" s="1"/>
  <c r="H445" i="14"/>
  <c r="E446" i="14"/>
  <c r="G446" i="14" s="1"/>
  <c r="H446" i="14"/>
  <c r="E447" i="14"/>
  <c r="G447" i="14" s="1"/>
  <c r="H447" i="14"/>
  <c r="E448" i="14"/>
  <c r="G448" i="14" s="1"/>
  <c r="H448" i="14"/>
  <c r="E449" i="14"/>
  <c r="G449" i="14" s="1"/>
  <c r="H449" i="14"/>
  <c r="E450" i="14"/>
  <c r="G450" i="14" s="1"/>
  <c r="H450" i="14"/>
  <c r="E451" i="14"/>
  <c r="G451" i="14" s="1"/>
  <c r="H451" i="14"/>
  <c r="E452" i="14"/>
  <c r="G452" i="14" s="1"/>
  <c r="H452" i="14"/>
  <c r="E453" i="14"/>
  <c r="G453" i="14" s="1"/>
  <c r="H453" i="14"/>
  <c r="E454" i="14"/>
  <c r="G454" i="14" s="1"/>
  <c r="H454" i="14"/>
  <c r="E455" i="14"/>
  <c r="G455" i="14" s="1"/>
  <c r="H455" i="14"/>
  <c r="E456" i="14"/>
  <c r="G456" i="14" s="1"/>
  <c r="H456" i="14"/>
  <c r="E457" i="14"/>
  <c r="G457" i="14" s="1"/>
  <c r="H457" i="14"/>
  <c r="E458" i="14"/>
  <c r="G458" i="14" s="1"/>
  <c r="H458" i="14"/>
  <c r="E459" i="14"/>
  <c r="G459" i="14" s="1"/>
  <c r="H459" i="14"/>
  <c r="E460" i="14"/>
  <c r="G460" i="14" s="1"/>
  <c r="H460" i="14"/>
  <c r="E596" i="14"/>
  <c r="G596" i="14" s="1"/>
  <c r="H596" i="14"/>
  <c r="E597" i="14"/>
  <c r="G597" i="14" s="1"/>
  <c r="H597" i="14"/>
  <c r="E598" i="14"/>
  <c r="G598" i="14" s="1"/>
  <c r="H598" i="14"/>
  <c r="E599" i="14"/>
  <c r="G599" i="14" s="1"/>
  <c r="H599" i="14"/>
  <c r="E600" i="14"/>
  <c r="G600" i="14" s="1"/>
  <c r="H600" i="14"/>
  <c r="E601" i="14"/>
  <c r="G601" i="14" s="1"/>
  <c r="H601" i="14"/>
  <c r="E602" i="14"/>
  <c r="G602" i="14" s="1"/>
  <c r="H602" i="14"/>
  <c r="E603" i="14"/>
  <c r="G603" i="14" s="1"/>
  <c r="H603" i="14"/>
  <c r="E604" i="14"/>
  <c r="G604" i="14" s="1"/>
  <c r="H604" i="14"/>
  <c r="E659" i="14"/>
  <c r="G659" i="14" s="1"/>
  <c r="H659" i="14"/>
  <c r="E660" i="14"/>
  <c r="G660" i="14" s="1"/>
  <c r="H660" i="14"/>
  <c r="E661" i="14"/>
  <c r="G661" i="14" s="1"/>
  <c r="H661" i="14"/>
  <c r="E662" i="14"/>
  <c r="G662" i="14" s="1"/>
  <c r="H662" i="14"/>
  <c r="E663" i="14"/>
  <c r="G663" i="14" s="1"/>
  <c r="H663" i="14"/>
  <c r="E664" i="14"/>
  <c r="G664" i="14" s="1"/>
  <c r="H664" i="14"/>
  <c r="E665" i="14"/>
  <c r="G665" i="14" s="1"/>
  <c r="H665" i="14"/>
  <c r="E666" i="14"/>
  <c r="G666" i="14" s="1"/>
  <c r="H666" i="14"/>
  <c r="E667" i="14"/>
  <c r="G667" i="14" s="1"/>
  <c r="H667" i="14"/>
  <c r="E776" i="14"/>
  <c r="G776" i="14" s="1"/>
  <c r="H776" i="14"/>
  <c r="E777" i="14"/>
  <c r="G777" i="14" s="1"/>
  <c r="H777" i="14"/>
  <c r="E778" i="14"/>
  <c r="G778" i="14" s="1"/>
  <c r="H778" i="14"/>
  <c r="E779" i="14"/>
  <c r="G779" i="14" s="1"/>
  <c r="H779" i="14"/>
  <c r="E780" i="14"/>
  <c r="G780" i="14" s="1"/>
  <c r="H780" i="14"/>
  <c r="E781" i="14"/>
  <c r="G781" i="14" s="1"/>
  <c r="H781" i="14"/>
  <c r="E782" i="14"/>
  <c r="G782" i="14" s="1"/>
  <c r="H782" i="14"/>
  <c r="E783" i="14"/>
  <c r="G783" i="14" s="1"/>
  <c r="H783" i="14"/>
  <c r="E784" i="14"/>
  <c r="G784" i="14" s="1"/>
  <c r="H784" i="14"/>
  <c r="E785" i="14"/>
  <c r="G785" i="14" s="1"/>
  <c r="H785" i="14"/>
  <c r="E786" i="14"/>
  <c r="G786" i="14" s="1"/>
  <c r="H786" i="14"/>
  <c r="E787" i="14"/>
  <c r="G787" i="14" s="1"/>
  <c r="H787" i="14"/>
  <c r="E788" i="14"/>
  <c r="G788" i="14" s="1"/>
  <c r="H788" i="14"/>
  <c r="E789" i="14"/>
  <c r="G789" i="14" s="1"/>
  <c r="H789" i="14"/>
  <c r="E790" i="14"/>
  <c r="G790" i="14" s="1"/>
  <c r="H790" i="14"/>
  <c r="E791" i="14"/>
  <c r="G791" i="14" s="1"/>
  <c r="H791" i="14"/>
  <c r="E792" i="14"/>
  <c r="G792" i="14" s="1"/>
  <c r="H792" i="14"/>
  <c r="E793" i="14"/>
  <c r="G793" i="14" s="1"/>
  <c r="H793" i="14"/>
  <c r="E794" i="14"/>
  <c r="G794" i="14" s="1"/>
  <c r="H794" i="14"/>
  <c r="E795" i="14"/>
  <c r="G795" i="14" s="1"/>
  <c r="H795" i="14"/>
  <c r="E796" i="14"/>
  <c r="G796" i="14" s="1"/>
  <c r="H796" i="14"/>
  <c r="E797" i="14"/>
  <c r="G797" i="14" s="1"/>
  <c r="H797" i="14"/>
  <c r="E798" i="14"/>
  <c r="G798" i="14" s="1"/>
  <c r="H798" i="14"/>
  <c r="E799" i="14"/>
  <c r="G799" i="14" s="1"/>
  <c r="H799" i="14"/>
  <c r="E800" i="14"/>
  <c r="G800" i="14" s="1"/>
  <c r="H800" i="14"/>
  <c r="E801" i="14"/>
  <c r="G801" i="14" s="1"/>
  <c r="H801" i="14"/>
  <c r="E802" i="14"/>
  <c r="G802" i="14" s="1"/>
  <c r="H802" i="14"/>
  <c r="E1802" i="14"/>
  <c r="G1802" i="14" s="1"/>
  <c r="H1802" i="14"/>
  <c r="E1803" i="14"/>
  <c r="G1803" i="14" s="1"/>
  <c r="H1803" i="14"/>
  <c r="E1804" i="14"/>
  <c r="G1804" i="14" s="1"/>
  <c r="H1804" i="14"/>
  <c r="E1805" i="14"/>
  <c r="G1805" i="14" s="1"/>
  <c r="H1805" i="14"/>
  <c r="E1806" i="14"/>
  <c r="G1806" i="14" s="1"/>
  <c r="H1806" i="14"/>
  <c r="E1807" i="14"/>
  <c r="G1807" i="14" s="1"/>
  <c r="H1807" i="14"/>
  <c r="E1808" i="14"/>
  <c r="G1808" i="14" s="1"/>
  <c r="H1808" i="14"/>
  <c r="E1809" i="14"/>
  <c r="G1809" i="14" s="1"/>
  <c r="H1809" i="14"/>
  <c r="E1810" i="14"/>
  <c r="G1810" i="14" s="1"/>
  <c r="H1810" i="14"/>
  <c r="E1766" i="14"/>
  <c r="G1766" i="14" s="1"/>
  <c r="H1766" i="14"/>
  <c r="E1767" i="14"/>
  <c r="G1767" i="14" s="1"/>
  <c r="H1767" i="14"/>
  <c r="E1768" i="14"/>
  <c r="G1768" i="14" s="1"/>
  <c r="H1768" i="14"/>
  <c r="E1769" i="14"/>
  <c r="G1769" i="14" s="1"/>
  <c r="H1769" i="14"/>
  <c r="E1770" i="14"/>
  <c r="G1770" i="14" s="1"/>
  <c r="H1770" i="14"/>
  <c r="E1771" i="14"/>
  <c r="G1771" i="14" s="1"/>
  <c r="H1771" i="14"/>
  <c r="E1772" i="14"/>
  <c r="G1772" i="14" s="1"/>
  <c r="H1772" i="14"/>
  <c r="E1773" i="14"/>
  <c r="G1773" i="14" s="1"/>
  <c r="H1773" i="14"/>
  <c r="E1774" i="14"/>
  <c r="G1774" i="14" s="1"/>
  <c r="H1774" i="14"/>
  <c r="E1793" i="14"/>
  <c r="G1793" i="14" s="1"/>
  <c r="H1793" i="14"/>
  <c r="E1794" i="14"/>
  <c r="G1794" i="14" s="1"/>
  <c r="H1794" i="14"/>
  <c r="E1795" i="14"/>
  <c r="G1795" i="14" s="1"/>
  <c r="H1795" i="14"/>
  <c r="E1796" i="14"/>
  <c r="G1796" i="14" s="1"/>
  <c r="H1796" i="14"/>
  <c r="E1797" i="14"/>
  <c r="G1797" i="14" s="1"/>
  <c r="H1797" i="14"/>
  <c r="E1798" i="14"/>
  <c r="G1798" i="14" s="1"/>
  <c r="H1798" i="14"/>
  <c r="E1799" i="14"/>
  <c r="G1799" i="14" s="1"/>
  <c r="H1799" i="14"/>
  <c r="E1800" i="14"/>
  <c r="G1800" i="14" s="1"/>
  <c r="H1800" i="14"/>
  <c r="E1801" i="14"/>
  <c r="G1801" i="14" s="1"/>
  <c r="H1801" i="14"/>
  <c r="E1838" i="14"/>
  <c r="G1838" i="14" s="1"/>
  <c r="H1838" i="14"/>
  <c r="E1839" i="14"/>
  <c r="G1839" i="14" s="1"/>
  <c r="H1839" i="14"/>
  <c r="E1840" i="14"/>
  <c r="G1840" i="14" s="1"/>
  <c r="H1840" i="14"/>
  <c r="E1841" i="14"/>
  <c r="G1841" i="14" s="1"/>
  <c r="H1841" i="14"/>
  <c r="E1842" i="14"/>
  <c r="G1842" i="14" s="1"/>
  <c r="H1842" i="14"/>
  <c r="E1843" i="14"/>
  <c r="G1843" i="14" s="1"/>
  <c r="H1843" i="14"/>
  <c r="E1844" i="14"/>
  <c r="G1844" i="14" s="1"/>
  <c r="H1844" i="14"/>
  <c r="E1845" i="14"/>
  <c r="G1845" i="14" s="1"/>
  <c r="H1845" i="14"/>
  <c r="E1846" i="14"/>
  <c r="G1846" i="14" s="1"/>
  <c r="H1846" i="14"/>
  <c r="E1991" i="14"/>
  <c r="G1991" i="14" s="1"/>
  <c r="H1991" i="14"/>
  <c r="E1992" i="14"/>
  <c r="G1992" i="14" s="1"/>
  <c r="H1992" i="14"/>
  <c r="E1993" i="14"/>
  <c r="G1993" i="14" s="1"/>
  <c r="H1993" i="14"/>
  <c r="E1994" i="14"/>
  <c r="G1994" i="14" s="1"/>
  <c r="H1994" i="14"/>
  <c r="E1995" i="14"/>
  <c r="G1995" i="14" s="1"/>
  <c r="H1995" i="14"/>
  <c r="E1996" i="14"/>
  <c r="G1996" i="14" s="1"/>
  <c r="H1996" i="14"/>
  <c r="E1997" i="14"/>
  <c r="G1997" i="14" s="1"/>
  <c r="H1997" i="14"/>
  <c r="E1998" i="14"/>
  <c r="G1998" i="14" s="1"/>
  <c r="H1998" i="14"/>
  <c r="E1999" i="14"/>
  <c r="G1999" i="14" s="1"/>
  <c r="H1999" i="14"/>
  <c r="E2081" i="14"/>
  <c r="G2081" i="14" s="1"/>
  <c r="H2081" i="14"/>
  <c r="E2082" i="14"/>
  <c r="G2082" i="14" s="1"/>
  <c r="H2082" i="14"/>
  <c r="E2083" i="14"/>
  <c r="G2083" i="14" s="1"/>
  <c r="H2083" i="14"/>
  <c r="E2084" i="14"/>
  <c r="G2084" i="14" s="1"/>
  <c r="H2084" i="14"/>
  <c r="E2085" i="14"/>
  <c r="G2085" i="14" s="1"/>
  <c r="H2085" i="14"/>
  <c r="E2086" i="14"/>
  <c r="G2086" i="14" s="1"/>
  <c r="H2086" i="14"/>
  <c r="E2087" i="14"/>
  <c r="G2087" i="14" s="1"/>
  <c r="H2087" i="14"/>
  <c r="E2088" i="14"/>
  <c r="G2088" i="14" s="1"/>
  <c r="H2088" i="14"/>
  <c r="E2089" i="14"/>
  <c r="G2089" i="14" s="1"/>
  <c r="H2089" i="14"/>
  <c r="E2099" i="14"/>
  <c r="G2099" i="14" s="1"/>
  <c r="H2099" i="14"/>
  <c r="E2100" i="14"/>
  <c r="G2100" i="14" s="1"/>
  <c r="H2100" i="14"/>
  <c r="E2101" i="14"/>
  <c r="G2101" i="14" s="1"/>
  <c r="H2101" i="14"/>
  <c r="E2102" i="14"/>
  <c r="G2102" i="14" s="1"/>
  <c r="H2102" i="14"/>
  <c r="E2103" i="14"/>
  <c r="G2103" i="14" s="1"/>
  <c r="H2103" i="14"/>
  <c r="E2104" i="14"/>
  <c r="G2104" i="14" s="1"/>
  <c r="H2104" i="14"/>
  <c r="E2105" i="14"/>
  <c r="G2105" i="14" s="1"/>
  <c r="H2105" i="14"/>
  <c r="E2106" i="14"/>
  <c r="G2106" i="14" s="1"/>
  <c r="H2106" i="14"/>
  <c r="E2107" i="14"/>
  <c r="G2107" i="14" s="1"/>
  <c r="H2107" i="14"/>
  <c r="H4313" i="13"/>
  <c r="J4313" i="13" s="1"/>
  <c r="K4313" i="13"/>
  <c r="H4314" i="13"/>
  <c r="J4314" i="13" s="1"/>
  <c r="K4314" i="13"/>
  <c r="H4315" i="13"/>
  <c r="J4315" i="13" s="1"/>
  <c r="K4315" i="13"/>
  <c r="H4316" i="13"/>
  <c r="J4316" i="13" s="1"/>
  <c r="K4316" i="13"/>
  <c r="H4317" i="13"/>
  <c r="J4317" i="13" s="1"/>
  <c r="K4317" i="13"/>
  <c r="H4318" i="13"/>
  <c r="J4318" i="13" s="1"/>
  <c r="K4318" i="13"/>
  <c r="H4319" i="13"/>
  <c r="J4319" i="13" s="1"/>
  <c r="K4319" i="13"/>
  <c r="H4320" i="13"/>
  <c r="J4320" i="13" s="1"/>
  <c r="K4320" i="13"/>
  <c r="H4321" i="13"/>
  <c r="J4321" i="13" s="1"/>
  <c r="K4321" i="13"/>
  <c r="K5789" i="13"/>
  <c r="K5790" i="13"/>
  <c r="K5791" i="13"/>
  <c r="K5792" i="13"/>
  <c r="K5793" i="13"/>
  <c r="K5794" i="13"/>
  <c r="K5795" i="13"/>
  <c r="K5796" i="13"/>
  <c r="K5797" i="13"/>
  <c r="K5780" i="13"/>
  <c r="K5781" i="13"/>
  <c r="K5782" i="13"/>
  <c r="K5783" i="13"/>
  <c r="K5784" i="13"/>
  <c r="K5785" i="13"/>
  <c r="K5786" i="13"/>
  <c r="K5787" i="13"/>
  <c r="K5788" i="13"/>
  <c r="K5753" i="13"/>
  <c r="K5754" i="13"/>
  <c r="K5755" i="13"/>
  <c r="K5756" i="13"/>
  <c r="K5757" i="13"/>
  <c r="K5758" i="13"/>
  <c r="K5759" i="13"/>
  <c r="K5760" i="13"/>
  <c r="K5761" i="13"/>
  <c r="K5762" i="13"/>
  <c r="K5763" i="13"/>
  <c r="K5764" i="13"/>
  <c r="K5765" i="13"/>
  <c r="K5766" i="13"/>
  <c r="K5767" i="13"/>
  <c r="K5768" i="13"/>
  <c r="K5769" i="13"/>
  <c r="K5770" i="13"/>
  <c r="K5771" i="13"/>
  <c r="K5772" i="13"/>
  <c r="K5773" i="13"/>
  <c r="K5774" i="13"/>
  <c r="K5775" i="13"/>
  <c r="K5776" i="13"/>
  <c r="K5777" i="13"/>
  <c r="K5778" i="13"/>
  <c r="K5779" i="13"/>
  <c r="H3638" i="13"/>
  <c r="J3638" i="13" s="1"/>
  <c r="K3638" i="13"/>
  <c r="H3639" i="13"/>
  <c r="J3639" i="13" s="1"/>
  <c r="K3639" i="13"/>
  <c r="H3640" i="13"/>
  <c r="J3640" i="13" s="1"/>
  <c r="K3640" i="13"/>
  <c r="H3641" i="13"/>
  <c r="J3641" i="13" s="1"/>
  <c r="K3641" i="13"/>
  <c r="H3642" i="13"/>
  <c r="J3642" i="13" s="1"/>
  <c r="K3642" i="13"/>
  <c r="H3643" i="13"/>
  <c r="J3643" i="13" s="1"/>
  <c r="K3643" i="13"/>
  <c r="H3644" i="13"/>
  <c r="J3644" i="13" s="1"/>
  <c r="K3644" i="13"/>
  <c r="H3645" i="13"/>
  <c r="J3645" i="13" s="1"/>
  <c r="K3645" i="13"/>
  <c r="H3646" i="13"/>
  <c r="J3646" i="13" s="1"/>
  <c r="K3646" i="13"/>
  <c r="H1982" i="13"/>
  <c r="J1982" i="13" s="1"/>
  <c r="K1982" i="13"/>
  <c r="H1983" i="13"/>
  <c r="J1983" i="13" s="1"/>
  <c r="K1983" i="13"/>
  <c r="H1984" i="13"/>
  <c r="J1984" i="13" s="1"/>
  <c r="K1984" i="13"/>
  <c r="H1985" i="13"/>
  <c r="J1985" i="13" s="1"/>
  <c r="K1985" i="13"/>
  <c r="H1986" i="13"/>
  <c r="J1986" i="13" s="1"/>
  <c r="K1986" i="13"/>
  <c r="H1987" i="13"/>
  <c r="J1987" i="13" s="1"/>
  <c r="K1987" i="13"/>
  <c r="H1988" i="13"/>
  <c r="J1988" i="13" s="1"/>
  <c r="K1988" i="13"/>
  <c r="H1989" i="13"/>
  <c r="J1989" i="13" s="1"/>
  <c r="K1989" i="13"/>
  <c r="H1990" i="13"/>
  <c r="J1990" i="13" s="1"/>
  <c r="K1990" i="13"/>
  <c r="C276" i="1"/>
  <c r="K5752" i="13"/>
  <c r="K5751" i="13"/>
  <c r="K5750" i="13"/>
  <c r="K5749" i="13"/>
  <c r="K5748" i="13"/>
  <c r="K5747" i="13"/>
  <c r="K5746" i="13"/>
  <c r="K5745" i="13"/>
  <c r="K5744" i="13"/>
  <c r="K5743" i="13"/>
  <c r="K5742" i="13"/>
  <c r="K5741" i="13"/>
  <c r="K5740" i="13"/>
  <c r="K5739" i="13"/>
  <c r="K5738" i="13"/>
  <c r="K5737" i="13"/>
  <c r="K5736" i="13"/>
  <c r="K5735" i="13"/>
  <c r="K5734" i="13"/>
  <c r="K5733" i="13"/>
  <c r="K5732" i="13"/>
  <c r="K5731" i="13"/>
  <c r="K5730" i="13"/>
  <c r="K5729" i="13"/>
  <c r="K5728" i="13"/>
  <c r="K5727" i="13"/>
  <c r="K5726" i="13"/>
  <c r="K5725" i="13"/>
  <c r="K5724" i="13"/>
  <c r="K5723" i="13"/>
  <c r="K5722" i="13"/>
  <c r="K5721" i="13"/>
  <c r="K5720" i="13"/>
  <c r="K5719" i="13"/>
  <c r="K5718" i="13"/>
  <c r="K5717" i="13"/>
  <c r="K5716" i="13"/>
  <c r="K5715" i="13"/>
  <c r="K5714" i="13"/>
  <c r="K5713" i="13"/>
  <c r="K5712" i="13"/>
  <c r="K5711" i="13"/>
  <c r="K5710" i="13"/>
  <c r="K5709" i="13"/>
  <c r="K5708" i="13"/>
  <c r="K5707" i="13"/>
  <c r="K5706" i="13"/>
  <c r="K5705" i="13"/>
  <c r="K5704" i="13"/>
  <c r="K5703" i="13"/>
  <c r="K5702" i="13"/>
  <c r="K5701" i="13"/>
  <c r="K5700" i="13"/>
  <c r="K5699" i="13"/>
  <c r="K5698" i="13"/>
  <c r="K5697" i="13"/>
  <c r="K5696" i="13"/>
  <c r="K5695" i="13"/>
  <c r="K5694" i="13"/>
  <c r="K5693" i="13"/>
  <c r="K5692" i="13"/>
  <c r="K5691" i="13"/>
  <c r="K5690" i="13"/>
  <c r="K5689" i="13"/>
  <c r="K5688" i="13"/>
  <c r="K5687" i="13"/>
  <c r="K5686" i="13"/>
  <c r="K5685" i="13"/>
  <c r="K5684" i="13"/>
  <c r="K5683" i="13"/>
  <c r="K5682" i="13"/>
  <c r="K5681" i="13"/>
  <c r="K5680" i="13"/>
  <c r="K5679" i="13"/>
  <c r="K5678" i="13"/>
  <c r="K5677" i="13"/>
  <c r="K5676" i="13"/>
  <c r="K5675" i="13"/>
  <c r="K5674" i="13"/>
  <c r="K5673" i="13"/>
  <c r="K5672" i="13"/>
  <c r="K5671" i="13"/>
  <c r="K5670" i="13"/>
  <c r="K5669" i="13"/>
  <c r="K5668" i="13"/>
  <c r="K5667" i="13"/>
  <c r="K5666" i="13"/>
  <c r="K5665" i="13"/>
  <c r="K5664" i="13"/>
  <c r="K5663" i="13"/>
  <c r="K5662" i="13"/>
  <c r="K5661" i="13"/>
  <c r="K5660" i="13"/>
  <c r="K5659" i="13"/>
  <c r="K5658" i="13"/>
  <c r="K5657" i="13"/>
  <c r="K5656" i="13"/>
  <c r="K5655" i="13"/>
  <c r="K5654" i="13"/>
  <c r="K5653" i="13"/>
  <c r="K5652" i="13"/>
  <c r="K5651" i="13"/>
  <c r="K5650" i="13"/>
  <c r="K5649" i="13"/>
  <c r="K5648" i="13"/>
  <c r="K5647" i="13"/>
  <c r="K5646" i="13"/>
  <c r="K5645" i="13"/>
  <c r="K5644" i="13"/>
  <c r="K5643" i="13"/>
  <c r="K5642" i="13"/>
  <c r="K5641" i="13"/>
  <c r="K5640" i="13"/>
  <c r="K5639" i="13"/>
  <c r="K5638" i="13"/>
  <c r="K5637" i="13"/>
  <c r="K5636" i="13"/>
  <c r="K5635" i="13"/>
  <c r="K5634" i="13"/>
  <c r="K5633" i="13"/>
  <c r="K5632" i="13"/>
  <c r="K5631" i="13"/>
  <c r="K5630" i="13"/>
  <c r="K5629" i="13"/>
  <c r="K5628" i="13"/>
  <c r="K5627" i="13"/>
  <c r="K5626" i="13"/>
  <c r="K5625" i="13"/>
  <c r="K5624" i="13"/>
  <c r="K5623" i="13"/>
  <c r="K5622" i="13"/>
  <c r="K5621" i="13"/>
  <c r="K5620" i="13"/>
  <c r="K5619" i="13"/>
  <c r="K5618" i="13"/>
  <c r="K5617" i="13"/>
  <c r="K5616" i="13"/>
  <c r="K5615" i="13"/>
  <c r="K5614" i="13"/>
  <c r="K5613" i="13"/>
  <c r="K5612" i="13"/>
  <c r="K5611" i="13"/>
  <c r="K5610" i="13"/>
  <c r="K5609" i="13"/>
  <c r="K5608" i="13"/>
  <c r="K5607" i="13"/>
  <c r="K5606" i="13"/>
  <c r="K5605" i="13"/>
  <c r="K5604" i="13"/>
  <c r="K5603" i="13"/>
  <c r="K5602" i="13"/>
  <c r="K5601" i="13"/>
  <c r="K5600" i="13"/>
  <c r="K5599" i="13"/>
  <c r="K5598" i="13"/>
  <c r="K5597" i="13"/>
  <c r="K5596" i="13"/>
  <c r="K5595" i="13"/>
  <c r="K5594" i="13"/>
  <c r="K5593" i="13"/>
  <c r="K5592" i="13"/>
  <c r="K5591" i="13"/>
  <c r="K5590" i="13"/>
  <c r="K5589" i="13"/>
  <c r="K5588" i="13"/>
  <c r="K5587" i="13"/>
  <c r="K5586" i="13"/>
  <c r="K5585" i="13"/>
  <c r="K5584" i="13"/>
  <c r="K5583" i="13"/>
  <c r="K5582" i="13"/>
  <c r="K5581" i="13"/>
  <c r="K5580" i="13"/>
  <c r="K5579" i="13"/>
  <c r="K5578" i="13"/>
  <c r="K5577" i="13"/>
  <c r="K5576" i="13"/>
  <c r="K5575" i="13"/>
  <c r="K5574" i="13"/>
  <c r="K5573" i="13"/>
  <c r="K5572" i="13"/>
  <c r="K5571" i="13"/>
  <c r="K5570" i="13"/>
  <c r="K5569" i="13"/>
  <c r="K5568" i="13"/>
  <c r="K5567" i="13"/>
  <c r="K5566" i="13"/>
  <c r="K5565" i="13"/>
  <c r="K5564" i="13"/>
  <c r="K5563" i="13"/>
  <c r="K5562" i="13"/>
  <c r="K5561" i="13"/>
  <c r="K5560" i="13"/>
  <c r="K5559" i="13"/>
  <c r="K5558" i="13"/>
  <c r="K5557" i="13"/>
  <c r="K5556" i="13"/>
  <c r="K5555" i="13"/>
  <c r="K5554" i="13"/>
  <c r="K5553" i="13"/>
  <c r="K5552" i="13"/>
  <c r="K5551" i="13"/>
  <c r="K5550" i="13"/>
  <c r="K5549" i="13"/>
  <c r="K5548" i="13"/>
  <c r="K5547" i="13"/>
  <c r="K5546" i="13"/>
  <c r="K5545" i="13"/>
  <c r="K5544" i="13"/>
  <c r="K5543" i="13"/>
  <c r="K5542" i="13"/>
  <c r="K5541" i="13"/>
  <c r="K5540" i="13"/>
  <c r="K5539" i="13"/>
  <c r="K5538" i="13"/>
  <c r="K5537" i="13"/>
  <c r="K5536" i="13"/>
  <c r="K5535" i="13"/>
  <c r="K5534" i="13"/>
  <c r="K5533" i="13"/>
  <c r="K5532" i="13"/>
  <c r="K5531" i="13"/>
  <c r="K5530" i="13"/>
  <c r="K5529" i="13"/>
  <c r="K5528" i="13"/>
  <c r="K5527" i="13"/>
  <c r="K5526" i="13"/>
  <c r="K5525" i="13"/>
  <c r="K5524" i="13"/>
  <c r="K5523" i="13"/>
  <c r="K5522" i="13"/>
  <c r="K5521" i="13"/>
  <c r="K5520" i="13"/>
  <c r="K5519" i="13"/>
  <c r="K5518" i="13"/>
  <c r="K5517" i="13"/>
  <c r="K5516" i="13"/>
  <c r="K5515" i="13"/>
  <c r="K5514" i="13"/>
  <c r="K5513" i="13"/>
  <c r="K5512" i="13"/>
  <c r="K5511" i="13"/>
  <c r="K5510" i="13"/>
  <c r="K5509" i="13"/>
  <c r="K5508" i="13"/>
  <c r="K5507" i="13"/>
  <c r="K5506" i="13"/>
  <c r="K5505" i="13"/>
  <c r="K5504" i="13"/>
  <c r="K5503" i="13"/>
  <c r="K5502" i="13"/>
  <c r="K5501" i="13"/>
  <c r="K5500" i="13"/>
  <c r="K5499" i="13"/>
  <c r="K5498" i="13"/>
  <c r="K5497" i="13"/>
  <c r="K5496" i="13"/>
  <c r="K5495" i="13"/>
  <c r="K5494" i="13"/>
  <c r="K5493" i="13"/>
  <c r="K5492" i="13"/>
  <c r="K5491" i="13"/>
  <c r="K5490" i="13"/>
  <c r="K5489" i="13"/>
  <c r="K5488" i="13"/>
  <c r="K5487" i="13"/>
  <c r="K5486" i="13"/>
  <c r="K5485" i="13"/>
  <c r="K5484" i="13"/>
  <c r="K5483" i="13"/>
  <c r="K5482" i="13"/>
  <c r="K5481" i="13"/>
  <c r="K5480" i="13"/>
  <c r="K5479" i="13"/>
  <c r="K5478" i="13"/>
  <c r="K5477" i="13"/>
  <c r="K5476" i="13"/>
  <c r="K5475" i="13"/>
  <c r="K5474" i="13"/>
  <c r="K5473" i="13"/>
  <c r="K5472" i="13"/>
  <c r="K5471" i="13"/>
  <c r="K5470" i="13"/>
  <c r="K5469" i="13"/>
  <c r="K5468" i="13"/>
  <c r="K5467" i="13"/>
  <c r="K5466" i="13"/>
  <c r="K5465" i="13"/>
  <c r="K5464" i="13"/>
  <c r="K5463" i="13"/>
  <c r="K5462" i="13"/>
  <c r="K5461" i="13"/>
  <c r="K5460" i="13"/>
  <c r="K5459" i="13"/>
  <c r="K5458" i="13"/>
  <c r="K5457" i="13"/>
  <c r="K5456" i="13"/>
  <c r="K5455" i="13"/>
  <c r="K5454" i="13"/>
  <c r="K5453" i="13"/>
  <c r="K5452" i="13"/>
  <c r="K5451" i="13"/>
  <c r="K5450" i="13"/>
  <c r="K5449" i="13"/>
  <c r="K5448" i="13"/>
  <c r="K5447" i="13"/>
  <c r="K5446" i="13"/>
  <c r="K5445" i="13"/>
  <c r="K5444" i="13"/>
  <c r="K5443" i="13"/>
  <c r="K5442" i="13"/>
  <c r="K5441" i="13"/>
  <c r="K5440" i="13"/>
  <c r="K5439" i="13"/>
  <c r="K5438" i="13"/>
  <c r="K5437" i="13"/>
  <c r="K5436" i="13"/>
  <c r="K5435" i="13"/>
  <c r="K5434" i="13"/>
  <c r="K5433" i="13"/>
  <c r="K5432" i="13"/>
  <c r="K5431" i="13"/>
  <c r="K5430" i="13"/>
  <c r="K5429" i="13"/>
  <c r="K5428" i="13"/>
  <c r="K5427" i="13"/>
  <c r="K5426" i="13"/>
  <c r="K5425" i="13"/>
  <c r="K5424" i="13"/>
  <c r="K5423" i="13"/>
  <c r="K5422" i="13"/>
  <c r="K5421" i="13"/>
  <c r="K5420" i="13"/>
  <c r="K5419" i="13"/>
  <c r="K5418" i="13"/>
  <c r="K5417" i="13"/>
  <c r="K5416" i="13"/>
  <c r="K5415" i="13"/>
  <c r="K5414" i="13"/>
  <c r="K5413" i="13"/>
  <c r="K5412" i="13"/>
  <c r="K5411" i="13"/>
  <c r="K5410" i="13"/>
  <c r="K5409" i="13"/>
  <c r="K5408" i="13"/>
  <c r="K5407" i="13"/>
  <c r="K5406" i="13"/>
  <c r="K5405" i="13"/>
  <c r="K5404" i="13"/>
  <c r="K5403" i="13"/>
  <c r="K5402" i="13"/>
  <c r="K5401" i="13"/>
  <c r="K5400" i="13"/>
  <c r="K5399" i="13"/>
  <c r="K5398" i="13"/>
  <c r="K5397" i="13"/>
  <c r="K5396" i="13"/>
  <c r="K5395" i="13"/>
  <c r="K5394" i="13"/>
  <c r="K5393" i="13"/>
  <c r="K5392" i="13"/>
  <c r="K5391" i="13"/>
  <c r="K5390" i="13"/>
  <c r="K5389" i="13"/>
  <c r="K5388" i="13"/>
  <c r="K5387" i="13"/>
  <c r="K5386" i="13"/>
  <c r="K5385" i="13"/>
  <c r="K5384" i="13"/>
  <c r="K5383" i="13"/>
  <c r="K5382" i="13"/>
  <c r="K5381" i="13"/>
  <c r="K5380" i="13"/>
  <c r="K5379" i="13"/>
  <c r="K5378" i="13"/>
  <c r="K5377" i="13"/>
  <c r="K5376" i="13"/>
  <c r="K5375" i="13"/>
  <c r="K5374" i="13"/>
  <c r="K5373" i="13"/>
  <c r="K5372" i="13"/>
  <c r="K5371" i="13"/>
  <c r="K5370" i="13"/>
  <c r="K5369" i="13"/>
  <c r="K5368" i="13"/>
  <c r="K5367" i="13"/>
  <c r="K5366" i="13"/>
  <c r="K5365" i="13"/>
  <c r="K5364" i="13"/>
  <c r="K5363" i="13"/>
  <c r="K5362" i="13"/>
  <c r="K5361" i="13"/>
  <c r="K5360" i="13"/>
  <c r="K5359" i="13"/>
  <c r="K5358" i="13"/>
  <c r="K5357" i="13"/>
  <c r="K5356" i="13"/>
  <c r="K5355" i="13"/>
  <c r="K5354" i="13"/>
  <c r="K5353" i="13"/>
  <c r="K5352" i="13"/>
  <c r="K5351" i="13"/>
  <c r="K5350" i="13"/>
  <c r="K5349" i="13"/>
  <c r="K5348" i="13"/>
  <c r="K5347" i="13"/>
  <c r="K5346" i="13"/>
  <c r="K5345" i="13"/>
  <c r="K5344" i="13"/>
  <c r="K5343" i="13"/>
  <c r="K5342" i="13"/>
  <c r="K5341" i="13"/>
  <c r="K5340" i="13"/>
  <c r="K5339" i="13"/>
  <c r="K5338" i="13"/>
  <c r="K5337" i="13"/>
  <c r="K5336" i="13"/>
  <c r="K5335" i="13"/>
  <c r="K5334" i="13"/>
  <c r="K5333" i="13"/>
  <c r="K5332" i="13"/>
  <c r="K5331" i="13"/>
  <c r="K5330" i="13"/>
  <c r="K5329" i="13"/>
  <c r="K5328" i="13"/>
  <c r="K5327" i="13"/>
  <c r="K5326" i="13"/>
  <c r="K5325" i="13"/>
  <c r="K5324" i="13"/>
  <c r="K5323" i="13"/>
  <c r="K5322" i="13"/>
  <c r="K5321" i="13"/>
  <c r="K5320" i="13"/>
  <c r="K5319" i="13"/>
  <c r="K5318" i="13"/>
  <c r="K5317" i="13"/>
  <c r="K5316" i="13"/>
  <c r="K5315" i="13"/>
  <c r="K5314" i="13"/>
  <c r="K5313" i="13"/>
  <c r="K5312" i="13"/>
  <c r="K5311" i="13"/>
  <c r="K5310" i="13"/>
  <c r="K5309" i="13"/>
  <c r="K5308" i="13"/>
  <c r="K5307" i="13"/>
  <c r="K5306" i="13"/>
  <c r="K5305" i="13"/>
  <c r="K5304" i="13"/>
  <c r="K5303" i="13"/>
  <c r="K5302" i="13"/>
  <c r="K5301" i="13"/>
  <c r="K5300" i="13"/>
  <c r="K5299" i="13"/>
  <c r="K5298" i="13"/>
  <c r="K5297" i="13"/>
  <c r="K5296" i="13"/>
  <c r="K5295" i="13"/>
  <c r="K5294" i="13"/>
  <c r="K5293" i="13"/>
  <c r="K5292" i="13"/>
  <c r="K5291" i="13"/>
  <c r="K5290" i="13"/>
  <c r="K5289" i="13"/>
  <c r="K5288" i="13"/>
  <c r="K5287" i="13"/>
  <c r="K5286" i="13"/>
  <c r="K5285" i="13"/>
  <c r="K5284" i="13"/>
  <c r="K5283" i="13"/>
  <c r="K5282" i="13"/>
  <c r="K5281" i="13"/>
  <c r="K5280" i="13"/>
  <c r="K5279" i="13"/>
  <c r="K5278" i="13"/>
  <c r="K5277" i="13"/>
  <c r="K5276" i="13"/>
  <c r="K5275" i="13"/>
  <c r="K5274" i="13"/>
  <c r="K5273" i="13"/>
  <c r="K5272" i="13"/>
  <c r="K5271" i="13"/>
  <c r="K5270" i="13"/>
  <c r="K5269" i="13"/>
  <c r="K5268" i="13"/>
  <c r="K5267" i="13"/>
  <c r="K5266" i="13"/>
  <c r="K5265" i="13"/>
  <c r="K5264" i="13"/>
  <c r="K5263" i="13"/>
  <c r="K5262" i="13"/>
  <c r="K5261" i="13"/>
  <c r="K5260" i="13"/>
  <c r="K5259" i="13"/>
  <c r="K5258" i="13"/>
  <c r="K5257" i="13"/>
  <c r="K5256" i="13"/>
  <c r="K5255" i="13"/>
  <c r="K5254" i="13"/>
  <c r="K5253" i="13"/>
  <c r="K5252" i="13"/>
  <c r="K5251" i="13"/>
  <c r="K5250" i="13"/>
  <c r="K5249" i="13"/>
  <c r="K5248" i="13"/>
  <c r="K5247" i="13"/>
  <c r="K5246" i="13"/>
  <c r="K5245" i="13"/>
  <c r="K5244" i="13"/>
  <c r="K5243" i="13"/>
  <c r="K5242" i="13"/>
  <c r="K5241" i="13"/>
  <c r="K5240" i="13"/>
  <c r="K5239" i="13"/>
  <c r="K5238" i="13"/>
  <c r="K5237" i="13"/>
  <c r="K5236" i="13"/>
  <c r="K5235" i="13"/>
  <c r="K5234" i="13"/>
  <c r="K5233" i="13"/>
  <c r="K5232" i="13"/>
  <c r="K5231" i="13"/>
  <c r="K5230" i="13"/>
  <c r="K5229" i="13"/>
  <c r="K5228" i="13"/>
  <c r="K5227" i="13"/>
  <c r="K5226" i="13"/>
  <c r="K5225" i="13"/>
  <c r="K5224" i="13"/>
  <c r="K5223" i="13"/>
  <c r="K5222" i="13"/>
  <c r="K5221" i="13"/>
  <c r="K5220" i="13"/>
  <c r="K5219" i="13"/>
  <c r="K5218" i="13"/>
  <c r="K5217" i="13"/>
  <c r="K5216" i="13"/>
  <c r="K5215" i="13"/>
  <c r="K5214" i="13"/>
  <c r="K5213" i="13"/>
  <c r="K5212" i="13"/>
  <c r="K5211" i="13"/>
  <c r="K5210" i="13"/>
  <c r="K5209" i="13"/>
  <c r="K5208" i="13"/>
  <c r="K5207" i="13"/>
  <c r="K5206" i="13"/>
  <c r="K5205" i="13"/>
  <c r="K5204" i="13"/>
  <c r="K5203" i="13"/>
  <c r="K5202" i="13"/>
  <c r="K5201" i="13"/>
  <c r="K5200" i="13"/>
  <c r="K5199" i="13"/>
  <c r="K5198" i="13"/>
  <c r="K5197" i="13"/>
  <c r="K5196" i="13"/>
  <c r="K5195" i="13"/>
  <c r="K5194" i="13"/>
  <c r="K5193" i="13"/>
  <c r="K5192" i="13"/>
  <c r="K5191" i="13"/>
  <c r="K5190" i="13"/>
  <c r="K5189" i="13"/>
  <c r="K5188" i="13"/>
  <c r="K5187" i="13"/>
  <c r="K5186" i="13"/>
  <c r="K5185" i="13"/>
  <c r="K5184" i="13"/>
  <c r="K5183" i="13"/>
  <c r="K5182" i="13"/>
  <c r="K5181" i="13"/>
  <c r="K5180" i="13"/>
  <c r="K5179" i="13"/>
  <c r="K5178" i="13"/>
  <c r="K5177" i="13"/>
  <c r="K5176" i="13"/>
  <c r="K5175" i="13"/>
  <c r="K5174" i="13"/>
  <c r="K5173" i="13"/>
  <c r="K5172" i="13"/>
  <c r="K5171" i="13"/>
  <c r="K5170" i="13"/>
  <c r="K5169" i="13"/>
  <c r="K5168" i="13"/>
  <c r="K5167" i="13"/>
  <c r="K5166" i="13"/>
  <c r="K5165" i="13"/>
  <c r="K5164" i="13"/>
  <c r="K5163" i="13"/>
  <c r="K5162" i="13"/>
  <c r="K5161" i="13"/>
  <c r="K5160" i="13"/>
  <c r="K5159" i="13"/>
  <c r="K5158" i="13"/>
  <c r="K5157" i="13"/>
  <c r="K5156" i="13"/>
  <c r="K5155" i="13"/>
  <c r="K5154" i="13"/>
  <c r="K5153" i="13"/>
  <c r="K5152" i="13"/>
  <c r="K5151" i="13"/>
  <c r="K5150" i="13"/>
  <c r="K5149" i="13"/>
  <c r="K5148" i="13"/>
  <c r="K5147" i="13"/>
  <c r="K5146" i="13"/>
  <c r="K5145" i="13"/>
  <c r="K5144" i="13"/>
  <c r="K5143" i="13"/>
  <c r="K5142" i="13"/>
  <c r="K5141" i="13"/>
  <c r="K5140" i="13"/>
  <c r="K5139" i="13"/>
  <c r="K5138" i="13"/>
  <c r="K5137" i="13"/>
  <c r="K5136" i="13"/>
  <c r="K5135" i="13"/>
  <c r="K5134" i="13"/>
  <c r="K5133" i="13"/>
  <c r="K5132" i="13"/>
  <c r="K5131" i="13"/>
  <c r="K5130" i="13"/>
  <c r="K5129" i="13"/>
  <c r="K5128" i="13"/>
  <c r="K5127" i="13"/>
  <c r="K5126" i="13"/>
  <c r="K5125" i="13"/>
  <c r="K5124" i="13"/>
  <c r="K5123" i="13"/>
  <c r="K5122" i="13"/>
  <c r="K5121" i="13"/>
  <c r="K5120" i="13"/>
  <c r="K5119" i="13"/>
  <c r="K5118" i="13"/>
  <c r="K5117" i="13"/>
  <c r="K5116" i="13"/>
  <c r="K5115" i="13"/>
  <c r="K5114" i="13"/>
  <c r="K5113" i="13"/>
  <c r="K5112" i="13"/>
  <c r="K5111" i="13"/>
  <c r="K5110" i="13"/>
  <c r="K5109" i="13"/>
  <c r="K5108" i="13"/>
  <c r="K5107" i="13"/>
  <c r="K5106" i="13"/>
  <c r="K5105" i="13"/>
  <c r="K5104" i="13"/>
  <c r="K5103" i="13"/>
  <c r="K5102" i="13"/>
  <c r="K5101" i="13"/>
  <c r="K5100" i="13"/>
  <c r="K5099" i="13"/>
  <c r="K5098" i="13"/>
  <c r="K5097" i="13"/>
  <c r="K5096" i="13"/>
  <c r="K5095" i="13"/>
  <c r="K5094" i="13"/>
  <c r="K5093" i="13"/>
  <c r="K5092" i="13"/>
  <c r="K5091" i="13"/>
  <c r="K5090" i="13"/>
  <c r="K5089" i="13"/>
  <c r="K5088" i="13"/>
  <c r="K5087" i="13"/>
  <c r="K5086" i="13"/>
  <c r="K5085" i="13"/>
  <c r="K5084" i="13"/>
  <c r="K5083" i="13"/>
  <c r="K5082" i="13"/>
  <c r="K5081" i="13"/>
  <c r="K5080" i="13"/>
  <c r="K5079" i="13"/>
  <c r="K5078" i="13"/>
  <c r="K5077" i="13"/>
  <c r="K5076" i="13"/>
  <c r="K5075" i="13"/>
  <c r="K5074" i="13"/>
  <c r="K5073" i="13"/>
  <c r="K5072" i="13"/>
  <c r="K5071" i="13"/>
  <c r="K5070" i="13"/>
  <c r="K5069" i="13"/>
  <c r="K5068" i="13"/>
  <c r="K5067" i="13"/>
  <c r="K5066" i="13"/>
  <c r="K5065" i="13"/>
  <c r="K5064" i="13"/>
  <c r="K5063" i="13"/>
  <c r="K5062" i="13"/>
  <c r="K5061" i="13"/>
  <c r="K5060" i="13"/>
  <c r="K5059" i="13"/>
  <c r="K5058" i="13"/>
  <c r="K5057" i="13"/>
  <c r="K5056" i="13"/>
  <c r="K5055" i="13"/>
  <c r="K5054" i="13"/>
  <c r="K5053" i="13"/>
  <c r="K5052" i="13"/>
  <c r="K5051" i="13"/>
  <c r="K5050" i="13"/>
  <c r="K5049" i="13"/>
  <c r="K5048" i="13"/>
  <c r="K5047" i="13"/>
  <c r="K5046" i="13"/>
  <c r="K5045" i="13"/>
  <c r="K5044" i="13"/>
  <c r="K5043" i="13"/>
  <c r="K5042" i="13"/>
  <c r="K5041" i="13"/>
  <c r="K5040" i="13"/>
  <c r="K5039" i="13"/>
  <c r="K5038" i="13"/>
  <c r="K5037" i="13"/>
  <c r="K5036" i="13"/>
  <c r="K5035" i="13"/>
  <c r="K5034" i="13"/>
  <c r="K5033" i="13"/>
  <c r="K5032" i="13"/>
  <c r="K5031" i="13"/>
  <c r="K5030" i="13"/>
  <c r="K5029" i="13"/>
  <c r="K5028" i="13"/>
  <c r="K5027" i="13"/>
  <c r="K5026" i="13"/>
  <c r="K5025" i="13"/>
  <c r="K5024" i="13"/>
  <c r="K5023" i="13"/>
  <c r="K5022" i="13"/>
  <c r="K5021" i="13"/>
  <c r="K5020" i="13"/>
  <c r="K5019" i="13"/>
  <c r="K5018" i="13"/>
  <c r="K5017" i="13"/>
  <c r="K5016" i="13"/>
  <c r="K5015" i="13"/>
  <c r="K5014" i="13"/>
  <c r="K5013" i="13"/>
  <c r="K5012" i="13"/>
  <c r="K5011" i="13"/>
  <c r="K5010" i="13"/>
  <c r="K5009" i="13"/>
  <c r="K5008" i="13"/>
  <c r="K5007" i="13"/>
  <c r="K5006" i="13"/>
  <c r="K5005" i="13"/>
  <c r="K5004" i="13"/>
  <c r="K5003" i="13"/>
  <c r="K5002" i="13"/>
  <c r="K5001" i="13"/>
  <c r="K5000" i="13"/>
  <c r="K4999" i="13"/>
  <c r="K4998" i="13"/>
  <c r="K4997" i="13"/>
  <c r="K4996" i="13"/>
  <c r="K4995" i="13"/>
  <c r="K4994" i="13"/>
  <c r="K4993" i="13"/>
  <c r="K4992" i="13"/>
  <c r="K4991" i="13"/>
  <c r="K4990" i="13"/>
  <c r="K4989" i="13"/>
  <c r="K4988" i="13"/>
  <c r="K4987" i="13"/>
  <c r="K4986" i="13"/>
  <c r="K4985" i="13"/>
  <c r="K4984" i="13"/>
  <c r="K4983" i="13"/>
  <c r="K4982" i="13"/>
  <c r="K4981" i="13"/>
  <c r="K4980" i="13"/>
  <c r="K4979" i="13"/>
  <c r="K4978" i="13"/>
  <c r="K4977" i="13"/>
  <c r="K4976" i="13"/>
  <c r="K4975" i="13"/>
  <c r="K4974" i="13"/>
  <c r="K4973" i="13"/>
  <c r="K4972" i="13"/>
  <c r="K4971" i="13"/>
  <c r="K4970" i="13"/>
  <c r="K4969" i="13"/>
  <c r="K4968" i="13"/>
  <c r="K4967" i="13"/>
  <c r="K4966" i="13"/>
  <c r="K4965" i="13"/>
  <c r="K4964" i="13"/>
  <c r="K4963" i="13"/>
  <c r="K4962" i="13"/>
  <c r="K4961" i="13"/>
  <c r="K4960" i="13"/>
  <c r="K4959" i="13"/>
  <c r="K4958" i="13"/>
  <c r="K4957" i="13"/>
  <c r="K4956" i="13"/>
  <c r="K4955" i="13"/>
  <c r="K4954" i="13"/>
  <c r="K4953" i="13"/>
  <c r="K4952" i="13"/>
  <c r="K4951" i="13"/>
  <c r="K4950" i="13"/>
  <c r="K4949" i="13"/>
  <c r="K4948" i="13"/>
  <c r="K4947" i="13"/>
  <c r="K4946" i="13"/>
  <c r="K4945" i="13"/>
  <c r="K4944" i="13"/>
  <c r="K4943" i="13"/>
  <c r="K4942" i="13"/>
  <c r="K4941" i="13"/>
  <c r="K4940" i="13"/>
  <c r="K4939" i="13"/>
  <c r="K4938" i="13"/>
  <c r="K4937" i="13"/>
  <c r="K4936" i="13"/>
  <c r="K4935" i="13"/>
  <c r="K4934" i="13"/>
  <c r="K4933" i="13"/>
  <c r="K4932" i="13"/>
  <c r="K4931" i="13"/>
  <c r="K4930" i="13"/>
  <c r="K4929" i="13"/>
  <c r="K4928" i="13"/>
  <c r="K4927" i="13"/>
  <c r="K4926" i="13"/>
  <c r="K4925" i="13"/>
  <c r="K4924" i="13"/>
  <c r="K4923" i="13"/>
  <c r="K4922" i="13"/>
  <c r="K4921" i="13"/>
  <c r="K4920" i="13"/>
  <c r="K4919" i="13"/>
  <c r="K4918" i="13"/>
  <c r="K4917" i="13"/>
  <c r="K4916" i="13"/>
  <c r="K4915" i="13"/>
  <c r="K4914" i="13"/>
  <c r="K4913" i="13"/>
  <c r="K4912" i="13"/>
  <c r="K4911" i="13"/>
  <c r="K4910" i="13"/>
  <c r="K4909" i="13"/>
  <c r="K4908" i="13"/>
  <c r="K4907" i="13"/>
  <c r="K4906" i="13"/>
  <c r="K4905" i="13"/>
  <c r="K4904" i="13"/>
  <c r="K4903" i="13"/>
  <c r="K4902" i="13"/>
  <c r="K4901" i="13"/>
  <c r="K4900" i="13"/>
  <c r="K4899" i="13"/>
  <c r="K4898" i="13"/>
  <c r="K4897" i="13"/>
  <c r="K4896" i="13"/>
  <c r="K4895" i="13"/>
  <c r="K4894" i="13"/>
  <c r="K4893" i="13"/>
  <c r="K4892" i="13"/>
  <c r="K4891" i="13"/>
  <c r="K4890" i="13"/>
  <c r="K4889" i="13"/>
  <c r="K4888" i="13"/>
  <c r="K4887" i="13"/>
  <c r="K4886" i="13"/>
  <c r="K4885" i="13"/>
  <c r="K4884" i="13"/>
  <c r="K4883" i="13"/>
  <c r="K4882" i="13"/>
  <c r="K4881" i="13"/>
  <c r="K4880" i="13"/>
  <c r="K4879" i="13"/>
  <c r="K4878" i="13"/>
  <c r="K4877" i="13"/>
  <c r="K4876" i="13"/>
  <c r="K4875" i="13"/>
  <c r="K4874" i="13"/>
  <c r="K4873" i="13"/>
  <c r="K4872" i="13"/>
  <c r="K4871" i="13"/>
  <c r="K4870" i="13"/>
  <c r="K4869" i="13"/>
  <c r="K4868" i="13"/>
  <c r="K4867" i="13"/>
  <c r="K4866" i="13"/>
  <c r="K4865" i="13"/>
  <c r="K4864" i="13"/>
  <c r="K4863" i="13"/>
  <c r="K4862" i="13"/>
  <c r="K4861" i="13"/>
  <c r="K4860" i="13"/>
  <c r="K4859" i="13"/>
  <c r="K4858" i="13"/>
  <c r="K4857" i="13"/>
  <c r="K4856" i="13"/>
  <c r="K4855" i="13"/>
  <c r="K4854" i="13"/>
  <c r="K4853" i="13"/>
  <c r="K4852" i="13"/>
  <c r="K4851" i="13"/>
  <c r="K4850" i="13"/>
  <c r="K4849" i="13"/>
  <c r="K4848" i="13"/>
  <c r="K4847" i="13"/>
  <c r="K4846" i="13"/>
  <c r="K4845" i="13"/>
  <c r="K4844" i="13"/>
  <c r="K4843" i="13"/>
  <c r="K4842" i="13"/>
  <c r="K4841" i="13"/>
  <c r="K4840" i="13"/>
  <c r="K4839" i="13"/>
  <c r="K4838" i="13"/>
  <c r="K4837" i="13"/>
  <c r="K4836" i="13"/>
  <c r="K4835" i="13"/>
  <c r="K4834" i="13"/>
  <c r="K4833" i="13"/>
  <c r="K4832" i="13"/>
  <c r="K4831" i="13"/>
  <c r="K4830" i="13"/>
  <c r="K4829" i="13"/>
  <c r="K4828" i="13"/>
  <c r="K4827" i="13"/>
  <c r="K4826" i="13"/>
  <c r="K4825" i="13"/>
  <c r="K4824" i="13"/>
  <c r="K4823" i="13"/>
  <c r="K4822" i="13"/>
  <c r="K4821" i="13"/>
  <c r="K4820" i="13"/>
  <c r="K4819" i="13"/>
  <c r="K4818" i="13"/>
  <c r="K4817" i="13"/>
  <c r="K4816" i="13"/>
  <c r="K4815" i="13"/>
  <c r="K4814" i="13"/>
  <c r="K4813" i="13"/>
  <c r="K4812" i="13"/>
  <c r="K4811" i="13"/>
  <c r="K4810" i="13"/>
  <c r="K4809" i="13"/>
  <c r="K4808" i="13"/>
  <c r="K4807" i="13"/>
  <c r="K4806" i="13"/>
  <c r="K4805" i="13"/>
  <c r="K4804" i="13"/>
  <c r="K4803" i="13"/>
  <c r="K4802" i="13"/>
  <c r="K4801" i="13"/>
  <c r="K4800" i="13"/>
  <c r="K4799" i="13"/>
  <c r="K4798" i="13"/>
  <c r="K4797" i="13"/>
  <c r="K4796" i="13"/>
  <c r="K4795" i="13"/>
  <c r="K4794" i="13"/>
  <c r="K4793" i="13"/>
  <c r="K4792" i="13"/>
  <c r="K4791" i="13"/>
  <c r="K4790" i="13"/>
  <c r="K4789" i="13"/>
  <c r="K4788" i="13"/>
  <c r="K4787" i="13"/>
  <c r="K4786" i="13"/>
  <c r="K4785" i="13"/>
  <c r="K4784" i="13"/>
  <c r="K4783" i="13"/>
  <c r="K4782" i="13"/>
  <c r="K4781" i="13"/>
  <c r="C36" i="15"/>
  <c r="C45" i="15"/>
  <c r="C59" i="15"/>
  <c r="C86" i="15"/>
  <c r="C126" i="15"/>
  <c r="C137" i="15"/>
  <c r="H2" i="22"/>
  <c r="H3" i="22"/>
  <c r="H4" i="22"/>
  <c r="H5" i="22"/>
  <c r="H6" i="22"/>
  <c r="H7" i="22"/>
  <c r="H8" i="22"/>
  <c r="H9" i="22"/>
  <c r="H10" i="22"/>
  <c r="H11" i="22"/>
  <c r="H12" i="22"/>
  <c r="H13" i="22"/>
  <c r="H14" i="22"/>
  <c r="H15" i="22"/>
  <c r="H16" i="22"/>
  <c r="H17" i="22"/>
  <c r="H18" i="22"/>
  <c r="H19" i="22"/>
  <c r="H20" i="22"/>
  <c r="H21" i="22"/>
  <c r="H22" i="22"/>
  <c r="H23" i="22"/>
  <c r="H24" i="22"/>
  <c r="H25" i="22"/>
  <c r="H26" i="22"/>
  <c r="H27" i="22"/>
  <c r="H28" i="22"/>
  <c r="H29" i="22"/>
  <c r="H30" i="22"/>
  <c r="H31" i="22"/>
  <c r="H32" i="22"/>
  <c r="H33" i="22"/>
  <c r="H34" i="22"/>
  <c r="H35" i="22"/>
  <c r="H36" i="22"/>
  <c r="H37" i="22"/>
  <c r="H38" i="22"/>
  <c r="H39" i="22"/>
  <c r="H40" i="22"/>
  <c r="H41" i="22"/>
  <c r="H42" i="22"/>
  <c r="H43" i="22"/>
  <c r="H44" i="22"/>
  <c r="H45" i="22"/>
  <c r="H46" i="22"/>
  <c r="H47" i="22"/>
  <c r="H48" i="22"/>
  <c r="H49" i="22"/>
  <c r="H50" i="22"/>
  <c r="H51" i="22"/>
  <c r="H52" i="22"/>
  <c r="H53" i="22"/>
  <c r="H54" i="22"/>
  <c r="H55" i="22"/>
  <c r="H56" i="22"/>
  <c r="H57" i="22"/>
  <c r="H58" i="22"/>
  <c r="H59" i="22"/>
  <c r="H60" i="22"/>
  <c r="H61" i="22"/>
  <c r="H62" i="22"/>
  <c r="H63" i="22"/>
  <c r="H64" i="22"/>
  <c r="H65" i="22"/>
  <c r="H66" i="22"/>
  <c r="H67" i="22"/>
  <c r="H68" i="22"/>
  <c r="H69" i="22"/>
  <c r="H70" i="22"/>
  <c r="H71" i="22"/>
  <c r="H72" i="22"/>
  <c r="H73" i="22"/>
  <c r="H74" i="22"/>
  <c r="H75" i="22"/>
  <c r="H76" i="22"/>
  <c r="H77" i="22"/>
  <c r="H78" i="22"/>
  <c r="H79" i="22"/>
  <c r="H80" i="22"/>
  <c r="H81" i="22"/>
  <c r="H82" i="22"/>
  <c r="H83" i="22"/>
  <c r="H84" i="22"/>
  <c r="H85" i="22"/>
  <c r="H86" i="22"/>
  <c r="H87" i="22"/>
  <c r="H88" i="22"/>
  <c r="H89" i="22"/>
  <c r="H90" i="22"/>
  <c r="H91" i="22"/>
  <c r="H92" i="22"/>
  <c r="H93" i="22"/>
  <c r="H94" i="22"/>
  <c r="H95" i="22"/>
  <c r="H96" i="22"/>
  <c r="H97" i="22"/>
  <c r="H98" i="22"/>
  <c r="H99" i="22"/>
  <c r="H100" i="22"/>
  <c r="H101" i="22"/>
  <c r="H102" i="22"/>
  <c r="H103" i="22"/>
  <c r="H104" i="22"/>
  <c r="H105" i="22"/>
  <c r="H106" i="22"/>
  <c r="H107" i="22"/>
  <c r="H108" i="22"/>
  <c r="H109" i="22"/>
  <c r="H110" i="22"/>
  <c r="H111" i="22"/>
  <c r="H112" i="22"/>
  <c r="H113" i="22"/>
  <c r="H114" i="22"/>
  <c r="H115" i="22"/>
  <c r="H116" i="22"/>
  <c r="H117" i="22"/>
  <c r="H118" i="22"/>
  <c r="H119" i="22"/>
  <c r="H120" i="22"/>
  <c r="H121" i="22"/>
  <c r="H122" i="22"/>
  <c r="H123" i="22"/>
  <c r="H124" i="22"/>
  <c r="H125" i="22"/>
  <c r="H126" i="22"/>
  <c r="H127" i="22"/>
  <c r="H128" i="22"/>
  <c r="H129" i="22"/>
  <c r="H130" i="22"/>
  <c r="H131" i="22"/>
  <c r="H132" i="22"/>
  <c r="H133" i="22"/>
  <c r="H134" i="22"/>
  <c r="H135" i="22"/>
  <c r="H136" i="22"/>
  <c r="H137" i="22"/>
  <c r="H138" i="22"/>
  <c r="H139" i="22"/>
  <c r="H140" i="22"/>
  <c r="H141" i="22"/>
  <c r="H142" i="22"/>
  <c r="H143" i="22"/>
  <c r="H144" i="22"/>
  <c r="H145" i="22"/>
  <c r="H146" i="22"/>
  <c r="H147" i="22"/>
  <c r="H148" i="22"/>
  <c r="H149" i="22"/>
  <c r="H150" i="22"/>
  <c r="H151" i="22"/>
  <c r="H152" i="22"/>
  <c r="H153" i="22"/>
  <c r="H154" i="22"/>
  <c r="H155" i="22"/>
  <c r="H156" i="22"/>
  <c r="H157" i="22"/>
  <c r="H158" i="22"/>
  <c r="H159" i="22"/>
  <c r="H160" i="22"/>
  <c r="H161" i="22"/>
  <c r="H162" i="22"/>
  <c r="H163" i="22"/>
  <c r="H164" i="22"/>
  <c r="H165" i="22"/>
  <c r="H166" i="22"/>
  <c r="H167" i="22"/>
  <c r="H168" i="22"/>
  <c r="H169" i="22"/>
  <c r="H170" i="22"/>
  <c r="H171" i="22"/>
  <c r="H172" i="22"/>
  <c r="H173" i="22"/>
  <c r="H174" i="22"/>
  <c r="H175" i="22"/>
  <c r="H176" i="22"/>
  <c r="H177" i="22"/>
  <c r="H178" i="22"/>
  <c r="H179" i="22"/>
  <c r="H180" i="22"/>
  <c r="H181" i="22"/>
  <c r="H182" i="22"/>
  <c r="H183" i="22"/>
  <c r="H184" i="22"/>
  <c r="H185" i="22"/>
  <c r="H186" i="22"/>
  <c r="H187" i="22"/>
  <c r="H188" i="22"/>
  <c r="H189" i="22"/>
  <c r="H190" i="22"/>
  <c r="H191" i="22"/>
  <c r="H192" i="22"/>
  <c r="H193" i="22"/>
  <c r="H194" i="22"/>
  <c r="H195" i="22"/>
  <c r="H196" i="22"/>
  <c r="H197" i="22"/>
  <c r="H198" i="22"/>
  <c r="H199" i="22"/>
  <c r="H200" i="22"/>
  <c r="H201" i="22"/>
  <c r="H202" i="22"/>
  <c r="H203" i="22"/>
  <c r="H204" i="22"/>
  <c r="H205" i="22"/>
  <c r="H206" i="22"/>
  <c r="H207" i="22"/>
  <c r="H208" i="22"/>
  <c r="H209" i="22"/>
  <c r="H210" i="22"/>
  <c r="H211" i="22"/>
  <c r="H212" i="22"/>
  <c r="H213" i="22"/>
  <c r="H214" i="22"/>
  <c r="H215" i="22"/>
  <c r="H216" i="22"/>
  <c r="H217" i="22"/>
  <c r="H218" i="22"/>
  <c r="H219" i="22"/>
  <c r="H220" i="22"/>
  <c r="H221" i="22"/>
  <c r="H222" i="22"/>
  <c r="H223" i="22"/>
  <c r="H224" i="22"/>
  <c r="H225" i="22"/>
  <c r="H226" i="22"/>
  <c r="H227" i="22"/>
  <c r="H228" i="22"/>
  <c r="H229" i="22"/>
  <c r="H230" i="22"/>
  <c r="H231" i="22"/>
  <c r="H232" i="22"/>
  <c r="H233" i="22"/>
  <c r="H234" i="22"/>
  <c r="H235" i="22"/>
  <c r="H236" i="22"/>
  <c r="H237" i="22"/>
  <c r="H238" i="22"/>
  <c r="H239" i="22"/>
  <c r="H240" i="22"/>
  <c r="H241" i="22"/>
  <c r="H242" i="22"/>
  <c r="H243" i="22"/>
  <c r="H244" i="22"/>
  <c r="H245" i="22"/>
  <c r="H246" i="22"/>
  <c r="H247" i="22"/>
  <c r="H248" i="22"/>
  <c r="H249" i="22"/>
  <c r="H250" i="22"/>
  <c r="H251" i="22"/>
  <c r="H252" i="22"/>
  <c r="H253" i="22"/>
  <c r="H254" i="22"/>
  <c r="H255" i="22"/>
  <c r="H256" i="22"/>
  <c r="H257" i="22"/>
  <c r="H258" i="22"/>
  <c r="H259" i="22"/>
  <c r="H260" i="22"/>
  <c r="H261" i="22"/>
  <c r="H262" i="22"/>
  <c r="H263" i="22"/>
  <c r="H264" i="22"/>
  <c r="H265" i="22"/>
  <c r="H266" i="22"/>
  <c r="H267" i="22"/>
  <c r="H268" i="22"/>
  <c r="H269" i="22"/>
  <c r="H270" i="22"/>
  <c r="H271" i="22"/>
  <c r="H272" i="22"/>
  <c r="H273" i="22"/>
  <c r="H274" i="22"/>
  <c r="H275" i="22"/>
  <c r="H276" i="22"/>
  <c r="H277" i="22"/>
  <c r="H278" i="22"/>
  <c r="H279" i="22"/>
  <c r="H280" i="22"/>
  <c r="H281" i="22"/>
  <c r="H282" i="22"/>
  <c r="H283" i="22"/>
  <c r="H284" i="22"/>
  <c r="H285" i="22"/>
  <c r="H286" i="22"/>
  <c r="H287" i="22"/>
  <c r="H288" i="22"/>
  <c r="H289" i="22"/>
  <c r="H290" i="22"/>
  <c r="H291" i="22"/>
  <c r="H292" i="22"/>
  <c r="H293" i="22"/>
  <c r="H294" i="22"/>
  <c r="H295" i="22"/>
  <c r="H296" i="22"/>
  <c r="H297" i="22"/>
  <c r="H298" i="22"/>
  <c r="H299" i="22"/>
  <c r="H300" i="22"/>
  <c r="H301" i="22"/>
  <c r="H302" i="22"/>
  <c r="H303" i="22"/>
  <c r="H304" i="22"/>
  <c r="H305" i="22"/>
  <c r="H306" i="22"/>
  <c r="H307" i="22"/>
  <c r="H308" i="22"/>
  <c r="H309" i="22"/>
  <c r="H310" i="22"/>
  <c r="H311" i="22"/>
  <c r="H312" i="22"/>
  <c r="H313" i="22"/>
  <c r="H314" i="22"/>
  <c r="H315" i="22"/>
  <c r="H316" i="22"/>
  <c r="H317" i="22"/>
  <c r="H318" i="22"/>
  <c r="H319" i="22"/>
  <c r="H320" i="22"/>
  <c r="H321" i="22"/>
  <c r="H322" i="22"/>
  <c r="H323" i="22"/>
  <c r="H324" i="22"/>
  <c r="H325" i="22"/>
  <c r="H326" i="22"/>
  <c r="H327" i="22"/>
  <c r="H328" i="22"/>
  <c r="H329" i="22"/>
  <c r="H330" i="22"/>
  <c r="H331" i="22"/>
  <c r="H332" i="22"/>
  <c r="H333" i="22"/>
  <c r="H334" i="22"/>
  <c r="H335" i="22"/>
  <c r="H336" i="22"/>
  <c r="H337" i="22"/>
  <c r="H338" i="22"/>
  <c r="H339" i="22"/>
  <c r="H340" i="22"/>
  <c r="H341" i="22"/>
  <c r="H342" i="22"/>
  <c r="H343" i="22"/>
  <c r="H344" i="22"/>
  <c r="H345" i="22"/>
  <c r="H346" i="22"/>
  <c r="H347" i="22"/>
  <c r="H348" i="22"/>
  <c r="H349" i="22"/>
  <c r="H350" i="22"/>
  <c r="H351" i="22"/>
  <c r="H352" i="22"/>
  <c r="H353" i="22"/>
  <c r="H354" i="22"/>
  <c r="H355" i="22"/>
  <c r="H356" i="22"/>
  <c r="H357" i="22"/>
  <c r="H358" i="22"/>
  <c r="H359" i="22"/>
  <c r="H360" i="22"/>
  <c r="H361" i="22"/>
  <c r="H362" i="22"/>
  <c r="H363" i="22"/>
  <c r="H364" i="22"/>
  <c r="H365" i="22"/>
  <c r="H366" i="22"/>
  <c r="H367" i="22"/>
  <c r="H368" i="22"/>
  <c r="H369" i="22"/>
  <c r="H370" i="22"/>
  <c r="H371" i="22"/>
  <c r="H372" i="22"/>
  <c r="H373" i="22"/>
  <c r="H374" i="22"/>
  <c r="H375" i="22"/>
  <c r="H376" i="22"/>
  <c r="H377" i="22"/>
  <c r="H378" i="22"/>
  <c r="H379" i="22"/>
  <c r="H380" i="22"/>
  <c r="H381" i="22"/>
  <c r="H382" i="22"/>
  <c r="H383" i="22"/>
  <c r="H384" i="22"/>
  <c r="H385" i="22"/>
  <c r="H386" i="22"/>
  <c r="H387" i="22"/>
  <c r="H388" i="22"/>
  <c r="H389" i="22"/>
  <c r="H390" i="22"/>
  <c r="H391" i="22"/>
  <c r="H392" i="22"/>
  <c r="H393" i="22"/>
  <c r="H394" i="22"/>
  <c r="H395" i="22"/>
  <c r="H396" i="22"/>
  <c r="H397" i="22"/>
  <c r="H398" i="22"/>
  <c r="H399" i="22"/>
  <c r="H400" i="22"/>
  <c r="H401" i="22"/>
  <c r="H402" i="22"/>
  <c r="H403" i="22"/>
  <c r="H404" i="22"/>
  <c r="H405" i="22"/>
  <c r="H406" i="22"/>
  <c r="H407" i="22"/>
  <c r="H408" i="22"/>
  <c r="H409" i="22"/>
  <c r="H410" i="22"/>
  <c r="H411" i="22"/>
  <c r="H412" i="22"/>
  <c r="H413" i="22"/>
  <c r="H414" i="22"/>
  <c r="H415" i="22"/>
  <c r="H416" i="22"/>
  <c r="H417" i="22"/>
  <c r="H418" i="22"/>
  <c r="H419" i="22"/>
  <c r="H420" i="22"/>
  <c r="H421" i="22"/>
  <c r="H422" i="22"/>
  <c r="H423" i="22"/>
  <c r="H424" i="22"/>
  <c r="H425" i="22"/>
  <c r="H426" i="22"/>
  <c r="H427" i="22"/>
  <c r="H428" i="22"/>
  <c r="H429" i="22"/>
  <c r="H430" i="22"/>
  <c r="H431" i="22"/>
  <c r="H432" i="22"/>
  <c r="H433" i="22"/>
  <c r="H434" i="22"/>
  <c r="H435" i="22"/>
  <c r="H436" i="22"/>
  <c r="H437" i="22"/>
  <c r="H438" i="22"/>
  <c r="H439" i="22"/>
  <c r="H440" i="22"/>
  <c r="H441" i="22"/>
  <c r="H442" i="22"/>
  <c r="H443" i="22"/>
  <c r="H444" i="22"/>
  <c r="H445" i="22"/>
  <c r="H446" i="22"/>
  <c r="H447" i="22"/>
  <c r="H448" i="22"/>
  <c r="H449" i="22"/>
  <c r="H450" i="22"/>
  <c r="H451" i="22"/>
  <c r="H452" i="22"/>
  <c r="H453" i="22"/>
  <c r="H454" i="22"/>
  <c r="H455" i="22"/>
  <c r="H456" i="22"/>
  <c r="H457" i="22"/>
  <c r="H458" i="22"/>
  <c r="H459" i="22"/>
  <c r="H460" i="22"/>
  <c r="H461" i="22"/>
  <c r="H462" i="22"/>
  <c r="H463" i="22"/>
  <c r="H464" i="22"/>
  <c r="H465" i="22"/>
  <c r="H466" i="22"/>
  <c r="H467" i="22"/>
  <c r="H468" i="22"/>
  <c r="H469" i="22"/>
  <c r="R10" i="22"/>
  <c r="R9" i="22"/>
  <c r="R8" i="22"/>
  <c r="R7" i="22"/>
  <c r="R6" i="22"/>
  <c r="R5" i="22"/>
  <c r="R4" i="22"/>
  <c r="R3" i="22"/>
  <c r="R2" i="22"/>
  <c r="J2" i="2"/>
  <c r="J58" i="2" s="1"/>
  <c r="J65" i="2" s="1"/>
  <c r="I2" i="2"/>
  <c r="I33" i="2" s="1"/>
  <c r="H2" i="2"/>
  <c r="H45" i="2" s="1"/>
  <c r="G2" i="2"/>
  <c r="G58" i="2" s="1"/>
  <c r="G65" i="2" s="1"/>
  <c r="F2" i="2"/>
  <c r="F33" i="2" s="1"/>
  <c r="E2" i="2"/>
  <c r="E45" i="2" s="1"/>
  <c r="D2" i="2"/>
  <c r="D25" i="2" s="1"/>
  <c r="C2" i="2"/>
  <c r="C58" i="2" s="1"/>
  <c r="C65" i="2" s="1"/>
  <c r="B2" i="2"/>
  <c r="B33" i="2" s="1"/>
  <c r="H4295" i="13"/>
  <c r="J4295" i="13" s="1"/>
  <c r="K4295" i="13"/>
  <c r="H4296" i="13"/>
  <c r="J4296" i="13" s="1"/>
  <c r="K4296" i="13"/>
  <c r="H4297" i="13"/>
  <c r="J4297" i="13" s="1"/>
  <c r="K4297" i="13"/>
  <c r="H4298" i="13"/>
  <c r="J4298" i="13" s="1"/>
  <c r="K4298" i="13"/>
  <c r="H4299" i="13"/>
  <c r="J4299" i="13" s="1"/>
  <c r="K4299" i="13"/>
  <c r="H4300" i="13"/>
  <c r="J4300" i="13" s="1"/>
  <c r="K4300" i="13"/>
  <c r="H4301" i="13"/>
  <c r="J4301" i="13" s="1"/>
  <c r="K4301" i="13"/>
  <c r="H4302" i="13"/>
  <c r="J4302" i="13" s="1"/>
  <c r="K4302" i="13"/>
  <c r="H4303" i="13"/>
  <c r="J4303" i="13" s="1"/>
  <c r="K4303" i="13"/>
  <c r="H4304" i="13"/>
  <c r="J4304" i="13" s="1"/>
  <c r="K4304" i="13"/>
  <c r="H4305" i="13"/>
  <c r="J4305" i="13" s="1"/>
  <c r="K4305" i="13"/>
  <c r="H4306" i="13"/>
  <c r="J4306" i="13" s="1"/>
  <c r="K4306" i="13"/>
  <c r="H4307" i="13"/>
  <c r="J4307" i="13" s="1"/>
  <c r="K4307" i="13"/>
  <c r="H4308" i="13"/>
  <c r="J4308" i="13" s="1"/>
  <c r="K4308" i="13"/>
  <c r="H4309" i="13"/>
  <c r="J4309" i="13" s="1"/>
  <c r="K4309" i="13"/>
  <c r="H4310" i="13"/>
  <c r="J4310" i="13" s="1"/>
  <c r="K4310" i="13"/>
  <c r="H4311" i="13"/>
  <c r="J4311" i="13" s="1"/>
  <c r="K4311" i="13"/>
  <c r="H4312" i="13"/>
  <c r="J4312" i="13" s="1"/>
  <c r="K4312" i="13"/>
  <c r="H4268" i="13"/>
  <c r="J4268" i="13" s="1"/>
  <c r="K4268" i="13"/>
  <c r="H4269" i="13"/>
  <c r="J4269" i="13" s="1"/>
  <c r="K4269" i="13"/>
  <c r="H4270" i="13"/>
  <c r="J4270" i="13" s="1"/>
  <c r="K4270" i="13"/>
  <c r="H4271" i="13"/>
  <c r="J4271" i="13" s="1"/>
  <c r="K4271" i="13"/>
  <c r="H4272" i="13"/>
  <c r="J4272" i="13" s="1"/>
  <c r="K4272" i="13"/>
  <c r="H4273" i="13"/>
  <c r="J4273" i="13" s="1"/>
  <c r="K4273" i="13"/>
  <c r="H4274" i="13"/>
  <c r="J4274" i="13" s="1"/>
  <c r="K4274" i="13"/>
  <c r="H4275" i="13"/>
  <c r="J4275" i="13" s="1"/>
  <c r="K4275" i="13"/>
  <c r="H4276" i="13"/>
  <c r="J4276" i="13" s="1"/>
  <c r="K4276" i="13"/>
  <c r="H4214" i="13"/>
  <c r="J4214" i="13" s="1"/>
  <c r="K4214" i="13"/>
  <c r="H4215" i="13"/>
  <c r="J4215" i="13" s="1"/>
  <c r="K4215" i="13"/>
  <c r="H4216" i="13"/>
  <c r="J4216" i="13" s="1"/>
  <c r="K4216" i="13"/>
  <c r="H4217" i="13"/>
  <c r="J4217" i="13" s="1"/>
  <c r="K4217" i="13"/>
  <c r="H4218" i="13"/>
  <c r="J4218" i="13" s="1"/>
  <c r="K4218" i="13"/>
  <c r="H4219" i="13"/>
  <c r="J4219" i="13" s="1"/>
  <c r="K4219" i="13"/>
  <c r="H4220" i="13"/>
  <c r="J4220" i="13" s="1"/>
  <c r="K4220" i="13"/>
  <c r="H4221" i="13"/>
  <c r="J4221" i="13" s="1"/>
  <c r="K4221" i="13"/>
  <c r="H4222" i="13"/>
  <c r="J4222" i="13" s="1"/>
  <c r="K4222" i="13"/>
  <c r="H4223" i="13"/>
  <c r="J4223" i="13" s="1"/>
  <c r="K4223" i="13"/>
  <c r="H4224" i="13"/>
  <c r="J4224" i="13" s="1"/>
  <c r="K4224" i="13"/>
  <c r="H4225" i="13"/>
  <c r="J4225" i="13" s="1"/>
  <c r="K4225" i="13"/>
  <c r="H4226" i="13"/>
  <c r="J4226" i="13" s="1"/>
  <c r="K4226" i="13"/>
  <c r="H4227" i="13"/>
  <c r="J4227" i="13" s="1"/>
  <c r="K4227" i="13"/>
  <c r="H4228" i="13"/>
  <c r="J4228" i="13" s="1"/>
  <c r="K4228" i="13"/>
  <c r="H4229" i="13"/>
  <c r="J4229" i="13" s="1"/>
  <c r="K4229" i="13"/>
  <c r="H4230" i="13"/>
  <c r="J4230" i="13" s="1"/>
  <c r="K4230" i="13"/>
  <c r="H4231" i="13"/>
  <c r="J4231" i="13" s="1"/>
  <c r="K4231" i="13"/>
  <c r="H4232" i="13"/>
  <c r="J4232" i="13" s="1"/>
  <c r="K4232" i="13"/>
  <c r="H4233" i="13"/>
  <c r="J4233" i="13" s="1"/>
  <c r="K4233" i="13"/>
  <c r="H4234" i="13"/>
  <c r="J4234" i="13" s="1"/>
  <c r="K4234" i="13"/>
  <c r="H4235" i="13"/>
  <c r="J4235" i="13" s="1"/>
  <c r="K4235" i="13"/>
  <c r="H4236" i="13"/>
  <c r="J4236" i="13" s="1"/>
  <c r="K4236" i="13"/>
  <c r="H4237" i="13"/>
  <c r="J4237" i="13" s="1"/>
  <c r="K4237" i="13"/>
  <c r="H4238" i="13"/>
  <c r="J4238" i="13" s="1"/>
  <c r="K4238" i="13"/>
  <c r="H4239" i="13"/>
  <c r="J4239" i="13" s="1"/>
  <c r="K4239" i="13"/>
  <c r="H4240" i="13"/>
  <c r="J4240" i="13" s="1"/>
  <c r="K4240" i="13"/>
  <c r="H4241" i="13"/>
  <c r="J4241" i="13" s="1"/>
  <c r="K4241" i="13"/>
  <c r="H4242" i="13"/>
  <c r="J4242" i="13" s="1"/>
  <c r="K4242" i="13"/>
  <c r="H4243" i="13"/>
  <c r="J4243" i="13" s="1"/>
  <c r="K4243" i="13"/>
  <c r="H4244" i="13"/>
  <c r="J4244" i="13" s="1"/>
  <c r="K4244" i="13"/>
  <c r="H4245" i="13"/>
  <c r="J4245" i="13" s="1"/>
  <c r="K4245" i="13"/>
  <c r="H4246" i="13"/>
  <c r="J4246" i="13" s="1"/>
  <c r="K4246" i="13"/>
  <c r="H4247" i="13"/>
  <c r="J4247" i="13" s="1"/>
  <c r="K4247" i="13"/>
  <c r="H4248" i="13"/>
  <c r="J4248" i="13" s="1"/>
  <c r="K4248" i="13"/>
  <c r="H4249" i="13"/>
  <c r="J4249" i="13" s="1"/>
  <c r="K4249" i="13"/>
  <c r="H4250" i="13"/>
  <c r="J4250" i="13" s="1"/>
  <c r="K4250" i="13"/>
  <c r="H4251" i="13"/>
  <c r="J4251" i="13" s="1"/>
  <c r="K4251" i="13"/>
  <c r="H4252" i="13"/>
  <c r="J4252" i="13" s="1"/>
  <c r="K4252" i="13"/>
  <c r="H4253" i="13"/>
  <c r="J4253" i="13" s="1"/>
  <c r="K4253" i="13"/>
  <c r="H4254" i="13"/>
  <c r="J4254" i="13" s="1"/>
  <c r="K4254" i="13"/>
  <c r="H4255" i="13"/>
  <c r="J4255" i="13" s="1"/>
  <c r="K4255" i="13"/>
  <c r="H4256" i="13"/>
  <c r="J4256" i="13" s="1"/>
  <c r="K4256" i="13"/>
  <c r="H4257" i="13"/>
  <c r="J4257" i="13" s="1"/>
  <c r="K4257" i="13"/>
  <c r="H4258" i="13"/>
  <c r="J4258" i="13" s="1"/>
  <c r="K4258" i="13"/>
  <c r="H4259" i="13"/>
  <c r="J4259" i="13" s="1"/>
  <c r="K4259" i="13"/>
  <c r="H4260" i="13"/>
  <c r="J4260" i="13" s="1"/>
  <c r="K4260" i="13"/>
  <c r="H4261" i="13"/>
  <c r="J4261" i="13" s="1"/>
  <c r="K4261" i="13"/>
  <c r="H4262" i="13"/>
  <c r="J4262" i="13" s="1"/>
  <c r="K4262" i="13"/>
  <c r="H4263" i="13"/>
  <c r="J4263" i="13" s="1"/>
  <c r="K4263" i="13"/>
  <c r="H4264" i="13"/>
  <c r="J4264" i="13" s="1"/>
  <c r="K4264" i="13"/>
  <c r="H4265" i="13"/>
  <c r="J4265" i="13" s="1"/>
  <c r="K4265" i="13"/>
  <c r="H4266" i="13"/>
  <c r="J4266" i="13" s="1"/>
  <c r="K4266" i="13"/>
  <c r="H4267" i="13"/>
  <c r="J4267" i="13" s="1"/>
  <c r="K4267" i="13"/>
  <c r="H4277" i="13"/>
  <c r="J4277" i="13" s="1"/>
  <c r="K4277" i="13"/>
  <c r="H4278" i="13"/>
  <c r="J4278" i="13" s="1"/>
  <c r="K4278" i="13"/>
  <c r="H4279" i="13"/>
  <c r="J4279" i="13" s="1"/>
  <c r="K4279" i="13"/>
  <c r="H4280" i="13"/>
  <c r="J4280" i="13" s="1"/>
  <c r="K4280" i="13"/>
  <c r="H4281" i="13"/>
  <c r="J4281" i="13" s="1"/>
  <c r="K4281" i="13"/>
  <c r="H4282" i="13"/>
  <c r="J4282" i="13" s="1"/>
  <c r="K4282" i="13"/>
  <c r="H4283" i="13"/>
  <c r="J4283" i="13" s="1"/>
  <c r="K4283" i="13"/>
  <c r="H4284" i="13"/>
  <c r="J4284" i="13" s="1"/>
  <c r="K4284" i="13"/>
  <c r="H4285" i="13"/>
  <c r="J4285" i="13" s="1"/>
  <c r="K4285" i="13"/>
  <c r="H3063" i="13"/>
  <c r="J3063" i="13" s="1"/>
  <c r="H3062" i="13"/>
  <c r="J3062" i="13" s="1"/>
  <c r="K3062" i="13"/>
  <c r="K3063" i="13"/>
  <c r="H3064" i="13"/>
  <c r="J3064" i="13" s="1"/>
  <c r="K3064" i="13"/>
  <c r="H3065" i="13"/>
  <c r="J3065" i="13" s="1"/>
  <c r="K3065" i="13"/>
  <c r="H3066" i="13"/>
  <c r="J3066" i="13" s="1"/>
  <c r="K3066" i="13"/>
  <c r="H3067" i="13"/>
  <c r="J3067" i="13" s="1"/>
  <c r="K3067" i="13"/>
  <c r="H3068" i="13"/>
  <c r="J3068" i="13" s="1"/>
  <c r="K3068" i="13"/>
  <c r="H3069" i="13"/>
  <c r="J3069" i="13" s="1"/>
  <c r="K3069" i="13"/>
  <c r="H3070" i="13"/>
  <c r="J3070" i="13" s="1"/>
  <c r="K3070" i="13"/>
  <c r="H2018" i="13"/>
  <c r="J2018" i="13" s="1"/>
  <c r="K2018" i="13"/>
  <c r="H2019" i="13"/>
  <c r="J2019" i="13" s="1"/>
  <c r="K2019" i="13"/>
  <c r="H2020" i="13"/>
  <c r="J2020" i="13" s="1"/>
  <c r="K2020" i="13"/>
  <c r="H2021" i="13"/>
  <c r="J2021" i="13" s="1"/>
  <c r="K2021" i="13"/>
  <c r="H2022" i="13"/>
  <c r="J2022" i="13" s="1"/>
  <c r="K2022" i="13"/>
  <c r="H2023" i="13"/>
  <c r="J2023" i="13" s="1"/>
  <c r="K2023" i="13"/>
  <c r="H2024" i="13"/>
  <c r="J2024" i="13" s="1"/>
  <c r="K2024" i="13"/>
  <c r="H2025" i="13"/>
  <c r="J2025" i="13" s="1"/>
  <c r="K2025" i="13"/>
  <c r="H2026" i="13"/>
  <c r="J2026" i="13" s="1"/>
  <c r="K2026" i="13"/>
  <c r="E11" i="14"/>
  <c r="G11" i="14" s="1"/>
  <c r="E12" i="14"/>
  <c r="G12" i="14" s="1"/>
  <c r="E13" i="14"/>
  <c r="G13" i="14" s="1"/>
  <c r="E14" i="14"/>
  <c r="G14" i="14" s="1"/>
  <c r="E15" i="14"/>
  <c r="G15" i="14" s="1"/>
  <c r="E16" i="14"/>
  <c r="G16" i="14" s="1"/>
  <c r="E17" i="14"/>
  <c r="G17" i="14" s="1"/>
  <c r="E18" i="14"/>
  <c r="G18" i="14" s="1"/>
  <c r="E19" i="14"/>
  <c r="G19" i="14" s="1"/>
  <c r="E20" i="14"/>
  <c r="G20" i="14" s="1"/>
  <c r="E21" i="14"/>
  <c r="G21" i="14" s="1"/>
  <c r="E22" i="14"/>
  <c r="G22" i="14" s="1"/>
  <c r="E23" i="14"/>
  <c r="G23" i="14" s="1"/>
  <c r="E24" i="14"/>
  <c r="G24" i="14" s="1"/>
  <c r="E25" i="14"/>
  <c r="G25" i="14" s="1"/>
  <c r="E26" i="14"/>
  <c r="G26" i="14" s="1"/>
  <c r="E27" i="14"/>
  <c r="G27" i="14" s="1"/>
  <c r="E28" i="14"/>
  <c r="G28" i="14" s="1"/>
  <c r="E29" i="14"/>
  <c r="G29" i="14" s="1"/>
  <c r="E30" i="14"/>
  <c r="G30" i="14" s="1"/>
  <c r="E31" i="14"/>
  <c r="G31" i="14" s="1"/>
  <c r="E32" i="14"/>
  <c r="G32" i="14" s="1"/>
  <c r="E33" i="14"/>
  <c r="G33" i="14" s="1"/>
  <c r="E34" i="14"/>
  <c r="G34" i="14" s="1"/>
  <c r="E35" i="14"/>
  <c r="G35" i="14" s="1"/>
  <c r="E36" i="14"/>
  <c r="G36" i="14" s="1"/>
  <c r="E37" i="14"/>
  <c r="G37" i="14" s="1"/>
  <c r="E38" i="14"/>
  <c r="G38" i="14" s="1"/>
  <c r="E39" i="14"/>
  <c r="G39" i="14" s="1"/>
  <c r="E40" i="14"/>
  <c r="G40" i="14" s="1"/>
  <c r="E41" i="14"/>
  <c r="G41" i="14" s="1"/>
  <c r="E42" i="14"/>
  <c r="G42" i="14" s="1"/>
  <c r="E43" i="14"/>
  <c r="G43" i="14" s="1"/>
  <c r="E44" i="14"/>
  <c r="G44" i="14" s="1"/>
  <c r="E45" i="14"/>
  <c r="G45" i="14" s="1"/>
  <c r="E46" i="14"/>
  <c r="G46" i="14" s="1"/>
  <c r="E47" i="14"/>
  <c r="G47" i="14" s="1"/>
  <c r="E48" i="14"/>
  <c r="G48" i="14" s="1"/>
  <c r="E49" i="14"/>
  <c r="G49" i="14" s="1"/>
  <c r="E50" i="14"/>
  <c r="G50" i="14" s="1"/>
  <c r="E51" i="14"/>
  <c r="G51" i="14" s="1"/>
  <c r="E52" i="14"/>
  <c r="G52" i="14" s="1"/>
  <c r="E53" i="14"/>
  <c r="G53" i="14" s="1"/>
  <c r="E54" i="14"/>
  <c r="G54" i="14" s="1"/>
  <c r="E55" i="14"/>
  <c r="G55" i="14" s="1"/>
  <c r="E56" i="14"/>
  <c r="G56" i="14" s="1"/>
  <c r="E57" i="14"/>
  <c r="G57" i="14" s="1"/>
  <c r="E58" i="14"/>
  <c r="G58" i="14" s="1"/>
  <c r="E59" i="14"/>
  <c r="G59" i="14" s="1"/>
  <c r="E60" i="14"/>
  <c r="G60" i="14" s="1"/>
  <c r="E61" i="14"/>
  <c r="G61" i="14" s="1"/>
  <c r="E62" i="14"/>
  <c r="G62" i="14" s="1"/>
  <c r="E63" i="14"/>
  <c r="G63" i="14" s="1"/>
  <c r="E64" i="14"/>
  <c r="G64" i="14" s="1"/>
  <c r="E65" i="14"/>
  <c r="G65" i="14" s="1"/>
  <c r="E66" i="14"/>
  <c r="G66" i="14" s="1"/>
  <c r="E67" i="14"/>
  <c r="G67" i="14" s="1"/>
  <c r="E68" i="14"/>
  <c r="G68" i="14" s="1"/>
  <c r="E69" i="14"/>
  <c r="G69" i="14" s="1"/>
  <c r="E70" i="14"/>
  <c r="G70" i="14" s="1"/>
  <c r="E71" i="14"/>
  <c r="G71" i="14" s="1"/>
  <c r="E72" i="14"/>
  <c r="G72" i="14" s="1"/>
  <c r="E73" i="14"/>
  <c r="G73" i="14" s="1"/>
  <c r="E74" i="14"/>
  <c r="G74" i="14" s="1"/>
  <c r="E75" i="14"/>
  <c r="G75" i="14" s="1"/>
  <c r="E76" i="14"/>
  <c r="G76" i="14" s="1"/>
  <c r="E77" i="14"/>
  <c r="G77" i="14" s="1"/>
  <c r="E78" i="14"/>
  <c r="G78" i="14" s="1"/>
  <c r="E79" i="14"/>
  <c r="G79" i="14" s="1"/>
  <c r="E80" i="14"/>
  <c r="G80" i="14" s="1"/>
  <c r="E81" i="14"/>
  <c r="G81" i="14" s="1"/>
  <c r="E82" i="14"/>
  <c r="G82" i="14" s="1"/>
  <c r="E83" i="14"/>
  <c r="G83" i="14" s="1"/>
  <c r="E84" i="14"/>
  <c r="G84" i="14" s="1"/>
  <c r="E85" i="14"/>
  <c r="G85" i="14" s="1"/>
  <c r="E86" i="14"/>
  <c r="G86" i="14" s="1"/>
  <c r="E87" i="14"/>
  <c r="G87" i="14" s="1"/>
  <c r="E88" i="14"/>
  <c r="G88" i="14" s="1"/>
  <c r="E89" i="14"/>
  <c r="G89" i="14" s="1"/>
  <c r="E90" i="14"/>
  <c r="G90" i="14" s="1"/>
  <c r="E91" i="14"/>
  <c r="G91" i="14" s="1"/>
  <c r="E92" i="14"/>
  <c r="G92" i="14" s="1"/>
  <c r="E93" i="14"/>
  <c r="G93" i="14" s="1"/>
  <c r="E94" i="14"/>
  <c r="G94" i="14" s="1"/>
  <c r="E95" i="14"/>
  <c r="G95" i="14" s="1"/>
  <c r="E96" i="14"/>
  <c r="G96" i="14" s="1"/>
  <c r="E97" i="14"/>
  <c r="G97" i="14" s="1"/>
  <c r="E98" i="14"/>
  <c r="G98" i="14" s="1"/>
  <c r="E99" i="14"/>
  <c r="G99" i="14" s="1"/>
  <c r="E100" i="14"/>
  <c r="G100" i="14" s="1"/>
  <c r="E101" i="14"/>
  <c r="G101" i="14" s="1"/>
  <c r="E102" i="14"/>
  <c r="G102" i="14" s="1"/>
  <c r="E103" i="14"/>
  <c r="G103" i="14" s="1"/>
  <c r="E104" i="14"/>
  <c r="G104" i="14" s="1"/>
  <c r="E105" i="14"/>
  <c r="G105" i="14" s="1"/>
  <c r="E106" i="14"/>
  <c r="G106" i="14" s="1"/>
  <c r="E107" i="14"/>
  <c r="G107" i="14" s="1"/>
  <c r="E108" i="14"/>
  <c r="G108" i="14" s="1"/>
  <c r="E109" i="14"/>
  <c r="G109" i="14" s="1"/>
  <c r="E110" i="14"/>
  <c r="G110" i="14" s="1"/>
  <c r="E111" i="14"/>
  <c r="G111" i="14" s="1"/>
  <c r="E112" i="14"/>
  <c r="G112" i="14" s="1"/>
  <c r="E113" i="14"/>
  <c r="G113" i="14" s="1"/>
  <c r="E114" i="14"/>
  <c r="G114" i="14" s="1"/>
  <c r="E115" i="14"/>
  <c r="G115" i="14" s="1"/>
  <c r="E116" i="14"/>
  <c r="G116" i="14" s="1"/>
  <c r="E117" i="14"/>
  <c r="G117" i="14" s="1"/>
  <c r="E118" i="14"/>
  <c r="G118" i="14" s="1"/>
  <c r="E119" i="14"/>
  <c r="G119" i="14" s="1"/>
  <c r="E120" i="14"/>
  <c r="G120" i="14" s="1"/>
  <c r="E121" i="14"/>
  <c r="G121" i="14" s="1"/>
  <c r="E122" i="14"/>
  <c r="G122" i="14" s="1"/>
  <c r="E123" i="14"/>
  <c r="G123" i="14" s="1"/>
  <c r="E124" i="14"/>
  <c r="G124" i="14" s="1"/>
  <c r="E125" i="14"/>
  <c r="G125" i="14" s="1"/>
  <c r="E126" i="14"/>
  <c r="G126" i="14" s="1"/>
  <c r="E127" i="14"/>
  <c r="G127" i="14" s="1"/>
  <c r="E128" i="14"/>
  <c r="G128" i="14" s="1"/>
  <c r="E129" i="14"/>
  <c r="G129" i="14" s="1"/>
  <c r="E130" i="14"/>
  <c r="G130" i="14" s="1"/>
  <c r="E131" i="14"/>
  <c r="G131" i="14" s="1"/>
  <c r="E132" i="14"/>
  <c r="G132" i="14" s="1"/>
  <c r="E133" i="14"/>
  <c r="G133" i="14" s="1"/>
  <c r="E134" i="14"/>
  <c r="G134" i="14" s="1"/>
  <c r="E135" i="14"/>
  <c r="G135" i="14" s="1"/>
  <c r="E136" i="14"/>
  <c r="G136" i="14" s="1"/>
  <c r="E137" i="14"/>
  <c r="G137" i="14" s="1"/>
  <c r="E138" i="14"/>
  <c r="G138" i="14" s="1"/>
  <c r="E139" i="14"/>
  <c r="G139" i="14" s="1"/>
  <c r="E140" i="14"/>
  <c r="G140" i="14" s="1"/>
  <c r="E141" i="14"/>
  <c r="G141" i="14" s="1"/>
  <c r="E142" i="14"/>
  <c r="G142" i="14" s="1"/>
  <c r="E143" i="14"/>
  <c r="G143" i="14" s="1"/>
  <c r="E144" i="14"/>
  <c r="G144" i="14" s="1"/>
  <c r="E145" i="14"/>
  <c r="G145" i="14" s="1"/>
  <c r="E146" i="14"/>
  <c r="G146" i="14" s="1"/>
  <c r="E147" i="14"/>
  <c r="G147" i="14" s="1"/>
  <c r="E148" i="14"/>
  <c r="G148" i="14" s="1"/>
  <c r="E149" i="14"/>
  <c r="G149" i="14" s="1"/>
  <c r="E150" i="14"/>
  <c r="G150" i="14" s="1"/>
  <c r="E151" i="14"/>
  <c r="G151" i="14" s="1"/>
  <c r="E152" i="14"/>
  <c r="G152" i="14" s="1"/>
  <c r="E153" i="14"/>
  <c r="G153" i="14" s="1"/>
  <c r="E154" i="14"/>
  <c r="G154" i="14" s="1"/>
  <c r="E155" i="14"/>
  <c r="G155" i="14" s="1"/>
  <c r="E156" i="14"/>
  <c r="G156" i="14" s="1"/>
  <c r="E157" i="14"/>
  <c r="G157" i="14" s="1"/>
  <c r="E158" i="14"/>
  <c r="G158" i="14" s="1"/>
  <c r="E159" i="14"/>
  <c r="G159" i="14" s="1"/>
  <c r="E160" i="14"/>
  <c r="G160" i="14" s="1"/>
  <c r="E161" i="14"/>
  <c r="G161" i="14" s="1"/>
  <c r="E162" i="14"/>
  <c r="G162" i="14" s="1"/>
  <c r="E163" i="14"/>
  <c r="G163" i="14" s="1"/>
  <c r="E164" i="14"/>
  <c r="G164" i="14" s="1"/>
  <c r="E165" i="14"/>
  <c r="G165" i="14" s="1"/>
  <c r="E166" i="14"/>
  <c r="G166" i="14" s="1"/>
  <c r="E167" i="14"/>
  <c r="G167" i="14" s="1"/>
  <c r="E168" i="14"/>
  <c r="G168" i="14" s="1"/>
  <c r="E169" i="14"/>
  <c r="G169" i="14" s="1"/>
  <c r="E170" i="14"/>
  <c r="G170" i="14" s="1"/>
  <c r="E171" i="14"/>
  <c r="G171" i="14" s="1"/>
  <c r="E172" i="14"/>
  <c r="G172" i="14" s="1"/>
  <c r="E173" i="14"/>
  <c r="G173" i="14" s="1"/>
  <c r="E174" i="14"/>
  <c r="G174" i="14" s="1"/>
  <c r="E175" i="14"/>
  <c r="G175" i="14" s="1"/>
  <c r="E176" i="14"/>
  <c r="G176" i="14" s="1"/>
  <c r="E177" i="14"/>
  <c r="G177" i="14" s="1"/>
  <c r="E178" i="14"/>
  <c r="G178" i="14" s="1"/>
  <c r="E179" i="14"/>
  <c r="G179" i="14" s="1"/>
  <c r="E180" i="14"/>
  <c r="G180" i="14" s="1"/>
  <c r="E181" i="14"/>
  <c r="G181" i="14" s="1"/>
  <c r="E182" i="14"/>
  <c r="G182" i="14" s="1"/>
  <c r="E183" i="14"/>
  <c r="G183" i="14" s="1"/>
  <c r="E184" i="14"/>
  <c r="G184" i="14" s="1"/>
  <c r="E185" i="14"/>
  <c r="G185" i="14" s="1"/>
  <c r="E186" i="14"/>
  <c r="G186" i="14" s="1"/>
  <c r="E187" i="14"/>
  <c r="G187" i="14" s="1"/>
  <c r="E188" i="14"/>
  <c r="G188" i="14" s="1"/>
  <c r="E189" i="14"/>
  <c r="G189" i="14" s="1"/>
  <c r="E190" i="14"/>
  <c r="G190" i="14" s="1"/>
  <c r="E191" i="14"/>
  <c r="G191" i="14" s="1"/>
  <c r="E192" i="14"/>
  <c r="G192" i="14" s="1"/>
  <c r="E193" i="14"/>
  <c r="G193" i="14" s="1"/>
  <c r="E194" i="14"/>
  <c r="G194" i="14" s="1"/>
  <c r="E195" i="14"/>
  <c r="G195" i="14" s="1"/>
  <c r="E196" i="14"/>
  <c r="G196" i="14" s="1"/>
  <c r="E197" i="14"/>
  <c r="G197" i="14" s="1"/>
  <c r="E198" i="14"/>
  <c r="G198" i="14" s="1"/>
  <c r="E199" i="14"/>
  <c r="G199" i="14" s="1"/>
  <c r="E200" i="14"/>
  <c r="G200" i="14" s="1"/>
  <c r="E201" i="14"/>
  <c r="G201" i="14" s="1"/>
  <c r="E202" i="14"/>
  <c r="G202" i="14" s="1"/>
  <c r="E203" i="14"/>
  <c r="G203" i="14" s="1"/>
  <c r="E204" i="14"/>
  <c r="G204" i="14" s="1"/>
  <c r="E205" i="14"/>
  <c r="G205" i="14" s="1"/>
  <c r="E206" i="14"/>
  <c r="G206" i="14" s="1"/>
  <c r="E207" i="14"/>
  <c r="G207" i="14" s="1"/>
  <c r="E208" i="14"/>
  <c r="G208" i="14" s="1"/>
  <c r="E209" i="14"/>
  <c r="G209" i="14" s="1"/>
  <c r="E210" i="14"/>
  <c r="G210" i="14" s="1"/>
  <c r="E211" i="14"/>
  <c r="G211" i="14" s="1"/>
  <c r="E212" i="14"/>
  <c r="G212" i="14" s="1"/>
  <c r="E213" i="14"/>
  <c r="G213" i="14" s="1"/>
  <c r="E214" i="14"/>
  <c r="G214" i="14" s="1"/>
  <c r="E215" i="14"/>
  <c r="G215" i="14" s="1"/>
  <c r="E216" i="14"/>
  <c r="G216" i="14" s="1"/>
  <c r="E217" i="14"/>
  <c r="G217" i="14" s="1"/>
  <c r="E218" i="14"/>
  <c r="G218" i="14" s="1"/>
  <c r="E219" i="14"/>
  <c r="G219" i="14" s="1"/>
  <c r="E220" i="14"/>
  <c r="G220" i="14" s="1"/>
  <c r="E221" i="14"/>
  <c r="G221" i="14" s="1"/>
  <c r="E222" i="14"/>
  <c r="G222" i="14" s="1"/>
  <c r="E223" i="14"/>
  <c r="G223" i="14" s="1"/>
  <c r="E224" i="14"/>
  <c r="G224" i="14" s="1"/>
  <c r="E225" i="14"/>
  <c r="G225" i="14" s="1"/>
  <c r="E226" i="14"/>
  <c r="G226" i="14" s="1"/>
  <c r="E227" i="14"/>
  <c r="G227" i="14" s="1"/>
  <c r="E228" i="14"/>
  <c r="G228" i="14" s="1"/>
  <c r="E229" i="14"/>
  <c r="G229" i="14" s="1"/>
  <c r="E230" i="14"/>
  <c r="G230" i="14" s="1"/>
  <c r="E231" i="14"/>
  <c r="G231" i="14" s="1"/>
  <c r="E232" i="14"/>
  <c r="G232" i="14" s="1"/>
  <c r="E233" i="14"/>
  <c r="G233" i="14" s="1"/>
  <c r="E234" i="14"/>
  <c r="G234" i="14" s="1"/>
  <c r="E235" i="14"/>
  <c r="G235" i="14" s="1"/>
  <c r="E236" i="14"/>
  <c r="G236" i="14" s="1"/>
  <c r="E237" i="14"/>
  <c r="G237" i="14" s="1"/>
  <c r="E238" i="14"/>
  <c r="G238" i="14" s="1"/>
  <c r="E239" i="14"/>
  <c r="G239" i="14" s="1"/>
  <c r="E240" i="14"/>
  <c r="G240" i="14" s="1"/>
  <c r="E241" i="14"/>
  <c r="G241" i="14" s="1"/>
  <c r="E242" i="14"/>
  <c r="G242" i="14" s="1"/>
  <c r="E243" i="14"/>
  <c r="G243" i="14" s="1"/>
  <c r="E244" i="14"/>
  <c r="G244" i="14" s="1"/>
  <c r="E245" i="14"/>
  <c r="G245" i="14" s="1"/>
  <c r="E246" i="14"/>
  <c r="G246" i="14" s="1"/>
  <c r="E247" i="14"/>
  <c r="G247" i="14" s="1"/>
  <c r="E248" i="14"/>
  <c r="G248" i="14" s="1"/>
  <c r="E249" i="14"/>
  <c r="G249" i="14" s="1"/>
  <c r="E250" i="14"/>
  <c r="G250" i="14" s="1"/>
  <c r="E251" i="14"/>
  <c r="G251" i="14" s="1"/>
  <c r="E252" i="14"/>
  <c r="G252" i="14" s="1"/>
  <c r="E253" i="14"/>
  <c r="G253" i="14" s="1"/>
  <c r="E254" i="14"/>
  <c r="G254" i="14" s="1"/>
  <c r="E255" i="14"/>
  <c r="G255" i="14" s="1"/>
  <c r="E256" i="14"/>
  <c r="G256" i="14" s="1"/>
  <c r="E257" i="14"/>
  <c r="G257" i="14" s="1"/>
  <c r="E258" i="14"/>
  <c r="G258" i="14" s="1"/>
  <c r="E259" i="14"/>
  <c r="G259" i="14" s="1"/>
  <c r="E260" i="14"/>
  <c r="G260" i="14" s="1"/>
  <c r="E261" i="14"/>
  <c r="G261" i="14" s="1"/>
  <c r="E262" i="14"/>
  <c r="G262" i="14" s="1"/>
  <c r="E263" i="14"/>
  <c r="G263" i="14" s="1"/>
  <c r="E264" i="14"/>
  <c r="G264" i="14" s="1"/>
  <c r="E265" i="14"/>
  <c r="G265" i="14" s="1"/>
  <c r="E266" i="14"/>
  <c r="G266" i="14" s="1"/>
  <c r="E267" i="14"/>
  <c r="G267" i="14" s="1"/>
  <c r="E268" i="14"/>
  <c r="G268" i="14" s="1"/>
  <c r="E269" i="14"/>
  <c r="G269" i="14" s="1"/>
  <c r="E270" i="14"/>
  <c r="G270" i="14" s="1"/>
  <c r="E271" i="14"/>
  <c r="G271" i="14" s="1"/>
  <c r="E272" i="14"/>
  <c r="G272" i="14" s="1"/>
  <c r="E273" i="14"/>
  <c r="G273" i="14" s="1"/>
  <c r="E274" i="14"/>
  <c r="G274" i="14" s="1"/>
  <c r="E275" i="14"/>
  <c r="G275" i="14" s="1"/>
  <c r="E276" i="14"/>
  <c r="G276" i="14" s="1"/>
  <c r="E277" i="14"/>
  <c r="G277" i="14" s="1"/>
  <c r="E278" i="14"/>
  <c r="G278" i="14" s="1"/>
  <c r="E279" i="14"/>
  <c r="G279" i="14" s="1"/>
  <c r="E280" i="14"/>
  <c r="G280" i="14" s="1"/>
  <c r="E281" i="14"/>
  <c r="G281" i="14" s="1"/>
  <c r="E282" i="14"/>
  <c r="G282" i="14" s="1"/>
  <c r="E283" i="14"/>
  <c r="G283" i="14" s="1"/>
  <c r="E284" i="14"/>
  <c r="G284" i="14" s="1"/>
  <c r="E285" i="14"/>
  <c r="G285" i="14" s="1"/>
  <c r="E286" i="14"/>
  <c r="G286" i="14" s="1"/>
  <c r="E287" i="14"/>
  <c r="G287" i="14" s="1"/>
  <c r="E288" i="14"/>
  <c r="G288" i="14" s="1"/>
  <c r="E289" i="14"/>
  <c r="G289" i="14" s="1"/>
  <c r="E290" i="14"/>
  <c r="G290" i="14" s="1"/>
  <c r="E291" i="14"/>
  <c r="G291" i="14" s="1"/>
  <c r="E292" i="14"/>
  <c r="G292" i="14" s="1"/>
  <c r="E293" i="14"/>
  <c r="G293" i="14" s="1"/>
  <c r="E294" i="14"/>
  <c r="G294" i="14" s="1"/>
  <c r="E295" i="14"/>
  <c r="G295" i="14" s="1"/>
  <c r="E296" i="14"/>
  <c r="G296" i="14" s="1"/>
  <c r="E297" i="14"/>
  <c r="G297" i="14" s="1"/>
  <c r="E298" i="14"/>
  <c r="G298" i="14" s="1"/>
  <c r="E299" i="14"/>
  <c r="G299" i="14" s="1"/>
  <c r="E300" i="14"/>
  <c r="G300" i="14" s="1"/>
  <c r="E301" i="14"/>
  <c r="G301" i="14" s="1"/>
  <c r="E302" i="14"/>
  <c r="G302" i="14" s="1"/>
  <c r="E303" i="14"/>
  <c r="G303" i="14" s="1"/>
  <c r="E304" i="14"/>
  <c r="G304" i="14" s="1"/>
  <c r="E305" i="14"/>
  <c r="G305" i="14" s="1"/>
  <c r="E306" i="14"/>
  <c r="G306" i="14" s="1"/>
  <c r="E307" i="14"/>
  <c r="G307" i="14" s="1"/>
  <c r="E308" i="14"/>
  <c r="G308" i="14" s="1"/>
  <c r="E309" i="14"/>
  <c r="G309" i="14" s="1"/>
  <c r="E310" i="14"/>
  <c r="G310" i="14" s="1"/>
  <c r="E311" i="14"/>
  <c r="G311" i="14" s="1"/>
  <c r="E312" i="14"/>
  <c r="G312" i="14" s="1"/>
  <c r="E313" i="14"/>
  <c r="G313" i="14" s="1"/>
  <c r="E314" i="14"/>
  <c r="G314" i="14" s="1"/>
  <c r="E315" i="14"/>
  <c r="G315" i="14" s="1"/>
  <c r="E316" i="14"/>
  <c r="G316" i="14" s="1"/>
  <c r="E317" i="14"/>
  <c r="G317" i="14" s="1"/>
  <c r="E318" i="14"/>
  <c r="G318" i="14" s="1"/>
  <c r="E319" i="14"/>
  <c r="G319" i="14" s="1"/>
  <c r="E320" i="14"/>
  <c r="G320" i="14" s="1"/>
  <c r="E321" i="14"/>
  <c r="G321" i="14" s="1"/>
  <c r="E322" i="14"/>
  <c r="G322" i="14" s="1"/>
  <c r="E323" i="14"/>
  <c r="G323" i="14" s="1"/>
  <c r="E324" i="14"/>
  <c r="G324" i="14" s="1"/>
  <c r="E325" i="14"/>
  <c r="G325" i="14" s="1"/>
  <c r="E326" i="14"/>
  <c r="G326" i="14" s="1"/>
  <c r="E327" i="14"/>
  <c r="G327" i="14" s="1"/>
  <c r="E328" i="14"/>
  <c r="G328" i="14" s="1"/>
  <c r="E329" i="14"/>
  <c r="G329" i="14" s="1"/>
  <c r="E330" i="14"/>
  <c r="G330" i="14" s="1"/>
  <c r="E331" i="14"/>
  <c r="G331" i="14" s="1"/>
  <c r="E332" i="14"/>
  <c r="G332" i="14" s="1"/>
  <c r="E333" i="14"/>
  <c r="G333" i="14" s="1"/>
  <c r="E334" i="14"/>
  <c r="G334" i="14" s="1"/>
  <c r="E335" i="14"/>
  <c r="G335" i="14" s="1"/>
  <c r="E336" i="14"/>
  <c r="G336" i="14" s="1"/>
  <c r="E337" i="14"/>
  <c r="G337" i="14" s="1"/>
  <c r="E338" i="14"/>
  <c r="G338" i="14" s="1"/>
  <c r="E339" i="14"/>
  <c r="G339" i="14" s="1"/>
  <c r="E340" i="14"/>
  <c r="G340" i="14" s="1"/>
  <c r="E341" i="14"/>
  <c r="G341" i="14" s="1"/>
  <c r="E342" i="14"/>
  <c r="G342" i="14" s="1"/>
  <c r="E343" i="14"/>
  <c r="G343" i="14" s="1"/>
  <c r="E344" i="14"/>
  <c r="G344" i="14" s="1"/>
  <c r="E345" i="14"/>
  <c r="G345" i="14" s="1"/>
  <c r="E346" i="14"/>
  <c r="G346" i="14" s="1"/>
  <c r="E347" i="14"/>
  <c r="G347" i="14" s="1"/>
  <c r="E348" i="14"/>
  <c r="G348" i="14" s="1"/>
  <c r="E349" i="14"/>
  <c r="G349" i="14" s="1"/>
  <c r="E350" i="14"/>
  <c r="G350" i="14" s="1"/>
  <c r="E351" i="14"/>
  <c r="G351" i="14" s="1"/>
  <c r="E352" i="14"/>
  <c r="G352" i="14" s="1"/>
  <c r="E353" i="14"/>
  <c r="G353" i="14" s="1"/>
  <c r="E354" i="14"/>
  <c r="G354" i="14" s="1"/>
  <c r="E355" i="14"/>
  <c r="G355" i="14" s="1"/>
  <c r="E356" i="14"/>
  <c r="G356" i="14" s="1"/>
  <c r="E357" i="14"/>
  <c r="G357" i="14" s="1"/>
  <c r="E358" i="14"/>
  <c r="G358" i="14" s="1"/>
  <c r="E359" i="14"/>
  <c r="G359" i="14" s="1"/>
  <c r="E360" i="14"/>
  <c r="G360" i="14" s="1"/>
  <c r="E361" i="14"/>
  <c r="G361" i="14" s="1"/>
  <c r="E362" i="14"/>
  <c r="G362" i="14" s="1"/>
  <c r="E363" i="14"/>
  <c r="G363" i="14" s="1"/>
  <c r="E364" i="14"/>
  <c r="G364" i="14" s="1"/>
  <c r="E365" i="14"/>
  <c r="G365" i="14" s="1"/>
  <c r="E366" i="14"/>
  <c r="G366" i="14" s="1"/>
  <c r="E367" i="14"/>
  <c r="G367" i="14" s="1"/>
  <c r="E368" i="14"/>
  <c r="G368" i="14" s="1"/>
  <c r="E369" i="14"/>
  <c r="G369" i="14" s="1"/>
  <c r="E370" i="14"/>
  <c r="G370" i="14" s="1"/>
  <c r="E371" i="14"/>
  <c r="G371" i="14" s="1"/>
  <c r="E372" i="14"/>
  <c r="G372" i="14" s="1"/>
  <c r="E373" i="14"/>
  <c r="G373" i="14" s="1"/>
  <c r="E374" i="14"/>
  <c r="G374" i="14" s="1"/>
  <c r="E375" i="14"/>
  <c r="G375" i="14" s="1"/>
  <c r="E376" i="14"/>
  <c r="G376" i="14" s="1"/>
  <c r="E377" i="14"/>
  <c r="G377" i="14" s="1"/>
  <c r="E378" i="14"/>
  <c r="G378" i="14" s="1"/>
  <c r="E379" i="14"/>
  <c r="G379" i="14" s="1"/>
  <c r="E380" i="14"/>
  <c r="G380" i="14" s="1"/>
  <c r="E381" i="14"/>
  <c r="G381" i="14" s="1"/>
  <c r="E382" i="14"/>
  <c r="G382" i="14" s="1"/>
  <c r="E383" i="14"/>
  <c r="G383" i="14" s="1"/>
  <c r="E384" i="14"/>
  <c r="G384" i="14" s="1"/>
  <c r="E385" i="14"/>
  <c r="G385" i="14" s="1"/>
  <c r="E386" i="14"/>
  <c r="G386" i="14" s="1"/>
  <c r="E387" i="14"/>
  <c r="G387" i="14" s="1"/>
  <c r="E388" i="14"/>
  <c r="G388" i="14" s="1"/>
  <c r="E389" i="14"/>
  <c r="G389" i="14" s="1"/>
  <c r="E390" i="14"/>
  <c r="G390" i="14" s="1"/>
  <c r="E391" i="14"/>
  <c r="G391" i="14" s="1"/>
  <c r="E392" i="14"/>
  <c r="G392" i="14" s="1"/>
  <c r="E393" i="14"/>
  <c r="G393" i="14" s="1"/>
  <c r="E394" i="14"/>
  <c r="G394" i="14" s="1"/>
  <c r="E395" i="14"/>
  <c r="G395" i="14" s="1"/>
  <c r="E396" i="14"/>
  <c r="G396" i="14" s="1"/>
  <c r="E397" i="14"/>
  <c r="G397" i="14" s="1"/>
  <c r="E398" i="14"/>
  <c r="G398" i="14" s="1"/>
  <c r="E399" i="14"/>
  <c r="G399" i="14" s="1"/>
  <c r="E400" i="14"/>
  <c r="G400" i="14" s="1"/>
  <c r="E401" i="14"/>
  <c r="G401" i="14" s="1"/>
  <c r="E402" i="14"/>
  <c r="G402" i="14" s="1"/>
  <c r="E403" i="14"/>
  <c r="G403" i="14" s="1"/>
  <c r="E404" i="14"/>
  <c r="G404" i="14" s="1"/>
  <c r="E405" i="14"/>
  <c r="G405" i="14" s="1"/>
  <c r="E406" i="14"/>
  <c r="G406" i="14" s="1"/>
  <c r="E407" i="14"/>
  <c r="G407" i="14" s="1"/>
  <c r="E408" i="14"/>
  <c r="G408" i="14" s="1"/>
  <c r="E409" i="14"/>
  <c r="G409" i="14" s="1"/>
  <c r="E410" i="14"/>
  <c r="G410" i="14" s="1"/>
  <c r="E411" i="14"/>
  <c r="G411" i="14" s="1"/>
  <c r="E412" i="14"/>
  <c r="G412" i="14" s="1"/>
  <c r="E413" i="14"/>
  <c r="G413" i="14" s="1"/>
  <c r="E414" i="14"/>
  <c r="G414" i="14" s="1"/>
  <c r="E415" i="14"/>
  <c r="G415" i="14" s="1"/>
  <c r="E416" i="14"/>
  <c r="G416" i="14" s="1"/>
  <c r="E417" i="14"/>
  <c r="G417" i="14" s="1"/>
  <c r="E418" i="14"/>
  <c r="G418" i="14" s="1"/>
  <c r="E419" i="14"/>
  <c r="G419" i="14" s="1"/>
  <c r="E420" i="14"/>
  <c r="G420" i="14" s="1"/>
  <c r="E421" i="14"/>
  <c r="G421" i="14" s="1"/>
  <c r="E422" i="14"/>
  <c r="G422" i="14" s="1"/>
  <c r="E423" i="14"/>
  <c r="G423" i="14" s="1"/>
  <c r="E424" i="14"/>
  <c r="G424" i="14" s="1"/>
  <c r="E425" i="14"/>
  <c r="G425" i="14" s="1"/>
  <c r="E426" i="14"/>
  <c r="G426" i="14" s="1"/>
  <c r="E427" i="14"/>
  <c r="G427" i="14" s="1"/>
  <c r="E428" i="14"/>
  <c r="G428" i="14" s="1"/>
  <c r="E429" i="14"/>
  <c r="G429" i="14" s="1"/>
  <c r="E430" i="14"/>
  <c r="G430" i="14" s="1"/>
  <c r="E431" i="14"/>
  <c r="G431" i="14" s="1"/>
  <c r="E432" i="14"/>
  <c r="G432" i="14" s="1"/>
  <c r="E433" i="14"/>
  <c r="G433" i="14" s="1"/>
  <c r="E434" i="14"/>
  <c r="G434" i="14" s="1"/>
  <c r="E435" i="14"/>
  <c r="G435" i="14" s="1"/>
  <c r="E436" i="14"/>
  <c r="G436" i="14" s="1"/>
  <c r="E437" i="14"/>
  <c r="G437" i="14" s="1"/>
  <c r="E438" i="14"/>
  <c r="G438" i="14" s="1"/>
  <c r="E439" i="14"/>
  <c r="G439" i="14" s="1"/>
  <c r="E440" i="14"/>
  <c r="G440" i="14" s="1"/>
  <c r="E441" i="14"/>
  <c r="G441" i="14" s="1"/>
  <c r="E442" i="14"/>
  <c r="G442" i="14" s="1"/>
  <c r="E461" i="14"/>
  <c r="G461" i="14" s="1"/>
  <c r="E462" i="14"/>
  <c r="G462" i="14" s="1"/>
  <c r="E463" i="14"/>
  <c r="G463" i="14" s="1"/>
  <c r="E464" i="14"/>
  <c r="G464" i="14" s="1"/>
  <c r="E465" i="14"/>
  <c r="G465" i="14" s="1"/>
  <c r="E466" i="14"/>
  <c r="G466" i="14" s="1"/>
  <c r="E467" i="14"/>
  <c r="G467" i="14" s="1"/>
  <c r="E468" i="14"/>
  <c r="G468" i="14" s="1"/>
  <c r="E469" i="14"/>
  <c r="G469" i="14" s="1"/>
  <c r="E470" i="14"/>
  <c r="G470" i="14" s="1"/>
  <c r="E471" i="14"/>
  <c r="G471" i="14" s="1"/>
  <c r="E472" i="14"/>
  <c r="G472" i="14" s="1"/>
  <c r="E473" i="14"/>
  <c r="G473" i="14" s="1"/>
  <c r="E474" i="14"/>
  <c r="G474" i="14" s="1"/>
  <c r="E475" i="14"/>
  <c r="G475" i="14" s="1"/>
  <c r="E476" i="14"/>
  <c r="G476" i="14" s="1"/>
  <c r="E477" i="14"/>
  <c r="G477" i="14" s="1"/>
  <c r="E478" i="14"/>
  <c r="G478" i="14" s="1"/>
  <c r="E479" i="14"/>
  <c r="G479" i="14" s="1"/>
  <c r="E480" i="14"/>
  <c r="G480" i="14" s="1"/>
  <c r="E481" i="14"/>
  <c r="G481" i="14" s="1"/>
  <c r="E482" i="14"/>
  <c r="G482" i="14" s="1"/>
  <c r="E483" i="14"/>
  <c r="G483" i="14" s="1"/>
  <c r="E484" i="14"/>
  <c r="G484" i="14" s="1"/>
  <c r="E485" i="14"/>
  <c r="G485" i="14" s="1"/>
  <c r="E486" i="14"/>
  <c r="G486" i="14" s="1"/>
  <c r="E487" i="14"/>
  <c r="G487" i="14" s="1"/>
  <c r="E488" i="14"/>
  <c r="G488" i="14" s="1"/>
  <c r="E489" i="14"/>
  <c r="G489" i="14" s="1"/>
  <c r="E490" i="14"/>
  <c r="G490" i="14" s="1"/>
  <c r="E491" i="14"/>
  <c r="G491" i="14" s="1"/>
  <c r="E492" i="14"/>
  <c r="G492" i="14" s="1"/>
  <c r="E493" i="14"/>
  <c r="G493" i="14" s="1"/>
  <c r="E494" i="14"/>
  <c r="G494" i="14" s="1"/>
  <c r="E495" i="14"/>
  <c r="G495" i="14" s="1"/>
  <c r="E496" i="14"/>
  <c r="G496" i="14" s="1"/>
  <c r="E497" i="14"/>
  <c r="G497" i="14" s="1"/>
  <c r="E498" i="14"/>
  <c r="G498" i="14" s="1"/>
  <c r="E499" i="14"/>
  <c r="G499" i="14" s="1"/>
  <c r="E500" i="14"/>
  <c r="G500" i="14" s="1"/>
  <c r="E501" i="14"/>
  <c r="G501" i="14" s="1"/>
  <c r="E502" i="14"/>
  <c r="G502" i="14" s="1"/>
  <c r="E503" i="14"/>
  <c r="G503" i="14" s="1"/>
  <c r="E504" i="14"/>
  <c r="G504" i="14" s="1"/>
  <c r="E505" i="14"/>
  <c r="G505" i="14" s="1"/>
  <c r="E506" i="14"/>
  <c r="G506" i="14" s="1"/>
  <c r="E507" i="14"/>
  <c r="G507" i="14" s="1"/>
  <c r="E508" i="14"/>
  <c r="G508" i="14" s="1"/>
  <c r="E509" i="14"/>
  <c r="G509" i="14" s="1"/>
  <c r="E510" i="14"/>
  <c r="G510" i="14" s="1"/>
  <c r="E511" i="14"/>
  <c r="G511" i="14" s="1"/>
  <c r="E512" i="14"/>
  <c r="G512" i="14" s="1"/>
  <c r="E513" i="14"/>
  <c r="G513" i="14" s="1"/>
  <c r="E514" i="14"/>
  <c r="G514" i="14" s="1"/>
  <c r="E515" i="14"/>
  <c r="G515" i="14" s="1"/>
  <c r="E516" i="14"/>
  <c r="G516" i="14" s="1"/>
  <c r="E517" i="14"/>
  <c r="G517" i="14" s="1"/>
  <c r="E518" i="14"/>
  <c r="G518" i="14" s="1"/>
  <c r="E519" i="14"/>
  <c r="G519" i="14" s="1"/>
  <c r="E520" i="14"/>
  <c r="G520" i="14" s="1"/>
  <c r="E521" i="14"/>
  <c r="G521" i="14" s="1"/>
  <c r="E522" i="14"/>
  <c r="G522" i="14" s="1"/>
  <c r="E523" i="14"/>
  <c r="G523" i="14" s="1"/>
  <c r="E524" i="14"/>
  <c r="G524" i="14" s="1"/>
  <c r="E525" i="14"/>
  <c r="G525" i="14" s="1"/>
  <c r="E526" i="14"/>
  <c r="G526" i="14" s="1"/>
  <c r="E527" i="14"/>
  <c r="G527" i="14" s="1"/>
  <c r="E528" i="14"/>
  <c r="G528" i="14" s="1"/>
  <c r="E529" i="14"/>
  <c r="G529" i="14" s="1"/>
  <c r="E530" i="14"/>
  <c r="G530" i="14" s="1"/>
  <c r="E531" i="14"/>
  <c r="G531" i="14" s="1"/>
  <c r="E532" i="14"/>
  <c r="G532" i="14" s="1"/>
  <c r="E533" i="14"/>
  <c r="G533" i="14" s="1"/>
  <c r="E534" i="14"/>
  <c r="G534" i="14" s="1"/>
  <c r="E535" i="14"/>
  <c r="G535" i="14" s="1"/>
  <c r="E536" i="14"/>
  <c r="G536" i="14" s="1"/>
  <c r="E537" i="14"/>
  <c r="G537" i="14" s="1"/>
  <c r="E538" i="14"/>
  <c r="G538" i="14" s="1"/>
  <c r="E539" i="14"/>
  <c r="G539" i="14" s="1"/>
  <c r="E540" i="14"/>
  <c r="G540" i="14" s="1"/>
  <c r="E541" i="14"/>
  <c r="G541" i="14" s="1"/>
  <c r="E551" i="14"/>
  <c r="G551" i="14" s="1"/>
  <c r="E552" i="14"/>
  <c r="G552" i="14" s="1"/>
  <c r="E553" i="14"/>
  <c r="G553" i="14" s="1"/>
  <c r="E554" i="14"/>
  <c r="G554" i="14" s="1"/>
  <c r="E555" i="14"/>
  <c r="G555" i="14" s="1"/>
  <c r="E556" i="14"/>
  <c r="G556" i="14" s="1"/>
  <c r="E557" i="14"/>
  <c r="G557" i="14" s="1"/>
  <c r="E558" i="14"/>
  <c r="G558" i="14" s="1"/>
  <c r="E559" i="14"/>
  <c r="G559" i="14" s="1"/>
  <c r="E560" i="14"/>
  <c r="G560" i="14" s="1"/>
  <c r="E561" i="14"/>
  <c r="G561" i="14" s="1"/>
  <c r="E562" i="14"/>
  <c r="G562" i="14" s="1"/>
  <c r="E563" i="14"/>
  <c r="G563" i="14" s="1"/>
  <c r="E564" i="14"/>
  <c r="G564" i="14" s="1"/>
  <c r="E565" i="14"/>
  <c r="G565" i="14" s="1"/>
  <c r="E566" i="14"/>
  <c r="G566" i="14" s="1"/>
  <c r="E567" i="14"/>
  <c r="G567" i="14" s="1"/>
  <c r="E568" i="14"/>
  <c r="G568" i="14" s="1"/>
  <c r="E1541" i="14"/>
  <c r="G1541" i="14" s="1"/>
  <c r="E1542" i="14"/>
  <c r="G1542" i="14" s="1"/>
  <c r="E1543" i="14"/>
  <c r="G1543" i="14" s="1"/>
  <c r="E1544" i="14"/>
  <c r="G1544" i="14" s="1"/>
  <c r="E1545" i="14"/>
  <c r="G1545" i="14" s="1"/>
  <c r="E1546" i="14"/>
  <c r="G1546" i="14" s="1"/>
  <c r="E1547" i="14"/>
  <c r="G1547" i="14" s="1"/>
  <c r="E1548" i="14"/>
  <c r="G1548" i="14" s="1"/>
  <c r="E1549" i="14"/>
  <c r="G1549" i="14" s="1"/>
  <c r="E1550" i="14"/>
  <c r="G1550" i="14" s="1"/>
  <c r="E1551" i="14"/>
  <c r="G1551" i="14" s="1"/>
  <c r="E1552" i="14"/>
  <c r="G1552" i="14" s="1"/>
  <c r="E1553" i="14"/>
  <c r="G1553" i="14" s="1"/>
  <c r="E1554" i="14"/>
  <c r="G1554" i="14" s="1"/>
  <c r="E1555" i="14"/>
  <c r="G1555" i="14" s="1"/>
  <c r="E1556" i="14"/>
  <c r="G1556" i="14" s="1"/>
  <c r="E1557" i="14"/>
  <c r="G1557" i="14" s="1"/>
  <c r="E1558" i="14"/>
  <c r="G1558" i="14" s="1"/>
  <c r="E1559" i="14"/>
  <c r="G1559" i="14" s="1"/>
  <c r="E1560" i="14"/>
  <c r="G1560" i="14" s="1"/>
  <c r="E1561" i="14"/>
  <c r="G1561" i="14" s="1"/>
  <c r="E1562" i="14"/>
  <c r="G1562" i="14" s="1"/>
  <c r="E1563" i="14"/>
  <c r="G1563" i="14" s="1"/>
  <c r="E1564" i="14"/>
  <c r="G1564" i="14" s="1"/>
  <c r="E1565" i="14"/>
  <c r="G1565" i="14" s="1"/>
  <c r="E1566" i="14"/>
  <c r="G1566" i="14" s="1"/>
  <c r="E1567" i="14"/>
  <c r="G1567" i="14" s="1"/>
  <c r="E1568" i="14"/>
  <c r="G1568" i="14" s="1"/>
  <c r="E1569" i="14"/>
  <c r="G1569" i="14" s="1"/>
  <c r="E1570" i="14"/>
  <c r="G1570" i="14" s="1"/>
  <c r="E1571" i="14"/>
  <c r="G1571" i="14" s="1"/>
  <c r="E1572" i="14"/>
  <c r="G1572" i="14" s="1"/>
  <c r="E1573" i="14"/>
  <c r="G1573" i="14" s="1"/>
  <c r="E1574" i="14"/>
  <c r="G1574" i="14" s="1"/>
  <c r="E1575" i="14"/>
  <c r="G1575" i="14" s="1"/>
  <c r="E1576" i="14"/>
  <c r="G1576" i="14" s="1"/>
  <c r="E1577" i="14"/>
  <c r="G1577" i="14" s="1"/>
  <c r="E1578" i="14"/>
  <c r="G1578" i="14" s="1"/>
  <c r="E1579" i="14"/>
  <c r="G1579" i="14" s="1"/>
  <c r="E1580" i="14"/>
  <c r="G1580" i="14" s="1"/>
  <c r="E1581" i="14"/>
  <c r="G1581" i="14" s="1"/>
  <c r="E1582" i="14"/>
  <c r="G1582" i="14" s="1"/>
  <c r="E1583" i="14"/>
  <c r="G1583" i="14" s="1"/>
  <c r="E1584" i="14"/>
  <c r="G1584" i="14" s="1"/>
  <c r="E1585" i="14"/>
  <c r="G1585" i="14" s="1"/>
  <c r="E1586" i="14"/>
  <c r="G1586" i="14" s="1"/>
  <c r="E1587" i="14"/>
  <c r="G1587" i="14" s="1"/>
  <c r="E1588" i="14"/>
  <c r="G1588" i="14" s="1"/>
  <c r="E1589" i="14"/>
  <c r="G1589" i="14" s="1"/>
  <c r="E1590" i="14"/>
  <c r="G1590" i="14" s="1"/>
  <c r="E1591" i="14"/>
  <c r="G1591" i="14" s="1"/>
  <c r="E1592" i="14"/>
  <c r="G1592" i="14" s="1"/>
  <c r="E1593" i="14"/>
  <c r="G1593" i="14" s="1"/>
  <c r="E1594" i="14"/>
  <c r="G1594" i="14" s="1"/>
  <c r="E1595" i="14"/>
  <c r="G1595" i="14" s="1"/>
  <c r="E1596" i="14"/>
  <c r="G1596" i="14" s="1"/>
  <c r="E1597" i="14"/>
  <c r="G1597" i="14" s="1"/>
  <c r="E1598" i="14"/>
  <c r="G1598" i="14" s="1"/>
  <c r="E1599" i="14"/>
  <c r="G1599" i="14" s="1"/>
  <c r="E1600" i="14"/>
  <c r="G1600" i="14" s="1"/>
  <c r="E1601" i="14"/>
  <c r="G1601" i="14" s="1"/>
  <c r="E1602" i="14"/>
  <c r="G1602" i="14" s="1"/>
  <c r="E1603" i="14"/>
  <c r="G1603" i="14" s="1"/>
  <c r="E1604" i="14"/>
  <c r="G1604" i="14" s="1"/>
  <c r="E1605" i="14"/>
  <c r="G1605" i="14" s="1"/>
  <c r="E1606" i="14"/>
  <c r="G1606" i="14" s="1"/>
  <c r="E1607" i="14"/>
  <c r="G1607" i="14" s="1"/>
  <c r="E1608" i="14"/>
  <c r="G1608" i="14" s="1"/>
  <c r="E1609" i="14"/>
  <c r="G1609" i="14" s="1"/>
  <c r="E1610" i="14"/>
  <c r="G1610" i="14" s="1"/>
  <c r="E1611" i="14"/>
  <c r="G1611" i="14" s="1"/>
  <c r="E1612" i="14"/>
  <c r="G1612" i="14" s="1"/>
  <c r="E1613" i="14"/>
  <c r="G1613" i="14" s="1"/>
  <c r="E1614" i="14"/>
  <c r="G1614" i="14" s="1"/>
  <c r="E1615" i="14"/>
  <c r="G1615" i="14" s="1"/>
  <c r="E1616" i="14"/>
  <c r="G1616" i="14" s="1"/>
  <c r="E1617" i="14"/>
  <c r="G1617" i="14" s="1"/>
  <c r="E1618" i="14"/>
  <c r="G1618" i="14" s="1"/>
  <c r="E1619" i="14"/>
  <c r="G1619" i="14" s="1"/>
  <c r="E1620" i="14"/>
  <c r="G1620" i="14" s="1"/>
  <c r="E1621" i="14"/>
  <c r="G1621" i="14" s="1"/>
  <c r="E1622" i="14"/>
  <c r="G1622" i="14" s="1"/>
  <c r="E1623" i="14"/>
  <c r="G1623" i="14" s="1"/>
  <c r="E1624" i="14"/>
  <c r="G1624" i="14" s="1"/>
  <c r="E1625" i="14"/>
  <c r="G1625" i="14" s="1"/>
  <c r="E1626" i="14"/>
  <c r="G1626" i="14" s="1"/>
  <c r="E1627" i="14"/>
  <c r="G1627" i="14" s="1"/>
  <c r="E1628" i="14"/>
  <c r="G1628" i="14" s="1"/>
  <c r="E1629" i="14"/>
  <c r="G1629" i="14" s="1"/>
  <c r="E1630" i="14"/>
  <c r="G1630" i="14" s="1"/>
  <c r="E1631" i="14"/>
  <c r="G1631" i="14" s="1"/>
  <c r="E1632" i="14"/>
  <c r="G1632" i="14" s="1"/>
  <c r="E1633" i="14"/>
  <c r="G1633" i="14" s="1"/>
  <c r="E1634" i="14"/>
  <c r="G1634" i="14" s="1"/>
  <c r="E1635" i="14"/>
  <c r="G1635" i="14" s="1"/>
  <c r="E1636" i="14"/>
  <c r="G1636" i="14" s="1"/>
  <c r="E1637" i="14"/>
  <c r="G1637" i="14" s="1"/>
  <c r="E1638" i="14"/>
  <c r="G1638" i="14" s="1"/>
  <c r="E1639" i="14"/>
  <c r="G1639" i="14" s="1"/>
  <c r="E10" i="14"/>
  <c r="G10" i="14" s="1"/>
  <c r="E9" i="14"/>
  <c r="G9" i="14" s="1"/>
  <c r="E8" i="14"/>
  <c r="G8" i="14" s="1"/>
  <c r="E7" i="14"/>
  <c r="G7" i="14" s="1"/>
  <c r="E6" i="14"/>
  <c r="G6" i="14" s="1"/>
  <c r="E5" i="14"/>
  <c r="G5" i="14" s="1"/>
  <c r="E4" i="14"/>
  <c r="G4" i="14" s="1"/>
  <c r="E3" i="14"/>
  <c r="G3" i="14" s="1"/>
  <c r="H3" i="14"/>
  <c r="H2" i="14"/>
  <c r="H4" i="14"/>
  <c r="H5" i="14"/>
  <c r="H6" i="14"/>
  <c r="H7" i="14"/>
  <c r="H8" i="14"/>
  <c r="H9" i="14"/>
  <c r="H10" i="14"/>
  <c r="H11" i="14"/>
  <c r="H12" i="14"/>
  <c r="H13" i="14"/>
  <c r="H14" i="14"/>
  <c r="H15" i="14"/>
  <c r="H16" i="14"/>
  <c r="H17" i="14"/>
  <c r="H18" i="14"/>
  <c r="H19" i="14"/>
  <c r="H20" i="14"/>
  <c r="H21" i="14"/>
  <c r="H22" i="14"/>
  <c r="H23" i="14"/>
  <c r="H24" i="14"/>
  <c r="H25" i="14"/>
  <c r="H26" i="14"/>
  <c r="H27" i="14"/>
  <c r="H28" i="14"/>
  <c r="H29" i="14"/>
  <c r="H30" i="14"/>
  <c r="H31" i="14"/>
  <c r="H32" i="14"/>
  <c r="H33" i="14"/>
  <c r="H34" i="14"/>
  <c r="H35" i="14"/>
  <c r="H36" i="14"/>
  <c r="H37" i="14"/>
  <c r="H38" i="14"/>
  <c r="H39" i="14"/>
  <c r="H40" i="14"/>
  <c r="H41" i="14"/>
  <c r="H42" i="14"/>
  <c r="H43" i="14"/>
  <c r="H44" i="14"/>
  <c r="H45" i="14"/>
  <c r="H46" i="14"/>
  <c r="H47" i="14"/>
  <c r="H48" i="14"/>
  <c r="H49" i="14"/>
  <c r="H50" i="14"/>
  <c r="H51" i="14"/>
  <c r="H52" i="14"/>
  <c r="H53" i="14"/>
  <c r="H54" i="14"/>
  <c r="H55" i="14"/>
  <c r="H56" i="14"/>
  <c r="H57" i="14"/>
  <c r="H58" i="14"/>
  <c r="H59" i="14"/>
  <c r="H60" i="14"/>
  <c r="H61" i="14"/>
  <c r="H62" i="14"/>
  <c r="H63" i="14"/>
  <c r="H64" i="14"/>
  <c r="H65" i="14"/>
  <c r="H66" i="14"/>
  <c r="H67" i="14"/>
  <c r="H68" i="14"/>
  <c r="H69" i="14"/>
  <c r="H70" i="14"/>
  <c r="H71" i="14"/>
  <c r="H72" i="14"/>
  <c r="H73" i="14"/>
  <c r="H74" i="14"/>
  <c r="H75" i="14"/>
  <c r="H76" i="14"/>
  <c r="H77" i="14"/>
  <c r="H78" i="14"/>
  <c r="H79" i="14"/>
  <c r="H80" i="14"/>
  <c r="H81" i="14"/>
  <c r="H82" i="14"/>
  <c r="H83" i="14"/>
  <c r="H84" i="14"/>
  <c r="H85" i="14"/>
  <c r="H86" i="14"/>
  <c r="H87" i="14"/>
  <c r="H88" i="14"/>
  <c r="H89" i="14"/>
  <c r="H90" i="14"/>
  <c r="H91" i="14"/>
  <c r="H92" i="14"/>
  <c r="H93" i="14"/>
  <c r="H94" i="14"/>
  <c r="H95" i="14"/>
  <c r="H96" i="14"/>
  <c r="H97" i="14"/>
  <c r="H98" i="14"/>
  <c r="H99" i="14"/>
  <c r="H100" i="14"/>
  <c r="H101" i="14"/>
  <c r="H102" i="14"/>
  <c r="H103" i="14"/>
  <c r="H104" i="14"/>
  <c r="H105" i="14"/>
  <c r="H106" i="14"/>
  <c r="H107" i="14"/>
  <c r="H108" i="14"/>
  <c r="H109" i="14"/>
  <c r="H110" i="14"/>
  <c r="H111" i="14"/>
  <c r="H112" i="14"/>
  <c r="H113" i="14"/>
  <c r="H114" i="14"/>
  <c r="H115" i="14"/>
  <c r="H116" i="14"/>
  <c r="H117" i="14"/>
  <c r="H118" i="14"/>
  <c r="H119" i="14"/>
  <c r="H120" i="14"/>
  <c r="H121" i="14"/>
  <c r="H122" i="14"/>
  <c r="H123" i="14"/>
  <c r="H124" i="14"/>
  <c r="H125" i="14"/>
  <c r="H126" i="14"/>
  <c r="H127" i="14"/>
  <c r="H128" i="14"/>
  <c r="H129" i="14"/>
  <c r="H130" i="14"/>
  <c r="H131" i="14"/>
  <c r="H132" i="14"/>
  <c r="H133" i="14"/>
  <c r="H134" i="14"/>
  <c r="H135" i="14"/>
  <c r="H136" i="14"/>
  <c r="H137" i="14"/>
  <c r="H138" i="14"/>
  <c r="H139" i="14"/>
  <c r="H140" i="14"/>
  <c r="H141" i="14"/>
  <c r="H142" i="14"/>
  <c r="H143" i="14"/>
  <c r="H144" i="14"/>
  <c r="H145" i="14"/>
  <c r="H146" i="14"/>
  <c r="H147" i="14"/>
  <c r="H148" i="14"/>
  <c r="H149" i="14"/>
  <c r="H150" i="14"/>
  <c r="H151" i="14"/>
  <c r="H152" i="14"/>
  <c r="H153" i="14"/>
  <c r="H154" i="14"/>
  <c r="H155" i="14"/>
  <c r="H156" i="14"/>
  <c r="H157" i="14"/>
  <c r="H158" i="14"/>
  <c r="H159" i="14"/>
  <c r="H160" i="14"/>
  <c r="H161" i="14"/>
  <c r="H162" i="14"/>
  <c r="H163" i="14"/>
  <c r="H164" i="14"/>
  <c r="H165" i="14"/>
  <c r="H166" i="14"/>
  <c r="H167" i="14"/>
  <c r="H168" i="14"/>
  <c r="H169" i="14"/>
  <c r="H170" i="14"/>
  <c r="H171" i="14"/>
  <c r="H172" i="14"/>
  <c r="H173" i="14"/>
  <c r="H174" i="14"/>
  <c r="H175" i="14"/>
  <c r="H176" i="14"/>
  <c r="H177" i="14"/>
  <c r="H178" i="14"/>
  <c r="H179" i="14"/>
  <c r="H180" i="14"/>
  <c r="H181" i="14"/>
  <c r="H182" i="14"/>
  <c r="H183" i="14"/>
  <c r="H184" i="14"/>
  <c r="H185" i="14"/>
  <c r="H186" i="14"/>
  <c r="H187" i="14"/>
  <c r="H188" i="14"/>
  <c r="H189" i="14"/>
  <c r="H190" i="14"/>
  <c r="H191" i="14"/>
  <c r="H192" i="14"/>
  <c r="H193" i="14"/>
  <c r="H194" i="14"/>
  <c r="H195" i="14"/>
  <c r="H196" i="14"/>
  <c r="H197" i="14"/>
  <c r="H198" i="14"/>
  <c r="H199" i="14"/>
  <c r="H200" i="14"/>
  <c r="H201" i="14"/>
  <c r="H202" i="14"/>
  <c r="H203" i="14"/>
  <c r="H204" i="14"/>
  <c r="H205" i="14"/>
  <c r="H206" i="14"/>
  <c r="H207" i="14"/>
  <c r="H208" i="14"/>
  <c r="H209" i="14"/>
  <c r="H210" i="14"/>
  <c r="H211" i="14"/>
  <c r="H212" i="14"/>
  <c r="H213" i="14"/>
  <c r="H214" i="14"/>
  <c r="H215" i="14"/>
  <c r="H216" i="14"/>
  <c r="H217" i="14"/>
  <c r="H218" i="14"/>
  <c r="H219" i="14"/>
  <c r="H220" i="14"/>
  <c r="H221" i="14"/>
  <c r="H222" i="14"/>
  <c r="H223" i="14"/>
  <c r="H224" i="14"/>
  <c r="H225" i="14"/>
  <c r="H226" i="14"/>
  <c r="H227" i="14"/>
  <c r="H228" i="14"/>
  <c r="H229" i="14"/>
  <c r="H230" i="14"/>
  <c r="H231" i="14"/>
  <c r="H232" i="14"/>
  <c r="H233" i="14"/>
  <c r="H234" i="14"/>
  <c r="H235" i="14"/>
  <c r="H236" i="14"/>
  <c r="H237" i="14"/>
  <c r="H238" i="14"/>
  <c r="H239" i="14"/>
  <c r="H240" i="14"/>
  <c r="H241" i="14"/>
  <c r="H242" i="14"/>
  <c r="H243" i="14"/>
  <c r="H244" i="14"/>
  <c r="H245" i="14"/>
  <c r="H246" i="14"/>
  <c r="H247" i="14"/>
  <c r="H248" i="14"/>
  <c r="H249" i="14"/>
  <c r="H250" i="14"/>
  <c r="H251" i="14"/>
  <c r="H252" i="14"/>
  <c r="H253" i="14"/>
  <c r="H254" i="14"/>
  <c r="H255" i="14"/>
  <c r="H256" i="14"/>
  <c r="H257" i="14"/>
  <c r="H258" i="14"/>
  <c r="H259" i="14"/>
  <c r="H260" i="14"/>
  <c r="H261" i="14"/>
  <c r="H262" i="14"/>
  <c r="H263" i="14"/>
  <c r="H264" i="14"/>
  <c r="H265" i="14"/>
  <c r="H266" i="14"/>
  <c r="H267" i="14"/>
  <c r="H268" i="14"/>
  <c r="H269" i="14"/>
  <c r="H270" i="14"/>
  <c r="H271" i="14"/>
  <c r="H272" i="14"/>
  <c r="H273" i="14"/>
  <c r="H274" i="14"/>
  <c r="H275" i="14"/>
  <c r="H276" i="14"/>
  <c r="H277" i="14"/>
  <c r="H278" i="14"/>
  <c r="H279" i="14"/>
  <c r="H280" i="14"/>
  <c r="H281" i="14"/>
  <c r="H282" i="14"/>
  <c r="H283" i="14"/>
  <c r="H284" i="14"/>
  <c r="H285" i="14"/>
  <c r="H286" i="14"/>
  <c r="H287" i="14"/>
  <c r="H288" i="14"/>
  <c r="H289" i="14"/>
  <c r="H290" i="14"/>
  <c r="H291" i="14"/>
  <c r="H292" i="14"/>
  <c r="H293" i="14"/>
  <c r="H294" i="14"/>
  <c r="H295" i="14"/>
  <c r="H296" i="14"/>
  <c r="H297" i="14"/>
  <c r="H298" i="14"/>
  <c r="H299" i="14"/>
  <c r="H300" i="14"/>
  <c r="H301" i="14"/>
  <c r="H302" i="14"/>
  <c r="H303" i="14"/>
  <c r="H304" i="14"/>
  <c r="H305" i="14"/>
  <c r="H306" i="14"/>
  <c r="H307" i="14"/>
  <c r="H308" i="14"/>
  <c r="H309" i="14"/>
  <c r="H310" i="14"/>
  <c r="H311" i="14"/>
  <c r="H312" i="14"/>
  <c r="H313" i="14"/>
  <c r="H314" i="14"/>
  <c r="H315" i="14"/>
  <c r="H316" i="14"/>
  <c r="H317" i="14"/>
  <c r="H318" i="14"/>
  <c r="H319" i="14"/>
  <c r="H320" i="14"/>
  <c r="H321" i="14"/>
  <c r="H322" i="14"/>
  <c r="H323" i="14"/>
  <c r="H324" i="14"/>
  <c r="H325" i="14"/>
  <c r="H326" i="14"/>
  <c r="H327" i="14"/>
  <c r="H328" i="14"/>
  <c r="H329" i="14"/>
  <c r="H330" i="14"/>
  <c r="H331" i="14"/>
  <c r="H332" i="14"/>
  <c r="H333" i="14"/>
  <c r="H334" i="14"/>
  <c r="H335" i="14"/>
  <c r="H336" i="14"/>
  <c r="H337" i="14"/>
  <c r="H338" i="14"/>
  <c r="H339" i="14"/>
  <c r="H340" i="14"/>
  <c r="H341" i="14"/>
  <c r="H342" i="14"/>
  <c r="H343" i="14"/>
  <c r="H344" i="14"/>
  <c r="H345" i="14"/>
  <c r="H346" i="14"/>
  <c r="H347" i="14"/>
  <c r="H348" i="14"/>
  <c r="H349" i="14"/>
  <c r="H350" i="14"/>
  <c r="H351" i="14"/>
  <c r="H352" i="14"/>
  <c r="H353" i="14"/>
  <c r="H354" i="14"/>
  <c r="H355" i="14"/>
  <c r="H356" i="14"/>
  <c r="H357" i="14"/>
  <c r="H358" i="14"/>
  <c r="H359" i="14"/>
  <c r="H360" i="14"/>
  <c r="H361" i="14"/>
  <c r="H362" i="14"/>
  <c r="H363" i="14"/>
  <c r="H364" i="14"/>
  <c r="H365" i="14"/>
  <c r="H366" i="14"/>
  <c r="H367" i="14"/>
  <c r="H368" i="14"/>
  <c r="H369" i="14"/>
  <c r="H370" i="14"/>
  <c r="H371" i="14"/>
  <c r="H372" i="14"/>
  <c r="H373" i="14"/>
  <c r="H374" i="14"/>
  <c r="H375" i="14"/>
  <c r="H376" i="14"/>
  <c r="H377" i="14"/>
  <c r="H378" i="14"/>
  <c r="H379" i="14"/>
  <c r="H380" i="14"/>
  <c r="H381" i="14"/>
  <c r="H382" i="14"/>
  <c r="H383" i="14"/>
  <c r="H384" i="14"/>
  <c r="H385" i="14"/>
  <c r="H386" i="14"/>
  <c r="H387" i="14"/>
  <c r="H388" i="14"/>
  <c r="H389" i="14"/>
  <c r="H390" i="14"/>
  <c r="H391" i="14"/>
  <c r="H392" i="14"/>
  <c r="H393" i="14"/>
  <c r="H394" i="14"/>
  <c r="H395" i="14"/>
  <c r="H396" i="14"/>
  <c r="H397" i="14"/>
  <c r="H398" i="14"/>
  <c r="H399" i="14"/>
  <c r="H400" i="14"/>
  <c r="H401" i="14"/>
  <c r="H402" i="14"/>
  <c r="H403" i="14"/>
  <c r="H404" i="14"/>
  <c r="H405" i="14"/>
  <c r="H406" i="14"/>
  <c r="H407" i="14"/>
  <c r="H408" i="14"/>
  <c r="H409" i="14"/>
  <c r="H410" i="14"/>
  <c r="H411" i="14"/>
  <c r="H412" i="14"/>
  <c r="H413" i="14"/>
  <c r="H414" i="14"/>
  <c r="H415" i="14"/>
  <c r="H416" i="14"/>
  <c r="H417" i="14"/>
  <c r="H418" i="14"/>
  <c r="H419" i="14"/>
  <c r="H420" i="14"/>
  <c r="H421" i="14"/>
  <c r="H422" i="14"/>
  <c r="H423" i="14"/>
  <c r="H424" i="14"/>
  <c r="H425" i="14"/>
  <c r="H426" i="14"/>
  <c r="H427" i="14"/>
  <c r="H428" i="14"/>
  <c r="H429" i="14"/>
  <c r="H430" i="14"/>
  <c r="H431" i="14"/>
  <c r="H432" i="14"/>
  <c r="H433" i="14"/>
  <c r="H434" i="14"/>
  <c r="H435" i="14"/>
  <c r="H436" i="14"/>
  <c r="H437" i="14"/>
  <c r="H438" i="14"/>
  <c r="H439" i="14"/>
  <c r="H440" i="14"/>
  <c r="H441" i="14"/>
  <c r="H442" i="14"/>
  <c r="H461" i="14"/>
  <c r="H462" i="14"/>
  <c r="H463" i="14"/>
  <c r="H464" i="14"/>
  <c r="H465" i="14"/>
  <c r="H466" i="14"/>
  <c r="H467" i="14"/>
  <c r="H468" i="14"/>
  <c r="H469" i="14"/>
  <c r="H470" i="14"/>
  <c r="H471" i="14"/>
  <c r="H472" i="14"/>
  <c r="H473" i="14"/>
  <c r="H474" i="14"/>
  <c r="H475" i="14"/>
  <c r="H476" i="14"/>
  <c r="H477" i="14"/>
  <c r="H478" i="14"/>
  <c r="H479" i="14"/>
  <c r="H480" i="14"/>
  <c r="H481" i="14"/>
  <c r="H482" i="14"/>
  <c r="H483" i="14"/>
  <c r="H484" i="14"/>
  <c r="H485" i="14"/>
  <c r="H486" i="14"/>
  <c r="H487" i="14"/>
  <c r="H488" i="14"/>
  <c r="H489" i="14"/>
  <c r="H490" i="14"/>
  <c r="H491" i="14"/>
  <c r="H492" i="14"/>
  <c r="H493" i="14"/>
  <c r="H494" i="14"/>
  <c r="H495" i="14"/>
  <c r="H496" i="14"/>
  <c r="H497" i="14"/>
  <c r="H498" i="14"/>
  <c r="H499" i="14"/>
  <c r="H500" i="14"/>
  <c r="H501" i="14"/>
  <c r="H502" i="14"/>
  <c r="H503" i="14"/>
  <c r="H504" i="14"/>
  <c r="H505" i="14"/>
  <c r="H506" i="14"/>
  <c r="H507" i="14"/>
  <c r="H508" i="14"/>
  <c r="H509" i="14"/>
  <c r="H510" i="14"/>
  <c r="H511" i="14"/>
  <c r="H512" i="14"/>
  <c r="H513" i="14"/>
  <c r="H514" i="14"/>
  <c r="H515" i="14"/>
  <c r="H516" i="14"/>
  <c r="H517" i="14"/>
  <c r="H518" i="14"/>
  <c r="H519" i="14"/>
  <c r="H520" i="14"/>
  <c r="H521" i="14"/>
  <c r="H522" i="14"/>
  <c r="H523" i="14"/>
  <c r="H524" i="14"/>
  <c r="H525" i="14"/>
  <c r="H526" i="14"/>
  <c r="H527" i="14"/>
  <c r="H528" i="14"/>
  <c r="H529" i="14"/>
  <c r="H530" i="14"/>
  <c r="H531" i="14"/>
  <c r="H532" i="14"/>
  <c r="H533" i="14"/>
  <c r="H534" i="14"/>
  <c r="H535" i="14"/>
  <c r="H536" i="14"/>
  <c r="H537" i="14"/>
  <c r="H538" i="14"/>
  <c r="H539" i="14"/>
  <c r="H540" i="14"/>
  <c r="H541" i="14"/>
  <c r="H551" i="14"/>
  <c r="H552" i="14"/>
  <c r="H553" i="14"/>
  <c r="H554" i="14"/>
  <c r="H555" i="14"/>
  <c r="H556" i="14"/>
  <c r="H557" i="14"/>
  <c r="H558" i="14"/>
  <c r="H559" i="14"/>
  <c r="H560" i="14"/>
  <c r="H561" i="14"/>
  <c r="H562" i="14"/>
  <c r="H563" i="14"/>
  <c r="H564" i="14"/>
  <c r="H565" i="14"/>
  <c r="H566" i="14"/>
  <c r="H567" i="14"/>
  <c r="H568" i="14"/>
  <c r="H1541" i="14"/>
  <c r="H1542" i="14"/>
  <c r="H1543" i="14"/>
  <c r="H1544" i="14"/>
  <c r="H1545" i="14"/>
  <c r="H1546" i="14"/>
  <c r="H1547" i="14"/>
  <c r="H1548" i="14"/>
  <c r="H1549" i="14"/>
  <c r="H1550" i="14"/>
  <c r="H1551" i="14"/>
  <c r="H1552" i="14"/>
  <c r="H1553" i="14"/>
  <c r="H1554" i="14"/>
  <c r="H1555" i="14"/>
  <c r="H1556" i="14"/>
  <c r="H1557" i="14"/>
  <c r="H1558" i="14"/>
  <c r="H1559" i="14"/>
  <c r="H1560" i="14"/>
  <c r="H1561" i="14"/>
  <c r="H1562" i="14"/>
  <c r="H1563" i="14"/>
  <c r="H1564" i="14"/>
  <c r="H1565" i="14"/>
  <c r="H1566" i="14"/>
  <c r="H1567" i="14"/>
  <c r="H1568" i="14"/>
  <c r="H1569" i="14"/>
  <c r="H1570" i="14"/>
  <c r="H1571" i="14"/>
  <c r="H1572" i="14"/>
  <c r="H1573" i="14"/>
  <c r="H1574" i="14"/>
  <c r="H1575" i="14"/>
  <c r="H1576" i="14"/>
  <c r="H1577" i="14"/>
  <c r="H1578" i="14"/>
  <c r="H1579" i="14"/>
  <c r="H1580" i="14"/>
  <c r="H1581" i="14"/>
  <c r="H1582" i="14"/>
  <c r="H1583" i="14"/>
  <c r="H1584" i="14"/>
  <c r="H1585" i="14"/>
  <c r="H1586" i="14"/>
  <c r="H1587" i="14"/>
  <c r="H1588" i="14"/>
  <c r="H1589" i="14"/>
  <c r="H1590" i="14"/>
  <c r="H1591" i="14"/>
  <c r="H1592" i="14"/>
  <c r="H1593" i="14"/>
  <c r="H1594" i="14"/>
  <c r="H1595" i="14"/>
  <c r="H1596" i="14"/>
  <c r="H1597" i="14"/>
  <c r="H1598" i="14"/>
  <c r="H1599" i="14"/>
  <c r="H1600" i="14"/>
  <c r="H1601" i="14"/>
  <c r="H1602" i="14"/>
  <c r="H1603" i="14"/>
  <c r="H1604" i="14"/>
  <c r="H1605" i="14"/>
  <c r="H1606" i="14"/>
  <c r="H1607" i="14"/>
  <c r="H1608" i="14"/>
  <c r="H1609" i="14"/>
  <c r="H1610" i="14"/>
  <c r="H1611" i="14"/>
  <c r="H1612" i="14"/>
  <c r="H1613" i="14"/>
  <c r="H1614" i="14"/>
  <c r="H1615" i="14"/>
  <c r="H1616" i="14"/>
  <c r="H1617" i="14"/>
  <c r="H1618" i="14"/>
  <c r="H1619" i="14"/>
  <c r="H1620" i="14"/>
  <c r="H1621" i="14"/>
  <c r="H1622" i="14"/>
  <c r="H1623" i="14"/>
  <c r="H1624" i="14"/>
  <c r="H1625" i="14"/>
  <c r="H1626" i="14"/>
  <c r="H1627" i="14"/>
  <c r="H1628" i="14"/>
  <c r="H1629" i="14"/>
  <c r="H1630" i="14"/>
  <c r="H1631" i="14"/>
  <c r="H1632" i="14"/>
  <c r="H1633" i="14"/>
  <c r="H1634" i="14"/>
  <c r="H1635" i="14"/>
  <c r="H1636" i="14"/>
  <c r="H1637" i="14"/>
  <c r="H1638" i="14"/>
  <c r="H1639" i="14"/>
  <c r="R10" i="14"/>
  <c r="R9" i="14"/>
  <c r="R8" i="14"/>
  <c r="R7" i="14"/>
  <c r="R6" i="14"/>
  <c r="R5" i="14"/>
  <c r="R4" i="14"/>
  <c r="R3" i="14"/>
  <c r="R2" i="14"/>
  <c r="E2" i="14"/>
  <c r="G2" i="14" s="1"/>
  <c r="K4286" i="13"/>
  <c r="K4287" i="13"/>
  <c r="K4288" i="13"/>
  <c r="K4289" i="13"/>
  <c r="K4290" i="13"/>
  <c r="K4291" i="13"/>
  <c r="K4292" i="13"/>
  <c r="K4293" i="13"/>
  <c r="K4294" i="13"/>
  <c r="H4286" i="13"/>
  <c r="J4286" i="13" s="1"/>
  <c r="H4287" i="13"/>
  <c r="J4287" i="13" s="1"/>
  <c r="H4288" i="13"/>
  <c r="J4288" i="13" s="1"/>
  <c r="H4289" i="13"/>
  <c r="J4289" i="13" s="1"/>
  <c r="H4290" i="13"/>
  <c r="J4290" i="13" s="1"/>
  <c r="H4291" i="13"/>
  <c r="J4291" i="13" s="1"/>
  <c r="H4292" i="13"/>
  <c r="J4292" i="13" s="1"/>
  <c r="H4293" i="13"/>
  <c r="J4293" i="13" s="1"/>
  <c r="H4294" i="13"/>
  <c r="J4294" i="13" s="1"/>
  <c r="K3044" i="13"/>
  <c r="K3045" i="13"/>
  <c r="K3046" i="13"/>
  <c r="K3047" i="13"/>
  <c r="K3048" i="13"/>
  <c r="K3049" i="13"/>
  <c r="K3050" i="13"/>
  <c r="K3051" i="13"/>
  <c r="K3052" i="13"/>
  <c r="K3053" i="13"/>
  <c r="K3054" i="13"/>
  <c r="K3055" i="13"/>
  <c r="K3056" i="13"/>
  <c r="K3057" i="13"/>
  <c r="K3058" i="13"/>
  <c r="K3059" i="13"/>
  <c r="K3060" i="13"/>
  <c r="K3061" i="13"/>
  <c r="K3071" i="13"/>
  <c r="K3072" i="13"/>
  <c r="K3073" i="13"/>
  <c r="K3074" i="13"/>
  <c r="K3075" i="13"/>
  <c r="K3076" i="13"/>
  <c r="K3077" i="13"/>
  <c r="K3078" i="13"/>
  <c r="K3079" i="13"/>
  <c r="H3044" i="13"/>
  <c r="J3044" i="13" s="1"/>
  <c r="H3045" i="13"/>
  <c r="J3045" i="13" s="1"/>
  <c r="H3046" i="13"/>
  <c r="J3046" i="13" s="1"/>
  <c r="H3047" i="13"/>
  <c r="J3047" i="13" s="1"/>
  <c r="H3048" i="13"/>
  <c r="J3048" i="13" s="1"/>
  <c r="H3049" i="13"/>
  <c r="J3049" i="13" s="1"/>
  <c r="H3050" i="13"/>
  <c r="J3050" i="13" s="1"/>
  <c r="H3051" i="13"/>
  <c r="J3051" i="13" s="1"/>
  <c r="H3052" i="13"/>
  <c r="J3052" i="13" s="1"/>
  <c r="H3053" i="13"/>
  <c r="J3053" i="13" s="1"/>
  <c r="H3054" i="13"/>
  <c r="J3054" i="13" s="1"/>
  <c r="H3055" i="13"/>
  <c r="J3055" i="13" s="1"/>
  <c r="H3056" i="13"/>
  <c r="J3056" i="13" s="1"/>
  <c r="H3057" i="13"/>
  <c r="J3057" i="13" s="1"/>
  <c r="H3058" i="13"/>
  <c r="J3058" i="13" s="1"/>
  <c r="H3059" i="13"/>
  <c r="J3059" i="13" s="1"/>
  <c r="H3060" i="13"/>
  <c r="J3060" i="13" s="1"/>
  <c r="H3061" i="13"/>
  <c r="J3061" i="13" s="1"/>
  <c r="H3071" i="13"/>
  <c r="J3071" i="13" s="1"/>
  <c r="H3072" i="13"/>
  <c r="J3072" i="13" s="1"/>
  <c r="H3073" i="13"/>
  <c r="J3073" i="13" s="1"/>
  <c r="H3074" i="13"/>
  <c r="J3074" i="13" s="1"/>
  <c r="H3075" i="13"/>
  <c r="J3075" i="13" s="1"/>
  <c r="H3076" i="13"/>
  <c r="J3076" i="13" s="1"/>
  <c r="H3077" i="13"/>
  <c r="J3077" i="13" s="1"/>
  <c r="H3078" i="13"/>
  <c r="J3078" i="13" s="1"/>
  <c r="H3079" i="13"/>
  <c r="J3079" i="13" s="1"/>
  <c r="K2009" i="13"/>
  <c r="K2010" i="13"/>
  <c r="K2011" i="13"/>
  <c r="K2012" i="13"/>
  <c r="K2013" i="13"/>
  <c r="K2014" i="13"/>
  <c r="K2015" i="13"/>
  <c r="K2016" i="13"/>
  <c r="K2017" i="13"/>
  <c r="H2009" i="13"/>
  <c r="J2009" i="13" s="1"/>
  <c r="H2010" i="13"/>
  <c r="J2010" i="13" s="1"/>
  <c r="H2011" i="13"/>
  <c r="J2011" i="13" s="1"/>
  <c r="H2012" i="13"/>
  <c r="J2012" i="13" s="1"/>
  <c r="H2013" i="13"/>
  <c r="J2013" i="13" s="1"/>
  <c r="H2014" i="13"/>
  <c r="J2014" i="13" s="1"/>
  <c r="H2015" i="13"/>
  <c r="J2015" i="13" s="1"/>
  <c r="H2016" i="13"/>
  <c r="J2016" i="13" s="1"/>
  <c r="H2017" i="13"/>
  <c r="J2017" i="13" s="1"/>
  <c r="H2008" i="13"/>
  <c r="J2008" i="13" s="1"/>
  <c r="H2007" i="13"/>
  <c r="J2007" i="13" s="1"/>
  <c r="H2006" i="13"/>
  <c r="J2006" i="13" s="1"/>
  <c r="H2005" i="13"/>
  <c r="J2005" i="13" s="1"/>
  <c r="H2004" i="13"/>
  <c r="J2004" i="13" s="1"/>
  <c r="H2003" i="13"/>
  <c r="J2003" i="13" s="1"/>
  <c r="H2002" i="13"/>
  <c r="J2002" i="13" s="1"/>
  <c r="H2001" i="13"/>
  <c r="J2001" i="13" s="1"/>
  <c r="H2000" i="13"/>
  <c r="J2000" i="13" s="1"/>
  <c r="H1999" i="13"/>
  <c r="J1999" i="13" s="1"/>
  <c r="H1998" i="13"/>
  <c r="J1998" i="13" s="1"/>
  <c r="H1997" i="13"/>
  <c r="J1997" i="13" s="1"/>
  <c r="H1996" i="13"/>
  <c r="J1996" i="13" s="1"/>
  <c r="H1995" i="13"/>
  <c r="J1995" i="13" s="1"/>
  <c r="H1994" i="13"/>
  <c r="J1994" i="13" s="1"/>
  <c r="H1993" i="13"/>
  <c r="J1993" i="13" s="1"/>
  <c r="H1992" i="13"/>
  <c r="J1992" i="13" s="1"/>
  <c r="K1991" i="13"/>
  <c r="K1992" i="13"/>
  <c r="K1993" i="13"/>
  <c r="K1994" i="13"/>
  <c r="K1995" i="13"/>
  <c r="K1996" i="13"/>
  <c r="K1997" i="13"/>
  <c r="K1998" i="13"/>
  <c r="K1999" i="13"/>
  <c r="K2000" i="13"/>
  <c r="K2001" i="13"/>
  <c r="K2002" i="13"/>
  <c r="K2003" i="13"/>
  <c r="K2004" i="13"/>
  <c r="K2005" i="13"/>
  <c r="K2006" i="13"/>
  <c r="K2007" i="13"/>
  <c r="K2008" i="13"/>
  <c r="K11" i="13"/>
  <c r="K12" i="13"/>
  <c r="K13" i="13"/>
  <c r="K14" i="13"/>
  <c r="K15" i="13"/>
  <c r="K16" i="13"/>
  <c r="K17" i="13"/>
  <c r="K18" i="13"/>
  <c r="K19" i="13"/>
  <c r="K20" i="13"/>
  <c r="K21" i="13"/>
  <c r="K22" i="13"/>
  <c r="K23" i="13"/>
  <c r="K24" i="13"/>
  <c r="K25" i="13"/>
  <c r="K26" i="13"/>
  <c r="K27" i="13"/>
  <c r="K28" i="13"/>
  <c r="K29" i="13"/>
  <c r="K30" i="13"/>
  <c r="K31" i="13"/>
  <c r="K32" i="13"/>
  <c r="K33" i="13"/>
  <c r="K34" i="13"/>
  <c r="K35" i="13"/>
  <c r="K36" i="13"/>
  <c r="K37" i="13"/>
  <c r="K38" i="13"/>
  <c r="K39" i="13"/>
  <c r="K40" i="13"/>
  <c r="K41" i="13"/>
  <c r="K42" i="13"/>
  <c r="K43" i="13"/>
  <c r="K44" i="13"/>
  <c r="K45" i="13"/>
  <c r="K46" i="13"/>
  <c r="K47" i="13"/>
  <c r="K48" i="13"/>
  <c r="K49" i="13"/>
  <c r="K50" i="13"/>
  <c r="K51" i="13"/>
  <c r="K52" i="13"/>
  <c r="K53" i="13"/>
  <c r="K54" i="13"/>
  <c r="K55" i="13"/>
  <c r="K56" i="13"/>
  <c r="K57" i="13"/>
  <c r="K58" i="13"/>
  <c r="K59" i="13"/>
  <c r="K60" i="13"/>
  <c r="K61" i="13"/>
  <c r="K62" i="13"/>
  <c r="K63" i="13"/>
  <c r="K64" i="13"/>
  <c r="K65" i="13"/>
  <c r="K66" i="13"/>
  <c r="K67" i="13"/>
  <c r="K68" i="13"/>
  <c r="K69" i="13"/>
  <c r="K70" i="13"/>
  <c r="K71" i="13"/>
  <c r="K72" i="13"/>
  <c r="K73" i="13"/>
  <c r="K74" i="13"/>
  <c r="K75" i="13"/>
  <c r="K76" i="13"/>
  <c r="K77" i="13"/>
  <c r="K78" i="13"/>
  <c r="K79" i="13"/>
  <c r="K80" i="13"/>
  <c r="K81" i="13"/>
  <c r="K82" i="13"/>
  <c r="K83" i="13"/>
  <c r="K84" i="13"/>
  <c r="K85" i="13"/>
  <c r="K86" i="13"/>
  <c r="K87" i="13"/>
  <c r="K88" i="13"/>
  <c r="K89" i="13"/>
  <c r="K90" i="13"/>
  <c r="K91" i="13"/>
  <c r="K92" i="13"/>
  <c r="K93" i="13"/>
  <c r="K94" i="13"/>
  <c r="K95" i="13"/>
  <c r="K96" i="13"/>
  <c r="K97" i="13"/>
  <c r="K98" i="13"/>
  <c r="K99" i="13"/>
  <c r="K100" i="13"/>
  <c r="K101" i="13"/>
  <c r="K102" i="13"/>
  <c r="K103" i="13"/>
  <c r="K104" i="13"/>
  <c r="K105" i="13"/>
  <c r="K106" i="13"/>
  <c r="K107" i="13"/>
  <c r="K108" i="13"/>
  <c r="K109" i="13"/>
  <c r="K110" i="13"/>
  <c r="K111" i="13"/>
  <c r="K112" i="13"/>
  <c r="K113" i="13"/>
  <c r="K114" i="13"/>
  <c r="K115" i="13"/>
  <c r="K116" i="13"/>
  <c r="K117" i="13"/>
  <c r="K118" i="13"/>
  <c r="K119" i="13"/>
  <c r="K120" i="13"/>
  <c r="K121" i="13"/>
  <c r="K122" i="13"/>
  <c r="K123" i="13"/>
  <c r="K124" i="13"/>
  <c r="K125" i="13"/>
  <c r="K126" i="13"/>
  <c r="K127" i="13"/>
  <c r="K128" i="13"/>
  <c r="K129" i="13"/>
  <c r="K130" i="13"/>
  <c r="K131" i="13"/>
  <c r="K132" i="13"/>
  <c r="K133" i="13"/>
  <c r="K134" i="13"/>
  <c r="K135" i="13"/>
  <c r="K136" i="13"/>
  <c r="K137" i="13"/>
  <c r="K138" i="13"/>
  <c r="K139" i="13"/>
  <c r="K140" i="13"/>
  <c r="K141" i="13"/>
  <c r="K142" i="13"/>
  <c r="K143" i="13"/>
  <c r="K144" i="13"/>
  <c r="K145" i="13"/>
  <c r="K146" i="13"/>
  <c r="K147" i="13"/>
  <c r="K148" i="13"/>
  <c r="K149" i="13"/>
  <c r="K150" i="13"/>
  <c r="K151" i="13"/>
  <c r="K152" i="13"/>
  <c r="K153" i="13"/>
  <c r="K154" i="13"/>
  <c r="K155" i="13"/>
  <c r="K156" i="13"/>
  <c r="K157" i="13"/>
  <c r="K158" i="13"/>
  <c r="K159" i="13"/>
  <c r="K160" i="13"/>
  <c r="K161" i="13"/>
  <c r="K162" i="13"/>
  <c r="K163" i="13"/>
  <c r="K164" i="13"/>
  <c r="K165" i="13"/>
  <c r="K166" i="13"/>
  <c r="K167" i="13"/>
  <c r="K168" i="13"/>
  <c r="K169" i="13"/>
  <c r="K170" i="13"/>
  <c r="K171" i="13"/>
  <c r="K172" i="13"/>
  <c r="K182" i="13"/>
  <c r="K183" i="13"/>
  <c r="K184" i="13"/>
  <c r="K185" i="13"/>
  <c r="K186" i="13"/>
  <c r="K187" i="13"/>
  <c r="K188" i="13"/>
  <c r="K189" i="13"/>
  <c r="K190" i="13"/>
  <c r="K191" i="13"/>
  <c r="K192" i="13"/>
  <c r="K193" i="13"/>
  <c r="K194" i="13"/>
  <c r="K195" i="13"/>
  <c r="K196" i="13"/>
  <c r="K197" i="13"/>
  <c r="K198" i="13"/>
  <c r="K199" i="13"/>
  <c r="K200" i="13"/>
  <c r="K201" i="13"/>
  <c r="K202" i="13"/>
  <c r="K203" i="13"/>
  <c r="K204" i="13"/>
  <c r="K205" i="13"/>
  <c r="K206" i="13"/>
  <c r="K207" i="13"/>
  <c r="K208" i="13"/>
  <c r="K209" i="13"/>
  <c r="K210" i="13"/>
  <c r="K211" i="13"/>
  <c r="K212" i="13"/>
  <c r="K213" i="13"/>
  <c r="K214" i="13"/>
  <c r="K215" i="13"/>
  <c r="K216" i="13"/>
  <c r="K217" i="13"/>
  <c r="K218" i="13"/>
  <c r="K219" i="13"/>
  <c r="K220" i="13"/>
  <c r="K221" i="13"/>
  <c r="K222" i="13"/>
  <c r="K223" i="13"/>
  <c r="K224" i="13"/>
  <c r="K225" i="13"/>
  <c r="K226" i="13"/>
  <c r="K227" i="13"/>
  <c r="K228" i="13"/>
  <c r="K229" i="13"/>
  <c r="K230" i="13"/>
  <c r="K231" i="13"/>
  <c r="K232" i="13"/>
  <c r="K233" i="13"/>
  <c r="K234" i="13"/>
  <c r="K235" i="13"/>
  <c r="K236" i="13"/>
  <c r="K237" i="13"/>
  <c r="K238" i="13"/>
  <c r="K239" i="13"/>
  <c r="K240" i="13"/>
  <c r="K241" i="13"/>
  <c r="K242" i="13"/>
  <c r="K243" i="13"/>
  <c r="K244" i="13"/>
  <c r="K245" i="13"/>
  <c r="K246" i="13"/>
  <c r="K247" i="13"/>
  <c r="K248" i="13"/>
  <c r="K249" i="13"/>
  <c r="K250" i="13"/>
  <c r="K251" i="13"/>
  <c r="K252" i="13"/>
  <c r="K253" i="13"/>
  <c r="K254" i="13"/>
  <c r="K255" i="13"/>
  <c r="K256" i="13"/>
  <c r="K257" i="13"/>
  <c r="K258" i="13"/>
  <c r="K259" i="13"/>
  <c r="K260" i="13"/>
  <c r="K261" i="13"/>
  <c r="K262" i="13"/>
  <c r="K263" i="13"/>
  <c r="K264" i="13"/>
  <c r="K265" i="13"/>
  <c r="K266" i="13"/>
  <c r="K267" i="13"/>
  <c r="K268" i="13"/>
  <c r="K269" i="13"/>
  <c r="K270" i="13"/>
  <c r="K271" i="13"/>
  <c r="K272" i="13"/>
  <c r="K273" i="13"/>
  <c r="K274" i="13"/>
  <c r="K275" i="13"/>
  <c r="K276" i="13"/>
  <c r="K277" i="13"/>
  <c r="K278" i="13"/>
  <c r="K279" i="13"/>
  <c r="K280" i="13"/>
  <c r="K281" i="13"/>
  <c r="K282" i="13"/>
  <c r="K283" i="13"/>
  <c r="K284" i="13"/>
  <c r="K285" i="13"/>
  <c r="K286" i="13"/>
  <c r="K287" i="13"/>
  <c r="K288" i="13"/>
  <c r="K289" i="13"/>
  <c r="K290" i="13"/>
  <c r="K291" i="13"/>
  <c r="K292" i="13"/>
  <c r="K293" i="13"/>
  <c r="K294" i="13"/>
  <c r="K295" i="13"/>
  <c r="K296" i="13"/>
  <c r="K297" i="13"/>
  <c r="K298" i="13"/>
  <c r="K299" i="13"/>
  <c r="K300" i="13"/>
  <c r="K301" i="13"/>
  <c r="K302" i="13"/>
  <c r="K303" i="13"/>
  <c r="K304" i="13"/>
  <c r="K305" i="13"/>
  <c r="K306" i="13"/>
  <c r="K307" i="13"/>
  <c r="K308" i="13"/>
  <c r="K309" i="13"/>
  <c r="K310" i="13"/>
  <c r="K311" i="13"/>
  <c r="K312" i="13"/>
  <c r="K313" i="13"/>
  <c r="K314" i="13"/>
  <c r="K315" i="13"/>
  <c r="K316" i="13"/>
  <c r="K317" i="13"/>
  <c r="K318" i="13"/>
  <c r="K319" i="13"/>
  <c r="K320" i="13"/>
  <c r="K321" i="13"/>
  <c r="K322" i="13"/>
  <c r="K323" i="13"/>
  <c r="K324" i="13"/>
  <c r="K325" i="13"/>
  <c r="K326" i="13"/>
  <c r="K327" i="13"/>
  <c r="K328" i="13"/>
  <c r="K329" i="13"/>
  <c r="K330" i="13"/>
  <c r="K331" i="13"/>
  <c r="K332" i="13"/>
  <c r="K333" i="13"/>
  <c r="K334" i="13"/>
  <c r="K344" i="13"/>
  <c r="K345" i="13"/>
  <c r="K346" i="13"/>
  <c r="K347" i="13"/>
  <c r="K348" i="13"/>
  <c r="K349" i="13"/>
  <c r="K350" i="13"/>
  <c r="K351" i="13"/>
  <c r="K352" i="13"/>
  <c r="K353" i="13"/>
  <c r="K354" i="13"/>
  <c r="K355" i="13"/>
  <c r="K356" i="13"/>
  <c r="K357" i="13"/>
  <c r="K358" i="13"/>
  <c r="K359" i="13"/>
  <c r="K360" i="13"/>
  <c r="K361" i="13"/>
  <c r="K362" i="13"/>
  <c r="K363" i="13"/>
  <c r="K364" i="13"/>
  <c r="K365" i="13"/>
  <c r="K366" i="13"/>
  <c r="K367" i="13"/>
  <c r="K368" i="13"/>
  <c r="K369" i="13"/>
  <c r="K370" i="13"/>
  <c r="K371" i="13"/>
  <c r="K372" i="13"/>
  <c r="K373" i="13"/>
  <c r="K374" i="13"/>
  <c r="K375" i="13"/>
  <c r="K376" i="13"/>
  <c r="K377" i="13"/>
  <c r="K378" i="13"/>
  <c r="K379" i="13"/>
  <c r="K380" i="13"/>
  <c r="K381" i="13"/>
  <c r="K382" i="13"/>
  <c r="K383" i="13"/>
  <c r="K384" i="13"/>
  <c r="K385" i="13"/>
  <c r="K386" i="13"/>
  <c r="K387" i="13"/>
  <c r="K388" i="13"/>
  <c r="K389" i="13"/>
  <c r="K390" i="13"/>
  <c r="K391" i="13"/>
  <c r="K392" i="13"/>
  <c r="K393" i="13"/>
  <c r="K394" i="13"/>
  <c r="K395" i="13"/>
  <c r="K396" i="13"/>
  <c r="K397" i="13"/>
  <c r="K407" i="13"/>
  <c r="K408" i="13"/>
  <c r="K409" i="13"/>
  <c r="K410" i="13"/>
  <c r="K411" i="13"/>
  <c r="K412" i="13"/>
  <c r="K413" i="13"/>
  <c r="K414" i="13"/>
  <c r="K415" i="13"/>
  <c r="K416" i="13"/>
  <c r="K417" i="13"/>
  <c r="K418" i="13"/>
  <c r="K419" i="13"/>
  <c r="K420" i="13"/>
  <c r="K421" i="13"/>
  <c r="K422" i="13"/>
  <c r="K423" i="13"/>
  <c r="K424" i="13"/>
  <c r="K425" i="13"/>
  <c r="K426" i="13"/>
  <c r="K427" i="13"/>
  <c r="K428" i="13"/>
  <c r="K429" i="13"/>
  <c r="K430" i="13"/>
  <c r="K431" i="13"/>
  <c r="K432" i="13"/>
  <c r="K433" i="13"/>
  <c r="K434" i="13"/>
  <c r="K435" i="13"/>
  <c r="K436" i="13"/>
  <c r="K437" i="13"/>
  <c r="K438" i="13"/>
  <c r="K439" i="13"/>
  <c r="K440" i="13"/>
  <c r="K441" i="13"/>
  <c r="K442" i="13"/>
  <c r="K443" i="13"/>
  <c r="K444" i="13"/>
  <c r="K445" i="13"/>
  <c r="K446" i="13"/>
  <c r="K447" i="13"/>
  <c r="K448" i="13"/>
  <c r="K449" i="13"/>
  <c r="K450" i="13"/>
  <c r="K451" i="13"/>
  <c r="K452" i="13"/>
  <c r="K453" i="13"/>
  <c r="K454" i="13"/>
  <c r="K455" i="13"/>
  <c r="K456" i="13"/>
  <c r="K457" i="13"/>
  <c r="K458" i="13"/>
  <c r="K459" i="13"/>
  <c r="K460" i="13"/>
  <c r="K461" i="13"/>
  <c r="K462" i="13"/>
  <c r="K463" i="13"/>
  <c r="K464" i="13"/>
  <c r="K465" i="13"/>
  <c r="K466" i="13"/>
  <c r="K467" i="13"/>
  <c r="K468" i="13"/>
  <c r="K469" i="13"/>
  <c r="K470" i="13"/>
  <c r="K471" i="13"/>
  <c r="K472" i="13"/>
  <c r="K473" i="13"/>
  <c r="K474" i="13"/>
  <c r="K475" i="13"/>
  <c r="K476" i="13"/>
  <c r="K477" i="13"/>
  <c r="K478" i="13"/>
  <c r="K479" i="13"/>
  <c r="K480" i="13"/>
  <c r="K481" i="13"/>
  <c r="K482" i="13"/>
  <c r="K483" i="13"/>
  <c r="K484" i="13"/>
  <c r="K485" i="13"/>
  <c r="K486" i="13"/>
  <c r="K487" i="13"/>
  <c r="K488" i="13"/>
  <c r="K489" i="13"/>
  <c r="K490" i="13"/>
  <c r="K491" i="13"/>
  <c r="K492" i="13"/>
  <c r="K493" i="13"/>
  <c r="K494" i="13"/>
  <c r="K495" i="13"/>
  <c r="K496" i="13"/>
  <c r="K497" i="13"/>
  <c r="K498" i="13"/>
  <c r="K499" i="13"/>
  <c r="K500" i="13"/>
  <c r="K501" i="13"/>
  <c r="K502" i="13"/>
  <c r="K503" i="13"/>
  <c r="K504" i="13"/>
  <c r="K505" i="13"/>
  <c r="K506" i="13"/>
  <c r="K507" i="13"/>
  <c r="K508" i="13"/>
  <c r="K509" i="13"/>
  <c r="K510" i="13"/>
  <c r="K511" i="13"/>
  <c r="K512" i="13"/>
  <c r="K513" i="13"/>
  <c r="K514" i="13"/>
  <c r="K515" i="13"/>
  <c r="K516" i="13"/>
  <c r="K517" i="13"/>
  <c r="K518" i="13"/>
  <c r="K519" i="13"/>
  <c r="K520" i="13"/>
  <c r="K521" i="13"/>
  <c r="K522" i="13"/>
  <c r="K523" i="13"/>
  <c r="K524" i="13"/>
  <c r="K525" i="13"/>
  <c r="K526" i="13"/>
  <c r="K527" i="13"/>
  <c r="K528" i="13"/>
  <c r="K529" i="13"/>
  <c r="K530" i="13"/>
  <c r="K531" i="13"/>
  <c r="K532" i="13"/>
  <c r="K533" i="13"/>
  <c r="K534" i="13"/>
  <c r="K535" i="13"/>
  <c r="K536" i="13"/>
  <c r="K537" i="13"/>
  <c r="K538" i="13"/>
  <c r="K539" i="13"/>
  <c r="K540" i="13"/>
  <c r="K541" i="13"/>
  <c r="K542" i="13"/>
  <c r="K543" i="13"/>
  <c r="K544" i="13"/>
  <c r="K545" i="13"/>
  <c r="K546" i="13"/>
  <c r="K547" i="13"/>
  <c r="K548" i="13"/>
  <c r="K549" i="13"/>
  <c r="K550" i="13"/>
  <c r="K551" i="13"/>
  <c r="K552" i="13"/>
  <c r="K553" i="13"/>
  <c r="K554" i="13"/>
  <c r="K555" i="13"/>
  <c r="K556" i="13"/>
  <c r="K557" i="13"/>
  <c r="K558" i="13"/>
  <c r="K559" i="13"/>
  <c r="K560" i="13"/>
  <c r="K561" i="13"/>
  <c r="K562" i="13"/>
  <c r="K563" i="13"/>
  <c r="K564" i="13"/>
  <c r="K565" i="13"/>
  <c r="K566" i="13"/>
  <c r="K567" i="13"/>
  <c r="K568" i="13"/>
  <c r="K569" i="13"/>
  <c r="K570" i="13"/>
  <c r="K571" i="13"/>
  <c r="K572" i="13"/>
  <c r="K573" i="13"/>
  <c r="K574" i="13"/>
  <c r="K575" i="13"/>
  <c r="K576" i="13"/>
  <c r="K577" i="13"/>
  <c r="K578" i="13"/>
  <c r="K579" i="13"/>
  <c r="K580" i="13"/>
  <c r="K581" i="13"/>
  <c r="K582" i="13"/>
  <c r="K583" i="13"/>
  <c r="K584" i="13"/>
  <c r="K585" i="13"/>
  <c r="K586" i="13"/>
  <c r="K587" i="13"/>
  <c r="K588" i="13"/>
  <c r="K589" i="13"/>
  <c r="K590" i="13"/>
  <c r="K591" i="13"/>
  <c r="K592" i="13"/>
  <c r="K593" i="13"/>
  <c r="K594" i="13"/>
  <c r="K595" i="13"/>
  <c r="K596" i="13"/>
  <c r="K597" i="13"/>
  <c r="K598" i="13"/>
  <c r="K599" i="13"/>
  <c r="K600" i="13"/>
  <c r="K601" i="13"/>
  <c r="K602" i="13"/>
  <c r="K603" i="13"/>
  <c r="K604" i="13"/>
  <c r="K605" i="13"/>
  <c r="K606" i="13"/>
  <c r="K607" i="13"/>
  <c r="K608" i="13"/>
  <c r="K609" i="13"/>
  <c r="K610" i="13"/>
  <c r="K611" i="13"/>
  <c r="K612" i="13"/>
  <c r="K613" i="13"/>
  <c r="K614" i="13"/>
  <c r="K615" i="13"/>
  <c r="K616" i="13"/>
  <c r="K617" i="13"/>
  <c r="K618" i="13"/>
  <c r="K619" i="13"/>
  <c r="K620" i="13"/>
  <c r="K621" i="13"/>
  <c r="K622" i="13"/>
  <c r="K623" i="13"/>
  <c r="K624" i="13"/>
  <c r="K625" i="13"/>
  <c r="K626" i="13"/>
  <c r="K627" i="13"/>
  <c r="K628" i="13"/>
  <c r="K629" i="13"/>
  <c r="K630" i="13"/>
  <c r="K631" i="13"/>
  <c r="K632" i="13"/>
  <c r="K633" i="13"/>
  <c r="K634" i="13"/>
  <c r="K635" i="13"/>
  <c r="K636" i="13"/>
  <c r="K637" i="13"/>
  <c r="K638" i="13"/>
  <c r="K639" i="13"/>
  <c r="K640" i="13"/>
  <c r="K641" i="13"/>
  <c r="K642" i="13"/>
  <c r="K643" i="13"/>
  <c r="K644" i="13"/>
  <c r="K645" i="13"/>
  <c r="K646" i="13"/>
  <c r="K647" i="13"/>
  <c r="K648" i="13"/>
  <c r="K649" i="13"/>
  <c r="K650" i="13"/>
  <c r="K651" i="13"/>
  <c r="K652" i="13"/>
  <c r="K653" i="13"/>
  <c r="K654" i="13"/>
  <c r="K655" i="13"/>
  <c r="K656" i="13"/>
  <c r="K657" i="13"/>
  <c r="K658" i="13"/>
  <c r="K659" i="13"/>
  <c r="K660" i="13"/>
  <c r="K661" i="13"/>
  <c r="K662" i="13"/>
  <c r="K663" i="13"/>
  <c r="K664" i="13"/>
  <c r="K665" i="13"/>
  <c r="K666" i="13"/>
  <c r="K667" i="13"/>
  <c r="K668" i="13"/>
  <c r="K669" i="13"/>
  <c r="K670" i="13"/>
  <c r="K671" i="13"/>
  <c r="K672" i="13"/>
  <c r="K673" i="13"/>
  <c r="K674" i="13"/>
  <c r="K675" i="13"/>
  <c r="K676" i="13"/>
  <c r="K677" i="13"/>
  <c r="K678" i="13"/>
  <c r="K679" i="13"/>
  <c r="K680" i="13"/>
  <c r="K681" i="13"/>
  <c r="K682" i="13"/>
  <c r="K683" i="13"/>
  <c r="K684" i="13"/>
  <c r="K685" i="13"/>
  <c r="K686" i="13"/>
  <c r="K687" i="13"/>
  <c r="K688" i="13"/>
  <c r="K689" i="13"/>
  <c r="K690" i="13"/>
  <c r="K691" i="13"/>
  <c r="K692" i="13"/>
  <c r="K693" i="13"/>
  <c r="K694" i="13"/>
  <c r="K695" i="13"/>
  <c r="K696" i="13"/>
  <c r="K697" i="13"/>
  <c r="K698" i="13"/>
  <c r="K699" i="13"/>
  <c r="K700" i="13"/>
  <c r="K701" i="13"/>
  <c r="K702" i="13"/>
  <c r="K703" i="13"/>
  <c r="K704" i="13"/>
  <c r="K705" i="13"/>
  <c r="K706" i="13"/>
  <c r="K707" i="13"/>
  <c r="K708" i="13"/>
  <c r="K709" i="13"/>
  <c r="K710" i="13"/>
  <c r="K711" i="13"/>
  <c r="K712" i="13"/>
  <c r="K713" i="13"/>
  <c r="K714" i="13"/>
  <c r="K715" i="13"/>
  <c r="K716" i="13"/>
  <c r="K717" i="13"/>
  <c r="K718" i="13"/>
  <c r="K719" i="13"/>
  <c r="K720" i="13"/>
  <c r="K721" i="13"/>
  <c r="K722" i="13"/>
  <c r="K723" i="13"/>
  <c r="K724" i="13"/>
  <c r="K725" i="13"/>
  <c r="K726" i="13"/>
  <c r="K727" i="13"/>
  <c r="K728" i="13"/>
  <c r="K729" i="13"/>
  <c r="K730" i="13"/>
  <c r="K731" i="13"/>
  <c r="K732" i="13"/>
  <c r="K733" i="13"/>
  <c r="K734" i="13"/>
  <c r="K735" i="13"/>
  <c r="K736" i="13"/>
  <c r="K737" i="13"/>
  <c r="K738" i="13"/>
  <c r="K739" i="13"/>
  <c r="K740" i="13"/>
  <c r="K741" i="13"/>
  <c r="K742" i="13"/>
  <c r="K743" i="13"/>
  <c r="K744" i="13"/>
  <c r="K745" i="13"/>
  <c r="K746" i="13"/>
  <c r="K747" i="13"/>
  <c r="K748" i="13"/>
  <c r="K749" i="13"/>
  <c r="K750" i="13"/>
  <c r="K751" i="13"/>
  <c r="K752" i="13"/>
  <c r="K753" i="13"/>
  <c r="K754" i="13"/>
  <c r="K755" i="13"/>
  <c r="K756" i="13"/>
  <c r="K757" i="13"/>
  <c r="K758" i="13"/>
  <c r="K759" i="13"/>
  <c r="K760" i="13"/>
  <c r="K761" i="13"/>
  <c r="K762" i="13"/>
  <c r="K763" i="13"/>
  <c r="K764" i="13"/>
  <c r="K765" i="13"/>
  <c r="K766" i="13"/>
  <c r="K767" i="13"/>
  <c r="K768" i="13"/>
  <c r="K769" i="13"/>
  <c r="K770" i="13"/>
  <c r="K771" i="13"/>
  <c r="K772" i="13"/>
  <c r="K773" i="13"/>
  <c r="K774" i="13"/>
  <c r="K775" i="13"/>
  <c r="K776" i="13"/>
  <c r="K777" i="13"/>
  <c r="K778" i="13"/>
  <c r="K779" i="13"/>
  <c r="K780" i="13"/>
  <c r="K781" i="13"/>
  <c r="K782" i="13"/>
  <c r="K783" i="13"/>
  <c r="K784" i="13"/>
  <c r="K785" i="13"/>
  <c r="K786" i="13"/>
  <c r="K787" i="13"/>
  <c r="K788" i="13"/>
  <c r="K789" i="13"/>
  <c r="K790" i="13"/>
  <c r="K791" i="13"/>
  <c r="K792" i="13"/>
  <c r="K793" i="13"/>
  <c r="K794" i="13"/>
  <c r="K795" i="13"/>
  <c r="K796" i="13"/>
  <c r="K797" i="13"/>
  <c r="K798" i="13"/>
  <c r="K799" i="13"/>
  <c r="K800" i="13"/>
  <c r="K801" i="13"/>
  <c r="K802" i="13"/>
  <c r="K803" i="13"/>
  <c r="K804" i="13"/>
  <c r="K805" i="13"/>
  <c r="K806" i="13"/>
  <c r="K807" i="13"/>
  <c r="K808" i="13"/>
  <c r="K809" i="13"/>
  <c r="K810" i="13"/>
  <c r="K811" i="13"/>
  <c r="K812" i="13"/>
  <c r="K813" i="13"/>
  <c r="K814" i="13"/>
  <c r="K815" i="13"/>
  <c r="K816" i="13"/>
  <c r="K817" i="13"/>
  <c r="K818" i="13"/>
  <c r="K819" i="13"/>
  <c r="K820" i="13"/>
  <c r="K821" i="13"/>
  <c r="K822" i="13"/>
  <c r="K823" i="13"/>
  <c r="K824" i="13"/>
  <c r="K825" i="13"/>
  <c r="K826" i="13"/>
  <c r="K827" i="13"/>
  <c r="K828" i="13"/>
  <c r="K829" i="13"/>
  <c r="K830" i="13"/>
  <c r="K831" i="13"/>
  <c r="K832" i="13"/>
  <c r="K833" i="13"/>
  <c r="K834" i="13"/>
  <c r="K835" i="13"/>
  <c r="K836" i="13"/>
  <c r="K837" i="13"/>
  <c r="K838" i="13"/>
  <c r="K839" i="13"/>
  <c r="K840" i="13"/>
  <c r="K841" i="13"/>
  <c r="K842" i="13"/>
  <c r="K843" i="13"/>
  <c r="K844" i="13"/>
  <c r="K845" i="13"/>
  <c r="K846" i="13"/>
  <c r="K847" i="13"/>
  <c r="K848" i="13"/>
  <c r="K849" i="13"/>
  <c r="K850" i="13"/>
  <c r="K851" i="13"/>
  <c r="K852" i="13"/>
  <c r="K853" i="13"/>
  <c r="K854" i="13"/>
  <c r="K855" i="13"/>
  <c r="K856" i="13"/>
  <c r="K857" i="13"/>
  <c r="K858" i="13"/>
  <c r="K859" i="13"/>
  <c r="K860" i="13"/>
  <c r="K861" i="13"/>
  <c r="K862" i="13"/>
  <c r="K863" i="13"/>
  <c r="K864" i="13"/>
  <c r="K865" i="13"/>
  <c r="K866" i="13"/>
  <c r="K867" i="13"/>
  <c r="K868" i="13"/>
  <c r="K869" i="13"/>
  <c r="K870" i="13"/>
  <c r="K871" i="13"/>
  <c r="K872" i="13"/>
  <c r="K873" i="13"/>
  <c r="K874" i="13"/>
  <c r="K875" i="13"/>
  <c r="K876" i="13"/>
  <c r="K877" i="13"/>
  <c r="K878" i="13"/>
  <c r="K879" i="13"/>
  <c r="K880" i="13"/>
  <c r="K881" i="13"/>
  <c r="K882" i="13"/>
  <c r="K883" i="13"/>
  <c r="K884" i="13"/>
  <c r="K885" i="13"/>
  <c r="K886" i="13"/>
  <c r="K887" i="13"/>
  <c r="K888" i="13"/>
  <c r="K889" i="13"/>
  <c r="K890" i="13"/>
  <c r="K891" i="13"/>
  <c r="K892" i="13"/>
  <c r="K893" i="13"/>
  <c r="K894" i="13"/>
  <c r="K895" i="13"/>
  <c r="K896" i="13"/>
  <c r="K897" i="13"/>
  <c r="K898" i="13"/>
  <c r="K899" i="13"/>
  <c r="K900" i="13"/>
  <c r="K901" i="13"/>
  <c r="K902" i="13"/>
  <c r="K903" i="13"/>
  <c r="K904" i="13"/>
  <c r="K905" i="13"/>
  <c r="K906" i="13"/>
  <c r="K907" i="13"/>
  <c r="K908" i="13"/>
  <c r="K909" i="13"/>
  <c r="K910" i="13"/>
  <c r="K911" i="13"/>
  <c r="K912" i="13"/>
  <c r="K913" i="13"/>
  <c r="K914" i="13"/>
  <c r="K915" i="13"/>
  <c r="K916" i="13"/>
  <c r="K917" i="13"/>
  <c r="K918" i="13"/>
  <c r="K919" i="13"/>
  <c r="K929" i="13"/>
  <c r="K930" i="13"/>
  <c r="K931" i="13"/>
  <c r="K932" i="13"/>
  <c r="K933" i="13"/>
  <c r="K934" i="13"/>
  <c r="K935" i="13"/>
  <c r="K936" i="13"/>
  <c r="K937" i="13"/>
  <c r="K938" i="13"/>
  <c r="K939" i="13"/>
  <c r="K940" i="13"/>
  <c r="K941" i="13"/>
  <c r="K942" i="13"/>
  <c r="K943" i="13"/>
  <c r="K944" i="13"/>
  <c r="K945" i="13"/>
  <c r="K946" i="13"/>
  <c r="K956" i="13"/>
  <c r="K957" i="13"/>
  <c r="K958" i="13"/>
  <c r="K959" i="13"/>
  <c r="K960" i="13"/>
  <c r="K961" i="13"/>
  <c r="K962" i="13"/>
  <c r="K963" i="13"/>
  <c r="K964" i="13"/>
  <c r="K965" i="13"/>
  <c r="K966" i="13"/>
  <c r="K967" i="13"/>
  <c r="K968" i="13"/>
  <c r="K969" i="13"/>
  <c r="K970" i="13"/>
  <c r="K971" i="13"/>
  <c r="K972" i="13"/>
  <c r="K973" i="13"/>
  <c r="K974" i="13"/>
  <c r="K975" i="13"/>
  <c r="K976" i="13"/>
  <c r="K977" i="13"/>
  <c r="K978" i="13"/>
  <c r="K979" i="13"/>
  <c r="K980" i="13"/>
  <c r="K981" i="13"/>
  <c r="K982" i="13"/>
  <c r="K983" i="13"/>
  <c r="K984" i="13"/>
  <c r="K985" i="13"/>
  <c r="K986" i="13"/>
  <c r="K987" i="13"/>
  <c r="K988" i="13"/>
  <c r="K989" i="13"/>
  <c r="K990" i="13"/>
  <c r="K991" i="13"/>
  <c r="K992" i="13"/>
  <c r="K993" i="13"/>
  <c r="K994" i="13"/>
  <c r="K995" i="13"/>
  <c r="K996" i="13"/>
  <c r="K997" i="13"/>
  <c r="K998" i="13"/>
  <c r="K999" i="13"/>
  <c r="K1000" i="13"/>
  <c r="K1001" i="13"/>
  <c r="K1002" i="13"/>
  <c r="K1003" i="13"/>
  <c r="K1004" i="13"/>
  <c r="K1005" i="13"/>
  <c r="K1006" i="13"/>
  <c r="K1007" i="13"/>
  <c r="K1008" i="13"/>
  <c r="K1009" i="13"/>
  <c r="K1010" i="13"/>
  <c r="K1011" i="13"/>
  <c r="K1012" i="13"/>
  <c r="K1013" i="13"/>
  <c r="K1014" i="13"/>
  <c r="K1015" i="13"/>
  <c r="K1016" i="13"/>
  <c r="K1017" i="13"/>
  <c r="K1018" i="13"/>
  <c r="K1019" i="13"/>
  <c r="K1020" i="13"/>
  <c r="K1021" i="13"/>
  <c r="K1022" i="13"/>
  <c r="K1023" i="13"/>
  <c r="K1024" i="13"/>
  <c r="K1025" i="13"/>
  <c r="K1026" i="13"/>
  <c r="K1027" i="13"/>
  <c r="K1028" i="13"/>
  <c r="K1029" i="13"/>
  <c r="K1030" i="13"/>
  <c r="K1031" i="13"/>
  <c r="K1032" i="13"/>
  <c r="K1033" i="13"/>
  <c r="K1034" i="13"/>
  <c r="K1035" i="13"/>
  <c r="K1036" i="13"/>
  <c r="K1046" i="13"/>
  <c r="K1047" i="13"/>
  <c r="K1048" i="13"/>
  <c r="K1049" i="13"/>
  <c r="K1050" i="13"/>
  <c r="K1051" i="13"/>
  <c r="K1052" i="13"/>
  <c r="K1053" i="13"/>
  <c r="K1054" i="13"/>
  <c r="K1055" i="13"/>
  <c r="K1056" i="13"/>
  <c r="K1057" i="13"/>
  <c r="K1058" i="13"/>
  <c r="K1059" i="13"/>
  <c r="K1060" i="13"/>
  <c r="K1061" i="13"/>
  <c r="K1062" i="13"/>
  <c r="K1063" i="13"/>
  <c r="K1064" i="13"/>
  <c r="K1065" i="13"/>
  <c r="K1066" i="13"/>
  <c r="K1067" i="13"/>
  <c r="K1068" i="13"/>
  <c r="K1069" i="13"/>
  <c r="K1070" i="13"/>
  <c r="K1071" i="13"/>
  <c r="K1072" i="13"/>
  <c r="K1073" i="13"/>
  <c r="K1074" i="13"/>
  <c r="K1075" i="13"/>
  <c r="K1076" i="13"/>
  <c r="K1077" i="13"/>
  <c r="K1078" i="13"/>
  <c r="K1079" i="13"/>
  <c r="K1080" i="13"/>
  <c r="K1081" i="13"/>
  <c r="K1082" i="13"/>
  <c r="K1083" i="13"/>
  <c r="K1084" i="13"/>
  <c r="K1085" i="13"/>
  <c r="K1086" i="13"/>
  <c r="K1087" i="13"/>
  <c r="K1088" i="13"/>
  <c r="K1089" i="13"/>
  <c r="K1090" i="13"/>
  <c r="K1091" i="13"/>
  <c r="K1092" i="13"/>
  <c r="K1093" i="13"/>
  <c r="K1094" i="13"/>
  <c r="K1095" i="13"/>
  <c r="K1096" i="13"/>
  <c r="K1097" i="13"/>
  <c r="K1098" i="13"/>
  <c r="K1099" i="13"/>
  <c r="K1100" i="13"/>
  <c r="K1101" i="13"/>
  <c r="K1102" i="13"/>
  <c r="K1103" i="13"/>
  <c r="K1104" i="13"/>
  <c r="K1105" i="13"/>
  <c r="K1106" i="13"/>
  <c r="K1107" i="13"/>
  <c r="K1108" i="13"/>
  <c r="K1109" i="13"/>
  <c r="K1110" i="13"/>
  <c r="K1111" i="13"/>
  <c r="K1112" i="13"/>
  <c r="K1113" i="13"/>
  <c r="K1114" i="13"/>
  <c r="K1115" i="13"/>
  <c r="K1116" i="13"/>
  <c r="K1117" i="13"/>
  <c r="K1118" i="13"/>
  <c r="K1119" i="13"/>
  <c r="K1120" i="13"/>
  <c r="K1121" i="13"/>
  <c r="K1122" i="13"/>
  <c r="K1123" i="13"/>
  <c r="K1124" i="13"/>
  <c r="K1125" i="13"/>
  <c r="K1126" i="13"/>
  <c r="K1127" i="13"/>
  <c r="K1128" i="13"/>
  <c r="K1129" i="13"/>
  <c r="K1130" i="13"/>
  <c r="K1131" i="13"/>
  <c r="K1132" i="13"/>
  <c r="K1133" i="13"/>
  <c r="K1134" i="13"/>
  <c r="K1135" i="13"/>
  <c r="K1136" i="13"/>
  <c r="K1137" i="13"/>
  <c r="K1138" i="13"/>
  <c r="K1139" i="13"/>
  <c r="K1140" i="13"/>
  <c r="K1141" i="13"/>
  <c r="K1142" i="13"/>
  <c r="K1143" i="13"/>
  <c r="K1144" i="13"/>
  <c r="K1145" i="13"/>
  <c r="K1146" i="13"/>
  <c r="K1147" i="13"/>
  <c r="K1148" i="13"/>
  <c r="K1149" i="13"/>
  <c r="K1150" i="13"/>
  <c r="K1151" i="13"/>
  <c r="K1152" i="13"/>
  <c r="K1153" i="13"/>
  <c r="K1154" i="13"/>
  <c r="K1155" i="13"/>
  <c r="K1156" i="13"/>
  <c r="K1157" i="13"/>
  <c r="K1158" i="13"/>
  <c r="K1159" i="13"/>
  <c r="K1160" i="13"/>
  <c r="K1161" i="13"/>
  <c r="K1162" i="13"/>
  <c r="K1163" i="13"/>
  <c r="K1164" i="13"/>
  <c r="K1165" i="13"/>
  <c r="K1166" i="13"/>
  <c r="K1167" i="13"/>
  <c r="K1168" i="13"/>
  <c r="K1169" i="13"/>
  <c r="K1170" i="13"/>
  <c r="K1171" i="13"/>
  <c r="K1172" i="13"/>
  <c r="K1173" i="13"/>
  <c r="K1174" i="13"/>
  <c r="K1175" i="13"/>
  <c r="K1176" i="13"/>
  <c r="K1177" i="13"/>
  <c r="K1178" i="13"/>
  <c r="K1179" i="13"/>
  <c r="K1180" i="13"/>
  <c r="K1181" i="13"/>
  <c r="K1182" i="13"/>
  <c r="K1183" i="13"/>
  <c r="K1184" i="13"/>
  <c r="K1185" i="13"/>
  <c r="K1186" i="13"/>
  <c r="K1187" i="13"/>
  <c r="K1188" i="13"/>
  <c r="K1189" i="13"/>
  <c r="K1190" i="13"/>
  <c r="K1191" i="13"/>
  <c r="K1192" i="13"/>
  <c r="K1193" i="13"/>
  <c r="K1194" i="13"/>
  <c r="K1195" i="13"/>
  <c r="K1196" i="13"/>
  <c r="K1197" i="13"/>
  <c r="K1198" i="13"/>
  <c r="K1199" i="13"/>
  <c r="K1200" i="13"/>
  <c r="K1201" i="13"/>
  <c r="K1202" i="13"/>
  <c r="K1203" i="13"/>
  <c r="K1204" i="13"/>
  <c r="K1205" i="13"/>
  <c r="K1206" i="13"/>
  <c r="K1207" i="13"/>
  <c r="K1208" i="13"/>
  <c r="K1209" i="13"/>
  <c r="K1210" i="13"/>
  <c r="K1211" i="13"/>
  <c r="K1212" i="13"/>
  <c r="K1213" i="13"/>
  <c r="K1214" i="13"/>
  <c r="K1215" i="13"/>
  <c r="K1216" i="13"/>
  <c r="K1217" i="13"/>
  <c r="K1218" i="13"/>
  <c r="K1219" i="13"/>
  <c r="K1220" i="13"/>
  <c r="K1221" i="13"/>
  <c r="K1222" i="13"/>
  <c r="K1223" i="13"/>
  <c r="K1224" i="13"/>
  <c r="K1225" i="13"/>
  <c r="K1226" i="13"/>
  <c r="K1227" i="13"/>
  <c r="K1228" i="13"/>
  <c r="K1229" i="13"/>
  <c r="K1230" i="13"/>
  <c r="K1231" i="13"/>
  <c r="K1232" i="13"/>
  <c r="K1233" i="13"/>
  <c r="K1234" i="13"/>
  <c r="K1235" i="13"/>
  <c r="K1236" i="13"/>
  <c r="K1237" i="13"/>
  <c r="K1238" i="13"/>
  <c r="K1239" i="13"/>
  <c r="K1240" i="13"/>
  <c r="K1241" i="13"/>
  <c r="K1242" i="13"/>
  <c r="K1243" i="13"/>
  <c r="K1244" i="13"/>
  <c r="K1245" i="13"/>
  <c r="K1246" i="13"/>
  <c r="K1247" i="13"/>
  <c r="K1248" i="13"/>
  <c r="K1249" i="13"/>
  <c r="K1250" i="13"/>
  <c r="K1251" i="13"/>
  <c r="K1252" i="13"/>
  <c r="K1253" i="13"/>
  <c r="K1254" i="13"/>
  <c r="K1255" i="13"/>
  <c r="K1256" i="13"/>
  <c r="K1257" i="13"/>
  <c r="K1258" i="13"/>
  <c r="K1259" i="13"/>
  <c r="K1260" i="13"/>
  <c r="K1261" i="13"/>
  <c r="K1262" i="13"/>
  <c r="K1263" i="13"/>
  <c r="K1264" i="13"/>
  <c r="K1265" i="13"/>
  <c r="K1266" i="13"/>
  <c r="K1267" i="13"/>
  <c r="K1268" i="13"/>
  <c r="K1269" i="13"/>
  <c r="K1270" i="13"/>
  <c r="K1271" i="13"/>
  <c r="K1272" i="13"/>
  <c r="K1273" i="13"/>
  <c r="K1274" i="13"/>
  <c r="K1275" i="13"/>
  <c r="K1276" i="13"/>
  <c r="K1277" i="13"/>
  <c r="K1278" i="13"/>
  <c r="K1279" i="13"/>
  <c r="K1280" i="13"/>
  <c r="K1281" i="13"/>
  <c r="K1282" i="13"/>
  <c r="K1283" i="13"/>
  <c r="K1284" i="13"/>
  <c r="K1285" i="13"/>
  <c r="K1286" i="13"/>
  <c r="K1287" i="13"/>
  <c r="K1288" i="13"/>
  <c r="K1289" i="13"/>
  <c r="K1290" i="13"/>
  <c r="K1291" i="13"/>
  <c r="K1292" i="13"/>
  <c r="K1293" i="13"/>
  <c r="K1294" i="13"/>
  <c r="K1295" i="13"/>
  <c r="K1296" i="13"/>
  <c r="K1297" i="13"/>
  <c r="K1298" i="13"/>
  <c r="K1299" i="13"/>
  <c r="K1300" i="13"/>
  <c r="K1301" i="13"/>
  <c r="K1302" i="13"/>
  <c r="K1303" i="13"/>
  <c r="K1304" i="13"/>
  <c r="K1305" i="13"/>
  <c r="K1306" i="13"/>
  <c r="K1307" i="13"/>
  <c r="K1308" i="13"/>
  <c r="K1309" i="13"/>
  <c r="K1310" i="13"/>
  <c r="K1311" i="13"/>
  <c r="K1312" i="13"/>
  <c r="K1313" i="13"/>
  <c r="K1314" i="13"/>
  <c r="K1315" i="13"/>
  <c r="K1316" i="13"/>
  <c r="K1317" i="13"/>
  <c r="K1318" i="13"/>
  <c r="K1319" i="13"/>
  <c r="K1320" i="13"/>
  <c r="K1321" i="13"/>
  <c r="K1322" i="13"/>
  <c r="K1323" i="13"/>
  <c r="K1324" i="13"/>
  <c r="K1325" i="13"/>
  <c r="K1326" i="13"/>
  <c r="K1327" i="13"/>
  <c r="K1328" i="13"/>
  <c r="K1329" i="13"/>
  <c r="K1330" i="13"/>
  <c r="K1331" i="13"/>
  <c r="K1332" i="13"/>
  <c r="K1333" i="13"/>
  <c r="K1334" i="13"/>
  <c r="K1335" i="13"/>
  <c r="K1336" i="13"/>
  <c r="K1337" i="13"/>
  <c r="K1338" i="13"/>
  <c r="K1339" i="13"/>
  <c r="K1340" i="13"/>
  <c r="K1341" i="13"/>
  <c r="K1342" i="13"/>
  <c r="K1343" i="13"/>
  <c r="K1344" i="13"/>
  <c r="K1345" i="13"/>
  <c r="K1346" i="13"/>
  <c r="K1347" i="13"/>
  <c r="K1348" i="13"/>
  <c r="K1349" i="13"/>
  <c r="K1350" i="13"/>
  <c r="K1351" i="13"/>
  <c r="K1352" i="13"/>
  <c r="K1353" i="13"/>
  <c r="K1354" i="13"/>
  <c r="K1355" i="13"/>
  <c r="K1356" i="13"/>
  <c r="K1357" i="13"/>
  <c r="K1358" i="13"/>
  <c r="K1359" i="13"/>
  <c r="K1360" i="13"/>
  <c r="K1361" i="13"/>
  <c r="K1362" i="13"/>
  <c r="K1363" i="13"/>
  <c r="K1364" i="13"/>
  <c r="K1365" i="13"/>
  <c r="K1366" i="13"/>
  <c r="K1367" i="13"/>
  <c r="K1368" i="13"/>
  <c r="K1369" i="13"/>
  <c r="K1370" i="13"/>
  <c r="K1371" i="13"/>
  <c r="K1372" i="13"/>
  <c r="K1373" i="13"/>
  <c r="K1374" i="13"/>
  <c r="K1375" i="13"/>
  <c r="K1376" i="13"/>
  <c r="K1377" i="13"/>
  <c r="K1378" i="13"/>
  <c r="K1379" i="13"/>
  <c r="K1380" i="13"/>
  <c r="K1381" i="13"/>
  <c r="K1382" i="13"/>
  <c r="K1383" i="13"/>
  <c r="K1384" i="13"/>
  <c r="K1385" i="13"/>
  <c r="K1386" i="13"/>
  <c r="K1387" i="13"/>
  <c r="K1388" i="13"/>
  <c r="K1389" i="13"/>
  <c r="K1390" i="13"/>
  <c r="K1391" i="13"/>
  <c r="K1392" i="13"/>
  <c r="K1393" i="13"/>
  <c r="K1394" i="13"/>
  <c r="K1395" i="13"/>
  <c r="K1396" i="13"/>
  <c r="K1397" i="13"/>
  <c r="K1398" i="13"/>
  <c r="K1399" i="13"/>
  <c r="K1400" i="13"/>
  <c r="K1401" i="13"/>
  <c r="K1402" i="13"/>
  <c r="K1403" i="13"/>
  <c r="K1404" i="13"/>
  <c r="K1405" i="13"/>
  <c r="K1406" i="13"/>
  <c r="K1407" i="13"/>
  <c r="K1408" i="13"/>
  <c r="K1409" i="13"/>
  <c r="K1410" i="13"/>
  <c r="K1411" i="13"/>
  <c r="K1412" i="13"/>
  <c r="K1413" i="13"/>
  <c r="K1414" i="13"/>
  <c r="K1415" i="13"/>
  <c r="K1416" i="13"/>
  <c r="K1417" i="13"/>
  <c r="K1418" i="13"/>
  <c r="K1419" i="13"/>
  <c r="K1420" i="13"/>
  <c r="K1421" i="13"/>
  <c r="K1422" i="13"/>
  <c r="K1423" i="13"/>
  <c r="K1424" i="13"/>
  <c r="K1425" i="13"/>
  <c r="K1426" i="13"/>
  <c r="K1427" i="13"/>
  <c r="K1428" i="13"/>
  <c r="K1429" i="13"/>
  <c r="K1430" i="13"/>
  <c r="K1431" i="13"/>
  <c r="K1432" i="13"/>
  <c r="K1433" i="13"/>
  <c r="K1434" i="13"/>
  <c r="K1435" i="13"/>
  <c r="K1436" i="13"/>
  <c r="K1437" i="13"/>
  <c r="K1438" i="13"/>
  <c r="K1439" i="13"/>
  <c r="K1440" i="13"/>
  <c r="K1441" i="13"/>
  <c r="K1442" i="13"/>
  <c r="K1443" i="13"/>
  <c r="K1444" i="13"/>
  <c r="K1445" i="13"/>
  <c r="K1446" i="13"/>
  <c r="K1447" i="13"/>
  <c r="K1448" i="13"/>
  <c r="K1449" i="13"/>
  <c r="K1450" i="13"/>
  <c r="K1451" i="13"/>
  <c r="K1452" i="13"/>
  <c r="K1453" i="13"/>
  <c r="K1454" i="13"/>
  <c r="K1455" i="13"/>
  <c r="K1456" i="13"/>
  <c r="K1457" i="13"/>
  <c r="K1458" i="13"/>
  <c r="K1459" i="13"/>
  <c r="K1460" i="13"/>
  <c r="K1461" i="13"/>
  <c r="K1462" i="13"/>
  <c r="K1463" i="13"/>
  <c r="K1464" i="13"/>
  <c r="K1465" i="13"/>
  <c r="K1466" i="13"/>
  <c r="K1467" i="13"/>
  <c r="K1468" i="13"/>
  <c r="K1469" i="13"/>
  <c r="K1470" i="13"/>
  <c r="K1471" i="13"/>
  <c r="K1472" i="13"/>
  <c r="K1473" i="13"/>
  <c r="K1474" i="13"/>
  <c r="K1475" i="13"/>
  <c r="K1476" i="13"/>
  <c r="K1477" i="13"/>
  <c r="K1478" i="13"/>
  <c r="K1479" i="13"/>
  <c r="K1480" i="13"/>
  <c r="K1481" i="13"/>
  <c r="K1482" i="13"/>
  <c r="K1483" i="13"/>
  <c r="K1484" i="13"/>
  <c r="K1485" i="13"/>
  <c r="K1486" i="13"/>
  <c r="K1487" i="13"/>
  <c r="K1488" i="13"/>
  <c r="K1489" i="13"/>
  <c r="K1490" i="13"/>
  <c r="K1491" i="13"/>
  <c r="K1492" i="13"/>
  <c r="K1493" i="13"/>
  <c r="K1494" i="13"/>
  <c r="K1495" i="13"/>
  <c r="K1496" i="13"/>
  <c r="K1497" i="13"/>
  <c r="K1498" i="13"/>
  <c r="K1499" i="13"/>
  <c r="K1500" i="13"/>
  <c r="K1501" i="13"/>
  <c r="K1502" i="13"/>
  <c r="K1503" i="13"/>
  <c r="K1504" i="13"/>
  <c r="K1505" i="13"/>
  <c r="K1506" i="13"/>
  <c r="K1507" i="13"/>
  <c r="K1508" i="13"/>
  <c r="K1509" i="13"/>
  <c r="K1510" i="13"/>
  <c r="K1511" i="13"/>
  <c r="K1512" i="13"/>
  <c r="K1513" i="13"/>
  <c r="K1514" i="13"/>
  <c r="K1515" i="13"/>
  <c r="K1516" i="13"/>
  <c r="K1517" i="13"/>
  <c r="K1518" i="13"/>
  <c r="K1519" i="13"/>
  <c r="K1520" i="13"/>
  <c r="K1521" i="13"/>
  <c r="K1522" i="13"/>
  <c r="K1523" i="13"/>
  <c r="K1524" i="13"/>
  <c r="K1525" i="13"/>
  <c r="K1526" i="13"/>
  <c r="K1527" i="13"/>
  <c r="K1528" i="13"/>
  <c r="K1529" i="13"/>
  <c r="K1530" i="13"/>
  <c r="K1531" i="13"/>
  <c r="K1532" i="13"/>
  <c r="K1533" i="13"/>
  <c r="K1534" i="13"/>
  <c r="K1535" i="13"/>
  <c r="K1536" i="13"/>
  <c r="K1537" i="13"/>
  <c r="K1538" i="13"/>
  <c r="K1539" i="13"/>
  <c r="K1540" i="13"/>
  <c r="K1541" i="13"/>
  <c r="K1542" i="13"/>
  <c r="K1543" i="13"/>
  <c r="K1544" i="13"/>
  <c r="K1545" i="13"/>
  <c r="K1546" i="13"/>
  <c r="K1547" i="13"/>
  <c r="K1548" i="13"/>
  <c r="K1549" i="13"/>
  <c r="K1550" i="13"/>
  <c r="K1551" i="13"/>
  <c r="K1552" i="13"/>
  <c r="K1553" i="13"/>
  <c r="K1554" i="13"/>
  <c r="K1555" i="13"/>
  <c r="K1556" i="13"/>
  <c r="K1557" i="13"/>
  <c r="K1558" i="13"/>
  <c r="K1559" i="13"/>
  <c r="K1560" i="13"/>
  <c r="K1561" i="13"/>
  <c r="K1562" i="13"/>
  <c r="K1563" i="13"/>
  <c r="K1564" i="13"/>
  <c r="K1565" i="13"/>
  <c r="K1566" i="13"/>
  <c r="K1567" i="13"/>
  <c r="K1568" i="13"/>
  <c r="K1569" i="13"/>
  <c r="K1570" i="13"/>
  <c r="K1571" i="13"/>
  <c r="K1572" i="13"/>
  <c r="K1573" i="13"/>
  <c r="K1574" i="13"/>
  <c r="K1575" i="13"/>
  <c r="K1576" i="13"/>
  <c r="K1577" i="13"/>
  <c r="K1578" i="13"/>
  <c r="K1579" i="13"/>
  <c r="K1580" i="13"/>
  <c r="K1581" i="13"/>
  <c r="K1582" i="13"/>
  <c r="K1583" i="13"/>
  <c r="K1584" i="13"/>
  <c r="K1585" i="13"/>
  <c r="K1586" i="13"/>
  <c r="K1587" i="13"/>
  <c r="K1588" i="13"/>
  <c r="K1589" i="13"/>
  <c r="K1590" i="13"/>
  <c r="K1591" i="13"/>
  <c r="K1592" i="13"/>
  <c r="K1593" i="13"/>
  <c r="K1594" i="13"/>
  <c r="K1595" i="13"/>
  <c r="K1596" i="13"/>
  <c r="K1597" i="13"/>
  <c r="K1598" i="13"/>
  <c r="K1599" i="13"/>
  <c r="K1600" i="13"/>
  <c r="K1601" i="13"/>
  <c r="K1602" i="13"/>
  <c r="K1603" i="13"/>
  <c r="K1604" i="13"/>
  <c r="K1605" i="13"/>
  <c r="K1606" i="13"/>
  <c r="K1607" i="13"/>
  <c r="K1608" i="13"/>
  <c r="K1609" i="13"/>
  <c r="K1610" i="13"/>
  <c r="K1611" i="13"/>
  <c r="K1612" i="13"/>
  <c r="K1613" i="13"/>
  <c r="K1614" i="13"/>
  <c r="K1615" i="13"/>
  <c r="K1616" i="13"/>
  <c r="K1617" i="13"/>
  <c r="K1618" i="13"/>
  <c r="K1619" i="13"/>
  <c r="K1620" i="13"/>
  <c r="K1621" i="13"/>
  <c r="K1622" i="13"/>
  <c r="K1623" i="13"/>
  <c r="K1624" i="13"/>
  <c r="K1625" i="13"/>
  <c r="K1626" i="13"/>
  <c r="K1627" i="13"/>
  <c r="K1628" i="13"/>
  <c r="K1629" i="13"/>
  <c r="K1630" i="13"/>
  <c r="K1631" i="13"/>
  <c r="K1632" i="13"/>
  <c r="K1633" i="13"/>
  <c r="K1634" i="13"/>
  <c r="K1635" i="13"/>
  <c r="K1636" i="13"/>
  <c r="K1637" i="13"/>
  <c r="K1638" i="13"/>
  <c r="K1639" i="13"/>
  <c r="K1640" i="13"/>
  <c r="K1641" i="13"/>
  <c r="K1642" i="13"/>
  <c r="K1643" i="13"/>
  <c r="K1644" i="13"/>
  <c r="K1645" i="13"/>
  <c r="K1646" i="13"/>
  <c r="K1647" i="13"/>
  <c r="K1648" i="13"/>
  <c r="K1649" i="13"/>
  <c r="K1650" i="13"/>
  <c r="K1651" i="13"/>
  <c r="K1652" i="13"/>
  <c r="K1653" i="13"/>
  <c r="K1654" i="13"/>
  <c r="K1655" i="13"/>
  <c r="K1656" i="13"/>
  <c r="K1657" i="13"/>
  <c r="K1658" i="13"/>
  <c r="K1659" i="13"/>
  <c r="K1660" i="13"/>
  <c r="K1661" i="13"/>
  <c r="K1662" i="13"/>
  <c r="K1663" i="13"/>
  <c r="K1664" i="13"/>
  <c r="K1665" i="13"/>
  <c r="K1666" i="13"/>
  <c r="K1667" i="13"/>
  <c r="K1668" i="13"/>
  <c r="K1669" i="13"/>
  <c r="K1670" i="13"/>
  <c r="K1671" i="13"/>
  <c r="K1672" i="13"/>
  <c r="K1673" i="13"/>
  <c r="K1674" i="13"/>
  <c r="K1675" i="13"/>
  <c r="K1676" i="13"/>
  <c r="K1677" i="13"/>
  <c r="K1678" i="13"/>
  <c r="K1679" i="13"/>
  <c r="K1680" i="13"/>
  <c r="K1681" i="13"/>
  <c r="K1682" i="13"/>
  <c r="K1683" i="13"/>
  <c r="K1684" i="13"/>
  <c r="K1685" i="13"/>
  <c r="K1686" i="13"/>
  <c r="K1687" i="13"/>
  <c r="K1688" i="13"/>
  <c r="K1689" i="13"/>
  <c r="K1690" i="13"/>
  <c r="K1691" i="13"/>
  <c r="K1692" i="13"/>
  <c r="K1693" i="13"/>
  <c r="K1694" i="13"/>
  <c r="K1695" i="13"/>
  <c r="K1696" i="13"/>
  <c r="K1697" i="13"/>
  <c r="K1698" i="13"/>
  <c r="K1699" i="13"/>
  <c r="K1700" i="13"/>
  <c r="K1701" i="13"/>
  <c r="K1702" i="13"/>
  <c r="K1703" i="13"/>
  <c r="K1704" i="13"/>
  <c r="K1705" i="13"/>
  <c r="K1706" i="13"/>
  <c r="K1707" i="13"/>
  <c r="K1708" i="13"/>
  <c r="K1709" i="13"/>
  <c r="K1710" i="13"/>
  <c r="K1711" i="13"/>
  <c r="K1712" i="13"/>
  <c r="K1713" i="13"/>
  <c r="K1714" i="13"/>
  <c r="K1715" i="13"/>
  <c r="K1716" i="13"/>
  <c r="K1717" i="13"/>
  <c r="K1718" i="13"/>
  <c r="K1719" i="13"/>
  <c r="K1720" i="13"/>
  <c r="K1721" i="13"/>
  <c r="K1722" i="13"/>
  <c r="K1723" i="13"/>
  <c r="K1724" i="13"/>
  <c r="K1725" i="13"/>
  <c r="K1726" i="13"/>
  <c r="K1727" i="13"/>
  <c r="K1728" i="13"/>
  <c r="K1729" i="13"/>
  <c r="K1730" i="13"/>
  <c r="K1731" i="13"/>
  <c r="K1732" i="13"/>
  <c r="K1733" i="13"/>
  <c r="K1734" i="13"/>
  <c r="K1735" i="13"/>
  <c r="K1736" i="13"/>
  <c r="K1737" i="13"/>
  <c r="K1738" i="13"/>
  <c r="K1739" i="13"/>
  <c r="K1740" i="13"/>
  <c r="K1741" i="13"/>
  <c r="K1742" i="13"/>
  <c r="K1743" i="13"/>
  <c r="K1744" i="13"/>
  <c r="K1745" i="13"/>
  <c r="K1746" i="13"/>
  <c r="K1747" i="13"/>
  <c r="K1748" i="13"/>
  <c r="K1749" i="13"/>
  <c r="K1750" i="13"/>
  <c r="K1751" i="13"/>
  <c r="K1752" i="13"/>
  <c r="K1753" i="13"/>
  <c r="K1754" i="13"/>
  <c r="K1755" i="13"/>
  <c r="K1756" i="13"/>
  <c r="K1757" i="13"/>
  <c r="K1758" i="13"/>
  <c r="K1759" i="13"/>
  <c r="K1760" i="13"/>
  <c r="K1761" i="13"/>
  <c r="K1762" i="13"/>
  <c r="K1763" i="13"/>
  <c r="K1764" i="13"/>
  <c r="K1765" i="13"/>
  <c r="K1766" i="13"/>
  <c r="K1767" i="13"/>
  <c r="K1768" i="13"/>
  <c r="K1769" i="13"/>
  <c r="K1770" i="13"/>
  <c r="K1771" i="13"/>
  <c r="K1772" i="13"/>
  <c r="K1773" i="13"/>
  <c r="K1774" i="13"/>
  <c r="K1775" i="13"/>
  <c r="K1776" i="13"/>
  <c r="K1777" i="13"/>
  <c r="K1778" i="13"/>
  <c r="K1779" i="13"/>
  <c r="K1780" i="13"/>
  <c r="K1781" i="13"/>
  <c r="K1782" i="13"/>
  <c r="K1783" i="13"/>
  <c r="K1784" i="13"/>
  <c r="K1785" i="13"/>
  <c r="K1786" i="13"/>
  <c r="K1787" i="13"/>
  <c r="K1788" i="13"/>
  <c r="K1789" i="13"/>
  <c r="K1790" i="13"/>
  <c r="K1791" i="13"/>
  <c r="K1792" i="13"/>
  <c r="K1793" i="13"/>
  <c r="K1794" i="13"/>
  <c r="K1795" i="13"/>
  <c r="K1796" i="13"/>
  <c r="K1797" i="13"/>
  <c r="K1798" i="13"/>
  <c r="K1799" i="13"/>
  <c r="K1800" i="13"/>
  <c r="K1801" i="13"/>
  <c r="K1802" i="13"/>
  <c r="K1803" i="13"/>
  <c r="K1804" i="13"/>
  <c r="K1805" i="13"/>
  <c r="K1806" i="13"/>
  <c r="K1807" i="13"/>
  <c r="K1808" i="13"/>
  <c r="K1809" i="13"/>
  <c r="K1810" i="13"/>
  <c r="K1811" i="13"/>
  <c r="K1812" i="13"/>
  <c r="K1813" i="13"/>
  <c r="K1814" i="13"/>
  <c r="K1815" i="13"/>
  <c r="K1816" i="13"/>
  <c r="K1817" i="13"/>
  <c r="K1818" i="13"/>
  <c r="K1819" i="13"/>
  <c r="K1820" i="13"/>
  <c r="K1821" i="13"/>
  <c r="K1822" i="13"/>
  <c r="K1823" i="13"/>
  <c r="K1824" i="13"/>
  <c r="K1825" i="13"/>
  <c r="K1826" i="13"/>
  <c r="K1827" i="13"/>
  <c r="K1828" i="13"/>
  <c r="K1829" i="13"/>
  <c r="K1830" i="13"/>
  <c r="K1831" i="13"/>
  <c r="K1832" i="13"/>
  <c r="K1833" i="13"/>
  <c r="K1834" i="13"/>
  <c r="K1835" i="13"/>
  <c r="K1836" i="13"/>
  <c r="K1837" i="13"/>
  <c r="K1838" i="13"/>
  <c r="K1839" i="13"/>
  <c r="K1840" i="13"/>
  <c r="K1841" i="13"/>
  <c r="K1842" i="13"/>
  <c r="K1843" i="13"/>
  <c r="K1844" i="13"/>
  <c r="K1845" i="13"/>
  <c r="K1846" i="13"/>
  <c r="K1847" i="13"/>
  <c r="K1848" i="13"/>
  <c r="K1849" i="13"/>
  <c r="K1850" i="13"/>
  <c r="K1851" i="13"/>
  <c r="K1852" i="13"/>
  <c r="K1853" i="13"/>
  <c r="K1854" i="13"/>
  <c r="K1855" i="13"/>
  <c r="K1856" i="13"/>
  <c r="K1857" i="13"/>
  <c r="K1858" i="13"/>
  <c r="K1859" i="13"/>
  <c r="K1860" i="13"/>
  <c r="K1861" i="13"/>
  <c r="K1862" i="13"/>
  <c r="K1863" i="13"/>
  <c r="K1864" i="13"/>
  <c r="K1865" i="13"/>
  <c r="K1866" i="13"/>
  <c r="K1867" i="13"/>
  <c r="K1868" i="13"/>
  <c r="K1869" i="13"/>
  <c r="K1870" i="13"/>
  <c r="K1871" i="13"/>
  <c r="K1872" i="13"/>
  <c r="K1873" i="13"/>
  <c r="K1874" i="13"/>
  <c r="K1875" i="13"/>
  <c r="K1876" i="13"/>
  <c r="K1877" i="13"/>
  <c r="K1878" i="13"/>
  <c r="K1879" i="13"/>
  <c r="K1880" i="13"/>
  <c r="K1881" i="13"/>
  <c r="K1882" i="13"/>
  <c r="K1883" i="13"/>
  <c r="K1884" i="13"/>
  <c r="K1885" i="13"/>
  <c r="K1886" i="13"/>
  <c r="K1887" i="13"/>
  <c r="K1888" i="13"/>
  <c r="K1889" i="13"/>
  <c r="K1890" i="13"/>
  <c r="K1891" i="13"/>
  <c r="K1892" i="13"/>
  <c r="K1893" i="13"/>
  <c r="K1894" i="13"/>
  <c r="K1895" i="13"/>
  <c r="K1896" i="13"/>
  <c r="K1897" i="13"/>
  <c r="K1898" i="13"/>
  <c r="K1899" i="13"/>
  <c r="K1900" i="13"/>
  <c r="K1901" i="13"/>
  <c r="K1902" i="13"/>
  <c r="K1903" i="13"/>
  <c r="K1904" i="13"/>
  <c r="K1905" i="13"/>
  <c r="K1906" i="13"/>
  <c r="K1907" i="13"/>
  <c r="K1908" i="13"/>
  <c r="K1909" i="13"/>
  <c r="K1910" i="13"/>
  <c r="K1911" i="13"/>
  <c r="K1912" i="13"/>
  <c r="K1913" i="13"/>
  <c r="K1914" i="13"/>
  <c r="K1915" i="13"/>
  <c r="K1916" i="13"/>
  <c r="K1917" i="13"/>
  <c r="K1918" i="13"/>
  <c r="K1919" i="13"/>
  <c r="K1920" i="13"/>
  <c r="K1921" i="13"/>
  <c r="K1922" i="13"/>
  <c r="K1923" i="13"/>
  <c r="K1924" i="13"/>
  <c r="K1925" i="13"/>
  <c r="K1926" i="13"/>
  <c r="K1927" i="13"/>
  <c r="K1928" i="13"/>
  <c r="K1929" i="13"/>
  <c r="K1930" i="13"/>
  <c r="K1931" i="13"/>
  <c r="K1932" i="13"/>
  <c r="K1933" i="13"/>
  <c r="K1934" i="13"/>
  <c r="K1935" i="13"/>
  <c r="K1936" i="13"/>
  <c r="K1937" i="13"/>
  <c r="K1938" i="13"/>
  <c r="K1939" i="13"/>
  <c r="K1940" i="13"/>
  <c r="K1941" i="13"/>
  <c r="K1942" i="13"/>
  <c r="K1943" i="13"/>
  <c r="K1944" i="13"/>
  <c r="K1945" i="13"/>
  <c r="K1946" i="13"/>
  <c r="K1947" i="13"/>
  <c r="K1948" i="13"/>
  <c r="K1949" i="13"/>
  <c r="K1950" i="13"/>
  <c r="K1951" i="13"/>
  <c r="K1952" i="13"/>
  <c r="K1953" i="13"/>
  <c r="K1954" i="13"/>
  <c r="K1955" i="13"/>
  <c r="K1956" i="13"/>
  <c r="K1957" i="13"/>
  <c r="K1958" i="13"/>
  <c r="K1959" i="13"/>
  <c r="K1960" i="13"/>
  <c r="K1961" i="13"/>
  <c r="K1962" i="13"/>
  <c r="K1963" i="13"/>
  <c r="K1964" i="13"/>
  <c r="K1965" i="13"/>
  <c r="K1966" i="13"/>
  <c r="K1967" i="13"/>
  <c r="K1968" i="13"/>
  <c r="K1969" i="13"/>
  <c r="K1970" i="13"/>
  <c r="K1971" i="13"/>
  <c r="K1972" i="13"/>
  <c r="K1973" i="13"/>
  <c r="K1974" i="13"/>
  <c r="K1975" i="13"/>
  <c r="K1976" i="13"/>
  <c r="K1977" i="13"/>
  <c r="K1978" i="13"/>
  <c r="K1979" i="13"/>
  <c r="K1980" i="13"/>
  <c r="K1981" i="13"/>
  <c r="K2594" i="13"/>
  <c r="K2595" i="13"/>
  <c r="K2596" i="13"/>
  <c r="K2597" i="13"/>
  <c r="K2598" i="13"/>
  <c r="K2599" i="13"/>
  <c r="K2600" i="13"/>
  <c r="K2601" i="13"/>
  <c r="K2602" i="13"/>
  <c r="K2603" i="13"/>
  <c r="K2604" i="13"/>
  <c r="K2605" i="13"/>
  <c r="K2606" i="13"/>
  <c r="K2607" i="13"/>
  <c r="K2608" i="13"/>
  <c r="K2609" i="13"/>
  <c r="K2610" i="13"/>
  <c r="K2611" i="13"/>
  <c r="K2612" i="13"/>
  <c r="K2613" i="13"/>
  <c r="K2614" i="13"/>
  <c r="K2615" i="13"/>
  <c r="K2616" i="13"/>
  <c r="K2617" i="13"/>
  <c r="K2618" i="13"/>
  <c r="K2619" i="13"/>
  <c r="K2620" i="13"/>
  <c r="K2621" i="13"/>
  <c r="K2622" i="13"/>
  <c r="K2623" i="13"/>
  <c r="K2624" i="13"/>
  <c r="K2625" i="13"/>
  <c r="K2626" i="13"/>
  <c r="K2627" i="13"/>
  <c r="K2628" i="13"/>
  <c r="K2629" i="13"/>
  <c r="K2630" i="13"/>
  <c r="K2631" i="13"/>
  <c r="K2632" i="13"/>
  <c r="K2633" i="13"/>
  <c r="K2634" i="13"/>
  <c r="K2635" i="13"/>
  <c r="K2636" i="13"/>
  <c r="K2637" i="13"/>
  <c r="K2638" i="13"/>
  <c r="K2639" i="13"/>
  <c r="K2640" i="13"/>
  <c r="K2641" i="13"/>
  <c r="K2642" i="13"/>
  <c r="K2643" i="13"/>
  <c r="K2644" i="13"/>
  <c r="K2645" i="13"/>
  <c r="K2646" i="13"/>
  <c r="K2647" i="13"/>
  <c r="K2648" i="13"/>
  <c r="K2649" i="13"/>
  <c r="K2650" i="13"/>
  <c r="K2651" i="13"/>
  <c r="K2652" i="13"/>
  <c r="K2653" i="13"/>
  <c r="K2654" i="13"/>
  <c r="K2655" i="13"/>
  <c r="K2656" i="13"/>
  <c r="K2657" i="13"/>
  <c r="K2658" i="13"/>
  <c r="K2659" i="13"/>
  <c r="K2660" i="13"/>
  <c r="K2661" i="13"/>
  <c r="K2662" i="13"/>
  <c r="K2663" i="13"/>
  <c r="K2664" i="13"/>
  <c r="K2665" i="13"/>
  <c r="K2666" i="13"/>
  <c r="K2667" i="13"/>
  <c r="K2668" i="13"/>
  <c r="K2669" i="13"/>
  <c r="K2670" i="13"/>
  <c r="K2671" i="13"/>
  <c r="K2672" i="13"/>
  <c r="K2673" i="13"/>
  <c r="K2674" i="13"/>
  <c r="K2675" i="13"/>
  <c r="K2676" i="13"/>
  <c r="K2677" i="13"/>
  <c r="K2678" i="13"/>
  <c r="K2679" i="13"/>
  <c r="K2680" i="13"/>
  <c r="K2681" i="13"/>
  <c r="K2682" i="13"/>
  <c r="K2683" i="13"/>
  <c r="K2684" i="13"/>
  <c r="K2685" i="13"/>
  <c r="K2686" i="13"/>
  <c r="K2687" i="13"/>
  <c r="K2688" i="13"/>
  <c r="K2689" i="13"/>
  <c r="K2690" i="13"/>
  <c r="K2691" i="13"/>
  <c r="K2692" i="13"/>
  <c r="K2693" i="13"/>
  <c r="K2694" i="13"/>
  <c r="K2695" i="13"/>
  <c r="K2696" i="13"/>
  <c r="K2697" i="13"/>
  <c r="K2698" i="13"/>
  <c r="K2699" i="13"/>
  <c r="K2700" i="13"/>
  <c r="K2701" i="13"/>
  <c r="K2702" i="13"/>
  <c r="K2703" i="13"/>
  <c r="K2704" i="13"/>
  <c r="K2705" i="13"/>
  <c r="K2706" i="13"/>
  <c r="K2707" i="13"/>
  <c r="K2708" i="13"/>
  <c r="K2709" i="13"/>
  <c r="K2710" i="13"/>
  <c r="K2711" i="13"/>
  <c r="K2712" i="13"/>
  <c r="K2713" i="13"/>
  <c r="K2714" i="13"/>
  <c r="K2715" i="13"/>
  <c r="K2716" i="13"/>
  <c r="K2717" i="13"/>
  <c r="K2718" i="13"/>
  <c r="K2719" i="13"/>
  <c r="K2720" i="13"/>
  <c r="K2721" i="13"/>
  <c r="K2722" i="13"/>
  <c r="K2723" i="13"/>
  <c r="K2724" i="13"/>
  <c r="K2725" i="13"/>
  <c r="K2726" i="13"/>
  <c r="K2727" i="13"/>
  <c r="K2728" i="13"/>
  <c r="K2729" i="13"/>
  <c r="K2730" i="13"/>
  <c r="K2731" i="13"/>
  <c r="K2732" i="13"/>
  <c r="K2733" i="13"/>
  <c r="K2734" i="13"/>
  <c r="K2735" i="13"/>
  <c r="K2736" i="13"/>
  <c r="K2737" i="13"/>
  <c r="K2738" i="13"/>
  <c r="K2739" i="13"/>
  <c r="K2740" i="13"/>
  <c r="K2741" i="13"/>
  <c r="K2742" i="13"/>
  <c r="K2743" i="13"/>
  <c r="K2744" i="13"/>
  <c r="K2745" i="13"/>
  <c r="K2746" i="13"/>
  <c r="K2747" i="13"/>
  <c r="K2748" i="13"/>
  <c r="K2749" i="13"/>
  <c r="K2750" i="13"/>
  <c r="K2751" i="13"/>
  <c r="K2752" i="13"/>
  <c r="K2753" i="13"/>
  <c r="K2754" i="13"/>
  <c r="K2755" i="13"/>
  <c r="K2756" i="13"/>
  <c r="K2757" i="13"/>
  <c r="K2758" i="13"/>
  <c r="K2759" i="13"/>
  <c r="K2760" i="13"/>
  <c r="K2761" i="13"/>
  <c r="K2762" i="13"/>
  <c r="K2763" i="13"/>
  <c r="K2764" i="13"/>
  <c r="K2765" i="13"/>
  <c r="K2766" i="13"/>
  <c r="K2767" i="13"/>
  <c r="K2768" i="13"/>
  <c r="K2769" i="13"/>
  <c r="K2770" i="13"/>
  <c r="K2771" i="13"/>
  <c r="K2772" i="13"/>
  <c r="K2773" i="13"/>
  <c r="K2774" i="13"/>
  <c r="K2775" i="13"/>
  <c r="K2776" i="13"/>
  <c r="K2777" i="13"/>
  <c r="K2778" i="13"/>
  <c r="K2779" i="13"/>
  <c r="K2780" i="13"/>
  <c r="K2781" i="13"/>
  <c r="K2782" i="13"/>
  <c r="K2783" i="13"/>
  <c r="K2784" i="13"/>
  <c r="K2785" i="13"/>
  <c r="K2786" i="13"/>
  <c r="K2787" i="13"/>
  <c r="K2788" i="13"/>
  <c r="K2789" i="13"/>
  <c r="K2790" i="13"/>
  <c r="K2791" i="13"/>
  <c r="K2792" i="13"/>
  <c r="K2793" i="13"/>
  <c r="K2794" i="13"/>
  <c r="K2795" i="13"/>
  <c r="K2796" i="13"/>
  <c r="K2797" i="13"/>
  <c r="K2798" i="13"/>
  <c r="K2799" i="13"/>
  <c r="K2800" i="13"/>
  <c r="K2801" i="13"/>
  <c r="K2802" i="13"/>
  <c r="K2803" i="13"/>
  <c r="K2804" i="13"/>
  <c r="K2805" i="13"/>
  <c r="K2806" i="13"/>
  <c r="K2807" i="13"/>
  <c r="K2808" i="13"/>
  <c r="K2809" i="13"/>
  <c r="K2810" i="13"/>
  <c r="K2811" i="13"/>
  <c r="K2812" i="13"/>
  <c r="K2813" i="13"/>
  <c r="K2814" i="13"/>
  <c r="K2815" i="13"/>
  <c r="K2816" i="13"/>
  <c r="K2817" i="13"/>
  <c r="K2818" i="13"/>
  <c r="K2819" i="13"/>
  <c r="K2820" i="13"/>
  <c r="K2821" i="13"/>
  <c r="K2822" i="13"/>
  <c r="K2823" i="13"/>
  <c r="K2824" i="13"/>
  <c r="K2825" i="13"/>
  <c r="K2826" i="13"/>
  <c r="K2827" i="13"/>
  <c r="K2828" i="13"/>
  <c r="K2829" i="13"/>
  <c r="K2830" i="13"/>
  <c r="K2831" i="13"/>
  <c r="K2832" i="13"/>
  <c r="K2833" i="13"/>
  <c r="K2834" i="13"/>
  <c r="K2835" i="13"/>
  <c r="K2836" i="13"/>
  <c r="K2837" i="13"/>
  <c r="K2838" i="13"/>
  <c r="K2839" i="13"/>
  <c r="K2840" i="13"/>
  <c r="K2841" i="13"/>
  <c r="K2842" i="13"/>
  <c r="K2843" i="13"/>
  <c r="K2844" i="13"/>
  <c r="K2845" i="13"/>
  <c r="K2846" i="13"/>
  <c r="K2847" i="13"/>
  <c r="K2848" i="13"/>
  <c r="K2849" i="13"/>
  <c r="K2850" i="13"/>
  <c r="K2851" i="13"/>
  <c r="K2852" i="13"/>
  <c r="K2853" i="13"/>
  <c r="K2854" i="13"/>
  <c r="K2855" i="13"/>
  <c r="K2856" i="13"/>
  <c r="K2857" i="13"/>
  <c r="K2858" i="13"/>
  <c r="K2859" i="13"/>
  <c r="K2860" i="13"/>
  <c r="K2861" i="13"/>
  <c r="K2862" i="13"/>
  <c r="K2863" i="13"/>
  <c r="K2864" i="13"/>
  <c r="K2865" i="13"/>
  <c r="K2866" i="13"/>
  <c r="K2867" i="13"/>
  <c r="K2868" i="13"/>
  <c r="K2869" i="13"/>
  <c r="K2870" i="13"/>
  <c r="K2871" i="13"/>
  <c r="K2872" i="13"/>
  <c r="K2873" i="13"/>
  <c r="K2874" i="13"/>
  <c r="K2875" i="13"/>
  <c r="K2876" i="13"/>
  <c r="K2877" i="13"/>
  <c r="K2878" i="13"/>
  <c r="K2879" i="13"/>
  <c r="K2880" i="13"/>
  <c r="K2881" i="13"/>
  <c r="K2882" i="13"/>
  <c r="K2883" i="13"/>
  <c r="K2884" i="13"/>
  <c r="K2885" i="13"/>
  <c r="K2886" i="13"/>
  <c r="K2887" i="13"/>
  <c r="K2888" i="13"/>
  <c r="K2889" i="13"/>
  <c r="K2890" i="13"/>
  <c r="K2891" i="13"/>
  <c r="K2892" i="13"/>
  <c r="K2893" i="13"/>
  <c r="K2894" i="13"/>
  <c r="K2895" i="13"/>
  <c r="K2896" i="13"/>
  <c r="K2897" i="13"/>
  <c r="K2898" i="13"/>
  <c r="K2899" i="13"/>
  <c r="K2900" i="13"/>
  <c r="K2901" i="13"/>
  <c r="K2902" i="13"/>
  <c r="K2903" i="13"/>
  <c r="K2904" i="13"/>
  <c r="K2905" i="13"/>
  <c r="K2906" i="13"/>
  <c r="K2907" i="13"/>
  <c r="K2908" i="13"/>
  <c r="K2909" i="13"/>
  <c r="K2910" i="13"/>
  <c r="K2911" i="13"/>
  <c r="K2912" i="13"/>
  <c r="K2913" i="13"/>
  <c r="K2914" i="13"/>
  <c r="K2915" i="13"/>
  <c r="K2916" i="13"/>
  <c r="K2917" i="13"/>
  <c r="K2918" i="13"/>
  <c r="K2919" i="13"/>
  <c r="K2920" i="13"/>
  <c r="K2921" i="13"/>
  <c r="K2922" i="13"/>
  <c r="K2923" i="13"/>
  <c r="K2924" i="13"/>
  <c r="K2925" i="13"/>
  <c r="K2926" i="13"/>
  <c r="K2927" i="13"/>
  <c r="K2928" i="13"/>
  <c r="K2929" i="13"/>
  <c r="K2930" i="13"/>
  <c r="K2931" i="13"/>
  <c r="K2932" i="13"/>
  <c r="K2933" i="13"/>
  <c r="K2934" i="13"/>
  <c r="K2935" i="13"/>
  <c r="K2936" i="13"/>
  <c r="K2937" i="13"/>
  <c r="K2938" i="13"/>
  <c r="K2939" i="13"/>
  <c r="K2940" i="13"/>
  <c r="K2941" i="13"/>
  <c r="K2942" i="13"/>
  <c r="K2943" i="13"/>
  <c r="K2944" i="13"/>
  <c r="K2945" i="13"/>
  <c r="K2946" i="13"/>
  <c r="K2947" i="13"/>
  <c r="K2948" i="13"/>
  <c r="K2949" i="13"/>
  <c r="K2950" i="13"/>
  <c r="K2951" i="13"/>
  <c r="K2952" i="13"/>
  <c r="K2953" i="13"/>
  <c r="K2954" i="13"/>
  <c r="K2955" i="13"/>
  <c r="K2956" i="13"/>
  <c r="K2957" i="13"/>
  <c r="K2958" i="13"/>
  <c r="K2959" i="13"/>
  <c r="K2960" i="13"/>
  <c r="K2961" i="13"/>
  <c r="K2962" i="13"/>
  <c r="K2963" i="13"/>
  <c r="K2964" i="13"/>
  <c r="K2965" i="13"/>
  <c r="K2966" i="13"/>
  <c r="K2967" i="13"/>
  <c r="K2968" i="13"/>
  <c r="K2969" i="13"/>
  <c r="K2970" i="13"/>
  <c r="K2971" i="13"/>
  <c r="K2972" i="13"/>
  <c r="K2973" i="13"/>
  <c r="K2974" i="13"/>
  <c r="K2975" i="13"/>
  <c r="K2976" i="13"/>
  <c r="K2977" i="13"/>
  <c r="K2978" i="13"/>
  <c r="K2979" i="13"/>
  <c r="K2980" i="13"/>
  <c r="K2981" i="13"/>
  <c r="K2982" i="13"/>
  <c r="K2983" i="13"/>
  <c r="K2984" i="13"/>
  <c r="K2985" i="13"/>
  <c r="K2986" i="13"/>
  <c r="K2987" i="13"/>
  <c r="K2988" i="13"/>
  <c r="K2989" i="13"/>
  <c r="K2990" i="13"/>
  <c r="K2991" i="13"/>
  <c r="K2992" i="13"/>
  <c r="K2993" i="13"/>
  <c r="K2994" i="13"/>
  <c r="K2995" i="13"/>
  <c r="K2996" i="13"/>
  <c r="K2997" i="13"/>
  <c r="K2998" i="13"/>
  <c r="K2999" i="13"/>
  <c r="K3000" i="13"/>
  <c r="K3001" i="13"/>
  <c r="K3002" i="13"/>
  <c r="K3003" i="13"/>
  <c r="K3004" i="13"/>
  <c r="K3005" i="13"/>
  <c r="K3006" i="13"/>
  <c r="K3007" i="13"/>
  <c r="K3008" i="13"/>
  <c r="K3009" i="13"/>
  <c r="K3010" i="13"/>
  <c r="K3011" i="13"/>
  <c r="K3012" i="13"/>
  <c r="K3013" i="13"/>
  <c r="K3014" i="13"/>
  <c r="K3015" i="13"/>
  <c r="K3016" i="13"/>
  <c r="K3017" i="13"/>
  <c r="K3018" i="13"/>
  <c r="K3019" i="13"/>
  <c r="K3020" i="13"/>
  <c r="K3021" i="13"/>
  <c r="K3022" i="13"/>
  <c r="K3023" i="13"/>
  <c r="K3024" i="13"/>
  <c r="K3025" i="13"/>
  <c r="K3026" i="13"/>
  <c r="K3027" i="13"/>
  <c r="K3028" i="13"/>
  <c r="K3029" i="13"/>
  <c r="K3030" i="13"/>
  <c r="K3031" i="13"/>
  <c r="K3032" i="13"/>
  <c r="K3033" i="13"/>
  <c r="K3034" i="13"/>
  <c r="K3035" i="13"/>
  <c r="K3036" i="13"/>
  <c r="K3037" i="13"/>
  <c r="K3038" i="13"/>
  <c r="K3039" i="13"/>
  <c r="K3040" i="13"/>
  <c r="K3041" i="13"/>
  <c r="K3042" i="13"/>
  <c r="K3043" i="13"/>
  <c r="K3603" i="13"/>
  <c r="K3604" i="13"/>
  <c r="K3605" i="13"/>
  <c r="K3606" i="13"/>
  <c r="K3607" i="13"/>
  <c r="K3608" i="13"/>
  <c r="K3609" i="13"/>
  <c r="K3610" i="13"/>
  <c r="K3611" i="13"/>
  <c r="K3612" i="13"/>
  <c r="K3613" i="13"/>
  <c r="K3614" i="13"/>
  <c r="K3615" i="13"/>
  <c r="K3616" i="13"/>
  <c r="K3617" i="13"/>
  <c r="K3618" i="13"/>
  <c r="K3619" i="13"/>
  <c r="K3620" i="13"/>
  <c r="K3621" i="13"/>
  <c r="K3622" i="13"/>
  <c r="K3623" i="13"/>
  <c r="K3624" i="13"/>
  <c r="K3625" i="13"/>
  <c r="K3626" i="13"/>
  <c r="K3627" i="13"/>
  <c r="K3628" i="13"/>
  <c r="K3629" i="13"/>
  <c r="K3630" i="13"/>
  <c r="K3631" i="13"/>
  <c r="K3632" i="13"/>
  <c r="K3633" i="13"/>
  <c r="K3634" i="13"/>
  <c r="K3635" i="13"/>
  <c r="K3636" i="13"/>
  <c r="K3637" i="13"/>
  <c r="K3773" i="13"/>
  <c r="K3774" i="13"/>
  <c r="K3775" i="13"/>
  <c r="K3776" i="13"/>
  <c r="K3777" i="13"/>
  <c r="K3778" i="13"/>
  <c r="K3779" i="13"/>
  <c r="K3780" i="13"/>
  <c r="K3781" i="13"/>
  <c r="K3782" i="13"/>
  <c r="K3783" i="13"/>
  <c r="K3784" i="13"/>
  <c r="K3785" i="13"/>
  <c r="K3786" i="13"/>
  <c r="K3787" i="13"/>
  <c r="K3788" i="13"/>
  <c r="K3789" i="13"/>
  <c r="K3790" i="13"/>
  <c r="K3791" i="13"/>
  <c r="K3792" i="13"/>
  <c r="K3793" i="13"/>
  <c r="K3794" i="13"/>
  <c r="K3795" i="13"/>
  <c r="K3796" i="13"/>
  <c r="K3797" i="13"/>
  <c r="K3798" i="13"/>
  <c r="K3799" i="13"/>
  <c r="K3800" i="13"/>
  <c r="K3801" i="13"/>
  <c r="K3802" i="13"/>
  <c r="K3803" i="13"/>
  <c r="K3804" i="13"/>
  <c r="K3805" i="13"/>
  <c r="K3806" i="13"/>
  <c r="K3807" i="13"/>
  <c r="K3808" i="13"/>
  <c r="K3809" i="13"/>
  <c r="K3810" i="13"/>
  <c r="K3811" i="13"/>
  <c r="K3812" i="13"/>
  <c r="K3813" i="13"/>
  <c r="K3814" i="13"/>
  <c r="K3815" i="13"/>
  <c r="K3816" i="13"/>
  <c r="K3817" i="13"/>
  <c r="K3818" i="13"/>
  <c r="K3819" i="13"/>
  <c r="K3820" i="13"/>
  <c r="K3821" i="13"/>
  <c r="K3822" i="13"/>
  <c r="K3823" i="13"/>
  <c r="K3824" i="13"/>
  <c r="K3825" i="13"/>
  <c r="K3826" i="13"/>
  <c r="K3827" i="13"/>
  <c r="K3828" i="13"/>
  <c r="K3829" i="13"/>
  <c r="K3830" i="13"/>
  <c r="K3831" i="13"/>
  <c r="K3832" i="13"/>
  <c r="K3833" i="13"/>
  <c r="K3834" i="13"/>
  <c r="K3835" i="13"/>
  <c r="K3836" i="13"/>
  <c r="K3837" i="13"/>
  <c r="K3838" i="13"/>
  <c r="K3839" i="13"/>
  <c r="K3840" i="13"/>
  <c r="K3841" i="13"/>
  <c r="K3842" i="13"/>
  <c r="K3843" i="13"/>
  <c r="K3844" i="13"/>
  <c r="K3845" i="13"/>
  <c r="K3846" i="13"/>
  <c r="K3847" i="13"/>
  <c r="K3848" i="13"/>
  <c r="K3849" i="13"/>
  <c r="K3850" i="13"/>
  <c r="K3851" i="13"/>
  <c r="K3852" i="13"/>
  <c r="K3853" i="13"/>
  <c r="K3854" i="13"/>
  <c r="K3855" i="13"/>
  <c r="K3856" i="13"/>
  <c r="K3857" i="13"/>
  <c r="K3858" i="13"/>
  <c r="K3859" i="13"/>
  <c r="K3860" i="13"/>
  <c r="K3861" i="13"/>
  <c r="K3862" i="13"/>
  <c r="K3863" i="13"/>
  <c r="K3864" i="13"/>
  <c r="K3865" i="13"/>
  <c r="K3866" i="13"/>
  <c r="K3867" i="13"/>
  <c r="K3868" i="13"/>
  <c r="K3869" i="13"/>
  <c r="K3870" i="13"/>
  <c r="K3871" i="13"/>
  <c r="K3872" i="13"/>
  <c r="K3873" i="13"/>
  <c r="K3874" i="13"/>
  <c r="K3875" i="13"/>
  <c r="K3876" i="13"/>
  <c r="K3877" i="13"/>
  <c r="K3878" i="13"/>
  <c r="K3879" i="13"/>
  <c r="K3880" i="13"/>
  <c r="K3881" i="13"/>
  <c r="K3882" i="13"/>
  <c r="K3883" i="13"/>
  <c r="K3884" i="13"/>
  <c r="K3885" i="13"/>
  <c r="K3886" i="13"/>
  <c r="K3887" i="13"/>
  <c r="K3888" i="13"/>
  <c r="K3889" i="13"/>
  <c r="K3890" i="13"/>
  <c r="K3891" i="13"/>
  <c r="K3892" i="13"/>
  <c r="K3893" i="13"/>
  <c r="K3894" i="13"/>
  <c r="K3895" i="13"/>
  <c r="K3896" i="13"/>
  <c r="K3897" i="13"/>
  <c r="K3898" i="13"/>
  <c r="K3899" i="13"/>
  <c r="K3900" i="13"/>
  <c r="K3901" i="13"/>
  <c r="K3902" i="13"/>
  <c r="K3903" i="13"/>
  <c r="K3904" i="13"/>
  <c r="K3905" i="13"/>
  <c r="K3906" i="13"/>
  <c r="K3907" i="13"/>
  <c r="K3908" i="13"/>
  <c r="K3909" i="13"/>
  <c r="K3910" i="13"/>
  <c r="K3911" i="13"/>
  <c r="K3912" i="13"/>
  <c r="K3913" i="13"/>
  <c r="K3914" i="13"/>
  <c r="K3915" i="13"/>
  <c r="K3916" i="13"/>
  <c r="K3917" i="13"/>
  <c r="K3918" i="13"/>
  <c r="K3919" i="13"/>
  <c r="K3920" i="13"/>
  <c r="K3921" i="13"/>
  <c r="K3922" i="13"/>
  <c r="K3923" i="13"/>
  <c r="K3924" i="13"/>
  <c r="K3925" i="13"/>
  <c r="K3989" i="13"/>
  <c r="K3990" i="13"/>
  <c r="K3991" i="13"/>
  <c r="K3992" i="13"/>
  <c r="K3993" i="13"/>
  <c r="K3994" i="13"/>
  <c r="K3995" i="13"/>
  <c r="K3996" i="13"/>
  <c r="K3997" i="13"/>
  <c r="K3998" i="13"/>
  <c r="K3999" i="13"/>
  <c r="K4000" i="13"/>
  <c r="K4001" i="13"/>
  <c r="K4002" i="13"/>
  <c r="K4003" i="13"/>
  <c r="K4004" i="13"/>
  <c r="K4005" i="13"/>
  <c r="K4006" i="13"/>
  <c r="K4007" i="13"/>
  <c r="K4008" i="13"/>
  <c r="K4009" i="13"/>
  <c r="K4010" i="13"/>
  <c r="K4011" i="13"/>
  <c r="K4012" i="13"/>
  <c r="K4013" i="13"/>
  <c r="K4014" i="13"/>
  <c r="K4015" i="13"/>
  <c r="K4016" i="13"/>
  <c r="K4017" i="13"/>
  <c r="K4018" i="13"/>
  <c r="K4019" i="13"/>
  <c r="K4020" i="13"/>
  <c r="K4021" i="13"/>
  <c r="K4022" i="13"/>
  <c r="K4023" i="13"/>
  <c r="K4024" i="13"/>
  <c r="K4025" i="13"/>
  <c r="K4026" i="13"/>
  <c r="K4027" i="13"/>
  <c r="K4028" i="13"/>
  <c r="K4029" i="13"/>
  <c r="K4030" i="13"/>
  <c r="K4031" i="13"/>
  <c r="K4032" i="13"/>
  <c r="K4033" i="13"/>
  <c r="K4034" i="13"/>
  <c r="K4035" i="13"/>
  <c r="K4036" i="13"/>
  <c r="K4037" i="13"/>
  <c r="K4038" i="13"/>
  <c r="K4039" i="13"/>
  <c r="K4040" i="13"/>
  <c r="K4041" i="13"/>
  <c r="K4042" i="13"/>
  <c r="K4043" i="13"/>
  <c r="K4044" i="13"/>
  <c r="K4045" i="13"/>
  <c r="K4046" i="13"/>
  <c r="K4047" i="13"/>
  <c r="K4048" i="13"/>
  <c r="K4049" i="13"/>
  <c r="K4050" i="13"/>
  <c r="K4051" i="13"/>
  <c r="K4052" i="13"/>
  <c r="K4053" i="13"/>
  <c r="K4054" i="13"/>
  <c r="K4055" i="13"/>
  <c r="K4056" i="13"/>
  <c r="K4057" i="13"/>
  <c r="K4058" i="13"/>
  <c r="K4059" i="13"/>
  <c r="K4060" i="13"/>
  <c r="K4061" i="13"/>
  <c r="K4062" i="13"/>
  <c r="K4063" i="13"/>
  <c r="K4064" i="13"/>
  <c r="K4065" i="13"/>
  <c r="K4066" i="13"/>
  <c r="K4067" i="13"/>
  <c r="K4068" i="13"/>
  <c r="K4069" i="13"/>
  <c r="K4070" i="13"/>
  <c r="K4071" i="13"/>
  <c r="K4072" i="13"/>
  <c r="K4073" i="13"/>
  <c r="K4074" i="13"/>
  <c r="K4075" i="13"/>
  <c r="K4076" i="13"/>
  <c r="K4077" i="13"/>
  <c r="K4078" i="13"/>
  <c r="K4079" i="13"/>
  <c r="K4080" i="13"/>
  <c r="K4081" i="13"/>
  <c r="K4082" i="13"/>
  <c r="K4083" i="13"/>
  <c r="K4084" i="13"/>
  <c r="K4085" i="13"/>
  <c r="K4086" i="13"/>
  <c r="K4087" i="13"/>
  <c r="K4088" i="13"/>
  <c r="K4089" i="13"/>
  <c r="K4090" i="13"/>
  <c r="K4091" i="13"/>
  <c r="K4092" i="13"/>
  <c r="K4093" i="13"/>
  <c r="K4094" i="13"/>
  <c r="K4095" i="13"/>
  <c r="K4096" i="13"/>
  <c r="K4097" i="13"/>
  <c r="K4098" i="13"/>
  <c r="K4099" i="13"/>
  <c r="K4100" i="13"/>
  <c r="K4101" i="13"/>
  <c r="K4102" i="13"/>
  <c r="K4103" i="13"/>
  <c r="K4104" i="13"/>
  <c r="K4105" i="13"/>
  <c r="K4106" i="13"/>
  <c r="K4107" i="13"/>
  <c r="K4108" i="13"/>
  <c r="K4109" i="13"/>
  <c r="K4110" i="13"/>
  <c r="K4111" i="13"/>
  <c r="K4112" i="13"/>
  <c r="K4113" i="13"/>
  <c r="K4114" i="13"/>
  <c r="K4115" i="13"/>
  <c r="K4116" i="13"/>
  <c r="K4117" i="13"/>
  <c r="K4118" i="13"/>
  <c r="K4119" i="13"/>
  <c r="K4120" i="13"/>
  <c r="K4121" i="13"/>
  <c r="K4122" i="13"/>
  <c r="K4123" i="13"/>
  <c r="K4124" i="13"/>
  <c r="K4125" i="13"/>
  <c r="K4126" i="13"/>
  <c r="K4127" i="13"/>
  <c r="K4128" i="13"/>
  <c r="K4129" i="13"/>
  <c r="K4130" i="13"/>
  <c r="K4131" i="13"/>
  <c r="K4132" i="13"/>
  <c r="K4133" i="13"/>
  <c r="K4134" i="13"/>
  <c r="K4135" i="13"/>
  <c r="K4136" i="13"/>
  <c r="K4137" i="13"/>
  <c r="K4138" i="13"/>
  <c r="K4139" i="13"/>
  <c r="K4140" i="13"/>
  <c r="K4141" i="13"/>
  <c r="K4142" i="13"/>
  <c r="K4143" i="13"/>
  <c r="K4144" i="13"/>
  <c r="K4145" i="13"/>
  <c r="K4146" i="13"/>
  <c r="K4147" i="13"/>
  <c r="K4148" i="13"/>
  <c r="K4149" i="13"/>
  <c r="K4150" i="13"/>
  <c r="K4151" i="13"/>
  <c r="K4152" i="13"/>
  <c r="K4153" i="13"/>
  <c r="K4154" i="13"/>
  <c r="K4155" i="13"/>
  <c r="K4156" i="13"/>
  <c r="K4157" i="13"/>
  <c r="K4158" i="13"/>
  <c r="K4159" i="13"/>
  <c r="K4160" i="13"/>
  <c r="K4161" i="13"/>
  <c r="K4162" i="13"/>
  <c r="K4163" i="13"/>
  <c r="K4164" i="13"/>
  <c r="K4165" i="13"/>
  <c r="K4166" i="13"/>
  <c r="K4167" i="13"/>
  <c r="K4168" i="13"/>
  <c r="K4169" i="13"/>
  <c r="K4170" i="13"/>
  <c r="K4171" i="13"/>
  <c r="K4172" i="13"/>
  <c r="K4173" i="13"/>
  <c r="K4174" i="13"/>
  <c r="K4175" i="13"/>
  <c r="K4176" i="13"/>
  <c r="K4177" i="13"/>
  <c r="K4178" i="13"/>
  <c r="K4179" i="13"/>
  <c r="K4180" i="13"/>
  <c r="K4181" i="13"/>
  <c r="K4182" i="13"/>
  <c r="K4183" i="13"/>
  <c r="K4184" i="13"/>
  <c r="K4185" i="13"/>
  <c r="K4186" i="13"/>
  <c r="K4187" i="13"/>
  <c r="K4188" i="13"/>
  <c r="K4189" i="13"/>
  <c r="K4190" i="13"/>
  <c r="K4191" i="13"/>
  <c r="K4192" i="13"/>
  <c r="K4193" i="13"/>
  <c r="K4194" i="13"/>
  <c r="K4195" i="13"/>
  <c r="K4196" i="13"/>
  <c r="K4197" i="13"/>
  <c r="K4198" i="13"/>
  <c r="K4199" i="13"/>
  <c r="K4200" i="13"/>
  <c r="K4201" i="13"/>
  <c r="K4202" i="13"/>
  <c r="K4203" i="13"/>
  <c r="K4204" i="13"/>
  <c r="K4205" i="13"/>
  <c r="K4206" i="13"/>
  <c r="K4207" i="13"/>
  <c r="K4208" i="13"/>
  <c r="K4209" i="13"/>
  <c r="K4210" i="13"/>
  <c r="K4211" i="13"/>
  <c r="K4212" i="13"/>
  <c r="K4213" i="13"/>
  <c r="K4403" i="13"/>
  <c r="K4404" i="13"/>
  <c r="K4405" i="13"/>
  <c r="K4406" i="13"/>
  <c r="K4407" i="13"/>
  <c r="K4408" i="13"/>
  <c r="K4409" i="13"/>
  <c r="K4410" i="13"/>
  <c r="K4411" i="13"/>
  <c r="K4412" i="13"/>
  <c r="K4413" i="13"/>
  <c r="K4414" i="13"/>
  <c r="K4415" i="13"/>
  <c r="K4416" i="13"/>
  <c r="K4417" i="13"/>
  <c r="K4418" i="13"/>
  <c r="K4419" i="13"/>
  <c r="K4420" i="13"/>
  <c r="K4421" i="13"/>
  <c r="K4422" i="13"/>
  <c r="K4423" i="13"/>
  <c r="K4424" i="13"/>
  <c r="K4425" i="13"/>
  <c r="K4426" i="13"/>
  <c r="K4427" i="13"/>
  <c r="K4428" i="13"/>
  <c r="K4429" i="13"/>
  <c r="K4430" i="13"/>
  <c r="K4431" i="13"/>
  <c r="K4432" i="13"/>
  <c r="K4433" i="13"/>
  <c r="K4434" i="13"/>
  <c r="K4435" i="13"/>
  <c r="K4436" i="13"/>
  <c r="K4437" i="13"/>
  <c r="K4438" i="13"/>
  <c r="K4439" i="13"/>
  <c r="K4440" i="13"/>
  <c r="K4441" i="13"/>
  <c r="K4442" i="13"/>
  <c r="K4443" i="13"/>
  <c r="K4444" i="13"/>
  <c r="K4445" i="13"/>
  <c r="K4446" i="13"/>
  <c r="K4447" i="13"/>
  <c r="K4448" i="13"/>
  <c r="K4449" i="13"/>
  <c r="K4450" i="13"/>
  <c r="K4451" i="13"/>
  <c r="K4452" i="13"/>
  <c r="K4453" i="13"/>
  <c r="K4454" i="13"/>
  <c r="K4455" i="13"/>
  <c r="K4456" i="13"/>
  <c r="K4457" i="13"/>
  <c r="K4458" i="13"/>
  <c r="K4459" i="13"/>
  <c r="K4460" i="13"/>
  <c r="K4461" i="13"/>
  <c r="K4462" i="13"/>
  <c r="K4463" i="13"/>
  <c r="K4464" i="13"/>
  <c r="K4465" i="13"/>
  <c r="K4466" i="13"/>
  <c r="K4467" i="13"/>
  <c r="K4468" i="13"/>
  <c r="K4469" i="13"/>
  <c r="K4470" i="13"/>
  <c r="K4471" i="13"/>
  <c r="K4472" i="13"/>
  <c r="K4473" i="13"/>
  <c r="K4474" i="13"/>
  <c r="K4475" i="13"/>
  <c r="K4476" i="13"/>
  <c r="K4477" i="13"/>
  <c r="K4478" i="13"/>
  <c r="K4479" i="13"/>
  <c r="K4480" i="13"/>
  <c r="K4481" i="13"/>
  <c r="K4482" i="13"/>
  <c r="K4483" i="13"/>
  <c r="K4484" i="13"/>
  <c r="K4485" i="13"/>
  <c r="K4486" i="13"/>
  <c r="K4487" i="13"/>
  <c r="K4488" i="13"/>
  <c r="K4489" i="13"/>
  <c r="K4490" i="13"/>
  <c r="K4491" i="13"/>
  <c r="K4492" i="13"/>
  <c r="K4493" i="13"/>
  <c r="K4494" i="13"/>
  <c r="K4495" i="13"/>
  <c r="K4496" i="13"/>
  <c r="K4497" i="13"/>
  <c r="K4498" i="13"/>
  <c r="K4499" i="13"/>
  <c r="K4500" i="13"/>
  <c r="K4501" i="13"/>
  <c r="K4502" i="13"/>
  <c r="K4503" i="13"/>
  <c r="K4504" i="13"/>
  <c r="K4505" i="13"/>
  <c r="K4506" i="13"/>
  <c r="K4507" i="13"/>
  <c r="K4508" i="13"/>
  <c r="K4509" i="13"/>
  <c r="K4510" i="13"/>
  <c r="K4511" i="13"/>
  <c r="K4512" i="13"/>
  <c r="K4513" i="13"/>
  <c r="K4514" i="13"/>
  <c r="K4515" i="13"/>
  <c r="K4516" i="13"/>
  <c r="K4517" i="13"/>
  <c r="K4518" i="13"/>
  <c r="K4519" i="13"/>
  <c r="K4520" i="13"/>
  <c r="K4521" i="13"/>
  <c r="K4522" i="13"/>
  <c r="K4523" i="13"/>
  <c r="K4524" i="13"/>
  <c r="K4525" i="13"/>
  <c r="K4526" i="13"/>
  <c r="K4527" i="13"/>
  <c r="K4528" i="13"/>
  <c r="K4529" i="13"/>
  <c r="K4530" i="13"/>
  <c r="K4531" i="13"/>
  <c r="K4532" i="13"/>
  <c r="K4533" i="13"/>
  <c r="K4534" i="13"/>
  <c r="K4535" i="13"/>
  <c r="K4536" i="13"/>
  <c r="K4537" i="13"/>
  <c r="K4538" i="13"/>
  <c r="K4539" i="13"/>
  <c r="K4540" i="13"/>
  <c r="K4541" i="13"/>
  <c r="K4542" i="13"/>
  <c r="K4543" i="13"/>
  <c r="K4544" i="13"/>
  <c r="K4545" i="13"/>
  <c r="K4546" i="13"/>
  <c r="K4547" i="13"/>
  <c r="K4548" i="13"/>
  <c r="K4549" i="13"/>
  <c r="K4550" i="13"/>
  <c r="K4551" i="13"/>
  <c r="K4552" i="13"/>
  <c r="K4553" i="13"/>
  <c r="K4554" i="13"/>
  <c r="K4555" i="13"/>
  <c r="K4556" i="13"/>
  <c r="K4557" i="13"/>
  <c r="K4558" i="13"/>
  <c r="K4559" i="13"/>
  <c r="K4560" i="13"/>
  <c r="K4561" i="13"/>
  <c r="K4562" i="13"/>
  <c r="K4563" i="13"/>
  <c r="K4564" i="13"/>
  <c r="K4565" i="13"/>
  <c r="K4566" i="13"/>
  <c r="K4567" i="13"/>
  <c r="K4568" i="13"/>
  <c r="K4569" i="13"/>
  <c r="K4570" i="13"/>
  <c r="K4571" i="13"/>
  <c r="K4572" i="13"/>
  <c r="K4573" i="13"/>
  <c r="K4574" i="13"/>
  <c r="K4575" i="13"/>
  <c r="K4576" i="13"/>
  <c r="K4577" i="13"/>
  <c r="K4578" i="13"/>
  <c r="K4579" i="13"/>
  <c r="K4580" i="13"/>
  <c r="K4581" i="13"/>
  <c r="K4582" i="13"/>
  <c r="K4583" i="13"/>
  <c r="K4584" i="13"/>
  <c r="K4585" i="13"/>
  <c r="K4586" i="13"/>
  <c r="K4587" i="13"/>
  <c r="K4588" i="13"/>
  <c r="K4589" i="13"/>
  <c r="K4590" i="13"/>
  <c r="K4591" i="13"/>
  <c r="K4592" i="13"/>
  <c r="K4593" i="13"/>
  <c r="K4594" i="13"/>
  <c r="K4595" i="13"/>
  <c r="K4596" i="13"/>
  <c r="K4597" i="13"/>
  <c r="K4598" i="13"/>
  <c r="K4599" i="13"/>
  <c r="K4600" i="13"/>
  <c r="K4601" i="13"/>
  <c r="K4602" i="13"/>
  <c r="K4603" i="13"/>
  <c r="K4604" i="13"/>
  <c r="K4605" i="13"/>
  <c r="K4606" i="13"/>
  <c r="K4607" i="13"/>
  <c r="K4608" i="13"/>
  <c r="K4609" i="13"/>
  <c r="K4610" i="13"/>
  <c r="K4611" i="13"/>
  <c r="K4612" i="13"/>
  <c r="K4613" i="13"/>
  <c r="K4614" i="13"/>
  <c r="K4615" i="13"/>
  <c r="K4616" i="13"/>
  <c r="K4617" i="13"/>
  <c r="K4618" i="13"/>
  <c r="K4619" i="13"/>
  <c r="K4620" i="13"/>
  <c r="K4621" i="13"/>
  <c r="K4622" i="13"/>
  <c r="K4623" i="13"/>
  <c r="K4624" i="13"/>
  <c r="K4625" i="13"/>
  <c r="K4626" i="13"/>
  <c r="K4627" i="13"/>
  <c r="K4628" i="13"/>
  <c r="K4629" i="13"/>
  <c r="K4630" i="13"/>
  <c r="K4631" i="13"/>
  <c r="K4632" i="13"/>
  <c r="K4633" i="13"/>
  <c r="K4634" i="13"/>
  <c r="K4635" i="13"/>
  <c r="K4636" i="13"/>
  <c r="K4637" i="13"/>
  <c r="K4638" i="13"/>
  <c r="K4639" i="13"/>
  <c r="K4640" i="13"/>
  <c r="K4641" i="13"/>
  <c r="K4642" i="13"/>
  <c r="K4643" i="13"/>
  <c r="K4644" i="13"/>
  <c r="K4645" i="13"/>
  <c r="K4646" i="13"/>
  <c r="K4647" i="13"/>
  <c r="K4648" i="13"/>
  <c r="K4649" i="13"/>
  <c r="K4650" i="13"/>
  <c r="K4651" i="13"/>
  <c r="K4652" i="13"/>
  <c r="K4653" i="13"/>
  <c r="K4654" i="13"/>
  <c r="K4655" i="13"/>
  <c r="K4656" i="13"/>
  <c r="K4657" i="13"/>
  <c r="K4658" i="13"/>
  <c r="K4659" i="13"/>
  <c r="K4660" i="13"/>
  <c r="K4661" i="13"/>
  <c r="K4662" i="13"/>
  <c r="K4663" i="13"/>
  <c r="K4664" i="13"/>
  <c r="K4665" i="13"/>
  <c r="K4666" i="13"/>
  <c r="K4667" i="13"/>
  <c r="K4668" i="13"/>
  <c r="K4669" i="13"/>
  <c r="K4670" i="13"/>
  <c r="K4671" i="13"/>
  <c r="K4672" i="13"/>
  <c r="K4673" i="13"/>
  <c r="K4674" i="13"/>
  <c r="K4675" i="13"/>
  <c r="K4676" i="13"/>
  <c r="K4677" i="13"/>
  <c r="K4678" i="13"/>
  <c r="K4679" i="13"/>
  <c r="K4680" i="13"/>
  <c r="K4681" i="13"/>
  <c r="K4682" i="13"/>
  <c r="K4683" i="13"/>
  <c r="K4684" i="13"/>
  <c r="K4685" i="13"/>
  <c r="K4686" i="13"/>
  <c r="K4687" i="13"/>
  <c r="K4688" i="13"/>
  <c r="K4689" i="13"/>
  <c r="K4690" i="13"/>
  <c r="K4691" i="13"/>
  <c r="K4692" i="13"/>
  <c r="K4693" i="13"/>
  <c r="K4694" i="13"/>
  <c r="K4695" i="13"/>
  <c r="K4696" i="13"/>
  <c r="K4697" i="13"/>
  <c r="K4698" i="13"/>
  <c r="K4699" i="13"/>
  <c r="K4700" i="13"/>
  <c r="K4701" i="13"/>
  <c r="K4702" i="13"/>
  <c r="K4703" i="13"/>
  <c r="K4704" i="13"/>
  <c r="K4705" i="13"/>
  <c r="K4706" i="13"/>
  <c r="K4707" i="13"/>
  <c r="K4708" i="13"/>
  <c r="K4709" i="13"/>
  <c r="K4710" i="13"/>
  <c r="K4711" i="13"/>
  <c r="K4712" i="13"/>
  <c r="K4713" i="13"/>
  <c r="K4714" i="13"/>
  <c r="K4715" i="13"/>
  <c r="K4716" i="13"/>
  <c r="K4717" i="13"/>
  <c r="K4718" i="13"/>
  <c r="K4719" i="13"/>
  <c r="K4720" i="13"/>
  <c r="K4721" i="13"/>
  <c r="K4722" i="13"/>
  <c r="K4723" i="13"/>
  <c r="K4724" i="13"/>
  <c r="K4725" i="13"/>
  <c r="K4726" i="13"/>
  <c r="H11" i="13"/>
  <c r="J11" i="13" s="1"/>
  <c r="H12" i="13"/>
  <c r="J12" i="13" s="1"/>
  <c r="H13" i="13"/>
  <c r="J13" i="13" s="1"/>
  <c r="H14" i="13"/>
  <c r="J14" i="13" s="1"/>
  <c r="H15" i="13"/>
  <c r="J15" i="13" s="1"/>
  <c r="H16" i="13"/>
  <c r="J16" i="13" s="1"/>
  <c r="H17" i="13"/>
  <c r="J17" i="13" s="1"/>
  <c r="H18" i="13"/>
  <c r="J18" i="13" s="1"/>
  <c r="H19" i="13"/>
  <c r="J19" i="13" s="1"/>
  <c r="H20" i="13"/>
  <c r="J20" i="13" s="1"/>
  <c r="H21" i="13"/>
  <c r="J21" i="13" s="1"/>
  <c r="H22" i="13"/>
  <c r="J22" i="13" s="1"/>
  <c r="H23" i="13"/>
  <c r="J23" i="13" s="1"/>
  <c r="H24" i="13"/>
  <c r="J24" i="13" s="1"/>
  <c r="H25" i="13"/>
  <c r="J25" i="13" s="1"/>
  <c r="H26" i="13"/>
  <c r="J26" i="13" s="1"/>
  <c r="H27" i="13"/>
  <c r="J27" i="13" s="1"/>
  <c r="H28" i="13"/>
  <c r="J28" i="13" s="1"/>
  <c r="H29" i="13"/>
  <c r="J29" i="13" s="1"/>
  <c r="H30" i="13"/>
  <c r="J30" i="13" s="1"/>
  <c r="H31" i="13"/>
  <c r="J31" i="13" s="1"/>
  <c r="H32" i="13"/>
  <c r="J32" i="13" s="1"/>
  <c r="H33" i="13"/>
  <c r="J33" i="13" s="1"/>
  <c r="H34" i="13"/>
  <c r="J34" i="13" s="1"/>
  <c r="H35" i="13"/>
  <c r="J35" i="13" s="1"/>
  <c r="H36" i="13"/>
  <c r="J36" i="13" s="1"/>
  <c r="H37" i="13"/>
  <c r="J37" i="13" s="1"/>
  <c r="H38" i="13"/>
  <c r="J38" i="13" s="1"/>
  <c r="H39" i="13"/>
  <c r="J39" i="13" s="1"/>
  <c r="H40" i="13"/>
  <c r="J40" i="13" s="1"/>
  <c r="H41" i="13"/>
  <c r="J41" i="13" s="1"/>
  <c r="H42" i="13"/>
  <c r="J42" i="13" s="1"/>
  <c r="H43" i="13"/>
  <c r="J43" i="13" s="1"/>
  <c r="H44" i="13"/>
  <c r="J44" i="13" s="1"/>
  <c r="H45" i="13"/>
  <c r="J45" i="13" s="1"/>
  <c r="H46" i="13"/>
  <c r="J46" i="13" s="1"/>
  <c r="H47" i="13"/>
  <c r="J47" i="13" s="1"/>
  <c r="H48" i="13"/>
  <c r="J48" i="13" s="1"/>
  <c r="H49" i="13"/>
  <c r="J49" i="13" s="1"/>
  <c r="H50" i="13"/>
  <c r="J50" i="13" s="1"/>
  <c r="H51" i="13"/>
  <c r="J51" i="13" s="1"/>
  <c r="H52" i="13"/>
  <c r="J52" i="13" s="1"/>
  <c r="H53" i="13"/>
  <c r="J53" i="13" s="1"/>
  <c r="H54" i="13"/>
  <c r="J54" i="13" s="1"/>
  <c r="H55" i="13"/>
  <c r="J55" i="13" s="1"/>
  <c r="H56" i="13"/>
  <c r="J56" i="13" s="1"/>
  <c r="H57" i="13"/>
  <c r="J57" i="13" s="1"/>
  <c r="H58" i="13"/>
  <c r="J58" i="13" s="1"/>
  <c r="H59" i="13"/>
  <c r="J59" i="13" s="1"/>
  <c r="H60" i="13"/>
  <c r="J60" i="13" s="1"/>
  <c r="H61" i="13"/>
  <c r="J61" i="13" s="1"/>
  <c r="H62" i="13"/>
  <c r="J62" i="13" s="1"/>
  <c r="H63" i="13"/>
  <c r="J63" i="13" s="1"/>
  <c r="H64" i="13"/>
  <c r="J64" i="13" s="1"/>
  <c r="H65" i="13"/>
  <c r="J65" i="13" s="1"/>
  <c r="H66" i="13"/>
  <c r="J66" i="13" s="1"/>
  <c r="H67" i="13"/>
  <c r="J67" i="13" s="1"/>
  <c r="H68" i="13"/>
  <c r="J68" i="13" s="1"/>
  <c r="H69" i="13"/>
  <c r="J69" i="13" s="1"/>
  <c r="H70" i="13"/>
  <c r="J70" i="13" s="1"/>
  <c r="H71" i="13"/>
  <c r="J71" i="13" s="1"/>
  <c r="H72" i="13"/>
  <c r="J72" i="13" s="1"/>
  <c r="H73" i="13"/>
  <c r="J73" i="13" s="1"/>
  <c r="H74" i="13"/>
  <c r="J74" i="13" s="1"/>
  <c r="H75" i="13"/>
  <c r="J75" i="13" s="1"/>
  <c r="H76" i="13"/>
  <c r="J76" i="13" s="1"/>
  <c r="H77" i="13"/>
  <c r="J77" i="13" s="1"/>
  <c r="H78" i="13"/>
  <c r="J78" i="13" s="1"/>
  <c r="H79" i="13"/>
  <c r="J79" i="13" s="1"/>
  <c r="H80" i="13"/>
  <c r="J80" i="13" s="1"/>
  <c r="H81" i="13"/>
  <c r="J81" i="13" s="1"/>
  <c r="H82" i="13"/>
  <c r="J82" i="13" s="1"/>
  <c r="H83" i="13"/>
  <c r="J83" i="13" s="1"/>
  <c r="H84" i="13"/>
  <c r="J84" i="13" s="1"/>
  <c r="H85" i="13"/>
  <c r="J85" i="13" s="1"/>
  <c r="H86" i="13"/>
  <c r="J86" i="13" s="1"/>
  <c r="H87" i="13"/>
  <c r="J87" i="13" s="1"/>
  <c r="H88" i="13"/>
  <c r="J88" i="13" s="1"/>
  <c r="H89" i="13"/>
  <c r="J89" i="13" s="1"/>
  <c r="H90" i="13"/>
  <c r="J90" i="13" s="1"/>
  <c r="H91" i="13"/>
  <c r="J91" i="13" s="1"/>
  <c r="H92" i="13"/>
  <c r="J92" i="13" s="1"/>
  <c r="H93" i="13"/>
  <c r="J93" i="13" s="1"/>
  <c r="H94" i="13"/>
  <c r="J94" i="13" s="1"/>
  <c r="H95" i="13"/>
  <c r="J95" i="13" s="1"/>
  <c r="H96" i="13"/>
  <c r="J96" i="13" s="1"/>
  <c r="H97" i="13"/>
  <c r="J97" i="13" s="1"/>
  <c r="H98" i="13"/>
  <c r="J98" i="13" s="1"/>
  <c r="H99" i="13"/>
  <c r="J99" i="13" s="1"/>
  <c r="H100" i="13"/>
  <c r="J100" i="13" s="1"/>
  <c r="H101" i="13"/>
  <c r="J101" i="13" s="1"/>
  <c r="H102" i="13"/>
  <c r="J102" i="13" s="1"/>
  <c r="H103" i="13"/>
  <c r="J103" i="13" s="1"/>
  <c r="H104" i="13"/>
  <c r="J104" i="13" s="1"/>
  <c r="H105" i="13"/>
  <c r="J105" i="13" s="1"/>
  <c r="H106" i="13"/>
  <c r="J106" i="13" s="1"/>
  <c r="H107" i="13"/>
  <c r="J107" i="13" s="1"/>
  <c r="H108" i="13"/>
  <c r="J108" i="13" s="1"/>
  <c r="H109" i="13"/>
  <c r="J109" i="13" s="1"/>
  <c r="H110" i="13"/>
  <c r="J110" i="13" s="1"/>
  <c r="H111" i="13"/>
  <c r="J111" i="13" s="1"/>
  <c r="H112" i="13"/>
  <c r="J112" i="13" s="1"/>
  <c r="H113" i="13"/>
  <c r="J113" i="13" s="1"/>
  <c r="H114" i="13"/>
  <c r="J114" i="13" s="1"/>
  <c r="H115" i="13"/>
  <c r="J115" i="13" s="1"/>
  <c r="H116" i="13"/>
  <c r="J116" i="13" s="1"/>
  <c r="H117" i="13"/>
  <c r="J117" i="13" s="1"/>
  <c r="H118" i="13"/>
  <c r="J118" i="13" s="1"/>
  <c r="H119" i="13"/>
  <c r="J119" i="13" s="1"/>
  <c r="H120" i="13"/>
  <c r="J120" i="13" s="1"/>
  <c r="H121" i="13"/>
  <c r="J121" i="13" s="1"/>
  <c r="H122" i="13"/>
  <c r="J122" i="13" s="1"/>
  <c r="H123" i="13"/>
  <c r="J123" i="13" s="1"/>
  <c r="H124" i="13"/>
  <c r="J124" i="13" s="1"/>
  <c r="H125" i="13"/>
  <c r="J125" i="13" s="1"/>
  <c r="H126" i="13"/>
  <c r="J126" i="13" s="1"/>
  <c r="H127" i="13"/>
  <c r="J127" i="13" s="1"/>
  <c r="H128" i="13"/>
  <c r="J128" i="13" s="1"/>
  <c r="H129" i="13"/>
  <c r="J129" i="13" s="1"/>
  <c r="H130" i="13"/>
  <c r="J130" i="13" s="1"/>
  <c r="H131" i="13"/>
  <c r="J131" i="13" s="1"/>
  <c r="H132" i="13"/>
  <c r="J132" i="13" s="1"/>
  <c r="H133" i="13"/>
  <c r="J133" i="13" s="1"/>
  <c r="H134" i="13"/>
  <c r="J134" i="13" s="1"/>
  <c r="H135" i="13"/>
  <c r="J135" i="13" s="1"/>
  <c r="H136" i="13"/>
  <c r="J136" i="13" s="1"/>
  <c r="H137" i="13"/>
  <c r="J137" i="13" s="1"/>
  <c r="H138" i="13"/>
  <c r="J138" i="13" s="1"/>
  <c r="H139" i="13"/>
  <c r="J139" i="13" s="1"/>
  <c r="H140" i="13"/>
  <c r="J140" i="13" s="1"/>
  <c r="H141" i="13"/>
  <c r="J141" i="13" s="1"/>
  <c r="H142" i="13"/>
  <c r="J142" i="13" s="1"/>
  <c r="H143" i="13"/>
  <c r="J143" i="13" s="1"/>
  <c r="H144" i="13"/>
  <c r="J144" i="13" s="1"/>
  <c r="H145" i="13"/>
  <c r="J145" i="13" s="1"/>
  <c r="H146" i="13"/>
  <c r="J146" i="13" s="1"/>
  <c r="H147" i="13"/>
  <c r="J147" i="13" s="1"/>
  <c r="H148" i="13"/>
  <c r="J148" i="13" s="1"/>
  <c r="H149" i="13"/>
  <c r="J149" i="13" s="1"/>
  <c r="H150" i="13"/>
  <c r="J150" i="13" s="1"/>
  <c r="H151" i="13"/>
  <c r="J151" i="13" s="1"/>
  <c r="H152" i="13"/>
  <c r="J152" i="13" s="1"/>
  <c r="H153" i="13"/>
  <c r="J153" i="13" s="1"/>
  <c r="H154" i="13"/>
  <c r="J154" i="13" s="1"/>
  <c r="H164" i="13"/>
  <c r="J164" i="13" s="1"/>
  <c r="H165" i="13"/>
  <c r="J165" i="13" s="1"/>
  <c r="H166" i="13"/>
  <c r="J166" i="13" s="1"/>
  <c r="H167" i="13"/>
  <c r="J167" i="13" s="1"/>
  <c r="H168" i="13"/>
  <c r="J168" i="13" s="1"/>
  <c r="H169" i="13"/>
  <c r="J169" i="13" s="1"/>
  <c r="H170" i="13"/>
  <c r="J170" i="13" s="1"/>
  <c r="H171" i="13"/>
  <c r="J171" i="13" s="1"/>
  <c r="H172" i="13"/>
  <c r="J172" i="13" s="1"/>
  <c r="H182" i="13"/>
  <c r="J182" i="13" s="1"/>
  <c r="H183" i="13"/>
  <c r="J183" i="13" s="1"/>
  <c r="H184" i="13"/>
  <c r="J184" i="13" s="1"/>
  <c r="H185" i="13"/>
  <c r="J185" i="13" s="1"/>
  <c r="H186" i="13"/>
  <c r="J186" i="13" s="1"/>
  <c r="H187" i="13"/>
  <c r="J187" i="13" s="1"/>
  <c r="H188" i="13"/>
  <c r="J188" i="13" s="1"/>
  <c r="H189" i="13"/>
  <c r="J189" i="13" s="1"/>
  <c r="H190" i="13"/>
  <c r="J190" i="13" s="1"/>
  <c r="H191" i="13"/>
  <c r="J191" i="13" s="1"/>
  <c r="H192" i="13"/>
  <c r="J192" i="13" s="1"/>
  <c r="H193" i="13"/>
  <c r="J193" i="13" s="1"/>
  <c r="H194" i="13"/>
  <c r="J194" i="13" s="1"/>
  <c r="H195" i="13"/>
  <c r="J195" i="13" s="1"/>
  <c r="H196" i="13"/>
  <c r="J196" i="13" s="1"/>
  <c r="H197" i="13"/>
  <c r="J197" i="13" s="1"/>
  <c r="H198" i="13"/>
  <c r="J198" i="13" s="1"/>
  <c r="H199" i="13"/>
  <c r="J199" i="13" s="1"/>
  <c r="H200" i="13"/>
  <c r="J200" i="13" s="1"/>
  <c r="H201" i="13"/>
  <c r="J201" i="13" s="1"/>
  <c r="H202" i="13"/>
  <c r="J202" i="13" s="1"/>
  <c r="H203" i="13"/>
  <c r="J203" i="13" s="1"/>
  <c r="H204" i="13"/>
  <c r="J204" i="13" s="1"/>
  <c r="H205" i="13"/>
  <c r="J205" i="13" s="1"/>
  <c r="H206" i="13"/>
  <c r="J206" i="13" s="1"/>
  <c r="H207" i="13"/>
  <c r="J207" i="13" s="1"/>
  <c r="H208" i="13"/>
  <c r="J208" i="13" s="1"/>
  <c r="H209" i="13"/>
  <c r="J209" i="13" s="1"/>
  <c r="H210" i="13"/>
  <c r="J210" i="13" s="1"/>
  <c r="H211" i="13"/>
  <c r="J211" i="13" s="1"/>
  <c r="H212" i="13"/>
  <c r="J212" i="13" s="1"/>
  <c r="H213" i="13"/>
  <c r="J213" i="13" s="1"/>
  <c r="H214" i="13"/>
  <c r="J214" i="13" s="1"/>
  <c r="H215" i="13"/>
  <c r="J215" i="13" s="1"/>
  <c r="H216" i="13"/>
  <c r="J216" i="13" s="1"/>
  <c r="H217" i="13"/>
  <c r="J217" i="13" s="1"/>
  <c r="H218" i="13"/>
  <c r="J218" i="13" s="1"/>
  <c r="H219" i="13"/>
  <c r="J219" i="13" s="1"/>
  <c r="H220" i="13"/>
  <c r="J220" i="13" s="1"/>
  <c r="H221" i="13"/>
  <c r="J221" i="13" s="1"/>
  <c r="H222" i="13"/>
  <c r="J222" i="13" s="1"/>
  <c r="H223" i="13"/>
  <c r="J223" i="13" s="1"/>
  <c r="H224" i="13"/>
  <c r="J224" i="13" s="1"/>
  <c r="H225" i="13"/>
  <c r="J225" i="13" s="1"/>
  <c r="H226" i="13"/>
  <c r="J226" i="13" s="1"/>
  <c r="H227" i="13"/>
  <c r="J227" i="13" s="1"/>
  <c r="H228" i="13"/>
  <c r="J228" i="13" s="1"/>
  <c r="H229" i="13"/>
  <c r="J229" i="13" s="1"/>
  <c r="H230" i="13"/>
  <c r="J230" i="13" s="1"/>
  <c r="H231" i="13"/>
  <c r="J231" i="13" s="1"/>
  <c r="H232" i="13"/>
  <c r="J232" i="13" s="1"/>
  <c r="H233" i="13"/>
  <c r="J233" i="13" s="1"/>
  <c r="H234" i="13"/>
  <c r="J234" i="13" s="1"/>
  <c r="H235" i="13"/>
  <c r="J235" i="13" s="1"/>
  <c r="H236" i="13"/>
  <c r="J236" i="13" s="1"/>
  <c r="H237" i="13"/>
  <c r="J237" i="13" s="1"/>
  <c r="H238" i="13"/>
  <c r="J238" i="13" s="1"/>
  <c r="H239" i="13"/>
  <c r="J239" i="13" s="1"/>
  <c r="H240" i="13"/>
  <c r="J240" i="13" s="1"/>
  <c r="H241" i="13"/>
  <c r="J241" i="13" s="1"/>
  <c r="H242" i="13"/>
  <c r="J242" i="13" s="1"/>
  <c r="H243" i="13"/>
  <c r="J243" i="13" s="1"/>
  <c r="H244" i="13"/>
  <c r="J244" i="13" s="1"/>
  <c r="H245" i="13"/>
  <c r="J245" i="13" s="1"/>
  <c r="H246" i="13"/>
  <c r="J246" i="13" s="1"/>
  <c r="H247" i="13"/>
  <c r="J247" i="13" s="1"/>
  <c r="H248" i="13"/>
  <c r="J248" i="13" s="1"/>
  <c r="H249" i="13"/>
  <c r="J249" i="13" s="1"/>
  <c r="H250" i="13"/>
  <c r="J250" i="13" s="1"/>
  <c r="H251" i="13"/>
  <c r="J251" i="13" s="1"/>
  <c r="H252" i="13"/>
  <c r="J252" i="13" s="1"/>
  <c r="H253" i="13"/>
  <c r="J253" i="13" s="1"/>
  <c r="H254" i="13"/>
  <c r="J254" i="13" s="1"/>
  <c r="H255" i="13"/>
  <c r="J255" i="13" s="1"/>
  <c r="H256" i="13"/>
  <c r="J256" i="13" s="1"/>
  <c r="H257" i="13"/>
  <c r="J257" i="13" s="1"/>
  <c r="H258" i="13"/>
  <c r="J258" i="13" s="1"/>
  <c r="H259" i="13"/>
  <c r="J259" i="13" s="1"/>
  <c r="H260" i="13"/>
  <c r="J260" i="13" s="1"/>
  <c r="H261" i="13"/>
  <c r="J261" i="13" s="1"/>
  <c r="H262" i="13"/>
  <c r="J262" i="13" s="1"/>
  <c r="H263" i="13"/>
  <c r="J263" i="13" s="1"/>
  <c r="H264" i="13"/>
  <c r="J264" i="13" s="1"/>
  <c r="H265" i="13"/>
  <c r="J265" i="13" s="1"/>
  <c r="H266" i="13"/>
  <c r="J266" i="13" s="1"/>
  <c r="H267" i="13"/>
  <c r="J267" i="13" s="1"/>
  <c r="H268" i="13"/>
  <c r="J268" i="13" s="1"/>
  <c r="H269" i="13"/>
  <c r="J269" i="13" s="1"/>
  <c r="H270" i="13"/>
  <c r="J270" i="13" s="1"/>
  <c r="H271" i="13"/>
  <c r="J271" i="13" s="1"/>
  <c r="H272" i="13"/>
  <c r="J272" i="13" s="1"/>
  <c r="H273" i="13"/>
  <c r="J273" i="13" s="1"/>
  <c r="H274" i="13"/>
  <c r="J274" i="13" s="1"/>
  <c r="H275" i="13"/>
  <c r="J275" i="13" s="1"/>
  <c r="H276" i="13"/>
  <c r="J276" i="13" s="1"/>
  <c r="H277" i="13"/>
  <c r="J277" i="13" s="1"/>
  <c r="H278" i="13"/>
  <c r="J278" i="13" s="1"/>
  <c r="H279" i="13"/>
  <c r="J279" i="13" s="1"/>
  <c r="H280" i="13"/>
  <c r="J280" i="13" s="1"/>
  <c r="H281" i="13"/>
  <c r="J281" i="13" s="1"/>
  <c r="H282" i="13"/>
  <c r="J282" i="13" s="1"/>
  <c r="H283" i="13"/>
  <c r="J283" i="13" s="1"/>
  <c r="H284" i="13"/>
  <c r="J284" i="13" s="1"/>
  <c r="H285" i="13"/>
  <c r="J285" i="13" s="1"/>
  <c r="H286" i="13"/>
  <c r="J286" i="13" s="1"/>
  <c r="H287" i="13"/>
  <c r="J287" i="13" s="1"/>
  <c r="H288" i="13"/>
  <c r="J288" i="13" s="1"/>
  <c r="H289" i="13"/>
  <c r="J289" i="13" s="1"/>
  <c r="H290" i="13"/>
  <c r="J290" i="13" s="1"/>
  <c r="H291" i="13"/>
  <c r="J291" i="13" s="1"/>
  <c r="H292" i="13"/>
  <c r="J292" i="13" s="1"/>
  <c r="H293" i="13"/>
  <c r="J293" i="13" s="1"/>
  <c r="H294" i="13"/>
  <c r="J294" i="13" s="1"/>
  <c r="H295" i="13"/>
  <c r="J295" i="13" s="1"/>
  <c r="H296" i="13"/>
  <c r="J296" i="13" s="1"/>
  <c r="H297" i="13"/>
  <c r="J297" i="13" s="1"/>
  <c r="H298" i="13"/>
  <c r="J298" i="13" s="1"/>
  <c r="H299" i="13"/>
  <c r="J299" i="13" s="1"/>
  <c r="H300" i="13"/>
  <c r="J300" i="13" s="1"/>
  <c r="H301" i="13"/>
  <c r="J301" i="13" s="1"/>
  <c r="H302" i="13"/>
  <c r="J302" i="13" s="1"/>
  <c r="H303" i="13"/>
  <c r="J303" i="13" s="1"/>
  <c r="H304" i="13"/>
  <c r="J304" i="13" s="1"/>
  <c r="H305" i="13"/>
  <c r="J305" i="13" s="1"/>
  <c r="H306" i="13"/>
  <c r="J306" i="13" s="1"/>
  <c r="H307" i="13"/>
  <c r="J307" i="13" s="1"/>
  <c r="H308" i="13"/>
  <c r="J308" i="13" s="1"/>
  <c r="H309" i="13"/>
  <c r="J309" i="13" s="1"/>
  <c r="H310" i="13"/>
  <c r="J310" i="13" s="1"/>
  <c r="H311" i="13"/>
  <c r="J311" i="13" s="1"/>
  <c r="H312" i="13"/>
  <c r="J312" i="13" s="1"/>
  <c r="H313" i="13"/>
  <c r="J313" i="13" s="1"/>
  <c r="H314" i="13"/>
  <c r="J314" i="13" s="1"/>
  <c r="H315" i="13"/>
  <c r="J315" i="13" s="1"/>
  <c r="H316" i="13"/>
  <c r="J316" i="13" s="1"/>
  <c r="H317" i="13"/>
  <c r="J317" i="13" s="1"/>
  <c r="H318" i="13"/>
  <c r="J318" i="13" s="1"/>
  <c r="H319" i="13"/>
  <c r="J319" i="13" s="1"/>
  <c r="H320" i="13"/>
  <c r="J320" i="13" s="1"/>
  <c r="H321" i="13"/>
  <c r="J321" i="13" s="1"/>
  <c r="H322" i="13"/>
  <c r="J322" i="13" s="1"/>
  <c r="H323" i="13"/>
  <c r="J323" i="13" s="1"/>
  <c r="H324" i="13"/>
  <c r="J324" i="13" s="1"/>
  <c r="H325" i="13"/>
  <c r="J325" i="13" s="1"/>
  <c r="H326" i="13"/>
  <c r="J326" i="13" s="1"/>
  <c r="H327" i="13"/>
  <c r="J327" i="13" s="1"/>
  <c r="H328" i="13"/>
  <c r="J328" i="13" s="1"/>
  <c r="H329" i="13"/>
  <c r="J329" i="13" s="1"/>
  <c r="H330" i="13"/>
  <c r="J330" i="13" s="1"/>
  <c r="H331" i="13"/>
  <c r="J331" i="13" s="1"/>
  <c r="H332" i="13"/>
  <c r="J332" i="13" s="1"/>
  <c r="H333" i="13"/>
  <c r="J333" i="13" s="1"/>
  <c r="H334" i="13"/>
  <c r="J334" i="13" s="1"/>
  <c r="H344" i="13"/>
  <c r="J344" i="13" s="1"/>
  <c r="H345" i="13"/>
  <c r="J345" i="13" s="1"/>
  <c r="H346" i="13"/>
  <c r="J346" i="13" s="1"/>
  <c r="H347" i="13"/>
  <c r="J347" i="13" s="1"/>
  <c r="H348" i="13"/>
  <c r="J348" i="13" s="1"/>
  <c r="H349" i="13"/>
  <c r="J349" i="13" s="1"/>
  <c r="H350" i="13"/>
  <c r="J350" i="13" s="1"/>
  <c r="H351" i="13"/>
  <c r="J351" i="13" s="1"/>
  <c r="H352" i="13"/>
  <c r="J352" i="13" s="1"/>
  <c r="H353" i="13"/>
  <c r="J353" i="13" s="1"/>
  <c r="H354" i="13"/>
  <c r="J354" i="13" s="1"/>
  <c r="H355" i="13"/>
  <c r="J355" i="13" s="1"/>
  <c r="H356" i="13"/>
  <c r="J356" i="13" s="1"/>
  <c r="H357" i="13"/>
  <c r="J357" i="13" s="1"/>
  <c r="H358" i="13"/>
  <c r="J358" i="13" s="1"/>
  <c r="H359" i="13"/>
  <c r="J359" i="13" s="1"/>
  <c r="H360" i="13"/>
  <c r="J360" i="13" s="1"/>
  <c r="H361" i="13"/>
  <c r="J361" i="13" s="1"/>
  <c r="H362" i="13"/>
  <c r="J362" i="13" s="1"/>
  <c r="H363" i="13"/>
  <c r="J363" i="13" s="1"/>
  <c r="H364" i="13"/>
  <c r="J364" i="13" s="1"/>
  <c r="H365" i="13"/>
  <c r="J365" i="13" s="1"/>
  <c r="H366" i="13"/>
  <c r="J366" i="13" s="1"/>
  <c r="H367" i="13"/>
  <c r="J367" i="13" s="1"/>
  <c r="H368" i="13"/>
  <c r="J368" i="13" s="1"/>
  <c r="H369" i="13"/>
  <c r="J369" i="13" s="1"/>
  <c r="H370" i="13"/>
  <c r="J370" i="13" s="1"/>
  <c r="H371" i="13"/>
  <c r="J371" i="13" s="1"/>
  <c r="H372" i="13"/>
  <c r="J372" i="13" s="1"/>
  <c r="H373" i="13"/>
  <c r="J373" i="13" s="1"/>
  <c r="H374" i="13"/>
  <c r="J374" i="13" s="1"/>
  <c r="H375" i="13"/>
  <c r="J375" i="13" s="1"/>
  <c r="H376" i="13"/>
  <c r="J376" i="13" s="1"/>
  <c r="H377" i="13"/>
  <c r="J377" i="13" s="1"/>
  <c r="H378" i="13"/>
  <c r="J378" i="13" s="1"/>
  <c r="H379" i="13"/>
  <c r="J379" i="13" s="1"/>
  <c r="H380" i="13"/>
  <c r="J380" i="13" s="1"/>
  <c r="H381" i="13"/>
  <c r="J381" i="13" s="1"/>
  <c r="H382" i="13"/>
  <c r="J382" i="13" s="1"/>
  <c r="H383" i="13"/>
  <c r="J383" i="13" s="1"/>
  <c r="H384" i="13"/>
  <c r="J384" i="13" s="1"/>
  <c r="H385" i="13"/>
  <c r="J385" i="13" s="1"/>
  <c r="H386" i="13"/>
  <c r="J386" i="13" s="1"/>
  <c r="H387" i="13"/>
  <c r="J387" i="13" s="1"/>
  <c r="H388" i="13"/>
  <c r="J388" i="13" s="1"/>
  <c r="H389" i="13"/>
  <c r="J389" i="13" s="1"/>
  <c r="H390" i="13"/>
  <c r="J390" i="13" s="1"/>
  <c r="H391" i="13"/>
  <c r="J391" i="13" s="1"/>
  <c r="H392" i="13"/>
  <c r="J392" i="13" s="1"/>
  <c r="H393" i="13"/>
  <c r="J393" i="13" s="1"/>
  <c r="H394" i="13"/>
  <c r="J394" i="13" s="1"/>
  <c r="H395" i="13"/>
  <c r="J395" i="13" s="1"/>
  <c r="H396" i="13"/>
  <c r="J396" i="13" s="1"/>
  <c r="H397" i="13"/>
  <c r="J397" i="13" s="1"/>
  <c r="H407" i="13"/>
  <c r="J407" i="13" s="1"/>
  <c r="H408" i="13"/>
  <c r="J408" i="13" s="1"/>
  <c r="H409" i="13"/>
  <c r="J409" i="13" s="1"/>
  <c r="H410" i="13"/>
  <c r="J410" i="13" s="1"/>
  <c r="H411" i="13"/>
  <c r="J411" i="13" s="1"/>
  <c r="H412" i="13"/>
  <c r="J412" i="13" s="1"/>
  <c r="H413" i="13"/>
  <c r="J413" i="13" s="1"/>
  <c r="H414" i="13"/>
  <c r="J414" i="13" s="1"/>
  <c r="H415" i="13"/>
  <c r="J415" i="13" s="1"/>
  <c r="H416" i="13"/>
  <c r="J416" i="13" s="1"/>
  <c r="H417" i="13"/>
  <c r="J417" i="13" s="1"/>
  <c r="H418" i="13"/>
  <c r="J418" i="13" s="1"/>
  <c r="H419" i="13"/>
  <c r="J419" i="13" s="1"/>
  <c r="H420" i="13"/>
  <c r="J420" i="13" s="1"/>
  <c r="H421" i="13"/>
  <c r="J421" i="13" s="1"/>
  <c r="H422" i="13"/>
  <c r="J422" i="13" s="1"/>
  <c r="H423" i="13"/>
  <c r="J423" i="13" s="1"/>
  <c r="H424" i="13"/>
  <c r="J424" i="13" s="1"/>
  <c r="H425" i="13"/>
  <c r="J425" i="13" s="1"/>
  <c r="H426" i="13"/>
  <c r="J426" i="13" s="1"/>
  <c r="H427" i="13"/>
  <c r="J427" i="13" s="1"/>
  <c r="H428" i="13"/>
  <c r="J428" i="13" s="1"/>
  <c r="H429" i="13"/>
  <c r="J429" i="13" s="1"/>
  <c r="H430" i="13"/>
  <c r="J430" i="13" s="1"/>
  <c r="H431" i="13"/>
  <c r="J431" i="13" s="1"/>
  <c r="H432" i="13"/>
  <c r="J432" i="13" s="1"/>
  <c r="H433" i="13"/>
  <c r="J433" i="13" s="1"/>
  <c r="H434" i="13"/>
  <c r="J434" i="13" s="1"/>
  <c r="H435" i="13"/>
  <c r="J435" i="13" s="1"/>
  <c r="H436" i="13"/>
  <c r="J436" i="13" s="1"/>
  <c r="H437" i="13"/>
  <c r="J437" i="13" s="1"/>
  <c r="H438" i="13"/>
  <c r="J438" i="13" s="1"/>
  <c r="H439" i="13"/>
  <c r="J439" i="13" s="1"/>
  <c r="H440" i="13"/>
  <c r="J440" i="13" s="1"/>
  <c r="H441" i="13"/>
  <c r="J441" i="13" s="1"/>
  <c r="H442" i="13"/>
  <c r="J442" i="13" s="1"/>
  <c r="H443" i="13"/>
  <c r="J443" i="13" s="1"/>
  <c r="H444" i="13"/>
  <c r="J444" i="13" s="1"/>
  <c r="H445" i="13"/>
  <c r="J445" i="13" s="1"/>
  <c r="H446" i="13"/>
  <c r="J446" i="13" s="1"/>
  <c r="H447" i="13"/>
  <c r="J447" i="13" s="1"/>
  <c r="H448" i="13"/>
  <c r="J448" i="13" s="1"/>
  <c r="H449" i="13"/>
  <c r="J449" i="13" s="1"/>
  <c r="H450" i="13"/>
  <c r="J450" i="13" s="1"/>
  <c r="H451" i="13"/>
  <c r="J451" i="13" s="1"/>
  <c r="H452" i="13"/>
  <c r="J452" i="13" s="1"/>
  <c r="H453" i="13"/>
  <c r="J453" i="13" s="1"/>
  <c r="H454" i="13"/>
  <c r="J454" i="13" s="1"/>
  <c r="H455" i="13"/>
  <c r="J455" i="13" s="1"/>
  <c r="H456" i="13"/>
  <c r="J456" i="13" s="1"/>
  <c r="H457" i="13"/>
  <c r="J457" i="13" s="1"/>
  <c r="H458" i="13"/>
  <c r="J458" i="13" s="1"/>
  <c r="H459" i="13"/>
  <c r="J459" i="13" s="1"/>
  <c r="H460" i="13"/>
  <c r="J460" i="13" s="1"/>
  <c r="H461" i="13"/>
  <c r="J461" i="13" s="1"/>
  <c r="H462" i="13"/>
  <c r="J462" i="13" s="1"/>
  <c r="H463" i="13"/>
  <c r="J463" i="13" s="1"/>
  <c r="H464" i="13"/>
  <c r="J464" i="13" s="1"/>
  <c r="H465" i="13"/>
  <c r="J465" i="13" s="1"/>
  <c r="H466" i="13"/>
  <c r="J466" i="13" s="1"/>
  <c r="H467" i="13"/>
  <c r="J467" i="13" s="1"/>
  <c r="H468" i="13"/>
  <c r="J468" i="13" s="1"/>
  <c r="H469" i="13"/>
  <c r="J469" i="13" s="1"/>
  <c r="H470" i="13"/>
  <c r="J470" i="13" s="1"/>
  <c r="H471" i="13"/>
  <c r="J471" i="13" s="1"/>
  <c r="H472" i="13"/>
  <c r="J472" i="13" s="1"/>
  <c r="H473" i="13"/>
  <c r="J473" i="13" s="1"/>
  <c r="H474" i="13"/>
  <c r="J474" i="13" s="1"/>
  <c r="H475" i="13"/>
  <c r="J475" i="13" s="1"/>
  <c r="H476" i="13"/>
  <c r="J476" i="13" s="1"/>
  <c r="H477" i="13"/>
  <c r="J477" i="13" s="1"/>
  <c r="H478" i="13"/>
  <c r="J478" i="13" s="1"/>
  <c r="H479" i="13"/>
  <c r="J479" i="13" s="1"/>
  <c r="H480" i="13"/>
  <c r="J480" i="13" s="1"/>
  <c r="H481" i="13"/>
  <c r="J481" i="13" s="1"/>
  <c r="H482" i="13"/>
  <c r="J482" i="13" s="1"/>
  <c r="H483" i="13"/>
  <c r="J483" i="13" s="1"/>
  <c r="H484" i="13"/>
  <c r="J484" i="13" s="1"/>
  <c r="H485" i="13"/>
  <c r="J485" i="13" s="1"/>
  <c r="H486" i="13"/>
  <c r="J486" i="13" s="1"/>
  <c r="H487" i="13"/>
  <c r="J487" i="13" s="1"/>
  <c r="H488" i="13"/>
  <c r="J488" i="13" s="1"/>
  <c r="H489" i="13"/>
  <c r="J489" i="13" s="1"/>
  <c r="H490" i="13"/>
  <c r="J490" i="13" s="1"/>
  <c r="H491" i="13"/>
  <c r="J491" i="13" s="1"/>
  <c r="H492" i="13"/>
  <c r="J492" i="13" s="1"/>
  <c r="H493" i="13"/>
  <c r="J493" i="13" s="1"/>
  <c r="H494" i="13"/>
  <c r="J494" i="13" s="1"/>
  <c r="H495" i="13"/>
  <c r="J495" i="13" s="1"/>
  <c r="H496" i="13"/>
  <c r="J496" i="13" s="1"/>
  <c r="H497" i="13"/>
  <c r="J497" i="13" s="1"/>
  <c r="H498" i="13"/>
  <c r="J498" i="13" s="1"/>
  <c r="H499" i="13"/>
  <c r="J499" i="13" s="1"/>
  <c r="H500" i="13"/>
  <c r="J500" i="13" s="1"/>
  <c r="H501" i="13"/>
  <c r="J501" i="13" s="1"/>
  <c r="H502" i="13"/>
  <c r="J502" i="13" s="1"/>
  <c r="H503" i="13"/>
  <c r="J503" i="13" s="1"/>
  <c r="H504" i="13"/>
  <c r="J504" i="13" s="1"/>
  <c r="H505" i="13"/>
  <c r="J505" i="13" s="1"/>
  <c r="H506" i="13"/>
  <c r="J506" i="13" s="1"/>
  <c r="H507" i="13"/>
  <c r="J507" i="13" s="1"/>
  <c r="H508" i="13"/>
  <c r="J508" i="13" s="1"/>
  <c r="H509" i="13"/>
  <c r="J509" i="13" s="1"/>
  <c r="H510" i="13"/>
  <c r="J510" i="13" s="1"/>
  <c r="H511" i="13"/>
  <c r="J511" i="13" s="1"/>
  <c r="H512" i="13"/>
  <c r="J512" i="13" s="1"/>
  <c r="H513" i="13"/>
  <c r="J513" i="13" s="1"/>
  <c r="H514" i="13"/>
  <c r="J514" i="13" s="1"/>
  <c r="H524" i="13"/>
  <c r="J524" i="13" s="1"/>
  <c r="H525" i="13"/>
  <c r="J525" i="13" s="1"/>
  <c r="H526" i="13"/>
  <c r="J526" i="13" s="1"/>
  <c r="H527" i="13"/>
  <c r="J527" i="13" s="1"/>
  <c r="H528" i="13"/>
  <c r="J528" i="13" s="1"/>
  <c r="H529" i="13"/>
  <c r="J529" i="13" s="1"/>
  <c r="H530" i="13"/>
  <c r="J530" i="13" s="1"/>
  <c r="H531" i="13"/>
  <c r="J531" i="13" s="1"/>
  <c r="H532" i="13"/>
  <c r="J532" i="13" s="1"/>
  <c r="H533" i="13"/>
  <c r="J533" i="13" s="1"/>
  <c r="H534" i="13"/>
  <c r="J534" i="13" s="1"/>
  <c r="H535" i="13"/>
  <c r="J535" i="13" s="1"/>
  <c r="H536" i="13"/>
  <c r="J536" i="13" s="1"/>
  <c r="H537" i="13"/>
  <c r="J537" i="13" s="1"/>
  <c r="H538" i="13"/>
  <c r="J538" i="13" s="1"/>
  <c r="H539" i="13"/>
  <c r="J539" i="13" s="1"/>
  <c r="H540" i="13"/>
  <c r="J540" i="13" s="1"/>
  <c r="H541" i="13"/>
  <c r="J541" i="13" s="1"/>
  <c r="H542" i="13"/>
  <c r="J542" i="13" s="1"/>
  <c r="H543" i="13"/>
  <c r="J543" i="13" s="1"/>
  <c r="H544" i="13"/>
  <c r="J544" i="13" s="1"/>
  <c r="H545" i="13"/>
  <c r="J545" i="13" s="1"/>
  <c r="H546" i="13"/>
  <c r="J546" i="13" s="1"/>
  <c r="H547" i="13"/>
  <c r="J547" i="13" s="1"/>
  <c r="H548" i="13"/>
  <c r="J548" i="13" s="1"/>
  <c r="H549" i="13"/>
  <c r="J549" i="13" s="1"/>
  <c r="H550" i="13"/>
  <c r="J550" i="13" s="1"/>
  <c r="H551" i="13"/>
  <c r="J551" i="13" s="1"/>
  <c r="H552" i="13"/>
  <c r="J552" i="13" s="1"/>
  <c r="H553" i="13"/>
  <c r="J553" i="13" s="1"/>
  <c r="H554" i="13"/>
  <c r="J554" i="13" s="1"/>
  <c r="H555" i="13"/>
  <c r="J555" i="13" s="1"/>
  <c r="H556" i="13"/>
  <c r="J556" i="13" s="1"/>
  <c r="H557" i="13"/>
  <c r="J557" i="13" s="1"/>
  <c r="H558" i="13"/>
  <c r="J558" i="13" s="1"/>
  <c r="H559" i="13"/>
  <c r="J559" i="13" s="1"/>
  <c r="H560" i="13"/>
  <c r="J560" i="13" s="1"/>
  <c r="H561" i="13"/>
  <c r="J561" i="13" s="1"/>
  <c r="H562" i="13"/>
  <c r="J562" i="13" s="1"/>
  <c r="H563" i="13"/>
  <c r="J563" i="13" s="1"/>
  <c r="H564" i="13"/>
  <c r="J564" i="13" s="1"/>
  <c r="H565" i="13"/>
  <c r="J565" i="13" s="1"/>
  <c r="H566" i="13"/>
  <c r="J566" i="13" s="1"/>
  <c r="H567" i="13"/>
  <c r="J567" i="13" s="1"/>
  <c r="H568" i="13"/>
  <c r="J568" i="13" s="1"/>
  <c r="H569" i="13"/>
  <c r="J569" i="13" s="1"/>
  <c r="H570" i="13"/>
  <c r="J570" i="13" s="1"/>
  <c r="H571" i="13"/>
  <c r="J571" i="13" s="1"/>
  <c r="H572" i="13"/>
  <c r="J572" i="13" s="1"/>
  <c r="H573" i="13"/>
  <c r="J573" i="13" s="1"/>
  <c r="H574" i="13"/>
  <c r="J574" i="13" s="1"/>
  <c r="H575" i="13"/>
  <c r="J575" i="13" s="1"/>
  <c r="H576" i="13"/>
  <c r="J576" i="13" s="1"/>
  <c r="H577" i="13"/>
  <c r="J577" i="13" s="1"/>
  <c r="H578" i="13"/>
  <c r="J578" i="13" s="1"/>
  <c r="H579" i="13"/>
  <c r="J579" i="13" s="1"/>
  <c r="H580" i="13"/>
  <c r="J580" i="13" s="1"/>
  <c r="H581" i="13"/>
  <c r="J581" i="13" s="1"/>
  <c r="H582" i="13"/>
  <c r="J582" i="13" s="1"/>
  <c r="H583" i="13"/>
  <c r="J583" i="13" s="1"/>
  <c r="H584" i="13"/>
  <c r="J584" i="13" s="1"/>
  <c r="H585" i="13"/>
  <c r="J585" i="13" s="1"/>
  <c r="H586" i="13"/>
  <c r="J586" i="13" s="1"/>
  <c r="H587" i="13"/>
  <c r="J587" i="13" s="1"/>
  <c r="H588" i="13"/>
  <c r="J588" i="13" s="1"/>
  <c r="H589" i="13"/>
  <c r="J589" i="13" s="1"/>
  <c r="H590" i="13"/>
  <c r="J590" i="13" s="1"/>
  <c r="H591" i="13"/>
  <c r="J591" i="13" s="1"/>
  <c r="H592" i="13"/>
  <c r="J592" i="13" s="1"/>
  <c r="H593" i="13"/>
  <c r="J593" i="13" s="1"/>
  <c r="H594" i="13"/>
  <c r="J594" i="13" s="1"/>
  <c r="H595" i="13"/>
  <c r="J595" i="13" s="1"/>
  <c r="H596" i="13"/>
  <c r="J596" i="13" s="1"/>
  <c r="H597" i="13"/>
  <c r="J597" i="13" s="1"/>
  <c r="H598" i="13"/>
  <c r="J598" i="13" s="1"/>
  <c r="H599" i="13"/>
  <c r="J599" i="13" s="1"/>
  <c r="H600" i="13"/>
  <c r="J600" i="13" s="1"/>
  <c r="H601" i="13"/>
  <c r="J601" i="13" s="1"/>
  <c r="H602" i="13"/>
  <c r="J602" i="13" s="1"/>
  <c r="H603" i="13"/>
  <c r="J603" i="13" s="1"/>
  <c r="H604" i="13"/>
  <c r="J604" i="13" s="1"/>
  <c r="H614" i="13"/>
  <c r="J614" i="13" s="1"/>
  <c r="H615" i="13"/>
  <c r="J615" i="13" s="1"/>
  <c r="H616" i="13"/>
  <c r="J616" i="13" s="1"/>
  <c r="H617" i="13"/>
  <c r="J617" i="13" s="1"/>
  <c r="H618" i="13"/>
  <c r="J618" i="13" s="1"/>
  <c r="H619" i="13"/>
  <c r="J619" i="13" s="1"/>
  <c r="H620" i="13"/>
  <c r="J620" i="13" s="1"/>
  <c r="H621" i="13"/>
  <c r="J621" i="13" s="1"/>
  <c r="H622" i="13"/>
  <c r="J622" i="13" s="1"/>
  <c r="H623" i="13"/>
  <c r="J623" i="13" s="1"/>
  <c r="H624" i="13"/>
  <c r="J624" i="13" s="1"/>
  <c r="H625" i="13"/>
  <c r="J625" i="13" s="1"/>
  <c r="H626" i="13"/>
  <c r="J626" i="13" s="1"/>
  <c r="H627" i="13"/>
  <c r="J627" i="13" s="1"/>
  <c r="H628" i="13"/>
  <c r="J628" i="13" s="1"/>
  <c r="H629" i="13"/>
  <c r="J629" i="13" s="1"/>
  <c r="H630" i="13"/>
  <c r="J630" i="13" s="1"/>
  <c r="H631" i="13"/>
  <c r="J631" i="13" s="1"/>
  <c r="H632" i="13"/>
  <c r="J632" i="13" s="1"/>
  <c r="H633" i="13"/>
  <c r="J633" i="13" s="1"/>
  <c r="H634" i="13"/>
  <c r="J634" i="13" s="1"/>
  <c r="H635" i="13"/>
  <c r="J635" i="13" s="1"/>
  <c r="H636" i="13"/>
  <c r="J636" i="13" s="1"/>
  <c r="H637" i="13"/>
  <c r="J637" i="13" s="1"/>
  <c r="H638" i="13"/>
  <c r="J638" i="13" s="1"/>
  <c r="H639" i="13"/>
  <c r="J639" i="13" s="1"/>
  <c r="H640" i="13"/>
  <c r="J640" i="13" s="1"/>
  <c r="H641" i="13"/>
  <c r="J641" i="13" s="1"/>
  <c r="H642" i="13"/>
  <c r="J642" i="13" s="1"/>
  <c r="H643" i="13"/>
  <c r="J643" i="13" s="1"/>
  <c r="H644" i="13"/>
  <c r="J644" i="13" s="1"/>
  <c r="H645" i="13"/>
  <c r="J645" i="13" s="1"/>
  <c r="H646" i="13"/>
  <c r="J646" i="13" s="1"/>
  <c r="H647" i="13"/>
  <c r="J647" i="13" s="1"/>
  <c r="H648" i="13"/>
  <c r="J648" i="13" s="1"/>
  <c r="H649" i="13"/>
  <c r="J649" i="13" s="1"/>
  <c r="H650" i="13"/>
  <c r="J650" i="13" s="1"/>
  <c r="H651" i="13"/>
  <c r="J651" i="13" s="1"/>
  <c r="H652" i="13"/>
  <c r="J652" i="13" s="1"/>
  <c r="H653" i="13"/>
  <c r="J653" i="13" s="1"/>
  <c r="H654" i="13"/>
  <c r="J654" i="13" s="1"/>
  <c r="H655" i="13"/>
  <c r="J655" i="13" s="1"/>
  <c r="H656" i="13"/>
  <c r="J656" i="13" s="1"/>
  <c r="H657" i="13"/>
  <c r="J657" i="13" s="1"/>
  <c r="H658" i="13"/>
  <c r="J658" i="13" s="1"/>
  <c r="H659" i="13"/>
  <c r="J659" i="13" s="1"/>
  <c r="H660" i="13"/>
  <c r="J660" i="13" s="1"/>
  <c r="H661" i="13"/>
  <c r="J661" i="13" s="1"/>
  <c r="H662" i="13"/>
  <c r="J662" i="13" s="1"/>
  <c r="H663" i="13"/>
  <c r="J663" i="13" s="1"/>
  <c r="H664" i="13"/>
  <c r="J664" i="13" s="1"/>
  <c r="H665" i="13"/>
  <c r="J665" i="13" s="1"/>
  <c r="H666" i="13"/>
  <c r="J666" i="13" s="1"/>
  <c r="H667" i="13"/>
  <c r="J667" i="13" s="1"/>
  <c r="H668" i="13"/>
  <c r="J668" i="13" s="1"/>
  <c r="H669" i="13"/>
  <c r="J669" i="13" s="1"/>
  <c r="H670" i="13"/>
  <c r="J670" i="13" s="1"/>
  <c r="H671" i="13"/>
  <c r="J671" i="13" s="1"/>
  <c r="H672" i="13"/>
  <c r="J672" i="13" s="1"/>
  <c r="H673" i="13"/>
  <c r="J673" i="13" s="1"/>
  <c r="H674" i="13"/>
  <c r="J674" i="13" s="1"/>
  <c r="H675" i="13"/>
  <c r="J675" i="13" s="1"/>
  <c r="H676" i="13"/>
  <c r="J676" i="13" s="1"/>
  <c r="H677" i="13"/>
  <c r="J677" i="13" s="1"/>
  <c r="H678" i="13"/>
  <c r="J678" i="13" s="1"/>
  <c r="H679" i="13"/>
  <c r="J679" i="13" s="1"/>
  <c r="H680" i="13"/>
  <c r="J680" i="13" s="1"/>
  <c r="H681" i="13"/>
  <c r="J681" i="13" s="1"/>
  <c r="H682" i="13"/>
  <c r="J682" i="13" s="1"/>
  <c r="H683" i="13"/>
  <c r="J683" i="13" s="1"/>
  <c r="H684" i="13"/>
  <c r="J684" i="13" s="1"/>
  <c r="H685" i="13"/>
  <c r="J685" i="13" s="1"/>
  <c r="H686" i="13"/>
  <c r="J686" i="13" s="1"/>
  <c r="H687" i="13"/>
  <c r="J687" i="13" s="1"/>
  <c r="H688" i="13"/>
  <c r="J688" i="13" s="1"/>
  <c r="H689" i="13"/>
  <c r="J689" i="13" s="1"/>
  <c r="H690" i="13"/>
  <c r="J690" i="13" s="1"/>
  <c r="H691" i="13"/>
  <c r="J691" i="13" s="1"/>
  <c r="H692" i="13"/>
  <c r="J692" i="13" s="1"/>
  <c r="H693" i="13"/>
  <c r="J693" i="13" s="1"/>
  <c r="H694" i="13"/>
  <c r="J694" i="13" s="1"/>
  <c r="H695" i="13"/>
  <c r="J695" i="13" s="1"/>
  <c r="H696" i="13"/>
  <c r="J696" i="13" s="1"/>
  <c r="H697" i="13"/>
  <c r="J697" i="13" s="1"/>
  <c r="H698" i="13"/>
  <c r="J698" i="13" s="1"/>
  <c r="H699" i="13"/>
  <c r="J699" i="13" s="1"/>
  <c r="H700" i="13"/>
  <c r="J700" i="13" s="1"/>
  <c r="H701" i="13"/>
  <c r="J701" i="13" s="1"/>
  <c r="H702" i="13"/>
  <c r="J702" i="13" s="1"/>
  <c r="H703" i="13"/>
  <c r="J703" i="13" s="1"/>
  <c r="H704" i="13"/>
  <c r="J704" i="13" s="1"/>
  <c r="H705" i="13"/>
  <c r="J705" i="13" s="1"/>
  <c r="H706" i="13"/>
  <c r="J706" i="13" s="1"/>
  <c r="H707" i="13"/>
  <c r="J707" i="13" s="1"/>
  <c r="H708" i="13"/>
  <c r="J708" i="13" s="1"/>
  <c r="H709" i="13"/>
  <c r="J709" i="13" s="1"/>
  <c r="H710" i="13"/>
  <c r="J710" i="13" s="1"/>
  <c r="H711" i="13"/>
  <c r="J711" i="13" s="1"/>
  <c r="H712" i="13"/>
  <c r="J712" i="13" s="1"/>
  <c r="H713" i="13"/>
  <c r="J713" i="13" s="1"/>
  <c r="H714" i="13"/>
  <c r="J714" i="13" s="1"/>
  <c r="H715" i="13"/>
  <c r="J715" i="13" s="1"/>
  <c r="H716" i="13"/>
  <c r="J716" i="13" s="1"/>
  <c r="H717" i="13"/>
  <c r="J717" i="13" s="1"/>
  <c r="H718" i="13"/>
  <c r="J718" i="13" s="1"/>
  <c r="H719" i="13"/>
  <c r="J719" i="13" s="1"/>
  <c r="H720" i="13"/>
  <c r="J720" i="13" s="1"/>
  <c r="H721" i="13"/>
  <c r="J721" i="13" s="1"/>
  <c r="H722" i="13"/>
  <c r="J722" i="13" s="1"/>
  <c r="H723" i="13"/>
  <c r="J723" i="13" s="1"/>
  <c r="H724" i="13"/>
  <c r="J724" i="13" s="1"/>
  <c r="H725" i="13"/>
  <c r="J725" i="13" s="1"/>
  <c r="H726" i="13"/>
  <c r="J726" i="13" s="1"/>
  <c r="H727" i="13"/>
  <c r="J727" i="13" s="1"/>
  <c r="H728" i="13"/>
  <c r="J728" i="13" s="1"/>
  <c r="H729" i="13"/>
  <c r="J729" i="13" s="1"/>
  <c r="H730" i="13"/>
  <c r="J730" i="13" s="1"/>
  <c r="H731" i="13"/>
  <c r="J731" i="13" s="1"/>
  <c r="H732" i="13"/>
  <c r="J732" i="13" s="1"/>
  <c r="H733" i="13"/>
  <c r="J733" i="13" s="1"/>
  <c r="H734" i="13"/>
  <c r="J734" i="13" s="1"/>
  <c r="H735" i="13"/>
  <c r="J735" i="13" s="1"/>
  <c r="H736" i="13"/>
  <c r="J736" i="13" s="1"/>
  <c r="H737" i="13"/>
  <c r="J737" i="13" s="1"/>
  <c r="H738" i="13"/>
  <c r="J738" i="13" s="1"/>
  <c r="H739" i="13"/>
  <c r="J739" i="13" s="1"/>
  <c r="H740" i="13"/>
  <c r="J740" i="13" s="1"/>
  <c r="H741" i="13"/>
  <c r="J741" i="13" s="1"/>
  <c r="H742" i="13"/>
  <c r="J742" i="13" s="1"/>
  <c r="H743" i="13"/>
  <c r="J743" i="13" s="1"/>
  <c r="H744" i="13"/>
  <c r="J744" i="13" s="1"/>
  <c r="H745" i="13"/>
  <c r="J745" i="13" s="1"/>
  <c r="H746" i="13"/>
  <c r="J746" i="13" s="1"/>
  <c r="H747" i="13"/>
  <c r="J747" i="13" s="1"/>
  <c r="H748" i="13"/>
  <c r="J748" i="13" s="1"/>
  <c r="H749" i="13"/>
  <c r="J749" i="13" s="1"/>
  <c r="H750" i="13"/>
  <c r="J750" i="13" s="1"/>
  <c r="H751" i="13"/>
  <c r="J751" i="13" s="1"/>
  <c r="H752" i="13"/>
  <c r="J752" i="13" s="1"/>
  <c r="H753" i="13"/>
  <c r="J753" i="13" s="1"/>
  <c r="H754" i="13"/>
  <c r="J754" i="13" s="1"/>
  <c r="H755" i="13"/>
  <c r="J755" i="13" s="1"/>
  <c r="H756" i="13"/>
  <c r="J756" i="13" s="1"/>
  <c r="H757" i="13"/>
  <c r="J757" i="13" s="1"/>
  <c r="H758" i="13"/>
  <c r="J758" i="13" s="1"/>
  <c r="H759" i="13"/>
  <c r="J759" i="13" s="1"/>
  <c r="H760" i="13"/>
  <c r="J760" i="13" s="1"/>
  <c r="H761" i="13"/>
  <c r="J761" i="13" s="1"/>
  <c r="H762" i="13"/>
  <c r="J762" i="13" s="1"/>
  <c r="H763" i="13"/>
  <c r="J763" i="13" s="1"/>
  <c r="H764" i="13"/>
  <c r="J764" i="13" s="1"/>
  <c r="H765" i="13"/>
  <c r="J765" i="13" s="1"/>
  <c r="H766" i="13"/>
  <c r="J766" i="13" s="1"/>
  <c r="H767" i="13"/>
  <c r="J767" i="13" s="1"/>
  <c r="H768" i="13"/>
  <c r="J768" i="13" s="1"/>
  <c r="H769" i="13"/>
  <c r="J769" i="13" s="1"/>
  <c r="H770" i="13"/>
  <c r="J770" i="13" s="1"/>
  <c r="H771" i="13"/>
  <c r="J771" i="13" s="1"/>
  <c r="H772" i="13"/>
  <c r="J772" i="13" s="1"/>
  <c r="H773" i="13"/>
  <c r="J773" i="13" s="1"/>
  <c r="H774" i="13"/>
  <c r="J774" i="13" s="1"/>
  <c r="H775" i="13"/>
  <c r="J775" i="13" s="1"/>
  <c r="H776" i="13"/>
  <c r="J776" i="13" s="1"/>
  <c r="H777" i="13"/>
  <c r="J777" i="13" s="1"/>
  <c r="H778" i="13"/>
  <c r="J778" i="13" s="1"/>
  <c r="H779" i="13"/>
  <c r="J779" i="13" s="1"/>
  <c r="H780" i="13"/>
  <c r="J780" i="13" s="1"/>
  <c r="H781" i="13"/>
  <c r="J781" i="13" s="1"/>
  <c r="H782" i="13"/>
  <c r="J782" i="13" s="1"/>
  <c r="H783" i="13"/>
  <c r="J783" i="13" s="1"/>
  <c r="H784" i="13"/>
  <c r="J784" i="13" s="1"/>
  <c r="H785" i="13"/>
  <c r="J785" i="13" s="1"/>
  <c r="H786" i="13"/>
  <c r="J786" i="13" s="1"/>
  <c r="H787" i="13"/>
  <c r="J787" i="13" s="1"/>
  <c r="H788" i="13"/>
  <c r="J788" i="13" s="1"/>
  <c r="H789" i="13"/>
  <c r="J789" i="13" s="1"/>
  <c r="H790" i="13"/>
  <c r="J790" i="13" s="1"/>
  <c r="H791" i="13"/>
  <c r="J791" i="13" s="1"/>
  <c r="H792" i="13"/>
  <c r="J792" i="13" s="1"/>
  <c r="H793" i="13"/>
  <c r="J793" i="13" s="1"/>
  <c r="H794" i="13"/>
  <c r="J794" i="13" s="1"/>
  <c r="H795" i="13"/>
  <c r="J795" i="13" s="1"/>
  <c r="H796" i="13"/>
  <c r="J796" i="13" s="1"/>
  <c r="H797" i="13"/>
  <c r="J797" i="13" s="1"/>
  <c r="H798" i="13"/>
  <c r="J798" i="13" s="1"/>
  <c r="H799" i="13"/>
  <c r="J799" i="13" s="1"/>
  <c r="H800" i="13"/>
  <c r="J800" i="13" s="1"/>
  <c r="H801" i="13"/>
  <c r="J801" i="13" s="1"/>
  <c r="H802" i="13"/>
  <c r="J802" i="13" s="1"/>
  <c r="H803" i="13"/>
  <c r="J803" i="13" s="1"/>
  <c r="H804" i="13"/>
  <c r="J804" i="13" s="1"/>
  <c r="H805" i="13"/>
  <c r="J805" i="13" s="1"/>
  <c r="H806" i="13"/>
  <c r="J806" i="13" s="1"/>
  <c r="H807" i="13"/>
  <c r="J807" i="13" s="1"/>
  <c r="H808" i="13"/>
  <c r="J808" i="13" s="1"/>
  <c r="H809" i="13"/>
  <c r="J809" i="13" s="1"/>
  <c r="H810" i="13"/>
  <c r="J810" i="13" s="1"/>
  <c r="H811" i="13"/>
  <c r="J811" i="13" s="1"/>
  <c r="H812" i="13"/>
  <c r="J812" i="13" s="1"/>
  <c r="H813" i="13"/>
  <c r="J813" i="13" s="1"/>
  <c r="H814" i="13"/>
  <c r="J814" i="13" s="1"/>
  <c r="H815" i="13"/>
  <c r="J815" i="13" s="1"/>
  <c r="H816" i="13"/>
  <c r="J816" i="13" s="1"/>
  <c r="H817" i="13"/>
  <c r="J817" i="13" s="1"/>
  <c r="H818" i="13"/>
  <c r="J818" i="13" s="1"/>
  <c r="H819" i="13"/>
  <c r="J819" i="13" s="1"/>
  <c r="H820" i="13"/>
  <c r="J820" i="13" s="1"/>
  <c r="H821" i="13"/>
  <c r="J821" i="13" s="1"/>
  <c r="H822" i="13"/>
  <c r="J822" i="13" s="1"/>
  <c r="H823" i="13"/>
  <c r="J823" i="13" s="1"/>
  <c r="H824" i="13"/>
  <c r="J824" i="13" s="1"/>
  <c r="H825" i="13"/>
  <c r="J825" i="13" s="1"/>
  <c r="H826" i="13"/>
  <c r="J826" i="13" s="1"/>
  <c r="H827" i="13"/>
  <c r="J827" i="13" s="1"/>
  <c r="H828" i="13"/>
  <c r="J828" i="13" s="1"/>
  <c r="H829" i="13"/>
  <c r="J829" i="13" s="1"/>
  <c r="H830" i="13"/>
  <c r="J830" i="13" s="1"/>
  <c r="H831" i="13"/>
  <c r="J831" i="13" s="1"/>
  <c r="H832" i="13"/>
  <c r="J832" i="13" s="1"/>
  <c r="H833" i="13"/>
  <c r="J833" i="13" s="1"/>
  <c r="H834" i="13"/>
  <c r="J834" i="13" s="1"/>
  <c r="H835" i="13"/>
  <c r="J835" i="13" s="1"/>
  <c r="H836" i="13"/>
  <c r="J836" i="13" s="1"/>
  <c r="H837" i="13"/>
  <c r="J837" i="13" s="1"/>
  <c r="H838" i="13"/>
  <c r="J838" i="13" s="1"/>
  <c r="H839" i="13"/>
  <c r="J839" i="13" s="1"/>
  <c r="H840" i="13"/>
  <c r="J840" i="13" s="1"/>
  <c r="H841" i="13"/>
  <c r="J841" i="13" s="1"/>
  <c r="H842" i="13"/>
  <c r="J842" i="13" s="1"/>
  <c r="H843" i="13"/>
  <c r="J843" i="13" s="1"/>
  <c r="H844" i="13"/>
  <c r="J844" i="13" s="1"/>
  <c r="H845" i="13"/>
  <c r="J845" i="13" s="1"/>
  <c r="H846" i="13"/>
  <c r="J846" i="13" s="1"/>
  <c r="H847" i="13"/>
  <c r="J847" i="13" s="1"/>
  <c r="H848" i="13"/>
  <c r="J848" i="13" s="1"/>
  <c r="H849" i="13"/>
  <c r="J849" i="13" s="1"/>
  <c r="H850" i="13"/>
  <c r="J850" i="13" s="1"/>
  <c r="H851" i="13"/>
  <c r="J851" i="13" s="1"/>
  <c r="H852" i="13"/>
  <c r="J852" i="13" s="1"/>
  <c r="H853" i="13"/>
  <c r="J853" i="13" s="1"/>
  <c r="H854" i="13"/>
  <c r="J854" i="13" s="1"/>
  <c r="H855" i="13"/>
  <c r="J855" i="13" s="1"/>
  <c r="H856" i="13"/>
  <c r="J856" i="13" s="1"/>
  <c r="H857" i="13"/>
  <c r="J857" i="13" s="1"/>
  <c r="H858" i="13"/>
  <c r="J858" i="13" s="1"/>
  <c r="H859" i="13"/>
  <c r="J859" i="13" s="1"/>
  <c r="H860" i="13"/>
  <c r="J860" i="13" s="1"/>
  <c r="H861" i="13"/>
  <c r="J861" i="13" s="1"/>
  <c r="H862" i="13"/>
  <c r="J862" i="13" s="1"/>
  <c r="H863" i="13"/>
  <c r="J863" i="13" s="1"/>
  <c r="H864" i="13"/>
  <c r="J864" i="13" s="1"/>
  <c r="H865" i="13"/>
  <c r="J865" i="13" s="1"/>
  <c r="H866" i="13"/>
  <c r="J866" i="13" s="1"/>
  <c r="H867" i="13"/>
  <c r="J867" i="13" s="1"/>
  <c r="H868" i="13"/>
  <c r="J868" i="13" s="1"/>
  <c r="H869" i="13"/>
  <c r="J869" i="13" s="1"/>
  <c r="H870" i="13"/>
  <c r="J870" i="13" s="1"/>
  <c r="H871" i="13"/>
  <c r="J871" i="13" s="1"/>
  <c r="H872" i="13"/>
  <c r="J872" i="13" s="1"/>
  <c r="H873" i="13"/>
  <c r="J873" i="13" s="1"/>
  <c r="H874" i="13"/>
  <c r="J874" i="13" s="1"/>
  <c r="H875" i="13"/>
  <c r="J875" i="13" s="1"/>
  <c r="H876" i="13"/>
  <c r="J876" i="13" s="1"/>
  <c r="H877" i="13"/>
  <c r="J877" i="13" s="1"/>
  <c r="H878" i="13"/>
  <c r="J878" i="13" s="1"/>
  <c r="H879" i="13"/>
  <c r="J879" i="13" s="1"/>
  <c r="H880" i="13"/>
  <c r="J880" i="13" s="1"/>
  <c r="H881" i="13"/>
  <c r="J881" i="13" s="1"/>
  <c r="H882" i="13"/>
  <c r="J882" i="13" s="1"/>
  <c r="H883" i="13"/>
  <c r="J883" i="13" s="1"/>
  <c r="H884" i="13"/>
  <c r="J884" i="13" s="1"/>
  <c r="H885" i="13"/>
  <c r="J885" i="13" s="1"/>
  <c r="H886" i="13"/>
  <c r="J886" i="13" s="1"/>
  <c r="H887" i="13"/>
  <c r="J887" i="13" s="1"/>
  <c r="H888" i="13"/>
  <c r="J888" i="13" s="1"/>
  <c r="H889" i="13"/>
  <c r="J889" i="13" s="1"/>
  <c r="H890" i="13"/>
  <c r="J890" i="13" s="1"/>
  <c r="H891" i="13"/>
  <c r="J891" i="13" s="1"/>
  <c r="H892" i="13"/>
  <c r="J892" i="13" s="1"/>
  <c r="H893" i="13"/>
  <c r="J893" i="13" s="1"/>
  <c r="H894" i="13"/>
  <c r="J894" i="13" s="1"/>
  <c r="H895" i="13"/>
  <c r="J895" i="13" s="1"/>
  <c r="H896" i="13"/>
  <c r="J896" i="13" s="1"/>
  <c r="H897" i="13"/>
  <c r="J897" i="13" s="1"/>
  <c r="H898" i="13"/>
  <c r="J898" i="13" s="1"/>
  <c r="H899" i="13"/>
  <c r="J899" i="13" s="1"/>
  <c r="H900" i="13"/>
  <c r="J900" i="13" s="1"/>
  <c r="H901" i="13"/>
  <c r="J901" i="13" s="1"/>
  <c r="H911" i="13"/>
  <c r="J911" i="13" s="1"/>
  <c r="H912" i="13"/>
  <c r="J912" i="13" s="1"/>
  <c r="H913" i="13"/>
  <c r="J913" i="13" s="1"/>
  <c r="H914" i="13"/>
  <c r="J914" i="13" s="1"/>
  <c r="H915" i="13"/>
  <c r="J915" i="13" s="1"/>
  <c r="H916" i="13"/>
  <c r="J916" i="13" s="1"/>
  <c r="H917" i="13"/>
  <c r="J917" i="13" s="1"/>
  <c r="H918" i="13"/>
  <c r="J918" i="13" s="1"/>
  <c r="H919" i="13"/>
  <c r="J919" i="13" s="1"/>
  <c r="H929" i="13"/>
  <c r="J929" i="13" s="1"/>
  <c r="H930" i="13"/>
  <c r="J930" i="13" s="1"/>
  <c r="H931" i="13"/>
  <c r="J931" i="13" s="1"/>
  <c r="H932" i="13"/>
  <c r="J932" i="13" s="1"/>
  <c r="H933" i="13"/>
  <c r="J933" i="13" s="1"/>
  <c r="H934" i="13"/>
  <c r="J934" i="13" s="1"/>
  <c r="H935" i="13"/>
  <c r="J935" i="13" s="1"/>
  <c r="H936" i="13"/>
  <c r="J936" i="13" s="1"/>
  <c r="H937" i="13"/>
  <c r="J937" i="13" s="1"/>
  <c r="H938" i="13"/>
  <c r="J938" i="13" s="1"/>
  <c r="H939" i="13"/>
  <c r="J939" i="13" s="1"/>
  <c r="H940" i="13"/>
  <c r="J940" i="13" s="1"/>
  <c r="H941" i="13"/>
  <c r="J941" i="13" s="1"/>
  <c r="H942" i="13"/>
  <c r="J942" i="13" s="1"/>
  <c r="H943" i="13"/>
  <c r="J943" i="13" s="1"/>
  <c r="H944" i="13"/>
  <c r="J944" i="13" s="1"/>
  <c r="H945" i="13"/>
  <c r="J945" i="13" s="1"/>
  <c r="H946" i="13"/>
  <c r="J946" i="13" s="1"/>
  <c r="H956" i="13"/>
  <c r="J956" i="13" s="1"/>
  <c r="H957" i="13"/>
  <c r="J957" i="13" s="1"/>
  <c r="H958" i="13"/>
  <c r="J958" i="13" s="1"/>
  <c r="H959" i="13"/>
  <c r="J959" i="13" s="1"/>
  <c r="H960" i="13"/>
  <c r="J960" i="13" s="1"/>
  <c r="H961" i="13"/>
  <c r="J961" i="13" s="1"/>
  <c r="H962" i="13"/>
  <c r="J962" i="13" s="1"/>
  <c r="H963" i="13"/>
  <c r="J963" i="13" s="1"/>
  <c r="H964" i="13"/>
  <c r="J964" i="13" s="1"/>
  <c r="H965" i="13"/>
  <c r="J965" i="13" s="1"/>
  <c r="H966" i="13"/>
  <c r="J966" i="13" s="1"/>
  <c r="H967" i="13"/>
  <c r="J967" i="13" s="1"/>
  <c r="H968" i="13"/>
  <c r="J968" i="13" s="1"/>
  <c r="H969" i="13"/>
  <c r="J969" i="13" s="1"/>
  <c r="H970" i="13"/>
  <c r="J970" i="13" s="1"/>
  <c r="H971" i="13"/>
  <c r="J971" i="13" s="1"/>
  <c r="H972" i="13"/>
  <c r="J972" i="13" s="1"/>
  <c r="H973" i="13"/>
  <c r="J973" i="13" s="1"/>
  <c r="H974" i="13"/>
  <c r="J974" i="13" s="1"/>
  <c r="H975" i="13"/>
  <c r="J975" i="13" s="1"/>
  <c r="H976" i="13"/>
  <c r="J976" i="13" s="1"/>
  <c r="H977" i="13"/>
  <c r="J977" i="13" s="1"/>
  <c r="H978" i="13"/>
  <c r="J978" i="13" s="1"/>
  <c r="H979" i="13"/>
  <c r="J979" i="13" s="1"/>
  <c r="H980" i="13"/>
  <c r="J980" i="13" s="1"/>
  <c r="H981" i="13"/>
  <c r="J981" i="13" s="1"/>
  <c r="H982" i="13"/>
  <c r="J982" i="13" s="1"/>
  <c r="H983" i="13"/>
  <c r="J983" i="13" s="1"/>
  <c r="H984" i="13"/>
  <c r="J984" i="13" s="1"/>
  <c r="H985" i="13"/>
  <c r="J985" i="13" s="1"/>
  <c r="H986" i="13"/>
  <c r="J986" i="13" s="1"/>
  <c r="H987" i="13"/>
  <c r="J987" i="13" s="1"/>
  <c r="H988" i="13"/>
  <c r="J988" i="13" s="1"/>
  <c r="H989" i="13"/>
  <c r="J989" i="13" s="1"/>
  <c r="H990" i="13"/>
  <c r="J990" i="13" s="1"/>
  <c r="H991" i="13"/>
  <c r="J991" i="13" s="1"/>
  <c r="H992" i="13"/>
  <c r="J992" i="13" s="1"/>
  <c r="H993" i="13"/>
  <c r="J993" i="13" s="1"/>
  <c r="H994" i="13"/>
  <c r="J994" i="13" s="1"/>
  <c r="H995" i="13"/>
  <c r="J995" i="13" s="1"/>
  <c r="H996" i="13"/>
  <c r="J996" i="13" s="1"/>
  <c r="H997" i="13"/>
  <c r="J997" i="13" s="1"/>
  <c r="H998" i="13"/>
  <c r="J998" i="13" s="1"/>
  <c r="H999" i="13"/>
  <c r="J999" i="13" s="1"/>
  <c r="H1000" i="13"/>
  <c r="J1000" i="13" s="1"/>
  <c r="H1001" i="13"/>
  <c r="J1001" i="13" s="1"/>
  <c r="H1002" i="13"/>
  <c r="J1002" i="13" s="1"/>
  <c r="H1003" i="13"/>
  <c r="J1003" i="13" s="1"/>
  <c r="H1004" i="13"/>
  <c r="J1004" i="13" s="1"/>
  <c r="H1005" i="13"/>
  <c r="J1005" i="13" s="1"/>
  <c r="H1006" i="13"/>
  <c r="J1006" i="13" s="1"/>
  <c r="H1007" i="13"/>
  <c r="J1007" i="13" s="1"/>
  <c r="H1008" i="13"/>
  <c r="J1008" i="13" s="1"/>
  <c r="H1009" i="13"/>
  <c r="J1009" i="13" s="1"/>
  <c r="H1010" i="13"/>
  <c r="J1010" i="13" s="1"/>
  <c r="H1011" i="13"/>
  <c r="J1011" i="13" s="1"/>
  <c r="H1012" i="13"/>
  <c r="J1012" i="13" s="1"/>
  <c r="H1013" i="13"/>
  <c r="J1013" i="13" s="1"/>
  <c r="H1014" i="13"/>
  <c r="J1014" i="13" s="1"/>
  <c r="H1015" i="13"/>
  <c r="J1015" i="13" s="1"/>
  <c r="H1016" i="13"/>
  <c r="J1016" i="13" s="1"/>
  <c r="H1017" i="13"/>
  <c r="J1017" i="13" s="1"/>
  <c r="H1018" i="13"/>
  <c r="J1018" i="13" s="1"/>
  <c r="H1019" i="13"/>
  <c r="J1019" i="13" s="1"/>
  <c r="H1020" i="13"/>
  <c r="J1020" i="13" s="1"/>
  <c r="H1021" i="13"/>
  <c r="J1021" i="13" s="1"/>
  <c r="H1022" i="13"/>
  <c r="J1022" i="13" s="1"/>
  <c r="H1023" i="13"/>
  <c r="J1023" i="13" s="1"/>
  <c r="H1024" i="13"/>
  <c r="J1024" i="13" s="1"/>
  <c r="H1025" i="13"/>
  <c r="J1025" i="13" s="1"/>
  <c r="H1026" i="13"/>
  <c r="J1026" i="13" s="1"/>
  <c r="H1027" i="13"/>
  <c r="J1027" i="13" s="1"/>
  <c r="H1028" i="13"/>
  <c r="J1028" i="13" s="1"/>
  <c r="H1029" i="13"/>
  <c r="J1029" i="13" s="1"/>
  <c r="H1030" i="13"/>
  <c r="J1030" i="13" s="1"/>
  <c r="H1031" i="13"/>
  <c r="J1031" i="13" s="1"/>
  <c r="H1032" i="13"/>
  <c r="J1032" i="13" s="1"/>
  <c r="H1033" i="13"/>
  <c r="J1033" i="13" s="1"/>
  <c r="H1034" i="13"/>
  <c r="J1034" i="13" s="1"/>
  <c r="H1035" i="13"/>
  <c r="J1035" i="13" s="1"/>
  <c r="H1036" i="13"/>
  <c r="J1036" i="13" s="1"/>
  <c r="H1046" i="13"/>
  <c r="J1046" i="13" s="1"/>
  <c r="H1047" i="13"/>
  <c r="J1047" i="13" s="1"/>
  <c r="H1048" i="13"/>
  <c r="J1048" i="13" s="1"/>
  <c r="H1049" i="13"/>
  <c r="J1049" i="13" s="1"/>
  <c r="H1050" i="13"/>
  <c r="J1050" i="13" s="1"/>
  <c r="H1051" i="13"/>
  <c r="J1051" i="13" s="1"/>
  <c r="H1052" i="13"/>
  <c r="J1052" i="13" s="1"/>
  <c r="H1053" i="13"/>
  <c r="J1053" i="13" s="1"/>
  <c r="H1054" i="13"/>
  <c r="J1054" i="13" s="1"/>
  <c r="H1055" i="13"/>
  <c r="J1055" i="13" s="1"/>
  <c r="H1056" i="13"/>
  <c r="J1056" i="13" s="1"/>
  <c r="H1057" i="13"/>
  <c r="J1057" i="13" s="1"/>
  <c r="H1058" i="13"/>
  <c r="J1058" i="13" s="1"/>
  <c r="H1059" i="13"/>
  <c r="J1059" i="13" s="1"/>
  <c r="H1060" i="13"/>
  <c r="J1060" i="13" s="1"/>
  <c r="H1061" i="13"/>
  <c r="J1061" i="13" s="1"/>
  <c r="H1062" i="13"/>
  <c r="J1062" i="13" s="1"/>
  <c r="H1063" i="13"/>
  <c r="J1063" i="13" s="1"/>
  <c r="H1064" i="13"/>
  <c r="J1064" i="13" s="1"/>
  <c r="H1065" i="13"/>
  <c r="J1065" i="13" s="1"/>
  <c r="H1066" i="13"/>
  <c r="J1066" i="13" s="1"/>
  <c r="H1067" i="13"/>
  <c r="J1067" i="13" s="1"/>
  <c r="H1068" i="13"/>
  <c r="J1068" i="13" s="1"/>
  <c r="H1069" i="13"/>
  <c r="J1069" i="13" s="1"/>
  <c r="H1070" i="13"/>
  <c r="J1070" i="13" s="1"/>
  <c r="H1071" i="13"/>
  <c r="J1071" i="13" s="1"/>
  <c r="H1072" i="13"/>
  <c r="J1072" i="13" s="1"/>
  <c r="H1073" i="13"/>
  <c r="J1073" i="13" s="1"/>
  <c r="H1074" i="13"/>
  <c r="J1074" i="13" s="1"/>
  <c r="H1075" i="13"/>
  <c r="J1075" i="13" s="1"/>
  <c r="H1076" i="13"/>
  <c r="J1076" i="13" s="1"/>
  <c r="H1077" i="13"/>
  <c r="J1077" i="13" s="1"/>
  <c r="H1078" i="13"/>
  <c r="J1078" i="13" s="1"/>
  <c r="H1079" i="13"/>
  <c r="J1079" i="13" s="1"/>
  <c r="H1080" i="13"/>
  <c r="J1080" i="13" s="1"/>
  <c r="H1081" i="13"/>
  <c r="J1081" i="13" s="1"/>
  <c r="H1082" i="13"/>
  <c r="J1082" i="13" s="1"/>
  <c r="H1083" i="13"/>
  <c r="J1083" i="13" s="1"/>
  <c r="H1084" i="13"/>
  <c r="J1084" i="13" s="1"/>
  <c r="H1085" i="13"/>
  <c r="J1085" i="13" s="1"/>
  <c r="H1086" i="13"/>
  <c r="J1086" i="13" s="1"/>
  <c r="H1087" i="13"/>
  <c r="J1087" i="13" s="1"/>
  <c r="H1088" i="13"/>
  <c r="J1088" i="13" s="1"/>
  <c r="H1089" i="13"/>
  <c r="J1089" i="13" s="1"/>
  <c r="H1090" i="13"/>
  <c r="J1090" i="13" s="1"/>
  <c r="H1091" i="13"/>
  <c r="J1091" i="13" s="1"/>
  <c r="H1092" i="13"/>
  <c r="J1092" i="13" s="1"/>
  <c r="H1093" i="13"/>
  <c r="J1093" i="13" s="1"/>
  <c r="H1094" i="13"/>
  <c r="J1094" i="13" s="1"/>
  <c r="H1095" i="13"/>
  <c r="J1095" i="13" s="1"/>
  <c r="H1096" i="13"/>
  <c r="J1096" i="13" s="1"/>
  <c r="H1097" i="13"/>
  <c r="J1097" i="13" s="1"/>
  <c r="H1098" i="13"/>
  <c r="J1098" i="13" s="1"/>
  <c r="H1099" i="13"/>
  <c r="J1099" i="13" s="1"/>
  <c r="H1100" i="13"/>
  <c r="J1100" i="13" s="1"/>
  <c r="H1101" i="13"/>
  <c r="J1101" i="13" s="1"/>
  <c r="H1102" i="13"/>
  <c r="J1102" i="13" s="1"/>
  <c r="H1103" i="13"/>
  <c r="J1103" i="13" s="1"/>
  <c r="H1104" i="13"/>
  <c r="J1104" i="13" s="1"/>
  <c r="H1105" i="13"/>
  <c r="J1105" i="13" s="1"/>
  <c r="H1106" i="13"/>
  <c r="J1106" i="13" s="1"/>
  <c r="H1107" i="13"/>
  <c r="J1107" i="13" s="1"/>
  <c r="H1108" i="13"/>
  <c r="J1108" i="13" s="1"/>
  <c r="H1109" i="13"/>
  <c r="J1109" i="13" s="1"/>
  <c r="H1110" i="13"/>
  <c r="J1110" i="13" s="1"/>
  <c r="H1111" i="13"/>
  <c r="J1111" i="13" s="1"/>
  <c r="H1112" i="13"/>
  <c r="J1112" i="13" s="1"/>
  <c r="H1113" i="13"/>
  <c r="J1113" i="13" s="1"/>
  <c r="H1114" i="13"/>
  <c r="J1114" i="13" s="1"/>
  <c r="H1115" i="13"/>
  <c r="J1115" i="13" s="1"/>
  <c r="H1116" i="13"/>
  <c r="J1116" i="13" s="1"/>
  <c r="H1117" i="13"/>
  <c r="J1117" i="13" s="1"/>
  <c r="H1118" i="13"/>
  <c r="J1118" i="13" s="1"/>
  <c r="H1119" i="13"/>
  <c r="J1119" i="13" s="1"/>
  <c r="H1120" i="13"/>
  <c r="J1120" i="13" s="1"/>
  <c r="H1121" i="13"/>
  <c r="J1121" i="13" s="1"/>
  <c r="H1122" i="13"/>
  <c r="J1122" i="13" s="1"/>
  <c r="H1123" i="13"/>
  <c r="J1123" i="13" s="1"/>
  <c r="H1124" i="13"/>
  <c r="J1124" i="13" s="1"/>
  <c r="H1125" i="13"/>
  <c r="J1125" i="13" s="1"/>
  <c r="H1126" i="13"/>
  <c r="J1126" i="13" s="1"/>
  <c r="H1127" i="13"/>
  <c r="J1127" i="13" s="1"/>
  <c r="H1128" i="13"/>
  <c r="J1128" i="13" s="1"/>
  <c r="H1129" i="13"/>
  <c r="J1129" i="13" s="1"/>
  <c r="H1130" i="13"/>
  <c r="J1130" i="13" s="1"/>
  <c r="H1131" i="13"/>
  <c r="J1131" i="13" s="1"/>
  <c r="H1132" i="13"/>
  <c r="J1132" i="13" s="1"/>
  <c r="H1133" i="13"/>
  <c r="J1133" i="13" s="1"/>
  <c r="H1134" i="13"/>
  <c r="J1134" i="13" s="1"/>
  <c r="H1135" i="13"/>
  <c r="J1135" i="13" s="1"/>
  <c r="H1136" i="13"/>
  <c r="J1136" i="13" s="1"/>
  <c r="H1137" i="13"/>
  <c r="J1137" i="13" s="1"/>
  <c r="H1138" i="13"/>
  <c r="J1138" i="13" s="1"/>
  <c r="H1139" i="13"/>
  <c r="J1139" i="13" s="1"/>
  <c r="H1140" i="13"/>
  <c r="J1140" i="13" s="1"/>
  <c r="H1141" i="13"/>
  <c r="J1141" i="13" s="1"/>
  <c r="H1142" i="13"/>
  <c r="J1142" i="13" s="1"/>
  <c r="H1143" i="13"/>
  <c r="J1143" i="13" s="1"/>
  <c r="H1144" i="13"/>
  <c r="J1144" i="13" s="1"/>
  <c r="H1145" i="13"/>
  <c r="J1145" i="13" s="1"/>
  <c r="H1146" i="13"/>
  <c r="J1146" i="13" s="1"/>
  <c r="H1147" i="13"/>
  <c r="J1147" i="13" s="1"/>
  <c r="H1148" i="13"/>
  <c r="J1148" i="13" s="1"/>
  <c r="H1149" i="13"/>
  <c r="J1149" i="13" s="1"/>
  <c r="H1150" i="13"/>
  <c r="J1150" i="13" s="1"/>
  <c r="H1151" i="13"/>
  <c r="J1151" i="13" s="1"/>
  <c r="H1152" i="13"/>
  <c r="J1152" i="13" s="1"/>
  <c r="H1153" i="13"/>
  <c r="J1153" i="13" s="1"/>
  <c r="H1154" i="13"/>
  <c r="J1154" i="13" s="1"/>
  <c r="H1155" i="13"/>
  <c r="J1155" i="13" s="1"/>
  <c r="H1156" i="13"/>
  <c r="J1156" i="13" s="1"/>
  <c r="H1157" i="13"/>
  <c r="J1157" i="13" s="1"/>
  <c r="H1158" i="13"/>
  <c r="J1158" i="13" s="1"/>
  <c r="H1159" i="13"/>
  <c r="J1159" i="13" s="1"/>
  <c r="H1160" i="13"/>
  <c r="J1160" i="13" s="1"/>
  <c r="H1161" i="13"/>
  <c r="J1161" i="13" s="1"/>
  <c r="H1162" i="13"/>
  <c r="J1162" i="13" s="1"/>
  <c r="H1163" i="13"/>
  <c r="J1163" i="13" s="1"/>
  <c r="H1164" i="13"/>
  <c r="J1164" i="13" s="1"/>
  <c r="H1165" i="13"/>
  <c r="J1165" i="13" s="1"/>
  <c r="H1166" i="13"/>
  <c r="J1166" i="13" s="1"/>
  <c r="H1167" i="13"/>
  <c r="J1167" i="13" s="1"/>
  <c r="H1168" i="13"/>
  <c r="J1168" i="13" s="1"/>
  <c r="H1169" i="13"/>
  <c r="J1169" i="13" s="1"/>
  <c r="H1170" i="13"/>
  <c r="J1170" i="13" s="1"/>
  <c r="H1171" i="13"/>
  <c r="J1171" i="13" s="1"/>
  <c r="H1172" i="13"/>
  <c r="J1172" i="13" s="1"/>
  <c r="H1173" i="13"/>
  <c r="J1173" i="13" s="1"/>
  <c r="H1174" i="13"/>
  <c r="J1174" i="13" s="1"/>
  <c r="H1175" i="13"/>
  <c r="J1175" i="13" s="1"/>
  <c r="H1176" i="13"/>
  <c r="J1176" i="13" s="1"/>
  <c r="H1177" i="13"/>
  <c r="J1177" i="13" s="1"/>
  <c r="H1178" i="13"/>
  <c r="J1178" i="13" s="1"/>
  <c r="H1179" i="13"/>
  <c r="J1179" i="13" s="1"/>
  <c r="H1180" i="13"/>
  <c r="J1180" i="13" s="1"/>
  <c r="H1181" i="13"/>
  <c r="J1181" i="13" s="1"/>
  <c r="H1182" i="13"/>
  <c r="J1182" i="13" s="1"/>
  <c r="H1183" i="13"/>
  <c r="J1183" i="13" s="1"/>
  <c r="H1184" i="13"/>
  <c r="J1184" i="13" s="1"/>
  <c r="H1185" i="13"/>
  <c r="J1185" i="13" s="1"/>
  <c r="H1186" i="13"/>
  <c r="J1186" i="13" s="1"/>
  <c r="H1187" i="13"/>
  <c r="J1187" i="13" s="1"/>
  <c r="H1188" i="13"/>
  <c r="J1188" i="13" s="1"/>
  <c r="H1189" i="13"/>
  <c r="J1189" i="13" s="1"/>
  <c r="H1190" i="13"/>
  <c r="J1190" i="13" s="1"/>
  <c r="H1191" i="13"/>
  <c r="J1191" i="13" s="1"/>
  <c r="H1192" i="13"/>
  <c r="J1192" i="13" s="1"/>
  <c r="H1193" i="13"/>
  <c r="J1193" i="13" s="1"/>
  <c r="H1194" i="13"/>
  <c r="J1194" i="13" s="1"/>
  <c r="H1195" i="13"/>
  <c r="J1195" i="13" s="1"/>
  <c r="H1196" i="13"/>
  <c r="J1196" i="13" s="1"/>
  <c r="H1197" i="13"/>
  <c r="J1197" i="13" s="1"/>
  <c r="H1198" i="13"/>
  <c r="J1198" i="13" s="1"/>
  <c r="H1199" i="13"/>
  <c r="J1199" i="13" s="1"/>
  <c r="H1200" i="13"/>
  <c r="J1200" i="13" s="1"/>
  <c r="H1201" i="13"/>
  <c r="J1201" i="13" s="1"/>
  <c r="H1202" i="13"/>
  <c r="J1202" i="13" s="1"/>
  <c r="H1203" i="13"/>
  <c r="J1203" i="13" s="1"/>
  <c r="H1204" i="13"/>
  <c r="J1204" i="13" s="1"/>
  <c r="H1205" i="13"/>
  <c r="J1205" i="13" s="1"/>
  <c r="H1206" i="13"/>
  <c r="J1206" i="13" s="1"/>
  <c r="H1207" i="13"/>
  <c r="J1207" i="13" s="1"/>
  <c r="H1208" i="13"/>
  <c r="J1208" i="13" s="1"/>
  <c r="H1209" i="13"/>
  <c r="J1209" i="13" s="1"/>
  <c r="H1210" i="13"/>
  <c r="J1210" i="13" s="1"/>
  <c r="H1211" i="13"/>
  <c r="J1211" i="13" s="1"/>
  <c r="H1212" i="13"/>
  <c r="J1212" i="13" s="1"/>
  <c r="H1213" i="13"/>
  <c r="J1213" i="13" s="1"/>
  <c r="H1214" i="13"/>
  <c r="J1214" i="13" s="1"/>
  <c r="H1215" i="13"/>
  <c r="J1215" i="13" s="1"/>
  <c r="H1216" i="13"/>
  <c r="J1216" i="13" s="1"/>
  <c r="H1217" i="13"/>
  <c r="J1217" i="13" s="1"/>
  <c r="H1218" i="13"/>
  <c r="J1218" i="13" s="1"/>
  <c r="H1219" i="13"/>
  <c r="J1219" i="13" s="1"/>
  <c r="H1220" i="13"/>
  <c r="J1220" i="13" s="1"/>
  <c r="H1221" i="13"/>
  <c r="J1221" i="13" s="1"/>
  <c r="H1222" i="13"/>
  <c r="J1222" i="13" s="1"/>
  <c r="H1223" i="13"/>
  <c r="J1223" i="13" s="1"/>
  <c r="H1224" i="13"/>
  <c r="J1224" i="13" s="1"/>
  <c r="H1225" i="13"/>
  <c r="J1225" i="13" s="1"/>
  <c r="H1226" i="13"/>
  <c r="J1226" i="13" s="1"/>
  <c r="H1227" i="13"/>
  <c r="J1227" i="13" s="1"/>
  <c r="H1228" i="13"/>
  <c r="J1228" i="13" s="1"/>
  <c r="H1229" i="13"/>
  <c r="J1229" i="13" s="1"/>
  <c r="H1230" i="13"/>
  <c r="J1230" i="13" s="1"/>
  <c r="H1231" i="13"/>
  <c r="J1231" i="13" s="1"/>
  <c r="H1232" i="13"/>
  <c r="J1232" i="13" s="1"/>
  <c r="H1233" i="13"/>
  <c r="J1233" i="13" s="1"/>
  <c r="H1234" i="13"/>
  <c r="J1234" i="13" s="1"/>
  <c r="H1235" i="13"/>
  <c r="J1235" i="13" s="1"/>
  <c r="H1236" i="13"/>
  <c r="J1236" i="13" s="1"/>
  <c r="H1237" i="13"/>
  <c r="J1237" i="13" s="1"/>
  <c r="H1238" i="13"/>
  <c r="J1238" i="13" s="1"/>
  <c r="H1239" i="13"/>
  <c r="J1239" i="13" s="1"/>
  <c r="H1240" i="13"/>
  <c r="J1240" i="13" s="1"/>
  <c r="H1241" i="13"/>
  <c r="J1241" i="13" s="1"/>
  <c r="H1242" i="13"/>
  <c r="J1242" i="13" s="1"/>
  <c r="H1243" i="13"/>
  <c r="J1243" i="13" s="1"/>
  <c r="H1244" i="13"/>
  <c r="J1244" i="13" s="1"/>
  <c r="H1245" i="13"/>
  <c r="J1245" i="13" s="1"/>
  <c r="H1246" i="13"/>
  <c r="J1246" i="13" s="1"/>
  <c r="H1247" i="13"/>
  <c r="J1247" i="13" s="1"/>
  <c r="H1248" i="13"/>
  <c r="J1248" i="13" s="1"/>
  <c r="H1249" i="13"/>
  <c r="J1249" i="13" s="1"/>
  <c r="H1250" i="13"/>
  <c r="J1250" i="13" s="1"/>
  <c r="H1251" i="13"/>
  <c r="J1251" i="13" s="1"/>
  <c r="H1252" i="13"/>
  <c r="J1252" i="13" s="1"/>
  <c r="H1253" i="13"/>
  <c r="J1253" i="13" s="1"/>
  <c r="H1254" i="13"/>
  <c r="J1254" i="13" s="1"/>
  <c r="H1255" i="13"/>
  <c r="J1255" i="13" s="1"/>
  <c r="H1256" i="13"/>
  <c r="J1256" i="13" s="1"/>
  <c r="H1257" i="13"/>
  <c r="J1257" i="13" s="1"/>
  <c r="H1258" i="13"/>
  <c r="J1258" i="13" s="1"/>
  <c r="H1259" i="13"/>
  <c r="J1259" i="13" s="1"/>
  <c r="H1260" i="13"/>
  <c r="J1260" i="13" s="1"/>
  <c r="H1261" i="13"/>
  <c r="J1261" i="13" s="1"/>
  <c r="H1262" i="13"/>
  <c r="J1262" i="13" s="1"/>
  <c r="H1263" i="13"/>
  <c r="J1263" i="13" s="1"/>
  <c r="H1264" i="13"/>
  <c r="J1264" i="13" s="1"/>
  <c r="H1265" i="13"/>
  <c r="J1265" i="13" s="1"/>
  <c r="H1266" i="13"/>
  <c r="J1266" i="13" s="1"/>
  <c r="H1267" i="13"/>
  <c r="J1267" i="13" s="1"/>
  <c r="H1268" i="13"/>
  <c r="J1268" i="13" s="1"/>
  <c r="H1269" i="13"/>
  <c r="J1269" i="13" s="1"/>
  <c r="H1270" i="13"/>
  <c r="J1270" i="13" s="1"/>
  <c r="H1271" i="13"/>
  <c r="J1271" i="13" s="1"/>
  <c r="H1272" i="13"/>
  <c r="J1272" i="13" s="1"/>
  <c r="H1273" i="13"/>
  <c r="J1273" i="13" s="1"/>
  <c r="H1274" i="13"/>
  <c r="J1274" i="13" s="1"/>
  <c r="H1275" i="13"/>
  <c r="J1275" i="13" s="1"/>
  <c r="H1276" i="13"/>
  <c r="J1276" i="13" s="1"/>
  <c r="H1277" i="13"/>
  <c r="J1277" i="13" s="1"/>
  <c r="H1278" i="13"/>
  <c r="J1278" i="13" s="1"/>
  <c r="H1279" i="13"/>
  <c r="J1279" i="13" s="1"/>
  <c r="H1280" i="13"/>
  <c r="J1280" i="13" s="1"/>
  <c r="H1281" i="13"/>
  <c r="J1281" i="13" s="1"/>
  <c r="H1282" i="13"/>
  <c r="J1282" i="13" s="1"/>
  <c r="H1283" i="13"/>
  <c r="J1283" i="13" s="1"/>
  <c r="H1284" i="13"/>
  <c r="J1284" i="13" s="1"/>
  <c r="H1285" i="13"/>
  <c r="J1285" i="13" s="1"/>
  <c r="H1286" i="13"/>
  <c r="J1286" i="13" s="1"/>
  <c r="H1287" i="13"/>
  <c r="J1287" i="13" s="1"/>
  <c r="H1288" i="13"/>
  <c r="J1288" i="13" s="1"/>
  <c r="H1289" i="13"/>
  <c r="J1289" i="13" s="1"/>
  <c r="H1290" i="13"/>
  <c r="J1290" i="13" s="1"/>
  <c r="H1291" i="13"/>
  <c r="J1291" i="13" s="1"/>
  <c r="H1292" i="13"/>
  <c r="J1292" i="13" s="1"/>
  <c r="H1293" i="13"/>
  <c r="J1293" i="13" s="1"/>
  <c r="H1294" i="13"/>
  <c r="J1294" i="13" s="1"/>
  <c r="H1295" i="13"/>
  <c r="J1295" i="13" s="1"/>
  <c r="H1296" i="13"/>
  <c r="J1296" i="13" s="1"/>
  <c r="H1297" i="13"/>
  <c r="J1297" i="13" s="1"/>
  <c r="H1298" i="13"/>
  <c r="J1298" i="13" s="1"/>
  <c r="H1299" i="13"/>
  <c r="J1299" i="13" s="1"/>
  <c r="H1300" i="13"/>
  <c r="J1300" i="13" s="1"/>
  <c r="H1301" i="13"/>
  <c r="J1301" i="13" s="1"/>
  <c r="H1302" i="13"/>
  <c r="J1302" i="13" s="1"/>
  <c r="H1303" i="13"/>
  <c r="J1303" i="13" s="1"/>
  <c r="H1304" i="13"/>
  <c r="J1304" i="13" s="1"/>
  <c r="H1305" i="13"/>
  <c r="J1305" i="13" s="1"/>
  <c r="H1306" i="13"/>
  <c r="J1306" i="13" s="1"/>
  <c r="H1307" i="13"/>
  <c r="J1307" i="13" s="1"/>
  <c r="H1308" i="13"/>
  <c r="J1308" i="13" s="1"/>
  <c r="H1309" i="13"/>
  <c r="J1309" i="13" s="1"/>
  <c r="H1310" i="13"/>
  <c r="J1310" i="13" s="1"/>
  <c r="H1311" i="13"/>
  <c r="J1311" i="13" s="1"/>
  <c r="H1312" i="13"/>
  <c r="J1312" i="13" s="1"/>
  <c r="H1313" i="13"/>
  <c r="J1313" i="13" s="1"/>
  <c r="H1314" i="13"/>
  <c r="J1314" i="13" s="1"/>
  <c r="H1315" i="13"/>
  <c r="J1315" i="13" s="1"/>
  <c r="H1316" i="13"/>
  <c r="J1316" i="13" s="1"/>
  <c r="H1317" i="13"/>
  <c r="J1317" i="13" s="1"/>
  <c r="H1318" i="13"/>
  <c r="J1318" i="13" s="1"/>
  <c r="H1319" i="13"/>
  <c r="J1319" i="13" s="1"/>
  <c r="H1320" i="13"/>
  <c r="J1320" i="13" s="1"/>
  <c r="H1321" i="13"/>
  <c r="J1321" i="13" s="1"/>
  <c r="H1322" i="13"/>
  <c r="J1322" i="13" s="1"/>
  <c r="H1323" i="13"/>
  <c r="J1323" i="13" s="1"/>
  <c r="H1324" i="13"/>
  <c r="J1324" i="13" s="1"/>
  <c r="H1325" i="13"/>
  <c r="J1325" i="13" s="1"/>
  <c r="H1326" i="13"/>
  <c r="J1326" i="13" s="1"/>
  <c r="H1327" i="13"/>
  <c r="J1327" i="13" s="1"/>
  <c r="H1328" i="13"/>
  <c r="J1328" i="13" s="1"/>
  <c r="H1329" i="13"/>
  <c r="J1329" i="13" s="1"/>
  <c r="H1330" i="13"/>
  <c r="J1330" i="13" s="1"/>
  <c r="H1331" i="13"/>
  <c r="J1331" i="13" s="1"/>
  <c r="H1332" i="13"/>
  <c r="J1332" i="13" s="1"/>
  <c r="H1333" i="13"/>
  <c r="J1333" i="13" s="1"/>
  <c r="H1334" i="13"/>
  <c r="J1334" i="13" s="1"/>
  <c r="H1335" i="13"/>
  <c r="J1335" i="13" s="1"/>
  <c r="H1336" i="13"/>
  <c r="J1336" i="13" s="1"/>
  <c r="H1337" i="13"/>
  <c r="J1337" i="13" s="1"/>
  <c r="H1338" i="13"/>
  <c r="J1338" i="13" s="1"/>
  <c r="H1339" i="13"/>
  <c r="J1339" i="13" s="1"/>
  <c r="H1340" i="13"/>
  <c r="J1340" i="13" s="1"/>
  <c r="H1341" i="13"/>
  <c r="J1341" i="13" s="1"/>
  <c r="H1342" i="13"/>
  <c r="J1342" i="13" s="1"/>
  <c r="H1343" i="13"/>
  <c r="J1343" i="13" s="1"/>
  <c r="H1344" i="13"/>
  <c r="J1344" i="13" s="1"/>
  <c r="H1345" i="13"/>
  <c r="J1345" i="13" s="1"/>
  <c r="H1346" i="13"/>
  <c r="J1346" i="13" s="1"/>
  <c r="H1347" i="13"/>
  <c r="J1347" i="13" s="1"/>
  <c r="H1348" i="13"/>
  <c r="J1348" i="13" s="1"/>
  <c r="H1349" i="13"/>
  <c r="J1349" i="13" s="1"/>
  <c r="H1350" i="13"/>
  <c r="J1350" i="13" s="1"/>
  <c r="H1351" i="13"/>
  <c r="J1351" i="13" s="1"/>
  <c r="H1352" i="13"/>
  <c r="J1352" i="13" s="1"/>
  <c r="H1353" i="13"/>
  <c r="J1353" i="13" s="1"/>
  <c r="H1354" i="13"/>
  <c r="J1354" i="13" s="1"/>
  <c r="H1355" i="13"/>
  <c r="J1355" i="13" s="1"/>
  <c r="H1356" i="13"/>
  <c r="J1356" i="13" s="1"/>
  <c r="H1357" i="13"/>
  <c r="J1357" i="13" s="1"/>
  <c r="H1358" i="13"/>
  <c r="J1358" i="13" s="1"/>
  <c r="H1359" i="13"/>
  <c r="J1359" i="13" s="1"/>
  <c r="H1360" i="13"/>
  <c r="J1360" i="13" s="1"/>
  <c r="H1361" i="13"/>
  <c r="J1361" i="13" s="1"/>
  <c r="H1362" i="13"/>
  <c r="J1362" i="13" s="1"/>
  <c r="H1363" i="13"/>
  <c r="J1363" i="13" s="1"/>
  <c r="H1364" i="13"/>
  <c r="J1364" i="13" s="1"/>
  <c r="H1365" i="13"/>
  <c r="J1365" i="13" s="1"/>
  <c r="H1366" i="13"/>
  <c r="J1366" i="13" s="1"/>
  <c r="H1367" i="13"/>
  <c r="J1367" i="13" s="1"/>
  <c r="H1368" i="13"/>
  <c r="J1368" i="13" s="1"/>
  <c r="H1369" i="13"/>
  <c r="J1369" i="13" s="1"/>
  <c r="H1370" i="13"/>
  <c r="J1370" i="13" s="1"/>
  <c r="H1371" i="13"/>
  <c r="J1371" i="13" s="1"/>
  <c r="H1372" i="13"/>
  <c r="J1372" i="13" s="1"/>
  <c r="H1373" i="13"/>
  <c r="J1373" i="13" s="1"/>
  <c r="H1374" i="13"/>
  <c r="J1374" i="13" s="1"/>
  <c r="H1375" i="13"/>
  <c r="J1375" i="13" s="1"/>
  <c r="H1376" i="13"/>
  <c r="J1376" i="13" s="1"/>
  <c r="H1377" i="13"/>
  <c r="J1377" i="13" s="1"/>
  <c r="H1378" i="13"/>
  <c r="J1378" i="13" s="1"/>
  <c r="H1379" i="13"/>
  <c r="J1379" i="13" s="1"/>
  <c r="H1380" i="13"/>
  <c r="J1380" i="13" s="1"/>
  <c r="H1381" i="13"/>
  <c r="J1381" i="13" s="1"/>
  <c r="H1382" i="13"/>
  <c r="J1382" i="13" s="1"/>
  <c r="H1383" i="13"/>
  <c r="J1383" i="13" s="1"/>
  <c r="H1384" i="13"/>
  <c r="J1384" i="13" s="1"/>
  <c r="H1385" i="13"/>
  <c r="J1385" i="13" s="1"/>
  <c r="H1386" i="13"/>
  <c r="J1386" i="13" s="1"/>
  <c r="H1387" i="13"/>
  <c r="J1387" i="13" s="1"/>
  <c r="H1388" i="13"/>
  <c r="J1388" i="13" s="1"/>
  <c r="H1389" i="13"/>
  <c r="J1389" i="13" s="1"/>
  <c r="H1390" i="13"/>
  <c r="J1390" i="13" s="1"/>
  <c r="H1391" i="13"/>
  <c r="J1391" i="13" s="1"/>
  <c r="H1392" i="13"/>
  <c r="J1392" i="13" s="1"/>
  <c r="H1393" i="13"/>
  <c r="J1393" i="13" s="1"/>
  <c r="H1394" i="13"/>
  <c r="J1394" i="13" s="1"/>
  <c r="H1395" i="13"/>
  <c r="J1395" i="13" s="1"/>
  <c r="H1396" i="13"/>
  <c r="J1396" i="13" s="1"/>
  <c r="H1397" i="13"/>
  <c r="J1397" i="13" s="1"/>
  <c r="H1398" i="13"/>
  <c r="J1398" i="13" s="1"/>
  <c r="H1399" i="13"/>
  <c r="J1399" i="13" s="1"/>
  <c r="H1400" i="13"/>
  <c r="J1400" i="13" s="1"/>
  <c r="H1401" i="13"/>
  <c r="J1401" i="13" s="1"/>
  <c r="H1402" i="13"/>
  <c r="J1402" i="13" s="1"/>
  <c r="H1403" i="13"/>
  <c r="J1403" i="13" s="1"/>
  <c r="H1404" i="13"/>
  <c r="J1404" i="13" s="1"/>
  <c r="H1405" i="13"/>
  <c r="J1405" i="13" s="1"/>
  <c r="H1406" i="13"/>
  <c r="J1406" i="13" s="1"/>
  <c r="H1407" i="13"/>
  <c r="J1407" i="13" s="1"/>
  <c r="H1408" i="13"/>
  <c r="J1408" i="13" s="1"/>
  <c r="H1409" i="13"/>
  <c r="J1409" i="13" s="1"/>
  <c r="H1410" i="13"/>
  <c r="J1410" i="13" s="1"/>
  <c r="H1411" i="13"/>
  <c r="J1411" i="13" s="1"/>
  <c r="H1412" i="13"/>
  <c r="J1412" i="13" s="1"/>
  <c r="H1413" i="13"/>
  <c r="J1413" i="13" s="1"/>
  <c r="H1414" i="13"/>
  <c r="J1414" i="13" s="1"/>
  <c r="H1415" i="13"/>
  <c r="J1415" i="13" s="1"/>
  <c r="H1416" i="13"/>
  <c r="J1416" i="13" s="1"/>
  <c r="H1417" i="13"/>
  <c r="J1417" i="13" s="1"/>
  <c r="H1418" i="13"/>
  <c r="J1418" i="13" s="1"/>
  <c r="H1419" i="13"/>
  <c r="J1419" i="13" s="1"/>
  <c r="H1420" i="13"/>
  <c r="J1420" i="13" s="1"/>
  <c r="H1421" i="13"/>
  <c r="J1421" i="13" s="1"/>
  <c r="H1422" i="13"/>
  <c r="J1422" i="13" s="1"/>
  <c r="H1423" i="13"/>
  <c r="J1423" i="13" s="1"/>
  <c r="H1424" i="13"/>
  <c r="J1424" i="13" s="1"/>
  <c r="H1425" i="13"/>
  <c r="J1425" i="13" s="1"/>
  <c r="H1426" i="13"/>
  <c r="J1426" i="13" s="1"/>
  <c r="H1427" i="13"/>
  <c r="J1427" i="13" s="1"/>
  <c r="H1428" i="13"/>
  <c r="J1428" i="13" s="1"/>
  <c r="H1429" i="13"/>
  <c r="J1429" i="13" s="1"/>
  <c r="H1430" i="13"/>
  <c r="J1430" i="13" s="1"/>
  <c r="H1431" i="13"/>
  <c r="J1431" i="13" s="1"/>
  <c r="H1432" i="13"/>
  <c r="J1432" i="13" s="1"/>
  <c r="H1433" i="13"/>
  <c r="J1433" i="13" s="1"/>
  <c r="H1434" i="13"/>
  <c r="J1434" i="13" s="1"/>
  <c r="H1435" i="13"/>
  <c r="J1435" i="13" s="1"/>
  <c r="H1436" i="13"/>
  <c r="J1436" i="13" s="1"/>
  <c r="H1437" i="13"/>
  <c r="J1437" i="13" s="1"/>
  <c r="H1438" i="13"/>
  <c r="J1438" i="13" s="1"/>
  <c r="H1439" i="13"/>
  <c r="J1439" i="13" s="1"/>
  <c r="H1440" i="13"/>
  <c r="J1440" i="13" s="1"/>
  <c r="H1441" i="13"/>
  <c r="J1441" i="13" s="1"/>
  <c r="H1442" i="13"/>
  <c r="J1442" i="13" s="1"/>
  <c r="H1443" i="13"/>
  <c r="J1443" i="13" s="1"/>
  <c r="H1444" i="13"/>
  <c r="J1444" i="13" s="1"/>
  <c r="H1445" i="13"/>
  <c r="J1445" i="13" s="1"/>
  <c r="H1446" i="13"/>
  <c r="J1446" i="13" s="1"/>
  <c r="H1447" i="13"/>
  <c r="J1447" i="13" s="1"/>
  <c r="H1448" i="13"/>
  <c r="J1448" i="13" s="1"/>
  <c r="H1449" i="13"/>
  <c r="J1449" i="13" s="1"/>
  <c r="H1450" i="13"/>
  <c r="J1450" i="13" s="1"/>
  <c r="H1451" i="13"/>
  <c r="J1451" i="13" s="1"/>
  <c r="H1452" i="13"/>
  <c r="J1452" i="13" s="1"/>
  <c r="H1453" i="13"/>
  <c r="J1453" i="13" s="1"/>
  <c r="H1454" i="13"/>
  <c r="J1454" i="13" s="1"/>
  <c r="H1455" i="13"/>
  <c r="J1455" i="13" s="1"/>
  <c r="H1456" i="13"/>
  <c r="J1456" i="13" s="1"/>
  <c r="H1457" i="13"/>
  <c r="J1457" i="13" s="1"/>
  <c r="H1458" i="13"/>
  <c r="J1458" i="13" s="1"/>
  <c r="H1459" i="13"/>
  <c r="J1459" i="13" s="1"/>
  <c r="H1460" i="13"/>
  <c r="J1460" i="13" s="1"/>
  <c r="H1461" i="13"/>
  <c r="J1461" i="13" s="1"/>
  <c r="H1462" i="13"/>
  <c r="J1462" i="13" s="1"/>
  <c r="H1463" i="13"/>
  <c r="J1463" i="13" s="1"/>
  <c r="H1464" i="13"/>
  <c r="J1464" i="13" s="1"/>
  <c r="H1465" i="13"/>
  <c r="J1465" i="13" s="1"/>
  <c r="H1466" i="13"/>
  <c r="J1466" i="13" s="1"/>
  <c r="H1467" i="13"/>
  <c r="J1467" i="13" s="1"/>
  <c r="H1468" i="13"/>
  <c r="J1468" i="13" s="1"/>
  <c r="H1469" i="13"/>
  <c r="J1469" i="13" s="1"/>
  <c r="H1470" i="13"/>
  <c r="J1470" i="13" s="1"/>
  <c r="H1471" i="13"/>
  <c r="J1471" i="13" s="1"/>
  <c r="H1472" i="13"/>
  <c r="J1472" i="13" s="1"/>
  <c r="H1473" i="13"/>
  <c r="J1473" i="13" s="1"/>
  <c r="H1474" i="13"/>
  <c r="J1474" i="13" s="1"/>
  <c r="H1475" i="13"/>
  <c r="J1475" i="13" s="1"/>
  <c r="H1476" i="13"/>
  <c r="J1476" i="13" s="1"/>
  <c r="H1477" i="13"/>
  <c r="J1477" i="13" s="1"/>
  <c r="H1478" i="13"/>
  <c r="J1478" i="13" s="1"/>
  <c r="H1479" i="13"/>
  <c r="J1479" i="13" s="1"/>
  <c r="H1480" i="13"/>
  <c r="J1480" i="13" s="1"/>
  <c r="H1481" i="13"/>
  <c r="J1481" i="13" s="1"/>
  <c r="H1482" i="13"/>
  <c r="J1482" i="13" s="1"/>
  <c r="H1483" i="13"/>
  <c r="J1483" i="13" s="1"/>
  <c r="H1484" i="13"/>
  <c r="J1484" i="13" s="1"/>
  <c r="H1485" i="13"/>
  <c r="J1485" i="13" s="1"/>
  <c r="H1486" i="13"/>
  <c r="J1486" i="13" s="1"/>
  <c r="H1487" i="13"/>
  <c r="J1487" i="13" s="1"/>
  <c r="H1488" i="13"/>
  <c r="J1488" i="13" s="1"/>
  <c r="H1489" i="13"/>
  <c r="J1489" i="13" s="1"/>
  <c r="H1490" i="13"/>
  <c r="J1490" i="13" s="1"/>
  <c r="H1491" i="13"/>
  <c r="J1491" i="13" s="1"/>
  <c r="H1492" i="13"/>
  <c r="J1492" i="13" s="1"/>
  <c r="H1493" i="13"/>
  <c r="J1493" i="13" s="1"/>
  <c r="H1494" i="13"/>
  <c r="J1494" i="13" s="1"/>
  <c r="H1495" i="13"/>
  <c r="J1495" i="13" s="1"/>
  <c r="H1496" i="13"/>
  <c r="J1496" i="13" s="1"/>
  <c r="H1497" i="13"/>
  <c r="J1497" i="13" s="1"/>
  <c r="H1498" i="13"/>
  <c r="J1498" i="13" s="1"/>
  <c r="H1499" i="13"/>
  <c r="J1499" i="13" s="1"/>
  <c r="H1500" i="13"/>
  <c r="J1500" i="13" s="1"/>
  <c r="H1501" i="13"/>
  <c r="J1501" i="13" s="1"/>
  <c r="H1502" i="13"/>
  <c r="J1502" i="13" s="1"/>
  <c r="H1503" i="13"/>
  <c r="J1503" i="13" s="1"/>
  <c r="H1504" i="13"/>
  <c r="J1504" i="13" s="1"/>
  <c r="H1505" i="13"/>
  <c r="J1505" i="13" s="1"/>
  <c r="H1506" i="13"/>
  <c r="J1506" i="13" s="1"/>
  <c r="H1507" i="13"/>
  <c r="J1507" i="13" s="1"/>
  <c r="H1508" i="13"/>
  <c r="J1508" i="13" s="1"/>
  <c r="H1509" i="13"/>
  <c r="J1509" i="13" s="1"/>
  <c r="H1510" i="13"/>
  <c r="J1510" i="13" s="1"/>
  <c r="H1511" i="13"/>
  <c r="J1511" i="13" s="1"/>
  <c r="H1512" i="13"/>
  <c r="J1512" i="13" s="1"/>
  <c r="H1513" i="13"/>
  <c r="J1513" i="13" s="1"/>
  <c r="H1514" i="13"/>
  <c r="J1514" i="13" s="1"/>
  <c r="H1515" i="13"/>
  <c r="J1515" i="13" s="1"/>
  <c r="H1516" i="13"/>
  <c r="J1516" i="13" s="1"/>
  <c r="H1517" i="13"/>
  <c r="J1517" i="13" s="1"/>
  <c r="H1518" i="13"/>
  <c r="J1518" i="13" s="1"/>
  <c r="H1519" i="13"/>
  <c r="J1519" i="13" s="1"/>
  <c r="H1520" i="13"/>
  <c r="J1520" i="13" s="1"/>
  <c r="H1521" i="13"/>
  <c r="J1521" i="13" s="1"/>
  <c r="H1522" i="13"/>
  <c r="J1522" i="13" s="1"/>
  <c r="H1523" i="13"/>
  <c r="J1523" i="13" s="1"/>
  <c r="H1524" i="13"/>
  <c r="J1524" i="13" s="1"/>
  <c r="H1525" i="13"/>
  <c r="J1525" i="13" s="1"/>
  <c r="H1526" i="13"/>
  <c r="J1526" i="13" s="1"/>
  <c r="H1527" i="13"/>
  <c r="J1527" i="13" s="1"/>
  <c r="H1528" i="13"/>
  <c r="J1528" i="13" s="1"/>
  <c r="H1529" i="13"/>
  <c r="J1529" i="13" s="1"/>
  <c r="H1530" i="13"/>
  <c r="J1530" i="13" s="1"/>
  <c r="H1531" i="13"/>
  <c r="J1531" i="13" s="1"/>
  <c r="H1532" i="13"/>
  <c r="J1532" i="13" s="1"/>
  <c r="H1533" i="13"/>
  <c r="J1533" i="13" s="1"/>
  <c r="H1534" i="13"/>
  <c r="J1534" i="13" s="1"/>
  <c r="H1535" i="13"/>
  <c r="J1535" i="13" s="1"/>
  <c r="H1536" i="13"/>
  <c r="J1536" i="13" s="1"/>
  <c r="H1537" i="13"/>
  <c r="J1537" i="13" s="1"/>
  <c r="H1538" i="13"/>
  <c r="J1538" i="13" s="1"/>
  <c r="H1539" i="13"/>
  <c r="J1539" i="13" s="1"/>
  <c r="H1540" i="13"/>
  <c r="J1540" i="13" s="1"/>
  <c r="H1541" i="13"/>
  <c r="J1541" i="13" s="1"/>
  <c r="H1542" i="13"/>
  <c r="J1542" i="13" s="1"/>
  <c r="H1543" i="13"/>
  <c r="J1543" i="13" s="1"/>
  <c r="H1544" i="13"/>
  <c r="J1544" i="13" s="1"/>
  <c r="H1545" i="13"/>
  <c r="J1545" i="13" s="1"/>
  <c r="H1546" i="13"/>
  <c r="J1546" i="13" s="1"/>
  <c r="H1547" i="13"/>
  <c r="J1547" i="13" s="1"/>
  <c r="H1548" i="13"/>
  <c r="J1548" i="13" s="1"/>
  <c r="H1549" i="13"/>
  <c r="J1549" i="13" s="1"/>
  <c r="H1550" i="13"/>
  <c r="J1550" i="13" s="1"/>
  <c r="H1551" i="13"/>
  <c r="J1551" i="13" s="1"/>
  <c r="H1552" i="13"/>
  <c r="J1552" i="13" s="1"/>
  <c r="H1553" i="13"/>
  <c r="J1553" i="13" s="1"/>
  <c r="H1554" i="13"/>
  <c r="J1554" i="13" s="1"/>
  <c r="H1555" i="13"/>
  <c r="J1555" i="13" s="1"/>
  <c r="H1556" i="13"/>
  <c r="J1556" i="13" s="1"/>
  <c r="H1557" i="13"/>
  <c r="J1557" i="13" s="1"/>
  <c r="H1558" i="13"/>
  <c r="J1558" i="13" s="1"/>
  <c r="H1559" i="13"/>
  <c r="J1559" i="13" s="1"/>
  <c r="H1560" i="13"/>
  <c r="J1560" i="13" s="1"/>
  <c r="H1561" i="13"/>
  <c r="J1561" i="13" s="1"/>
  <c r="H1562" i="13"/>
  <c r="J1562" i="13" s="1"/>
  <c r="H1563" i="13"/>
  <c r="J1563" i="13" s="1"/>
  <c r="H1564" i="13"/>
  <c r="J1564" i="13" s="1"/>
  <c r="H1565" i="13"/>
  <c r="J1565" i="13" s="1"/>
  <c r="H1566" i="13"/>
  <c r="J1566" i="13" s="1"/>
  <c r="H1567" i="13"/>
  <c r="J1567" i="13" s="1"/>
  <c r="H1568" i="13"/>
  <c r="J1568" i="13" s="1"/>
  <c r="H1569" i="13"/>
  <c r="J1569" i="13" s="1"/>
  <c r="H1570" i="13"/>
  <c r="J1570" i="13" s="1"/>
  <c r="H1571" i="13"/>
  <c r="J1571" i="13" s="1"/>
  <c r="H1572" i="13"/>
  <c r="J1572" i="13" s="1"/>
  <c r="H1573" i="13"/>
  <c r="J1573" i="13" s="1"/>
  <c r="H1574" i="13"/>
  <c r="J1574" i="13" s="1"/>
  <c r="H1575" i="13"/>
  <c r="J1575" i="13" s="1"/>
  <c r="H1576" i="13"/>
  <c r="J1576" i="13" s="1"/>
  <c r="H1577" i="13"/>
  <c r="J1577" i="13" s="1"/>
  <c r="H1578" i="13"/>
  <c r="J1578" i="13" s="1"/>
  <c r="H1579" i="13"/>
  <c r="J1579" i="13" s="1"/>
  <c r="H1580" i="13"/>
  <c r="J1580" i="13" s="1"/>
  <c r="H1581" i="13"/>
  <c r="J1581" i="13" s="1"/>
  <c r="H1582" i="13"/>
  <c r="J1582" i="13" s="1"/>
  <c r="H1583" i="13"/>
  <c r="J1583" i="13" s="1"/>
  <c r="H1584" i="13"/>
  <c r="J1584" i="13" s="1"/>
  <c r="H1585" i="13"/>
  <c r="J1585" i="13" s="1"/>
  <c r="H1586" i="13"/>
  <c r="J1586" i="13" s="1"/>
  <c r="H1587" i="13"/>
  <c r="J1587" i="13" s="1"/>
  <c r="H1588" i="13"/>
  <c r="J1588" i="13" s="1"/>
  <c r="H1589" i="13"/>
  <c r="J1589" i="13" s="1"/>
  <c r="H1590" i="13"/>
  <c r="J1590" i="13" s="1"/>
  <c r="H1591" i="13"/>
  <c r="J1591" i="13" s="1"/>
  <c r="H1592" i="13"/>
  <c r="J1592" i="13" s="1"/>
  <c r="H1593" i="13"/>
  <c r="J1593" i="13" s="1"/>
  <c r="H1594" i="13"/>
  <c r="J1594" i="13" s="1"/>
  <c r="H1595" i="13"/>
  <c r="J1595" i="13" s="1"/>
  <c r="H1596" i="13"/>
  <c r="J1596" i="13" s="1"/>
  <c r="H1597" i="13"/>
  <c r="J1597" i="13" s="1"/>
  <c r="H1598" i="13"/>
  <c r="J1598" i="13" s="1"/>
  <c r="H1599" i="13"/>
  <c r="J1599" i="13" s="1"/>
  <c r="H1600" i="13"/>
  <c r="J1600" i="13" s="1"/>
  <c r="H1601" i="13"/>
  <c r="J1601" i="13" s="1"/>
  <c r="H1602" i="13"/>
  <c r="J1602" i="13" s="1"/>
  <c r="H1603" i="13"/>
  <c r="J1603" i="13" s="1"/>
  <c r="H1604" i="13"/>
  <c r="J1604" i="13" s="1"/>
  <c r="H1605" i="13"/>
  <c r="J1605" i="13" s="1"/>
  <c r="H1606" i="13"/>
  <c r="J1606" i="13" s="1"/>
  <c r="H1607" i="13"/>
  <c r="J1607" i="13" s="1"/>
  <c r="H1608" i="13"/>
  <c r="J1608" i="13" s="1"/>
  <c r="H1609" i="13"/>
  <c r="J1609" i="13" s="1"/>
  <c r="H1610" i="13"/>
  <c r="J1610" i="13" s="1"/>
  <c r="H1611" i="13"/>
  <c r="J1611" i="13" s="1"/>
  <c r="H1612" i="13"/>
  <c r="J1612" i="13" s="1"/>
  <c r="H1613" i="13"/>
  <c r="J1613" i="13" s="1"/>
  <c r="H1614" i="13"/>
  <c r="J1614" i="13" s="1"/>
  <c r="H1615" i="13"/>
  <c r="J1615" i="13" s="1"/>
  <c r="H1616" i="13"/>
  <c r="J1616" i="13" s="1"/>
  <c r="H1617" i="13"/>
  <c r="J1617" i="13" s="1"/>
  <c r="H1618" i="13"/>
  <c r="J1618" i="13" s="1"/>
  <c r="H1619" i="13"/>
  <c r="J1619" i="13" s="1"/>
  <c r="H1620" i="13"/>
  <c r="J1620" i="13" s="1"/>
  <c r="H1621" i="13"/>
  <c r="J1621" i="13" s="1"/>
  <c r="H1622" i="13"/>
  <c r="J1622" i="13" s="1"/>
  <c r="H1623" i="13"/>
  <c r="J1623" i="13" s="1"/>
  <c r="H1624" i="13"/>
  <c r="J1624" i="13" s="1"/>
  <c r="H1625" i="13"/>
  <c r="J1625" i="13" s="1"/>
  <c r="H1626" i="13"/>
  <c r="J1626" i="13" s="1"/>
  <c r="H1627" i="13"/>
  <c r="J1627" i="13" s="1"/>
  <c r="H1628" i="13"/>
  <c r="J1628" i="13" s="1"/>
  <c r="H1629" i="13"/>
  <c r="J1629" i="13" s="1"/>
  <c r="H1630" i="13"/>
  <c r="J1630" i="13" s="1"/>
  <c r="H1631" i="13"/>
  <c r="J1631" i="13" s="1"/>
  <c r="H1632" i="13"/>
  <c r="J1632" i="13" s="1"/>
  <c r="H1633" i="13"/>
  <c r="J1633" i="13" s="1"/>
  <c r="H1634" i="13"/>
  <c r="J1634" i="13" s="1"/>
  <c r="H1635" i="13"/>
  <c r="J1635" i="13" s="1"/>
  <c r="H1636" i="13"/>
  <c r="J1636" i="13" s="1"/>
  <c r="H1637" i="13"/>
  <c r="J1637" i="13" s="1"/>
  <c r="H1638" i="13"/>
  <c r="J1638" i="13" s="1"/>
  <c r="H1639" i="13"/>
  <c r="J1639" i="13" s="1"/>
  <c r="H1640" i="13"/>
  <c r="J1640" i="13" s="1"/>
  <c r="H1641" i="13"/>
  <c r="J1641" i="13" s="1"/>
  <c r="H1642" i="13"/>
  <c r="J1642" i="13" s="1"/>
  <c r="H1643" i="13"/>
  <c r="J1643" i="13" s="1"/>
  <c r="H1644" i="13"/>
  <c r="J1644" i="13" s="1"/>
  <c r="H1645" i="13"/>
  <c r="J1645" i="13" s="1"/>
  <c r="H1646" i="13"/>
  <c r="J1646" i="13" s="1"/>
  <c r="H1647" i="13"/>
  <c r="J1647" i="13" s="1"/>
  <c r="H1648" i="13"/>
  <c r="J1648" i="13" s="1"/>
  <c r="H1649" i="13"/>
  <c r="J1649" i="13" s="1"/>
  <c r="H1650" i="13"/>
  <c r="J1650" i="13" s="1"/>
  <c r="H1651" i="13"/>
  <c r="J1651" i="13" s="1"/>
  <c r="H1652" i="13"/>
  <c r="J1652" i="13" s="1"/>
  <c r="H1653" i="13"/>
  <c r="J1653" i="13" s="1"/>
  <c r="H1654" i="13"/>
  <c r="J1654" i="13" s="1"/>
  <c r="H1655" i="13"/>
  <c r="J1655" i="13" s="1"/>
  <c r="H1656" i="13"/>
  <c r="J1656" i="13" s="1"/>
  <c r="H1657" i="13"/>
  <c r="J1657" i="13" s="1"/>
  <c r="H1658" i="13"/>
  <c r="J1658" i="13" s="1"/>
  <c r="H1659" i="13"/>
  <c r="J1659" i="13" s="1"/>
  <c r="H1660" i="13"/>
  <c r="J1660" i="13" s="1"/>
  <c r="H1661" i="13"/>
  <c r="J1661" i="13" s="1"/>
  <c r="H1662" i="13"/>
  <c r="J1662" i="13" s="1"/>
  <c r="H1663" i="13"/>
  <c r="J1663" i="13" s="1"/>
  <c r="H1664" i="13"/>
  <c r="J1664" i="13" s="1"/>
  <c r="H1665" i="13"/>
  <c r="J1665" i="13" s="1"/>
  <c r="H1666" i="13"/>
  <c r="J1666" i="13" s="1"/>
  <c r="H1667" i="13"/>
  <c r="J1667" i="13" s="1"/>
  <c r="H1668" i="13"/>
  <c r="J1668" i="13" s="1"/>
  <c r="H1669" i="13"/>
  <c r="J1669" i="13" s="1"/>
  <c r="H1670" i="13"/>
  <c r="J1670" i="13" s="1"/>
  <c r="H1671" i="13"/>
  <c r="J1671" i="13" s="1"/>
  <c r="H1672" i="13"/>
  <c r="J1672" i="13" s="1"/>
  <c r="H1673" i="13"/>
  <c r="J1673" i="13" s="1"/>
  <c r="H1674" i="13"/>
  <c r="J1674" i="13" s="1"/>
  <c r="H1675" i="13"/>
  <c r="J1675" i="13" s="1"/>
  <c r="H1676" i="13"/>
  <c r="J1676" i="13" s="1"/>
  <c r="H1677" i="13"/>
  <c r="J1677" i="13" s="1"/>
  <c r="H1678" i="13"/>
  <c r="J1678" i="13" s="1"/>
  <c r="H1679" i="13"/>
  <c r="J1679" i="13" s="1"/>
  <c r="H1680" i="13"/>
  <c r="J1680" i="13" s="1"/>
  <c r="H1681" i="13"/>
  <c r="J1681" i="13" s="1"/>
  <c r="H1682" i="13"/>
  <c r="J1682" i="13" s="1"/>
  <c r="H1683" i="13"/>
  <c r="J1683" i="13" s="1"/>
  <c r="H1684" i="13"/>
  <c r="J1684" i="13" s="1"/>
  <c r="H1685" i="13"/>
  <c r="J1685" i="13" s="1"/>
  <c r="H1686" i="13"/>
  <c r="J1686" i="13" s="1"/>
  <c r="H1687" i="13"/>
  <c r="J1687" i="13" s="1"/>
  <c r="H1688" i="13"/>
  <c r="J1688" i="13" s="1"/>
  <c r="H1689" i="13"/>
  <c r="J1689" i="13" s="1"/>
  <c r="H1690" i="13"/>
  <c r="J1690" i="13" s="1"/>
  <c r="H1691" i="13"/>
  <c r="J1691" i="13" s="1"/>
  <c r="H1692" i="13"/>
  <c r="J1692" i="13" s="1"/>
  <c r="H1693" i="13"/>
  <c r="J1693" i="13" s="1"/>
  <c r="H1694" i="13"/>
  <c r="J1694" i="13" s="1"/>
  <c r="H1695" i="13"/>
  <c r="J1695" i="13" s="1"/>
  <c r="H1696" i="13"/>
  <c r="J1696" i="13" s="1"/>
  <c r="H1697" i="13"/>
  <c r="J1697" i="13" s="1"/>
  <c r="H1698" i="13"/>
  <c r="J1698" i="13" s="1"/>
  <c r="H1699" i="13"/>
  <c r="J1699" i="13" s="1"/>
  <c r="H1700" i="13"/>
  <c r="J1700" i="13" s="1"/>
  <c r="H1701" i="13"/>
  <c r="J1701" i="13" s="1"/>
  <c r="H1702" i="13"/>
  <c r="J1702" i="13" s="1"/>
  <c r="H1703" i="13"/>
  <c r="J1703" i="13" s="1"/>
  <c r="H1704" i="13"/>
  <c r="J1704" i="13" s="1"/>
  <c r="H1705" i="13"/>
  <c r="J1705" i="13" s="1"/>
  <c r="H1706" i="13"/>
  <c r="J1706" i="13" s="1"/>
  <c r="H1707" i="13"/>
  <c r="J1707" i="13" s="1"/>
  <c r="H1708" i="13"/>
  <c r="J1708" i="13" s="1"/>
  <c r="H1709" i="13"/>
  <c r="J1709" i="13" s="1"/>
  <c r="H1710" i="13"/>
  <c r="J1710" i="13" s="1"/>
  <c r="H1711" i="13"/>
  <c r="J1711" i="13" s="1"/>
  <c r="H1712" i="13"/>
  <c r="J1712" i="13" s="1"/>
  <c r="H1713" i="13"/>
  <c r="J1713" i="13" s="1"/>
  <c r="H1714" i="13"/>
  <c r="J1714" i="13" s="1"/>
  <c r="H1715" i="13"/>
  <c r="J1715" i="13" s="1"/>
  <c r="H1716" i="13"/>
  <c r="J1716" i="13" s="1"/>
  <c r="H1717" i="13"/>
  <c r="J1717" i="13" s="1"/>
  <c r="H1718" i="13"/>
  <c r="J1718" i="13" s="1"/>
  <c r="H1719" i="13"/>
  <c r="J1719" i="13" s="1"/>
  <c r="H1720" i="13"/>
  <c r="J1720" i="13" s="1"/>
  <c r="H1721" i="13"/>
  <c r="J1721" i="13" s="1"/>
  <c r="H1722" i="13"/>
  <c r="J1722" i="13" s="1"/>
  <c r="H1723" i="13"/>
  <c r="J1723" i="13" s="1"/>
  <c r="H1724" i="13"/>
  <c r="J1724" i="13" s="1"/>
  <c r="H1725" i="13"/>
  <c r="J1725" i="13" s="1"/>
  <c r="H1726" i="13"/>
  <c r="J1726" i="13" s="1"/>
  <c r="H1727" i="13"/>
  <c r="J1727" i="13" s="1"/>
  <c r="H1728" i="13"/>
  <c r="J1728" i="13" s="1"/>
  <c r="H1729" i="13"/>
  <c r="J1729" i="13" s="1"/>
  <c r="H1730" i="13"/>
  <c r="J1730" i="13" s="1"/>
  <c r="H1731" i="13"/>
  <c r="J1731" i="13" s="1"/>
  <c r="H1732" i="13"/>
  <c r="J1732" i="13" s="1"/>
  <c r="H1733" i="13"/>
  <c r="J1733" i="13" s="1"/>
  <c r="H1734" i="13"/>
  <c r="J1734" i="13" s="1"/>
  <c r="H1735" i="13"/>
  <c r="J1735" i="13" s="1"/>
  <c r="H1736" i="13"/>
  <c r="J1736" i="13" s="1"/>
  <c r="H1737" i="13"/>
  <c r="J1737" i="13" s="1"/>
  <c r="H1738" i="13"/>
  <c r="J1738" i="13" s="1"/>
  <c r="H1739" i="13"/>
  <c r="J1739" i="13" s="1"/>
  <c r="H1740" i="13"/>
  <c r="J1740" i="13" s="1"/>
  <c r="H1741" i="13"/>
  <c r="J1741" i="13" s="1"/>
  <c r="H1742" i="13"/>
  <c r="J1742" i="13" s="1"/>
  <c r="H1743" i="13"/>
  <c r="J1743" i="13" s="1"/>
  <c r="H1744" i="13"/>
  <c r="J1744" i="13" s="1"/>
  <c r="H1745" i="13"/>
  <c r="J1745" i="13" s="1"/>
  <c r="H1746" i="13"/>
  <c r="J1746" i="13" s="1"/>
  <c r="H1747" i="13"/>
  <c r="J1747" i="13" s="1"/>
  <c r="H1748" i="13"/>
  <c r="J1748" i="13" s="1"/>
  <c r="H1749" i="13"/>
  <c r="J1749" i="13" s="1"/>
  <c r="H1750" i="13"/>
  <c r="J1750" i="13" s="1"/>
  <c r="H1751" i="13"/>
  <c r="J1751" i="13" s="1"/>
  <c r="H1752" i="13"/>
  <c r="J1752" i="13" s="1"/>
  <c r="H1753" i="13"/>
  <c r="J1753" i="13" s="1"/>
  <c r="H1754" i="13"/>
  <c r="J1754" i="13" s="1"/>
  <c r="H1755" i="13"/>
  <c r="J1755" i="13" s="1"/>
  <c r="H1756" i="13"/>
  <c r="J1756" i="13" s="1"/>
  <c r="H1757" i="13"/>
  <c r="J1757" i="13" s="1"/>
  <c r="H1758" i="13"/>
  <c r="J1758" i="13" s="1"/>
  <c r="H1759" i="13"/>
  <c r="J1759" i="13" s="1"/>
  <c r="H1760" i="13"/>
  <c r="J1760" i="13" s="1"/>
  <c r="H1761" i="13"/>
  <c r="J1761" i="13" s="1"/>
  <c r="H1762" i="13"/>
  <c r="J1762" i="13" s="1"/>
  <c r="H1763" i="13"/>
  <c r="J1763" i="13" s="1"/>
  <c r="H1764" i="13"/>
  <c r="J1764" i="13" s="1"/>
  <c r="H1765" i="13"/>
  <c r="J1765" i="13" s="1"/>
  <c r="H1766" i="13"/>
  <c r="J1766" i="13" s="1"/>
  <c r="H1767" i="13"/>
  <c r="J1767" i="13" s="1"/>
  <c r="H1768" i="13"/>
  <c r="J1768" i="13" s="1"/>
  <c r="H1769" i="13"/>
  <c r="J1769" i="13" s="1"/>
  <c r="H1770" i="13"/>
  <c r="J1770" i="13" s="1"/>
  <c r="H1771" i="13"/>
  <c r="J1771" i="13" s="1"/>
  <c r="H1772" i="13"/>
  <c r="J1772" i="13" s="1"/>
  <c r="H1773" i="13"/>
  <c r="J1773" i="13" s="1"/>
  <c r="H1774" i="13"/>
  <c r="J1774" i="13" s="1"/>
  <c r="H1775" i="13"/>
  <c r="J1775" i="13" s="1"/>
  <c r="H1776" i="13"/>
  <c r="J1776" i="13" s="1"/>
  <c r="H1777" i="13"/>
  <c r="J1777" i="13" s="1"/>
  <c r="H1778" i="13"/>
  <c r="J1778" i="13" s="1"/>
  <c r="H1779" i="13"/>
  <c r="J1779" i="13" s="1"/>
  <c r="H1780" i="13"/>
  <c r="J1780" i="13" s="1"/>
  <c r="H1781" i="13"/>
  <c r="J1781" i="13" s="1"/>
  <c r="H1782" i="13"/>
  <c r="J1782" i="13" s="1"/>
  <c r="H1783" i="13"/>
  <c r="J1783" i="13" s="1"/>
  <c r="H1784" i="13"/>
  <c r="J1784" i="13" s="1"/>
  <c r="H1785" i="13"/>
  <c r="J1785" i="13" s="1"/>
  <c r="H1786" i="13"/>
  <c r="J1786" i="13" s="1"/>
  <c r="H1787" i="13"/>
  <c r="J1787" i="13" s="1"/>
  <c r="H1788" i="13"/>
  <c r="J1788" i="13" s="1"/>
  <c r="H1789" i="13"/>
  <c r="J1789" i="13" s="1"/>
  <c r="H1790" i="13"/>
  <c r="J1790" i="13" s="1"/>
  <c r="H1791" i="13"/>
  <c r="J1791" i="13" s="1"/>
  <c r="H1792" i="13"/>
  <c r="J1792" i="13" s="1"/>
  <c r="H1802" i="13"/>
  <c r="J1802" i="13" s="1"/>
  <c r="H1803" i="13"/>
  <c r="J1803" i="13" s="1"/>
  <c r="H1804" i="13"/>
  <c r="J1804" i="13" s="1"/>
  <c r="H1805" i="13"/>
  <c r="J1805" i="13" s="1"/>
  <c r="H1806" i="13"/>
  <c r="J1806" i="13" s="1"/>
  <c r="H1807" i="13"/>
  <c r="J1807" i="13" s="1"/>
  <c r="H1808" i="13"/>
  <c r="J1808" i="13" s="1"/>
  <c r="H1809" i="13"/>
  <c r="J1809" i="13" s="1"/>
  <c r="H1810" i="13"/>
  <c r="J1810" i="13" s="1"/>
  <c r="H1811" i="13"/>
  <c r="J1811" i="13" s="1"/>
  <c r="H1812" i="13"/>
  <c r="J1812" i="13" s="1"/>
  <c r="H1813" i="13"/>
  <c r="J1813" i="13" s="1"/>
  <c r="H1814" i="13"/>
  <c r="J1814" i="13" s="1"/>
  <c r="H1815" i="13"/>
  <c r="J1815" i="13" s="1"/>
  <c r="H1816" i="13"/>
  <c r="J1816" i="13" s="1"/>
  <c r="H1817" i="13"/>
  <c r="J1817" i="13" s="1"/>
  <c r="H1818" i="13"/>
  <c r="J1818" i="13" s="1"/>
  <c r="H1819" i="13"/>
  <c r="J1819" i="13" s="1"/>
  <c r="H1829" i="13"/>
  <c r="J1829" i="13" s="1"/>
  <c r="H1830" i="13"/>
  <c r="J1830" i="13" s="1"/>
  <c r="H1831" i="13"/>
  <c r="J1831" i="13" s="1"/>
  <c r="H1832" i="13"/>
  <c r="J1832" i="13" s="1"/>
  <c r="H1833" i="13"/>
  <c r="J1833" i="13" s="1"/>
  <c r="H1834" i="13"/>
  <c r="J1834" i="13" s="1"/>
  <c r="H1835" i="13"/>
  <c r="J1835" i="13" s="1"/>
  <c r="H1836" i="13"/>
  <c r="J1836" i="13" s="1"/>
  <c r="H1837" i="13"/>
  <c r="J1837" i="13" s="1"/>
  <c r="H1838" i="13"/>
  <c r="J1838" i="13" s="1"/>
  <c r="H1839" i="13"/>
  <c r="J1839" i="13" s="1"/>
  <c r="H1840" i="13"/>
  <c r="J1840" i="13" s="1"/>
  <c r="H1841" i="13"/>
  <c r="J1841" i="13" s="1"/>
  <c r="H1842" i="13"/>
  <c r="J1842" i="13" s="1"/>
  <c r="H1843" i="13"/>
  <c r="J1843" i="13" s="1"/>
  <c r="H1844" i="13"/>
  <c r="J1844" i="13" s="1"/>
  <c r="H1845" i="13"/>
  <c r="J1845" i="13" s="1"/>
  <c r="H1846" i="13"/>
  <c r="J1846" i="13" s="1"/>
  <c r="H1847" i="13"/>
  <c r="J1847" i="13" s="1"/>
  <c r="H1848" i="13"/>
  <c r="J1848" i="13" s="1"/>
  <c r="H1849" i="13"/>
  <c r="J1849" i="13" s="1"/>
  <c r="H1850" i="13"/>
  <c r="J1850" i="13" s="1"/>
  <c r="H1851" i="13"/>
  <c r="J1851" i="13" s="1"/>
  <c r="H1852" i="13"/>
  <c r="J1852" i="13" s="1"/>
  <c r="H1853" i="13"/>
  <c r="J1853" i="13" s="1"/>
  <c r="H1854" i="13"/>
  <c r="J1854" i="13" s="1"/>
  <c r="H1855" i="13"/>
  <c r="J1855" i="13" s="1"/>
  <c r="H1856" i="13"/>
  <c r="J1856" i="13" s="1"/>
  <c r="H1857" i="13"/>
  <c r="J1857" i="13" s="1"/>
  <c r="H1858" i="13"/>
  <c r="J1858" i="13" s="1"/>
  <c r="H1859" i="13"/>
  <c r="J1859" i="13" s="1"/>
  <c r="H1860" i="13"/>
  <c r="J1860" i="13" s="1"/>
  <c r="H1861" i="13"/>
  <c r="J1861" i="13" s="1"/>
  <c r="H1862" i="13"/>
  <c r="J1862" i="13" s="1"/>
  <c r="H1863" i="13"/>
  <c r="J1863" i="13" s="1"/>
  <c r="H1864" i="13"/>
  <c r="J1864" i="13" s="1"/>
  <c r="H1865" i="13"/>
  <c r="J1865" i="13" s="1"/>
  <c r="H1866" i="13"/>
  <c r="J1866" i="13" s="1"/>
  <c r="H1867" i="13"/>
  <c r="J1867" i="13" s="1"/>
  <c r="H1868" i="13"/>
  <c r="J1868" i="13" s="1"/>
  <c r="H1869" i="13"/>
  <c r="J1869" i="13" s="1"/>
  <c r="H1870" i="13"/>
  <c r="J1870" i="13" s="1"/>
  <c r="H1871" i="13"/>
  <c r="J1871" i="13" s="1"/>
  <c r="H1872" i="13"/>
  <c r="J1872" i="13" s="1"/>
  <c r="H1873" i="13"/>
  <c r="J1873" i="13" s="1"/>
  <c r="H1874" i="13"/>
  <c r="J1874" i="13" s="1"/>
  <c r="H1875" i="13"/>
  <c r="J1875" i="13" s="1"/>
  <c r="H1876" i="13"/>
  <c r="J1876" i="13" s="1"/>
  <c r="H1877" i="13"/>
  <c r="J1877" i="13" s="1"/>
  <c r="H1878" i="13"/>
  <c r="J1878" i="13" s="1"/>
  <c r="H1879" i="13"/>
  <c r="J1879" i="13" s="1"/>
  <c r="H1880" i="13"/>
  <c r="J1880" i="13" s="1"/>
  <c r="H1881" i="13"/>
  <c r="J1881" i="13" s="1"/>
  <c r="H1882" i="13"/>
  <c r="J1882" i="13" s="1"/>
  <c r="H1883" i="13"/>
  <c r="J1883" i="13" s="1"/>
  <c r="H1884" i="13"/>
  <c r="J1884" i="13" s="1"/>
  <c r="H1885" i="13"/>
  <c r="J1885" i="13" s="1"/>
  <c r="H1886" i="13"/>
  <c r="J1886" i="13" s="1"/>
  <c r="H1887" i="13"/>
  <c r="J1887" i="13" s="1"/>
  <c r="H1888" i="13"/>
  <c r="J1888" i="13" s="1"/>
  <c r="H1889" i="13"/>
  <c r="J1889" i="13" s="1"/>
  <c r="H1890" i="13"/>
  <c r="J1890" i="13" s="1"/>
  <c r="H1891" i="13"/>
  <c r="J1891" i="13" s="1"/>
  <c r="H1892" i="13"/>
  <c r="J1892" i="13" s="1"/>
  <c r="H1893" i="13"/>
  <c r="J1893" i="13" s="1"/>
  <c r="H1894" i="13"/>
  <c r="J1894" i="13" s="1"/>
  <c r="H1895" i="13"/>
  <c r="J1895" i="13" s="1"/>
  <c r="H1896" i="13"/>
  <c r="J1896" i="13" s="1"/>
  <c r="H1897" i="13"/>
  <c r="J1897" i="13" s="1"/>
  <c r="H1898" i="13"/>
  <c r="J1898" i="13" s="1"/>
  <c r="H1899" i="13"/>
  <c r="J1899" i="13" s="1"/>
  <c r="H1900" i="13"/>
  <c r="J1900" i="13" s="1"/>
  <c r="H1901" i="13"/>
  <c r="J1901" i="13" s="1"/>
  <c r="H1902" i="13"/>
  <c r="J1902" i="13" s="1"/>
  <c r="H1903" i="13"/>
  <c r="J1903" i="13" s="1"/>
  <c r="H1904" i="13"/>
  <c r="J1904" i="13" s="1"/>
  <c r="H1905" i="13"/>
  <c r="J1905" i="13" s="1"/>
  <c r="H1906" i="13"/>
  <c r="J1906" i="13" s="1"/>
  <c r="H1907" i="13"/>
  <c r="J1907" i="13" s="1"/>
  <c r="H1908" i="13"/>
  <c r="J1908" i="13" s="1"/>
  <c r="H1909" i="13"/>
  <c r="J1909" i="13" s="1"/>
  <c r="H1910" i="13"/>
  <c r="J1910" i="13" s="1"/>
  <c r="H1911" i="13"/>
  <c r="J1911" i="13" s="1"/>
  <c r="H1912" i="13"/>
  <c r="J1912" i="13" s="1"/>
  <c r="H1913" i="13"/>
  <c r="J1913" i="13" s="1"/>
  <c r="H1914" i="13"/>
  <c r="J1914" i="13" s="1"/>
  <c r="H1915" i="13"/>
  <c r="J1915" i="13" s="1"/>
  <c r="H1916" i="13"/>
  <c r="J1916" i="13" s="1"/>
  <c r="H1917" i="13"/>
  <c r="J1917" i="13" s="1"/>
  <c r="H1918" i="13"/>
  <c r="J1918" i="13" s="1"/>
  <c r="H1919" i="13"/>
  <c r="J1919" i="13" s="1"/>
  <c r="H1920" i="13"/>
  <c r="J1920" i="13" s="1"/>
  <c r="H1921" i="13"/>
  <c r="J1921" i="13" s="1"/>
  <c r="H1922" i="13"/>
  <c r="J1922" i="13" s="1"/>
  <c r="H1923" i="13"/>
  <c r="J1923" i="13" s="1"/>
  <c r="H1924" i="13"/>
  <c r="J1924" i="13" s="1"/>
  <c r="H1925" i="13"/>
  <c r="J1925" i="13" s="1"/>
  <c r="H1926" i="13"/>
  <c r="J1926" i="13" s="1"/>
  <c r="H1927" i="13"/>
  <c r="J1927" i="13" s="1"/>
  <c r="H1928" i="13"/>
  <c r="J1928" i="13" s="1"/>
  <c r="H1929" i="13"/>
  <c r="J1929" i="13" s="1"/>
  <c r="H1930" i="13"/>
  <c r="J1930" i="13" s="1"/>
  <c r="H1931" i="13"/>
  <c r="J1931" i="13" s="1"/>
  <c r="H1932" i="13"/>
  <c r="J1932" i="13" s="1"/>
  <c r="H1933" i="13"/>
  <c r="J1933" i="13" s="1"/>
  <c r="H1934" i="13"/>
  <c r="J1934" i="13" s="1"/>
  <c r="H1935" i="13"/>
  <c r="J1935" i="13" s="1"/>
  <c r="H1936" i="13"/>
  <c r="J1936" i="13" s="1"/>
  <c r="H1937" i="13"/>
  <c r="J1937" i="13" s="1"/>
  <c r="H1938" i="13"/>
  <c r="J1938" i="13" s="1"/>
  <c r="H1939" i="13"/>
  <c r="J1939" i="13" s="1"/>
  <c r="H1940" i="13"/>
  <c r="J1940" i="13" s="1"/>
  <c r="H1941" i="13"/>
  <c r="J1941" i="13" s="1"/>
  <c r="H1942" i="13"/>
  <c r="J1942" i="13" s="1"/>
  <c r="H1943" i="13"/>
  <c r="J1943" i="13" s="1"/>
  <c r="H1944" i="13"/>
  <c r="J1944" i="13" s="1"/>
  <c r="H1945" i="13"/>
  <c r="J1945" i="13" s="1"/>
  <c r="H1946" i="13"/>
  <c r="J1946" i="13" s="1"/>
  <c r="H1947" i="13"/>
  <c r="J1947" i="13" s="1"/>
  <c r="H1948" i="13"/>
  <c r="J1948" i="13" s="1"/>
  <c r="H1949" i="13"/>
  <c r="J1949" i="13" s="1"/>
  <c r="H1950" i="13"/>
  <c r="J1950" i="13" s="1"/>
  <c r="H1951" i="13"/>
  <c r="J1951" i="13" s="1"/>
  <c r="H1952" i="13"/>
  <c r="J1952" i="13" s="1"/>
  <c r="H1953" i="13"/>
  <c r="J1953" i="13" s="1"/>
  <c r="H1954" i="13"/>
  <c r="J1954" i="13" s="1"/>
  <c r="H1955" i="13"/>
  <c r="J1955" i="13" s="1"/>
  <c r="H1956" i="13"/>
  <c r="J1956" i="13" s="1"/>
  <c r="H1957" i="13"/>
  <c r="J1957" i="13" s="1"/>
  <c r="H1958" i="13"/>
  <c r="J1958" i="13" s="1"/>
  <c r="H1959" i="13"/>
  <c r="J1959" i="13" s="1"/>
  <c r="H1960" i="13"/>
  <c r="J1960" i="13" s="1"/>
  <c r="H1961" i="13"/>
  <c r="J1961" i="13" s="1"/>
  <c r="H1962" i="13"/>
  <c r="J1962" i="13" s="1"/>
  <c r="H1963" i="13"/>
  <c r="J1963" i="13" s="1"/>
  <c r="H1964" i="13"/>
  <c r="J1964" i="13" s="1"/>
  <c r="H1965" i="13"/>
  <c r="J1965" i="13" s="1"/>
  <c r="H1966" i="13"/>
  <c r="J1966" i="13" s="1"/>
  <c r="H1967" i="13"/>
  <c r="J1967" i="13" s="1"/>
  <c r="H1968" i="13"/>
  <c r="J1968" i="13" s="1"/>
  <c r="H1969" i="13"/>
  <c r="J1969" i="13" s="1"/>
  <c r="H1970" i="13"/>
  <c r="J1970" i="13" s="1"/>
  <c r="H1971" i="13"/>
  <c r="J1971" i="13" s="1"/>
  <c r="H1972" i="13"/>
  <c r="J1972" i="13" s="1"/>
  <c r="H1973" i="13"/>
  <c r="J1973" i="13" s="1"/>
  <c r="H1974" i="13"/>
  <c r="J1974" i="13" s="1"/>
  <c r="H1975" i="13"/>
  <c r="J1975" i="13" s="1"/>
  <c r="H1976" i="13"/>
  <c r="J1976" i="13" s="1"/>
  <c r="H1977" i="13"/>
  <c r="J1977" i="13" s="1"/>
  <c r="H1978" i="13"/>
  <c r="J1978" i="13" s="1"/>
  <c r="H1979" i="13"/>
  <c r="J1979" i="13" s="1"/>
  <c r="H1980" i="13"/>
  <c r="J1980" i="13" s="1"/>
  <c r="H1981" i="13"/>
  <c r="J1981" i="13" s="1"/>
  <c r="H2594" i="13"/>
  <c r="J2594" i="13" s="1"/>
  <c r="H2595" i="13"/>
  <c r="J2595" i="13" s="1"/>
  <c r="H2596" i="13"/>
  <c r="J2596" i="13" s="1"/>
  <c r="H2597" i="13"/>
  <c r="J2597" i="13" s="1"/>
  <c r="H2598" i="13"/>
  <c r="J2598" i="13" s="1"/>
  <c r="H2599" i="13"/>
  <c r="J2599" i="13" s="1"/>
  <c r="H2600" i="13"/>
  <c r="J2600" i="13" s="1"/>
  <c r="H2601" i="13"/>
  <c r="J2601" i="13" s="1"/>
  <c r="H2602" i="13"/>
  <c r="J2602" i="13" s="1"/>
  <c r="H2603" i="13"/>
  <c r="J2603" i="13" s="1"/>
  <c r="H2604" i="13"/>
  <c r="J2604" i="13" s="1"/>
  <c r="H2605" i="13"/>
  <c r="J2605" i="13" s="1"/>
  <c r="H2606" i="13"/>
  <c r="J2606" i="13" s="1"/>
  <c r="H2607" i="13"/>
  <c r="J2607" i="13" s="1"/>
  <c r="H2608" i="13"/>
  <c r="J2608" i="13" s="1"/>
  <c r="H2609" i="13"/>
  <c r="J2609" i="13" s="1"/>
  <c r="H2610" i="13"/>
  <c r="J2610" i="13" s="1"/>
  <c r="H2611" i="13"/>
  <c r="J2611" i="13" s="1"/>
  <c r="H2612" i="13"/>
  <c r="J2612" i="13" s="1"/>
  <c r="H2613" i="13"/>
  <c r="J2613" i="13" s="1"/>
  <c r="H2614" i="13"/>
  <c r="J2614" i="13" s="1"/>
  <c r="H2615" i="13"/>
  <c r="J2615" i="13" s="1"/>
  <c r="H2616" i="13"/>
  <c r="J2616" i="13" s="1"/>
  <c r="H2617" i="13"/>
  <c r="J2617" i="13" s="1"/>
  <c r="H2618" i="13"/>
  <c r="J2618" i="13" s="1"/>
  <c r="H2619" i="13"/>
  <c r="J2619" i="13" s="1"/>
  <c r="H2620" i="13"/>
  <c r="J2620" i="13" s="1"/>
  <c r="H2621" i="13"/>
  <c r="J2621" i="13" s="1"/>
  <c r="H2622" i="13"/>
  <c r="J2622" i="13" s="1"/>
  <c r="H2623" i="13"/>
  <c r="J2623" i="13" s="1"/>
  <c r="H2624" i="13"/>
  <c r="J2624" i="13" s="1"/>
  <c r="H2625" i="13"/>
  <c r="J2625" i="13" s="1"/>
  <c r="H2626" i="13"/>
  <c r="J2626" i="13" s="1"/>
  <c r="H2627" i="13"/>
  <c r="J2627" i="13" s="1"/>
  <c r="H2628" i="13"/>
  <c r="J2628" i="13" s="1"/>
  <c r="H2629" i="13"/>
  <c r="J2629" i="13" s="1"/>
  <c r="H2630" i="13"/>
  <c r="J2630" i="13" s="1"/>
  <c r="H2631" i="13"/>
  <c r="J2631" i="13" s="1"/>
  <c r="H2632" i="13"/>
  <c r="J2632" i="13" s="1"/>
  <c r="H2633" i="13"/>
  <c r="J2633" i="13" s="1"/>
  <c r="H2634" i="13"/>
  <c r="J2634" i="13" s="1"/>
  <c r="H2635" i="13"/>
  <c r="J2635" i="13" s="1"/>
  <c r="H2636" i="13"/>
  <c r="J2636" i="13" s="1"/>
  <c r="H2637" i="13"/>
  <c r="J2637" i="13" s="1"/>
  <c r="H2638" i="13"/>
  <c r="J2638" i="13" s="1"/>
  <c r="H2639" i="13"/>
  <c r="J2639" i="13" s="1"/>
  <c r="H2640" i="13"/>
  <c r="J2640" i="13" s="1"/>
  <c r="H2641" i="13"/>
  <c r="J2641" i="13" s="1"/>
  <c r="H2642" i="13"/>
  <c r="J2642" i="13" s="1"/>
  <c r="H2643" i="13"/>
  <c r="J2643" i="13" s="1"/>
  <c r="H2644" i="13"/>
  <c r="J2644" i="13" s="1"/>
  <c r="H2645" i="13"/>
  <c r="J2645" i="13" s="1"/>
  <c r="H2646" i="13"/>
  <c r="J2646" i="13" s="1"/>
  <c r="H2647" i="13"/>
  <c r="J2647" i="13" s="1"/>
  <c r="H2648" i="13"/>
  <c r="J2648" i="13" s="1"/>
  <c r="H2649" i="13"/>
  <c r="J2649" i="13" s="1"/>
  <c r="H2650" i="13"/>
  <c r="J2650" i="13" s="1"/>
  <c r="H2651" i="13"/>
  <c r="J2651" i="13" s="1"/>
  <c r="H2652" i="13"/>
  <c r="J2652" i="13" s="1"/>
  <c r="H2653" i="13"/>
  <c r="J2653" i="13" s="1"/>
  <c r="H2654" i="13"/>
  <c r="J2654" i="13" s="1"/>
  <c r="H2655" i="13"/>
  <c r="J2655" i="13" s="1"/>
  <c r="H2656" i="13"/>
  <c r="J2656" i="13" s="1"/>
  <c r="H2657" i="13"/>
  <c r="J2657" i="13" s="1"/>
  <c r="H2658" i="13"/>
  <c r="J2658" i="13" s="1"/>
  <c r="H2659" i="13"/>
  <c r="J2659" i="13" s="1"/>
  <c r="H2660" i="13"/>
  <c r="J2660" i="13" s="1"/>
  <c r="H2661" i="13"/>
  <c r="J2661" i="13" s="1"/>
  <c r="H2662" i="13"/>
  <c r="J2662" i="13" s="1"/>
  <c r="H2663" i="13"/>
  <c r="J2663" i="13" s="1"/>
  <c r="H2664" i="13"/>
  <c r="J2664" i="13" s="1"/>
  <c r="H2665" i="13"/>
  <c r="J2665" i="13" s="1"/>
  <c r="H2666" i="13"/>
  <c r="J2666" i="13" s="1"/>
  <c r="H2667" i="13"/>
  <c r="J2667" i="13" s="1"/>
  <c r="H2668" i="13"/>
  <c r="J2668" i="13" s="1"/>
  <c r="H2669" i="13"/>
  <c r="J2669" i="13" s="1"/>
  <c r="H2670" i="13"/>
  <c r="J2670" i="13" s="1"/>
  <c r="H2671" i="13"/>
  <c r="J2671" i="13" s="1"/>
  <c r="H2672" i="13"/>
  <c r="J2672" i="13" s="1"/>
  <c r="H2673" i="13"/>
  <c r="J2673" i="13" s="1"/>
  <c r="H2674" i="13"/>
  <c r="J2674" i="13" s="1"/>
  <c r="H2675" i="13"/>
  <c r="J2675" i="13" s="1"/>
  <c r="H2676" i="13"/>
  <c r="J2676" i="13" s="1"/>
  <c r="H2677" i="13"/>
  <c r="J2677" i="13" s="1"/>
  <c r="H2678" i="13"/>
  <c r="J2678" i="13" s="1"/>
  <c r="H2679" i="13"/>
  <c r="J2679" i="13" s="1"/>
  <c r="H2680" i="13"/>
  <c r="J2680" i="13" s="1"/>
  <c r="H2681" i="13"/>
  <c r="J2681" i="13" s="1"/>
  <c r="H2682" i="13"/>
  <c r="J2682" i="13" s="1"/>
  <c r="H2683" i="13"/>
  <c r="J2683" i="13" s="1"/>
  <c r="H2684" i="13"/>
  <c r="J2684" i="13" s="1"/>
  <c r="H2685" i="13"/>
  <c r="J2685" i="13" s="1"/>
  <c r="H2686" i="13"/>
  <c r="J2686" i="13" s="1"/>
  <c r="H2687" i="13"/>
  <c r="J2687" i="13" s="1"/>
  <c r="H2688" i="13"/>
  <c r="J2688" i="13" s="1"/>
  <c r="H2689" i="13"/>
  <c r="J2689" i="13" s="1"/>
  <c r="H2690" i="13"/>
  <c r="J2690" i="13" s="1"/>
  <c r="H2691" i="13"/>
  <c r="J2691" i="13" s="1"/>
  <c r="H2692" i="13"/>
  <c r="J2692" i="13" s="1"/>
  <c r="H2693" i="13"/>
  <c r="J2693" i="13" s="1"/>
  <c r="H2694" i="13"/>
  <c r="J2694" i="13" s="1"/>
  <c r="H2695" i="13"/>
  <c r="J2695" i="13" s="1"/>
  <c r="H2696" i="13"/>
  <c r="J2696" i="13" s="1"/>
  <c r="H2697" i="13"/>
  <c r="J2697" i="13" s="1"/>
  <c r="H2698" i="13"/>
  <c r="J2698" i="13" s="1"/>
  <c r="H2699" i="13"/>
  <c r="J2699" i="13" s="1"/>
  <c r="H2700" i="13"/>
  <c r="J2700" i="13" s="1"/>
  <c r="H2701" i="13"/>
  <c r="J2701" i="13" s="1"/>
  <c r="H2702" i="13"/>
  <c r="J2702" i="13" s="1"/>
  <c r="H2703" i="13"/>
  <c r="J2703" i="13" s="1"/>
  <c r="H2704" i="13"/>
  <c r="J2704" i="13" s="1"/>
  <c r="H2705" i="13"/>
  <c r="J2705" i="13" s="1"/>
  <c r="H2706" i="13"/>
  <c r="J2706" i="13" s="1"/>
  <c r="H2707" i="13"/>
  <c r="J2707" i="13" s="1"/>
  <c r="H2708" i="13"/>
  <c r="J2708" i="13" s="1"/>
  <c r="H2709" i="13"/>
  <c r="J2709" i="13" s="1"/>
  <c r="H2710" i="13"/>
  <c r="J2710" i="13" s="1"/>
  <c r="H2711" i="13"/>
  <c r="J2711" i="13" s="1"/>
  <c r="H2712" i="13"/>
  <c r="J2712" i="13" s="1"/>
  <c r="H2713" i="13"/>
  <c r="J2713" i="13" s="1"/>
  <c r="H2714" i="13"/>
  <c r="J2714" i="13" s="1"/>
  <c r="H2715" i="13"/>
  <c r="J2715" i="13" s="1"/>
  <c r="H2716" i="13"/>
  <c r="J2716" i="13" s="1"/>
  <c r="H2717" i="13"/>
  <c r="J2717" i="13" s="1"/>
  <c r="H2718" i="13"/>
  <c r="J2718" i="13" s="1"/>
  <c r="H2719" i="13"/>
  <c r="J2719" i="13" s="1"/>
  <c r="H2720" i="13"/>
  <c r="J2720" i="13" s="1"/>
  <c r="H2721" i="13"/>
  <c r="J2721" i="13" s="1"/>
  <c r="H2722" i="13"/>
  <c r="J2722" i="13" s="1"/>
  <c r="H2723" i="13"/>
  <c r="J2723" i="13" s="1"/>
  <c r="H2724" i="13"/>
  <c r="J2724" i="13" s="1"/>
  <c r="H2725" i="13"/>
  <c r="J2725" i="13" s="1"/>
  <c r="H2726" i="13"/>
  <c r="J2726" i="13" s="1"/>
  <c r="H2727" i="13"/>
  <c r="J2727" i="13" s="1"/>
  <c r="H2728" i="13"/>
  <c r="J2728" i="13" s="1"/>
  <c r="H2729" i="13"/>
  <c r="J2729" i="13" s="1"/>
  <c r="H2730" i="13"/>
  <c r="J2730" i="13" s="1"/>
  <c r="H2731" i="13"/>
  <c r="J2731" i="13" s="1"/>
  <c r="H2732" i="13"/>
  <c r="J2732" i="13" s="1"/>
  <c r="H2733" i="13"/>
  <c r="J2733" i="13" s="1"/>
  <c r="H2734" i="13"/>
  <c r="J2734" i="13" s="1"/>
  <c r="H2735" i="13"/>
  <c r="J2735" i="13" s="1"/>
  <c r="H2736" i="13"/>
  <c r="J2736" i="13" s="1"/>
  <c r="H2737" i="13"/>
  <c r="J2737" i="13" s="1"/>
  <c r="H2738" i="13"/>
  <c r="J2738" i="13" s="1"/>
  <c r="H2739" i="13"/>
  <c r="J2739" i="13" s="1"/>
  <c r="H2740" i="13"/>
  <c r="J2740" i="13" s="1"/>
  <c r="H2741" i="13"/>
  <c r="J2741" i="13" s="1"/>
  <c r="H2742" i="13"/>
  <c r="J2742" i="13" s="1"/>
  <c r="H2743" i="13"/>
  <c r="J2743" i="13" s="1"/>
  <c r="H2744" i="13"/>
  <c r="J2744" i="13" s="1"/>
  <c r="H2745" i="13"/>
  <c r="J2745" i="13" s="1"/>
  <c r="H2746" i="13"/>
  <c r="J2746" i="13" s="1"/>
  <c r="H2747" i="13"/>
  <c r="J2747" i="13" s="1"/>
  <c r="H2748" i="13"/>
  <c r="J2748" i="13" s="1"/>
  <c r="H2749" i="13"/>
  <c r="J2749" i="13" s="1"/>
  <c r="H2750" i="13"/>
  <c r="J2750" i="13" s="1"/>
  <c r="H2751" i="13"/>
  <c r="J2751" i="13" s="1"/>
  <c r="H2752" i="13"/>
  <c r="J2752" i="13" s="1"/>
  <c r="H2753" i="13"/>
  <c r="J2753" i="13" s="1"/>
  <c r="H2754" i="13"/>
  <c r="J2754" i="13" s="1"/>
  <c r="H2755" i="13"/>
  <c r="J2755" i="13" s="1"/>
  <c r="H2756" i="13"/>
  <c r="J2756" i="13" s="1"/>
  <c r="H2757" i="13"/>
  <c r="J2757" i="13" s="1"/>
  <c r="H2758" i="13"/>
  <c r="J2758" i="13" s="1"/>
  <c r="H2759" i="13"/>
  <c r="J2759" i="13" s="1"/>
  <c r="H2760" i="13"/>
  <c r="J2760" i="13" s="1"/>
  <c r="H2761" i="13"/>
  <c r="J2761" i="13" s="1"/>
  <c r="H2762" i="13"/>
  <c r="J2762" i="13" s="1"/>
  <c r="H2763" i="13"/>
  <c r="J2763" i="13" s="1"/>
  <c r="H2764" i="13"/>
  <c r="J2764" i="13" s="1"/>
  <c r="H2765" i="13"/>
  <c r="J2765" i="13" s="1"/>
  <c r="H2766" i="13"/>
  <c r="J2766" i="13" s="1"/>
  <c r="H2767" i="13"/>
  <c r="J2767" i="13" s="1"/>
  <c r="H2768" i="13"/>
  <c r="J2768" i="13" s="1"/>
  <c r="H2769" i="13"/>
  <c r="J2769" i="13" s="1"/>
  <c r="H2770" i="13"/>
  <c r="J2770" i="13" s="1"/>
  <c r="H2771" i="13"/>
  <c r="J2771" i="13" s="1"/>
  <c r="H2772" i="13"/>
  <c r="J2772" i="13" s="1"/>
  <c r="H2773" i="13"/>
  <c r="J2773" i="13" s="1"/>
  <c r="H2774" i="13"/>
  <c r="J2774" i="13" s="1"/>
  <c r="H2775" i="13"/>
  <c r="J2775" i="13" s="1"/>
  <c r="H2776" i="13"/>
  <c r="J2776" i="13" s="1"/>
  <c r="H2777" i="13"/>
  <c r="J2777" i="13" s="1"/>
  <c r="H2778" i="13"/>
  <c r="J2778" i="13" s="1"/>
  <c r="H2779" i="13"/>
  <c r="J2779" i="13" s="1"/>
  <c r="H2780" i="13"/>
  <c r="J2780" i="13" s="1"/>
  <c r="H2781" i="13"/>
  <c r="J2781" i="13" s="1"/>
  <c r="H2782" i="13"/>
  <c r="J2782" i="13" s="1"/>
  <c r="H2783" i="13"/>
  <c r="J2783" i="13" s="1"/>
  <c r="H2784" i="13"/>
  <c r="J2784" i="13" s="1"/>
  <c r="H2785" i="13"/>
  <c r="J2785" i="13" s="1"/>
  <c r="H2786" i="13"/>
  <c r="J2786" i="13" s="1"/>
  <c r="H2787" i="13"/>
  <c r="J2787" i="13" s="1"/>
  <c r="H2788" i="13"/>
  <c r="J2788" i="13" s="1"/>
  <c r="H2789" i="13"/>
  <c r="J2789" i="13" s="1"/>
  <c r="H2790" i="13"/>
  <c r="J2790" i="13" s="1"/>
  <c r="H2791" i="13"/>
  <c r="J2791" i="13" s="1"/>
  <c r="H2792" i="13"/>
  <c r="J2792" i="13" s="1"/>
  <c r="H2793" i="13"/>
  <c r="J2793" i="13" s="1"/>
  <c r="H2794" i="13"/>
  <c r="J2794" i="13" s="1"/>
  <c r="H2795" i="13"/>
  <c r="J2795" i="13" s="1"/>
  <c r="H2796" i="13"/>
  <c r="J2796" i="13" s="1"/>
  <c r="H2797" i="13"/>
  <c r="J2797" i="13" s="1"/>
  <c r="H2798" i="13"/>
  <c r="J2798" i="13" s="1"/>
  <c r="H2799" i="13"/>
  <c r="J2799" i="13" s="1"/>
  <c r="H2800" i="13"/>
  <c r="J2800" i="13" s="1"/>
  <c r="H2801" i="13"/>
  <c r="J2801" i="13" s="1"/>
  <c r="H2802" i="13"/>
  <c r="J2802" i="13" s="1"/>
  <c r="H2803" i="13"/>
  <c r="J2803" i="13" s="1"/>
  <c r="H2804" i="13"/>
  <c r="J2804" i="13" s="1"/>
  <c r="H2805" i="13"/>
  <c r="J2805" i="13" s="1"/>
  <c r="H2806" i="13"/>
  <c r="J2806" i="13" s="1"/>
  <c r="H2807" i="13"/>
  <c r="J2807" i="13" s="1"/>
  <c r="H2808" i="13"/>
  <c r="J2808" i="13" s="1"/>
  <c r="H2809" i="13"/>
  <c r="J2809" i="13" s="1"/>
  <c r="H2810" i="13"/>
  <c r="J2810" i="13" s="1"/>
  <c r="H2811" i="13"/>
  <c r="J2811" i="13" s="1"/>
  <c r="H2812" i="13"/>
  <c r="J2812" i="13" s="1"/>
  <c r="H2813" i="13"/>
  <c r="J2813" i="13" s="1"/>
  <c r="H2814" i="13"/>
  <c r="J2814" i="13" s="1"/>
  <c r="H2815" i="13"/>
  <c r="J2815" i="13" s="1"/>
  <c r="H2816" i="13"/>
  <c r="J2816" i="13" s="1"/>
  <c r="H2817" i="13"/>
  <c r="J2817" i="13" s="1"/>
  <c r="H2818" i="13"/>
  <c r="J2818" i="13" s="1"/>
  <c r="H2819" i="13"/>
  <c r="J2819" i="13" s="1"/>
  <c r="H2820" i="13"/>
  <c r="J2820" i="13" s="1"/>
  <c r="H2821" i="13"/>
  <c r="J2821" i="13" s="1"/>
  <c r="H2822" i="13"/>
  <c r="J2822" i="13" s="1"/>
  <c r="H2823" i="13"/>
  <c r="J2823" i="13" s="1"/>
  <c r="H2824" i="13"/>
  <c r="J2824" i="13" s="1"/>
  <c r="H2825" i="13"/>
  <c r="J2825" i="13" s="1"/>
  <c r="H2826" i="13"/>
  <c r="J2826" i="13" s="1"/>
  <c r="H2827" i="13"/>
  <c r="J2827" i="13" s="1"/>
  <c r="H2828" i="13"/>
  <c r="J2828" i="13" s="1"/>
  <c r="H2829" i="13"/>
  <c r="J2829" i="13" s="1"/>
  <c r="H2830" i="13"/>
  <c r="J2830" i="13" s="1"/>
  <c r="H2831" i="13"/>
  <c r="J2831" i="13" s="1"/>
  <c r="H2832" i="13"/>
  <c r="J2832" i="13" s="1"/>
  <c r="H2833" i="13"/>
  <c r="J2833" i="13" s="1"/>
  <c r="H2834" i="13"/>
  <c r="J2834" i="13" s="1"/>
  <c r="H2835" i="13"/>
  <c r="J2835" i="13" s="1"/>
  <c r="H2836" i="13"/>
  <c r="J2836" i="13" s="1"/>
  <c r="H2837" i="13"/>
  <c r="J2837" i="13" s="1"/>
  <c r="H2838" i="13"/>
  <c r="J2838" i="13" s="1"/>
  <c r="H2839" i="13"/>
  <c r="J2839" i="13" s="1"/>
  <c r="H2840" i="13"/>
  <c r="J2840" i="13" s="1"/>
  <c r="H2841" i="13"/>
  <c r="J2841" i="13" s="1"/>
  <c r="H2842" i="13"/>
  <c r="J2842" i="13" s="1"/>
  <c r="H2843" i="13"/>
  <c r="J2843" i="13" s="1"/>
  <c r="H2844" i="13"/>
  <c r="J2844" i="13" s="1"/>
  <c r="H2845" i="13"/>
  <c r="J2845" i="13" s="1"/>
  <c r="H2846" i="13"/>
  <c r="J2846" i="13" s="1"/>
  <c r="H2847" i="13"/>
  <c r="J2847" i="13" s="1"/>
  <c r="H2848" i="13"/>
  <c r="J2848" i="13" s="1"/>
  <c r="H2849" i="13"/>
  <c r="J2849" i="13" s="1"/>
  <c r="H2850" i="13"/>
  <c r="J2850" i="13" s="1"/>
  <c r="H2851" i="13"/>
  <c r="J2851" i="13" s="1"/>
  <c r="H2852" i="13"/>
  <c r="J2852" i="13" s="1"/>
  <c r="H2853" i="13"/>
  <c r="J2853" i="13" s="1"/>
  <c r="H2854" i="13"/>
  <c r="J2854" i="13" s="1"/>
  <c r="H2855" i="13"/>
  <c r="J2855" i="13" s="1"/>
  <c r="H2856" i="13"/>
  <c r="J2856" i="13" s="1"/>
  <c r="H2857" i="13"/>
  <c r="J2857" i="13" s="1"/>
  <c r="H2858" i="13"/>
  <c r="J2858" i="13" s="1"/>
  <c r="H2859" i="13"/>
  <c r="J2859" i="13" s="1"/>
  <c r="H2860" i="13"/>
  <c r="J2860" i="13" s="1"/>
  <c r="H2861" i="13"/>
  <c r="J2861" i="13" s="1"/>
  <c r="H2862" i="13"/>
  <c r="J2862" i="13" s="1"/>
  <c r="H2863" i="13"/>
  <c r="J2863" i="13" s="1"/>
  <c r="H2864" i="13"/>
  <c r="J2864" i="13" s="1"/>
  <c r="H2865" i="13"/>
  <c r="J2865" i="13" s="1"/>
  <c r="H2866" i="13"/>
  <c r="J2866" i="13" s="1"/>
  <c r="H2867" i="13"/>
  <c r="J2867" i="13" s="1"/>
  <c r="H2868" i="13"/>
  <c r="J2868" i="13" s="1"/>
  <c r="H2869" i="13"/>
  <c r="J2869" i="13" s="1"/>
  <c r="H2870" i="13"/>
  <c r="J2870" i="13" s="1"/>
  <c r="H2871" i="13"/>
  <c r="J2871" i="13" s="1"/>
  <c r="H2872" i="13"/>
  <c r="J2872" i="13" s="1"/>
  <c r="H2873" i="13"/>
  <c r="J2873" i="13" s="1"/>
  <c r="H2874" i="13"/>
  <c r="J2874" i="13" s="1"/>
  <c r="H2875" i="13"/>
  <c r="J2875" i="13" s="1"/>
  <c r="H2876" i="13"/>
  <c r="J2876" i="13" s="1"/>
  <c r="H2877" i="13"/>
  <c r="J2877" i="13" s="1"/>
  <c r="H2878" i="13"/>
  <c r="J2878" i="13" s="1"/>
  <c r="H2879" i="13"/>
  <c r="J2879" i="13" s="1"/>
  <c r="H2880" i="13"/>
  <c r="J2880" i="13" s="1"/>
  <c r="H2881" i="13"/>
  <c r="J2881" i="13" s="1"/>
  <c r="H2882" i="13"/>
  <c r="J2882" i="13" s="1"/>
  <c r="H2883" i="13"/>
  <c r="J2883" i="13" s="1"/>
  <c r="H2884" i="13"/>
  <c r="J2884" i="13" s="1"/>
  <c r="H2885" i="13"/>
  <c r="J2885" i="13" s="1"/>
  <c r="H2886" i="13"/>
  <c r="J2886" i="13" s="1"/>
  <c r="H2887" i="13"/>
  <c r="J2887" i="13" s="1"/>
  <c r="H2888" i="13"/>
  <c r="J2888" i="13" s="1"/>
  <c r="H2889" i="13"/>
  <c r="J2889" i="13" s="1"/>
  <c r="H2890" i="13"/>
  <c r="J2890" i="13" s="1"/>
  <c r="H2891" i="13"/>
  <c r="J2891" i="13" s="1"/>
  <c r="H2892" i="13"/>
  <c r="J2892" i="13" s="1"/>
  <c r="H2893" i="13"/>
  <c r="J2893" i="13" s="1"/>
  <c r="H2894" i="13"/>
  <c r="J2894" i="13" s="1"/>
  <c r="H2895" i="13"/>
  <c r="J2895" i="13" s="1"/>
  <c r="H2896" i="13"/>
  <c r="J2896" i="13" s="1"/>
  <c r="H2897" i="13"/>
  <c r="J2897" i="13" s="1"/>
  <c r="H2898" i="13"/>
  <c r="J2898" i="13" s="1"/>
  <c r="H2899" i="13"/>
  <c r="J2899" i="13" s="1"/>
  <c r="H2900" i="13"/>
  <c r="J2900" i="13" s="1"/>
  <c r="H2901" i="13"/>
  <c r="J2901" i="13" s="1"/>
  <c r="H2902" i="13"/>
  <c r="J2902" i="13" s="1"/>
  <c r="H2903" i="13"/>
  <c r="J2903" i="13" s="1"/>
  <c r="H2904" i="13"/>
  <c r="J2904" i="13" s="1"/>
  <c r="H2905" i="13"/>
  <c r="J2905" i="13" s="1"/>
  <c r="H2906" i="13"/>
  <c r="J2906" i="13" s="1"/>
  <c r="H2907" i="13"/>
  <c r="J2907" i="13" s="1"/>
  <c r="H2908" i="13"/>
  <c r="J2908" i="13" s="1"/>
  <c r="H2909" i="13"/>
  <c r="J2909" i="13" s="1"/>
  <c r="H2910" i="13"/>
  <c r="J2910" i="13" s="1"/>
  <c r="H2911" i="13"/>
  <c r="J2911" i="13" s="1"/>
  <c r="H2912" i="13"/>
  <c r="J2912" i="13" s="1"/>
  <c r="H2913" i="13"/>
  <c r="J2913" i="13" s="1"/>
  <c r="H2914" i="13"/>
  <c r="J2914" i="13" s="1"/>
  <c r="H2915" i="13"/>
  <c r="J2915" i="13" s="1"/>
  <c r="H2916" i="13"/>
  <c r="J2916" i="13" s="1"/>
  <c r="H2917" i="13"/>
  <c r="J2917" i="13" s="1"/>
  <c r="H2918" i="13"/>
  <c r="J2918" i="13" s="1"/>
  <c r="H2919" i="13"/>
  <c r="J2919" i="13" s="1"/>
  <c r="H2920" i="13"/>
  <c r="J2920" i="13" s="1"/>
  <c r="H2921" i="13"/>
  <c r="J2921" i="13" s="1"/>
  <c r="H2922" i="13"/>
  <c r="J2922" i="13" s="1"/>
  <c r="H2923" i="13"/>
  <c r="J2923" i="13" s="1"/>
  <c r="H2924" i="13"/>
  <c r="J2924" i="13" s="1"/>
  <c r="H2925" i="13"/>
  <c r="J2925" i="13" s="1"/>
  <c r="H2926" i="13"/>
  <c r="J2926" i="13" s="1"/>
  <c r="H2927" i="13"/>
  <c r="J2927" i="13" s="1"/>
  <c r="H2928" i="13"/>
  <c r="J2928" i="13" s="1"/>
  <c r="H2929" i="13"/>
  <c r="J2929" i="13" s="1"/>
  <c r="H2930" i="13"/>
  <c r="J2930" i="13" s="1"/>
  <c r="H2931" i="13"/>
  <c r="J2931" i="13" s="1"/>
  <c r="H2932" i="13"/>
  <c r="J2932" i="13" s="1"/>
  <c r="H2933" i="13"/>
  <c r="J2933" i="13" s="1"/>
  <c r="H2934" i="13"/>
  <c r="J2934" i="13" s="1"/>
  <c r="H2935" i="13"/>
  <c r="J2935" i="13" s="1"/>
  <c r="H2936" i="13"/>
  <c r="J2936" i="13" s="1"/>
  <c r="H2937" i="13"/>
  <c r="J2937" i="13" s="1"/>
  <c r="H2938" i="13"/>
  <c r="J2938" i="13" s="1"/>
  <c r="H2939" i="13"/>
  <c r="J2939" i="13" s="1"/>
  <c r="H2940" i="13"/>
  <c r="J2940" i="13" s="1"/>
  <c r="H2941" i="13"/>
  <c r="J2941" i="13" s="1"/>
  <c r="H2942" i="13"/>
  <c r="J2942" i="13" s="1"/>
  <c r="H2943" i="13"/>
  <c r="J2943" i="13" s="1"/>
  <c r="H2944" i="13"/>
  <c r="J2944" i="13" s="1"/>
  <c r="H2945" i="13"/>
  <c r="J2945" i="13" s="1"/>
  <c r="H2946" i="13"/>
  <c r="J2946" i="13" s="1"/>
  <c r="H2947" i="13"/>
  <c r="J2947" i="13" s="1"/>
  <c r="H2948" i="13"/>
  <c r="J2948" i="13" s="1"/>
  <c r="H2949" i="13"/>
  <c r="J2949" i="13" s="1"/>
  <c r="H2950" i="13"/>
  <c r="J2950" i="13" s="1"/>
  <c r="H2951" i="13"/>
  <c r="J2951" i="13" s="1"/>
  <c r="H2952" i="13"/>
  <c r="J2952" i="13" s="1"/>
  <c r="H2953" i="13"/>
  <c r="J2953" i="13" s="1"/>
  <c r="H2954" i="13"/>
  <c r="J2954" i="13" s="1"/>
  <c r="H2955" i="13"/>
  <c r="J2955" i="13" s="1"/>
  <c r="H2956" i="13"/>
  <c r="J2956" i="13" s="1"/>
  <c r="H2957" i="13"/>
  <c r="J2957" i="13" s="1"/>
  <c r="H2958" i="13"/>
  <c r="J2958" i="13" s="1"/>
  <c r="H2959" i="13"/>
  <c r="J2959" i="13" s="1"/>
  <c r="H2960" i="13"/>
  <c r="J2960" i="13" s="1"/>
  <c r="H2961" i="13"/>
  <c r="J2961" i="13" s="1"/>
  <c r="H2962" i="13"/>
  <c r="J2962" i="13" s="1"/>
  <c r="H2963" i="13"/>
  <c r="J2963" i="13" s="1"/>
  <c r="H2964" i="13"/>
  <c r="J2964" i="13" s="1"/>
  <c r="H2965" i="13"/>
  <c r="J2965" i="13" s="1"/>
  <c r="H2966" i="13"/>
  <c r="J2966" i="13" s="1"/>
  <c r="H2967" i="13"/>
  <c r="J2967" i="13" s="1"/>
  <c r="H2968" i="13"/>
  <c r="J2968" i="13" s="1"/>
  <c r="H2969" i="13"/>
  <c r="J2969" i="13" s="1"/>
  <c r="H2970" i="13"/>
  <c r="J2970" i="13" s="1"/>
  <c r="H2971" i="13"/>
  <c r="J2971" i="13" s="1"/>
  <c r="H2972" i="13"/>
  <c r="J2972" i="13" s="1"/>
  <c r="H2973" i="13"/>
  <c r="J2973" i="13" s="1"/>
  <c r="H2974" i="13"/>
  <c r="J2974" i="13" s="1"/>
  <c r="H2975" i="13"/>
  <c r="J2975" i="13" s="1"/>
  <c r="H2976" i="13"/>
  <c r="J2976" i="13" s="1"/>
  <c r="H2977" i="13"/>
  <c r="J2977" i="13" s="1"/>
  <c r="H2978" i="13"/>
  <c r="J2978" i="13" s="1"/>
  <c r="H2979" i="13"/>
  <c r="J2979" i="13" s="1"/>
  <c r="H2980" i="13"/>
  <c r="J2980" i="13" s="1"/>
  <c r="H2981" i="13"/>
  <c r="J2981" i="13" s="1"/>
  <c r="H2982" i="13"/>
  <c r="J2982" i="13" s="1"/>
  <c r="H2983" i="13"/>
  <c r="J2983" i="13" s="1"/>
  <c r="H2984" i="13"/>
  <c r="J2984" i="13" s="1"/>
  <c r="H2985" i="13"/>
  <c r="J2985" i="13" s="1"/>
  <c r="H2986" i="13"/>
  <c r="J2986" i="13" s="1"/>
  <c r="H2987" i="13"/>
  <c r="J2987" i="13" s="1"/>
  <c r="H2988" i="13"/>
  <c r="J2988" i="13" s="1"/>
  <c r="H2989" i="13"/>
  <c r="J2989" i="13" s="1"/>
  <c r="H2990" i="13"/>
  <c r="J2990" i="13" s="1"/>
  <c r="H2991" i="13"/>
  <c r="J2991" i="13" s="1"/>
  <c r="H2992" i="13"/>
  <c r="J2992" i="13" s="1"/>
  <c r="H2993" i="13"/>
  <c r="J2993" i="13" s="1"/>
  <c r="H2994" i="13"/>
  <c r="J2994" i="13" s="1"/>
  <c r="H2995" i="13"/>
  <c r="J2995" i="13" s="1"/>
  <c r="H2996" i="13"/>
  <c r="J2996" i="13" s="1"/>
  <c r="H2997" i="13"/>
  <c r="J2997" i="13" s="1"/>
  <c r="H2998" i="13"/>
  <c r="J2998" i="13" s="1"/>
  <c r="H2999" i="13"/>
  <c r="J2999" i="13" s="1"/>
  <c r="H3000" i="13"/>
  <c r="J3000" i="13" s="1"/>
  <c r="H3001" i="13"/>
  <c r="J3001" i="13" s="1"/>
  <c r="H3002" i="13"/>
  <c r="J3002" i="13" s="1"/>
  <c r="H3003" i="13"/>
  <c r="J3003" i="13" s="1"/>
  <c r="H3004" i="13"/>
  <c r="J3004" i="13" s="1"/>
  <c r="H3005" i="13"/>
  <c r="J3005" i="13" s="1"/>
  <c r="H3006" i="13"/>
  <c r="J3006" i="13" s="1"/>
  <c r="H3007" i="13"/>
  <c r="J3007" i="13" s="1"/>
  <c r="H3008" i="13"/>
  <c r="J3008" i="13" s="1"/>
  <c r="H3009" i="13"/>
  <c r="J3009" i="13" s="1"/>
  <c r="H3010" i="13"/>
  <c r="J3010" i="13" s="1"/>
  <c r="H3011" i="13"/>
  <c r="J3011" i="13" s="1"/>
  <c r="H3012" i="13"/>
  <c r="J3012" i="13" s="1"/>
  <c r="H3013" i="13"/>
  <c r="J3013" i="13" s="1"/>
  <c r="H3014" i="13"/>
  <c r="J3014" i="13" s="1"/>
  <c r="H3015" i="13"/>
  <c r="J3015" i="13" s="1"/>
  <c r="H3016" i="13"/>
  <c r="J3016" i="13" s="1"/>
  <c r="H3017" i="13"/>
  <c r="J3017" i="13" s="1"/>
  <c r="H3018" i="13"/>
  <c r="J3018" i="13" s="1"/>
  <c r="H3019" i="13"/>
  <c r="J3019" i="13" s="1"/>
  <c r="H3020" i="13"/>
  <c r="J3020" i="13" s="1"/>
  <c r="H3021" i="13"/>
  <c r="J3021" i="13" s="1"/>
  <c r="H3022" i="13"/>
  <c r="J3022" i="13" s="1"/>
  <c r="H3023" i="13"/>
  <c r="J3023" i="13" s="1"/>
  <c r="H3024" i="13"/>
  <c r="J3024" i="13" s="1"/>
  <c r="H3025" i="13"/>
  <c r="J3025" i="13" s="1"/>
  <c r="H3026" i="13"/>
  <c r="J3026" i="13" s="1"/>
  <c r="H3027" i="13"/>
  <c r="J3027" i="13" s="1"/>
  <c r="H3028" i="13"/>
  <c r="J3028" i="13" s="1"/>
  <c r="H3029" i="13"/>
  <c r="J3029" i="13" s="1"/>
  <c r="H3030" i="13"/>
  <c r="J3030" i="13" s="1"/>
  <c r="H3031" i="13"/>
  <c r="J3031" i="13" s="1"/>
  <c r="H3032" i="13"/>
  <c r="J3032" i="13" s="1"/>
  <c r="H3033" i="13"/>
  <c r="J3033" i="13" s="1"/>
  <c r="H3034" i="13"/>
  <c r="J3034" i="13" s="1"/>
  <c r="H3035" i="13"/>
  <c r="J3035" i="13" s="1"/>
  <c r="H3036" i="13"/>
  <c r="J3036" i="13" s="1"/>
  <c r="H3037" i="13"/>
  <c r="J3037" i="13" s="1"/>
  <c r="H3038" i="13"/>
  <c r="J3038" i="13" s="1"/>
  <c r="H3039" i="13"/>
  <c r="J3039" i="13" s="1"/>
  <c r="H3040" i="13"/>
  <c r="J3040" i="13" s="1"/>
  <c r="H3041" i="13"/>
  <c r="J3041" i="13" s="1"/>
  <c r="H3042" i="13"/>
  <c r="J3042" i="13" s="1"/>
  <c r="H3043" i="13"/>
  <c r="J3043" i="13" s="1"/>
  <c r="H3603" i="13"/>
  <c r="J3603" i="13" s="1"/>
  <c r="H3604" i="13"/>
  <c r="J3604" i="13" s="1"/>
  <c r="H3605" i="13"/>
  <c r="J3605" i="13" s="1"/>
  <c r="H3606" i="13"/>
  <c r="J3606" i="13" s="1"/>
  <c r="H3607" i="13"/>
  <c r="J3607" i="13" s="1"/>
  <c r="H3608" i="13"/>
  <c r="J3608" i="13" s="1"/>
  <c r="H3609" i="13"/>
  <c r="J3609" i="13" s="1"/>
  <c r="H3610" i="13"/>
  <c r="J3610" i="13" s="1"/>
  <c r="H3611" i="13"/>
  <c r="J3611" i="13" s="1"/>
  <c r="H3612" i="13"/>
  <c r="J3612" i="13" s="1"/>
  <c r="H3613" i="13"/>
  <c r="J3613" i="13" s="1"/>
  <c r="H3614" i="13"/>
  <c r="J3614" i="13" s="1"/>
  <c r="H3615" i="13"/>
  <c r="J3615" i="13" s="1"/>
  <c r="H3616" i="13"/>
  <c r="J3616" i="13" s="1"/>
  <c r="H3617" i="13"/>
  <c r="J3617" i="13" s="1"/>
  <c r="H3618" i="13"/>
  <c r="J3618" i="13" s="1"/>
  <c r="H3619" i="13"/>
  <c r="J3619" i="13" s="1"/>
  <c r="H3620" i="13"/>
  <c r="J3620" i="13" s="1"/>
  <c r="H3621" i="13"/>
  <c r="J3621" i="13" s="1"/>
  <c r="H3622" i="13"/>
  <c r="J3622" i="13" s="1"/>
  <c r="H3623" i="13"/>
  <c r="J3623" i="13" s="1"/>
  <c r="H3624" i="13"/>
  <c r="J3624" i="13" s="1"/>
  <c r="H3625" i="13"/>
  <c r="J3625" i="13" s="1"/>
  <c r="H3626" i="13"/>
  <c r="J3626" i="13" s="1"/>
  <c r="H3627" i="13"/>
  <c r="J3627" i="13" s="1"/>
  <c r="H3628" i="13"/>
  <c r="J3628" i="13" s="1"/>
  <c r="H3629" i="13"/>
  <c r="J3629" i="13" s="1"/>
  <c r="H3630" i="13"/>
  <c r="J3630" i="13" s="1"/>
  <c r="H3631" i="13"/>
  <c r="J3631" i="13" s="1"/>
  <c r="H3632" i="13"/>
  <c r="J3632" i="13" s="1"/>
  <c r="H3633" i="13"/>
  <c r="J3633" i="13" s="1"/>
  <c r="H3634" i="13"/>
  <c r="J3634" i="13" s="1"/>
  <c r="H3635" i="13"/>
  <c r="J3635" i="13" s="1"/>
  <c r="H3636" i="13"/>
  <c r="J3636" i="13" s="1"/>
  <c r="H3637" i="13"/>
  <c r="J3637" i="13" s="1"/>
  <c r="H3773" i="13"/>
  <c r="J3773" i="13" s="1"/>
  <c r="H3774" i="13"/>
  <c r="J3774" i="13" s="1"/>
  <c r="H3775" i="13"/>
  <c r="J3775" i="13" s="1"/>
  <c r="H3776" i="13"/>
  <c r="J3776" i="13" s="1"/>
  <c r="H3777" i="13"/>
  <c r="J3777" i="13" s="1"/>
  <c r="H3778" i="13"/>
  <c r="J3778" i="13" s="1"/>
  <c r="H3779" i="13"/>
  <c r="J3779" i="13" s="1"/>
  <c r="H3780" i="13"/>
  <c r="J3780" i="13" s="1"/>
  <c r="H3781" i="13"/>
  <c r="J3781" i="13" s="1"/>
  <c r="H3782" i="13"/>
  <c r="J3782" i="13" s="1"/>
  <c r="H3783" i="13"/>
  <c r="J3783" i="13" s="1"/>
  <c r="H3784" i="13"/>
  <c r="J3784" i="13" s="1"/>
  <c r="H3785" i="13"/>
  <c r="J3785" i="13" s="1"/>
  <c r="H3786" i="13"/>
  <c r="J3786" i="13" s="1"/>
  <c r="H3787" i="13"/>
  <c r="J3787" i="13" s="1"/>
  <c r="H3788" i="13"/>
  <c r="J3788" i="13" s="1"/>
  <c r="H3789" i="13"/>
  <c r="J3789" i="13" s="1"/>
  <c r="H3790" i="13"/>
  <c r="J3790" i="13" s="1"/>
  <c r="H3791" i="13"/>
  <c r="J3791" i="13" s="1"/>
  <c r="H3792" i="13"/>
  <c r="J3792" i="13" s="1"/>
  <c r="H3793" i="13"/>
  <c r="J3793" i="13" s="1"/>
  <c r="H3794" i="13"/>
  <c r="J3794" i="13" s="1"/>
  <c r="H3795" i="13"/>
  <c r="J3795" i="13" s="1"/>
  <c r="H3796" i="13"/>
  <c r="J3796" i="13" s="1"/>
  <c r="H3797" i="13"/>
  <c r="J3797" i="13" s="1"/>
  <c r="H3798" i="13"/>
  <c r="J3798" i="13" s="1"/>
  <c r="H3799" i="13"/>
  <c r="J3799" i="13" s="1"/>
  <c r="H3800" i="13"/>
  <c r="J3800" i="13" s="1"/>
  <c r="H3801" i="13"/>
  <c r="J3801" i="13" s="1"/>
  <c r="H3802" i="13"/>
  <c r="J3802" i="13" s="1"/>
  <c r="H3803" i="13"/>
  <c r="J3803" i="13" s="1"/>
  <c r="H3804" i="13"/>
  <c r="J3804" i="13" s="1"/>
  <c r="H3805" i="13"/>
  <c r="J3805" i="13" s="1"/>
  <c r="H3806" i="13"/>
  <c r="J3806" i="13" s="1"/>
  <c r="H3807" i="13"/>
  <c r="J3807" i="13" s="1"/>
  <c r="H3808" i="13"/>
  <c r="J3808" i="13" s="1"/>
  <c r="H3809" i="13"/>
  <c r="J3809" i="13" s="1"/>
  <c r="H3810" i="13"/>
  <c r="J3810" i="13" s="1"/>
  <c r="H3811" i="13"/>
  <c r="J3811" i="13" s="1"/>
  <c r="H3812" i="13"/>
  <c r="J3812" i="13" s="1"/>
  <c r="H3813" i="13"/>
  <c r="J3813" i="13" s="1"/>
  <c r="H3814" i="13"/>
  <c r="J3814" i="13" s="1"/>
  <c r="H3815" i="13"/>
  <c r="J3815" i="13" s="1"/>
  <c r="H3816" i="13"/>
  <c r="J3816" i="13" s="1"/>
  <c r="H3817" i="13"/>
  <c r="J3817" i="13" s="1"/>
  <c r="H3818" i="13"/>
  <c r="J3818" i="13" s="1"/>
  <c r="H3819" i="13"/>
  <c r="J3819" i="13" s="1"/>
  <c r="H3820" i="13"/>
  <c r="J3820" i="13" s="1"/>
  <c r="H3821" i="13"/>
  <c r="J3821" i="13" s="1"/>
  <c r="H3822" i="13"/>
  <c r="J3822" i="13" s="1"/>
  <c r="H3823" i="13"/>
  <c r="J3823" i="13" s="1"/>
  <c r="H3824" i="13"/>
  <c r="J3824" i="13" s="1"/>
  <c r="H3825" i="13"/>
  <c r="J3825" i="13" s="1"/>
  <c r="H3826" i="13"/>
  <c r="J3826" i="13" s="1"/>
  <c r="H3827" i="13"/>
  <c r="J3827" i="13" s="1"/>
  <c r="H3828" i="13"/>
  <c r="J3828" i="13" s="1"/>
  <c r="H3829" i="13"/>
  <c r="J3829" i="13" s="1"/>
  <c r="H3830" i="13"/>
  <c r="J3830" i="13" s="1"/>
  <c r="H3831" i="13"/>
  <c r="J3831" i="13" s="1"/>
  <c r="H3832" i="13"/>
  <c r="J3832" i="13" s="1"/>
  <c r="H3833" i="13"/>
  <c r="J3833" i="13" s="1"/>
  <c r="H3834" i="13"/>
  <c r="J3834" i="13" s="1"/>
  <c r="H3835" i="13"/>
  <c r="J3835" i="13" s="1"/>
  <c r="H3836" i="13"/>
  <c r="J3836" i="13" s="1"/>
  <c r="H3837" i="13"/>
  <c r="J3837" i="13" s="1"/>
  <c r="H3838" i="13"/>
  <c r="J3838" i="13" s="1"/>
  <c r="H3839" i="13"/>
  <c r="J3839" i="13" s="1"/>
  <c r="H3840" i="13"/>
  <c r="J3840" i="13" s="1"/>
  <c r="H3841" i="13"/>
  <c r="J3841" i="13" s="1"/>
  <c r="H3842" i="13"/>
  <c r="J3842" i="13" s="1"/>
  <c r="H3843" i="13"/>
  <c r="J3843" i="13" s="1"/>
  <c r="H3844" i="13"/>
  <c r="J3844" i="13" s="1"/>
  <c r="H3845" i="13"/>
  <c r="J3845" i="13" s="1"/>
  <c r="H3846" i="13"/>
  <c r="J3846" i="13" s="1"/>
  <c r="H3847" i="13"/>
  <c r="J3847" i="13" s="1"/>
  <c r="H3848" i="13"/>
  <c r="J3848" i="13" s="1"/>
  <c r="H3849" i="13"/>
  <c r="J3849" i="13" s="1"/>
  <c r="H3850" i="13"/>
  <c r="J3850" i="13" s="1"/>
  <c r="H3851" i="13"/>
  <c r="J3851" i="13" s="1"/>
  <c r="H3852" i="13"/>
  <c r="J3852" i="13" s="1"/>
  <c r="H3853" i="13"/>
  <c r="J3853" i="13" s="1"/>
  <c r="H3854" i="13"/>
  <c r="J3854" i="13" s="1"/>
  <c r="H3855" i="13"/>
  <c r="J3855" i="13" s="1"/>
  <c r="H3856" i="13"/>
  <c r="J3856" i="13" s="1"/>
  <c r="H3857" i="13"/>
  <c r="J3857" i="13" s="1"/>
  <c r="H3858" i="13"/>
  <c r="J3858" i="13" s="1"/>
  <c r="H3859" i="13"/>
  <c r="J3859" i="13" s="1"/>
  <c r="H3860" i="13"/>
  <c r="J3860" i="13" s="1"/>
  <c r="H3861" i="13"/>
  <c r="J3861" i="13" s="1"/>
  <c r="H3862" i="13"/>
  <c r="J3862" i="13" s="1"/>
  <c r="H3863" i="13"/>
  <c r="J3863" i="13" s="1"/>
  <c r="H3864" i="13"/>
  <c r="J3864" i="13" s="1"/>
  <c r="H3865" i="13"/>
  <c r="J3865" i="13" s="1"/>
  <c r="H3866" i="13"/>
  <c r="J3866" i="13" s="1"/>
  <c r="H3867" i="13"/>
  <c r="J3867" i="13" s="1"/>
  <c r="H3868" i="13"/>
  <c r="J3868" i="13" s="1"/>
  <c r="H3869" i="13"/>
  <c r="J3869" i="13" s="1"/>
  <c r="H3870" i="13"/>
  <c r="J3870" i="13" s="1"/>
  <c r="H3871" i="13"/>
  <c r="J3871" i="13" s="1"/>
  <c r="H3872" i="13"/>
  <c r="J3872" i="13" s="1"/>
  <c r="H3873" i="13"/>
  <c r="J3873" i="13" s="1"/>
  <c r="H3874" i="13"/>
  <c r="J3874" i="13" s="1"/>
  <c r="H3875" i="13"/>
  <c r="J3875" i="13" s="1"/>
  <c r="H3876" i="13"/>
  <c r="J3876" i="13" s="1"/>
  <c r="H3877" i="13"/>
  <c r="J3877" i="13" s="1"/>
  <c r="H3878" i="13"/>
  <c r="J3878" i="13" s="1"/>
  <c r="H3879" i="13"/>
  <c r="J3879" i="13" s="1"/>
  <c r="H3880" i="13"/>
  <c r="J3880" i="13" s="1"/>
  <c r="H3881" i="13"/>
  <c r="J3881" i="13" s="1"/>
  <c r="H3882" i="13"/>
  <c r="J3882" i="13" s="1"/>
  <c r="H3883" i="13"/>
  <c r="J3883" i="13" s="1"/>
  <c r="H3884" i="13"/>
  <c r="J3884" i="13" s="1"/>
  <c r="H3885" i="13"/>
  <c r="J3885" i="13" s="1"/>
  <c r="H3886" i="13"/>
  <c r="J3886" i="13" s="1"/>
  <c r="H3887" i="13"/>
  <c r="J3887" i="13" s="1"/>
  <c r="H3888" i="13"/>
  <c r="J3888" i="13" s="1"/>
  <c r="H3889" i="13"/>
  <c r="J3889" i="13" s="1"/>
  <c r="H3890" i="13"/>
  <c r="J3890" i="13" s="1"/>
  <c r="H3891" i="13"/>
  <c r="J3891" i="13" s="1"/>
  <c r="H3892" i="13"/>
  <c r="J3892" i="13" s="1"/>
  <c r="H3893" i="13"/>
  <c r="J3893" i="13" s="1"/>
  <c r="H3894" i="13"/>
  <c r="J3894" i="13" s="1"/>
  <c r="H3895" i="13"/>
  <c r="J3895" i="13" s="1"/>
  <c r="H3896" i="13"/>
  <c r="J3896" i="13" s="1"/>
  <c r="H3897" i="13"/>
  <c r="J3897" i="13" s="1"/>
  <c r="H3898" i="13"/>
  <c r="J3898" i="13" s="1"/>
  <c r="H3899" i="13"/>
  <c r="J3899" i="13" s="1"/>
  <c r="H3900" i="13"/>
  <c r="J3900" i="13" s="1"/>
  <c r="H3901" i="13"/>
  <c r="J3901" i="13" s="1"/>
  <c r="H3902" i="13"/>
  <c r="J3902" i="13" s="1"/>
  <c r="H3903" i="13"/>
  <c r="J3903" i="13" s="1"/>
  <c r="H3904" i="13"/>
  <c r="J3904" i="13" s="1"/>
  <c r="H3905" i="13"/>
  <c r="J3905" i="13" s="1"/>
  <c r="H3906" i="13"/>
  <c r="J3906" i="13" s="1"/>
  <c r="H3907" i="13"/>
  <c r="J3907" i="13" s="1"/>
  <c r="H3908" i="13"/>
  <c r="J3908" i="13" s="1"/>
  <c r="H3909" i="13"/>
  <c r="J3909" i="13" s="1"/>
  <c r="H3910" i="13"/>
  <c r="J3910" i="13" s="1"/>
  <c r="H3911" i="13"/>
  <c r="J3911" i="13" s="1"/>
  <c r="H3912" i="13"/>
  <c r="J3912" i="13" s="1"/>
  <c r="H3913" i="13"/>
  <c r="J3913" i="13" s="1"/>
  <c r="H3914" i="13"/>
  <c r="J3914" i="13" s="1"/>
  <c r="H3915" i="13"/>
  <c r="J3915" i="13" s="1"/>
  <c r="H3916" i="13"/>
  <c r="J3916" i="13" s="1"/>
  <c r="H3917" i="13"/>
  <c r="J3917" i="13" s="1"/>
  <c r="H3918" i="13"/>
  <c r="J3918" i="13" s="1"/>
  <c r="H3919" i="13"/>
  <c r="J3919" i="13" s="1"/>
  <c r="H3920" i="13"/>
  <c r="J3920" i="13" s="1"/>
  <c r="H3921" i="13"/>
  <c r="J3921" i="13" s="1"/>
  <c r="H3922" i="13"/>
  <c r="J3922" i="13" s="1"/>
  <c r="H3923" i="13"/>
  <c r="J3923" i="13" s="1"/>
  <c r="H3924" i="13"/>
  <c r="J3924" i="13" s="1"/>
  <c r="H3925" i="13"/>
  <c r="J3925" i="13" s="1"/>
  <c r="H3989" i="13"/>
  <c r="J3989" i="13" s="1"/>
  <c r="H3990" i="13"/>
  <c r="J3990" i="13" s="1"/>
  <c r="H3991" i="13"/>
  <c r="J3991" i="13" s="1"/>
  <c r="H3992" i="13"/>
  <c r="J3992" i="13" s="1"/>
  <c r="H3993" i="13"/>
  <c r="J3993" i="13" s="1"/>
  <c r="H3994" i="13"/>
  <c r="J3994" i="13" s="1"/>
  <c r="H3995" i="13"/>
  <c r="J3995" i="13" s="1"/>
  <c r="H3996" i="13"/>
  <c r="J3996" i="13" s="1"/>
  <c r="H3997" i="13"/>
  <c r="J3997" i="13" s="1"/>
  <c r="H3998" i="13"/>
  <c r="J3998" i="13" s="1"/>
  <c r="H3999" i="13"/>
  <c r="J3999" i="13" s="1"/>
  <c r="H4000" i="13"/>
  <c r="J4000" i="13" s="1"/>
  <c r="H4001" i="13"/>
  <c r="J4001" i="13" s="1"/>
  <c r="H4002" i="13"/>
  <c r="J4002" i="13" s="1"/>
  <c r="H4003" i="13"/>
  <c r="J4003" i="13" s="1"/>
  <c r="H4004" i="13"/>
  <c r="J4004" i="13" s="1"/>
  <c r="H4005" i="13"/>
  <c r="J4005" i="13" s="1"/>
  <c r="H4006" i="13"/>
  <c r="J4006" i="13" s="1"/>
  <c r="H4007" i="13"/>
  <c r="J4007" i="13" s="1"/>
  <c r="H4008" i="13"/>
  <c r="J4008" i="13" s="1"/>
  <c r="H4009" i="13"/>
  <c r="J4009" i="13" s="1"/>
  <c r="H4010" i="13"/>
  <c r="J4010" i="13" s="1"/>
  <c r="H4011" i="13"/>
  <c r="J4011" i="13" s="1"/>
  <c r="H4012" i="13"/>
  <c r="J4012" i="13" s="1"/>
  <c r="H4013" i="13"/>
  <c r="J4013" i="13" s="1"/>
  <c r="H4014" i="13"/>
  <c r="J4014" i="13" s="1"/>
  <c r="H4015" i="13"/>
  <c r="J4015" i="13" s="1"/>
  <c r="H4016" i="13"/>
  <c r="J4016" i="13" s="1"/>
  <c r="H4017" i="13"/>
  <c r="J4017" i="13" s="1"/>
  <c r="H4018" i="13"/>
  <c r="J4018" i="13" s="1"/>
  <c r="H4019" i="13"/>
  <c r="J4019" i="13" s="1"/>
  <c r="H4020" i="13"/>
  <c r="J4020" i="13" s="1"/>
  <c r="H4021" i="13"/>
  <c r="J4021" i="13" s="1"/>
  <c r="H4022" i="13"/>
  <c r="J4022" i="13" s="1"/>
  <c r="H4023" i="13"/>
  <c r="J4023" i="13" s="1"/>
  <c r="H4024" i="13"/>
  <c r="J4024" i="13" s="1"/>
  <c r="H4025" i="13"/>
  <c r="J4025" i="13" s="1"/>
  <c r="H4026" i="13"/>
  <c r="J4026" i="13" s="1"/>
  <c r="H4027" i="13"/>
  <c r="J4027" i="13" s="1"/>
  <c r="H4028" i="13"/>
  <c r="J4028" i="13" s="1"/>
  <c r="H4029" i="13"/>
  <c r="J4029" i="13" s="1"/>
  <c r="H4030" i="13"/>
  <c r="J4030" i="13" s="1"/>
  <c r="H4031" i="13"/>
  <c r="J4031" i="13" s="1"/>
  <c r="H4032" i="13"/>
  <c r="J4032" i="13" s="1"/>
  <c r="H4033" i="13"/>
  <c r="J4033" i="13" s="1"/>
  <c r="H4034" i="13"/>
  <c r="J4034" i="13" s="1"/>
  <c r="H4035" i="13"/>
  <c r="J4035" i="13" s="1"/>
  <c r="H4036" i="13"/>
  <c r="J4036" i="13" s="1"/>
  <c r="H4037" i="13"/>
  <c r="J4037" i="13" s="1"/>
  <c r="H4038" i="13"/>
  <c r="J4038" i="13" s="1"/>
  <c r="H4039" i="13"/>
  <c r="J4039" i="13" s="1"/>
  <c r="H4040" i="13"/>
  <c r="J4040" i="13" s="1"/>
  <c r="H4041" i="13"/>
  <c r="J4041" i="13" s="1"/>
  <c r="H4042" i="13"/>
  <c r="J4042" i="13" s="1"/>
  <c r="H4043" i="13"/>
  <c r="J4043" i="13" s="1"/>
  <c r="H4044" i="13"/>
  <c r="J4044" i="13" s="1"/>
  <c r="H4045" i="13"/>
  <c r="J4045" i="13" s="1"/>
  <c r="H4046" i="13"/>
  <c r="J4046" i="13" s="1"/>
  <c r="H4047" i="13"/>
  <c r="J4047" i="13" s="1"/>
  <c r="H4048" i="13"/>
  <c r="J4048" i="13" s="1"/>
  <c r="H4049" i="13"/>
  <c r="J4049" i="13" s="1"/>
  <c r="H4050" i="13"/>
  <c r="J4050" i="13" s="1"/>
  <c r="H4051" i="13"/>
  <c r="J4051" i="13" s="1"/>
  <c r="H4052" i="13"/>
  <c r="J4052" i="13" s="1"/>
  <c r="H4053" i="13"/>
  <c r="J4053" i="13" s="1"/>
  <c r="H4054" i="13"/>
  <c r="J4054" i="13" s="1"/>
  <c r="H4055" i="13"/>
  <c r="J4055" i="13" s="1"/>
  <c r="H4056" i="13"/>
  <c r="J4056" i="13" s="1"/>
  <c r="H4057" i="13"/>
  <c r="J4057" i="13" s="1"/>
  <c r="H4058" i="13"/>
  <c r="J4058" i="13" s="1"/>
  <c r="H4059" i="13"/>
  <c r="J4059" i="13" s="1"/>
  <c r="H4060" i="13"/>
  <c r="J4060" i="13" s="1"/>
  <c r="H4061" i="13"/>
  <c r="J4061" i="13" s="1"/>
  <c r="H4062" i="13"/>
  <c r="J4062" i="13" s="1"/>
  <c r="H4063" i="13"/>
  <c r="J4063" i="13" s="1"/>
  <c r="H4064" i="13"/>
  <c r="J4064" i="13" s="1"/>
  <c r="H4065" i="13"/>
  <c r="J4065" i="13" s="1"/>
  <c r="H4066" i="13"/>
  <c r="J4066" i="13" s="1"/>
  <c r="H4067" i="13"/>
  <c r="J4067" i="13" s="1"/>
  <c r="H4068" i="13"/>
  <c r="J4068" i="13" s="1"/>
  <c r="H4069" i="13"/>
  <c r="J4069" i="13" s="1"/>
  <c r="H4070" i="13"/>
  <c r="J4070" i="13" s="1"/>
  <c r="H4071" i="13"/>
  <c r="J4071" i="13" s="1"/>
  <c r="H4072" i="13"/>
  <c r="J4072" i="13" s="1"/>
  <c r="H4073" i="13"/>
  <c r="J4073" i="13" s="1"/>
  <c r="H4074" i="13"/>
  <c r="J4074" i="13" s="1"/>
  <c r="H4075" i="13"/>
  <c r="J4075" i="13" s="1"/>
  <c r="H4076" i="13"/>
  <c r="J4076" i="13" s="1"/>
  <c r="H4077" i="13"/>
  <c r="J4077" i="13" s="1"/>
  <c r="H4078" i="13"/>
  <c r="J4078" i="13" s="1"/>
  <c r="H4097" i="13"/>
  <c r="J4097" i="13" s="1"/>
  <c r="H4098" i="13"/>
  <c r="J4098" i="13" s="1"/>
  <c r="H4099" i="13"/>
  <c r="J4099" i="13" s="1"/>
  <c r="H4100" i="13"/>
  <c r="J4100" i="13" s="1"/>
  <c r="H4101" i="13"/>
  <c r="J4101" i="13" s="1"/>
  <c r="H4102" i="13"/>
  <c r="J4102" i="13" s="1"/>
  <c r="H4103" i="13"/>
  <c r="J4103" i="13" s="1"/>
  <c r="H4104" i="13"/>
  <c r="J4104" i="13" s="1"/>
  <c r="H4105" i="13"/>
  <c r="J4105" i="13" s="1"/>
  <c r="H4115" i="13"/>
  <c r="J4115" i="13" s="1"/>
  <c r="H4116" i="13"/>
  <c r="J4116" i="13" s="1"/>
  <c r="H4117" i="13"/>
  <c r="J4117" i="13" s="1"/>
  <c r="H4118" i="13"/>
  <c r="J4118" i="13" s="1"/>
  <c r="H4119" i="13"/>
  <c r="J4119" i="13" s="1"/>
  <c r="H4120" i="13"/>
  <c r="J4120" i="13" s="1"/>
  <c r="H4121" i="13"/>
  <c r="J4121" i="13" s="1"/>
  <c r="H4122" i="13"/>
  <c r="J4122" i="13" s="1"/>
  <c r="H4123" i="13"/>
  <c r="J4123" i="13" s="1"/>
  <c r="H4124" i="13"/>
  <c r="J4124" i="13" s="1"/>
  <c r="H4125" i="13"/>
  <c r="J4125" i="13" s="1"/>
  <c r="H4126" i="13"/>
  <c r="J4126" i="13" s="1"/>
  <c r="H4127" i="13"/>
  <c r="J4127" i="13" s="1"/>
  <c r="H4128" i="13"/>
  <c r="J4128" i="13" s="1"/>
  <c r="H4129" i="13"/>
  <c r="J4129" i="13" s="1"/>
  <c r="H4130" i="13"/>
  <c r="J4130" i="13" s="1"/>
  <c r="H4131" i="13"/>
  <c r="J4131" i="13" s="1"/>
  <c r="H4132" i="13"/>
  <c r="J4132" i="13" s="1"/>
  <c r="H4133" i="13"/>
  <c r="J4133" i="13" s="1"/>
  <c r="H4134" i="13"/>
  <c r="J4134" i="13" s="1"/>
  <c r="H4135" i="13"/>
  <c r="J4135" i="13" s="1"/>
  <c r="H4136" i="13"/>
  <c r="J4136" i="13" s="1"/>
  <c r="H4137" i="13"/>
  <c r="J4137" i="13" s="1"/>
  <c r="H4138" i="13"/>
  <c r="J4138" i="13" s="1"/>
  <c r="H4139" i="13"/>
  <c r="J4139" i="13" s="1"/>
  <c r="H4140" i="13"/>
  <c r="J4140" i="13" s="1"/>
  <c r="H4141" i="13"/>
  <c r="J4141" i="13" s="1"/>
  <c r="H4142" i="13"/>
  <c r="J4142" i="13" s="1"/>
  <c r="H4143" i="13"/>
  <c r="J4143" i="13" s="1"/>
  <c r="H4144" i="13"/>
  <c r="J4144" i="13" s="1"/>
  <c r="H4145" i="13"/>
  <c r="J4145" i="13" s="1"/>
  <c r="H4146" i="13"/>
  <c r="J4146" i="13" s="1"/>
  <c r="H4147" i="13"/>
  <c r="J4147" i="13" s="1"/>
  <c r="H4148" i="13"/>
  <c r="J4148" i="13" s="1"/>
  <c r="H4149" i="13"/>
  <c r="J4149" i="13" s="1"/>
  <c r="H4150" i="13"/>
  <c r="J4150" i="13" s="1"/>
  <c r="H4151" i="13"/>
  <c r="J4151" i="13" s="1"/>
  <c r="H4152" i="13"/>
  <c r="J4152" i="13" s="1"/>
  <c r="H4153" i="13"/>
  <c r="J4153" i="13" s="1"/>
  <c r="H4154" i="13"/>
  <c r="J4154" i="13" s="1"/>
  <c r="H4155" i="13"/>
  <c r="J4155" i="13" s="1"/>
  <c r="H4156" i="13"/>
  <c r="J4156" i="13" s="1"/>
  <c r="H4157" i="13"/>
  <c r="J4157" i="13" s="1"/>
  <c r="H4158" i="13"/>
  <c r="J4158" i="13" s="1"/>
  <c r="H4159" i="13"/>
  <c r="J4159" i="13" s="1"/>
  <c r="H4160" i="13"/>
  <c r="J4160" i="13" s="1"/>
  <c r="H4161" i="13"/>
  <c r="J4161" i="13" s="1"/>
  <c r="H4162" i="13"/>
  <c r="J4162" i="13" s="1"/>
  <c r="H4163" i="13"/>
  <c r="J4163" i="13" s="1"/>
  <c r="H4164" i="13"/>
  <c r="J4164" i="13" s="1"/>
  <c r="H4165" i="13"/>
  <c r="J4165" i="13" s="1"/>
  <c r="H4166" i="13"/>
  <c r="J4166" i="13" s="1"/>
  <c r="H4167" i="13"/>
  <c r="J4167" i="13" s="1"/>
  <c r="H4168" i="13"/>
  <c r="J4168" i="13" s="1"/>
  <c r="H4169" i="13"/>
  <c r="J4169" i="13" s="1"/>
  <c r="H4170" i="13"/>
  <c r="J4170" i="13" s="1"/>
  <c r="H4171" i="13"/>
  <c r="J4171" i="13" s="1"/>
  <c r="H4172" i="13"/>
  <c r="J4172" i="13" s="1"/>
  <c r="H4173" i="13"/>
  <c r="J4173" i="13" s="1"/>
  <c r="H4174" i="13"/>
  <c r="J4174" i="13" s="1"/>
  <c r="H4175" i="13"/>
  <c r="J4175" i="13" s="1"/>
  <c r="H4176" i="13"/>
  <c r="J4176" i="13" s="1"/>
  <c r="H4177" i="13"/>
  <c r="J4177" i="13" s="1"/>
  <c r="H4178" i="13"/>
  <c r="J4178" i="13" s="1"/>
  <c r="H4179" i="13"/>
  <c r="J4179" i="13" s="1"/>
  <c r="H4180" i="13"/>
  <c r="J4180" i="13" s="1"/>
  <c r="H4181" i="13"/>
  <c r="J4181" i="13" s="1"/>
  <c r="H4182" i="13"/>
  <c r="J4182" i="13" s="1"/>
  <c r="H4183" i="13"/>
  <c r="J4183" i="13" s="1"/>
  <c r="H4184" i="13"/>
  <c r="J4184" i="13" s="1"/>
  <c r="H4185" i="13"/>
  <c r="J4185" i="13" s="1"/>
  <c r="H4186" i="13"/>
  <c r="J4186" i="13" s="1"/>
  <c r="H4187" i="13"/>
  <c r="J4187" i="13" s="1"/>
  <c r="H4188" i="13"/>
  <c r="J4188" i="13" s="1"/>
  <c r="H4189" i="13"/>
  <c r="J4189" i="13" s="1"/>
  <c r="H4190" i="13"/>
  <c r="J4190" i="13" s="1"/>
  <c r="H4191" i="13"/>
  <c r="J4191" i="13" s="1"/>
  <c r="H4192" i="13"/>
  <c r="J4192" i="13" s="1"/>
  <c r="H4193" i="13"/>
  <c r="J4193" i="13" s="1"/>
  <c r="H4194" i="13"/>
  <c r="J4194" i="13" s="1"/>
  <c r="H4195" i="13"/>
  <c r="J4195" i="13" s="1"/>
  <c r="H4196" i="13"/>
  <c r="J4196" i="13" s="1"/>
  <c r="H4197" i="13"/>
  <c r="J4197" i="13" s="1"/>
  <c r="H4198" i="13"/>
  <c r="J4198" i="13" s="1"/>
  <c r="H4199" i="13"/>
  <c r="J4199" i="13" s="1"/>
  <c r="H4200" i="13"/>
  <c r="J4200" i="13" s="1"/>
  <c r="H4201" i="13"/>
  <c r="J4201" i="13" s="1"/>
  <c r="H4202" i="13"/>
  <c r="J4202" i="13" s="1"/>
  <c r="H4203" i="13"/>
  <c r="J4203" i="13" s="1"/>
  <c r="H4204" i="13"/>
  <c r="J4204" i="13" s="1"/>
  <c r="H4205" i="13"/>
  <c r="J4205" i="13" s="1"/>
  <c r="H4206" i="13"/>
  <c r="J4206" i="13" s="1"/>
  <c r="H4207" i="13"/>
  <c r="J4207" i="13" s="1"/>
  <c r="H4208" i="13"/>
  <c r="J4208" i="13" s="1"/>
  <c r="H4209" i="13"/>
  <c r="J4209" i="13" s="1"/>
  <c r="H4210" i="13"/>
  <c r="J4210" i="13" s="1"/>
  <c r="H4211" i="13"/>
  <c r="J4211" i="13" s="1"/>
  <c r="H4212" i="13"/>
  <c r="J4212" i="13" s="1"/>
  <c r="H4213" i="13"/>
  <c r="J4213" i="13" s="1"/>
  <c r="H4403" i="13"/>
  <c r="J4403" i="13" s="1"/>
  <c r="H4404" i="13"/>
  <c r="J4404" i="13" s="1"/>
  <c r="H4405" i="13"/>
  <c r="J4405" i="13" s="1"/>
  <c r="H4406" i="13"/>
  <c r="J4406" i="13" s="1"/>
  <c r="H4407" i="13"/>
  <c r="J4407" i="13" s="1"/>
  <c r="H4408" i="13"/>
  <c r="J4408" i="13" s="1"/>
  <c r="H4409" i="13"/>
  <c r="J4409" i="13" s="1"/>
  <c r="H4410" i="13"/>
  <c r="J4410" i="13" s="1"/>
  <c r="H4411" i="13"/>
  <c r="J4411" i="13" s="1"/>
  <c r="H4412" i="13"/>
  <c r="J4412" i="13" s="1"/>
  <c r="H4413" i="13"/>
  <c r="J4413" i="13" s="1"/>
  <c r="H4414" i="13"/>
  <c r="J4414" i="13" s="1"/>
  <c r="H4415" i="13"/>
  <c r="J4415" i="13" s="1"/>
  <c r="H4416" i="13"/>
  <c r="J4416" i="13" s="1"/>
  <c r="H4417" i="13"/>
  <c r="J4417" i="13" s="1"/>
  <c r="H4418" i="13"/>
  <c r="J4418" i="13" s="1"/>
  <c r="H4419" i="13"/>
  <c r="J4419" i="13" s="1"/>
  <c r="H4420" i="13"/>
  <c r="J4420" i="13" s="1"/>
  <c r="H4421" i="13"/>
  <c r="J4421" i="13" s="1"/>
  <c r="H4422" i="13"/>
  <c r="J4422" i="13" s="1"/>
  <c r="H4423" i="13"/>
  <c r="J4423" i="13" s="1"/>
  <c r="H4424" i="13"/>
  <c r="J4424" i="13" s="1"/>
  <c r="H4425" i="13"/>
  <c r="J4425" i="13" s="1"/>
  <c r="H4426" i="13"/>
  <c r="J4426" i="13" s="1"/>
  <c r="H4427" i="13"/>
  <c r="J4427" i="13" s="1"/>
  <c r="H4428" i="13"/>
  <c r="J4428" i="13" s="1"/>
  <c r="H4429" i="13"/>
  <c r="J4429" i="13" s="1"/>
  <c r="H4430" i="13"/>
  <c r="J4430" i="13" s="1"/>
  <c r="H4431" i="13"/>
  <c r="J4431" i="13" s="1"/>
  <c r="H4432" i="13"/>
  <c r="J4432" i="13" s="1"/>
  <c r="H4433" i="13"/>
  <c r="J4433" i="13" s="1"/>
  <c r="H4434" i="13"/>
  <c r="J4434" i="13" s="1"/>
  <c r="H4435" i="13"/>
  <c r="J4435" i="13" s="1"/>
  <c r="H4436" i="13"/>
  <c r="J4436" i="13" s="1"/>
  <c r="H4437" i="13"/>
  <c r="J4437" i="13" s="1"/>
  <c r="H4438" i="13"/>
  <c r="J4438" i="13" s="1"/>
  <c r="H4439" i="13"/>
  <c r="J4439" i="13" s="1"/>
  <c r="H4440" i="13"/>
  <c r="J4440" i="13" s="1"/>
  <c r="H4441" i="13"/>
  <c r="J4441" i="13" s="1"/>
  <c r="H4442" i="13"/>
  <c r="J4442" i="13" s="1"/>
  <c r="H4443" i="13"/>
  <c r="J4443" i="13" s="1"/>
  <c r="H4444" i="13"/>
  <c r="J4444" i="13" s="1"/>
  <c r="H4445" i="13"/>
  <c r="J4445" i="13" s="1"/>
  <c r="H4446" i="13"/>
  <c r="J4446" i="13" s="1"/>
  <c r="H4447" i="13"/>
  <c r="J4447" i="13" s="1"/>
  <c r="H4448" i="13"/>
  <c r="J4448" i="13" s="1"/>
  <c r="H4449" i="13"/>
  <c r="J4449" i="13" s="1"/>
  <c r="H4450" i="13"/>
  <c r="J4450" i="13" s="1"/>
  <c r="H4451" i="13"/>
  <c r="J4451" i="13" s="1"/>
  <c r="H4452" i="13"/>
  <c r="J4452" i="13" s="1"/>
  <c r="H4453" i="13"/>
  <c r="J4453" i="13" s="1"/>
  <c r="H4454" i="13"/>
  <c r="J4454" i="13" s="1"/>
  <c r="H4455" i="13"/>
  <c r="J4455" i="13" s="1"/>
  <c r="H4456" i="13"/>
  <c r="J4456" i="13" s="1"/>
  <c r="H4457" i="13"/>
  <c r="J4457" i="13" s="1"/>
  <c r="H4458" i="13"/>
  <c r="J4458" i="13" s="1"/>
  <c r="H4459" i="13"/>
  <c r="J4459" i="13" s="1"/>
  <c r="H4460" i="13"/>
  <c r="J4460" i="13" s="1"/>
  <c r="H4461" i="13"/>
  <c r="J4461" i="13" s="1"/>
  <c r="H4462" i="13"/>
  <c r="J4462" i="13" s="1"/>
  <c r="H4463" i="13"/>
  <c r="J4463" i="13" s="1"/>
  <c r="H4464" i="13"/>
  <c r="J4464" i="13" s="1"/>
  <c r="H4465" i="13"/>
  <c r="J4465" i="13" s="1"/>
  <c r="H4466" i="13"/>
  <c r="J4466" i="13" s="1"/>
  <c r="H4467" i="13"/>
  <c r="J4467" i="13" s="1"/>
  <c r="H4468" i="13"/>
  <c r="J4468" i="13" s="1"/>
  <c r="H4469" i="13"/>
  <c r="J4469" i="13" s="1"/>
  <c r="H4470" i="13"/>
  <c r="J4470" i="13" s="1"/>
  <c r="H4471" i="13"/>
  <c r="J4471" i="13" s="1"/>
  <c r="H4472" i="13"/>
  <c r="J4472" i="13" s="1"/>
  <c r="H4473" i="13"/>
  <c r="J4473" i="13" s="1"/>
  <c r="H4474" i="13"/>
  <c r="J4474" i="13" s="1"/>
  <c r="H4475" i="13"/>
  <c r="J4475" i="13" s="1"/>
  <c r="H4476" i="13"/>
  <c r="J4476" i="13" s="1"/>
  <c r="H4477" i="13"/>
  <c r="J4477" i="13" s="1"/>
  <c r="H4478" i="13"/>
  <c r="J4478" i="13" s="1"/>
  <c r="H4479" i="13"/>
  <c r="J4479" i="13" s="1"/>
  <c r="H4480" i="13"/>
  <c r="J4480" i="13" s="1"/>
  <c r="H4481" i="13"/>
  <c r="J4481" i="13" s="1"/>
  <c r="H4482" i="13"/>
  <c r="J4482" i="13" s="1"/>
  <c r="H4483" i="13"/>
  <c r="J4483" i="13" s="1"/>
  <c r="H4484" i="13"/>
  <c r="J4484" i="13" s="1"/>
  <c r="H4485" i="13"/>
  <c r="J4485" i="13" s="1"/>
  <c r="H4486" i="13"/>
  <c r="J4486" i="13" s="1"/>
  <c r="H4487" i="13"/>
  <c r="J4487" i="13" s="1"/>
  <c r="H4488" i="13"/>
  <c r="J4488" i="13" s="1"/>
  <c r="H4489" i="13"/>
  <c r="J4489" i="13" s="1"/>
  <c r="H4490" i="13"/>
  <c r="J4490" i="13" s="1"/>
  <c r="H4491" i="13"/>
  <c r="J4491" i="13" s="1"/>
  <c r="H4492" i="13"/>
  <c r="J4492" i="13" s="1"/>
  <c r="H4493" i="13"/>
  <c r="J4493" i="13" s="1"/>
  <c r="H4494" i="13"/>
  <c r="J4494" i="13" s="1"/>
  <c r="H4495" i="13"/>
  <c r="J4495" i="13" s="1"/>
  <c r="H4496" i="13"/>
  <c r="J4496" i="13" s="1"/>
  <c r="H4497" i="13"/>
  <c r="J4497" i="13" s="1"/>
  <c r="H4498" i="13"/>
  <c r="J4498" i="13" s="1"/>
  <c r="H4499" i="13"/>
  <c r="J4499" i="13" s="1"/>
  <c r="H4500" i="13"/>
  <c r="J4500" i="13" s="1"/>
  <c r="H4501" i="13"/>
  <c r="J4501" i="13" s="1"/>
  <c r="H4502" i="13"/>
  <c r="J4502" i="13" s="1"/>
  <c r="H4503" i="13"/>
  <c r="J4503" i="13" s="1"/>
  <c r="H4504" i="13"/>
  <c r="J4504" i="13" s="1"/>
  <c r="H4505" i="13"/>
  <c r="J4505" i="13" s="1"/>
  <c r="H4506" i="13"/>
  <c r="J4506" i="13" s="1"/>
  <c r="H4507" i="13"/>
  <c r="J4507" i="13" s="1"/>
  <c r="H4508" i="13"/>
  <c r="J4508" i="13" s="1"/>
  <c r="H4509" i="13"/>
  <c r="J4509" i="13" s="1"/>
  <c r="H4510" i="13"/>
  <c r="J4510" i="13" s="1"/>
  <c r="H4511" i="13"/>
  <c r="J4511" i="13" s="1"/>
  <c r="H4512" i="13"/>
  <c r="J4512" i="13" s="1"/>
  <c r="H4513" i="13"/>
  <c r="J4513" i="13" s="1"/>
  <c r="H4514" i="13"/>
  <c r="J4514" i="13" s="1"/>
  <c r="H4515" i="13"/>
  <c r="J4515" i="13" s="1"/>
  <c r="H4516" i="13"/>
  <c r="J4516" i="13" s="1"/>
  <c r="H4517" i="13"/>
  <c r="J4517" i="13" s="1"/>
  <c r="H4518" i="13"/>
  <c r="J4518" i="13" s="1"/>
  <c r="H4519" i="13"/>
  <c r="J4519" i="13" s="1"/>
  <c r="H4520" i="13"/>
  <c r="J4520" i="13" s="1"/>
  <c r="H4521" i="13"/>
  <c r="J4521" i="13" s="1"/>
  <c r="H4522" i="13"/>
  <c r="J4522" i="13" s="1"/>
  <c r="H4523" i="13"/>
  <c r="J4523" i="13" s="1"/>
  <c r="H4524" i="13"/>
  <c r="J4524" i="13" s="1"/>
  <c r="H4525" i="13"/>
  <c r="J4525" i="13" s="1"/>
  <c r="H4526" i="13"/>
  <c r="J4526" i="13" s="1"/>
  <c r="H4527" i="13"/>
  <c r="J4527" i="13" s="1"/>
  <c r="H4528" i="13"/>
  <c r="J4528" i="13" s="1"/>
  <c r="H4529" i="13"/>
  <c r="J4529" i="13" s="1"/>
  <c r="H4530" i="13"/>
  <c r="J4530" i="13" s="1"/>
  <c r="H4531" i="13"/>
  <c r="J4531" i="13" s="1"/>
  <c r="H4532" i="13"/>
  <c r="J4532" i="13" s="1"/>
  <c r="H4533" i="13"/>
  <c r="J4533" i="13" s="1"/>
  <c r="H4534" i="13"/>
  <c r="J4534" i="13" s="1"/>
  <c r="H4535" i="13"/>
  <c r="J4535" i="13" s="1"/>
  <c r="H4536" i="13"/>
  <c r="J4536" i="13" s="1"/>
  <c r="H4537" i="13"/>
  <c r="J4537" i="13" s="1"/>
  <c r="H4538" i="13"/>
  <c r="J4538" i="13" s="1"/>
  <c r="H4539" i="13"/>
  <c r="J4539" i="13" s="1"/>
  <c r="H4540" i="13"/>
  <c r="J4540" i="13" s="1"/>
  <c r="H4541" i="13"/>
  <c r="J4541" i="13" s="1"/>
  <c r="H4542" i="13"/>
  <c r="J4542" i="13" s="1"/>
  <c r="H4543" i="13"/>
  <c r="J4543" i="13" s="1"/>
  <c r="H4544" i="13"/>
  <c r="J4544" i="13" s="1"/>
  <c r="H4545" i="13"/>
  <c r="J4545" i="13" s="1"/>
  <c r="H4546" i="13"/>
  <c r="J4546" i="13" s="1"/>
  <c r="H4547" i="13"/>
  <c r="J4547" i="13" s="1"/>
  <c r="H4548" i="13"/>
  <c r="J4548" i="13" s="1"/>
  <c r="H4549" i="13"/>
  <c r="J4549" i="13" s="1"/>
  <c r="H4550" i="13"/>
  <c r="J4550" i="13" s="1"/>
  <c r="H4551" i="13"/>
  <c r="J4551" i="13" s="1"/>
  <c r="H4552" i="13"/>
  <c r="J4552" i="13" s="1"/>
  <c r="H4553" i="13"/>
  <c r="J4553" i="13" s="1"/>
  <c r="H4554" i="13"/>
  <c r="J4554" i="13" s="1"/>
  <c r="H4555" i="13"/>
  <c r="J4555" i="13" s="1"/>
  <c r="H4556" i="13"/>
  <c r="J4556" i="13" s="1"/>
  <c r="H4557" i="13"/>
  <c r="J4557" i="13" s="1"/>
  <c r="H4558" i="13"/>
  <c r="J4558" i="13" s="1"/>
  <c r="H4559" i="13"/>
  <c r="J4559" i="13" s="1"/>
  <c r="H4560" i="13"/>
  <c r="J4560" i="13" s="1"/>
  <c r="H4561" i="13"/>
  <c r="J4561" i="13" s="1"/>
  <c r="H4562" i="13"/>
  <c r="J4562" i="13" s="1"/>
  <c r="H4563" i="13"/>
  <c r="J4563" i="13" s="1"/>
  <c r="H4564" i="13"/>
  <c r="J4564" i="13" s="1"/>
  <c r="H4565" i="13"/>
  <c r="J4565" i="13" s="1"/>
  <c r="H4566" i="13"/>
  <c r="J4566" i="13" s="1"/>
  <c r="H4567" i="13"/>
  <c r="J4567" i="13" s="1"/>
  <c r="H4568" i="13"/>
  <c r="J4568" i="13" s="1"/>
  <c r="H4569" i="13"/>
  <c r="J4569" i="13" s="1"/>
  <c r="H4570" i="13"/>
  <c r="J4570" i="13" s="1"/>
  <c r="H4571" i="13"/>
  <c r="J4571" i="13" s="1"/>
  <c r="H4572" i="13"/>
  <c r="J4572" i="13" s="1"/>
  <c r="H4573" i="13"/>
  <c r="J4573" i="13" s="1"/>
  <c r="H4574" i="13"/>
  <c r="J4574" i="13" s="1"/>
  <c r="H4575" i="13"/>
  <c r="J4575" i="13" s="1"/>
  <c r="H4576" i="13"/>
  <c r="J4576" i="13" s="1"/>
  <c r="H4577" i="13"/>
  <c r="J4577" i="13" s="1"/>
  <c r="H4578" i="13"/>
  <c r="J4578" i="13" s="1"/>
  <c r="H4579" i="13"/>
  <c r="J4579" i="13" s="1"/>
  <c r="H4580" i="13"/>
  <c r="J4580" i="13" s="1"/>
  <c r="H4581" i="13"/>
  <c r="J4581" i="13" s="1"/>
  <c r="H4582" i="13"/>
  <c r="J4582" i="13" s="1"/>
  <c r="H4583" i="13"/>
  <c r="J4583" i="13" s="1"/>
  <c r="H4584" i="13"/>
  <c r="J4584" i="13" s="1"/>
  <c r="H4585" i="13"/>
  <c r="J4585" i="13" s="1"/>
  <c r="H4586" i="13"/>
  <c r="J4586" i="13" s="1"/>
  <c r="H4587" i="13"/>
  <c r="J4587" i="13" s="1"/>
  <c r="H4588" i="13"/>
  <c r="J4588" i="13" s="1"/>
  <c r="H4589" i="13"/>
  <c r="J4589" i="13" s="1"/>
  <c r="H4590" i="13"/>
  <c r="J4590" i="13" s="1"/>
  <c r="H4591" i="13"/>
  <c r="J4591" i="13" s="1"/>
  <c r="H4592" i="13"/>
  <c r="J4592" i="13" s="1"/>
  <c r="H4593" i="13"/>
  <c r="J4593" i="13" s="1"/>
  <c r="H4594" i="13"/>
  <c r="J4594" i="13" s="1"/>
  <c r="H4595" i="13"/>
  <c r="J4595" i="13" s="1"/>
  <c r="H4596" i="13"/>
  <c r="J4596" i="13" s="1"/>
  <c r="H4597" i="13"/>
  <c r="J4597" i="13" s="1"/>
  <c r="H4598" i="13"/>
  <c r="J4598" i="13" s="1"/>
  <c r="H4599" i="13"/>
  <c r="J4599" i="13" s="1"/>
  <c r="H4600" i="13"/>
  <c r="J4600" i="13" s="1"/>
  <c r="H4601" i="13"/>
  <c r="J4601" i="13" s="1"/>
  <c r="H4602" i="13"/>
  <c r="J4602" i="13" s="1"/>
  <c r="H4603" i="13"/>
  <c r="J4603" i="13" s="1"/>
  <c r="H4604" i="13"/>
  <c r="J4604" i="13" s="1"/>
  <c r="H4605" i="13"/>
  <c r="J4605" i="13" s="1"/>
  <c r="H4606" i="13"/>
  <c r="J4606" i="13" s="1"/>
  <c r="H4607" i="13"/>
  <c r="J4607" i="13" s="1"/>
  <c r="H4608" i="13"/>
  <c r="J4608" i="13" s="1"/>
  <c r="H4609" i="13"/>
  <c r="J4609" i="13" s="1"/>
  <c r="H4610" i="13"/>
  <c r="J4610" i="13" s="1"/>
  <c r="H4611" i="13"/>
  <c r="J4611" i="13" s="1"/>
  <c r="H4612" i="13"/>
  <c r="J4612" i="13" s="1"/>
  <c r="H4613" i="13"/>
  <c r="J4613" i="13" s="1"/>
  <c r="H4614" i="13"/>
  <c r="J4614" i="13" s="1"/>
  <c r="H4615" i="13"/>
  <c r="J4615" i="13" s="1"/>
  <c r="H4616" i="13"/>
  <c r="J4616" i="13" s="1"/>
  <c r="H4617" i="13"/>
  <c r="J4617" i="13" s="1"/>
  <c r="H4618" i="13"/>
  <c r="J4618" i="13" s="1"/>
  <c r="H4619" i="13"/>
  <c r="J4619" i="13" s="1"/>
  <c r="H4620" i="13"/>
  <c r="J4620" i="13" s="1"/>
  <c r="H4621" i="13"/>
  <c r="J4621" i="13" s="1"/>
  <c r="H4622" i="13"/>
  <c r="J4622" i="13" s="1"/>
  <c r="H4623" i="13"/>
  <c r="J4623" i="13" s="1"/>
  <c r="H4624" i="13"/>
  <c r="J4624" i="13" s="1"/>
  <c r="H4625" i="13"/>
  <c r="J4625" i="13" s="1"/>
  <c r="H4626" i="13"/>
  <c r="J4626" i="13" s="1"/>
  <c r="H4627" i="13"/>
  <c r="J4627" i="13" s="1"/>
  <c r="H4628" i="13"/>
  <c r="J4628" i="13" s="1"/>
  <c r="H4629" i="13"/>
  <c r="J4629" i="13" s="1"/>
  <c r="H4630" i="13"/>
  <c r="J4630" i="13" s="1"/>
  <c r="H4631" i="13"/>
  <c r="J4631" i="13" s="1"/>
  <c r="H4632" i="13"/>
  <c r="J4632" i="13" s="1"/>
  <c r="H4633" i="13"/>
  <c r="J4633" i="13" s="1"/>
  <c r="H4634" i="13"/>
  <c r="J4634" i="13" s="1"/>
  <c r="H4635" i="13"/>
  <c r="J4635" i="13" s="1"/>
  <c r="H4636" i="13"/>
  <c r="J4636" i="13" s="1"/>
  <c r="H4637" i="13"/>
  <c r="J4637" i="13" s="1"/>
  <c r="H4638" i="13"/>
  <c r="J4638" i="13" s="1"/>
  <c r="H4639" i="13"/>
  <c r="J4639" i="13" s="1"/>
  <c r="H4640" i="13"/>
  <c r="J4640" i="13" s="1"/>
  <c r="H4641" i="13"/>
  <c r="J4641" i="13" s="1"/>
  <c r="H4642" i="13"/>
  <c r="J4642" i="13" s="1"/>
  <c r="H4643" i="13"/>
  <c r="J4643" i="13" s="1"/>
  <c r="H4644" i="13"/>
  <c r="J4644" i="13" s="1"/>
  <c r="H4645" i="13"/>
  <c r="J4645" i="13" s="1"/>
  <c r="H4646" i="13"/>
  <c r="J4646" i="13" s="1"/>
  <c r="H4647" i="13"/>
  <c r="J4647" i="13" s="1"/>
  <c r="H4648" i="13"/>
  <c r="J4648" i="13" s="1"/>
  <c r="H4649" i="13"/>
  <c r="J4649" i="13" s="1"/>
  <c r="H4650" i="13"/>
  <c r="J4650" i="13" s="1"/>
  <c r="H4651" i="13"/>
  <c r="J4651" i="13" s="1"/>
  <c r="H4652" i="13"/>
  <c r="J4652" i="13" s="1"/>
  <c r="H4653" i="13"/>
  <c r="J4653" i="13" s="1"/>
  <c r="H4654" i="13"/>
  <c r="J4654" i="13" s="1"/>
  <c r="H4655" i="13"/>
  <c r="J4655" i="13" s="1"/>
  <c r="H4656" i="13"/>
  <c r="J4656" i="13" s="1"/>
  <c r="H4657" i="13"/>
  <c r="J4657" i="13" s="1"/>
  <c r="H4658" i="13"/>
  <c r="J4658" i="13" s="1"/>
  <c r="H4659" i="13"/>
  <c r="J4659" i="13" s="1"/>
  <c r="H4660" i="13"/>
  <c r="J4660" i="13" s="1"/>
  <c r="H4661" i="13"/>
  <c r="J4661" i="13" s="1"/>
  <c r="H4662" i="13"/>
  <c r="J4662" i="13" s="1"/>
  <c r="H4663" i="13"/>
  <c r="J4663" i="13" s="1"/>
  <c r="H4664" i="13"/>
  <c r="J4664" i="13" s="1"/>
  <c r="H4665" i="13"/>
  <c r="J4665" i="13" s="1"/>
  <c r="H4666" i="13"/>
  <c r="J4666" i="13" s="1"/>
  <c r="H4667" i="13"/>
  <c r="J4667" i="13" s="1"/>
  <c r="H4668" i="13"/>
  <c r="J4668" i="13" s="1"/>
  <c r="H4669" i="13"/>
  <c r="J4669" i="13" s="1"/>
  <c r="H4670" i="13"/>
  <c r="J4670" i="13" s="1"/>
  <c r="H4671" i="13"/>
  <c r="J4671" i="13" s="1"/>
  <c r="H4672" i="13"/>
  <c r="J4672" i="13" s="1"/>
  <c r="H4673" i="13"/>
  <c r="J4673" i="13" s="1"/>
  <c r="H4674" i="13"/>
  <c r="J4674" i="13" s="1"/>
  <c r="H4675" i="13"/>
  <c r="J4675" i="13" s="1"/>
  <c r="H4676" i="13"/>
  <c r="J4676" i="13" s="1"/>
  <c r="H4677" i="13"/>
  <c r="J4677" i="13" s="1"/>
  <c r="H4678" i="13"/>
  <c r="J4678" i="13" s="1"/>
  <c r="H4679" i="13"/>
  <c r="J4679" i="13" s="1"/>
  <c r="H4680" i="13"/>
  <c r="J4680" i="13" s="1"/>
  <c r="H4681" i="13"/>
  <c r="J4681" i="13" s="1"/>
  <c r="H4682" i="13"/>
  <c r="J4682" i="13" s="1"/>
  <c r="H4683" i="13"/>
  <c r="J4683" i="13" s="1"/>
  <c r="H4684" i="13"/>
  <c r="J4684" i="13" s="1"/>
  <c r="H4685" i="13"/>
  <c r="J4685" i="13" s="1"/>
  <c r="H4686" i="13"/>
  <c r="J4686" i="13" s="1"/>
  <c r="H4687" i="13"/>
  <c r="J4687" i="13" s="1"/>
  <c r="H4688" i="13"/>
  <c r="J4688" i="13" s="1"/>
  <c r="H4689" i="13"/>
  <c r="J4689" i="13" s="1"/>
  <c r="H4690" i="13"/>
  <c r="J4690" i="13" s="1"/>
  <c r="H4691" i="13"/>
  <c r="J4691" i="13" s="1"/>
  <c r="H4692" i="13"/>
  <c r="J4692" i="13" s="1"/>
  <c r="H4693" i="13"/>
  <c r="J4693" i="13" s="1"/>
  <c r="H4694" i="13"/>
  <c r="J4694" i="13" s="1"/>
  <c r="H4695" i="13"/>
  <c r="J4695" i="13" s="1"/>
  <c r="H4696" i="13"/>
  <c r="J4696" i="13" s="1"/>
  <c r="H4697" i="13"/>
  <c r="J4697" i="13" s="1"/>
  <c r="H4698" i="13"/>
  <c r="J4698" i="13" s="1"/>
  <c r="H4699" i="13"/>
  <c r="J4699" i="13" s="1"/>
  <c r="H4700" i="13"/>
  <c r="J4700" i="13" s="1"/>
  <c r="H4701" i="13"/>
  <c r="J4701" i="13" s="1"/>
  <c r="H4702" i="13"/>
  <c r="J4702" i="13" s="1"/>
  <c r="H4703" i="13"/>
  <c r="J4703" i="13" s="1"/>
  <c r="H4704" i="13"/>
  <c r="J4704" i="13" s="1"/>
  <c r="H4705" i="13"/>
  <c r="J4705" i="13" s="1"/>
  <c r="H4706" i="13"/>
  <c r="J4706" i="13" s="1"/>
  <c r="H4707" i="13"/>
  <c r="J4707" i="13" s="1"/>
  <c r="H4708" i="13"/>
  <c r="J4708" i="13" s="1"/>
  <c r="H4709" i="13"/>
  <c r="J4709" i="13" s="1"/>
  <c r="H4710" i="13"/>
  <c r="J4710" i="13" s="1"/>
  <c r="H4711" i="13"/>
  <c r="J4711" i="13" s="1"/>
  <c r="H4712" i="13"/>
  <c r="J4712" i="13" s="1"/>
  <c r="H4713" i="13"/>
  <c r="J4713" i="13" s="1"/>
  <c r="H4714" i="13"/>
  <c r="J4714" i="13" s="1"/>
  <c r="H4715" i="13"/>
  <c r="J4715" i="13" s="1"/>
  <c r="H4716" i="13"/>
  <c r="J4716" i="13" s="1"/>
  <c r="H4717" i="13"/>
  <c r="J4717" i="13" s="1"/>
  <c r="H4718" i="13"/>
  <c r="J4718" i="13" s="1"/>
  <c r="H4719" i="13"/>
  <c r="J4719" i="13" s="1"/>
  <c r="H4720" i="13"/>
  <c r="J4720" i="13" s="1"/>
  <c r="H4721" i="13"/>
  <c r="J4721" i="13" s="1"/>
  <c r="H4722" i="13"/>
  <c r="J4722" i="13" s="1"/>
  <c r="H4723" i="13"/>
  <c r="J4723" i="13" s="1"/>
  <c r="H4724" i="13"/>
  <c r="J4724" i="13" s="1"/>
  <c r="H4725" i="13"/>
  <c r="J4725" i="13" s="1"/>
  <c r="H4726" i="13"/>
  <c r="J4726" i="13" s="1"/>
  <c r="V1132" i="12"/>
  <c r="H10" i="13"/>
  <c r="J10" i="13" s="1"/>
  <c r="H9" i="13"/>
  <c r="J9" i="13" s="1"/>
  <c r="H8" i="13"/>
  <c r="J8" i="13" s="1"/>
  <c r="H7" i="13"/>
  <c r="J7" i="13" s="1"/>
  <c r="H6" i="13"/>
  <c r="J6" i="13" s="1"/>
  <c r="H5" i="13"/>
  <c r="J5" i="13" s="1"/>
  <c r="H4" i="13"/>
  <c r="J4" i="13" s="1"/>
  <c r="H3" i="13"/>
  <c r="J3" i="13" s="1"/>
  <c r="K2" i="13"/>
  <c r="U372" i="1"/>
  <c r="V372" i="1"/>
  <c r="W372" i="1"/>
  <c r="X372" i="1"/>
  <c r="Y372" i="1"/>
  <c r="Z372" i="1"/>
  <c r="AA372" i="1"/>
  <c r="AB372" i="1"/>
  <c r="U10" i="13"/>
  <c r="U9" i="13"/>
  <c r="U8" i="13"/>
  <c r="U7" i="13"/>
  <c r="U6" i="13"/>
  <c r="U5" i="13"/>
  <c r="U4" i="13"/>
  <c r="U3" i="13"/>
  <c r="U2" i="13"/>
  <c r="K3" i="13"/>
  <c r="K4" i="13"/>
  <c r="K5" i="13"/>
  <c r="K6" i="13"/>
  <c r="K7" i="13"/>
  <c r="K8" i="13"/>
  <c r="K9" i="13"/>
  <c r="K10" i="13"/>
  <c r="H28" i="2"/>
  <c r="H27" i="2"/>
  <c r="H26" i="2"/>
  <c r="I26" i="2"/>
  <c r="I27" i="2"/>
  <c r="I28" i="2"/>
  <c r="AC88" i="1"/>
  <c r="AC60" i="1"/>
  <c r="AC198" i="1"/>
  <c r="AC292" i="1"/>
  <c r="AC283" i="1"/>
  <c r="AC334" i="1"/>
  <c r="AC254" i="1"/>
  <c r="AC206" i="1"/>
  <c r="AC75" i="1"/>
  <c r="AC291" i="1"/>
  <c r="AC300" i="1"/>
  <c r="AC130" i="1"/>
  <c r="AC284" i="1"/>
  <c r="AC155" i="1"/>
  <c r="AC335" i="1"/>
  <c r="AC313" i="1"/>
  <c r="AC223" i="1"/>
  <c r="AC304" i="1"/>
  <c r="AC138" i="1"/>
  <c r="AC71" i="1"/>
  <c r="AC87" i="1"/>
  <c r="AC215" i="1"/>
  <c r="AC141" i="1"/>
  <c r="AC72" i="1"/>
  <c r="AC140" i="1"/>
  <c r="AC321" i="1"/>
  <c r="AC302" i="1"/>
  <c r="AC222" i="1"/>
  <c r="AC142" i="1"/>
  <c r="AC134" i="1"/>
  <c r="AC101" i="1"/>
  <c r="AC180" i="1"/>
  <c r="L25" i="25"/>
  <c r="C22" i="25"/>
  <c r="I22" i="25"/>
  <c r="G22" i="25"/>
  <c r="K21" i="25"/>
  <c r="D22" i="25"/>
  <c r="B25" i="25"/>
  <c r="J27" i="25"/>
  <c r="I27" i="25"/>
  <c r="H27" i="25"/>
  <c r="G27" i="25"/>
  <c r="F27" i="25"/>
  <c r="E27" i="25"/>
  <c r="D27" i="25"/>
  <c r="C27" i="25"/>
  <c r="E22" i="25"/>
  <c r="C59" i="2"/>
  <c r="I17" i="2"/>
  <c r="I4" i="2"/>
  <c r="I6" i="2"/>
  <c r="I8" i="2"/>
  <c r="I10" i="2"/>
  <c r="I12" i="2"/>
  <c r="I14" i="2"/>
  <c r="I61" i="2"/>
  <c r="I15" i="2"/>
  <c r="I3" i="2"/>
  <c r="I5" i="2"/>
  <c r="I7" i="2"/>
  <c r="I9" i="2"/>
  <c r="I11" i="2"/>
  <c r="I13" i="2"/>
  <c r="I59" i="2"/>
  <c r="I60" i="2"/>
  <c r="H61" i="2"/>
  <c r="H15" i="2"/>
  <c r="H3" i="2"/>
  <c r="H5" i="2"/>
  <c r="H7" i="2"/>
  <c r="H9" i="2"/>
  <c r="H11" i="2"/>
  <c r="H13" i="2"/>
  <c r="H59" i="2"/>
  <c r="H17" i="2"/>
  <c r="H4" i="2"/>
  <c r="H6" i="2"/>
  <c r="H8" i="2"/>
  <c r="H10" i="2"/>
  <c r="H12" i="2"/>
  <c r="H14" i="2"/>
  <c r="H60" i="2"/>
  <c r="D7" i="2"/>
  <c r="D59" i="2"/>
  <c r="D17" i="2"/>
  <c r="D4" i="2"/>
  <c r="D6" i="2"/>
  <c r="D8" i="2"/>
  <c r="D10" i="2"/>
  <c r="D12" i="2"/>
  <c r="D14" i="2"/>
  <c r="D60" i="2"/>
  <c r="D24" i="25"/>
  <c r="D23" i="25"/>
  <c r="I23" i="25"/>
  <c r="I24" i="25"/>
  <c r="C24" i="25"/>
  <c r="C23" i="25"/>
  <c r="B22" i="25"/>
  <c r="E24" i="25"/>
  <c r="E23" i="25"/>
  <c r="L26" i="25"/>
  <c r="H22" i="25"/>
  <c r="F22" i="25"/>
  <c r="J22" i="25"/>
  <c r="G24" i="25"/>
  <c r="G23" i="25"/>
  <c r="F23" i="25"/>
  <c r="F24" i="25"/>
  <c r="B23" i="25"/>
  <c r="B24" i="25"/>
  <c r="L22" i="25"/>
  <c r="H23" i="25"/>
  <c r="H24" i="25"/>
  <c r="J23" i="25"/>
  <c r="J24" i="25"/>
  <c r="L23" i="25"/>
  <c r="L24" i="25"/>
  <c r="AC339" i="1"/>
  <c r="AF150" i="1"/>
  <c r="AF311" i="1"/>
  <c r="AF297" i="1"/>
  <c r="AF197" i="1"/>
  <c r="AF166" i="1"/>
  <c r="AF339" i="1"/>
  <c r="AF318" i="1"/>
  <c r="AC150" i="1"/>
  <c r="AF299" i="1"/>
  <c r="AF291" i="1"/>
  <c r="AF283" i="1"/>
  <c r="AF222" i="1"/>
  <c r="AC158" i="1"/>
  <c r="AF338" i="1"/>
  <c r="AF332" i="1"/>
  <c r="AF310" i="1"/>
  <c r="AF320" i="1"/>
  <c r="AF155" i="1"/>
  <c r="AF93" i="1"/>
  <c r="AF88" i="1"/>
  <c r="AF84" i="1"/>
  <c r="AF75" i="1"/>
  <c r="AF69" i="1"/>
  <c r="AF60" i="1"/>
  <c r="AF38" i="1"/>
  <c r="AC38" i="1"/>
  <c r="AF295" i="1"/>
  <c r="AF100" i="1"/>
  <c r="AF86" i="1"/>
  <c r="AF71" i="1"/>
  <c r="AF57" i="1"/>
  <c r="AF40" i="1"/>
  <c r="AC40" i="1"/>
  <c r="AF335" i="1"/>
  <c r="AF331" i="1"/>
  <c r="AF153" i="1"/>
  <c r="AF39" i="1"/>
  <c r="I46" i="2"/>
  <c r="I50" i="2"/>
  <c r="I54" i="2"/>
  <c r="I47" i="2"/>
  <c r="I51" i="2"/>
  <c r="I53" i="2"/>
  <c r="I48" i="2"/>
  <c r="I49" i="2"/>
  <c r="H48" i="2"/>
  <c r="H52" i="2"/>
  <c r="H49" i="2"/>
  <c r="H53" i="2"/>
  <c r="H46" i="2"/>
  <c r="H50" i="2"/>
  <c r="H54" i="2"/>
  <c r="H47" i="2"/>
  <c r="D48" i="2"/>
  <c r="D52" i="2"/>
  <c r="D49" i="2"/>
  <c r="D53" i="2"/>
  <c r="D46" i="2"/>
  <c r="D50" i="2"/>
  <c r="D54" i="2"/>
  <c r="D47" i="2"/>
  <c r="D51" i="2"/>
  <c r="G54" i="2"/>
  <c r="G48" i="2"/>
  <c r="G52" i="2"/>
  <c r="G49" i="2"/>
  <c r="C51" i="2"/>
  <c r="C48" i="2"/>
  <c r="I52" i="2"/>
  <c r="C53" i="2" l="1"/>
  <c r="C49" i="2"/>
  <c r="C52" i="2"/>
  <c r="C5" i="2"/>
  <c r="C47" i="2"/>
  <c r="C54" i="2"/>
  <c r="C50" i="2"/>
  <c r="C46" i="2"/>
  <c r="D11" i="2"/>
  <c r="D9" i="2"/>
  <c r="D5" i="2"/>
  <c r="D3" i="2"/>
  <c r="D15" i="2"/>
  <c r="D61" i="2"/>
  <c r="D13" i="2"/>
  <c r="D18" i="2" s="1"/>
  <c r="AC86" i="1"/>
  <c r="AC153" i="1"/>
  <c r="AC310" i="1"/>
  <c r="AF242" i="1"/>
  <c r="AF180" i="1"/>
  <c r="AC299" i="1"/>
  <c r="AC129" i="1"/>
  <c r="AC166" i="1"/>
  <c r="AC57" i="1"/>
  <c r="AC242" i="1"/>
  <c r="AC100" i="1"/>
  <c r="AC308" i="1"/>
  <c r="G1991" i="13"/>
  <c r="G2000" i="13" s="1"/>
  <c r="G2009" i="13" s="1"/>
  <c r="G2018" i="13" s="1"/>
  <c r="G2027" i="13" s="1"/>
  <c r="G2036" i="13" s="1"/>
  <c r="G2045" i="13" s="1"/>
  <c r="G2054" i="13" s="1"/>
  <c r="G2063" i="13" s="1"/>
  <c r="G2072" i="13" s="1"/>
  <c r="G2081" i="13" s="1"/>
  <c r="G2090" i="13" s="1"/>
  <c r="G2099" i="13" s="1"/>
  <c r="G2108" i="13" s="1"/>
  <c r="G2117" i="13" s="1"/>
  <c r="G2126" i="13" s="1"/>
  <c r="G2135" i="13" s="1"/>
  <c r="G2144" i="13" s="1"/>
  <c r="C3" i="2"/>
  <c r="C60" i="2"/>
  <c r="C14" i="2"/>
  <c r="C13" i="2"/>
  <c r="C12" i="2"/>
  <c r="C11" i="2"/>
  <c r="C10" i="2"/>
  <c r="C9" i="2"/>
  <c r="C8" i="2"/>
  <c r="C7" i="2"/>
  <c r="C6" i="2"/>
  <c r="AF159" i="1"/>
  <c r="AF322" i="1"/>
  <c r="AC228" i="1"/>
  <c r="D446" i="14"/>
  <c r="D455" i="14" s="1"/>
  <c r="AC217" i="1"/>
  <c r="C28" i="2"/>
  <c r="C4" i="2"/>
  <c r="C16" i="2"/>
  <c r="C17" i="2"/>
  <c r="C15" i="2"/>
  <c r="C27" i="2"/>
  <c r="C61" i="2"/>
  <c r="V389" i="12"/>
  <c r="R389" i="12"/>
  <c r="M389" i="12"/>
  <c r="Q389" i="12"/>
  <c r="E49" i="2"/>
  <c r="E48" i="2"/>
  <c r="H5861" i="13"/>
  <c r="J5861" i="13" s="1"/>
  <c r="E335" i="22"/>
  <c r="G335" i="22" s="1"/>
  <c r="E92" i="22"/>
  <c r="G92" i="22" s="1"/>
  <c r="E470" i="22"/>
  <c r="G470" i="22" s="1"/>
  <c r="E407" i="22"/>
  <c r="G407" i="22" s="1"/>
  <c r="E227" i="22"/>
  <c r="G227" i="22" s="1"/>
  <c r="H7040" i="13"/>
  <c r="J7040" i="13" s="1"/>
  <c r="E299" i="22"/>
  <c r="G299" i="22" s="1"/>
  <c r="H1820" i="13"/>
  <c r="J1820" i="13" s="1"/>
  <c r="H6014" i="13"/>
  <c r="J6014" i="13" s="1"/>
  <c r="E2126" i="14"/>
  <c r="G2126" i="14" s="1"/>
  <c r="E2036" i="14"/>
  <c r="G2036" i="14" s="1"/>
  <c r="H3179" i="13"/>
  <c r="J3179" i="13" s="1"/>
  <c r="H3665" i="13"/>
  <c r="J3665" i="13" s="1"/>
  <c r="H155" i="13"/>
  <c r="J155" i="13" s="1"/>
  <c r="H1793" i="13"/>
  <c r="J1793" i="13" s="1"/>
  <c r="H947" i="13"/>
  <c r="J947" i="13" s="1"/>
  <c r="H920" i="13"/>
  <c r="J920" i="13" s="1"/>
  <c r="B619" i="12"/>
  <c r="K619" i="12" s="1"/>
  <c r="E668" i="14"/>
  <c r="G668" i="14" s="1"/>
  <c r="H3674" i="13"/>
  <c r="J3674" i="13" s="1"/>
  <c r="H4385" i="13"/>
  <c r="J4385" i="13" s="1"/>
  <c r="G38" i="2"/>
  <c r="F38" i="2"/>
  <c r="E38" i="2"/>
  <c r="I38" i="2"/>
  <c r="D38" i="2"/>
  <c r="B38" i="2"/>
  <c r="H38" i="2"/>
  <c r="C67" i="2" a="1"/>
  <c r="C67" i="2" s="1"/>
  <c r="C68" i="2" s="1"/>
  <c r="C38" i="2"/>
  <c r="AC184" i="1"/>
  <c r="AF102" i="1"/>
  <c r="AC341" i="1"/>
  <c r="C25" i="2"/>
  <c r="AC99" i="1"/>
  <c r="AC240" i="1"/>
  <c r="AC70" i="1"/>
  <c r="AC51" i="1"/>
  <c r="AC85" i="1"/>
  <c r="AC93" i="1"/>
  <c r="AC115" i="1"/>
  <c r="AC84" i="1"/>
  <c r="AC165" i="1"/>
  <c r="AC113" i="1"/>
  <c r="AC317" i="1"/>
  <c r="AF51" i="1"/>
  <c r="AF185" i="1"/>
  <c r="AC77" i="1"/>
  <c r="D27" i="2"/>
  <c r="G1990" i="13"/>
  <c r="J25" i="2"/>
  <c r="B25" i="2"/>
  <c r="AF213" i="1"/>
  <c r="AF327" i="1"/>
  <c r="H6041" i="13"/>
  <c r="J6041" i="13" s="1"/>
  <c r="AF212" i="1"/>
  <c r="H3224" i="13"/>
  <c r="J3224" i="13" s="1"/>
  <c r="H1037" i="13"/>
  <c r="J1037" i="13" s="1"/>
  <c r="H2171" i="13"/>
  <c r="J2171" i="13" s="1"/>
  <c r="I58" i="2"/>
  <c r="I65" i="2" s="1"/>
  <c r="D584" i="22"/>
  <c r="D791" i="22" s="1"/>
  <c r="D557" i="22"/>
  <c r="D581" i="22"/>
  <c r="D788" i="22" s="1"/>
  <c r="D554" i="22"/>
  <c r="D586" i="22"/>
  <c r="D793" i="22" s="1"/>
  <c r="D559" i="22"/>
  <c r="D578" i="22"/>
  <c r="D785" i="22" s="1"/>
  <c r="D551" i="22"/>
  <c r="D583" i="22"/>
  <c r="D790" i="22" s="1"/>
  <c r="D556" i="22"/>
  <c r="D580" i="22"/>
  <c r="D787" i="22" s="1"/>
  <c r="D553" i="22"/>
  <c r="D585" i="22"/>
  <c r="D792" i="22" s="1"/>
  <c r="D558" i="22"/>
  <c r="D582" i="22"/>
  <c r="D789" i="22" s="1"/>
  <c r="D555" i="22"/>
  <c r="D579" i="22"/>
  <c r="D786" i="22" s="1"/>
  <c r="D552" i="22"/>
  <c r="H18" i="16"/>
  <c r="E51" i="2"/>
  <c r="E9" i="2"/>
  <c r="E47" i="2"/>
  <c r="E7" i="2"/>
  <c r="E5" i="2"/>
  <c r="E46" i="2"/>
  <c r="E10" i="2"/>
  <c r="E8" i="2"/>
  <c r="E54" i="2"/>
  <c r="E6" i="2"/>
  <c r="B943" i="12"/>
  <c r="V943" i="12" s="1"/>
  <c r="D26" i="2"/>
  <c r="D28" i="2"/>
  <c r="F11" i="2"/>
  <c r="F12" i="2"/>
  <c r="W40" i="15"/>
  <c r="V40" i="15"/>
  <c r="E3" i="2"/>
  <c r="E4" i="2"/>
  <c r="E26" i="2"/>
  <c r="E50" i="2"/>
  <c r="E60" i="2"/>
  <c r="E15" i="2"/>
  <c r="E17" i="2"/>
  <c r="E27" i="2"/>
  <c r="E59" i="2"/>
  <c r="E61" i="2"/>
  <c r="E28" i="2"/>
  <c r="E53" i="2"/>
  <c r="B54" i="2"/>
  <c r="E13" i="2"/>
  <c r="E14" i="2"/>
  <c r="E52" i="2"/>
  <c r="F50" i="2"/>
  <c r="E11" i="2"/>
  <c r="E12" i="2"/>
  <c r="B7" i="2"/>
  <c r="W93" i="15"/>
  <c r="D16" i="2"/>
  <c r="V148" i="15"/>
  <c r="Z192" i="15" s="1"/>
  <c r="AF67" i="1"/>
  <c r="AF279" i="1"/>
  <c r="AF175" i="1"/>
  <c r="AC161" i="1"/>
  <c r="AF77" i="1"/>
  <c r="AF287" i="1"/>
  <c r="AF161" i="1"/>
  <c r="AC326" i="1"/>
  <c r="AF47" i="1"/>
  <c r="AF91" i="1"/>
  <c r="AF218" i="1"/>
  <c r="AF337" i="1"/>
  <c r="AF234" i="1"/>
  <c r="I45" i="2"/>
  <c r="D463" i="14"/>
  <c r="D472" i="14" s="1"/>
  <c r="D481" i="14" s="1"/>
  <c r="D490" i="14" s="1"/>
  <c r="D499" i="14" s="1"/>
  <c r="D508" i="14" s="1"/>
  <c r="D517" i="14" s="1"/>
  <c r="D526" i="14" s="1"/>
  <c r="D535" i="14" s="1"/>
  <c r="D553" i="14" s="1"/>
  <c r="AF314" i="1"/>
  <c r="AC89" i="1"/>
  <c r="AG399" i="1"/>
  <c r="AC76" i="1"/>
  <c r="AC208" i="1"/>
  <c r="AF208" i="1"/>
  <c r="AC278" i="1"/>
  <c r="AC336" i="1"/>
  <c r="AC159" i="1"/>
  <c r="AF294" i="1"/>
  <c r="B58" i="2"/>
  <c r="B65" i="2" s="1"/>
  <c r="AC174" i="1"/>
  <c r="J45" i="2"/>
  <c r="AC286" i="1"/>
  <c r="AC61" i="1"/>
  <c r="AC305" i="1"/>
  <c r="H5393" i="13"/>
  <c r="J5393" i="13" s="1"/>
  <c r="H5033" i="13"/>
  <c r="J5033" i="13" s="1"/>
  <c r="E290" i="22"/>
  <c r="G290" i="22" s="1"/>
  <c r="E218" i="22"/>
  <c r="G218" i="22" s="1"/>
  <c r="H6032" i="13"/>
  <c r="J6032" i="13" s="1"/>
  <c r="H5816" i="13"/>
  <c r="J5816" i="13" s="1"/>
  <c r="H5240" i="13"/>
  <c r="J5240" i="13" s="1"/>
  <c r="Y148" i="15"/>
  <c r="Z193" i="15" s="1"/>
  <c r="N1154" i="12" s="1"/>
  <c r="D209" i="27"/>
  <c r="H5735" i="13"/>
  <c r="J5735" i="13" s="1"/>
  <c r="H5375" i="13"/>
  <c r="J5375" i="13" s="1"/>
  <c r="H5987" i="13"/>
  <c r="J5987" i="13" s="1"/>
  <c r="H5006" i="13"/>
  <c r="J5006" i="13" s="1"/>
  <c r="H6122" i="13"/>
  <c r="J6122" i="13" s="1"/>
  <c r="H5357" i="13"/>
  <c r="J5357" i="13" s="1"/>
  <c r="E398" i="22"/>
  <c r="G398" i="22" s="1"/>
  <c r="E326" i="22"/>
  <c r="G326" i="22" s="1"/>
  <c r="H5348" i="13"/>
  <c r="J5348" i="13" s="1"/>
  <c r="H4916" i="13"/>
  <c r="J4916" i="13" s="1"/>
  <c r="E461" i="22"/>
  <c r="G461" i="22" s="1"/>
  <c r="H5627" i="13"/>
  <c r="J5627" i="13" s="1"/>
  <c r="H5339" i="13"/>
  <c r="J5339" i="13" s="1"/>
  <c r="H5195" i="13"/>
  <c r="J5195" i="13" s="1"/>
  <c r="H2144" i="13"/>
  <c r="J2144" i="13" s="1"/>
  <c r="H3161" i="13"/>
  <c r="J3161" i="13" s="1"/>
  <c r="E677" i="14"/>
  <c r="G677" i="14" s="1"/>
  <c r="H3206" i="13"/>
  <c r="J3206" i="13" s="1"/>
  <c r="AD366" i="1"/>
  <c r="D110" i="27"/>
  <c r="H1991" i="13"/>
  <c r="J1991" i="13" s="1"/>
  <c r="H173" i="13"/>
  <c r="J173" i="13" s="1"/>
  <c r="AC364" i="1"/>
  <c r="D74" i="27"/>
  <c r="AF354" i="1"/>
  <c r="D200" i="27"/>
  <c r="AF300" i="1"/>
  <c r="AD347" i="1"/>
  <c r="D29" i="27"/>
  <c r="H902" i="13"/>
  <c r="J902" i="13" s="1"/>
  <c r="AD346" i="1"/>
  <c r="D38" i="27"/>
  <c r="H4088" i="13"/>
  <c r="J4088" i="13" s="1"/>
  <c r="AD345" i="1"/>
  <c r="D47" i="27"/>
  <c r="G51" i="2"/>
  <c r="G47" i="2"/>
  <c r="G3" i="2"/>
  <c r="G50" i="2"/>
  <c r="G53" i="2"/>
  <c r="G46" i="2"/>
  <c r="V37" i="15"/>
  <c r="W68" i="15"/>
  <c r="G4" i="2"/>
  <c r="AC139" i="1"/>
  <c r="AC290" i="1"/>
  <c r="AC332" i="1"/>
  <c r="AF341" i="1"/>
  <c r="AC189" i="1"/>
  <c r="AC241" i="1"/>
  <c r="AC221" i="1"/>
  <c r="AC179" i="1"/>
  <c r="AC152" i="1"/>
  <c r="AF290" i="1"/>
  <c r="V38" i="15"/>
  <c r="G60" i="2"/>
  <c r="G17" i="2"/>
  <c r="G15" i="2"/>
  <c r="G59" i="2"/>
  <c r="G61" i="2"/>
  <c r="G28" i="2"/>
  <c r="G14" i="2"/>
  <c r="G13" i="2"/>
  <c r="G26" i="2"/>
  <c r="G16" i="2"/>
  <c r="G12" i="2"/>
  <c r="G11" i="2"/>
  <c r="G27" i="2"/>
  <c r="G10" i="2"/>
  <c r="G9" i="2"/>
  <c r="G8" i="2"/>
  <c r="G7" i="2"/>
  <c r="G6" i="2"/>
  <c r="G5" i="2"/>
  <c r="V42" i="15"/>
  <c r="V54" i="12"/>
  <c r="AC144" i="1"/>
  <c r="AC136" i="1"/>
  <c r="AC106" i="1"/>
  <c r="AC175" i="1"/>
  <c r="AG413" i="1"/>
  <c r="AC209" i="1"/>
  <c r="AC218" i="1"/>
  <c r="AC92" i="1"/>
  <c r="AC306" i="1"/>
  <c r="F25" i="2"/>
  <c r="AC137" i="1"/>
  <c r="B751" i="12"/>
  <c r="V751" i="12" s="1"/>
  <c r="AC112" i="1"/>
  <c r="AC307" i="1"/>
  <c r="AC338" i="1"/>
  <c r="AC186" i="1"/>
  <c r="AC49" i="1"/>
  <c r="AC219" i="1"/>
  <c r="AC239" i="1"/>
  <c r="AC280" i="1"/>
  <c r="S371" i="1"/>
  <c r="AC288" i="1"/>
  <c r="AC176" i="1"/>
  <c r="F45" i="2"/>
  <c r="AC296" i="1"/>
  <c r="AC162" i="1"/>
  <c r="F58" i="2"/>
  <c r="F65" i="2" s="1"/>
  <c r="AC68" i="1"/>
  <c r="AC78" i="1"/>
  <c r="K66" i="2"/>
  <c r="V949" i="12"/>
  <c r="V934" i="12"/>
  <c r="B50" i="2"/>
  <c r="F46" i="2"/>
  <c r="B15" i="2"/>
  <c r="F9" i="2"/>
  <c r="F10" i="2"/>
  <c r="W56" i="15"/>
  <c r="B47" i="2"/>
  <c r="F53" i="2"/>
  <c r="B60" i="2"/>
  <c r="F7" i="2"/>
  <c r="F8" i="2"/>
  <c r="V232" i="12"/>
  <c r="V131" i="15"/>
  <c r="W42" i="15"/>
  <c r="B53" i="2"/>
  <c r="F49" i="2"/>
  <c r="B10" i="2"/>
  <c r="F5" i="2"/>
  <c r="F6" i="2"/>
  <c r="V98" i="15"/>
  <c r="W141" i="15"/>
  <c r="B48" i="2"/>
  <c r="F52" i="2"/>
  <c r="B14" i="2"/>
  <c r="B6" i="2"/>
  <c r="F3" i="2"/>
  <c r="F4" i="2"/>
  <c r="L149" i="15"/>
  <c r="W132" i="15"/>
  <c r="F51" i="2"/>
  <c r="F48" i="2"/>
  <c r="B61" i="2"/>
  <c r="B17" i="2"/>
  <c r="F15" i="2"/>
  <c r="F17" i="2"/>
  <c r="F26" i="2"/>
  <c r="V87" i="15"/>
  <c r="F47" i="2"/>
  <c r="B11" i="2"/>
  <c r="F60" i="2"/>
  <c r="F59" i="2"/>
  <c r="F61" i="2"/>
  <c r="F28" i="2"/>
  <c r="B26" i="2"/>
  <c r="F54" i="2"/>
  <c r="B9" i="2"/>
  <c r="F13" i="2"/>
  <c r="F14" i="2"/>
  <c r="F27" i="2"/>
  <c r="B28" i="2"/>
  <c r="B27" i="2"/>
  <c r="V97" i="15"/>
  <c r="W87" i="15"/>
  <c r="W135" i="15"/>
  <c r="W53" i="15"/>
  <c r="V52" i="15"/>
  <c r="V144" i="15"/>
  <c r="W67" i="15"/>
  <c r="V135" i="15"/>
  <c r="V68" i="15"/>
  <c r="W127" i="15"/>
  <c r="W51" i="15"/>
  <c r="V780" i="12"/>
  <c r="G45" i="2"/>
  <c r="V725" i="12"/>
  <c r="V454" i="12"/>
  <c r="V746" i="12"/>
  <c r="V174" i="12"/>
  <c r="V1089" i="12"/>
  <c r="V732" i="12"/>
  <c r="AC167" i="1"/>
  <c r="V448" i="12"/>
  <c r="V494" i="12"/>
  <c r="V178" i="12"/>
  <c r="V796" i="12"/>
  <c r="V183" i="12"/>
  <c r="V129" i="15"/>
  <c r="V51" i="15"/>
  <c r="W129" i="15"/>
  <c r="W43" i="15"/>
  <c r="Y135" i="15"/>
  <c r="Y51" i="15"/>
  <c r="V55" i="15"/>
  <c r="V48" i="15"/>
  <c r="Y42" i="15"/>
  <c r="Y40" i="15"/>
  <c r="V92" i="15"/>
  <c r="W92" i="15"/>
  <c r="Y92" i="15"/>
  <c r="E16" i="2"/>
  <c r="V145" i="15"/>
  <c r="V138" i="15"/>
  <c r="V103" i="15"/>
  <c r="V88" i="15"/>
  <c r="V60" i="15"/>
  <c r="V49" i="15"/>
  <c r="W140" i="15"/>
  <c r="W97" i="15"/>
  <c r="W60" i="15"/>
  <c r="W47" i="15"/>
  <c r="Y144" i="15"/>
  <c r="Y60" i="15"/>
  <c r="Y49" i="15"/>
  <c r="Y38" i="15"/>
  <c r="Y128" i="15"/>
  <c r="V128" i="15"/>
  <c r="W138" i="15"/>
  <c r="W39" i="15"/>
  <c r="B1099" i="12"/>
  <c r="V47" i="15"/>
  <c r="W144" i="15"/>
  <c r="W103" i="15"/>
  <c r="W55" i="15"/>
  <c r="W49" i="15"/>
  <c r="W38" i="15"/>
  <c r="Y103" i="15"/>
  <c r="G2596" i="13"/>
  <c r="G2605" i="13" s="1"/>
  <c r="G2614" i="13" s="1"/>
  <c r="G2623" i="13" s="1"/>
  <c r="G2632" i="13" s="1"/>
  <c r="G2641" i="13" s="1"/>
  <c r="G2650" i="13" s="1"/>
  <c r="G2659" i="13" s="1"/>
  <c r="G2668" i="13" s="1"/>
  <c r="G2677" i="13" s="1"/>
  <c r="G2686" i="13" s="1"/>
  <c r="G2695" i="13" s="1"/>
  <c r="G2704" i="13" s="1"/>
  <c r="G2713" i="13" s="1"/>
  <c r="G2722" i="13" s="1"/>
  <c r="G2731" i="13" s="1"/>
  <c r="G2740" i="13" s="1"/>
  <c r="G2749" i="13" s="1"/>
  <c r="G2758" i="13" s="1"/>
  <c r="G2767" i="13" s="1"/>
  <c r="G2776" i="13" s="1"/>
  <c r="G2785" i="13" s="1"/>
  <c r="G2794" i="13" s="1"/>
  <c r="G2803" i="13" s="1"/>
  <c r="G2812" i="13" s="1"/>
  <c r="G2821" i="13" s="1"/>
  <c r="G2830" i="13" s="1"/>
  <c r="G2839" i="13" s="1"/>
  <c r="G2848" i="13" s="1"/>
  <c r="G2857" i="13" s="1"/>
  <c r="G2866" i="13" s="1"/>
  <c r="G2875" i="13" s="1"/>
  <c r="G2884" i="13" s="1"/>
  <c r="G2893" i="13" s="1"/>
  <c r="G2902" i="13" s="1"/>
  <c r="G2911" i="13" s="1"/>
  <c r="G2920" i="13" s="1"/>
  <c r="G2929" i="13" s="1"/>
  <c r="G2938" i="13" s="1"/>
  <c r="G2947" i="13" s="1"/>
  <c r="G2956" i="13" s="1"/>
  <c r="G2965" i="13" s="1"/>
  <c r="G2974" i="13" s="1"/>
  <c r="G2983" i="13" s="1"/>
  <c r="G2992" i="13" s="1"/>
  <c r="G3001" i="13" s="1"/>
  <c r="G3010" i="13" s="1"/>
  <c r="I16" i="2"/>
  <c r="V1113" i="12"/>
  <c r="V184" i="12"/>
  <c r="V932" i="12"/>
  <c r="V968" i="12"/>
  <c r="V959" i="12"/>
  <c r="V1033" i="12"/>
  <c r="V1097" i="12"/>
  <c r="AC135" i="1"/>
  <c r="AC281" i="1"/>
  <c r="AC293" i="1"/>
  <c r="F41" i="2"/>
  <c r="AC211" i="1"/>
  <c r="H34" i="2"/>
  <c r="B45" i="2"/>
  <c r="H33" i="2"/>
  <c r="D33" i="2"/>
  <c r="I40" i="2"/>
  <c r="H25" i="2"/>
  <c r="D58" i="2"/>
  <c r="D65" i="2" s="1"/>
  <c r="C39" i="2"/>
  <c r="H41" i="2"/>
  <c r="D45" i="2"/>
  <c r="F34" i="2"/>
  <c r="H58" i="2"/>
  <c r="H65" i="2" s="1"/>
  <c r="AC163" i="1"/>
  <c r="AC210" i="1"/>
  <c r="E58" i="2"/>
  <c r="E65" i="2" s="1"/>
  <c r="E25" i="2"/>
  <c r="AC183" i="1"/>
  <c r="AC177" i="1"/>
  <c r="AC316" i="1"/>
  <c r="AC333" i="1"/>
  <c r="AC172" i="1"/>
  <c r="I36" i="2"/>
  <c r="AC188" i="1"/>
  <c r="AC50" i="1"/>
  <c r="G35" i="2"/>
  <c r="E35" i="2"/>
  <c r="F39" i="2"/>
  <c r="C37" i="2"/>
  <c r="I37" i="2"/>
  <c r="F36" i="2"/>
  <c r="G34" i="2"/>
  <c r="E34" i="2"/>
  <c r="E39" i="2"/>
  <c r="B35" i="2"/>
  <c r="E41" i="2"/>
  <c r="G40" i="2"/>
  <c r="E33" i="2"/>
  <c r="I25" i="2"/>
  <c r="D41" i="2"/>
  <c r="F35" i="2"/>
  <c r="G41" i="2"/>
  <c r="B41" i="2"/>
  <c r="H35" i="2"/>
  <c r="C34" i="2"/>
  <c r="AC37" i="1"/>
  <c r="AF172" i="1"/>
  <c r="AF280" i="1"/>
  <c r="AF158" i="1"/>
  <c r="AF41" i="1"/>
  <c r="AC315" i="1"/>
  <c r="J33" i="2"/>
  <c r="D36" i="2"/>
  <c r="B37" i="2"/>
  <c r="H40" i="2"/>
  <c r="B34" i="2"/>
  <c r="I39" i="2"/>
  <c r="D34" i="2"/>
  <c r="I34" i="2"/>
  <c r="G36" i="2"/>
  <c r="AC181" i="1"/>
  <c r="AC319" i="1"/>
  <c r="AC148" i="1"/>
  <c r="AC213" i="1"/>
  <c r="AF186" i="1"/>
  <c r="B46" i="2"/>
  <c r="B52" i="2"/>
  <c r="B59" i="2"/>
  <c r="B3" i="2"/>
  <c r="B8" i="2"/>
  <c r="B51" i="2"/>
  <c r="B49" i="2"/>
  <c r="B13" i="2"/>
  <c r="B5" i="2"/>
  <c r="B12" i="2"/>
  <c r="B4" i="2"/>
  <c r="B39" i="2"/>
  <c r="AC282" i="1"/>
  <c r="AC47" i="1"/>
  <c r="AF309" i="1"/>
  <c r="AF228" i="1"/>
  <c r="AF304" i="1"/>
  <c r="AF174" i="1"/>
  <c r="C41" i="2"/>
  <c r="C33" i="2"/>
  <c r="D35" i="2"/>
  <c r="AC289" i="1"/>
  <c r="AC277" i="1"/>
  <c r="AC105" i="1"/>
  <c r="AF227" i="1"/>
  <c r="AF211" i="1"/>
  <c r="G25" i="2"/>
  <c r="C45" i="2"/>
  <c r="AC285" i="1"/>
  <c r="AC227" i="1"/>
  <c r="AF285" i="1"/>
  <c r="AC297" i="1"/>
  <c r="AC216" i="1"/>
  <c r="AC143" i="1"/>
  <c r="AC345" i="1"/>
  <c r="AF293" i="1"/>
  <c r="AF281" i="1"/>
  <c r="AF206" i="1"/>
  <c r="AF165" i="1"/>
  <c r="AF139" i="1"/>
  <c r="AF345" i="1"/>
  <c r="AF313" i="1"/>
  <c r="AF308" i="1"/>
  <c r="AF289" i="1"/>
  <c r="E36" i="2"/>
  <c r="B36" i="2"/>
  <c r="AC295" i="1"/>
  <c r="AF315" i="1"/>
  <c r="AF209" i="1"/>
  <c r="AF181" i="1"/>
  <c r="AF137" i="1"/>
  <c r="AF92" i="1"/>
  <c r="AF347" i="1"/>
  <c r="AD364" i="1"/>
  <c r="AF176" i="1"/>
  <c r="AF162" i="1"/>
  <c r="AF148" i="1"/>
  <c r="AF130" i="1"/>
  <c r="AF87" i="1"/>
  <c r="AF198" i="1"/>
  <c r="AF141" i="1"/>
  <c r="AF112" i="1"/>
  <c r="AF78" i="1"/>
  <c r="G33" i="2"/>
  <c r="F37" i="2"/>
  <c r="H36" i="2"/>
  <c r="H39" i="2"/>
  <c r="H37" i="2"/>
  <c r="D40" i="2"/>
  <c r="C36" i="2"/>
  <c r="E40" i="2"/>
  <c r="D37" i="2"/>
  <c r="B40" i="2"/>
  <c r="C40" i="2"/>
  <c r="I41" i="2"/>
  <c r="D39" i="2"/>
  <c r="E37" i="2"/>
  <c r="G39" i="2"/>
  <c r="F40" i="2"/>
  <c r="G37" i="2"/>
  <c r="I35" i="2"/>
  <c r="C35" i="2"/>
  <c r="V400" i="12"/>
  <c r="V502" i="12"/>
  <c r="V744" i="12"/>
  <c r="V742" i="12"/>
  <c r="V570" i="12"/>
  <c r="V486" i="12"/>
  <c r="V114" i="12"/>
  <c r="AD162" i="1"/>
  <c r="AC346" i="1"/>
  <c r="AF188" i="1"/>
  <c r="AF177" i="1"/>
  <c r="AF144" i="1"/>
  <c r="AF292" i="1"/>
  <c r="AF284" i="1"/>
  <c r="AF254" i="1"/>
  <c r="AF163" i="1"/>
  <c r="AF152" i="1"/>
  <c r="AF136" i="1"/>
  <c r="AD313" i="1"/>
  <c r="AD148" i="1"/>
  <c r="AF336" i="1"/>
  <c r="AF319" i="1"/>
  <c r="AF296" i="1"/>
  <c r="AF239" i="1"/>
  <c r="AF219" i="1"/>
  <c r="AF346" i="1"/>
  <c r="AD336" i="1"/>
  <c r="AF334" i="1"/>
  <c r="AF321" i="1"/>
  <c r="AF282" i="1"/>
  <c r="AF217" i="1"/>
  <c r="AF143" i="1"/>
  <c r="AF105" i="1"/>
  <c r="AF89" i="1"/>
  <c r="AF76" i="1"/>
  <c r="AC327" i="1"/>
  <c r="AF61" i="1"/>
  <c r="AF317" i="1"/>
  <c r="AF167" i="1"/>
  <c r="AF135" i="1"/>
  <c r="AF99" i="1"/>
  <c r="AF85" i="1"/>
  <c r="V718" i="12"/>
  <c r="V597" i="12"/>
  <c r="V720" i="12"/>
  <c r="V344" i="12"/>
  <c r="V1041" i="12"/>
  <c r="V510" i="12"/>
  <c r="V715" i="12"/>
  <c r="V526" i="12"/>
  <c r="V411" i="12"/>
  <c r="V579" i="12"/>
  <c r="V566" i="12"/>
  <c r="V120" i="12"/>
  <c r="V456" i="12"/>
  <c r="V723" i="12"/>
  <c r="V784" i="12"/>
  <c r="V563" i="12"/>
  <c r="V119" i="12"/>
  <c r="V401" i="12"/>
  <c r="V47" i="12"/>
  <c r="V17" i="12"/>
  <c r="V108" i="12"/>
  <c r="V478" i="12"/>
  <c r="V550" i="12"/>
  <c r="V225" i="12"/>
  <c r="G2151" i="13"/>
  <c r="G2169" i="13"/>
  <c r="G2147" i="13"/>
  <c r="G2165" i="13"/>
  <c r="G2152" i="13"/>
  <c r="G2170" i="13"/>
  <c r="AD334" i="1"/>
  <c r="AD284" i="1"/>
  <c r="AD167" i="1"/>
  <c r="AD155" i="1"/>
  <c r="AD77" i="1"/>
  <c r="AD174" i="1"/>
  <c r="AD159" i="1"/>
  <c r="G626" i="12"/>
  <c r="V626" i="12"/>
  <c r="V625" i="12"/>
  <c r="U625" i="12"/>
  <c r="I625" i="12"/>
  <c r="T625" i="12"/>
  <c r="AF366" i="1"/>
  <c r="AD315" i="1"/>
  <c r="AD165" i="1"/>
  <c r="AD152" i="1"/>
  <c r="AD75" i="1"/>
  <c r="AD61" i="1"/>
  <c r="V627" i="12"/>
  <c r="I627" i="12"/>
  <c r="D447" i="14"/>
  <c r="D456" i="14" s="1"/>
  <c r="D443" i="14"/>
  <c r="D452" i="14" s="1"/>
  <c r="V593" i="12"/>
  <c r="V585" i="12"/>
  <c r="V753" i="12"/>
  <c r="V105" i="12"/>
  <c r="V129" i="12"/>
  <c r="V196" i="12"/>
  <c r="V88" i="12"/>
  <c r="V940" i="12"/>
  <c r="V556" i="12"/>
  <c r="V192" i="12"/>
  <c r="V36" i="12"/>
  <c r="V163" i="12"/>
  <c r="V778" i="12"/>
  <c r="V552" i="12"/>
  <c r="V476" i="12"/>
  <c r="V8" i="12"/>
  <c r="V1079" i="12"/>
  <c r="V788" i="12"/>
  <c r="V726" i="12"/>
  <c r="V200" i="12"/>
  <c r="V103" i="12"/>
  <c r="V491" i="12"/>
  <c r="V947" i="12"/>
  <c r="V80" i="12"/>
  <c r="V589" i="12"/>
  <c r="V774" i="12"/>
  <c r="V793" i="12"/>
  <c r="V535" i="12"/>
  <c r="V55" i="12"/>
  <c r="V1117" i="12"/>
  <c r="V803" i="12"/>
  <c r="V182" i="12"/>
  <c r="V128" i="12"/>
  <c r="V561" i="12"/>
  <c r="V84" i="12"/>
  <c r="V124" i="12"/>
  <c r="V1025" i="12"/>
  <c r="V75" i="12"/>
  <c r="V763" i="12"/>
  <c r="V356" i="12"/>
  <c r="V402" i="12"/>
  <c r="V740" i="12"/>
  <c r="V29" i="12"/>
  <c r="V352" i="12"/>
  <c r="V771" i="12"/>
  <c r="V569" i="12"/>
  <c r="V155" i="12"/>
  <c r="V767" i="12"/>
  <c r="V21" i="12"/>
  <c r="V543" i="12"/>
  <c r="V231" i="12"/>
  <c r="V747" i="12"/>
  <c r="V322" i="12"/>
  <c r="V531" i="12"/>
  <c r="V750" i="12"/>
  <c r="V564" i="12"/>
  <c r="V439" i="12"/>
  <c r="V445" i="12"/>
  <c r="AC220" i="1"/>
  <c r="AC42" i="1"/>
  <c r="AF42" i="1"/>
  <c r="AC294" i="1"/>
  <c r="AF302" i="1"/>
  <c r="AF216" i="1"/>
  <c r="AF50" i="1"/>
  <c r="AC366" i="1"/>
  <c r="AD321" i="1"/>
  <c r="AD304" i="1"/>
  <c r="AD299" i="1"/>
  <c r="AD289" i="1"/>
  <c r="AD213" i="1"/>
  <c r="AD177" i="1"/>
  <c r="AD175" i="1"/>
  <c r="AD172" i="1"/>
  <c r="AD166" i="1"/>
  <c r="AD163" i="1"/>
  <c r="AD161" i="1"/>
  <c r="AD158" i="1"/>
  <c r="AD153" i="1"/>
  <c r="AD150" i="1"/>
  <c r="AD86" i="1"/>
  <c r="AD78" i="1"/>
  <c r="AD76" i="1"/>
  <c r="AD60" i="1"/>
  <c r="AD47" i="1"/>
  <c r="AD40" i="1"/>
  <c r="AC347" i="1"/>
  <c r="AF342" i="1"/>
  <c r="AF326" i="1"/>
  <c r="AF306" i="1"/>
  <c r="AF288" i="1"/>
  <c r="AF277" i="1"/>
  <c r="AF220" i="1"/>
  <c r="AF70" i="1"/>
  <c r="AD326" i="1"/>
  <c r="AD306" i="1"/>
  <c r="AD294" i="1"/>
  <c r="AD291" i="1"/>
  <c r="AD50" i="1"/>
  <c r="AD354" i="1"/>
  <c r="AF364" i="1"/>
  <c r="AD370" i="1"/>
  <c r="AF370" i="1"/>
  <c r="AD341" i="1"/>
  <c r="AD335" i="1"/>
  <c r="B613" i="12"/>
  <c r="AD332" i="1"/>
  <c r="AD322" i="1"/>
  <c r="B606" i="12"/>
  <c r="AD319" i="1"/>
  <c r="AD314" i="1"/>
  <c r="B598" i="12"/>
  <c r="AD310" i="1"/>
  <c r="AD305" i="1"/>
  <c r="B588" i="12"/>
  <c r="AD290" i="1"/>
  <c r="AD288" i="1"/>
  <c r="B762" i="12"/>
  <c r="I762" i="12" s="1"/>
  <c r="AD215" i="1"/>
  <c r="AD206" i="1"/>
  <c r="B728" i="12"/>
  <c r="D728" i="12" s="1"/>
  <c r="AD115" i="1"/>
  <c r="AD105" i="1"/>
  <c r="AD49" i="1"/>
  <c r="B617" i="12"/>
  <c r="B104" i="12"/>
  <c r="G104" i="12" s="1"/>
  <c r="B615" i="12"/>
  <c r="Q615" i="12" s="1"/>
  <c r="AD337" i="1"/>
  <c r="B608" i="12"/>
  <c r="I608" i="12" s="1"/>
  <c r="B600" i="12"/>
  <c r="I600" i="12" s="1"/>
  <c r="AD316" i="1"/>
  <c r="B590" i="12"/>
  <c r="I590" i="12" s="1"/>
  <c r="AD307" i="1"/>
  <c r="AD279" i="1"/>
  <c r="B560" i="12"/>
  <c r="I560" i="12" s="1"/>
  <c r="B773" i="12"/>
  <c r="E773" i="12" s="1"/>
  <c r="AD234" i="1"/>
  <c r="AD197" i="1"/>
  <c r="B555" i="12"/>
  <c r="AD91" i="1"/>
  <c r="B724" i="12"/>
  <c r="B137" i="12"/>
  <c r="V137" i="12" s="1"/>
  <c r="B6" i="12"/>
  <c r="B472" i="12"/>
  <c r="D472" i="12" s="1"/>
  <c r="B418" i="12"/>
  <c r="D418" i="12" s="1"/>
  <c r="B394" i="12"/>
  <c r="D394" i="12" s="1"/>
  <c r="B716" i="12"/>
  <c r="R716" i="12" s="1"/>
  <c r="AD339" i="1"/>
  <c r="AD331" i="1"/>
  <c r="B609" i="12"/>
  <c r="AD318" i="1"/>
  <c r="B602" i="12"/>
  <c r="AD309" i="1"/>
  <c r="B592" i="12"/>
  <c r="AD287" i="1"/>
  <c r="B568" i="12"/>
  <c r="I568" i="12" s="1"/>
  <c r="B559" i="12"/>
  <c r="I559" i="12" s="1"/>
  <c r="AD278" i="1"/>
  <c r="B557" i="12"/>
  <c r="B482" i="12"/>
  <c r="Q482" i="12" s="1"/>
  <c r="AC370" i="1"/>
  <c r="B586" i="12"/>
  <c r="I586" i="12" s="1"/>
  <c r="AD342" i="1"/>
  <c r="AD338" i="1"/>
  <c r="B611" i="12"/>
  <c r="Q611" i="12" s="1"/>
  <c r="AD333" i="1"/>
  <c r="AD327" i="1"/>
  <c r="B604" i="12"/>
  <c r="I604" i="12" s="1"/>
  <c r="AD320" i="1"/>
  <c r="AD317" i="1"/>
  <c r="B594" i="12"/>
  <c r="I594" i="12" s="1"/>
  <c r="AD311" i="1"/>
  <c r="AD308" i="1"/>
  <c r="B567" i="12"/>
  <c r="I567" i="12" s="1"/>
  <c r="AD286" i="1"/>
  <c r="AD283" i="1"/>
  <c r="AD280" i="1"/>
  <c r="B760" i="12"/>
  <c r="J760" i="12" s="1"/>
  <c r="AD212" i="1"/>
  <c r="AD198" i="1"/>
  <c r="B727" i="12"/>
  <c r="AD106" i="1"/>
  <c r="AD92" i="1"/>
  <c r="B59" i="12"/>
  <c r="B457" i="12"/>
  <c r="B50" i="12"/>
  <c r="V50" i="12" s="1"/>
  <c r="AC354" i="1"/>
  <c r="B459" i="12"/>
  <c r="B577" i="12"/>
  <c r="B458" i="12"/>
  <c r="B245" i="12"/>
  <c r="D245" i="12" s="1"/>
  <c r="F984" i="12"/>
  <c r="E984" i="12"/>
  <c r="V603" i="12"/>
  <c r="V23" i="12"/>
  <c r="V511" i="12"/>
  <c r="V1051" i="12"/>
  <c r="V1127" i="12"/>
  <c r="V995" i="12"/>
  <c r="V40" i="12"/>
  <c r="V7" i="12"/>
  <c r="V1093" i="12"/>
  <c r="V792" i="12"/>
  <c r="V775" i="12"/>
  <c r="V772" i="12"/>
  <c r="V990" i="12"/>
  <c r="V1008" i="12"/>
  <c r="G1993" i="13"/>
  <c r="G2002" i="13" s="1"/>
  <c r="G2011" i="13" s="1"/>
  <c r="G2020" i="13" s="1"/>
  <c r="G2029" i="13" s="1"/>
  <c r="G2038" i="13" s="1"/>
  <c r="G2047" i="13" s="1"/>
  <c r="G2056" i="13" s="1"/>
  <c r="G2065" i="13" s="1"/>
  <c r="G2074" i="13" s="1"/>
  <c r="G2083" i="13" s="1"/>
  <c r="G2092" i="13" s="1"/>
  <c r="G2101" i="13" s="1"/>
  <c r="G2110" i="13" s="1"/>
  <c r="G2119" i="13" s="1"/>
  <c r="G2128" i="13" s="1"/>
  <c r="G2137" i="13" s="1"/>
  <c r="V599" i="12"/>
  <c r="V761" i="12"/>
  <c r="V229" i="12"/>
  <c r="V391" i="12"/>
  <c r="V1087" i="12"/>
  <c r="V1115" i="12"/>
  <c r="V610" i="12"/>
  <c r="V621" i="12"/>
  <c r="V607" i="12"/>
  <c r="V571" i="12"/>
  <c r="V473" i="12"/>
  <c r="V748" i="12"/>
  <c r="V578" i="12"/>
  <c r="V32" i="12"/>
  <c r="V444" i="12"/>
  <c r="V721" i="12"/>
  <c r="V938" i="12"/>
  <c r="V524" i="12"/>
  <c r="V752" i="12"/>
  <c r="V614" i="12"/>
  <c r="V538" i="12"/>
  <c r="V1108" i="12"/>
  <c r="V565" i="12"/>
  <c r="V755" i="12"/>
  <c r="V188" i="12"/>
  <c r="V957" i="12"/>
  <c r="V193" i="12"/>
  <c r="V399" i="12"/>
  <c r="V481" i="12"/>
  <c r="V470" i="12"/>
  <c r="V403" i="12"/>
  <c r="V455" i="12"/>
  <c r="V719" i="12"/>
  <c r="B16" i="2"/>
  <c r="V976" i="12"/>
  <c r="V485" i="12"/>
  <c r="I393" i="12"/>
  <c r="V393" i="12"/>
  <c r="H29" i="2"/>
  <c r="V434" i="12"/>
  <c r="V348" i="12"/>
  <c r="V90" i="12"/>
  <c r="V520" i="12"/>
  <c r="V452" i="12"/>
  <c r="V769" i="12"/>
  <c r="V410" i="12"/>
  <c r="V749" i="12"/>
  <c r="V741" i="12"/>
  <c r="V601" i="12"/>
  <c r="V1043" i="12"/>
  <c r="V1016" i="12"/>
  <c r="V942" i="12"/>
  <c r="V30" i="12"/>
  <c r="V116" i="12"/>
  <c r="V576" i="12"/>
  <c r="V517" i="12"/>
  <c r="V11" i="12"/>
  <c r="V733" i="12"/>
  <c r="V49" i="12"/>
  <c r="V1047" i="12"/>
  <c r="V351" i="12"/>
  <c r="V575" i="12"/>
  <c r="V235" i="12"/>
  <c r="V743" i="12"/>
  <c r="V94" i="12"/>
  <c r="V222" i="12"/>
  <c r="V487" i="12"/>
  <c r="V540" i="12"/>
  <c r="V173" i="12"/>
  <c r="V35" i="12"/>
  <c r="V70" i="12"/>
  <c r="V185" i="12"/>
  <c r="V605" i="12"/>
  <c r="V789" i="12"/>
  <c r="V992" i="12"/>
  <c r="V1106" i="12"/>
  <c r="V1085" i="12"/>
  <c r="V1022" i="12"/>
  <c r="V541" i="12"/>
  <c r="V547" i="12"/>
  <c r="V126" i="12"/>
  <c r="V537" i="12"/>
  <c r="V764" i="12"/>
  <c r="V172" i="12"/>
  <c r="V765" i="12"/>
  <c r="V612" i="12"/>
  <c r="V798" i="12"/>
  <c r="V782" i="12"/>
  <c r="V27" i="12"/>
  <c r="V78" i="12"/>
  <c r="V978" i="12"/>
  <c r="V167" i="12"/>
  <c r="V785" i="12"/>
  <c r="V162" i="12"/>
  <c r="V407" i="12"/>
  <c r="V420" i="12"/>
  <c r="V109" i="12"/>
  <c r="V91" i="12"/>
  <c r="V551" i="12"/>
  <c r="V573" i="12"/>
  <c r="V794" i="12"/>
  <c r="V1029" i="12"/>
  <c r="V203" i="12"/>
  <c r="V453" i="12"/>
  <c r="V802" i="12"/>
  <c r="B397" i="12"/>
  <c r="G397" i="12" s="1"/>
  <c r="V624" i="12"/>
  <c r="V529" i="12"/>
  <c r="V936" i="12"/>
  <c r="V152" i="12"/>
  <c r="V366" i="12"/>
  <c r="V5" i="12"/>
  <c r="V467" i="12"/>
  <c r="V1077" i="12"/>
  <c r="V787" i="12"/>
  <c r="V549" i="12"/>
  <c r="V1095" i="12"/>
  <c r="V180" i="12"/>
  <c r="V1035" i="12"/>
  <c r="V1053" i="12"/>
  <c r="V31" i="12"/>
  <c r="V1125" i="12"/>
  <c r="V118" i="12"/>
  <c r="V390" i="12"/>
  <c r="V779" i="12"/>
  <c r="V57" i="12"/>
  <c r="V790" i="12"/>
  <c r="V955" i="12"/>
  <c r="V1081" i="12"/>
  <c r="V143" i="12"/>
  <c r="V545" i="12"/>
  <c r="V26" i="12"/>
  <c r="V179" i="12"/>
  <c r="V519" i="12"/>
  <c r="V171" i="12"/>
  <c r="V766" i="12"/>
  <c r="V189" i="12"/>
  <c r="V465" i="12"/>
  <c r="V45" i="12"/>
  <c r="V596" i="12"/>
  <c r="V208" i="12"/>
  <c r="V52" i="12"/>
  <c r="V584" i="12"/>
  <c r="V61" i="12"/>
  <c r="V562" i="12"/>
  <c r="V493" i="12"/>
  <c r="V963" i="12"/>
  <c r="V1018" i="12"/>
  <c r="V925" i="12"/>
  <c r="V757" i="12"/>
  <c r="V623" i="12"/>
  <c r="V20" i="12"/>
  <c r="V804" i="12"/>
  <c r="V1129" i="12"/>
  <c r="V533" i="12"/>
  <c r="V777" i="12"/>
  <c r="V469" i="12"/>
  <c r="V215" i="12"/>
  <c r="V735" i="12"/>
  <c r="V534" i="12"/>
  <c r="V121" i="12"/>
  <c r="V187" i="12"/>
  <c r="V998" i="12"/>
  <c r="V1012" i="12"/>
  <c r="V134" i="12"/>
  <c r="V417" i="12"/>
  <c r="V490" i="12"/>
  <c r="V123" i="12"/>
  <c r="V205" i="12"/>
  <c r="V1091" i="12"/>
  <c r="V1004" i="12"/>
  <c r="V355" i="12"/>
  <c r="V756" i="12"/>
  <c r="V945" i="12"/>
  <c r="V1000" i="12"/>
  <c r="V503" i="12"/>
  <c r="V214" i="12"/>
  <c r="V175" i="12"/>
  <c r="V532" i="12"/>
  <c r="V738" i="12"/>
  <c r="V1006" i="12"/>
  <c r="V24" i="12"/>
  <c r="V194" i="12"/>
  <c r="V404" i="12"/>
  <c r="V139" i="12"/>
  <c r="V1055" i="12"/>
  <c r="V321" i="12"/>
  <c r="V28" i="12"/>
  <c r="V16" i="12"/>
  <c r="V734" i="12"/>
  <c r="V754" i="12"/>
  <c r="V416" i="12"/>
  <c r="V202" i="12"/>
  <c r="V74" i="12"/>
  <c r="V130" i="12"/>
  <c r="V587" i="12"/>
  <c r="V795" i="12"/>
  <c r="V799" i="12"/>
  <c r="V745" i="12"/>
  <c r="V218" i="12"/>
  <c r="V1037" i="12"/>
  <c r="V961" i="12"/>
  <c r="V987" i="12"/>
  <c r="V1026" i="12"/>
  <c r="V722" i="12"/>
  <c r="V572" i="12"/>
  <c r="V553" i="12"/>
  <c r="V492" i="12"/>
  <c r="V595" i="12"/>
  <c r="V591" i="12"/>
  <c r="V377" i="12"/>
  <c r="V19" i="12"/>
  <c r="V170" i="12"/>
  <c r="V574" i="12"/>
  <c r="V800" i="12"/>
  <c r="V209" i="12"/>
  <c r="V583" i="12"/>
  <c r="V86" i="12"/>
  <c r="V450" i="12"/>
  <c r="V544" i="12"/>
  <c r="V527" i="12"/>
  <c r="V18" i="12"/>
  <c r="V1083" i="12"/>
  <c r="V221" i="12"/>
  <c r="V616" i="12"/>
  <c r="V409" i="12"/>
  <c r="V346" i="12"/>
  <c r="V1045" i="12"/>
  <c r="V973" i="12"/>
  <c r="V965" i="12"/>
  <c r="V1014" i="12"/>
  <c r="V528" i="12"/>
  <c r="G2594" i="13"/>
  <c r="G2603" i="13" s="1"/>
  <c r="G2612" i="13" s="1"/>
  <c r="G2621" i="13" s="1"/>
  <c r="G2630" i="13" s="1"/>
  <c r="G2639" i="13" s="1"/>
  <c r="G2648" i="13" s="1"/>
  <c r="G2657" i="13" s="1"/>
  <c r="G2666" i="13" s="1"/>
  <c r="G2675" i="13" s="1"/>
  <c r="G2684" i="13" s="1"/>
  <c r="G2693" i="13" s="1"/>
  <c r="G2702" i="13" s="1"/>
  <c r="G2711" i="13" s="1"/>
  <c r="G2720" i="13" s="1"/>
  <c r="G2729" i="13" s="1"/>
  <c r="G2738" i="13" s="1"/>
  <c r="G2747" i="13" s="1"/>
  <c r="G2756" i="13" s="1"/>
  <c r="G2765" i="13" s="1"/>
  <c r="G2774" i="13" s="1"/>
  <c r="G2783" i="13" s="1"/>
  <c r="G2792" i="13" s="1"/>
  <c r="G2801" i="13" s="1"/>
  <c r="G2810" i="13" s="1"/>
  <c r="G2819" i="13" s="1"/>
  <c r="G2828" i="13" s="1"/>
  <c r="G2837" i="13" s="1"/>
  <c r="G2846" i="13" s="1"/>
  <c r="G2855" i="13" s="1"/>
  <c r="G2864" i="13" s="1"/>
  <c r="G2873" i="13" s="1"/>
  <c r="G2882" i="13" s="1"/>
  <c r="G2891" i="13" s="1"/>
  <c r="G2900" i="13" s="1"/>
  <c r="G2909" i="13" s="1"/>
  <c r="G2918" i="13" s="1"/>
  <c r="G2927" i="13" s="1"/>
  <c r="G2936" i="13" s="1"/>
  <c r="G2945" i="13" s="1"/>
  <c r="G2954" i="13" s="1"/>
  <c r="G2963" i="13" s="1"/>
  <c r="G2972" i="13" s="1"/>
  <c r="G2981" i="13" s="1"/>
  <c r="G2990" i="13" s="1"/>
  <c r="G2999" i="13" s="1"/>
  <c r="G3008" i="13" s="1"/>
  <c r="G3017" i="13" s="1"/>
  <c r="G3026" i="13" s="1"/>
  <c r="G3035" i="13" s="1"/>
  <c r="G3044" i="13" s="1"/>
  <c r="G3053" i="13" s="1"/>
  <c r="G3071" i="13" s="1"/>
  <c r="G3089" i="13" s="1"/>
  <c r="G2602" i="13"/>
  <c r="G2611" i="13" s="1"/>
  <c r="G2620" i="13" s="1"/>
  <c r="G2629" i="13" s="1"/>
  <c r="G2638" i="13" s="1"/>
  <c r="G2647" i="13" s="1"/>
  <c r="G2656" i="13" s="1"/>
  <c r="G2665" i="13" s="1"/>
  <c r="G2674" i="13" s="1"/>
  <c r="G2683" i="13" s="1"/>
  <c r="G2692" i="13" s="1"/>
  <c r="G2701" i="13" s="1"/>
  <c r="G2710" i="13" s="1"/>
  <c r="G2719" i="13" s="1"/>
  <c r="G2728" i="13" s="1"/>
  <c r="G2737" i="13" s="1"/>
  <c r="G2746" i="13" s="1"/>
  <c r="G2755" i="13" s="1"/>
  <c r="G2764" i="13" s="1"/>
  <c r="G2773" i="13" s="1"/>
  <c r="G2782" i="13" s="1"/>
  <c r="G2791" i="13" s="1"/>
  <c r="G2800" i="13" s="1"/>
  <c r="G2809" i="13" s="1"/>
  <c r="G2818" i="13" s="1"/>
  <c r="G2827" i="13" s="1"/>
  <c r="G2836" i="13" s="1"/>
  <c r="G2845" i="13" s="1"/>
  <c r="G2854" i="13" s="1"/>
  <c r="G2863" i="13" s="1"/>
  <c r="G2872" i="13" s="1"/>
  <c r="G2881" i="13" s="1"/>
  <c r="G2890" i="13" s="1"/>
  <c r="G2899" i="13" s="1"/>
  <c r="G2908" i="13" s="1"/>
  <c r="G2917" i="13" s="1"/>
  <c r="G2926" i="13" s="1"/>
  <c r="G2935" i="13" s="1"/>
  <c r="G2944" i="13" s="1"/>
  <c r="G2953" i="13" s="1"/>
  <c r="G2962" i="13" s="1"/>
  <c r="G2971" i="13" s="1"/>
  <c r="G2980" i="13" s="1"/>
  <c r="G2989" i="13" s="1"/>
  <c r="G2998" i="13" s="1"/>
  <c r="G3007" i="13" s="1"/>
  <c r="G3016" i="13" s="1"/>
  <c r="I68" i="2"/>
  <c r="E68" i="2"/>
  <c r="H68" i="2"/>
  <c r="D68" i="2"/>
  <c r="G68" i="2"/>
  <c r="B68" i="2"/>
  <c r="F68" i="2"/>
  <c r="V542" i="12"/>
  <c r="V474" i="12"/>
  <c r="G2597" i="13"/>
  <c r="G2606" i="13" s="1"/>
  <c r="G2615" i="13" s="1"/>
  <c r="G2624" i="13" s="1"/>
  <c r="G2633" i="13" s="1"/>
  <c r="G2642" i="13" s="1"/>
  <c r="G2651" i="13" s="1"/>
  <c r="G2660" i="13" s="1"/>
  <c r="G2669" i="13" s="1"/>
  <c r="G2678" i="13" s="1"/>
  <c r="G2687" i="13" s="1"/>
  <c r="G2696" i="13" s="1"/>
  <c r="G2705" i="13" s="1"/>
  <c r="G2714" i="13" s="1"/>
  <c r="G2723" i="13" s="1"/>
  <c r="G2732" i="13" s="1"/>
  <c r="G2741" i="13" s="1"/>
  <c r="G2750" i="13" s="1"/>
  <c r="G2759" i="13" s="1"/>
  <c r="G2768" i="13" s="1"/>
  <c r="G2777" i="13" s="1"/>
  <c r="G2786" i="13" s="1"/>
  <c r="G2795" i="13" s="1"/>
  <c r="G2804" i="13" s="1"/>
  <c r="G2813" i="13" s="1"/>
  <c r="G2822" i="13" s="1"/>
  <c r="G2831" i="13" s="1"/>
  <c r="G2840" i="13" s="1"/>
  <c r="G2849" i="13" s="1"/>
  <c r="G2858" i="13" s="1"/>
  <c r="G2867" i="13" s="1"/>
  <c r="G2876" i="13" s="1"/>
  <c r="G2885" i="13" s="1"/>
  <c r="G2894" i="13" s="1"/>
  <c r="G2903" i="13" s="1"/>
  <c r="G2912" i="13" s="1"/>
  <c r="G2921" i="13" s="1"/>
  <c r="G2930" i="13" s="1"/>
  <c r="G2939" i="13" s="1"/>
  <c r="G2948" i="13" s="1"/>
  <c r="G2957" i="13" s="1"/>
  <c r="G2966" i="13" s="1"/>
  <c r="G2975" i="13" s="1"/>
  <c r="G2984" i="13" s="1"/>
  <c r="G2993" i="13" s="1"/>
  <c r="G3002" i="13" s="1"/>
  <c r="G3011" i="13" s="1"/>
  <c r="G1989" i="13"/>
  <c r="G1985" i="13"/>
  <c r="G2601" i="13"/>
  <c r="G2610" i="13" s="1"/>
  <c r="G2619" i="13" s="1"/>
  <c r="G2628" i="13" s="1"/>
  <c r="G2637" i="13" s="1"/>
  <c r="G2646" i="13" s="1"/>
  <c r="G2655" i="13" s="1"/>
  <c r="G2664" i="13" s="1"/>
  <c r="G2673" i="13" s="1"/>
  <c r="G2682" i="13" s="1"/>
  <c r="G2691" i="13" s="1"/>
  <c r="G2700" i="13" s="1"/>
  <c r="G2709" i="13" s="1"/>
  <c r="G2718" i="13" s="1"/>
  <c r="G2727" i="13" s="1"/>
  <c r="G2736" i="13" s="1"/>
  <c r="G2745" i="13" s="1"/>
  <c r="G2754" i="13" s="1"/>
  <c r="G2763" i="13" s="1"/>
  <c r="G2772" i="13" s="1"/>
  <c r="G2781" i="13" s="1"/>
  <c r="G2790" i="13" s="1"/>
  <c r="G2799" i="13" s="1"/>
  <c r="G2808" i="13" s="1"/>
  <c r="G2817" i="13" s="1"/>
  <c r="G2826" i="13" s="1"/>
  <c r="G2835" i="13" s="1"/>
  <c r="G2844" i="13" s="1"/>
  <c r="G2853" i="13" s="1"/>
  <c r="G2862" i="13" s="1"/>
  <c r="G2871" i="13" s="1"/>
  <c r="G2880" i="13" s="1"/>
  <c r="G2889" i="13" s="1"/>
  <c r="G2898" i="13" s="1"/>
  <c r="G2907" i="13" s="1"/>
  <c r="G2916" i="13" s="1"/>
  <c r="G2925" i="13" s="1"/>
  <c r="G2934" i="13" s="1"/>
  <c r="G2943" i="13" s="1"/>
  <c r="G2952" i="13" s="1"/>
  <c r="G2961" i="13" s="1"/>
  <c r="G2970" i="13" s="1"/>
  <c r="G2979" i="13" s="1"/>
  <c r="G2988" i="13" s="1"/>
  <c r="G2997" i="13" s="1"/>
  <c r="G3006" i="13" s="1"/>
  <c r="G3015" i="13" s="1"/>
  <c r="G1996" i="13"/>
  <c r="G2005" i="13" s="1"/>
  <c r="G2014" i="13" s="1"/>
  <c r="G2023" i="13" s="1"/>
  <c r="G2032" i="13" s="1"/>
  <c r="G2041" i="13" s="1"/>
  <c r="G2050" i="13" s="1"/>
  <c r="G2059" i="13" s="1"/>
  <c r="G2068" i="13" s="1"/>
  <c r="G2077" i="13" s="1"/>
  <c r="G2086" i="13" s="1"/>
  <c r="G2095" i="13" s="1"/>
  <c r="G2104" i="13" s="1"/>
  <c r="G2113" i="13" s="1"/>
  <c r="G2122" i="13" s="1"/>
  <c r="G2131" i="13" s="1"/>
  <c r="G2140" i="13" s="1"/>
  <c r="G2599" i="13"/>
  <c r="G2608" i="13" s="1"/>
  <c r="G2617" i="13" s="1"/>
  <c r="G2626" i="13" s="1"/>
  <c r="G2635" i="13" s="1"/>
  <c r="G2644" i="13" s="1"/>
  <c r="G2653" i="13" s="1"/>
  <c r="G2662" i="13" s="1"/>
  <c r="G2671" i="13" s="1"/>
  <c r="G2680" i="13" s="1"/>
  <c r="G2689" i="13" s="1"/>
  <c r="G2698" i="13" s="1"/>
  <c r="G2707" i="13" s="1"/>
  <c r="G2716" i="13" s="1"/>
  <c r="G2725" i="13" s="1"/>
  <c r="G2734" i="13" s="1"/>
  <c r="G2743" i="13" s="1"/>
  <c r="G2752" i="13" s="1"/>
  <c r="G2761" i="13" s="1"/>
  <c r="G2770" i="13" s="1"/>
  <c r="G2779" i="13" s="1"/>
  <c r="G2788" i="13" s="1"/>
  <c r="G2797" i="13" s="1"/>
  <c r="G2806" i="13" s="1"/>
  <c r="G2815" i="13" s="1"/>
  <c r="G2824" i="13" s="1"/>
  <c r="G2833" i="13" s="1"/>
  <c r="G2842" i="13" s="1"/>
  <c r="G2851" i="13" s="1"/>
  <c r="G2860" i="13" s="1"/>
  <c r="G2869" i="13" s="1"/>
  <c r="G2878" i="13" s="1"/>
  <c r="G2887" i="13" s="1"/>
  <c r="G2896" i="13" s="1"/>
  <c r="G2905" i="13" s="1"/>
  <c r="G2914" i="13" s="1"/>
  <c r="G2923" i="13" s="1"/>
  <c r="G2932" i="13" s="1"/>
  <c r="G2941" i="13" s="1"/>
  <c r="G2950" i="13" s="1"/>
  <c r="G2959" i="13" s="1"/>
  <c r="G2968" i="13" s="1"/>
  <c r="G2977" i="13" s="1"/>
  <c r="G2986" i="13" s="1"/>
  <c r="G2995" i="13" s="1"/>
  <c r="G3004" i="13" s="1"/>
  <c r="G3013" i="13" s="1"/>
  <c r="G1987" i="13"/>
  <c r="H16" i="2"/>
  <c r="N3" i="22"/>
  <c r="V142" i="15"/>
  <c r="V133" i="15"/>
  <c r="V100" i="15"/>
  <c r="V90" i="15"/>
  <c r="V57" i="15"/>
  <c r="W133" i="15"/>
  <c r="W90" i="15"/>
  <c r="B1130" i="12"/>
  <c r="Y145" i="15"/>
  <c r="Y142" i="15"/>
  <c r="B1116" i="12"/>
  <c r="Y136" i="15"/>
  <c r="Y133" i="15"/>
  <c r="B1098" i="12"/>
  <c r="Y127" i="15"/>
  <c r="Y100" i="15"/>
  <c r="B1090" i="12"/>
  <c r="Y93" i="15"/>
  <c r="Y90" i="15"/>
  <c r="B1082" i="12"/>
  <c r="Y67" i="15"/>
  <c r="Y57" i="15"/>
  <c r="Y46" i="15"/>
  <c r="B1050" i="12"/>
  <c r="W46" i="15"/>
  <c r="B1039" i="12"/>
  <c r="B1036" i="12"/>
  <c r="B1030" i="12"/>
  <c r="B1002" i="12"/>
  <c r="B999" i="12"/>
  <c r="B817" i="12"/>
  <c r="B974" i="12"/>
  <c r="B964" i="12"/>
  <c r="B956" i="12"/>
  <c r="B944" i="12"/>
  <c r="B937" i="12"/>
  <c r="E937" i="12" s="1"/>
  <c r="B1044" i="12"/>
  <c r="Y39" i="15"/>
  <c r="B801" i="12"/>
  <c r="B1118" i="12"/>
  <c r="Y139" i="15"/>
  <c r="W139" i="15"/>
  <c r="B1107" i="12"/>
  <c r="Y130" i="15"/>
  <c r="W130" i="15"/>
  <c r="B1092" i="12"/>
  <c r="Y96" i="15"/>
  <c r="W96" i="15"/>
  <c r="B1084" i="12"/>
  <c r="Y71" i="15"/>
  <c r="W71" i="15"/>
  <c r="B1076" i="12"/>
  <c r="Y54" i="15"/>
  <c r="W54" i="15"/>
  <c r="B1049" i="12"/>
  <c r="Y44" i="15"/>
  <c r="Y41" i="15"/>
  <c r="B1046" i="12"/>
  <c r="W41" i="15"/>
  <c r="B1038" i="12"/>
  <c r="B1021" i="12"/>
  <c r="B1010" i="12"/>
  <c r="B1007" i="12"/>
  <c r="B1001" i="12"/>
  <c r="B1011" i="12"/>
  <c r="E1011" i="12" s="1"/>
  <c r="B977" i="12"/>
  <c r="B966" i="12"/>
  <c r="B958" i="12"/>
  <c r="B946" i="12"/>
  <c r="B939" i="12"/>
  <c r="E939" i="12" s="1"/>
  <c r="B931" i="12"/>
  <c r="B1024" i="12"/>
  <c r="V140" i="15"/>
  <c r="W142" i="15"/>
  <c r="W136" i="15"/>
  <c r="W131" i="15"/>
  <c r="W100" i="15"/>
  <c r="W57" i="15"/>
  <c r="B811" i="12"/>
  <c r="B1126" i="12"/>
  <c r="Y141" i="15"/>
  <c r="Y138" i="15"/>
  <c r="B1112" i="12"/>
  <c r="Y132" i="15"/>
  <c r="Y129" i="15"/>
  <c r="B1094" i="12"/>
  <c r="Y98" i="15"/>
  <c r="B1086" i="12"/>
  <c r="Y88" i="15"/>
  <c r="Y68" i="15"/>
  <c r="B1075" i="12"/>
  <c r="Y53" i="15"/>
  <c r="B1054" i="12"/>
  <c r="Y50" i="15"/>
  <c r="W50" i="15"/>
  <c r="Y47" i="15"/>
  <c r="B1048" i="12"/>
  <c r="Y43" i="15"/>
  <c r="B1032" i="12"/>
  <c r="B1020" i="12"/>
  <c r="B1017" i="12"/>
  <c r="B1009" i="12"/>
  <c r="B989" i="12"/>
  <c r="B927" i="12"/>
  <c r="Q927" i="12" s="1"/>
  <c r="B979" i="12"/>
  <c r="B930" i="12"/>
  <c r="Q930" i="12" s="1"/>
  <c r="B960" i="12"/>
  <c r="B948" i="12"/>
  <c r="B941" i="12"/>
  <c r="V941" i="12" s="1"/>
  <c r="B933" i="12"/>
  <c r="V139" i="15"/>
  <c r="V130" i="15"/>
  <c r="V96" i="15"/>
  <c r="V71" i="15"/>
  <c r="V54" i="15"/>
  <c r="V41" i="15"/>
  <c r="W44" i="15"/>
  <c r="B1128" i="12"/>
  <c r="Y143" i="15"/>
  <c r="W143" i="15"/>
  <c r="Y140" i="15"/>
  <c r="B1114" i="12"/>
  <c r="Y134" i="15"/>
  <c r="W134" i="15"/>
  <c r="Y131" i="15"/>
  <c r="B1096" i="12"/>
  <c r="Y102" i="15"/>
  <c r="W102" i="15"/>
  <c r="Y97" i="15"/>
  <c r="B1088" i="12"/>
  <c r="Y91" i="15"/>
  <c r="W91" i="15"/>
  <c r="Y87" i="15"/>
  <c r="B1080" i="12"/>
  <c r="Y58" i="15"/>
  <c r="W58" i="15"/>
  <c r="Y55" i="15"/>
  <c r="Y52" i="15"/>
  <c r="B1074" i="12"/>
  <c r="B1040" i="12"/>
  <c r="B1031" i="12"/>
  <c r="B1028" i="12"/>
  <c r="B1019" i="12"/>
  <c r="B993" i="12"/>
  <c r="B991" i="12"/>
  <c r="B988" i="12"/>
  <c r="B972" i="12"/>
  <c r="B962" i="12"/>
  <c r="B954" i="12"/>
  <c r="B935" i="12"/>
  <c r="B1042" i="12"/>
  <c r="Z177" i="15"/>
  <c r="Y37" i="15"/>
  <c r="B1013" i="12"/>
  <c r="B818" i="12"/>
  <c r="B928" i="12"/>
  <c r="E928" i="12" s="1"/>
  <c r="B1078" i="12"/>
  <c r="Y56" i="15"/>
  <c r="B1052" i="12"/>
  <c r="Y48" i="15"/>
  <c r="B820" i="12"/>
  <c r="V820" i="12" s="1"/>
  <c r="B1034" i="12"/>
  <c r="B1023" i="12"/>
  <c r="B1015" i="12"/>
  <c r="B1005" i="12"/>
  <c r="B996" i="12"/>
  <c r="B926" i="12"/>
  <c r="Q926" i="12" s="1"/>
  <c r="B816" i="12"/>
  <c r="Q816" i="12" s="1"/>
  <c r="B975" i="12"/>
  <c r="B994" i="12"/>
  <c r="B1003" i="12"/>
  <c r="W148" i="15"/>
  <c r="I978" i="12"/>
  <c r="F16" i="2"/>
  <c r="J809" i="12"/>
  <c r="V809" i="12"/>
  <c r="E985" i="12"/>
  <c r="V985" i="12"/>
  <c r="E980" i="12"/>
  <c r="V980" i="12"/>
  <c r="Q814" i="12"/>
  <c r="V814" i="12"/>
  <c r="I967" i="12"/>
  <c r="V967" i="12"/>
  <c r="J805" i="12"/>
  <c r="V805" i="12"/>
  <c r="V984" i="12"/>
  <c r="E981" i="12"/>
  <c r="V981" i="12"/>
  <c r="H969" i="12"/>
  <c r="V969" i="12"/>
  <c r="J952" i="12"/>
  <c r="V952" i="12"/>
  <c r="D815" i="12"/>
  <c r="V815" i="12"/>
  <c r="E982" i="12"/>
  <c r="V982" i="12"/>
  <c r="H970" i="12"/>
  <c r="V970" i="12"/>
  <c r="J810" i="12"/>
  <c r="V810" i="12"/>
  <c r="E986" i="12"/>
  <c r="V986" i="12"/>
  <c r="B951" i="12"/>
  <c r="B807" i="12"/>
  <c r="B953" i="12"/>
  <c r="B813" i="12"/>
  <c r="Q813" i="12" s="1"/>
  <c r="B950" i="12"/>
  <c r="B806" i="12"/>
  <c r="B971" i="12"/>
  <c r="B983" i="12"/>
  <c r="B812" i="12"/>
  <c r="Q812" i="12" s="1"/>
  <c r="Z163" i="15"/>
  <c r="AD277" i="1"/>
  <c r="D462" i="12"/>
  <c r="V462" i="12"/>
  <c r="I558" i="12"/>
  <c r="V558" i="12"/>
  <c r="Q815" i="12"/>
  <c r="V516" i="12"/>
  <c r="R454" i="12"/>
  <c r="T480" i="12"/>
  <c r="R455" i="12"/>
  <c r="V1027" i="12"/>
  <c r="K804" i="12"/>
  <c r="G1986" i="13"/>
  <c r="G2598" i="13"/>
  <c r="G2607" i="13" s="1"/>
  <c r="G2616" i="13" s="1"/>
  <c r="G2625" i="13" s="1"/>
  <c r="G2634" i="13" s="1"/>
  <c r="G2643" i="13" s="1"/>
  <c r="G2652" i="13" s="1"/>
  <c r="G2661" i="13" s="1"/>
  <c r="G2670" i="13" s="1"/>
  <c r="G2679" i="13" s="1"/>
  <c r="G2688" i="13" s="1"/>
  <c r="G2697" i="13" s="1"/>
  <c r="G2706" i="13" s="1"/>
  <c r="G2715" i="13" s="1"/>
  <c r="G2724" i="13" s="1"/>
  <c r="G2733" i="13" s="1"/>
  <c r="G2742" i="13" s="1"/>
  <c r="G2751" i="13" s="1"/>
  <c r="G2760" i="13" s="1"/>
  <c r="G2769" i="13" s="1"/>
  <c r="G2778" i="13" s="1"/>
  <c r="G2787" i="13" s="1"/>
  <c r="G2796" i="13" s="1"/>
  <c r="G2805" i="13" s="1"/>
  <c r="G2814" i="13" s="1"/>
  <c r="G2823" i="13" s="1"/>
  <c r="G2832" i="13" s="1"/>
  <c r="G2841" i="13" s="1"/>
  <c r="G2850" i="13" s="1"/>
  <c r="G2859" i="13" s="1"/>
  <c r="G2868" i="13" s="1"/>
  <c r="G2877" i="13" s="1"/>
  <c r="G2886" i="13" s="1"/>
  <c r="G2895" i="13" s="1"/>
  <c r="G2904" i="13" s="1"/>
  <c r="G2913" i="13" s="1"/>
  <c r="G2922" i="13" s="1"/>
  <c r="G2931" i="13" s="1"/>
  <c r="G2940" i="13" s="1"/>
  <c r="G2949" i="13" s="1"/>
  <c r="G2958" i="13" s="1"/>
  <c r="G2967" i="13" s="1"/>
  <c r="G2976" i="13" s="1"/>
  <c r="G2985" i="13" s="1"/>
  <c r="G2994" i="13" s="1"/>
  <c r="G3003" i="13" s="1"/>
  <c r="G3012" i="13" s="1"/>
  <c r="G1995" i="13"/>
  <c r="G2004" i="13" s="1"/>
  <c r="G2013" i="13" s="1"/>
  <c r="G2022" i="13" s="1"/>
  <c r="G2031" i="13" s="1"/>
  <c r="G2040" i="13" s="1"/>
  <c r="G2049" i="13" s="1"/>
  <c r="G2058" i="13" s="1"/>
  <c r="G2067" i="13" s="1"/>
  <c r="G2076" i="13" s="1"/>
  <c r="G2085" i="13" s="1"/>
  <c r="G2094" i="13" s="1"/>
  <c r="G2103" i="13" s="1"/>
  <c r="G2112" i="13" s="1"/>
  <c r="G2121" i="13" s="1"/>
  <c r="G2130" i="13" s="1"/>
  <c r="G2139" i="13" s="1"/>
  <c r="AF179" i="1"/>
  <c r="AF142" i="1"/>
  <c r="AF138" i="1"/>
  <c r="AF68" i="1"/>
  <c r="Q455" i="12"/>
  <c r="J481" i="12"/>
  <c r="AF184" i="1"/>
  <c r="Q925" i="12"/>
  <c r="AF189" i="1"/>
  <c r="AF72" i="1"/>
  <c r="AD142" i="1"/>
  <c r="T393" i="12"/>
  <c r="S454" i="12"/>
  <c r="S393" i="12"/>
  <c r="R393" i="12"/>
  <c r="Q454" i="12"/>
  <c r="Q231" i="12"/>
  <c r="V217" i="12"/>
  <c r="Q456" i="12"/>
  <c r="V449" i="12"/>
  <c r="M322" i="12"/>
  <c r="J978" i="12"/>
  <c r="V127" i="12"/>
  <c r="V359" i="12"/>
  <c r="R456" i="12"/>
  <c r="G1983" i="13"/>
  <c r="G1992" i="13"/>
  <c r="G2001" i="13" s="1"/>
  <c r="G2010" i="13" s="1"/>
  <c r="G2019" i="13" s="1"/>
  <c r="G2028" i="13" s="1"/>
  <c r="G2037" i="13" s="1"/>
  <c r="G2046" i="13" s="1"/>
  <c r="G2055" i="13" s="1"/>
  <c r="G2064" i="13" s="1"/>
  <c r="G2073" i="13" s="1"/>
  <c r="G2082" i="13" s="1"/>
  <c r="G2091" i="13" s="1"/>
  <c r="G2100" i="13" s="1"/>
  <c r="G2109" i="13" s="1"/>
  <c r="G2118" i="13" s="1"/>
  <c r="G2127" i="13" s="1"/>
  <c r="G2136" i="13" s="1"/>
  <c r="G2595" i="13"/>
  <c r="G2604" i="13" s="1"/>
  <c r="G2613" i="13" s="1"/>
  <c r="G2622" i="13" s="1"/>
  <c r="G2631" i="13" s="1"/>
  <c r="G2640" i="13" s="1"/>
  <c r="G2649" i="13" s="1"/>
  <c r="G2658" i="13" s="1"/>
  <c r="G2667" i="13" s="1"/>
  <c r="G2676" i="13" s="1"/>
  <c r="G2685" i="13" s="1"/>
  <c r="G2694" i="13" s="1"/>
  <c r="G2703" i="13" s="1"/>
  <c r="G2712" i="13" s="1"/>
  <c r="G2721" i="13" s="1"/>
  <c r="G2730" i="13" s="1"/>
  <c r="G2739" i="13" s="1"/>
  <c r="G2748" i="13" s="1"/>
  <c r="G2757" i="13" s="1"/>
  <c r="G2766" i="13" s="1"/>
  <c r="G2775" i="13" s="1"/>
  <c r="G2784" i="13" s="1"/>
  <c r="G2793" i="13" s="1"/>
  <c r="G2802" i="13" s="1"/>
  <c r="G2811" i="13" s="1"/>
  <c r="G2820" i="13" s="1"/>
  <c r="G2829" i="13" s="1"/>
  <c r="G2838" i="13" s="1"/>
  <c r="G2847" i="13" s="1"/>
  <c r="G2856" i="13" s="1"/>
  <c r="G2865" i="13" s="1"/>
  <c r="G2874" i="13" s="1"/>
  <c r="G2883" i="13" s="1"/>
  <c r="G2892" i="13" s="1"/>
  <c r="G2901" i="13" s="1"/>
  <c r="G2910" i="13" s="1"/>
  <c r="G2919" i="13" s="1"/>
  <c r="G2928" i="13" s="1"/>
  <c r="G2937" i="13" s="1"/>
  <c r="G2946" i="13" s="1"/>
  <c r="G2955" i="13" s="1"/>
  <c r="G2964" i="13" s="1"/>
  <c r="G2973" i="13" s="1"/>
  <c r="G2982" i="13" s="1"/>
  <c r="G2991" i="13" s="1"/>
  <c r="G3000" i="13" s="1"/>
  <c r="G3009" i="13" s="1"/>
  <c r="G2600" i="13"/>
  <c r="G2609" i="13" s="1"/>
  <c r="G2618" i="13" s="1"/>
  <c r="G2627" i="13" s="1"/>
  <c r="G2636" i="13" s="1"/>
  <c r="G2645" i="13" s="1"/>
  <c r="G2654" i="13" s="1"/>
  <c r="G2663" i="13" s="1"/>
  <c r="G2672" i="13" s="1"/>
  <c r="G2681" i="13" s="1"/>
  <c r="G2690" i="13" s="1"/>
  <c r="G2699" i="13" s="1"/>
  <c r="G2708" i="13" s="1"/>
  <c r="G2717" i="13" s="1"/>
  <c r="G2726" i="13" s="1"/>
  <c r="G2735" i="13" s="1"/>
  <c r="G2744" i="13" s="1"/>
  <c r="G2753" i="13" s="1"/>
  <c r="G2762" i="13" s="1"/>
  <c r="G2771" i="13" s="1"/>
  <c r="G2780" i="13" s="1"/>
  <c r="G2789" i="13" s="1"/>
  <c r="G2798" i="13" s="1"/>
  <c r="G2807" i="13" s="1"/>
  <c r="G2816" i="13" s="1"/>
  <c r="G2825" i="13" s="1"/>
  <c r="G2834" i="13" s="1"/>
  <c r="G2843" i="13" s="1"/>
  <c r="G2852" i="13" s="1"/>
  <c r="G2861" i="13" s="1"/>
  <c r="G2870" i="13" s="1"/>
  <c r="G2879" i="13" s="1"/>
  <c r="G2888" i="13" s="1"/>
  <c r="G2897" i="13" s="1"/>
  <c r="G2906" i="13" s="1"/>
  <c r="G2915" i="13" s="1"/>
  <c r="G2924" i="13" s="1"/>
  <c r="G2933" i="13" s="1"/>
  <c r="G2942" i="13" s="1"/>
  <c r="G2951" i="13" s="1"/>
  <c r="G2960" i="13" s="1"/>
  <c r="G2969" i="13" s="1"/>
  <c r="G2978" i="13" s="1"/>
  <c r="G2987" i="13" s="1"/>
  <c r="G2996" i="13" s="1"/>
  <c r="G3005" i="13" s="1"/>
  <c r="G3014" i="13" s="1"/>
  <c r="G1988" i="13"/>
  <c r="G1997" i="13"/>
  <c r="G2006" i="13" s="1"/>
  <c r="G2015" i="13" s="1"/>
  <c r="G2024" i="13" s="1"/>
  <c r="G2033" i="13" s="1"/>
  <c r="G2042" i="13" s="1"/>
  <c r="G2051" i="13" s="1"/>
  <c r="G2060" i="13" s="1"/>
  <c r="G2069" i="13" s="1"/>
  <c r="G2078" i="13" s="1"/>
  <c r="G2087" i="13" s="1"/>
  <c r="G2096" i="13" s="1"/>
  <c r="G2105" i="13" s="1"/>
  <c r="G2114" i="13" s="1"/>
  <c r="G2123" i="13" s="1"/>
  <c r="G2132" i="13" s="1"/>
  <c r="G2141" i="13" s="1"/>
  <c r="B714" i="12"/>
  <c r="AD102" i="1"/>
  <c r="AC102" i="1"/>
  <c r="B483" i="12"/>
  <c r="B73" i="12"/>
  <c r="B9" i="12"/>
  <c r="B56" i="12"/>
  <c r="B117" i="12"/>
  <c r="B147" i="12"/>
  <c r="B122" i="12"/>
  <c r="B480" i="12"/>
  <c r="B413" i="12"/>
  <c r="V413" i="12" s="1"/>
  <c r="B386" i="12"/>
  <c r="V386" i="12" s="1"/>
  <c r="B248" i="12"/>
  <c r="V248" i="12" s="1"/>
  <c r="AD296" i="1"/>
  <c r="AD282" i="1"/>
  <c r="B770" i="12"/>
  <c r="AD223" i="1"/>
  <c r="AD219" i="1"/>
  <c r="B730" i="12"/>
  <c r="AD134" i="1"/>
  <c r="AF134" i="1"/>
  <c r="B42" i="12"/>
  <c r="B186" i="12"/>
  <c r="B112" i="12"/>
  <c r="B41" i="12"/>
  <c r="B12" i="12"/>
  <c r="B98" i="12"/>
  <c r="B66" i="12"/>
  <c r="B460" i="12"/>
  <c r="B436" i="12"/>
  <c r="V436" i="12" s="1"/>
  <c r="B368" i="12"/>
  <c r="V368" i="12" s="1"/>
  <c r="B508" i="12"/>
  <c r="V508" i="12" s="1"/>
  <c r="B349" i="12"/>
  <c r="B190" i="12"/>
  <c r="B198" i="12"/>
  <c r="V198" i="12" s="1"/>
  <c r="B238" i="12"/>
  <c r="V238" i="12" s="1"/>
  <c r="B776" i="12"/>
  <c r="AD241" i="1"/>
  <c r="B781" i="12"/>
  <c r="AD67" i="1"/>
  <c r="B72" i="12"/>
  <c r="B96" i="12"/>
  <c r="B92" i="12"/>
  <c r="B64" i="12"/>
  <c r="B136" i="12"/>
  <c r="B423" i="12"/>
  <c r="V423" i="12" s="1"/>
  <c r="B46" i="12"/>
  <c r="B370" i="12"/>
  <c r="B530" i="12"/>
  <c r="B244" i="12"/>
  <c r="Q244" i="12" s="1"/>
  <c r="B142" i="12"/>
  <c r="AD302" i="1"/>
  <c r="AD292" i="1"/>
  <c r="AD254" i="1"/>
  <c r="B548" i="12"/>
  <c r="AD185" i="1"/>
  <c r="AD180" i="1"/>
  <c r="B111" i="12"/>
  <c r="B71" i="12"/>
  <c r="V71" i="12" s="1"/>
  <c r="B33" i="12"/>
  <c r="B219" i="12"/>
  <c r="B43" i="12"/>
  <c r="B133" i="12"/>
  <c r="B10" i="12"/>
  <c r="B82" i="12"/>
  <c r="B68" i="12"/>
  <c r="B226" i="12"/>
  <c r="V226" i="12" s="1"/>
  <c r="B432" i="12"/>
  <c r="B176" i="12"/>
  <c r="B166" i="12"/>
  <c r="B151" i="12"/>
  <c r="V151" i="12" s="1"/>
  <c r="B160" i="12"/>
  <c r="AD300" i="1"/>
  <c r="AD295" i="1"/>
  <c r="AD293" i="1"/>
  <c r="AD285" i="1"/>
  <c r="AD281" i="1"/>
  <c r="AD208" i="1"/>
  <c r="AD138" i="1"/>
  <c r="AD71" i="1"/>
  <c r="U480" i="12"/>
  <c r="D468" i="14"/>
  <c r="D477" i="14" s="1"/>
  <c r="D486" i="14" s="1"/>
  <c r="D495" i="14" s="1"/>
  <c r="D504" i="14" s="1"/>
  <c r="D513" i="14" s="1"/>
  <c r="D522" i="14" s="1"/>
  <c r="D531" i="14" s="1"/>
  <c r="D540" i="14" s="1"/>
  <c r="D450" i="14"/>
  <c r="D459" i="14" s="1"/>
  <c r="D469" i="14"/>
  <c r="D478" i="14" s="1"/>
  <c r="D487" i="14" s="1"/>
  <c r="D496" i="14" s="1"/>
  <c r="D505" i="14" s="1"/>
  <c r="D514" i="14" s="1"/>
  <c r="D523" i="14" s="1"/>
  <c r="D532" i="14" s="1"/>
  <c r="D541" i="14" s="1"/>
  <c r="D451" i="14"/>
  <c r="D460" i="14" s="1"/>
  <c r="N3" i="14"/>
  <c r="D466" i="14"/>
  <c r="D475" i="14" s="1"/>
  <c r="D484" i="14" s="1"/>
  <c r="D493" i="14" s="1"/>
  <c r="D502" i="14" s="1"/>
  <c r="D511" i="14" s="1"/>
  <c r="D520" i="14" s="1"/>
  <c r="D529" i="14" s="1"/>
  <c r="D538" i="14" s="1"/>
  <c r="D556" i="14" s="1"/>
  <c r="D448" i="14"/>
  <c r="D457" i="14" s="1"/>
  <c r="D467" i="14"/>
  <c r="D476" i="14" s="1"/>
  <c r="D485" i="14" s="1"/>
  <c r="D494" i="14" s="1"/>
  <c r="D503" i="14" s="1"/>
  <c r="D512" i="14" s="1"/>
  <c r="D521" i="14" s="1"/>
  <c r="D530" i="14" s="1"/>
  <c r="D539" i="14" s="1"/>
  <c r="D449" i="14"/>
  <c r="D458" i="14" s="1"/>
  <c r="D444" i="14"/>
  <c r="D453" i="14" s="1"/>
  <c r="J803" i="12"/>
  <c r="F934" i="12"/>
  <c r="V100" i="12"/>
  <c r="I29" i="2"/>
  <c r="V138" i="12"/>
  <c r="V371" i="12"/>
  <c r="H62" i="2"/>
  <c r="E462" i="12"/>
  <c r="I103" i="12"/>
  <c r="S749" i="12"/>
  <c r="E401" i="12"/>
  <c r="Q2" i="13"/>
  <c r="V466" i="12"/>
  <c r="I481" i="12"/>
  <c r="H454" i="12"/>
  <c r="H232" i="12"/>
  <c r="I62" i="2"/>
  <c r="D62" i="2"/>
  <c r="I18" i="2"/>
  <c r="H55" i="2"/>
  <c r="I55" i="2"/>
  <c r="M403" i="12"/>
  <c r="M804" i="12"/>
  <c r="J804" i="12"/>
  <c r="G455" i="12"/>
  <c r="R621" i="12"/>
  <c r="D938" i="12"/>
  <c r="D555" i="14"/>
  <c r="D546" i="14"/>
  <c r="D1203" i="14" s="1"/>
  <c r="H18" i="2"/>
  <c r="B797" i="12"/>
  <c r="AD113" i="1"/>
  <c r="B783" i="12"/>
  <c r="AD69" i="1"/>
  <c r="B463" i="12"/>
  <c r="V463" i="12" s="1"/>
  <c r="B207" i="12"/>
  <c r="B95" i="12"/>
  <c r="B146" i="12"/>
  <c r="B4" i="12"/>
  <c r="V4" i="12" s="1"/>
  <c r="B97" i="12"/>
  <c r="V97" i="12" s="1"/>
  <c r="B81" i="12"/>
  <c r="V81" i="12" s="1"/>
  <c r="B65" i="12"/>
  <c r="B347" i="12"/>
  <c r="V347" i="12" s="1"/>
  <c r="B477" i="12"/>
  <c r="B224" i="12"/>
  <c r="E929" i="12"/>
  <c r="Q929" i="12"/>
  <c r="V929" i="12"/>
  <c r="B768" i="12"/>
  <c r="AD221" i="1"/>
  <c r="B546" i="12"/>
  <c r="AD183" i="1"/>
  <c r="B729" i="12"/>
  <c r="AD129" i="1"/>
  <c r="B620" i="12"/>
  <c r="AD39" i="1"/>
  <c r="B99" i="12"/>
  <c r="B83" i="12"/>
  <c r="B67" i="12"/>
  <c r="B227" i="12"/>
  <c r="B461" i="12"/>
  <c r="V461" i="12" s="1"/>
  <c r="B415" i="12"/>
  <c r="B414" i="12"/>
  <c r="V414" i="12" s="1"/>
  <c r="B48" i="12"/>
  <c r="B37" i="12"/>
  <c r="V37" i="12" s="1"/>
  <c r="B433" i="12"/>
  <c r="B446" i="12"/>
  <c r="V446" i="12" s="1"/>
  <c r="B350" i="12"/>
  <c r="V350" i="12" s="1"/>
  <c r="B447" i="12"/>
  <c r="B165" i="12"/>
  <c r="B177" i="12"/>
  <c r="V177" i="12" s="1"/>
  <c r="B230" i="12"/>
  <c r="B157" i="12"/>
  <c r="K157" i="12" s="1"/>
  <c r="B199" i="12"/>
  <c r="B161" i="12"/>
  <c r="B239" i="12"/>
  <c r="J239" i="12" s="1"/>
  <c r="AF101" i="1"/>
  <c r="AF58" i="1"/>
  <c r="B791" i="12"/>
  <c r="AD88" i="1"/>
  <c r="AD41" i="1"/>
  <c r="B622" i="12"/>
  <c r="B488" i="12"/>
  <c r="B13" i="12"/>
  <c r="B212" i="12"/>
  <c r="B15" i="12"/>
  <c r="B101" i="12"/>
  <c r="V101" i="12" s="1"/>
  <c r="B85" i="12"/>
  <c r="V85" i="12" s="1"/>
  <c r="B77" i="12"/>
  <c r="V77" i="12" s="1"/>
  <c r="B58" i="12"/>
  <c r="V58" i="12" s="1"/>
  <c r="B471" i="12"/>
  <c r="V471" i="12" s="1"/>
  <c r="B419" i="12"/>
  <c r="B509" i="12"/>
  <c r="B396" i="12"/>
  <c r="B220" i="12"/>
  <c r="AF240" i="1"/>
  <c r="B758" i="12"/>
  <c r="AD210" i="1"/>
  <c r="B736" i="12"/>
  <c r="AD140" i="1"/>
  <c r="B353" i="12"/>
  <c r="B132" i="12"/>
  <c r="B89" i="12"/>
  <c r="V89" i="12" s="1"/>
  <c r="B113" i="12"/>
  <c r="B148" i="12"/>
  <c r="B87" i="12"/>
  <c r="B79" i="12"/>
  <c r="B60" i="12"/>
  <c r="B345" i="12"/>
  <c r="B507" i="12"/>
  <c r="H507" i="12" s="1"/>
  <c r="B213" i="12"/>
  <c r="AD239" i="1"/>
  <c r="AD228" i="1"/>
  <c r="AD217" i="1"/>
  <c r="AD188" i="1"/>
  <c r="AD144" i="1"/>
  <c r="AD136" i="1"/>
  <c r="AD100" i="1"/>
  <c r="AD84" i="1"/>
  <c r="AD57" i="1"/>
  <c r="B489" i="12"/>
  <c r="B110" i="12"/>
  <c r="B216" i="12"/>
  <c r="V216" i="12" s="1"/>
  <c r="B106" i="12"/>
  <c r="B412" i="12"/>
  <c r="V412" i="12" s="1"/>
  <c r="B22" i="12"/>
  <c r="B145" i="12"/>
  <c r="B442" i="12"/>
  <c r="B435" i="12"/>
  <c r="V435" i="12" s="1"/>
  <c r="B361" i="12"/>
  <c r="B358" i="12"/>
  <c r="B388" i="12"/>
  <c r="I388" i="12" s="1"/>
  <c r="B525" i="12"/>
  <c r="B522" i="12"/>
  <c r="B206" i="12"/>
  <c r="B38" i="12"/>
  <c r="B76" i="12"/>
  <c r="G76" i="12" s="1"/>
  <c r="B201" i="12"/>
  <c r="B191" i="12"/>
  <c r="B240" i="12"/>
  <c r="V240" i="12" s="1"/>
  <c r="B739" i="12"/>
  <c r="H808" i="12"/>
  <c r="I808" i="12"/>
  <c r="F393" i="12"/>
  <c r="J393" i="12"/>
  <c r="G393" i="12"/>
  <c r="Q393" i="12"/>
  <c r="B618" i="12"/>
  <c r="V618" i="12" s="1"/>
  <c r="AD37" i="1"/>
  <c r="B484" i="12"/>
  <c r="B204" i="12"/>
  <c r="B93" i="12"/>
  <c r="B140" i="12"/>
  <c r="V140" i="12" s="1"/>
  <c r="B421" i="12"/>
  <c r="V421" i="12" s="1"/>
  <c r="B406" i="12"/>
  <c r="B25" i="12"/>
  <c r="B51" i="12"/>
  <c r="B443" i="12"/>
  <c r="V443" i="12" s="1"/>
  <c r="B438" i="12"/>
  <c r="B360" i="12"/>
  <c r="B363" i="12"/>
  <c r="E363" i="12" s="1"/>
  <c r="B223" i="12"/>
  <c r="B181" i="12"/>
  <c r="B210" i="12"/>
  <c r="B135" i="12"/>
  <c r="V135" i="12" s="1"/>
  <c r="B159" i="12"/>
  <c r="V159" i="12" s="1"/>
  <c r="B241" i="12"/>
  <c r="V241" i="12" s="1"/>
  <c r="B195" i="12"/>
  <c r="B154" i="12"/>
  <c r="B731" i="12"/>
  <c r="D819" i="12"/>
  <c r="E819" i="12"/>
  <c r="Q819" i="12"/>
  <c r="D814" i="12"/>
  <c r="E814" i="12"/>
  <c r="B107" i="12"/>
  <c r="B63" i="12"/>
  <c r="B211" i="12"/>
  <c r="B14" i="12"/>
  <c r="V14" i="12" s="1"/>
  <c r="B422" i="12"/>
  <c r="V422" i="12" s="1"/>
  <c r="B408" i="12"/>
  <c r="B44" i="12"/>
  <c r="B53" i="12"/>
  <c r="B431" i="12"/>
  <c r="B440" i="12"/>
  <c r="B497" i="12"/>
  <c r="B501" i="12"/>
  <c r="B374" i="12"/>
  <c r="R374" i="12" s="1"/>
  <c r="B518" i="12"/>
  <c r="B131" i="12"/>
  <c r="B164" i="12"/>
  <c r="B169" i="12"/>
  <c r="V169" i="12" s="1"/>
  <c r="B150" i="12"/>
  <c r="B197" i="12"/>
  <c r="B156" i="12"/>
  <c r="B234" i="12"/>
  <c r="V234" i="12" s="1"/>
  <c r="F535" i="12"/>
  <c r="G103" i="12"/>
  <c r="F455" i="12"/>
  <c r="Q403" i="12"/>
  <c r="D55" i="2"/>
  <c r="D554" i="14"/>
  <c r="D545" i="14"/>
  <c r="D1202" i="14" s="1"/>
  <c r="C55" i="2"/>
  <c r="D543" i="14"/>
  <c r="D1200" i="14" s="1"/>
  <c r="D552" i="14"/>
  <c r="D542" i="14"/>
  <c r="D1199" i="14" s="1"/>
  <c r="D551" i="14"/>
  <c r="B499" i="12"/>
  <c r="B369" i="12"/>
  <c r="I387" i="12"/>
  <c r="Q387" i="12"/>
  <c r="R387" i="12"/>
  <c r="R372" i="12"/>
  <c r="I372" i="12"/>
  <c r="O372" i="12"/>
  <c r="Q372" i="12"/>
  <c r="B357" i="12"/>
  <c r="B504" i="12"/>
  <c r="J437" i="12"/>
  <c r="K437" i="12"/>
  <c r="M437" i="12"/>
  <c r="P389" i="12"/>
  <c r="K389" i="12"/>
  <c r="I149" i="12"/>
  <c r="J149" i="12"/>
  <c r="P242" i="12"/>
  <c r="Q242" i="12"/>
  <c r="V242" i="12"/>
  <c r="D144" i="12"/>
  <c r="E144" i="12"/>
  <c r="K54" i="12"/>
  <c r="M54" i="12"/>
  <c r="D115" i="12"/>
  <c r="E115" i="12"/>
  <c r="F102" i="12"/>
  <c r="G102" i="12"/>
  <c r="D228" i="12"/>
  <c r="E228" i="12"/>
  <c r="D468" i="12"/>
  <c r="Q468" i="12"/>
  <c r="R468" i="12"/>
  <c r="O405" i="12"/>
  <c r="N405" i="12"/>
  <c r="F39" i="12"/>
  <c r="E39" i="12"/>
  <c r="F441" i="12"/>
  <c r="E441" i="12"/>
  <c r="B496" i="12"/>
  <c r="E513" i="12"/>
  <c r="D513" i="12"/>
  <c r="F513" i="12"/>
  <c r="B737" i="12"/>
  <c r="B717" i="12"/>
  <c r="B786" i="12"/>
  <c r="B759" i="12"/>
  <c r="AD242" i="1"/>
  <c r="AD240" i="1"/>
  <c r="AD227" i="1"/>
  <c r="AD222" i="1"/>
  <c r="AD220" i="1"/>
  <c r="AD218" i="1"/>
  <c r="AD216" i="1"/>
  <c r="AD209" i="1"/>
  <c r="AD189" i="1"/>
  <c r="AD186" i="1"/>
  <c r="AD184" i="1"/>
  <c r="AD181" i="1"/>
  <c r="AD179" i="1"/>
  <c r="AD139" i="1"/>
  <c r="AD137" i="1"/>
  <c r="AD130" i="1"/>
  <c r="AD112" i="1"/>
  <c r="AD101" i="1"/>
  <c r="AD99" i="1"/>
  <c r="AD89" i="1"/>
  <c r="AD87" i="1"/>
  <c r="AD85" i="1"/>
  <c r="AD70" i="1"/>
  <c r="AD68" i="1"/>
  <c r="AD58" i="1"/>
  <c r="AD42" i="1"/>
  <c r="AD38" i="1"/>
  <c r="B500" i="12"/>
  <c r="D365" i="12"/>
  <c r="E365" i="12"/>
  <c r="B505" i="12"/>
  <c r="D364" i="12"/>
  <c r="E364" i="12"/>
  <c r="F515" i="12"/>
  <c r="E515" i="12"/>
  <c r="G506" i="12"/>
  <c r="F506" i="12"/>
  <c r="F367" i="12"/>
  <c r="G367" i="12"/>
  <c r="I512" i="12"/>
  <c r="J512" i="12"/>
  <c r="H512" i="12"/>
  <c r="N354" i="12"/>
  <c r="M354" i="12"/>
  <c r="D237" i="12"/>
  <c r="Q237" i="12"/>
  <c r="F323" i="12"/>
  <c r="I323" i="12"/>
  <c r="E323" i="12"/>
  <c r="G323" i="12"/>
  <c r="T323" i="12"/>
  <c r="R323" i="12"/>
  <c r="Q323" i="12"/>
  <c r="Q395" i="12"/>
  <c r="R395" i="12"/>
  <c r="H395" i="12"/>
  <c r="G395" i="12"/>
  <c r="I375" i="12"/>
  <c r="J375" i="12"/>
  <c r="Q375" i="12"/>
  <c r="I376" i="12"/>
  <c r="Q376" i="12"/>
  <c r="R373" i="12"/>
  <c r="I373" i="12"/>
  <c r="D536" i="12"/>
  <c r="E536" i="12"/>
  <c r="D523" i="12"/>
  <c r="E523" i="12"/>
  <c r="D521" i="12"/>
  <c r="E521" i="12"/>
  <c r="D243" i="12"/>
  <c r="Q243" i="12"/>
  <c r="D168" i="12"/>
  <c r="E168" i="12"/>
  <c r="I158" i="12"/>
  <c r="J158" i="12"/>
  <c r="K153" i="12"/>
  <c r="I153" i="12"/>
  <c r="N153" i="12"/>
  <c r="H233" i="12"/>
  <c r="G233" i="12"/>
  <c r="Q233" i="12"/>
  <c r="R376" i="12"/>
  <c r="H158" i="12"/>
  <c r="D464" i="12"/>
  <c r="G464" i="12"/>
  <c r="F464" i="12"/>
  <c r="E464" i="12"/>
  <c r="D62" i="12"/>
  <c r="E62" i="12"/>
  <c r="D125" i="12"/>
  <c r="E125" i="12"/>
  <c r="F34" i="12"/>
  <c r="E34" i="12"/>
  <c r="D141" i="12"/>
  <c r="E141" i="12"/>
  <c r="D69" i="12"/>
  <c r="E69" i="12"/>
  <c r="B498" i="12"/>
  <c r="B362" i="12"/>
  <c r="Q373" i="12"/>
  <c r="I321" i="12"/>
  <c r="M321" i="12"/>
  <c r="B495" i="12"/>
  <c r="R478" i="12"/>
  <c r="F398" i="12"/>
  <c r="E398" i="12"/>
  <c r="E514" i="12"/>
  <c r="F514" i="12"/>
  <c r="D539" i="12"/>
  <c r="E539" i="12"/>
  <c r="D451" i="12"/>
  <c r="E451" i="12"/>
  <c r="Q371" i="12"/>
  <c r="E371" i="12"/>
  <c r="F475" i="12"/>
  <c r="E475" i="12"/>
  <c r="C62" i="2" l="1"/>
  <c r="G2162" i="13"/>
  <c r="C18" i="2"/>
  <c r="C19" i="2" s="1"/>
  <c r="C21" i="2" s="1"/>
  <c r="C29" i="2"/>
  <c r="V619" i="12"/>
  <c r="N1" i="14"/>
  <c r="G3025" i="13"/>
  <c r="G3565" i="13"/>
  <c r="G3021" i="13"/>
  <c r="G3561" i="13"/>
  <c r="G3019" i="13"/>
  <c r="G3559" i="13"/>
  <c r="G3020" i="13"/>
  <c r="G3560" i="13"/>
  <c r="G3023" i="13"/>
  <c r="G3563" i="13"/>
  <c r="G3022" i="13"/>
  <c r="G3562" i="13"/>
  <c r="G3018" i="13"/>
  <c r="G3558" i="13"/>
  <c r="G3024" i="13"/>
  <c r="G3564" i="13"/>
  <c r="D615" i="22"/>
  <c r="D687" i="22" s="1"/>
  <c r="D624" i="22"/>
  <c r="D696" i="22" s="1"/>
  <c r="D619" i="22"/>
  <c r="D691" i="22" s="1"/>
  <c r="D628" i="22"/>
  <c r="D700" i="22" s="1"/>
  <c r="D620" i="22"/>
  <c r="D692" i="22" s="1"/>
  <c r="D629" i="22"/>
  <c r="D701" i="22" s="1"/>
  <c r="D618" i="22"/>
  <c r="D690" i="22" s="1"/>
  <c r="D627" i="22"/>
  <c r="D699" i="22" s="1"/>
  <c r="D614" i="22"/>
  <c r="D686" i="22" s="1"/>
  <c r="D623" i="22"/>
  <c r="D695" i="22" s="1"/>
  <c r="D621" i="22"/>
  <c r="D693" i="22" s="1"/>
  <c r="D630" i="22"/>
  <c r="D702" i="22" s="1"/>
  <c r="D622" i="22"/>
  <c r="D694" i="22" s="1"/>
  <c r="D631" i="22"/>
  <c r="D703" i="22" s="1"/>
  <c r="D616" i="22"/>
  <c r="D688" i="22" s="1"/>
  <c r="D625" i="22"/>
  <c r="D697" i="22" s="1"/>
  <c r="D617" i="22"/>
  <c r="D689" i="22" s="1"/>
  <c r="D626" i="22"/>
  <c r="D698" i="22" s="1"/>
  <c r="D655" i="22"/>
  <c r="D772" i="22" s="1"/>
  <c r="D736" i="22"/>
  <c r="D656" i="22"/>
  <c r="D773" i="22" s="1"/>
  <c r="D737" i="22"/>
  <c r="D654" i="22"/>
  <c r="D771" i="22" s="1"/>
  <c r="D735" i="22"/>
  <c r="D650" i="22"/>
  <c r="D767" i="22" s="1"/>
  <c r="D731" i="22"/>
  <c r="D657" i="22"/>
  <c r="D774" i="22" s="1"/>
  <c r="D738" i="22"/>
  <c r="D658" i="22"/>
  <c r="D775" i="22" s="1"/>
  <c r="D739" i="22"/>
  <c r="D651" i="22"/>
  <c r="D768" i="22" s="1"/>
  <c r="D732" i="22"/>
  <c r="D652" i="22"/>
  <c r="D769" i="22" s="1"/>
  <c r="D733" i="22"/>
  <c r="D653" i="22"/>
  <c r="D770" i="22" s="1"/>
  <c r="D734" i="22"/>
  <c r="D563" i="14"/>
  <c r="D1211" i="14"/>
  <c r="D560" i="14"/>
  <c r="D1208" i="14"/>
  <c r="D565" i="14"/>
  <c r="D1222" i="14" s="1"/>
  <c r="D1213" i="14"/>
  <c r="D562" i="14"/>
  <c r="D1219" i="14" s="1"/>
  <c r="D1210" i="14"/>
  <c r="D561" i="14"/>
  <c r="D1209" i="14"/>
  <c r="D564" i="14"/>
  <c r="D1212" i="14"/>
  <c r="D560" i="22"/>
  <c r="D596" i="22" s="1"/>
  <c r="D803" i="22" s="1"/>
  <c r="D587" i="22"/>
  <c r="D567" i="22"/>
  <c r="D603" i="22" s="1"/>
  <c r="D810" i="22" s="1"/>
  <c r="D594" i="22"/>
  <c r="D568" i="22"/>
  <c r="D604" i="22" s="1"/>
  <c r="D811" i="22" s="1"/>
  <c r="D595" i="22"/>
  <c r="D562" i="22"/>
  <c r="D598" i="22" s="1"/>
  <c r="D805" i="22" s="1"/>
  <c r="D589" i="22"/>
  <c r="D563" i="22"/>
  <c r="D599" i="22" s="1"/>
  <c r="D806" i="22" s="1"/>
  <c r="D590" i="22"/>
  <c r="D564" i="22"/>
  <c r="D600" i="22" s="1"/>
  <c r="D807" i="22" s="1"/>
  <c r="D591" i="22"/>
  <c r="D561" i="22"/>
  <c r="D597" i="22" s="1"/>
  <c r="D804" i="22" s="1"/>
  <c r="D588" i="22"/>
  <c r="D565" i="22"/>
  <c r="D601" i="22" s="1"/>
  <c r="D808" i="22" s="1"/>
  <c r="D592" i="22"/>
  <c r="D566" i="22"/>
  <c r="D602" i="22" s="1"/>
  <c r="D809" i="22" s="1"/>
  <c r="D593" i="22"/>
  <c r="D544" i="14"/>
  <c r="D1201" i="14" s="1"/>
  <c r="E29" i="2"/>
  <c r="D29" i="2"/>
  <c r="E55" i="2"/>
  <c r="E62" i="2"/>
  <c r="D19" i="2"/>
  <c r="D21" i="2" s="1"/>
  <c r="E18" i="2"/>
  <c r="E19" i="2" s="1"/>
  <c r="E21" i="2" s="1"/>
  <c r="AG422" i="1"/>
  <c r="N1" i="22"/>
  <c r="Q1" i="13"/>
  <c r="G55" i="2"/>
  <c r="G29" i="2"/>
  <c r="G62" i="2"/>
  <c r="G18" i="2"/>
  <c r="G19" i="2" s="1"/>
  <c r="G21" i="2" s="1"/>
  <c r="B62" i="2"/>
  <c r="F62" i="2"/>
  <c r="F29" i="2"/>
  <c r="B29" i="2"/>
  <c r="F18" i="2"/>
  <c r="F19" i="2" s="1"/>
  <c r="F21" i="2" s="1"/>
  <c r="F55" i="2"/>
  <c r="P1131" i="12"/>
  <c r="P1134" i="12" s="1"/>
  <c r="Z178" i="15"/>
  <c r="Z175" i="15"/>
  <c r="H1153" i="12" s="1"/>
  <c r="J1099" i="12"/>
  <c r="V1099" i="12"/>
  <c r="I19" i="2"/>
  <c r="I21" i="2" s="1"/>
  <c r="G2171" i="13"/>
  <c r="G2180" i="13" s="1"/>
  <c r="G2189" i="13" s="1"/>
  <c r="G2198" i="13" s="1"/>
  <c r="G2207" i="13" s="1"/>
  <c r="G2216" i="13" s="1"/>
  <c r="G2225" i="13" s="1"/>
  <c r="G2234" i="13" s="1"/>
  <c r="G2243" i="13" s="1"/>
  <c r="G2252" i="13" s="1"/>
  <c r="G2261" i="13" s="1"/>
  <c r="G2270" i="13" s="1"/>
  <c r="G2279" i="13" s="1"/>
  <c r="G2288" i="13" s="1"/>
  <c r="G2297" i="13" s="1"/>
  <c r="G2306" i="13" s="1"/>
  <c r="G2315" i="13" s="1"/>
  <c r="G2324" i="13" s="1"/>
  <c r="G2333" i="13" s="1"/>
  <c r="G2342" i="13" s="1"/>
  <c r="G2351" i="13" s="1"/>
  <c r="G2360" i="13" s="1"/>
  <c r="G2369" i="13" s="1"/>
  <c r="G2378" i="13" s="1"/>
  <c r="G2387" i="13" s="1"/>
  <c r="G2396" i="13" s="1"/>
  <c r="G2405" i="13" s="1"/>
  <c r="G2414" i="13" s="1"/>
  <c r="G2423" i="13" s="1"/>
  <c r="G2432" i="13" s="1"/>
  <c r="G2441" i="13" s="1"/>
  <c r="G2450" i="13" s="1"/>
  <c r="G2459" i="13" s="1"/>
  <c r="G2468" i="13" s="1"/>
  <c r="G2477" i="13" s="1"/>
  <c r="G2486" i="13" s="1"/>
  <c r="G2495" i="13" s="1"/>
  <c r="G2504" i="13" s="1"/>
  <c r="G2513" i="13" s="1"/>
  <c r="G2522" i="13" s="1"/>
  <c r="G2531" i="13" s="1"/>
  <c r="G2540" i="13" s="1"/>
  <c r="G2549" i="13" s="1"/>
  <c r="G2558" i="13" s="1"/>
  <c r="G2567" i="13" s="1"/>
  <c r="G2576" i="13" s="1"/>
  <c r="G2585" i="13" s="1"/>
  <c r="G2153" i="13"/>
  <c r="G2178" i="13"/>
  <c r="G2187" i="13" s="1"/>
  <c r="G2196" i="13" s="1"/>
  <c r="G2205" i="13" s="1"/>
  <c r="G2214" i="13" s="1"/>
  <c r="G2223" i="13" s="1"/>
  <c r="G2232" i="13" s="1"/>
  <c r="G2241" i="13" s="1"/>
  <c r="G2250" i="13" s="1"/>
  <c r="G2259" i="13" s="1"/>
  <c r="G2268" i="13" s="1"/>
  <c r="G2277" i="13" s="1"/>
  <c r="G2286" i="13" s="1"/>
  <c r="G2295" i="13" s="1"/>
  <c r="G2304" i="13" s="1"/>
  <c r="G2313" i="13" s="1"/>
  <c r="G2322" i="13" s="1"/>
  <c r="G2331" i="13" s="1"/>
  <c r="G2340" i="13" s="1"/>
  <c r="G2349" i="13" s="1"/>
  <c r="G2358" i="13" s="1"/>
  <c r="G2367" i="13" s="1"/>
  <c r="G2376" i="13" s="1"/>
  <c r="G2385" i="13" s="1"/>
  <c r="G2394" i="13" s="1"/>
  <c r="G2403" i="13" s="1"/>
  <c r="G2412" i="13" s="1"/>
  <c r="G2421" i="13" s="1"/>
  <c r="G2430" i="13" s="1"/>
  <c r="G2439" i="13" s="1"/>
  <c r="G2448" i="13" s="1"/>
  <c r="G2457" i="13" s="1"/>
  <c r="G2466" i="13" s="1"/>
  <c r="G2475" i="13" s="1"/>
  <c r="G2484" i="13" s="1"/>
  <c r="G2493" i="13" s="1"/>
  <c r="G2502" i="13" s="1"/>
  <c r="G2511" i="13" s="1"/>
  <c r="G2520" i="13" s="1"/>
  <c r="G2529" i="13" s="1"/>
  <c r="G2538" i="13" s="1"/>
  <c r="G2547" i="13" s="1"/>
  <c r="G2556" i="13" s="1"/>
  <c r="G2565" i="13" s="1"/>
  <c r="G2574" i="13" s="1"/>
  <c r="G2583" i="13" s="1"/>
  <c r="G2592" i="13" s="1"/>
  <c r="G2160" i="13"/>
  <c r="G2179" i="13"/>
  <c r="G2188" i="13" s="1"/>
  <c r="G2197" i="13" s="1"/>
  <c r="G2206" i="13" s="1"/>
  <c r="G2215" i="13" s="1"/>
  <c r="G2224" i="13" s="1"/>
  <c r="G2233" i="13" s="1"/>
  <c r="G2242" i="13" s="1"/>
  <c r="G2251" i="13" s="1"/>
  <c r="G2260" i="13" s="1"/>
  <c r="G2269" i="13" s="1"/>
  <c r="G2278" i="13" s="1"/>
  <c r="G2287" i="13" s="1"/>
  <c r="G2296" i="13" s="1"/>
  <c r="G2305" i="13" s="1"/>
  <c r="G2314" i="13" s="1"/>
  <c r="G2323" i="13" s="1"/>
  <c r="G2332" i="13" s="1"/>
  <c r="G2341" i="13" s="1"/>
  <c r="G2350" i="13" s="1"/>
  <c r="G2359" i="13" s="1"/>
  <c r="G2368" i="13" s="1"/>
  <c r="G2377" i="13" s="1"/>
  <c r="G2386" i="13" s="1"/>
  <c r="G2395" i="13" s="1"/>
  <c r="G2404" i="13" s="1"/>
  <c r="G2413" i="13" s="1"/>
  <c r="G2422" i="13" s="1"/>
  <c r="G2431" i="13" s="1"/>
  <c r="G2440" i="13" s="1"/>
  <c r="G2449" i="13" s="1"/>
  <c r="G2458" i="13" s="1"/>
  <c r="G2467" i="13" s="1"/>
  <c r="G2476" i="13" s="1"/>
  <c r="G2485" i="13" s="1"/>
  <c r="G2494" i="13" s="1"/>
  <c r="G2503" i="13" s="1"/>
  <c r="G2512" i="13" s="1"/>
  <c r="G2521" i="13" s="1"/>
  <c r="G2530" i="13" s="1"/>
  <c r="G2539" i="13" s="1"/>
  <c r="G2548" i="13" s="1"/>
  <c r="G2557" i="13" s="1"/>
  <c r="G2566" i="13" s="1"/>
  <c r="G2575" i="13" s="1"/>
  <c r="G2584" i="13" s="1"/>
  <c r="G2593" i="13" s="1"/>
  <c r="G2161" i="13"/>
  <c r="G2174" i="13"/>
  <c r="G2183" i="13" s="1"/>
  <c r="G2192" i="13" s="1"/>
  <c r="G2201" i="13" s="1"/>
  <c r="G2210" i="13" s="1"/>
  <c r="G2219" i="13" s="1"/>
  <c r="G2228" i="13" s="1"/>
  <c r="G2237" i="13" s="1"/>
  <c r="G2246" i="13" s="1"/>
  <c r="G2255" i="13" s="1"/>
  <c r="G2264" i="13" s="1"/>
  <c r="G2273" i="13" s="1"/>
  <c r="G2282" i="13" s="1"/>
  <c r="G2291" i="13" s="1"/>
  <c r="G2300" i="13" s="1"/>
  <c r="G2309" i="13" s="1"/>
  <c r="G2318" i="13" s="1"/>
  <c r="G2327" i="13" s="1"/>
  <c r="G2336" i="13" s="1"/>
  <c r="G2345" i="13" s="1"/>
  <c r="G2354" i="13" s="1"/>
  <c r="G2363" i="13" s="1"/>
  <c r="G2372" i="13" s="1"/>
  <c r="G2381" i="13" s="1"/>
  <c r="G2390" i="13" s="1"/>
  <c r="G2399" i="13" s="1"/>
  <c r="G2408" i="13" s="1"/>
  <c r="G2417" i="13" s="1"/>
  <c r="G2426" i="13" s="1"/>
  <c r="G2435" i="13" s="1"/>
  <c r="G2444" i="13" s="1"/>
  <c r="G2453" i="13" s="1"/>
  <c r="G2462" i="13" s="1"/>
  <c r="G2471" i="13" s="1"/>
  <c r="G2480" i="13" s="1"/>
  <c r="G2489" i="13" s="1"/>
  <c r="G2498" i="13" s="1"/>
  <c r="G2507" i="13" s="1"/>
  <c r="G2516" i="13" s="1"/>
  <c r="G2525" i="13" s="1"/>
  <c r="G2534" i="13" s="1"/>
  <c r="G2543" i="13" s="1"/>
  <c r="G2552" i="13" s="1"/>
  <c r="G2561" i="13" s="1"/>
  <c r="G2570" i="13" s="1"/>
  <c r="G2579" i="13" s="1"/>
  <c r="G2588" i="13" s="1"/>
  <c r="G2156" i="13"/>
  <c r="B18" i="2"/>
  <c r="B19" i="2" s="1"/>
  <c r="B21" i="2" s="1"/>
  <c r="C42" i="2"/>
  <c r="V418" i="12"/>
  <c r="V773" i="12"/>
  <c r="V559" i="12"/>
  <c r="B55" i="2"/>
  <c r="V608" i="12"/>
  <c r="B42" i="2"/>
  <c r="F42" i="2"/>
  <c r="D42" i="2"/>
  <c r="N50" i="12"/>
  <c r="G42" i="2"/>
  <c r="I50" i="12"/>
  <c r="M50" i="12"/>
  <c r="I42" i="2"/>
  <c r="E42" i="2"/>
  <c r="H42" i="2"/>
  <c r="AG400" i="1"/>
  <c r="AC403" i="1"/>
  <c r="G2148" i="13"/>
  <c r="G2166" i="13"/>
  <c r="G2149" i="13"/>
  <c r="G2167" i="13"/>
  <c r="G2150" i="13"/>
  <c r="G2168" i="13"/>
  <c r="G2145" i="13"/>
  <c r="G2163" i="13"/>
  <c r="G2146" i="13"/>
  <c r="G2164" i="13"/>
  <c r="AG411" i="1"/>
  <c r="H1151" i="12" s="1"/>
  <c r="U1131" i="12"/>
  <c r="U1134" i="12" s="1"/>
  <c r="V611" i="12"/>
  <c r="V482" i="12"/>
  <c r="V760" i="12"/>
  <c r="V762" i="12"/>
  <c r="V560" i="12"/>
  <c r="Q397" i="12"/>
  <c r="V604" i="12"/>
  <c r="AG401" i="1"/>
  <c r="AC397" i="1" s="1"/>
  <c r="AG415" i="1"/>
  <c r="N1151" i="12" s="1"/>
  <c r="D137" i="12"/>
  <c r="V728" i="12"/>
  <c r="V472" i="12"/>
  <c r="Q394" i="12"/>
  <c r="V615" i="12"/>
  <c r="V600" i="12"/>
  <c r="V394" i="12"/>
  <c r="V586" i="12"/>
  <c r="E137" i="12"/>
  <c r="Q245" i="12"/>
  <c r="V245" i="12"/>
  <c r="V104" i="12"/>
  <c r="V567" i="12"/>
  <c r="V568" i="12"/>
  <c r="V716" i="12"/>
  <c r="V594" i="12"/>
  <c r="I577" i="12"/>
  <c r="V577" i="12"/>
  <c r="I59" i="12"/>
  <c r="V59" i="12"/>
  <c r="G727" i="12"/>
  <c r="V727" i="12"/>
  <c r="I592" i="12"/>
  <c r="V592" i="12"/>
  <c r="Q609" i="12"/>
  <c r="V609" i="12"/>
  <c r="D6" i="12"/>
  <c r="V6" i="12"/>
  <c r="I598" i="12"/>
  <c r="V598" i="12"/>
  <c r="Q459" i="12"/>
  <c r="V459" i="12"/>
  <c r="R555" i="12"/>
  <c r="V555" i="12"/>
  <c r="AG414" i="1"/>
  <c r="I588" i="12"/>
  <c r="V588" i="12"/>
  <c r="V590" i="12"/>
  <c r="D457" i="12"/>
  <c r="V457" i="12"/>
  <c r="I557" i="12"/>
  <c r="V557" i="12"/>
  <c r="I602" i="12"/>
  <c r="V602" i="12"/>
  <c r="Q613" i="12"/>
  <c r="V613" i="12"/>
  <c r="D458" i="12"/>
  <c r="V458" i="12"/>
  <c r="H724" i="12"/>
  <c r="V724" i="12"/>
  <c r="K617" i="12"/>
  <c r="V617" i="12"/>
  <c r="I606" i="12"/>
  <c r="V606" i="12"/>
  <c r="G3062" i="13"/>
  <c r="G3080" i="13" s="1"/>
  <c r="G3116" i="13" s="1"/>
  <c r="G3152" i="13" s="1"/>
  <c r="D547" i="14"/>
  <c r="D1204" i="14" s="1"/>
  <c r="R397" i="12"/>
  <c r="J397" i="12"/>
  <c r="V397" i="12"/>
  <c r="F1015" i="12"/>
  <c r="E1015" i="12"/>
  <c r="Q979" i="12"/>
  <c r="G979" i="12"/>
  <c r="I942" i="12"/>
  <c r="Q820" i="12"/>
  <c r="K930" i="12"/>
  <c r="Z200" i="15"/>
  <c r="R820" i="12"/>
  <c r="H19" i="2"/>
  <c r="H21" i="2" s="1"/>
  <c r="J941" i="12"/>
  <c r="Q928" i="12"/>
  <c r="V928" i="12"/>
  <c r="D975" i="12"/>
  <c r="V975" i="12"/>
  <c r="D926" i="12"/>
  <c r="V926" i="12"/>
  <c r="Z179" i="15"/>
  <c r="V175" i="15" s="1"/>
  <c r="E935" i="12"/>
  <c r="V935" i="12"/>
  <c r="H972" i="12"/>
  <c r="V972" i="12"/>
  <c r="I993" i="12"/>
  <c r="V993" i="12"/>
  <c r="E1031" i="12"/>
  <c r="V1031" i="12"/>
  <c r="I1074" i="12"/>
  <c r="V1074" i="12"/>
  <c r="K960" i="12"/>
  <c r="V960" i="12"/>
  <c r="H1017" i="12"/>
  <c r="V1017" i="12"/>
  <c r="D1048" i="12"/>
  <c r="V1048" i="12"/>
  <c r="J1054" i="12"/>
  <c r="V1054" i="12"/>
  <c r="E1094" i="12"/>
  <c r="V1094" i="12"/>
  <c r="D966" i="12"/>
  <c r="V966" i="12"/>
  <c r="J1010" i="12"/>
  <c r="V1010" i="12"/>
  <c r="D1038" i="12"/>
  <c r="V1038" i="12"/>
  <c r="E1084" i="12"/>
  <c r="V1084" i="12"/>
  <c r="V167" i="15"/>
  <c r="D1036" i="12"/>
  <c r="V1036" i="12"/>
  <c r="K1050" i="12"/>
  <c r="V1050" i="12"/>
  <c r="H1082" i="12"/>
  <c r="V1082" i="12"/>
  <c r="D1130" i="12"/>
  <c r="V1130" i="12"/>
  <c r="V181" i="15"/>
  <c r="Z189" i="15"/>
  <c r="H1154" i="12" s="1"/>
  <c r="J1005" i="12"/>
  <c r="V1005" i="12"/>
  <c r="E1023" i="12"/>
  <c r="V1023" i="12"/>
  <c r="E1078" i="12"/>
  <c r="V1078" i="12"/>
  <c r="E818" i="12"/>
  <c r="V818" i="12"/>
  <c r="J962" i="12"/>
  <c r="V962" i="12"/>
  <c r="H1019" i="12"/>
  <c r="V1019" i="12"/>
  <c r="D1080" i="12"/>
  <c r="V1080" i="12"/>
  <c r="H1088" i="12"/>
  <c r="V1088" i="12"/>
  <c r="D1096" i="12"/>
  <c r="V1096" i="12"/>
  <c r="D1114" i="12"/>
  <c r="V1114" i="12"/>
  <c r="E1128" i="12"/>
  <c r="V1128" i="12"/>
  <c r="E1032" i="12"/>
  <c r="V1032" i="12"/>
  <c r="I1086" i="12"/>
  <c r="V1086" i="12"/>
  <c r="I811" i="12"/>
  <c r="V811" i="12"/>
  <c r="D939" i="12"/>
  <c r="V939" i="12"/>
  <c r="D1011" i="12"/>
  <c r="V1011" i="12"/>
  <c r="K1007" i="12"/>
  <c r="V1007" i="12"/>
  <c r="H1076" i="12"/>
  <c r="V1076" i="12"/>
  <c r="I1118" i="12"/>
  <c r="V1118" i="12"/>
  <c r="D937" i="12"/>
  <c r="V937" i="12"/>
  <c r="F956" i="12"/>
  <c r="V956" i="12"/>
  <c r="E974" i="12"/>
  <c r="V974" i="12"/>
  <c r="E1002" i="12"/>
  <c r="V1002" i="12"/>
  <c r="Q1116" i="12"/>
  <c r="V1116" i="12"/>
  <c r="J1003" i="12"/>
  <c r="V1003" i="12"/>
  <c r="D816" i="12"/>
  <c r="V816" i="12"/>
  <c r="E996" i="12"/>
  <c r="V996" i="12"/>
  <c r="V1015" i="12"/>
  <c r="D1034" i="12"/>
  <c r="V1034" i="12"/>
  <c r="J1042" i="12"/>
  <c r="V1042" i="12"/>
  <c r="D988" i="12"/>
  <c r="V988" i="12"/>
  <c r="D991" i="12"/>
  <c r="V991" i="12"/>
  <c r="E1028" i="12"/>
  <c r="V1028" i="12"/>
  <c r="D933" i="12"/>
  <c r="V933" i="12"/>
  <c r="D948" i="12"/>
  <c r="V948" i="12"/>
  <c r="H930" i="12"/>
  <c r="V930" i="12"/>
  <c r="D989" i="12"/>
  <c r="V989" i="12"/>
  <c r="H1020" i="12"/>
  <c r="V1020" i="12"/>
  <c r="H1075" i="12"/>
  <c r="V1075" i="12"/>
  <c r="H1126" i="12"/>
  <c r="V1126" i="12"/>
  <c r="D958" i="12"/>
  <c r="V958" i="12"/>
  <c r="D1049" i="12"/>
  <c r="V1049" i="12"/>
  <c r="H1107" i="12"/>
  <c r="V1107" i="12"/>
  <c r="D817" i="12"/>
  <c r="V817" i="12"/>
  <c r="H999" i="12"/>
  <c r="V999" i="12"/>
  <c r="D1039" i="12"/>
  <c r="V1039" i="12"/>
  <c r="J1098" i="12"/>
  <c r="V1098" i="12"/>
  <c r="I994" i="12"/>
  <c r="V994" i="12"/>
  <c r="K1052" i="12"/>
  <c r="V1052" i="12"/>
  <c r="J1013" i="12"/>
  <c r="V1013" i="12"/>
  <c r="H954" i="12"/>
  <c r="V954" i="12"/>
  <c r="S1040" i="12"/>
  <c r="V1040" i="12"/>
  <c r="V979" i="12"/>
  <c r="D927" i="12"/>
  <c r="V927" i="12"/>
  <c r="J1009" i="12"/>
  <c r="V1009" i="12"/>
  <c r="E1112" i="12"/>
  <c r="V1112" i="12"/>
  <c r="E1024" i="12"/>
  <c r="V1024" i="12"/>
  <c r="I931" i="12"/>
  <c r="V931" i="12"/>
  <c r="D946" i="12"/>
  <c r="V946" i="12"/>
  <c r="I977" i="12"/>
  <c r="V977" i="12"/>
  <c r="E1001" i="12"/>
  <c r="V1001" i="12"/>
  <c r="H1021" i="12"/>
  <c r="V1021" i="12"/>
  <c r="H1046" i="12"/>
  <c r="V1046" i="12"/>
  <c r="E1092" i="12"/>
  <c r="V1092" i="12"/>
  <c r="K801" i="12"/>
  <c r="V801" i="12"/>
  <c r="I1044" i="12"/>
  <c r="V1044" i="12"/>
  <c r="E944" i="12"/>
  <c r="V944" i="12"/>
  <c r="H964" i="12"/>
  <c r="V964" i="12"/>
  <c r="E1030" i="12"/>
  <c r="V1030" i="12"/>
  <c r="H1090" i="12"/>
  <c r="V1090" i="12"/>
  <c r="E368" i="12"/>
  <c r="G368" i="12"/>
  <c r="D248" i="12"/>
  <c r="N413" i="12"/>
  <c r="J413" i="12"/>
  <c r="V152" i="15"/>
  <c r="Z164" i="15"/>
  <c r="Z161" i="15"/>
  <c r="H1152" i="12" s="1"/>
  <c r="E983" i="12"/>
  <c r="V983" i="12"/>
  <c r="I953" i="12"/>
  <c r="V953" i="12"/>
  <c r="U151" i="15"/>
  <c r="H971" i="12"/>
  <c r="V971" i="12"/>
  <c r="J807" i="12"/>
  <c r="V807" i="12"/>
  <c r="Y149" i="15"/>
  <c r="Z165" i="15"/>
  <c r="N1152" i="12" s="1"/>
  <c r="J806" i="12"/>
  <c r="V806" i="12"/>
  <c r="J951" i="12"/>
  <c r="V951" i="12"/>
  <c r="D812" i="12"/>
  <c r="V812" i="12"/>
  <c r="J950" i="12"/>
  <c r="V950" i="12"/>
  <c r="D813" i="12"/>
  <c r="V813" i="12"/>
  <c r="E4" i="12"/>
  <c r="M508" i="12"/>
  <c r="I198" i="12"/>
  <c r="F37" i="12"/>
  <c r="G198" i="12"/>
  <c r="Q238" i="12"/>
  <c r="T1131" i="12"/>
  <c r="T1134" i="12" s="1"/>
  <c r="E423" i="12"/>
  <c r="Q226" i="12"/>
  <c r="R386" i="12"/>
  <c r="Q347" i="12"/>
  <c r="Q248" i="12"/>
  <c r="M413" i="12"/>
  <c r="H76" i="12"/>
  <c r="E226" i="12"/>
  <c r="H436" i="12"/>
  <c r="H423" i="12"/>
  <c r="D226" i="12"/>
  <c r="K151" i="12"/>
  <c r="E71" i="12"/>
  <c r="J151" i="12"/>
  <c r="I386" i="12"/>
  <c r="D71" i="12"/>
  <c r="I151" i="12"/>
  <c r="I436" i="12"/>
  <c r="F423" i="12"/>
  <c r="E177" i="12"/>
  <c r="Q386" i="12"/>
  <c r="H198" i="12"/>
  <c r="R238" i="12"/>
  <c r="N508" i="12"/>
  <c r="N238" i="12"/>
  <c r="V244" i="12"/>
  <c r="AG397" i="1"/>
  <c r="H1150" i="12" s="1"/>
  <c r="E166" i="12"/>
  <c r="V166" i="12"/>
  <c r="E10" i="12"/>
  <c r="V10" i="12"/>
  <c r="D43" i="12"/>
  <c r="V43" i="12"/>
  <c r="E33" i="12"/>
  <c r="V33" i="12"/>
  <c r="D111" i="12"/>
  <c r="V111" i="12"/>
  <c r="D142" i="12"/>
  <c r="V142" i="12"/>
  <c r="D530" i="12"/>
  <c r="V530" i="12"/>
  <c r="D46" i="12"/>
  <c r="V46" i="12"/>
  <c r="D136" i="12"/>
  <c r="V136" i="12"/>
  <c r="M92" i="12"/>
  <c r="V92" i="12"/>
  <c r="E72" i="12"/>
  <c r="V72" i="12"/>
  <c r="E776" i="12"/>
  <c r="V776" i="12"/>
  <c r="R349" i="12"/>
  <c r="V349" i="12"/>
  <c r="I98" i="12"/>
  <c r="V98" i="12"/>
  <c r="D41" i="12"/>
  <c r="V41" i="12"/>
  <c r="D186" i="12"/>
  <c r="V186" i="12"/>
  <c r="I770" i="12"/>
  <c r="V770" i="12"/>
  <c r="D432" i="12"/>
  <c r="V432" i="12"/>
  <c r="M66" i="12"/>
  <c r="V66" i="12"/>
  <c r="Q730" i="12"/>
  <c r="V730" i="12"/>
  <c r="D122" i="12"/>
  <c r="V122" i="12"/>
  <c r="D117" i="12"/>
  <c r="V117" i="12"/>
  <c r="E9" i="12"/>
  <c r="V9" i="12"/>
  <c r="H714" i="12"/>
  <c r="V714" i="12"/>
  <c r="D176" i="12"/>
  <c r="V176" i="12"/>
  <c r="I82" i="12"/>
  <c r="V82" i="12"/>
  <c r="D133" i="12"/>
  <c r="V133" i="12"/>
  <c r="M219" i="12"/>
  <c r="V219" i="12"/>
  <c r="D370" i="12"/>
  <c r="V370" i="12"/>
  <c r="D64" i="12"/>
  <c r="V64" i="12"/>
  <c r="M96" i="12"/>
  <c r="V96" i="12"/>
  <c r="J781" i="12"/>
  <c r="V781" i="12"/>
  <c r="D12" i="12"/>
  <c r="V12" i="12"/>
  <c r="D112" i="12"/>
  <c r="V112" i="12"/>
  <c r="D42" i="12"/>
  <c r="V42" i="12"/>
  <c r="Q483" i="12"/>
  <c r="V483" i="12"/>
  <c r="M160" i="12"/>
  <c r="V160" i="12"/>
  <c r="M68" i="12"/>
  <c r="V68" i="12"/>
  <c r="I548" i="12"/>
  <c r="V548" i="12"/>
  <c r="F190" i="12"/>
  <c r="V190" i="12"/>
  <c r="D460" i="12"/>
  <c r="V460" i="12"/>
  <c r="I480" i="12"/>
  <c r="V480" i="12"/>
  <c r="D147" i="12"/>
  <c r="V147" i="12"/>
  <c r="H56" i="12"/>
  <c r="V56" i="12"/>
  <c r="E73" i="12"/>
  <c r="V73" i="12"/>
  <c r="D559" i="14"/>
  <c r="D550" i="14"/>
  <c r="D1207" i="14" s="1"/>
  <c r="D558" i="14"/>
  <c r="D549" i="14"/>
  <c r="D1206" i="14" s="1"/>
  <c r="D557" i="14"/>
  <c r="D548" i="14"/>
  <c r="D1205" i="14" s="1"/>
  <c r="F446" i="12"/>
  <c r="J97" i="12"/>
  <c r="S388" i="12"/>
  <c r="H446" i="12"/>
  <c r="D471" i="12"/>
  <c r="M89" i="12"/>
  <c r="I97" i="12"/>
  <c r="Q388" i="12"/>
  <c r="G446" i="12"/>
  <c r="R240" i="12"/>
  <c r="K97" i="12"/>
  <c r="Q240" i="12"/>
  <c r="D135" i="12"/>
  <c r="G412" i="12"/>
  <c r="M216" i="12"/>
  <c r="F422" i="12"/>
  <c r="J77" i="12"/>
  <c r="I507" i="12"/>
  <c r="H412" i="12"/>
  <c r="Q461" i="12"/>
  <c r="F101" i="12"/>
  <c r="M239" i="12"/>
  <c r="H414" i="12"/>
  <c r="G4" i="12"/>
  <c r="G414" i="12"/>
  <c r="J85" i="12"/>
  <c r="E140" i="12"/>
  <c r="Q234" i="12"/>
  <c r="R347" i="12"/>
  <c r="E169" i="12"/>
  <c r="G388" i="12"/>
  <c r="E435" i="12"/>
  <c r="G421" i="12"/>
  <c r="H422" i="12"/>
  <c r="M85" i="12"/>
  <c r="D140" i="12"/>
  <c r="K89" i="12"/>
  <c r="N234" i="12"/>
  <c r="M241" i="12"/>
  <c r="D177" i="12"/>
  <c r="K216" i="12"/>
  <c r="D169" i="12"/>
  <c r="D435" i="12"/>
  <c r="E422" i="12"/>
  <c r="K618" i="12"/>
  <c r="R234" i="12"/>
  <c r="Q241" i="12"/>
  <c r="E135" i="12"/>
  <c r="E37" i="12"/>
  <c r="I412" i="12"/>
  <c r="G422" i="12"/>
  <c r="Q471" i="12"/>
  <c r="K77" i="12"/>
  <c r="G101" i="12"/>
  <c r="R618" i="12"/>
  <c r="H241" i="12"/>
  <c r="I414" i="12"/>
  <c r="Q350" i="12"/>
  <c r="I58" i="12"/>
  <c r="M81" i="12"/>
  <c r="F4" i="12"/>
  <c r="E463" i="12"/>
  <c r="H159" i="12"/>
  <c r="R350" i="12"/>
  <c r="J414" i="12"/>
  <c r="M58" i="12"/>
  <c r="I81" i="12"/>
  <c r="D463" i="12"/>
  <c r="I421" i="12"/>
  <c r="J159" i="12"/>
  <c r="Q484" i="12"/>
  <c r="V484" i="12"/>
  <c r="Q739" i="12"/>
  <c r="V739" i="12"/>
  <c r="G191" i="12"/>
  <c r="V191" i="12"/>
  <c r="I76" i="12"/>
  <c r="V76" i="12"/>
  <c r="D206" i="12"/>
  <c r="V206" i="12"/>
  <c r="J60" i="12"/>
  <c r="V60" i="12"/>
  <c r="J87" i="12"/>
  <c r="V87" i="12"/>
  <c r="D113" i="12"/>
  <c r="V113" i="12"/>
  <c r="D132" i="12"/>
  <c r="V132" i="12"/>
  <c r="Q736" i="12"/>
  <c r="V736" i="12"/>
  <c r="Q396" i="12"/>
  <c r="V396" i="12"/>
  <c r="K622" i="12"/>
  <c r="V622" i="12"/>
  <c r="Q239" i="12"/>
  <c r="R239" i="12"/>
  <c r="V239" i="12"/>
  <c r="G199" i="12"/>
  <c r="V199" i="12"/>
  <c r="E230" i="12"/>
  <c r="V230" i="12"/>
  <c r="D165" i="12"/>
  <c r="V165" i="12"/>
  <c r="D433" i="12"/>
  <c r="V433" i="12"/>
  <c r="M95" i="12"/>
  <c r="V95" i="12"/>
  <c r="E797" i="12"/>
  <c r="V797" i="12"/>
  <c r="AC374" i="1"/>
  <c r="K156" i="12"/>
  <c r="V156" i="12"/>
  <c r="K150" i="12"/>
  <c r="V150" i="12"/>
  <c r="D164" i="12"/>
  <c r="V164" i="12"/>
  <c r="D518" i="12"/>
  <c r="V518" i="12"/>
  <c r="E501" i="12"/>
  <c r="V501" i="12"/>
  <c r="K440" i="12"/>
  <c r="V440" i="12"/>
  <c r="I53" i="12"/>
  <c r="V53" i="12"/>
  <c r="O408" i="12"/>
  <c r="V408" i="12"/>
  <c r="E63" i="12"/>
  <c r="V63" i="12"/>
  <c r="Q731" i="12"/>
  <c r="V731" i="12"/>
  <c r="G195" i="12"/>
  <c r="V195" i="12"/>
  <c r="E210" i="12"/>
  <c r="V210" i="12"/>
  <c r="D223" i="12"/>
  <c r="V223" i="12"/>
  <c r="D360" i="12"/>
  <c r="V360" i="12"/>
  <c r="D25" i="12"/>
  <c r="V25" i="12"/>
  <c r="M93" i="12"/>
  <c r="V93" i="12"/>
  <c r="D522" i="12"/>
  <c r="V522" i="12"/>
  <c r="R361" i="12"/>
  <c r="V361" i="12"/>
  <c r="D442" i="12"/>
  <c r="V442" i="12"/>
  <c r="D22" i="12"/>
  <c r="V22" i="12"/>
  <c r="Q353" i="12"/>
  <c r="V353" i="12"/>
  <c r="D220" i="12"/>
  <c r="V220" i="12"/>
  <c r="D419" i="12"/>
  <c r="V419" i="12"/>
  <c r="D15" i="12"/>
  <c r="V15" i="12"/>
  <c r="D13" i="12"/>
  <c r="V13" i="12"/>
  <c r="M67" i="12"/>
  <c r="V67" i="12"/>
  <c r="J99" i="12"/>
  <c r="V99" i="12"/>
  <c r="R729" i="12"/>
  <c r="V729" i="12"/>
  <c r="I768" i="12"/>
  <c r="V768" i="12"/>
  <c r="F443" i="12"/>
  <c r="J58" i="12"/>
  <c r="F14" i="12"/>
  <c r="I159" i="12"/>
  <c r="I201" i="12"/>
  <c r="V201" i="12"/>
  <c r="E38" i="12"/>
  <c r="V38" i="12"/>
  <c r="D213" i="12"/>
  <c r="V213" i="12"/>
  <c r="Q345" i="12"/>
  <c r="V345" i="12"/>
  <c r="J79" i="12"/>
  <c r="V79" i="12"/>
  <c r="E148" i="12"/>
  <c r="V148" i="12"/>
  <c r="J758" i="12"/>
  <c r="V758" i="12"/>
  <c r="AB373" i="1"/>
  <c r="M161" i="12"/>
  <c r="V161" i="12"/>
  <c r="M157" i="12"/>
  <c r="J157" i="12"/>
  <c r="V157" i="12"/>
  <c r="D447" i="12"/>
  <c r="V447" i="12"/>
  <c r="D48" i="12"/>
  <c r="V48" i="12"/>
  <c r="Q224" i="12"/>
  <c r="V224" i="12"/>
  <c r="I477" i="12"/>
  <c r="V477" i="12"/>
  <c r="M65" i="12"/>
  <c r="V65" i="12"/>
  <c r="D146" i="12"/>
  <c r="V146" i="12"/>
  <c r="D207" i="12"/>
  <c r="V207" i="12"/>
  <c r="J783" i="12"/>
  <c r="V783" i="12"/>
  <c r="E443" i="12"/>
  <c r="F421" i="12"/>
  <c r="D461" i="12"/>
  <c r="K85" i="12"/>
  <c r="E14" i="12"/>
  <c r="G197" i="12"/>
  <c r="V197" i="12"/>
  <c r="D131" i="12"/>
  <c r="V131" i="12"/>
  <c r="Q374" i="12"/>
  <c r="I374" i="12"/>
  <c r="O374" i="12"/>
  <c r="V374" i="12"/>
  <c r="D497" i="12"/>
  <c r="V497" i="12"/>
  <c r="D431" i="12"/>
  <c r="V431" i="12"/>
  <c r="D44" i="12"/>
  <c r="V44" i="12"/>
  <c r="D211" i="12"/>
  <c r="V211" i="12"/>
  <c r="D107" i="12"/>
  <c r="V107" i="12"/>
  <c r="I154" i="12"/>
  <c r="V154" i="12"/>
  <c r="D181" i="12"/>
  <c r="V181" i="12"/>
  <c r="D363" i="12"/>
  <c r="V363" i="12"/>
  <c r="M438" i="12"/>
  <c r="V438" i="12"/>
  <c r="N51" i="12"/>
  <c r="V51" i="12"/>
  <c r="O406" i="12"/>
  <c r="V406" i="12"/>
  <c r="D204" i="12"/>
  <c r="V204" i="12"/>
  <c r="D525" i="12"/>
  <c r="V525" i="12"/>
  <c r="R388" i="12"/>
  <c r="V388" i="12"/>
  <c r="D358" i="12"/>
  <c r="V358" i="12"/>
  <c r="D145" i="12"/>
  <c r="V145" i="12"/>
  <c r="D106" i="12"/>
  <c r="V106" i="12"/>
  <c r="D110" i="12"/>
  <c r="V110" i="12"/>
  <c r="Q489" i="12"/>
  <c r="V489" i="12"/>
  <c r="K507" i="12"/>
  <c r="V507" i="12"/>
  <c r="M509" i="12"/>
  <c r="V509" i="12"/>
  <c r="D212" i="12"/>
  <c r="V212" i="12"/>
  <c r="Q488" i="12"/>
  <c r="V488" i="12"/>
  <c r="I791" i="12"/>
  <c r="V791" i="12"/>
  <c r="D415" i="12"/>
  <c r="V415" i="12"/>
  <c r="Q227" i="12"/>
  <c r="V227" i="12"/>
  <c r="I83" i="12"/>
  <c r="V83" i="12"/>
  <c r="R620" i="12"/>
  <c r="V620" i="12"/>
  <c r="I546" i="12"/>
  <c r="V546" i="12"/>
  <c r="J759" i="12"/>
  <c r="V759" i="12"/>
  <c r="D496" i="12"/>
  <c r="E496" i="12"/>
  <c r="V496" i="12"/>
  <c r="AC389" i="1"/>
  <c r="D357" i="12"/>
  <c r="B1131" i="12"/>
  <c r="V1131" i="12" s="1"/>
  <c r="V357" i="12"/>
  <c r="D369" i="12"/>
  <c r="E369" i="12"/>
  <c r="V369" i="12"/>
  <c r="F495" i="12"/>
  <c r="G495" i="12"/>
  <c r="V495" i="12"/>
  <c r="D498" i="12"/>
  <c r="V498" i="12"/>
  <c r="J786" i="12"/>
  <c r="V786" i="12"/>
  <c r="K717" i="12"/>
  <c r="V717" i="12"/>
  <c r="D504" i="12"/>
  <c r="E504" i="12"/>
  <c r="V504" i="12"/>
  <c r="D499" i="12"/>
  <c r="E499" i="12"/>
  <c r="V499" i="12"/>
  <c r="D362" i="12"/>
  <c r="V362" i="12"/>
  <c r="F505" i="12"/>
  <c r="E505" i="12"/>
  <c r="V505" i="12"/>
  <c r="D500" i="12"/>
  <c r="E500" i="12"/>
  <c r="V500" i="12"/>
  <c r="N1149" i="12"/>
  <c r="AF371" i="1"/>
  <c r="Q737" i="12"/>
  <c r="V737" i="12"/>
  <c r="G3107" i="13"/>
  <c r="G3143" i="13" s="1"/>
  <c r="G3125" i="13"/>
  <c r="D1546" i="14" l="1"/>
  <c r="D1555" i="14" s="1"/>
  <c r="D1564" i="14" s="1"/>
  <c r="D1573" i="14" s="1"/>
  <c r="D1582" i="14" s="1"/>
  <c r="D1591" i="14" s="1"/>
  <c r="D1600" i="14" s="1"/>
  <c r="D1609" i="14" s="1"/>
  <c r="D1618" i="14" s="1"/>
  <c r="D1627" i="14" s="1"/>
  <c r="D1636" i="14" s="1"/>
  <c r="D1645" i="14" s="1"/>
  <c r="D574" i="14"/>
  <c r="D583" i="14" s="1"/>
  <c r="D1240" i="14" s="1"/>
  <c r="D636" i="22"/>
  <c r="D708" i="22" s="1"/>
  <c r="D798" i="22"/>
  <c r="D639" i="22"/>
  <c r="D711" i="22" s="1"/>
  <c r="D801" i="22"/>
  <c r="D638" i="22"/>
  <c r="D710" i="22" s="1"/>
  <c r="D800" i="22"/>
  <c r="D635" i="22"/>
  <c r="D707" i="22" s="1"/>
  <c r="D797" i="22"/>
  <c r="D632" i="22"/>
  <c r="D704" i="22" s="1"/>
  <c r="D794" i="22"/>
  <c r="D637" i="22"/>
  <c r="D709" i="22" s="1"/>
  <c r="D799" i="22"/>
  <c r="D634" i="22"/>
  <c r="D706" i="22" s="1"/>
  <c r="D796" i="22"/>
  <c r="D633" i="22"/>
  <c r="D705" i="22" s="1"/>
  <c r="D795" i="22"/>
  <c r="D640" i="22"/>
  <c r="D712" i="22" s="1"/>
  <c r="D802" i="22"/>
  <c r="D663" i="14"/>
  <c r="D1131" i="14" s="1"/>
  <c r="D1221" i="14"/>
  <c r="D1532" i="14"/>
  <c r="D1217" i="14"/>
  <c r="D795" i="14"/>
  <c r="D1218" i="14"/>
  <c r="D599" i="14"/>
  <c r="D608" i="14" s="1"/>
  <c r="D1220" i="14"/>
  <c r="D570" i="14"/>
  <c r="D1227" i="14" s="1"/>
  <c r="D1542" i="14"/>
  <c r="D1551" i="14" s="1"/>
  <c r="D1560" i="14" s="1"/>
  <c r="D1569" i="14" s="1"/>
  <c r="D1578" i="14" s="1"/>
  <c r="D1587" i="14" s="1"/>
  <c r="D1596" i="14" s="1"/>
  <c r="D1605" i="14" s="1"/>
  <c r="D1614" i="14" s="1"/>
  <c r="D1623" i="14" s="1"/>
  <c r="D1632" i="14" s="1"/>
  <c r="D1767" i="14" s="1"/>
  <c r="G3584" i="13"/>
  <c r="G3188" i="13"/>
  <c r="D572" i="14"/>
  <c r="D1229" i="14" s="1"/>
  <c r="D660" i="14"/>
  <c r="G3179" i="13"/>
  <c r="G3233" i="13" s="1"/>
  <c r="G3314" i="13" s="1"/>
  <c r="G3359" i="13" s="1"/>
  <c r="G3404" i="13" s="1"/>
  <c r="G3449" i="13" s="1"/>
  <c r="G3494" i="13" s="1"/>
  <c r="G3575" i="13"/>
  <c r="G3033" i="13"/>
  <c r="G3573" i="13"/>
  <c r="G3029" i="13"/>
  <c r="G3569" i="13"/>
  <c r="G3027" i="13"/>
  <c r="G3567" i="13"/>
  <c r="G3028" i="13"/>
  <c r="G3568" i="13"/>
  <c r="G3031" i="13"/>
  <c r="G3571" i="13"/>
  <c r="G3030" i="13"/>
  <c r="G3570" i="13"/>
  <c r="G3161" i="13"/>
  <c r="G3557" i="13"/>
  <c r="G3032" i="13"/>
  <c r="G3572" i="13"/>
  <c r="G3034" i="13"/>
  <c r="G3574" i="13"/>
  <c r="D1541" i="14"/>
  <c r="D1550" i="14" s="1"/>
  <c r="D1559" i="14" s="1"/>
  <c r="D1568" i="14" s="1"/>
  <c r="D1577" i="14" s="1"/>
  <c r="D1586" i="14" s="1"/>
  <c r="D1595" i="14" s="1"/>
  <c r="D1604" i="14" s="1"/>
  <c r="D1613" i="14" s="1"/>
  <c r="D1622" i="14" s="1"/>
  <c r="D1631" i="14" s="1"/>
  <c r="D794" i="14"/>
  <c r="D573" i="14"/>
  <c r="D659" i="14"/>
  <c r="D798" i="14"/>
  <c r="D1545" i="14"/>
  <c r="D1554" i="14" s="1"/>
  <c r="D1563" i="14" s="1"/>
  <c r="D1572" i="14" s="1"/>
  <c r="D1581" i="14" s="1"/>
  <c r="D1590" i="14" s="1"/>
  <c r="D1599" i="14" s="1"/>
  <c r="D1608" i="14" s="1"/>
  <c r="D1617" i="14" s="1"/>
  <c r="D1626" i="14" s="1"/>
  <c r="D1635" i="14" s="1"/>
  <c r="D569" i="14"/>
  <c r="D596" i="14"/>
  <c r="N1153" i="12"/>
  <c r="V198" i="15"/>
  <c r="N1150" i="12"/>
  <c r="N6" i="14"/>
  <c r="D670" i="22"/>
  <c r="D751" i="22"/>
  <c r="D674" i="22"/>
  <c r="D755" i="22"/>
  <c r="D671" i="22"/>
  <c r="D752" i="22"/>
  <c r="D668" i="22"/>
  <c r="D749" i="22"/>
  <c r="D665" i="22"/>
  <c r="D746" i="22"/>
  <c r="D662" i="22"/>
  <c r="D743" i="22"/>
  <c r="D659" i="22"/>
  <c r="D740" i="22"/>
  <c r="D664" i="22"/>
  <c r="D745" i="22"/>
  <c r="D661" i="22"/>
  <c r="D742" i="22"/>
  <c r="D673" i="22"/>
  <c r="D754" i="22"/>
  <c r="D660" i="22"/>
  <c r="D741" i="22"/>
  <c r="D667" i="22"/>
  <c r="D748" i="22"/>
  <c r="D669" i="22"/>
  <c r="D750" i="22"/>
  <c r="D676" i="22"/>
  <c r="D757" i="22"/>
  <c r="D663" i="22"/>
  <c r="D744" i="22"/>
  <c r="D666" i="22"/>
  <c r="D747" i="22"/>
  <c r="D672" i="22"/>
  <c r="D753" i="22"/>
  <c r="D675" i="22"/>
  <c r="D756" i="22"/>
  <c r="D797" i="14"/>
  <c r="D1535" i="14"/>
  <c r="D1544" i="14"/>
  <c r="D1553" i="14" s="1"/>
  <c r="D1562" i="14" s="1"/>
  <c r="D1571" i="14" s="1"/>
  <c r="D1580" i="14" s="1"/>
  <c r="D1589" i="14" s="1"/>
  <c r="D1598" i="14" s="1"/>
  <c r="D1607" i="14" s="1"/>
  <c r="D1616" i="14" s="1"/>
  <c r="D1625" i="14" s="1"/>
  <c r="D1634" i="14" s="1"/>
  <c r="D661" i="14"/>
  <c r="D1534" i="14"/>
  <c r="D664" i="14"/>
  <c r="D1537" i="14"/>
  <c r="D601" i="14"/>
  <c r="D600" i="14"/>
  <c r="D1257" i="14" s="1"/>
  <c r="D1536" i="14"/>
  <c r="D597" i="14"/>
  <c r="D1533" i="14"/>
  <c r="D799" i="14"/>
  <c r="D662" i="14"/>
  <c r="D1543" i="14"/>
  <c r="D1552" i="14" s="1"/>
  <c r="D1561" i="14" s="1"/>
  <c r="D1570" i="14" s="1"/>
  <c r="D1579" i="14" s="1"/>
  <c r="D1588" i="14" s="1"/>
  <c r="D1597" i="14" s="1"/>
  <c r="D1606" i="14" s="1"/>
  <c r="D1615" i="14" s="1"/>
  <c r="D1624" i="14" s="1"/>
  <c r="D1633" i="14" s="1"/>
  <c r="D796" i="14"/>
  <c r="D567" i="14"/>
  <c r="D1224" i="14" s="1"/>
  <c r="D1215" i="14"/>
  <c r="D571" i="14"/>
  <c r="D1228" i="14" s="1"/>
  <c r="D598" i="14"/>
  <c r="D1255" i="14" s="1"/>
  <c r="D568" i="14"/>
  <c r="D1225" i="14" s="1"/>
  <c r="D1216" i="14"/>
  <c r="D566" i="14"/>
  <c r="D1223" i="14" s="1"/>
  <c r="D1214" i="14"/>
  <c r="D574" i="22"/>
  <c r="D718" i="22"/>
  <c r="D571" i="22"/>
  <c r="D715" i="22"/>
  <c r="D570" i="22"/>
  <c r="D714" i="22"/>
  <c r="D577" i="22"/>
  <c r="D721" i="22"/>
  <c r="D573" i="22"/>
  <c r="D717" i="22"/>
  <c r="D576" i="22"/>
  <c r="D720" i="22"/>
  <c r="D575" i="22"/>
  <c r="D719" i="22"/>
  <c r="D572" i="22"/>
  <c r="D716" i="22"/>
  <c r="D569" i="22"/>
  <c r="D713" i="22"/>
  <c r="Z201" i="15"/>
  <c r="G2172" i="13"/>
  <c r="G2181" i="13" s="1"/>
  <c r="G2190" i="13" s="1"/>
  <c r="G2199" i="13" s="1"/>
  <c r="G2208" i="13" s="1"/>
  <c r="G2217" i="13" s="1"/>
  <c r="G2226" i="13" s="1"/>
  <c r="G2235" i="13" s="1"/>
  <c r="G2244" i="13" s="1"/>
  <c r="G2253" i="13" s="1"/>
  <c r="G2262" i="13" s="1"/>
  <c r="G2271" i="13" s="1"/>
  <c r="G2280" i="13" s="1"/>
  <c r="G2289" i="13" s="1"/>
  <c r="G2298" i="13" s="1"/>
  <c r="G2307" i="13" s="1"/>
  <c r="G2316" i="13" s="1"/>
  <c r="G2325" i="13" s="1"/>
  <c r="G2334" i="13" s="1"/>
  <c r="G2343" i="13" s="1"/>
  <c r="G2352" i="13" s="1"/>
  <c r="G2361" i="13" s="1"/>
  <c r="G2370" i="13" s="1"/>
  <c r="G2379" i="13" s="1"/>
  <c r="G2388" i="13" s="1"/>
  <c r="G2397" i="13" s="1"/>
  <c r="G2406" i="13" s="1"/>
  <c r="G2415" i="13" s="1"/>
  <c r="G2424" i="13" s="1"/>
  <c r="G2433" i="13" s="1"/>
  <c r="G2442" i="13" s="1"/>
  <c r="G2451" i="13" s="1"/>
  <c r="G2460" i="13" s="1"/>
  <c r="G2469" i="13" s="1"/>
  <c r="G2478" i="13" s="1"/>
  <c r="G2487" i="13" s="1"/>
  <c r="G2496" i="13" s="1"/>
  <c r="G2505" i="13" s="1"/>
  <c r="G2514" i="13" s="1"/>
  <c r="G2523" i="13" s="1"/>
  <c r="G2532" i="13" s="1"/>
  <c r="G2541" i="13" s="1"/>
  <c r="G2550" i="13" s="1"/>
  <c r="G2559" i="13" s="1"/>
  <c r="G2568" i="13" s="1"/>
  <c r="G2577" i="13" s="1"/>
  <c r="G2586" i="13" s="1"/>
  <c r="G2154" i="13"/>
  <c r="G2176" i="13"/>
  <c r="G2185" i="13" s="1"/>
  <c r="G2194" i="13" s="1"/>
  <c r="G2203" i="13" s="1"/>
  <c r="G2212" i="13" s="1"/>
  <c r="G2221" i="13" s="1"/>
  <c r="G2230" i="13" s="1"/>
  <c r="G2239" i="13" s="1"/>
  <c r="G2248" i="13" s="1"/>
  <c r="G2257" i="13" s="1"/>
  <c r="G2266" i="13" s="1"/>
  <c r="G2275" i="13" s="1"/>
  <c r="G2284" i="13" s="1"/>
  <c r="G2293" i="13" s="1"/>
  <c r="G2302" i="13" s="1"/>
  <c r="G2311" i="13" s="1"/>
  <c r="G2320" i="13" s="1"/>
  <c r="G2329" i="13" s="1"/>
  <c r="G2338" i="13" s="1"/>
  <c r="G2347" i="13" s="1"/>
  <c r="G2356" i="13" s="1"/>
  <c r="G2365" i="13" s="1"/>
  <c r="G2374" i="13" s="1"/>
  <c r="G2383" i="13" s="1"/>
  <c r="G2392" i="13" s="1"/>
  <c r="G2401" i="13" s="1"/>
  <c r="G2410" i="13" s="1"/>
  <c r="G2419" i="13" s="1"/>
  <c r="G2428" i="13" s="1"/>
  <c r="G2437" i="13" s="1"/>
  <c r="G2446" i="13" s="1"/>
  <c r="G2455" i="13" s="1"/>
  <c r="G2464" i="13" s="1"/>
  <c r="G2473" i="13" s="1"/>
  <c r="G2482" i="13" s="1"/>
  <c r="G2491" i="13" s="1"/>
  <c r="G2500" i="13" s="1"/>
  <c r="G2509" i="13" s="1"/>
  <c r="G2518" i="13" s="1"/>
  <c r="G2527" i="13" s="1"/>
  <c r="G2536" i="13" s="1"/>
  <c r="G2545" i="13" s="1"/>
  <c r="G2554" i="13" s="1"/>
  <c r="G2563" i="13" s="1"/>
  <c r="G2572" i="13" s="1"/>
  <c r="G2581" i="13" s="1"/>
  <c r="G2590" i="13" s="1"/>
  <c r="G2158" i="13"/>
  <c r="G2173" i="13"/>
  <c r="G2182" i="13" s="1"/>
  <c r="G2191" i="13" s="1"/>
  <c r="G2200" i="13" s="1"/>
  <c r="G2209" i="13" s="1"/>
  <c r="G2218" i="13" s="1"/>
  <c r="G2227" i="13" s="1"/>
  <c r="G2236" i="13" s="1"/>
  <c r="G2245" i="13" s="1"/>
  <c r="G2254" i="13" s="1"/>
  <c r="G2263" i="13" s="1"/>
  <c r="G2272" i="13" s="1"/>
  <c r="G2281" i="13" s="1"/>
  <c r="G2290" i="13" s="1"/>
  <c r="G2299" i="13" s="1"/>
  <c r="G2308" i="13" s="1"/>
  <c r="G2317" i="13" s="1"/>
  <c r="G2326" i="13" s="1"/>
  <c r="G2335" i="13" s="1"/>
  <c r="G2344" i="13" s="1"/>
  <c r="G2353" i="13" s="1"/>
  <c r="G2362" i="13" s="1"/>
  <c r="G2371" i="13" s="1"/>
  <c r="G2380" i="13" s="1"/>
  <c r="G2389" i="13" s="1"/>
  <c r="G2398" i="13" s="1"/>
  <c r="G2407" i="13" s="1"/>
  <c r="G2416" i="13" s="1"/>
  <c r="G2425" i="13" s="1"/>
  <c r="G2434" i="13" s="1"/>
  <c r="G2443" i="13" s="1"/>
  <c r="G2452" i="13" s="1"/>
  <c r="G2461" i="13" s="1"/>
  <c r="G2470" i="13" s="1"/>
  <c r="G2479" i="13" s="1"/>
  <c r="G2488" i="13" s="1"/>
  <c r="G2497" i="13" s="1"/>
  <c r="G2506" i="13" s="1"/>
  <c r="G2515" i="13" s="1"/>
  <c r="G2524" i="13" s="1"/>
  <c r="G2533" i="13" s="1"/>
  <c r="G2542" i="13" s="1"/>
  <c r="G2551" i="13" s="1"/>
  <c r="G2560" i="13" s="1"/>
  <c r="G2569" i="13" s="1"/>
  <c r="G2578" i="13" s="1"/>
  <c r="G2587" i="13" s="1"/>
  <c r="G2155" i="13"/>
  <c r="G2177" i="13"/>
  <c r="G2186" i="13" s="1"/>
  <c r="G2195" i="13" s="1"/>
  <c r="G2204" i="13" s="1"/>
  <c r="G2213" i="13" s="1"/>
  <c r="G2222" i="13" s="1"/>
  <c r="G2231" i="13" s="1"/>
  <c r="G2240" i="13" s="1"/>
  <c r="G2249" i="13" s="1"/>
  <c r="G2258" i="13" s="1"/>
  <c r="G2267" i="13" s="1"/>
  <c r="G2276" i="13" s="1"/>
  <c r="G2285" i="13" s="1"/>
  <c r="G2294" i="13" s="1"/>
  <c r="G2303" i="13" s="1"/>
  <c r="G2312" i="13" s="1"/>
  <c r="G2321" i="13" s="1"/>
  <c r="G2330" i="13" s="1"/>
  <c r="G2339" i="13" s="1"/>
  <c r="G2348" i="13" s="1"/>
  <c r="G2357" i="13" s="1"/>
  <c r="G2366" i="13" s="1"/>
  <c r="G2375" i="13" s="1"/>
  <c r="G2384" i="13" s="1"/>
  <c r="G2393" i="13" s="1"/>
  <c r="G2402" i="13" s="1"/>
  <c r="G2411" i="13" s="1"/>
  <c r="G2420" i="13" s="1"/>
  <c r="G2429" i="13" s="1"/>
  <c r="G2438" i="13" s="1"/>
  <c r="G2447" i="13" s="1"/>
  <c r="G2456" i="13" s="1"/>
  <c r="G2465" i="13" s="1"/>
  <c r="G2474" i="13" s="1"/>
  <c r="G2483" i="13" s="1"/>
  <c r="G2492" i="13" s="1"/>
  <c r="G2501" i="13" s="1"/>
  <c r="G2510" i="13" s="1"/>
  <c r="G2519" i="13" s="1"/>
  <c r="G2528" i="13" s="1"/>
  <c r="G2537" i="13" s="1"/>
  <c r="G2546" i="13" s="1"/>
  <c r="G2555" i="13" s="1"/>
  <c r="G2564" i="13" s="1"/>
  <c r="G2573" i="13" s="1"/>
  <c r="G2582" i="13" s="1"/>
  <c r="G2591" i="13" s="1"/>
  <c r="G2159" i="13"/>
  <c r="G2175" i="13"/>
  <c r="G2184" i="13" s="1"/>
  <c r="G2193" i="13" s="1"/>
  <c r="G2202" i="13" s="1"/>
  <c r="G2211" i="13" s="1"/>
  <c r="G2220" i="13" s="1"/>
  <c r="G2229" i="13" s="1"/>
  <c r="G2238" i="13" s="1"/>
  <c r="G2247" i="13" s="1"/>
  <c r="G2256" i="13" s="1"/>
  <c r="G2265" i="13" s="1"/>
  <c r="G2274" i="13" s="1"/>
  <c r="G2283" i="13" s="1"/>
  <c r="G2292" i="13" s="1"/>
  <c r="G2301" i="13" s="1"/>
  <c r="G2310" i="13" s="1"/>
  <c r="G2319" i="13" s="1"/>
  <c r="G2328" i="13" s="1"/>
  <c r="G2337" i="13" s="1"/>
  <c r="G2346" i="13" s="1"/>
  <c r="G2355" i="13" s="1"/>
  <c r="G2364" i="13" s="1"/>
  <c r="G2373" i="13" s="1"/>
  <c r="G2382" i="13" s="1"/>
  <c r="G2391" i="13" s="1"/>
  <c r="G2400" i="13" s="1"/>
  <c r="G2409" i="13" s="1"/>
  <c r="G2418" i="13" s="1"/>
  <c r="G2427" i="13" s="1"/>
  <c r="G2436" i="13" s="1"/>
  <c r="G2445" i="13" s="1"/>
  <c r="G2454" i="13" s="1"/>
  <c r="G2463" i="13" s="1"/>
  <c r="G2472" i="13" s="1"/>
  <c r="G2481" i="13" s="1"/>
  <c r="G2490" i="13" s="1"/>
  <c r="G2499" i="13" s="1"/>
  <c r="G2508" i="13" s="1"/>
  <c r="G2517" i="13" s="1"/>
  <c r="G2526" i="13" s="1"/>
  <c r="G2535" i="13" s="1"/>
  <c r="G2544" i="13" s="1"/>
  <c r="G2553" i="13" s="1"/>
  <c r="G2562" i="13" s="1"/>
  <c r="G2571" i="13" s="1"/>
  <c r="G2580" i="13" s="1"/>
  <c r="G2589" i="13" s="1"/>
  <c r="G2157" i="13"/>
  <c r="AG423" i="1"/>
  <c r="H22" i="16"/>
  <c r="G3098" i="13"/>
  <c r="G3134" i="13" s="1"/>
  <c r="AG424" i="1"/>
  <c r="AG420" i="1"/>
  <c r="S1131" i="12"/>
  <c r="S1134" i="12" s="1"/>
  <c r="Z202" i="15"/>
  <c r="J1154" i="12"/>
  <c r="V188" i="15" s="1"/>
  <c r="J1151" i="12"/>
  <c r="AC410" i="1" s="1"/>
  <c r="Z198" i="15"/>
  <c r="H1149" i="12"/>
  <c r="H1131" i="12"/>
  <c r="H1134" i="12" s="1"/>
  <c r="N1131" i="12"/>
  <c r="N1134" i="12" s="1"/>
  <c r="R1131" i="12"/>
  <c r="R1134" i="12" s="1"/>
  <c r="I1131" i="12"/>
  <c r="I1134" i="12" s="1"/>
  <c r="M1131" i="12"/>
  <c r="M1134" i="12" s="1"/>
  <c r="Q1131" i="12"/>
  <c r="Q1134" i="12" s="1"/>
  <c r="F1131" i="12"/>
  <c r="F1134" i="12" s="1"/>
  <c r="O1131" i="12"/>
  <c r="O1134" i="12" s="1"/>
  <c r="K1131" i="12"/>
  <c r="K1134" i="12" s="1"/>
  <c r="J1131" i="12"/>
  <c r="J1134" i="12" s="1"/>
  <c r="G1131" i="12"/>
  <c r="G1134" i="12" s="1"/>
  <c r="E1131" i="12"/>
  <c r="E1134" i="12" s="1"/>
  <c r="D1762" i="14"/>
  <c r="D1789" i="14" s="1"/>
  <c r="D1861" i="14" s="1"/>
  <c r="D1654" i="14"/>
  <c r="D1131" i="12"/>
  <c r="D1134" i="12" s="1"/>
  <c r="D1650" i="14"/>
  <c r="G3197" i="13"/>
  <c r="G3242" i="13" s="1"/>
  <c r="G3323" i="13" s="1"/>
  <c r="G3368" i="13" s="1"/>
  <c r="G3413" i="13" s="1"/>
  <c r="G3458" i="13" s="1"/>
  <c r="G3503" i="13" s="1"/>
  <c r="G3602" i="13"/>
  <c r="G3611" i="13" s="1"/>
  <c r="G3620" i="13" s="1"/>
  <c r="G3629" i="13" s="1"/>
  <c r="G3206" i="13"/>
  <c r="J1150" i="12"/>
  <c r="AC396" i="1" s="1"/>
  <c r="J1153" i="12"/>
  <c r="V174" i="15" s="1"/>
  <c r="B1150" i="12" l="1"/>
  <c r="AC382" i="1"/>
  <c r="D808" i="14"/>
  <c r="D880" i="14" s="1"/>
  <c r="D1843" i="14"/>
  <c r="D1969" i="14" s="1"/>
  <c r="D1771" i="14"/>
  <c r="D1798" i="14" s="1"/>
  <c r="D826" i="14"/>
  <c r="D898" i="14" s="1"/>
  <c r="D1231" i="14"/>
  <c r="D1766" i="14"/>
  <c r="D1847" i="14" s="1"/>
  <c r="D1640" i="14"/>
  <c r="D1758" i="14"/>
  <c r="D1785" i="14" s="1"/>
  <c r="D1857" i="14" s="1"/>
  <c r="D1641" i="14"/>
  <c r="D1840" i="14"/>
  <c r="D1984" i="14" s="1"/>
  <c r="D1642" i="14"/>
  <c r="D1761" i="14"/>
  <c r="D1788" i="14" s="1"/>
  <c r="D1860" i="14" s="1"/>
  <c r="D1644" i="14"/>
  <c r="D1760" i="14"/>
  <c r="D1787" i="14" s="1"/>
  <c r="D1859" i="14" s="1"/>
  <c r="D1643" i="14"/>
  <c r="D804" i="14"/>
  <c r="D876" i="14" s="1"/>
  <c r="D817" i="14"/>
  <c r="D889" i="14" s="1"/>
  <c r="D1839" i="14"/>
  <c r="D1983" i="14" s="1"/>
  <c r="D835" i="14"/>
  <c r="D907" i="14" s="1"/>
  <c r="D671" i="14"/>
  <c r="D592" i="14"/>
  <c r="D1249" i="14" s="1"/>
  <c r="D822" i="14"/>
  <c r="D894" i="14" s="1"/>
  <c r="D806" i="14"/>
  <c r="D878" i="14" s="1"/>
  <c r="D978" i="14"/>
  <c r="D579" i="14"/>
  <c r="D1236" i="14" s="1"/>
  <c r="D581" i="14"/>
  <c r="D1238" i="14" s="1"/>
  <c r="D824" i="14"/>
  <c r="D896" i="14" s="1"/>
  <c r="D994" i="14"/>
  <c r="D1318" i="14"/>
  <c r="D992" i="14"/>
  <c r="D1316" i="14"/>
  <c r="D993" i="14"/>
  <c r="D1317" i="14"/>
  <c r="D858" i="14"/>
  <c r="D1254" i="14"/>
  <c r="D582" i="14"/>
  <c r="D1239" i="14" s="1"/>
  <c r="D1230" i="14"/>
  <c r="D862" i="14"/>
  <c r="D1258" i="14"/>
  <c r="D857" i="14"/>
  <c r="D1253" i="14"/>
  <c r="D869" i="14"/>
  <c r="D1265" i="14"/>
  <c r="D821" i="14"/>
  <c r="D893" i="14" s="1"/>
  <c r="D1226" i="14"/>
  <c r="D996" i="14"/>
  <c r="D1320" i="14"/>
  <c r="D995" i="14"/>
  <c r="D1319" i="14"/>
  <c r="D997" i="14"/>
  <c r="D1321" i="14"/>
  <c r="D860" i="14"/>
  <c r="D1256" i="14"/>
  <c r="D1128" i="14"/>
  <c r="D975" i="14"/>
  <c r="G3215" i="13"/>
  <c r="G3296" i="13" s="1"/>
  <c r="G3341" i="13" s="1"/>
  <c r="G3386" i="13" s="1"/>
  <c r="G3431" i="13" s="1"/>
  <c r="G3476" i="13" s="1"/>
  <c r="G3521" i="13" s="1"/>
  <c r="G3593" i="13"/>
  <c r="D1649" i="14"/>
  <c r="D1775" i="14" s="1"/>
  <c r="D1757" i="14"/>
  <c r="D1784" i="14" s="1"/>
  <c r="D1856" i="14" s="1"/>
  <c r="D974" i="14"/>
  <c r="D1129" i="14"/>
  <c r="D578" i="14"/>
  <c r="D825" i="14"/>
  <c r="D897" i="14" s="1"/>
  <c r="D807" i="14"/>
  <c r="D879" i="14" s="1"/>
  <c r="G3278" i="13"/>
  <c r="G3036" i="13"/>
  <c r="G3585" i="13" s="1"/>
  <c r="G3576" i="13"/>
  <c r="G3170" i="13"/>
  <c r="G3224" i="13" s="1"/>
  <c r="G3305" i="13" s="1"/>
  <c r="G3350" i="13" s="1"/>
  <c r="G3395" i="13" s="1"/>
  <c r="G3440" i="13" s="1"/>
  <c r="G3485" i="13" s="1"/>
  <c r="G3530" i="13" s="1"/>
  <c r="G3566" i="13"/>
  <c r="G3039" i="13"/>
  <c r="G3588" i="13" s="1"/>
  <c r="G3579" i="13"/>
  <c r="G3038" i="13"/>
  <c r="G3587" i="13" s="1"/>
  <c r="G3578" i="13"/>
  <c r="G3043" i="13"/>
  <c r="G3592" i="13" s="1"/>
  <c r="G3583" i="13"/>
  <c r="G3040" i="13"/>
  <c r="G3589" i="13" s="1"/>
  <c r="G3580" i="13"/>
  <c r="G3042" i="13"/>
  <c r="G3591" i="13" s="1"/>
  <c r="G3582" i="13"/>
  <c r="G3041" i="13"/>
  <c r="G3590" i="13" s="1"/>
  <c r="G3581" i="13"/>
  <c r="G3037" i="13"/>
  <c r="G3586" i="13" s="1"/>
  <c r="G3577" i="13"/>
  <c r="D1838" i="14"/>
  <c r="D1964" i="14" s="1"/>
  <c r="D1127" i="14"/>
  <c r="D605" i="14"/>
  <c r="D803" i="14"/>
  <c r="D875" i="14" s="1"/>
  <c r="D668" i="14"/>
  <c r="D1433" i="14" s="1"/>
  <c r="D1842" i="14"/>
  <c r="D1968" i="14" s="1"/>
  <c r="D1770" i="14"/>
  <c r="D1851" i="14" s="1"/>
  <c r="D2004" i="14" s="1"/>
  <c r="D2094" i="14" s="1"/>
  <c r="D1653" i="14"/>
  <c r="D1779" i="14" s="1"/>
  <c r="D1769" i="14"/>
  <c r="D1850" i="14" s="1"/>
  <c r="D1652" i="14"/>
  <c r="D1661" i="14" s="1"/>
  <c r="N1155" i="12"/>
  <c r="N6" i="22"/>
  <c r="D724" i="22"/>
  <c r="D607" i="22"/>
  <c r="D679" i="22" s="1"/>
  <c r="D722" i="22"/>
  <c r="D605" i="22"/>
  <c r="D677" i="22" s="1"/>
  <c r="D726" i="22"/>
  <c r="D609" i="22"/>
  <c r="D681" i="22" s="1"/>
  <c r="D727" i="22"/>
  <c r="D610" i="22"/>
  <c r="D682" i="22" s="1"/>
  <c r="D729" i="22"/>
  <c r="D612" i="22"/>
  <c r="D684" i="22" s="1"/>
  <c r="D725" i="22"/>
  <c r="D608" i="22"/>
  <c r="D680" i="22" s="1"/>
  <c r="D730" i="22"/>
  <c r="D613" i="22"/>
  <c r="D685" i="22" s="1"/>
  <c r="D728" i="22"/>
  <c r="D611" i="22"/>
  <c r="D683" i="22" s="1"/>
  <c r="D723" i="22"/>
  <c r="D606" i="22"/>
  <c r="D678" i="22" s="1"/>
  <c r="D782" i="22"/>
  <c r="D647" i="22"/>
  <c r="D764" i="22" s="1"/>
  <c r="D779" i="22"/>
  <c r="D644" i="22"/>
  <c r="D761" i="22" s="1"/>
  <c r="D784" i="22"/>
  <c r="D649" i="22"/>
  <c r="D766" i="22" s="1"/>
  <c r="D777" i="22"/>
  <c r="D642" i="22"/>
  <c r="D759" i="22" s="1"/>
  <c r="D783" i="22"/>
  <c r="D648" i="22"/>
  <c r="D765" i="22" s="1"/>
  <c r="D778" i="22"/>
  <c r="D643" i="22"/>
  <c r="D760" i="22" s="1"/>
  <c r="D776" i="22"/>
  <c r="D641" i="22"/>
  <c r="D758" i="22" s="1"/>
  <c r="D780" i="22"/>
  <c r="D645" i="22"/>
  <c r="D762" i="22" s="1"/>
  <c r="D781" i="22"/>
  <c r="D646" i="22"/>
  <c r="D763" i="22" s="1"/>
  <c r="D976" i="14"/>
  <c r="D1132" i="14"/>
  <c r="D979" i="14"/>
  <c r="D977" i="14"/>
  <c r="D673" i="14"/>
  <c r="D1438" i="14" s="1"/>
  <c r="D669" i="14"/>
  <c r="D1434" i="14" s="1"/>
  <c r="D610" i="14"/>
  <c r="D667" i="14"/>
  <c r="D1540" i="14"/>
  <c r="D606" i="14"/>
  <c r="D1841" i="14"/>
  <c r="D1967" i="14" s="1"/>
  <c r="D1130" i="14"/>
  <c r="D575" i="14"/>
  <c r="D1538" i="14"/>
  <c r="D1548" i="14"/>
  <c r="D1557" i="14" s="1"/>
  <c r="D1566" i="14" s="1"/>
  <c r="D1575" i="14" s="1"/>
  <c r="D1584" i="14" s="1"/>
  <c r="D1593" i="14" s="1"/>
  <c r="D1602" i="14" s="1"/>
  <c r="D1611" i="14" s="1"/>
  <c r="D1620" i="14" s="1"/>
  <c r="D1629" i="14" s="1"/>
  <c r="D1638" i="14" s="1"/>
  <c r="D1539" i="14"/>
  <c r="D861" i="14"/>
  <c r="D672" i="14"/>
  <c r="D609" i="14"/>
  <c r="D1266" i="14" s="1"/>
  <c r="D666" i="14"/>
  <c r="D1547" i="14"/>
  <c r="D1556" i="14" s="1"/>
  <c r="D1565" i="14" s="1"/>
  <c r="D1574" i="14" s="1"/>
  <c r="D1583" i="14" s="1"/>
  <c r="D1592" i="14" s="1"/>
  <c r="D1601" i="14" s="1"/>
  <c r="D1610" i="14" s="1"/>
  <c r="D1619" i="14" s="1"/>
  <c r="D1628" i="14" s="1"/>
  <c r="D1637" i="14" s="1"/>
  <c r="D604" i="14"/>
  <c r="D577" i="14"/>
  <c r="D603" i="14"/>
  <c r="D602" i="14"/>
  <c r="D802" i="14"/>
  <c r="D800" i="14"/>
  <c r="D576" i="14"/>
  <c r="D801" i="14"/>
  <c r="D1549" i="14"/>
  <c r="D1558" i="14" s="1"/>
  <c r="D1567" i="14" s="1"/>
  <c r="D1576" i="14" s="1"/>
  <c r="D1585" i="14" s="1"/>
  <c r="D1594" i="14" s="1"/>
  <c r="D1603" i="14" s="1"/>
  <c r="D1612" i="14" s="1"/>
  <c r="D1621" i="14" s="1"/>
  <c r="D1630" i="14" s="1"/>
  <c r="D1639" i="14" s="1"/>
  <c r="D1768" i="14"/>
  <c r="D1849" i="14" s="1"/>
  <c r="D1975" i="14" s="1"/>
  <c r="D1651" i="14"/>
  <c r="D1759" i="14"/>
  <c r="D1786" i="14" s="1"/>
  <c r="D1858" i="14" s="1"/>
  <c r="D665" i="14"/>
  <c r="D859" i="14"/>
  <c r="D670" i="14"/>
  <c r="D607" i="14"/>
  <c r="D1264" i="14" s="1"/>
  <c r="D823" i="14"/>
  <c r="D895" i="14" s="1"/>
  <c r="D805" i="14"/>
  <c r="D877" i="14" s="1"/>
  <c r="D580" i="14"/>
  <c r="D1237" i="14" s="1"/>
  <c r="G3548" i="13"/>
  <c r="G3539" i="13"/>
  <c r="G3287" i="13"/>
  <c r="G3332" i="13" s="1"/>
  <c r="G3377" i="13" s="1"/>
  <c r="G3422" i="13" s="1"/>
  <c r="G3467" i="13" s="1"/>
  <c r="G3512" i="13" s="1"/>
  <c r="G3251" i="13"/>
  <c r="AC420" i="1"/>
  <c r="B1158" i="12"/>
  <c r="B1153" i="12"/>
  <c r="B1160" i="12"/>
  <c r="B1162" i="12"/>
  <c r="J1149" i="12"/>
  <c r="B1149" i="12"/>
  <c r="H1155" i="12"/>
  <c r="K1150" i="12" s="1"/>
  <c r="J1152" i="12"/>
  <c r="B1159" i="12"/>
  <c r="B1156" i="12"/>
  <c r="B1152" i="12"/>
  <c r="B1155" i="12"/>
  <c r="B1154" i="12"/>
  <c r="B1161" i="12"/>
  <c r="B1157" i="12"/>
  <c r="B1151" i="12"/>
  <c r="D1146" i="12"/>
  <c r="D1663" i="14"/>
  <c r="D1780" i="14"/>
  <c r="D1776" i="14"/>
  <c r="D1659" i="14"/>
  <c r="D1794" i="14"/>
  <c r="D1848" i="14"/>
  <c r="D617" i="14"/>
  <c r="D1274" i="14" s="1"/>
  <c r="D680" i="14"/>
  <c r="D1445" i="14" s="1"/>
  <c r="G3638" i="13"/>
  <c r="G3647" i="13" s="1"/>
  <c r="G3656" i="13" s="1"/>
  <c r="G3665" i="13" s="1"/>
  <c r="G3674" i="13" s="1"/>
  <c r="G3683" i="13" s="1"/>
  <c r="G3692" i="13" s="1"/>
  <c r="G3701" i="13" s="1"/>
  <c r="G3710" i="13" s="1"/>
  <c r="G3719" i="13" s="1"/>
  <c r="G3728" i="13" s="1"/>
  <c r="G3737" i="13" s="1"/>
  <c r="G3746" i="13" s="1"/>
  <c r="G3755" i="13" s="1"/>
  <c r="G3764" i="13" s="1"/>
  <c r="G3773" i="13"/>
  <c r="G3782" i="13" s="1"/>
  <c r="G3791" i="13" s="1"/>
  <c r="G3800" i="13" s="1"/>
  <c r="G3809" i="13" s="1"/>
  <c r="G3818" i="13" s="1"/>
  <c r="G3827" i="13" s="1"/>
  <c r="G3836" i="13" s="1"/>
  <c r="G3845" i="13" s="1"/>
  <c r="G3854" i="13" s="1"/>
  <c r="G3863" i="13" s="1"/>
  <c r="G3872" i="13" s="1"/>
  <c r="G3881" i="13" s="1"/>
  <c r="G3890" i="13" s="1"/>
  <c r="G3899" i="13" s="1"/>
  <c r="G3908" i="13" s="1"/>
  <c r="G3917" i="13" s="1"/>
  <c r="N5" i="22"/>
  <c r="N5" i="14"/>
  <c r="N7" i="14" s="1"/>
  <c r="D1996" i="14" l="1"/>
  <c r="D2086" i="14" s="1"/>
  <c r="D2104" i="14" s="1"/>
  <c r="D2149" i="14" s="1"/>
  <c r="D1987" i="14"/>
  <c r="D1793" i="14"/>
  <c r="D1883" i="14" s="1"/>
  <c r="D2009" i="14" s="1"/>
  <c r="D1852" i="14"/>
  <c r="D1978" i="14" s="1"/>
  <c r="D1181" i="14"/>
  <c r="D1327" i="14"/>
  <c r="D1435" i="14"/>
  <c r="D1329" i="14"/>
  <c r="D1437" i="14"/>
  <c r="D1004" i="14"/>
  <c r="D1436" i="14"/>
  <c r="D1966" i="14"/>
  <c r="D1993" i="14"/>
  <c r="D2083" i="14" s="1"/>
  <c r="D2101" i="14" s="1"/>
  <c r="D2110" i="14" s="1"/>
  <c r="D1337" i="14"/>
  <c r="D1328" i="14"/>
  <c r="D1335" i="14"/>
  <c r="D1326" i="14"/>
  <c r="D1339" i="14"/>
  <c r="D1330" i="14"/>
  <c r="D1334" i="14"/>
  <c r="D1325" i="14"/>
  <c r="D1656" i="14"/>
  <c r="D1665" i="14" s="1"/>
  <c r="D1647" i="14"/>
  <c r="D1846" i="14"/>
  <c r="D1990" i="14" s="1"/>
  <c r="D1648" i="14"/>
  <c r="D1763" i="14"/>
  <c r="D1790" i="14" s="1"/>
  <c r="D1862" i="14" s="1"/>
  <c r="D1646" i="14"/>
  <c r="D1992" i="14"/>
  <c r="D2082" i="14" s="1"/>
  <c r="D2100" i="14" s="1"/>
  <c r="D2145" i="14" s="1"/>
  <c r="D1965" i="14"/>
  <c r="D1139" i="14"/>
  <c r="D844" i="14"/>
  <c r="D853" i="14"/>
  <c r="D1184" i="14"/>
  <c r="D1346" i="14"/>
  <c r="D1345" i="14"/>
  <c r="D1336" i="14"/>
  <c r="D1347" i="14"/>
  <c r="D1338" i="14"/>
  <c r="D813" i="14"/>
  <c r="D885" i="14" s="1"/>
  <c r="D588" i="14"/>
  <c r="D1245" i="14" s="1"/>
  <c r="D831" i="14"/>
  <c r="D903" i="14" s="1"/>
  <c r="D1658" i="14"/>
  <c r="D1667" i="14" s="1"/>
  <c r="D833" i="14"/>
  <c r="D905" i="14" s="1"/>
  <c r="D815" i="14"/>
  <c r="D887" i="14" s="1"/>
  <c r="D590" i="14"/>
  <c r="D1247" i="14" s="1"/>
  <c r="D834" i="14"/>
  <c r="D906" i="14" s="1"/>
  <c r="D816" i="14"/>
  <c r="D888" i="14" s="1"/>
  <c r="D591" i="14"/>
  <c r="D1248" i="14" s="1"/>
  <c r="D1148" i="14"/>
  <c r="D1355" i="14"/>
  <c r="D1137" i="14"/>
  <c r="D1344" i="14"/>
  <c r="D1141" i="14"/>
  <c r="D1348" i="14"/>
  <c r="D1136" i="14"/>
  <c r="D1343" i="14"/>
  <c r="D586" i="14"/>
  <c r="D1243" i="14" s="1"/>
  <c r="D1234" i="14"/>
  <c r="D871" i="14"/>
  <c r="D1267" i="14"/>
  <c r="D865" i="14"/>
  <c r="D1261" i="14"/>
  <c r="D998" i="14"/>
  <c r="D1322" i="14"/>
  <c r="D827" i="14"/>
  <c r="D899" i="14" s="1"/>
  <c r="D1232" i="14"/>
  <c r="D585" i="14"/>
  <c r="D1242" i="14" s="1"/>
  <c r="D1233" i="14"/>
  <c r="D999" i="14"/>
  <c r="D1323" i="14"/>
  <c r="D867" i="14"/>
  <c r="D1263" i="14"/>
  <c r="D866" i="14"/>
  <c r="D1262" i="14"/>
  <c r="D830" i="14"/>
  <c r="D902" i="14" s="1"/>
  <c r="D1235" i="14"/>
  <c r="D863" i="14"/>
  <c r="D1259" i="14"/>
  <c r="D864" i="14"/>
  <c r="D1260" i="14"/>
  <c r="D1000" i="14"/>
  <c r="D1324" i="14"/>
  <c r="D812" i="14"/>
  <c r="D884" i="14" s="1"/>
  <c r="D587" i="14"/>
  <c r="G3260" i="13"/>
  <c r="D677" i="14"/>
  <c r="D1442" i="14" s="1"/>
  <c r="D1995" i="14"/>
  <c r="D2085" i="14" s="1"/>
  <c r="D2103" i="14" s="1"/>
  <c r="D2112" i="14" s="1"/>
  <c r="D2121" i="14" s="1"/>
  <c r="D614" i="14"/>
  <c r="D615" i="14"/>
  <c r="G3269" i="13"/>
  <c r="D1001" i="14"/>
  <c r="G3608" i="13"/>
  <c r="G3617" i="13" s="1"/>
  <c r="G3626" i="13" s="1"/>
  <c r="G3635" i="13" s="1"/>
  <c r="G3050" i="13"/>
  <c r="G3047" i="13"/>
  <c r="G3605" i="13"/>
  <c r="G3614" i="13" s="1"/>
  <c r="G3623" i="13" s="1"/>
  <c r="G3632" i="13" s="1"/>
  <c r="D1991" i="14"/>
  <c r="D2081" i="14" s="1"/>
  <c r="D2099" i="14" s="1"/>
  <c r="D2144" i="14" s="1"/>
  <c r="D1982" i="14"/>
  <c r="G3609" i="13"/>
  <c r="G3618" i="13" s="1"/>
  <c r="G3627" i="13" s="1"/>
  <c r="G3636" i="13" s="1"/>
  <c r="G3051" i="13"/>
  <c r="G3048" i="13"/>
  <c r="G3606" i="13"/>
  <c r="G3615" i="13" s="1"/>
  <c r="G3624" i="13" s="1"/>
  <c r="G3633" i="13" s="1"/>
  <c r="G3049" i="13"/>
  <c r="G3607" i="13"/>
  <c r="G3616" i="13" s="1"/>
  <c r="G3625" i="13" s="1"/>
  <c r="G3634" i="13" s="1"/>
  <c r="G3046" i="13"/>
  <c r="G3604" i="13"/>
  <c r="G3613" i="13" s="1"/>
  <c r="G3622" i="13" s="1"/>
  <c r="G3631" i="13" s="1"/>
  <c r="G3610" i="13"/>
  <c r="G3619" i="13" s="1"/>
  <c r="G3628" i="13" s="1"/>
  <c r="G3637" i="13" s="1"/>
  <c r="G3052" i="13"/>
  <c r="G3045" i="13"/>
  <c r="G3603" i="13"/>
  <c r="G3612" i="13" s="1"/>
  <c r="G3621" i="13" s="1"/>
  <c r="G3630" i="13" s="1"/>
  <c r="D2067" i="14"/>
  <c r="D1977" i="14"/>
  <c r="D1797" i="14"/>
  <c r="D1896" i="14" s="1"/>
  <c r="D2022" i="14" s="1"/>
  <c r="D1778" i="14"/>
  <c r="N7" i="22"/>
  <c r="D1986" i="14"/>
  <c r="D682" i="14"/>
  <c r="D1447" i="14" s="1"/>
  <c r="D1662" i="14"/>
  <c r="D1671" i="14" s="1"/>
  <c r="D1743" i="14" s="1"/>
  <c r="D678" i="14"/>
  <c r="D1443" i="14" s="1"/>
  <c r="D1006" i="14"/>
  <c r="D613" i="14"/>
  <c r="D1796" i="14"/>
  <c r="D1805" i="14" s="1"/>
  <c r="D1135" i="14"/>
  <c r="D982" i="14"/>
  <c r="D1994" i="14"/>
  <c r="D2084" i="14" s="1"/>
  <c r="D2102" i="14" s="1"/>
  <c r="D2147" i="14" s="1"/>
  <c r="D1772" i="14"/>
  <c r="D1853" i="14" s="1"/>
  <c r="D1985" i="14"/>
  <c r="D1845" i="14"/>
  <c r="D1998" i="14" s="1"/>
  <c r="D2088" i="14" s="1"/>
  <c r="D2106" i="14" s="1"/>
  <c r="D1655" i="14"/>
  <c r="D1664" i="14" s="1"/>
  <c r="D676" i="14"/>
  <c r="D1441" i="14" s="1"/>
  <c r="D809" i="14"/>
  <c r="D881" i="14" s="1"/>
  <c r="D1002" i="14"/>
  <c r="D584" i="14"/>
  <c r="D1182" i="14"/>
  <c r="D1186" i="14"/>
  <c r="D1844" i="14"/>
  <c r="D1988" i="14" s="1"/>
  <c r="D811" i="14"/>
  <c r="D883" i="14" s="1"/>
  <c r="D1774" i="14"/>
  <c r="D1801" i="14" s="1"/>
  <c r="D1773" i="14"/>
  <c r="D1800" i="14" s="1"/>
  <c r="D870" i="14"/>
  <c r="D618" i="14"/>
  <c r="D1275" i="14" s="1"/>
  <c r="D681" i="14"/>
  <c r="D1140" i="14"/>
  <c r="D1185" i="14"/>
  <c r="D1005" i="14"/>
  <c r="D1134" i="14"/>
  <c r="D619" i="14"/>
  <c r="D829" i="14"/>
  <c r="D901" i="14" s="1"/>
  <c r="D981" i="14"/>
  <c r="D1764" i="14"/>
  <c r="D1791" i="14" s="1"/>
  <c r="D1863" i="14" s="1"/>
  <c r="D810" i="14"/>
  <c r="D882" i="14" s="1"/>
  <c r="D611" i="14"/>
  <c r="D675" i="14"/>
  <c r="D674" i="14"/>
  <c r="D1439" i="14" s="1"/>
  <c r="D612" i="14"/>
  <c r="D1657" i="14"/>
  <c r="D1666" i="14" s="1"/>
  <c r="D1765" i="14"/>
  <c r="D1792" i="14" s="1"/>
  <c r="D1864" i="14" s="1"/>
  <c r="D828" i="14"/>
  <c r="D900" i="14" s="1"/>
  <c r="D2065" i="14"/>
  <c r="D1133" i="14"/>
  <c r="D980" i="14"/>
  <c r="D1795" i="14"/>
  <c r="D1948" i="14" s="1"/>
  <c r="D2047" i="14" s="1"/>
  <c r="D2002" i="14"/>
  <c r="D2092" i="14" s="1"/>
  <c r="D1777" i="14"/>
  <c r="D1660" i="14"/>
  <c r="D2146" i="14"/>
  <c r="D832" i="14"/>
  <c r="D904" i="14" s="1"/>
  <c r="D589" i="14"/>
  <c r="D1246" i="14" s="1"/>
  <c r="D814" i="14"/>
  <c r="D886" i="14" s="1"/>
  <c r="D868" i="14"/>
  <c r="D679" i="14"/>
  <c r="D616" i="14"/>
  <c r="D1273" i="14" s="1"/>
  <c r="D1138" i="14"/>
  <c r="D1183" i="14"/>
  <c r="D1003" i="14"/>
  <c r="D1193" i="14"/>
  <c r="D1013" i="14"/>
  <c r="G3989" i="13"/>
  <c r="G3998" i="13" s="1"/>
  <c r="G4007" i="13" s="1"/>
  <c r="G4016" i="13" s="1"/>
  <c r="G4025" i="13" s="1"/>
  <c r="G4034" i="13" s="1"/>
  <c r="G4043" i="13" s="1"/>
  <c r="G4052" i="13" s="1"/>
  <c r="G4061" i="13" s="1"/>
  <c r="G4070" i="13" s="1"/>
  <c r="G4079" i="13" s="1"/>
  <c r="G4088" i="13" s="1"/>
  <c r="G4097" i="13" s="1"/>
  <c r="G4106" i="13" s="1"/>
  <c r="G4115" i="13" s="1"/>
  <c r="G4124" i="13" s="1"/>
  <c r="G4133" i="13" s="1"/>
  <c r="G4142" i="13" s="1"/>
  <c r="G4151" i="13" s="1"/>
  <c r="G4160" i="13" s="1"/>
  <c r="G4169" i="13" s="1"/>
  <c r="G4178" i="13" s="1"/>
  <c r="G4187" i="13" s="1"/>
  <c r="G4196" i="13" s="1"/>
  <c r="G4205" i="13" s="1"/>
  <c r="G4403" i="13" s="1"/>
  <c r="G4412" i="13" s="1"/>
  <c r="G4421" i="13" s="1"/>
  <c r="G4430" i="13" s="1"/>
  <c r="G4439" i="13" s="1"/>
  <c r="G4448" i="13" s="1"/>
  <c r="G4457" i="13" s="1"/>
  <c r="G4466" i="13" s="1"/>
  <c r="G4475" i="13" s="1"/>
  <c r="G4484" i="13" s="1"/>
  <c r="G4493" i="13" s="1"/>
  <c r="G4502" i="13" s="1"/>
  <c r="G4511" i="13" s="1"/>
  <c r="G4520" i="13" s="1"/>
  <c r="G4529" i="13" s="1"/>
  <c r="G4538" i="13" s="1"/>
  <c r="G4547" i="13" s="1"/>
  <c r="G4556" i="13" s="1"/>
  <c r="G4565" i="13" s="1"/>
  <c r="G4574" i="13" s="1"/>
  <c r="G4583" i="13" s="1"/>
  <c r="G4592" i="13" s="1"/>
  <c r="G4601" i="13" s="1"/>
  <c r="G4610" i="13" s="1"/>
  <c r="G4619" i="13" s="1"/>
  <c r="G4628" i="13" s="1"/>
  <c r="G4637" i="13" s="1"/>
  <c r="G4646" i="13" s="1"/>
  <c r="G4655" i="13" s="1"/>
  <c r="G4664" i="13" s="1"/>
  <c r="G4673" i="13" s="1"/>
  <c r="G4682" i="13" s="1"/>
  <c r="G4691" i="13" s="1"/>
  <c r="G4700" i="13" s="1"/>
  <c r="G4709" i="13" s="1"/>
  <c r="G4718" i="13" s="1"/>
  <c r="G4727" i="13" s="1"/>
  <c r="G4745" i="13" s="1"/>
  <c r="G4763" i="13" s="1"/>
  <c r="G3926" i="13"/>
  <c r="G3935" i="13" s="1"/>
  <c r="G3944" i="13" s="1"/>
  <c r="G3953" i="13" s="1"/>
  <c r="G3962" i="13" s="1"/>
  <c r="G3971" i="13" s="1"/>
  <c r="G3980" i="13" s="1"/>
  <c r="K1151" i="12"/>
  <c r="K1154" i="12"/>
  <c r="K1153" i="12"/>
  <c r="K1152" i="12"/>
  <c r="K1149" i="12"/>
  <c r="B1163" i="12"/>
  <c r="AC419" i="1" s="1"/>
  <c r="D1999" i="14"/>
  <c r="D2089" i="14" s="1"/>
  <c r="D2107" i="14" s="1"/>
  <c r="D1888" i="14"/>
  <c r="D2014" i="14" s="1"/>
  <c r="D1879" i="14"/>
  <c r="D1897" i="14"/>
  <c r="D1807" i="14"/>
  <c r="D1870" i="14"/>
  <c r="D1951" i="14"/>
  <c r="D2050" i="14" s="1"/>
  <c r="D1672" i="14"/>
  <c r="D1753" i="14"/>
  <c r="D2068" i="14"/>
  <c r="D1749" i="14"/>
  <c r="D1668" i="14"/>
  <c r="D1946" i="14"/>
  <c r="D2045" i="14" s="1"/>
  <c r="D1865" i="14"/>
  <c r="D2063" i="14"/>
  <c r="D2000" i="14"/>
  <c r="D2090" i="14" s="1"/>
  <c r="D1973" i="14"/>
  <c r="D1974" i="14"/>
  <c r="D2001" i="14"/>
  <c r="D2091" i="14" s="1"/>
  <c r="D2064" i="14"/>
  <c r="D689" i="14"/>
  <c r="D1499" i="14" s="1"/>
  <c r="D635" i="14"/>
  <c r="D644" i="14"/>
  <c r="D1301" i="14" s="1"/>
  <c r="D626" i="14"/>
  <c r="D1283" i="14" s="1"/>
  <c r="D1893" i="14"/>
  <c r="D1803" i="14"/>
  <c r="D1947" i="14"/>
  <c r="D2046" i="14" s="1"/>
  <c r="D1875" i="14"/>
  <c r="D1866" i="14"/>
  <c r="D1884" i="14"/>
  <c r="D2010" i="14" s="1"/>
  <c r="D1751" i="14"/>
  <c r="D1670" i="14"/>
  <c r="D2066" i="14"/>
  <c r="D1976" i="14"/>
  <c r="D2003" i="14"/>
  <c r="D2093" i="14" s="1"/>
  <c r="D2005" i="14" l="1"/>
  <c r="D2095" i="14" s="1"/>
  <c r="D2113" i="14"/>
  <c r="D2122" i="14" s="1"/>
  <c r="D1802" i="14"/>
  <c r="D1901" i="14" s="1"/>
  <c r="D2027" i="14" s="1"/>
  <c r="D1892" i="14"/>
  <c r="D1874" i="14"/>
  <c r="D1364" i="14"/>
  <c r="D1454" i="14"/>
  <c r="D1356" i="14"/>
  <c r="D1446" i="14"/>
  <c r="D1354" i="14"/>
  <c r="D1444" i="14"/>
  <c r="D1188" i="14"/>
  <c r="D1440" i="14"/>
  <c r="D1972" i="14"/>
  <c r="D1782" i="14"/>
  <c r="D2109" i="14"/>
  <c r="D2136" i="14" s="1"/>
  <c r="D1340" i="14"/>
  <c r="D1331" i="14"/>
  <c r="D1342" i="14"/>
  <c r="D1333" i="14"/>
  <c r="D1341" i="14"/>
  <c r="D1332" i="14"/>
  <c r="D842" i="14"/>
  <c r="D840" i="14"/>
  <c r="D849" i="14"/>
  <c r="D851" i="14"/>
  <c r="D1748" i="14"/>
  <c r="D820" i="14"/>
  <c r="D892" i="14" s="1"/>
  <c r="D838" i="14"/>
  <c r="D910" i="14" s="1"/>
  <c r="D594" i="14"/>
  <c r="D1251" i="14" s="1"/>
  <c r="D595" i="14"/>
  <c r="D1252" i="14" s="1"/>
  <c r="D837" i="14"/>
  <c r="D909" i="14" s="1"/>
  <c r="D819" i="14"/>
  <c r="D891" i="14" s="1"/>
  <c r="D852" i="14"/>
  <c r="D1143" i="14"/>
  <c r="D1350" i="14"/>
  <c r="D843" i="14"/>
  <c r="D1146" i="14"/>
  <c r="D1353" i="14"/>
  <c r="D1145" i="14"/>
  <c r="D1352" i="14"/>
  <c r="D1150" i="14"/>
  <c r="D1357" i="14"/>
  <c r="D1157" i="14"/>
  <c r="D1472" i="14"/>
  <c r="D1144" i="14"/>
  <c r="D1351" i="14"/>
  <c r="D1142" i="14"/>
  <c r="D1349" i="14"/>
  <c r="D874" i="14"/>
  <c r="D1270" i="14"/>
  <c r="D641" i="14"/>
  <c r="D1298" i="14" s="1"/>
  <c r="D1271" i="14"/>
  <c r="D872" i="14"/>
  <c r="D1268" i="14"/>
  <c r="D818" i="14"/>
  <c r="D890" i="14" s="1"/>
  <c r="D1241" i="14"/>
  <c r="D848" i="14"/>
  <c r="D1244" i="14"/>
  <c r="D923" i="14"/>
  <c r="D1292" i="14"/>
  <c r="D873" i="14"/>
  <c r="D1269" i="14"/>
  <c r="D646" i="14"/>
  <c r="D1303" i="14" s="1"/>
  <c r="D1276" i="14"/>
  <c r="D633" i="14"/>
  <c r="D1272" i="14"/>
  <c r="D839" i="14"/>
  <c r="D686" i="14"/>
  <c r="D1496" i="14" s="1"/>
  <c r="G3055" i="13"/>
  <c r="G3073" i="13" s="1"/>
  <c r="G3091" i="13" s="1"/>
  <c r="G3595" i="13"/>
  <c r="D642" i="14"/>
  <c r="D939" i="14" s="1"/>
  <c r="G3058" i="13"/>
  <c r="G3076" i="13" s="1"/>
  <c r="G3094" i="13" s="1"/>
  <c r="G3598" i="13"/>
  <c r="G3056" i="13"/>
  <c r="G3065" i="13" s="1"/>
  <c r="G3083" i="13" s="1"/>
  <c r="G3596" i="13"/>
  <c r="G3059" i="13"/>
  <c r="G3068" i="13" s="1"/>
  <c r="G3086" i="13" s="1"/>
  <c r="G3599" i="13"/>
  <c r="G3054" i="13"/>
  <c r="G3072" i="13" s="1"/>
  <c r="G3090" i="13" s="1"/>
  <c r="G3594" i="13"/>
  <c r="G3057" i="13"/>
  <c r="G3066" i="13" s="1"/>
  <c r="G3084" i="13" s="1"/>
  <c r="G3597" i="13"/>
  <c r="G3061" i="13"/>
  <c r="G3070" i="13" s="1"/>
  <c r="G3088" i="13" s="1"/>
  <c r="G3601" i="13"/>
  <c r="G3060" i="13"/>
  <c r="G3078" i="13" s="1"/>
  <c r="G3096" i="13" s="1"/>
  <c r="G3600" i="13"/>
  <c r="D624" i="14"/>
  <c r="D2148" i="14"/>
  <c r="D2256" i="14" s="1"/>
  <c r="D2076" i="14"/>
  <c r="D1010" i="14"/>
  <c r="D1190" i="14"/>
  <c r="D2139" i="14"/>
  <c r="D2238" i="14" s="1"/>
  <c r="D2157" i="14"/>
  <c r="D2202" i="14" s="1"/>
  <c r="D2108" i="14"/>
  <c r="D2117" i="14" s="1"/>
  <c r="D836" i="14"/>
  <c r="D908" i="14" s="1"/>
  <c r="D1950" i="14"/>
  <c r="D2049" i="14" s="1"/>
  <c r="D687" i="14"/>
  <c r="D1497" i="14" s="1"/>
  <c r="D1971" i="14"/>
  <c r="D1752" i="14"/>
  <c r="D632" i="14"/>
  <c r="D623" i="14"/>
  <c r="D1869" i="14"/>
  <c r="D685" i="14"/>
  <c r="D1450" i="14" s="1"/>
  <c r="G3643" i="13"/>
  <c r="G3652" i="13" s="1"/>
  <c r="G3661" i="13" s="1"/>
  <c r="G3670" i="13" s="1"/>
  <c r="G3679" i="13" s="1"/>
  <c r="G3688" i="13" s="1"/>
  <c r="G3697" i="13" s="1"/>
  <c r="G3706" i="13" s="1"/>
  <c r="G3715" i="13" s="1"/>
  <c r="G3724" i="13" s="1"/>
  <c r="G3733" i="13" s="1"/>
  <c r="G3742" i="13" s="1"/>
  <c r="G3751" i="13" s="1"/>
  <c r="G3760" i="13" s="1"/>
  <c r="G3769" i="13" s="1"/>
  <c r="G3778" i="13"/>
  <c r="G3787" i="13" s="1"/>
  <c r="G3796" i="13" s="1"/>
  <c r="G3805" i="13" s="1"/>
  <c r="G3814" i="13" s="1"/>
  <c r="G3823" i="13" s="1"/>
  <c r="G3832" i="13" s="1"/>
  <c r="G3841" i="13" s="1"/>
  <c r="G3850" i="13" s="1"/>
  <c r="G3859" i="13" s="1"/>
  <c r="G3868" i="13" s="1"/>
  <c r="G3877" i="13" s="1"/>
  <c r="G3886" i="13" s="1"/>
  <c r="G3895" i="13" s="1"/>
  <c r="G3904" i="13" s="1"/>
  <c r="G3913" i="13" s="1"/>
  <c r="G3922" i="13" s="1"/>
  <c r="G3776" i="13"/>
  <c r="G3785" i="13" s="1"/>
  <c r="G3794" i="13" s="1"/>
  <c r="G3803" i="13" s="1"/>
  <c r="G3812" i="13" s="1"/>
  <c r="G3821" i="13" s="1"/>
  <c r="G3830" i="13" s="1"/>
  <c r="G3839" i="13" s="1"/>
  <c r="G3848" i="13" s="1"/>
  <c r="G3857" i="13" s="1"/>
  <c r="G3866" i="13" s="1"/>
  <c r="G3875" i="13" s="1"/>
  <c r="G3884" i="13" s="1"/>
  <c r="G3893" i="13" s="1"/>
  <c r="G3902" i="13" s="1"/>
  <c r="G3911" i="13" s="1"/>
  <c r="G3920" i="13" s="1"/>
  <c r="G3641" i="13"/>
  <c r="G3650" i="13" s="1"/>
  <c r="G3659" i="13" s="1"/>
  <c r="G3668" i="13" s="1"/>
  <c r="G3677" i="13" s="1"/>
  <c r="G3686" i="13" s="1"/>
  <c r="G3695" i="13" s="1"/>
  <c r="G3704" i="13" s="1"/>
  <c r="G3713" i="13" s="1"/>
  <c r="G3722" i="13" s="1"/>
  <c r="G3731" i="13" s="1"/>
  <c r="G3740" i="13" s="1"/>
  <c r="G3749" i="13" s="1"/>
  <c r="G3758" i="13" s="1"/>
  <c r="G3767" i="13" s="1"/>
  <c r="G3640" i="13"/>
  <c r="G3649" i="13" s="1"/>
  <c r="G3658" i="13" s="1"/>
  <c r="G3667" i="13" s="1"/>
  <c r="G3676" i="13" s="1"/>
  <c r="G3685" i="13" s="1"/>
  <c r="G3694" i="13" s="1"/>
  <c r="G3703" i="13" s="1"/>
  <c r="G3712" i="13" s="1"/>
  <c r="G3721" i="13" s="1"/>
  <c r="G3730" i="13" s="1"/>
  <c r="G3739" i="13" s="1"/>
  <c r="G3748" i="13" s="1"/>
  <c r="G3757" i="13" s="1"/>
  <c r="G3766" i="13" s="1"/>
  <c r="G3775" i="13"/>
  <c r="G3784" i="13" s="1"/>
  <c r="G3793" i="13" s="1"/>
  <c r="G3802" i="13" s="1"/>
  <c r="G3811" i="13" s="1"/>
  <c r="G3820" i="13" s="1"/>
  <c r="G3829" i="13" s="1"/>
  <c r="G3838" i="13" s="1"/>
  <c r="G3847" i="13" s="1"/>
  <c r="G3856" i="13" s="1"/>
  <c r="G3865" i="13" s="1"/>
  <c r="G3874" i="13" s="1"/>
  <c r="G3883" i="13" s="1"/>
  <c r="G3892" i="13" s="1"/>
  <c r="G3901" i="13" s="1"/>
  <c r="G3910" i="13" s="1"/>
  <c r="G3919" i="13" s="1"/>
  <c r="D1887" i="14"/>
  <c r="D2013" i="14" s="1"/>
  <c r="G3774" i="13"/>
  <c r="G3783" i="13" s="1"/>
  <c r="G3792" i="13" s="1"/>
  <c r="G3801" i="13" s="1"/>
  <c r="G3810" i="13" s="1"/>
  <c r="G3819" i="13" s="1"/>
  <c r="G3828" i="13" s="1"/>
  <c r="G3837" i="13" s="1"/>
  <c r="G3846" i="13" s="1"/>
  <c r="G3855" i="13" s="1"/>
  <c r="G3864" i="13" s="1"/>
  <c r="G3873" i="13" s="1"/>
  <c r="G3882" i="13" s="1"/>
  <c r="G3891" i="13" s="1"/>
  <c r="G3900" i="13" s="1"/>
  <c r="G3909" i="13" s="1"/>
  <c r="G3918" i="13" s="1"/>
  <c r="G3639" i="13"/>
  <c r="G3648" i="13" s="1"/>
  <c r="G3657" i="13" s="1"/>
  <c r="G3666" i="13" s="1"/>
  <c r="G3675" i="13" s="1"/>
  <c r="G3684" i="13" s="1"/>
  <c r="G3693" i="13" s="1"/>
  <c r="G3702" i="13" s="1"/>
  <c r="G3711" i="13" s="1"/>
  <c r="G3720" i="13" s="1"/>
  <c r="G3729" i="13" s="1"/>
  <c r="G3738" i="13" s="1"/>
  <c r="G3747" i="13" s="1"/>
  <c r="G3756" i="13" s="1"/>
  <c r="G3765" i="13" s="1"/>
  <c r="G3642" i="13"/>
  <c r="G3651" i="13" s="1"/>
  <c r="G3660" i="13" s="1"/>
  <c r="G3669" i="13" s="1"/>
  <c r="G3678" i="13" s="1"/>
  <c r="G3687" i="13" s="1"/>
  <c r="G3696" i="13" s="1"/>
  <c r="G3705" i="13" s="1"/>
  <c r="G3714" i="13" s="1"/>
  <c r="G3723" i="13" s="1"/>
  <c r="G3732" i="13" s="1"/>
  <c r="G3741" i="13" s="1"/>
  <c r="G3750" i="13" s="1"/>
  <c r="G3759" i="13" s="1"/>
  <c r="G3768" i="13" s="1"/>
  <c r="G3777" i="13"/>
  <c r="G3786" i="13" s="1"/>
  <c r="G3795" i="13" s="1"/>
  <c r="G3804" i="13" s="1"/>
  <c r="G3813" i="13" s="1"/>
  <c r="G3822" i="13" s="1"/>
  <c r="G3831" i="13" s="1"/>
  <c r="G3840" i="13" s="1"/>
  <c r="G3849" i="13" s="1"/>
  <c r="G3858" i="13" s="1"/>
  <c r="G3867" i="13" s="1"/>
  <c r="G3876" i="13" s="1"/>
  <c r="G3885" i="13" s="1"/>
  <c r="G3894" i="13" s="1"/>
  <c r="G3903" i="13" s="1"/>
  <c r="G3912" i="13" s="1"/>
  <c r="G3921" i="13" s="1"/>
  <c r="D1878" i="14"/>
  <c r="G3779" i="13"/>
  <c r="G3788" i="13" s="1"/>
  <c r="G3797" i="13" s="1"/>
  <c r="G3806" i="13" s="1"/>
  <c r="G3815" i="13" s="1"/>
  <c r="G3824" i="13" s="1"/>
  <c r="G3833" i="13" s="1"/>
  <c r="G3842" i="13" s="1"/>
  <c r="G3851" i="13" s="1"/>
  <c r="G3860" i="13" s="1"/>
  <c r="G3869" i="13" s="1"/>
  <c r="G3878" i="13" s="1"/>
  <c r="G3887" i="13" s="1"/>
  <c r="G3896" i="13" s="1"/>
  <c r="G3905" i="13" s="1"/>
  <c r="G3914" i="13" s="1"/>
  <c r="G3923" i="13" s="1"/>
  <c r="G3644" i="13"/>
  <c r="G3653" i="13" s="1"/>
  <c r="G3662" i="13" s="1"/>
  <c r="G3671" i="13" s="1"/>
  <c r="G3680" i="13" s="1"/>
  <c r="G3689" i="13" s="1"/>
  <c r="G3698" i="13" s="1"/>
  <c r="G3707" i="13" s="1"/>
  <c r="G3716" i="13" s="1"/>
  <c r="G3725" i="13" s="1"/>
  <c r="G3734" i="13" s="1"/>
  <c r="G3743" i="13" s="1"/>
  <c r="G3752" i="13" s="1"/>
  <c r="G3761" i="13" s="1"/>
  <c r="G3770" i="13" s="1"/>
  <c r="D1806" i="14"/>
  <c r="D1905" i="14" s="1"/>
  <c r="D2031" i="14" s="1"/>
  <c r="G3781" i="13"/>
  <c r="G3790" i="13" s="1"/>
  <c r="G3799" i="13" s="1"/>
  <c r="G3808" i="13" s="1"/>
  <c r="G3817" i="13" s="1"/>
  <c r="G3826" i="13" s="1"/>
  <c r="G3835" i="13" s="1"/>
  <c r="G3844" i="13" s="1"/>
  <c r="G3853" i="13" s="1"/>
  <c r="G3862" i="13" s="1"/>
  <c r="G3871" i="13" s="1"/>
  <c r="G3880" i="13" s="1"/>
  <c r="G3889" i="13" s="1"/>
  <c r="G3898" i="13" s="1"/>
  <c r="G3907" i="13" s="1"/>
  <c r="G3916" i="13" s="1"/>
  <c r="G3925" i="13" s="1"/>
  <c r="G3646" i="13"/>
  <c r="G3655" i="13" s="1"/>
  <c r="G3664" i="13" s="1"/>
  <c r="G3673" i="13" s="1"/>
  <c r="G3682" i="13" s="1"/>
  <c r="G3691" i="13" s="1"/>
  <c r="G3700" i="13" s="1"/>
  <c r="G3709" i="13" s="1"/>
  <c r="G3718" i="13" s="1"/>
  <c r="G3727" i="13" s="1"/>
  <c r="G3736" i="13" s="1"/>
  <c r="G3745" i="13" s="1"/>
  <c r="G3754" i="13" s="1"/>
  <c r="G3763" i="13" s="1"/>
  <c r="G3772" i="13" s="1"/>
  <c r="G3780" i="13"/>
  <c r="G3789" i="13" s="1"/>
  <c r="G3798" i="13" s="1"/>
  <c r="G3807" i="13" s="1"/>
  <c r="G3816" i="13" s="1"/>
  <c r="G3825" i="13" s="1"/>
  <c r="G3834" i="13" s="1"/>
  <c r="G3843" i="13" s="1"/>
  <c r="G3852" i="13" s="1"/>
  <c r="G3861" i="13" s="1"/>
  <c r="G3870" i="13" s="1"/>
  <c r="G3879" i="13" s="1"/>
  <c r="G3888" i="13" s="1"/>
  <c r="G3897" i="13" s="1"/>
  <c r="G3906" i="13" s="1"/>
  <c r="G3915" i="13" s="1"/>
  <c r="G3924" i="13" s="1"/>
  <c r="G3645" i="13"/>
  <c r="G3654" i="13" s="1"/>
  <c r="G3663" i="13" s="1"/>
  <c r="G3672" i="13" s="1"/>
  <c r="G3681" i="13" s="1"/>
  <c r="G3690" i="13" s="1"/>
  <c r="G3699" i="13" s="1"/>
  <c r="G3708" i="13" s="1"/>
  <c r="G3717" i="13" s="1"/>
  <c r="G3726" i="13" s="1"/>
  <c r="G3735" i="13" s="1"/>
  <c r="G3744" i="13" s="1"/>
  <c r="G3753" i="13" s="1"/>
  <c r="G3762" i="13" s="1"/>
  <c r="G3771" i="13" s="1"/>
  <c r="D1015" i="14"/>
  <c r="D1680" i="14"/>
  <c r="D1689" i="14" s="1"/>
  <c r="D1698" i="14" s="1"/>
  <c r="D1707" i="14" s="1"/>
  <c r="D1716" i="14" s="1"/>
  <c r="D1725" i="14" s="1"/>
  <c r="D1734" i="14" s="1"/>
  <c r="D622" i="14"/>
  <c r="D1949" i="14"/>
  <c r="D2048" i="14" s="1"/>
  <c r="D1868" i="14"/>
  <c r="D1877" i="14"/>
  <c r="D2111" i="14"/>
  <c r="D2156" i="14" s="1"/>
  <c r="D1195" i="14"/>
  <c r="D1011" i="14"/>
  <c r="D593" i="14"/>
  <c r="D1854" i="14"/>
  <c r="D2007" i="14" s="1"/>
  <c r="D2097" i="14" s="1"/>
  <c r="D1989" i="14"/>
  <c r="D1191" i="14"/>
  <c r="D1799" i="14"/>
  <c r="D1952" i="14" s="1"/>
  <c r="D2051" i="14" s="1"/>
  <c r="D1189" i="14"/>
  <c r="D1009" i="14"/>
  <c r="D1895" i="14"/>
  <c r="D2075" i="14" s="1"/>
  <c r="D1886" i="14"/>
  <c r="D2012" i="14" s="1"/>
  <c r="D628" i="14"/>
  <c r="D691" i="14"/>
  <c r="D1501" i="14" s="1"/>
  <c r="D684" i="14"/>
  <c r="D1449" i="14" s="1"/>
  <c r="D620" i="14"/>
  <c r="D1781" i="14"/>
  <c r="D1855" i="14"/>
  <c r="D1981" i="14" s="1"/>
  <c r="D637" i="14"/>
  <c r="D1997" i="14"/>
  <c r="D2087" i="14" s="1"/>
  <c r="D2105" i="14" s="1"/>
  <c r="D2114" i="14" s="1"/>
  <c r="D1970" i="14"/>
  <c r="D1783" i="14"/>
  <c r="D1008" i="14"/>
  <c r="D1149" i="14"/>
  <c r="D1194" i="14"/>
  <c r="D1014" i="14"/>
  <c r="D636" i="14"/>
  <c r="D645" i="14"/>
  <c r="D1302" i="14" s="1"/>
  <c r="D627" i="14"/>
  <c r="D1284" i="14" s="1"/>
  <c r="D690" i="14"/>
  <c r="D1187" i="14"/>
  <c r="D683" i="14"/>
  <c r="D1448" i="14" s="1"/>
  <c r="D621" i="14"/>
  <c r="D1007" i="14"/>
  <c r="D1867" i="14"/>
  <c r="D1804" i="14"/>
  <c r="D1903" i="14" s="1"/>
  <c r="D2029" i="14" s="1"/>
  <c r="D1885" i="14"/>
  <c r="D2011" i="14" s="1"/>
  <c r="D1894" i="14"/>
  <c r="D1876" i="14"/>
  <c r="D2119" i="14"/>
  <c r="D2137" i="14"/>
  <c r="D2155" i="14"/>
  <c r="D2272" i="14"/>
  <c r="D2308" i="14"/>
  <c r="D2191" i="14"/>
  <c r="D2182" i="14"/>
  <c r="D2245" i="14"/>
  <c r="D2254" i="14"/>
  <c r="D1750" i="14"/>
  <c r="D1669" i="14"/>
  <c r="D688" i="14"/>
  <c r="D625" i="14"/>
  <c r="D1282" i="14" s="1"/>
  <c r="D643" i="14"/>
  <c r="D1300" i="14" s="1"/>
  <c r="D634" i="14"/>
  <c r="D1147" i="14"/>
  <c r="D1192" i="14"/>
  <c r="D1012" i="14"/>
  <c r="D850" i="14"/>
  <c r="D841" i="14"/>
  <c r="D707" i="14"/>
  <c r="D1391" i="14" s="1"/>
  <c r="D1022" i="14"/>
  <c r="G4214" i="13"/>
  <c r="G4223" i="13" s="1"/>
  <c r="G4286" i="13"/>
  <c r="G4376" i="13" s="1"/>
  <c r="V160" i="15"/>
  <c r="V197" i="15" s="1"/>
  <c r="D941" i="14"/>
  <c r="D932" i="14"/>
  <c r="D1739" i="14"/>
  <c r="D1676" i="14"/>
  <c r="D1685" i="14" s="1"/>
  <c r="D1694" i="14" s="1"/>
  <c r="D1703" i="14" s="1"/>
  <c r="D1712" i="14" s="1"/>
  <c r="D1721" i="14" s="1"/>
  <c r="D1730" i="14" s="1"/>
  <c r="D1740" i="14"/>
  <c r="D1677" i="14"/>
  <c r="D1686" i="14" s="1"/>
  <c r="D1695" i="14" s="1"/>
  <c r="D1704" i="14" s="1"/>
  <c r="D1713" i="14" s="1"/>
  <c r="D1722" i="14" s="1"/>
  <c r="D1731" i="14" s="1"/>
  <c r="D1742" i="14"/>
  <c r="D1679" i="14"/>
  <c r="D1688" i="14" s="1"/>
  <c r="D1697" i="14" s="1"/>
  <c r="D1706" i="14" s="1"/>
  <c r="D1715" i="14" s="1"/>
  <c r="D1724" i="14" s="1"/>
  <c r="D1733" i="14" s="1"/>
  <c r="D1744" i="14"/>
  <c r="D1681" i="14"/>
  <c r="D1690" i="14" s="1"/>
  <c r="D1699" i="14" s="1"/>
  <c r="D1708" i="14" s="1"/>
  <c r="D1717" i="14" s="1"/>
  <c r="D1726" i="14" s="1"/>
  <c r="D1735" i="14" s="1"/>
  <c r="D653" i="14"/>
  <c r="D959" i="14"/>
  <c r="D698" i="14"/>
  <c r="D1463" i="14" s="1"/>
  <c r="D914" i="14"/>
  <c r="Q4" i="13"/>
  <c r="Q6" i="13" s="1"/>
  <c r="N5" i="24"/>
  <c r="N7" i="24" s="1"/>
  <c r="D1755" i="14"/>
  <c r="D1674" i="14"/>
  <c r="D2152" i="14"/>
  <c r="D2116" i="14"/>
  <c r="D1873" i="14"/>
  <c r="D1900" i="14"/>
  <c r="D1882" i="14"/>
  <c r="D1954" i="14"/>
  <c r="D2053" i="14" s="1"/>
  <c r="D1891" i="14"/>
  <c r="D2017" i="14" s="1"/>
  <c r="D1810" i="14"/>
  <c r="D1756" i="14"/>
  <c r="D1675" i="14"/>
  <c r="D1872" i="14"/>
  <c r="D1881" i="14"/>
  <c r="D1809" i="14"/>
  <c r="D1899" i="14"/>
  <c r="D1890" i="14"/>
  <c r="D2016" i="14" s="1"/>
  <c r="D1953" i="14"/>
  <c r="D2052" i="14" s="1"/>
  <c r="D2115" i="14"/>
  <c r="D2151" i="14"/>
  <c r="D1754" i="14"/>
  <c r="D1673" i="14"/>
  <c r="D1979" i="14"/>
  <c r="D2006" i="14"/>
  <c r="D2096" i="14" s="1"/>
  <c r="D2069" i="14"/>
  <c r="D2140" i="14"/>
  <c r="D2158" i="14"/>
  <c r="D1906" i="14"/>
  <c r="D2032" i="14" s="1"/>
  <c r="D1816" i="14"/>
  <c r="D1960" i="14"/>
  <c r="D2059" i="14" s="1"/>
  <c r="D2194" i="14"/>
  <c r="D2185" i="14"/>
  <c r="D2257" i="14"/>
  <c r="D2311" i="14"/>
  <c r="D2248" i="14"/>
  <c r="D2275" i="14"/>
  <c r="D2023" i="14"/>
  <c r="D2077" i="14"/>
  <c r="D1902" i="14"/>
  <c r="D2028" i="14" s="1"/>
  <c r="D1812" i="14"/>
  <c r="D1956" i="14"/>
  <c r="D2055" i="14" s="1"/>
  <c r="D1955" i="14"/>
  <c r="D2054" i="14" s="1"/>
  <c r="D2252" i="14"/>
  <c r="D2189" i="14"/>
  <c r="D2306" i="14"/>
  <c r="D2243" i="14"/>
  <c r="D2180" i="14"/>
  <c r="D2270" i="14"/>
  <c r="D2073" i="14"/>
  <c r="D2019" i="14"/>
  <c r="D2072" i="14"/>
  <c r="D2018" i="14"/>
  <c r="D2181" i="14"/>
  <c r="D2244" i="14"/>
  <c r="D2253" i="14"/>
  <c r="D2190" i="14"/>
  <c r="D2271" i="14"/>
  <c r="D2307" i="14"/>
  <c r="G4781" i="13"/>
  <c r="G4790" i="13" s="1"/>
  <c r="G4799" i="13" s="1"/>
  <c r="G4808" i="13" s="1"/>
  <c r="G4817" i="13" s="1"/>
  <c r="G4826" i="13" s="1"/>
  <c r="G4835" i="13" s="1"/>
  <c r="G4844" i="13" s="1"/>
  <c r="G4853" i="13" s="1"/>
  <c r="G4862" i="13" s="1"/>
  <c r="G4871" i="13" s="1"/>
  <c r="G4880" i="13" s="1"/>
  <c r="G4889" i="13" s="1"/>
  <c r="G4898" i="13" s="1"/>
  <c r="G4907" i="13" s="1"/>
  <c r="G4916" i="13" s="1"/>
  <c r="G4925" i="13" s="1"/>
  <c r="G4934" i="13" s="1"/>
  <c r="G4943" i="13" s="1"/>
  <c r="G4952" i="13" s="1"/>
  <c r="G4961" i="13" s="1"/>
  <c r="G4970" i="13" s="1"/>
  <c r="G4979" i="13" s="1"/>
  <c r="G4988" i="13" s="1"/>
  <c r="G4997" i="13" s="1"/>
  <c r="G5006" i="13" s="1"/>
  <c r="G5015" i="13" s="1"/>
  <c r="G5024" i="13" s="1"/>
  <c r="G5033" i="13" s="1"/>
  <c r="G5042" i="13" s="1"/>
  <c r="G5051" i="13" s="1"/>
  <c r="G5060" i="13" s="1"/>
  <c r="G5069" i="13" s="1"/>
  <c r="G5078" i="13" s="1"/>
  <c r="G5087" i="13" s="1"/>
  <c r="G5096" i="13" s="1"/>
  <c r="G5105" i="13" s="1"/>
  <c r="G5114" i="13" s="1"/>
  <c r="G5123" i="13" s="1"/>
  <c r="G5132" i="13" s="1"/>
  <c r="G5141" i="13" s="1"/>
  <c r="G5150" i="13" s="1"/>
  <c r="G5159" i="13" s="1"/>
  <c r="G5168" i="13" s="1"/>
  <c r="G5177" i="13" s="1"/>
  <c r="G5186" i="13" s="1"/>
  <c r="G5195" i="13" s="1"/>
  <c r="G5204" i="13" s="1"/>
  <c r="G5213" i="13" s="1"/>
  <c r="G5222" i="13" s="1"/>
  <c r="G5231" i="13" s="1"/>
  <c r="G5240" i="13" s="1"/>
  <c r="G5249" i="13" s="1"/>
  <c r="G5258" i="13" s="1"/>
  <c r="G5267" i="13" s="1"/>
  <c r="G5276" i="13" s="1"/>
  <c r="G5285" i="13" s="1"/>
  <c r="G5294" i="13" s="1"/>
  <c r="G5303" i="13" s="1"/>
  <c r="G5312" i="13" s="1"/>
  <c r="G5321" i="13" s="1"/>
  <c r="G5330" i="13" s="1"/>
  <c r="G5339" i="13" s="1"/>
  <c r="G5348" i="13" s="1"/>
  <c r="G5357" i="13" s="1"/>
  <c r="G5366" i="13" s="1"/>
  <c r="G5375" i="13" s="1"/>
  <c r="G5384" i="13" s="1"/>
  <c r="G5393" i="13" s="1"/>
  <c r="G5402" i="13" s="1"/>
  <c r="G5411" i="13" s="1"/>
  <c r="G5420" i="13" s="1"/>
  <c r="G5429" i="13" s="1"/>
  <c r="G5438" i="13" s="1"/>
  <c r="G5447" i="13" s="1"/>
  <c r="G5456" i="13" s="1"/>
  <c r="G5465" i="13" s="1"/>
  <c r="G5474" i="13" s="1"/>
  <c r="G5483" i="13" s="1"/>
  <c r="G5492" i="13" s="1"/>
  <c r="G5501" i="13" s="1"/>
  <c r="G5510" i="13" s="1"/>
  <c r="G5519" i="13" s="1"/>
  <c r="G5528" i="13" s="1"/>
  <c r="G5537" i="13" s="1"/>
  <c r="G5546" i="13" s="1"/>
  <c r="G5555" i="13" s="1"/>
  <c r="G5564" i="13" s="1"/>
  <c r="G5573" i="13" s="1"/>
  <c r="G5582" i="13" s="1"/>
  <c r="G5591" i="13" s="1"/>
  <c r="G5600" i="13" s="1"/>
  <c r="G5609" i="13" s="1"/>
  <c r="G5618" i="13" s="1"/>
  <c r="G5627" i="13" s="1"/>
  <c r="G5636" i="13" s="1"/>
  <c r="G5645" i="13" s="1"/>
  <c r="G5654" i="13" s="1"/>
  <c r="G5663" i="13" s="1"/>
  <c r="G5672" i="13" s="1"/>
  <c r="G5681" i="13" s="1"/>
  <c r="G5690" i="13" s="1"/>
  <c r="G5699" i="13" s="1"/>
  <c r="G5708" i="13" s="1"/>
  <c r="G5717" i="13" s="1"/>
  <c r="G5726" i="13" s="1"/>
  <c r="G5735" i="13" s="1"/>
  <c r="G5744" i="13" s="1"/>
  <c r="G4736" i="13"/>
  <c r="G4754" i="13" s="1"/>
  <c r="G4772" i="13" s="1"/>
  <c r="D1958" i="14"/>
  <c r="D2057" i="14" s="1"/>
  <c r="D1814" i="14"/>
  <c r="D1904" i="14"/>
  <c r="D2030" i="14" s="1"/>
  <c r="D2130" i="14"/>
  <c r="D2229" i="14" s="1"/>
  <c r="D2166" i="14"/>
  <c r="D2220" i="14"/>
  <c r="D2255" i="14"/>
  <c r="D2183" i="14"/>
  <c r="D2309" i="14"/>
  <c r="D2273" i="14"/>
  <c r="D2192" i="14"/>
  <c r="D2246" i="14"/>
  <c r="D1811" i="14" l="1"/>
  <c r="Q248" i="1"/>
  <c r="Q231" i="1"/>
  <c r="D1453" i="14"/>
  <c r="D1498" i="14"/>
  <c r="D1455" i="14"/>
  <c r="D1500" i="14"/>
  <c r="D1361" i="14"/>
  <c r="D1451" i="14"/>
  <c r="D1362" i="14"/>
  <c r="D1452" i="14"/>
  <c r="D1366" i="14"/>
  <c r="D1456" i="14"/>
  <c r="Q98" i="1"/>
  <c r="Q111" i="1"/>
  <c r="D2154" i="14"/>
  <c r="D2298" i="14" s="1"/>
  <c r="D2118" i="14"/>
  <c r="D2217" i="14" s="1"/>
  <c r="Q247" i="1"/>
  <c r="Q97" i="1"/>
  <c r="Q103" i="1"/>
  <c r="Q246" i="1"/>
  <c r="D1481" i="14"/>
  <c r="D1373" i="14"/>
  <c r="Q109" i="1"/>
  <c r="Q110" i="1"/>
  <c r="Q156" i="1"/>
  <c r="Q120" i="1"/>
  <c r="Q170" i="1"/>
  <c r="D1409" i="14"/>
  <c r="D1400" i="14"/>
  <c r="Q251" i="1"/>
  <c r="Q250" i="1"/>
  <c r="Q232" i="1"/>
  <c r="Q272" i="1"/>
  <c r="D1517" i="14"/>
  <c r="D1490" i="14"/>
  <c r="J79" i="15"/>
  <c r="J80" i="15"/>
  <c r="Q169" i="1"/>
  <c r="J108" i="15"/>
  <c r="D1508" i="14"/>
  <c r="D1382" i="14"/>
  <c r="D855" i="14"/>
  <c r="Q54" i="1"/>
  <c r="Q55" i="1"/>
  <c r="D847" i="14"/>
  <c r="Q121" i="1"/>
  <c r="Q122" i="1"/>
  <c r="Q118" i="1"/>
  <c r="Q119" i="1"/>
  <c r="D846" i="14"/>
  <c r="Q81" i="1"/>
  <c r="Q132" i="1"/>
  <c r="Q56" i="1"/>
  <c r="Q312" i="1"/>
  <c r="D956" i="14"/>
  <c r="D938" i="14"/>
  <c r="D929" i="14"/>
  <c r="D856" i="14"/>
  <c r="D650" i="14"/>
  <c r="D947" i="14" s="1"/>
  <c r="Q237" i="1"/>
  <c r="Q53" i="1"/>
  <c r="D1473" i="14"/>
  <c r="D1365" i="14"/>
  <c r="D1471" i="14"/>
  <c r="D1363" i="14"/>
  <c r="Q82" i="1"/>
  <c r="Q83" i="1"/>
  <c r="Q274" i="1"/>
  <c r="Q127" i="1"/>
  <c r="D655" i="14"/>
  <c r="D970" i="14" s="1"/>
  <c r="D934" i="14"/>
  <c r="D943" i="14"/>
  <c r="Q244" i="1"/>
  <c r="Q245" i="1"/>
  <c r="Q252" i="1"/>
  <c r="Q243" i="1"/>
  <c r="D1155" i="14"/>
  <c r="D1470" i="14"/>
  <c r="D1151" i="14"/>
  <c r="D1358" i="14"/>
  <c r="D1152" i="14"/>
  <c r="D1359" i="14"/>
  <c r="D1153" i="14"/>
  <c r="D1360" i="14"/>
  <c r="D961" i="14"/>
  <c r="D1159" i="14"/>
  <c r="D1474" i="14"/>
  <c r="D1154" i="14"/>
  <c r="D1469" i="14"/>
  <c r="D950" i="14"/>
  <c r="D1310" i="14"/>
  <c r="D639" i="14"/>
  <c r="D1278" i="14"/>
  <c r="D692" i="14"/>
  <c r="D1277" i="14"/>
  <c r="D930" i="14"/>
  <c r="D1299" i="14"/>
  <c r="D912" i="14"/>
  <c r="D1281" i="14"/>
  <c r="D922" i="14"/>
  <c r="D1291" i="14"/>
  <c r="D700" i="14"/>
  <c r="D1465" i="14" s="1"/>
  <c r="D1285" i="14"/>
  <c r="D631" i="14"/>
  <c r="D1288" i="14" s="1"/>
  <c r="D1279" i="14"/>
  <c r="D695" i="14"/>
  <c r="D1460" i="14" s="1"/>
  <c r="D1280" i="14"/>
  <c r="D854" i="14"/>
  <c r="D1250" i="14"/>
  <c r="D920" i="14"/>
  <c r="D1289" i="14"/>
  <c r="D924" i="14"/>
  <c r="D1293" i="14"/>
  <c r="D925" i="14"/>
  <c r="D1294" i="14"/>
  <c r="D921" i="14"/>
  <c r="D1290" i="14"/>
  <c r="Q117" i="1"/>
  <c r="Q108" i="1"/>
  <c r="D957" i="14"/>
  <c r="D704" i="14"/>
  <c r="Q235" i="1"/>
  <c r="Q107" i="1"/>
  <c r="Q147" i="1"/>
  <c r="Q146" i="1"/>
  <c r="D651" i="14"/>
  <c r="D1019" i="14"/>
  <c r="G3063" i="13"/>
  <c r="G3081" i="13" s="1"/>
  <c r="G3099" i="13" s="1"/>
  <c r="G3135" i="13" s="1"/>
  <c r="G3171" i="13" s="1"/>
  <c r="G3225" i="13" s="1"/>
  <c r="G3075" i="13"/>
  <c r="G3093" i="13" s="1"/>
  <c r="G3129" i="13" s="1"/>
  <c r="G3165" i="13" s="1"/>
  <c r="G3219" i="13" s="1"/>
  <c r="G3067" i="13"/>
  <c r="G3085" i="13" s="1"/>
  <c r="G3121" i="13" s="1"/>
  <c r="G3157" i="13" s="1"/>
  <c r="G3193" i="13" s="1"/>
  <c r="G3069" i="13"/>
  <c r="G3087" i="13" s="1"/>
  <c r="G3105" i="13" s="1"/>
  <c r="G3141" i="13" s="1"/>
  <c r="G3177" i="13" s="1"/>
  <c r="G3231" i="13" s="1"/>
  <c r="G3074" i="13"/>
  <c r="G3092" i="13" s="1"/>
  <c r="G3128" i="13" s="1"/>
  <c r="G3164" i="13" s="1"/>
  <c r="G3218" i="13" s="1"/>
  <c r="G3079" i="13"/>
  <c r="G3097" i="13" s="1"/>
  <c r="G3133" i="13" s="1"/>
  <c r="G3169" i="13" s="1"/>
  <c r="G3223" i="13" s="1"/>
  <c r="G3064" i="13"/>
  <c r="G3082" i="13" s="1"/>
  <c r="G3118" i="13" s="1"/>
  <c r="G3154" i="13" s="1"/>
  <c r="G3190" i="13" s="1"/>
  <c r="G3077" i="13"/>
  <c r="G3095" i="13" s="1"/>
  <c r="G3131" i="13" s="1"/>
  <c r="G3167" i="13" s="1"/>
  <c r="G3221" i="13" s="1"/>
  <c r="D2153" i="14"/>
  <c r="D2279" i="14" s="1"/>
  <c r="D2135" i="14"/>
  <c r="D2171" i="14" s="1"/>
  <c r="D696" i="14"/>
  <c r="D1461" i="14" s="1"/>
  <c r="D2193" i="14"/>
  <c r="D2184" i="14"/>
  <c r="D2175" i="14"/>
  <c r="D2247" i="14"/>
  <c r="D2310" i="14"/>
  <c r="D911" i="14"/>
  <c r="D2301" i="14"/>
  <c r="D2265" i="14"/>
  <c r="D640" i="14"/>
  <c r="D649" i="14"/>
  <c r="D694" i="14"/>
  <c r="D1504" i="14" s="1"/>
  <c r="D2292" i="14"/>
  <c r="D2274" i="14"/>
  <c r="D2283" i="14"/>
  <c r="D2211" i="14"/>
  <c r="D1980" i="14"/>
  <c r="D2070" i="14"/>
  <c r="D1020" i="14"/>
  <c r="D705" i="14"/>
  <c r="Q65" i="1"/>
  <c r="D845" i="14"/>
  <c r="Q96" i="1"/>
  <c r="D1018" i="14"/>
  <c r="D1198" i="14"/>
  <c r="G3102" i="13"/>
  <c r="G3138" i="13" s="1"/>
  <c r="G3174" i="13" s="1"/>
  <c r="G3228" i="13" s="1"/>
  <c r="G3120" i="13"/>
  <c r="G3156" i="13" s="1"/>
  <c r="G3192" i="13" s="1"/>
  <c r="G3119" i="13"/>
  <c r="G3155" i="13" s="1"/>
  <c r="G3191" i="13" s="1"/>
  <c r="G3101" i="13"/>
  <c r="G3137" i="13" s="1"/>
  <c r="G3173" i="13" s="1"/>
  <c r="G3227" i="13" s="1"/>
  <c r="G3990" i="13"/>
  <c r="G3999" i="13" s="1"/>
  <c r="G4008" i="13" s="1"/>
  <c r="G4017" i="13" s="1"/>
  <c r="G4026" i="13" s="1"/>
  <c r="G4035" i="13" s="1"/>
  <c r="G4044" i="13" s="1"/>
  <c r="G4053" i="13" s="1"/>
  <c r="G4062" i="13" s="1"/>
  <c r="G4071" i="13" s="1"/>
  <c r="G4080" i="13" s="1"/>
  <c r="G4089" i="13" s="1"/>
  <c r="G4098" i="13" s="1"/>
  <c r="G4107" i="13" s="1"/>
  <c r="G4116" i="13" s="1"/>
  <c r="G4125" i="13" s="1"/>
  <c r="G4134" i="13" s="1"/>
  <c r="G4143" i="13" s="1"/>
  <c r="G4152" i="13" s="1"/>
  <c r="G4161" i="13" s="1"/>
  <c r="G4170" i="13" s="1"/>
  <c r="G4179" i="13" s="1"/>
  <c r="G4188" i="13" s="1"/>
  <c r="G4197" i="13" s="1"/>
  <c r="G4206" i="13" s="1"/>
  <c r="G3927" i="13"/>
  <c r="G3936" i="13" s="1"/>
  <c r="G3945" i="13" s="1"/>
  <c r="G3954" i="13" s="1"/>
  <c r="G3963" i="13" s="1"/>
  <c r="G3972" i="13" s="1"/>
  <c r="G3981" i="13" s="1"/>
  <c r="G3114" i="13"/>
  <c r="G3150" i="13" s="1"/>
  <c r="G3186" i="13" s="1"/>
  <c r="G3240" i="13" s="1"/>
  <c r="G3132" i="13"/>
  <c r="G3168" i="13" s="1"/>
  <c r="G3222" i="13" s="1"/>
  <c r="G3108" i="13"/>
  <c r="G3144" i="13" s="1"/>
  <c r="G3180" i="13" s="1"/>
  <c r="G3234" i="13" s="1"/>
  <c r="G3126" i="13"/>
  <c r="G3162" i="13" s="1"/>
  <c r="G3216" i="13" s="1"/>
  <c r="G3112" i="13"/>
  <c r="G3148" i="13" s="1"/>
  <c r="G3184" i="13" s="1"/>
  <c r="G3238" i="13" s="1"/>
  <c r="G3130" i="13"/>
  <c r="G3166" i="13" s="1"/>
  <c r="G3220" i="13" s="1"/>
  <c r="D1959" i="14"/>
  <c r="D2058" i="14" s="1"/>
  <c r="D1197" i="14"/>
  <c r="D1815" i="14"/>
  <c r="D1824" i="14" s="1"/>
  <c r="D1833" i="14" s="1"/>
  <c r="D1932" i="14" s="1"/>
  <c r="G3124" i="13"/>
  <c r="G3160" i="13" s="1"/>
  <c r="G3196" i="13" s="1"/>
  <c r="G3106" i="13"/>
  <c r="G3142" i="13" s="1"/>
  <c r="G3178" i="13" s="1"/>
  <c r="G3232" i="13" s="1"/>
  <c r="G3127" i="13"/>
  <c r="G3163" i="13" s="1"/>
  <c r="G3217" i="13" s="1"/>
  <c r="G3109" i="13"/>
  <c r="G3145" i="13" s="1"/>
  <c r="G3181" i="13" s="1"/>
  <c r="G3235" i="13" s="1"/>
  <c r="G3992" i="13"/>
  <c r="G4001" i="13" s="1"/>
  <c r="G4010" i="13" s="1"/>
  <c r="G4019" i="13" s="1"/>
  <c r="G4028" i="13" s="1"/>
  <c r="G4037" i="13" s="1"/>
  <c r="G4046" i="13" s="1"/>
  <c r="G4055" i="13" s="1"/>
  <c r="G4064" i="13" s="1"/>
  <c r="G4073" i="13" s="1"/>
  <c r="G4082" i="13" s="1"/>
  <c r="G4091" i="13" s="1"/>
  <c r="G4100" i="13" s="1"/>
  <c r="G4109" i="13" s="1"/>
  <c r="G4118" i="13" s="1"/>
  <c r="G4127" i="13" s="1"/>
  <c r="G4136" i="13" s="1"/>
  <c r="G4145" i="13" s="1"/>
  <c r="G4154" i="13" s="1"/>
  <c r="G4163" i="13" s="1"/>
  <c r="G4172" i="13" s="1"/>
  <c r="G4181" i="13" s="1"/>
  <c r="G4190" i="13" s="1"/>
  <c r="G4199" i="13" s="1"/>
  <c r="G4208" i="13" s="1"/>
  <c r="G3929" i="13"/>
  <c r="G3938" i="13" s="1"/>
  <c r="G3947" i="13" s="1"/>
  <c r="G3956" i="13" s="1"/>
  <c r="G3965" i="13" s="1"/>
  <c r="G3974" i="13" s="1"/>
  <c r="G3983" i="13" s="1"/>
  <c r="G3996" i="13"/>
  <c r="G4005" i="13" s="1"/>
  <c r="G4014" i="13" s="1"/>
  <c r="G4023" i="13" s="1"/>
  <c r="G4032" i="13" s="1"/>
  <c r="G4041" i="13" s="1"/>
  <c r="G4050" i="13" s="1"/>
  <c r="G4059" i="13" s="1"/>
  <c r="G4068" i="13" s="1"/>
  <c r="G4077" i="13" s="1"/>
  <c r="G4086" i="13" s="1"/>
  <c r="G4095" i="13" s="1"/>
  <c r="G4104" i="13" s="1"/>
  <c r="G4113" i="13" s="1"/>
  <c r="G4122" i="13" s="1"/>
  <c r="G4131" i="13" s="1"/>
  <c r="G4140" i="13" s="1"/>
  <c r="G4149" i="13" s="1"/>
  <c r="G4158" i="13" s="1"/>
  <c r="G4167" i="13" s="1"/>
  <c r="G4176" i="13" s="1"/>
  <c r="G4185" i="13" s="1"/>
  <c r="G4194" i="13" s="1"/>
  <c r="G4203" i="13" s="1"/>
  <c r="G4212" i="13" s="1"/>
  <c r="G3933" i="13"/>
  <c r="G3942" i="13" s="1"/>
  <c r="G3951" i="13" s="1"/>
  <c r="G3960" i="13" s="1"/>
  <c r="G3969" i="13" s="1"/>
  <c r="G3978" i="13" s="1"/>
  <c r="G3987" i="13" s="1"/>
  <c r="G3104" i="13"/>
  <c r="G3140" i="13" s="1"/>
  <c r="G3176" i="13" s="1"/>
  <c r="G3230" i="13" s="1"/>
  <c r="G3122" i="13"/>
  <c r="G3158" i="13" s="1"/>
  <c r="G3194" i="13" s="1"/>
  <c r="G3928" i="13"/>
  <c r="G3937" i="13" s="1"/>
  <c r="G3946" i="13" s="1"/>
  <c r="G3955" i="13" s="1"/>
  <c r="G3964" i="13" s="1"/>
  <c r="G3973" i="13" s="1"/>
  <c r="G3982" i="13" s="1"/>
  <c r="G3991" i="13"/>
  <c r="G4000" i="13" s="1"/>
  <c r="G4009" i="13" s="1"/>
  <c r="G4018" i="13" s="1"/>
  <c r="G4027" i="13" s="1"/>
  <c r="G4036" i="13" s="1"/>
  <c r="G4045" i="13" s="1"/>
  <c r="G4054" i="13" s="1"/>
  <c r="G4063" i="13" s="1"/>
  <c r="G4072" i="13" s="1"/>
  <c r="G4081" i="13" s="1"/>
  <c r="G4090" i="13" s="1"/>
  <c r="G4099" i="13" s="1"/>
  <c r="G4108" i="13" s="1"/>
  <c r="G4117" i="13" s="1"/>
  <c r="G4126" i="13" s="1"/>
  <c r="G4135" i="13" s="1"/>
  <c r="G4144" i="13" s="1"/>
  <c r="G4153" i="13" s="1"/>
  <c r="G4162" i="13" s="1"/>
  <c r="G4171" i="13" s="1"/>
  <c r="G4180" i="13" s="1"/>
  <c r="G4189" i="13" s="1"/>
  <c r="G4198" i="13" s="1"/>
  <c r="G4207" i="13" s="1"/>
  <c r="G3994" i="13"/>
  <c r="G4003" i="13" s="1"/>
  <c r="G4012" i="13" s="1"/>
  <c r="G4021" i="13" s="1"/>
  <c r="G4030" i="13" s="1"/>
  <c r="G4039" i="13" s="1"/>
  <c r="G4048" i="13" s="1"/>
  <c r="G4057" i="13" s="1"/>
  <c r="G4066" i="13" s="1"/>
  <c r="G4075" i="13" s="1"/>
  <c r="G4084" i="13" s="1"/>
  <c r="G4093" i="13" s="1"/>
  <c r="G4102" i="13" s="1"/>
  <c r="G4111" i="13" s="1"/>
  <c r="G4120" i="13" s="1"/>
  <c r="G4129" i="13" s="1"/>
  <c r="G4138" i="13" s="1"/>
  <c r="G4147" i="13" s="1"/>
  <c r="G4156" i="13" s="1"/>
  <c r="G4165" i="13" s="1"/>
  <c r="G4174" i="13" s="1"/>
  <c r="G4183" i="13" s="1"/>
  <c r="G4192" i="13" s="1"/>
  <c r="G4201" i="13" s="1"/>
  <c r="G4210" i="13" s="1"/>
  <c r="G3931" i="13"/>
  <c r="G3940" i="13" s="1"/>
  <c r="G3949" i="13" s="1"/>
  <c r="G3958" i="13" s="1"/>
  <c r="G3967" i="13" s="1"/>
  <c r="G3976" i="13" s="1"/>
  <c r="G3985" i="13" s="1"/>
  <c r="G3995" i="13"/>
  <c r="G4004" i="13" s="1"/>
  <c r="G4013" i="13" s="1"/>
  <c r="G4022" i="13" s="1"/>
  <c r="G4031" i="13" s="1"/>
  <c r="G4040" i="13" s="1"/>
  <c r="G4049" i="13" s="1"/>
  <c r="G4058" i="13" s="1"/>
  <c r="G4067" i="13" s="1"/>
  <c r="G4076" i="13" s="1"/>
  <c r="G4085" i="13" s="1"/>
  <c r="G4094" i="13" s="1"/>
  <c r="G4103" i="13" s="1"/>
  <c r="G4112" i="13" s="1"/>
  <c r="G4121" i="13" s="1"/>
  <c r="G4130" i="13" s="1"/>
  <c r="G4139" i="13" s="1"/>
  <c r="G4148" i="13" s="1"/>
  <c r="G4157" i="13" s="1"/>
  <c r="G4166" i="13" s="1"/>
  <c r="G4175" i="13" s="1"/>
  <c r="G4184" i="13" s="1"/>
  <c r="G4193" i="13" s="1"/>
  <c r="G4202" i="13" s="1"/>
  <c r="G4211" i="13" s="1"/>
  <c r="G3932" i="13"/>
  <c r="G3941" i="13" s="1"/>
  <c r="G3950" i="13" s="1"/>
  <c r="G3959" i="13" s="1"/>
  <c r="G3968" i="13" s="1"/>
  <c r="G3977" i="13" s="1"/>
  <c r="G3986" i="13" s="1"/>
  <c r="G3930" i="13"/>
  <c r="G3939" i="13" s="1"/>
  <c r="G3948" i="13" s="1"/>
  <c r="G3957" i="13" s="1"/>
  <c r="G3966" i="13" s="1"/>
  <c r="G3975" i="13" s="1"/>
  <c r="G3984" i="13" s="1"/>
  <c r="G3993" i="13"/>
  <c r="G4002" i="13" s="1"/>
  <c r="G4011" i="13" s="1"/>
  <c r="G4020" i="13" s="1"/>
  <c r="G4029" i="13" s="1"/>
  <c r="G4038" i="13" s="1"/>
  <c r="G4047" i="13" s="1"/>
  <c r="G4056" i="13" s="1"/>
  <c r="G4065" i="13" s="1"/>
  <c r="G4074" i="13" s="1"/>
  <c r="G4083" i="13" s="1"/>
  <c r="G4092" i="13" s="1"/>
  <c r="G4101" i="13" s="1"/>
  <c r="G4110" i="13" s="1"/>
  <c r="G4119" i="13" s="1"/>
  <c r="G4128" i="13" s="1"/>
  <c r="G4137" i="13" s="1"/>
  <c r="G4146" i="13" s="1"/>
  <c r="G4155" i="13" s="1"/>
  <c r="G4164" i="13" s="1"/>
  <c r="G4173" i="13" s="1"/>
  <c r="G4182" i="13" s="1"/>
  <c r="G4191" i="13" s="1"/>
  <c r="G4200" i="13" s="1"/>
  <c r="G4209" i="13" s="1"/>
  <c r="G3934" i="13"/>
  <c r="G3943" i="13" s="1"/>
  <c r="G3952" i="13" s="1"/>
  <c r="G3961" i="13" s="1"/>
  <c r="G3970" i="13" s="1"/>
  <c r="G3979" i="13" s="1"/>
  <c r="G3988" i="13" s="1"/>
  <c r="G3997" i="13"/>
  <c r="G4006" i="13" s="1"/>
  <c r="G4015" i="13" s="1"/>
  <c r="G4024" i="13" s="1"/>
  <c r="G4033" i="13" s="1"/>
  <c r="G4042" i="13" s="1"/>
  <c r="G4051" i="13" s="1"/>
  <c r="G4060" i="13" s="1"/>
  <c r="G4069" i="13" s="1"/>
  <c r="G4078" i="13" s="1"/>
  <c r="G4087" i="13" s="1"/>
  <c r="G4096" i="13" s="1"/>
  <c r="G4105" i="13" s="1"/>
  <c r="G4114" i="13" s="1"/>
  <c r="G4123" i="13" s="1"/>
  <c r="G4132" i="13" s="1"/>
  <c r="G4141" i="13" s="1"/>
  <c r="G4150" i="13" s="1"/>
  <c r="G4159" i="13" s="1"/>
  <c r="G4168" i="13" s="1"/>
  <c r="G4177" i="13" s="1"/>
  <c r="G4186" i="13" s="1"/>
  <c r="G4195" i="13" s="1"/>
  <c r="G4204" i="13" s="1"/>
  <c r="G4213" i="13" s="1"/>
  <c r="D2138" i="14"/>
  <c r="D2237" i="14" s="1"/>
  <c r="D2120" i="14"/>
  <c r="D2129" i="14" s="1"/>
  <c r="D2228" i="14" s="1"/>
  <c r="D647" i="14"/>
  <c r="D1871" i="14"/>
  <c r="D1889" i="14"/>
  <c r="D2015" i="14" s="1"/>
  <c r="D709" i="14"/>
  <c r="D1898" i="14"/>
  <c r="D2024" i="14" s="1"/>
  <c r="D2021" i="14"/>
  <c r="J65" i="15"/>
  <c r="D638" i="14"/>
  <c r="D1880" i="14"/>
  <c r="D1017" i="14"/>
  <c r="D1024" i="14"/>
  <c r="D629" i="14"/>
  <c r="D1808" i="14"/>
  <c r="D1907" i="14" s="1"/>
  <c r="D2033" i="14" s="1"/>
  <c r="D916" i="14"/>
  <c r="D2150" i="14"/>
  <c r="D2276" i="14" s="1"/>
  <c r="D630" i="14"/>
  <c r="D2071" i="14"/>
  <c r="D2008" i="14"/>
  <c r="D2098" i="14" s="1"/>
  <c r="J105" i="15"/>
  <c r="J114" i="15"/>
  <c r="J78" i="15"/>
  <c r="J63" i="15"/>
  <c r="J113" i="15"/>
  <c r="J74" i="15"/>
  <c r="J62" i="15"/>
  <c r="J107" i="15"/>
  <c r="J73" i="15"/>
  <c r="J106" i="15"/>
  <c r="J72" i="15"/>
  <c r="J85" i="15"/>
  <c r="J69" i="15"/>
  <c r="J83" i="15"/>
  <c r="J84" i="15"/>
  <c r="J95" i="15"/>
  <c r="J82" i="15"/>
  <c r="Q202" i="1"/>
  <c r="J110" i="15"/>
  <c r="D693" i="14"/>
  <c r="D1503" i="14" s="1"/>
  <c r="D960" i="14"/>
  <c r="D942" i="14"/>
  <c r="D933" i="14"/>
  <c r="D654" i="14"/>
  <c r="D1311" i="14" s="1"/>
  <c r="D699" i="14"/>
  <c r="D1464" i="14" s="1"/>
  <c r="D915" i="14"/>
  <c r="D648" i="14"/>
  <c r="D1158" i="14"/>
  <c r="D708" i="14"/>
  <c r="D1392" i="14" s="1"/>
  <c r="D1023" i="14"/>
  <c r="D1016" i="14"/>
  <c r="D1196" i="14"/>
  <c r="Q66" i="1"/>
  <c r="Q151" i="1"/>
  <c r="D1813" i="14"/>
  <c r="D1912" i="14" s="1"/>
  <c r="D2038" i="14" s="1"/>
  <c r="Q145" i="1"/>
  <c r="Q126" i="1"/>
  <c r="D1957" i="14"/>
  <c r="D2056" i="14" s="1"/>
  <c r="D2020" i="14"/>
  <c r="D2074" i="14"/>
  <c r="Q266" i="1"/>
  <c r="Q80" i="1"/>
  <c r="D1678" i="14"/>
  <c r="D1687" i="14" s="1"/>
  <c r="D1696" i="14" s="1"/>
  <c r="D1705" i="14" s="1"/>
  <c r="D1714" i="14" s="1"/>
  <c r="D1723" i="14" s="1"/>
  <c r="D1732" i="14" s="1"/>
  <c r="D1741" i="14"/>
  <c r="D2281" i="14"/>
  <c r="D2299" i="14"/>
  <c r="D2290" i="14"/>
  <c r="D2209" i="14"/>
  <c r="D2200" i="14"/>
  <c r="D2263" i="14"/>
  <c r="D2173" i="14"/>
  <c r="D2236" i="14"/>
  <c r="D2164" i="14"/>
  <c r="D2128" i="14"/>
  <c r="D2227" i="14" s="1"/>
  <c r="D2218" i="14"/>
  <c r="D652" i="14"/>
  <c r="D1309" i="14" s="1"/>
  <c r="D940" i="14"/>
  <c r="D958" i="14"/>
  <c r="D931" i="14"/>
  <c r="D913" i="14"/>
  <c r="D697" i="14"/>
  <c r="D1462" i="14" s="1"/>
  <c r="D1156" i="14"/>
  <c r="D1021" i="14"/>
  <c r="D706" i="14"/>
  <c r="D1390" i="14" s="1"/>
  <c r="D1040" i="14"/>
  <c r="D1166" i="14"/>
  <c r="Q95" i="1"/>
  <c r="Q52" i="1"/>
  <c r="Q230" i="1"/>
  <c r="Q224" i="1"/>
  <c r="Q116" i="1"/>
  <c r="Q125" i="1"/>
  <c r="Q271" i="1"/>
  <c r="Q236" i="1"/>
  <c r="D770" i="14"/>
  <c r="D1103" i="14" s="1"/>
  <c r="D725" i="14"/>
  <c r="Q124" i="1"/>
  <c r="Q229" i="1"/>
  <c r="D761" i="14"/>
  <c r="D1094" i="14" s="1"/>
  <c r="D1031" i="14"/>
  <c r="J64" i="15"/>
  <c r="J116" i="15"/>
  <c r="Q265" i="1"/>
  <c r="J77" i="15"/>
  <c r="Q225" i="1"/>
  <c r="Q264" i="1"/>
  <c r="G4295" i="13"/>
  <c r="G4385" i="13" s="1"/>
  <c r="J61" i="15"/>
  <c r="J119" i="15"/>
  <c r="J112" i="15"/>
  <c r="J118" i="15"/>
  <c r="Q269" i="1"/>
  <c r="Q270" i="1"/>
  <c r="Q268" i="1"/>
  <c r="Q256" i="1"/>
  <c r="Q257" i="1"/>
  <c r="J76" i="15"/>
  <c r="J122" i="15"/>
  <c r="J123" i="15"/>
  <c r="J125" i="15"/>
  <c r="J121" i="15"/>
  <c r="Q194" i="1"/>
  <c r="Q195" i="1"/>
  <c r="Q196" i="1"/>
  <c r="Q45" i="1"/>
  <c r="Q193" i="1"/>
  <c r="Q62" i="1"/>
  <c r="Q79" i="1"/>
  <c r="Q44" i="1"/>
  <c r="Q64" i="1"/>
  <c r="Q200" i="1"/>
  <c r="D986" i="14"/>
  <c r="D968" i="14"/>
  <c r="D983" i="14"/>
  <c r="Q131" i="1"/>
  <c r="D2199" i="14"/>
  <c r="D2262" i="14"/>
  <c r="D2201" i="14"/>
  <c r="D2264" i="14"/>
  <c r="D2203" i="14"/>
  <c r="D2266" i="14"/>
  <c r="Q328" i="1"/>
  <c r="Q325" i="1"/>
  <c r="D743" i="14"/>
  <c r="D1076" i="14" s="1"/>
  <c r="Q323" i="1"/>
  <c r="Q324" i="1"/>
  <c r="D779" i="14"/>
  <c r="D734" i="14"/>
  <c r="D716" i="14"/>
  <c r="Q329" i="1"/>
  <c r="Q192" i="1"/>
  <c r="Q298" i="1"/>
  <c r="D2208" i="14"/>
  <c r="D2280" i="14"/>
  <c r="D2210" i="14"/>
  <c r="D2282" i="14"/>
  <c r="D2212" i="14"/>
  <c r="D2284" i="14"/>
  <c r="D1746" i="14"/>
  <c r="D1683" i="14"/>
  <c r="D1692" i="14" s="1"/>
  <c r="D1701" i="14" s="1"/>
  <c r="D1710" i="14" s="1"/>
  <c r="D1719" i="14" s="1"/>
  <c r="D1728" i="14" s="1"/>
  <c r="D1737" i="14" s="1"/>
  <c r="D1745" i="14"/>
  <c r="D1682" i="14"/>
  <c r="D1691" i="14" s="1"/>
  <c r="D1700" i="14" s="1"/>
  <c r="D1709" i="14" s="1"/>
  <c r="D1718" i="14" s="1"/>
  <c r="D1727" i="14" s="1"/>
  <c r="D1736" i="14" s="1"/>
  <c r="D1747" i="14"/>
  <c r="D1684" i="14"/>
  <c r="D1693" i="14" s="1"/>
  <c r="D1702" i="14" s="1"/>
  <c r="D1711" i="14" s="1"/>
  <c r="D1720" i="14" s="1"/>
  <c r="D1729" i="14" s="1"/>
  <c r="D1738" i="14" s="1"/>
  <c r="Q191" i="1"/>
  <c r="Q73" i="1"/>
  <c r="Q63" i="1"/>
  <c r="Q94" i="1"/>
  <c r="Q43" i="1"/>
  <c r="Q369" i="1"/>
  <c r="Q354" i="1"/>
  <c r="Q263" i="1"/>
  <c r="Q308" i="1"/>
  <c r="I1152" i="12"/>
  <c r="Q284" i="1"/>
  <c r="AB390" i="1"/>
  <c r="AC390" i="1" s="1"/>
  <c r="AC391" i="1" s="1"/>
  <c r="AC394" i="1" s="1"/>
  <c r="AC395" i="1" s="1"/>
  <c r="AC398" i="1" s="1"/>
  <c r="AC401" i="1" s="1"/>
  <c r="Q87" i="1"/>
  <c r="Z162" i="15"/>
  <c r="U182" i="15"/>
  <c r="V182" i="15" s="1"/>
  <c r="V183" i="15" s="1"/>
  <c r="V186" i="15" s="1"/>
  <c r="V187" i="15" s="1"/>
  <c r="V190" i="15" s="1"/>
  <c r="V193" i="15" s="1"/>
  <c r="Q364" i="1"/>
  <c r="I1153" i="12"/>
  <c r="J49" i="15"/>
  <c r="Q102" i="1"/>
  <c r="Q305" i="1"/>
  <c r="J48" i="15"/>
  <c r="J51" i="15"/>
  <c r="Q260" i="1"/>
  <c r="Z190" i="15"/>
  <c r="U168" i="15"/>
  <c r="V168" i="15" s="1"/>
  <c r="V169" i="15" s="1"/>
  <c r="V172" i="15" s="1"/>
  <c r="V173" i="15" s="1"/>
  <c r="V176" i="15" s="1"/>
  <c r="V179" i="15" s="1"/>
  <c r="AB375" i="1"/>
  <c r="AC375" i="1" s="1"/>
  <c r="AC376" i="1" s="1"/>
  <c r="AC380" i="1" s="1"/>
  <c r="Z176" i="15"/>
  <c r="J134" i="15"/>
  <c r="Q209" i="1"/>
  <c r="Q42" i="1"/>
  <c r="J145" i="15"/>
  <c r="Q75" i="1"/>
  <c r="Q183" i="1"/>
  <c r="Q261" i="1"/>
  <c r="Q301" i="1"/>
  <c r="Q370" i="1"/>
  <c r="Q366" i="1"/>
  <c r="Q163" i="1"/>
  <c r="Q148" i="1"/>
  <c r="J53" i="15"/>
  <c r="Q286" i="1"/>
  <c r="J88" i="15"/>
  <c r="Q71" i="1"/>
  <c r="Q155" i="1"/>
  <c r="Q309" i="1"/>
  <c r="J91" i="15"/>
  <c r="Q134" i="1"/>
  <c r="Q72" i="1"/>
  <c r="Q297" i="1"/>
  <c r="H26" i="16"/>
  <c r="Q331" i="1"/>
  <c r="Q317" i="1"/>
  <c r="Q135" i="1"/>
  <c r="Q318" i="1"/>
  <c r="J132" i="15"/>
  <c r="AB404" i="1"/>
  <c r="AC404" i="1" s="1"/>
  <c r="AC405" i="1" s="1"/>
  <c r="AC408" i="1" s="1"/>
  <c r="AC409" i="1" s="1"/>
  <c r="AC412" i="1" s="1"/>
  <c r="AC415" i="1" s="1"/>
  <c r="Q47" i="1"/>
  <c r="J41" i="15"/>
  <c r="U153" i="15"/>
  <c r="Q58" i="1"/>
  <c r="Q204" i="1"/>
  <c r="I1154" i="12"/>
  <c r="J54" i="15"/>
  <c r="Q181" i="1"/>
  <c r="Q345" i="1"/>
  <c r="J136" i="15"/>
  <c r="Q363" i="1"/>
  <c r="Q368" i="1"/>
  <c r="J43" i="15"/>
  <c r="Q285" i="1"/>
  <c r="J90" i="15"/>
  <c r="Q294" i="1"/>
  <c r="Q41" i="1"/>
  <c r="Q362" i="1"/>
  <c r="Q315" i="1"/>
  <c r="Q210" i="1"/>
  <c r="Q360" i="1"/>
  <c r="Q361" i="1"/>
  <c r="Q359" i="1"/>
  <c r="Q49" i="1"/>
  <c r="Q332" i="1"/>
  <c r="Q86" i="1"/>
  <c r="AG398" i="1"/>
  <c r="Q291" i="1"/>
  <c r="Q327" i="1"/>
  <c r="Q299" i="1"/>
  <c r="Q113" i="1"/>
  <c r="Q358" i="1"/>
  <c r="Q129" i="1"/>
  <c r="Q352" i="1"/>
  <c r="Q158" i="1"/>
  <c r="Q216" i="1"/>
  <c r="Q357" i="1"/>
  <c r="Q355" i="1"/>
  <c r="AG412" i="1"/>
  <c r="Q179" i="1"/>
  <c r="Q162" i="1"/>
  <c r="Q220" i="1"/>
  <c r="J142" i="15"/>
  <c r="Q218" i="1"/>
  <c r="Q141" i="1"/>
  <c r="J135" i="15"/>
  <c r="Q335" i="1"/>
  <c r="Q115" i="1"/>
  <c r="Q339" i="1"/>
  <c r="Q219" i="1"/>
  <c r="Q197" i="1"/>
  <c r="Q322" i="1"/>
  <c r="Q166" i="1"/>
  <c r="Q239" i="1"/>
  <c r="J128" i="15"/>
  <c r="Q85" i="1"/>
  <c r="J60" i="15"/>
  <c r="Q92" i="1"/>
  <c r="J68" i="15"/>
  <c r="Q174" i="1"/>
  <c r="Q101" i="1"/>
  <c r="Q172" i="1"/>
  <c r="J39" i="15"/>
  <c r="Q228" i="1"/>
  <c r="Q311" i="1"/>
  <c r="J42" i="15"/>
  <c r="Q152" i="1"/>
  <c r="Q112" i="1"/>
  <c r="Q137" i="1"/>
  <c r="Q177" i="1"/>
  <c r="J40" i="15"/>
  <c r="J71" i="15"/>
  <c r="Q336" i="1"/>
  <c r="Q138" i="1"/>
  <c r="Q142" i="1"/>
  <c r="Q306" i="1"/>
  <c r="J140" i="15"/>
  <c r="J93" i="15"/>
  <c r="Q105" i="1"/>
  <c r="Q186" i="1"/>
  <c r="Q221" i="1"/>
  <c r="Q307" i="1"/>
  <c r="Q176" i="1"/>
  <c r="J46" i="15"/>
  <c r="J141" i="15"/>
  <c r="Q144" i="1"/>
  <c r="Q293" i="1"/>
  <c r="Q321" i="1"/>
  <c r="J143" i="15"/>
  <c r="Q206" i="1"/>
  <c r="Q280" i="1"/>
  <c r="Q281" i="1"/>
  <c r="Q57" i="1"/>
  <c r="J100" i="15"/>
  <c r="Q38" i="1"/>
  <c r="Q227" i="1"/>
  <c r="I1151" i="12"/>
  <c r="J57" i="15"/>
  <c r="Q277" i="1"/>
  <c r="Q159" i="1"/>
  <c r="J133" i="15"/>
  <c r="Q222" i="1"/>
  <c r="Q287" i="1"/>
  <c r="J47" i="15"/>
  <c r="Q223" i="1"/>
  <c r="Q167" i="1"/>
  <c r="J127" i="15"/>
  <c r="J138" i="15"/>
  <c r="J130" i="15"/>
  <c r="J148" i="15"/>
  <c r="I1149" i="12"/>
  <c r="Q240" i="1"/>
  <c r="Q37" i="1"/>
  <c r="Q282" i="1"/>
  <c r="Q153" i="1"/>
  <c r="Q99" i="1"/>
  <c r="Q316" i="1"/>
  <c r="J37" i="15"/>
  <c r="Q68" i="1"/>
  <c r="Q350" i="1"/>
  <c r="Q351" i="1"/>
  <c r="Q93" i="1"/>
  <c r="Q130" i="1"/>
  <c r="Q338" i="1"/>
  <c r="Q314" i="1"/>
  <c r="Q349" i="1"/>
  <c r="Q353" i="1"/>
  <c r="Q348" i="1"/>
  <c r="Q346" i="1"/>
  <c r="Q279" i="1"/>
  <c r="Q161" i="1"/>
  <c r="Q241" i="1"/>
  <c r="Q320" i="1"/>
  <c r="J129" i="15"/>
  <c r="Q337" i="1"/>
  <c r="Q326" i="1"/>
  <c r="Q70" i="1"/>
  <c r="Q140" i="1"/>
  <c r="Q100" i="1"/>
  <c r="J144" i="15"/>
  <c r="J44" i="15"/>
  <c r="Q292" i="1"/>
  <c r="Q39" i="1"/>
  <c r="J131" i="15"/>
  <c r="Q342" i="1"/>
  <c r="Q333" i="1"/>
  <c r="J103" i="15"/>
  <c r="Q60" i="1"/>
  <c r="Q198" i="1"/>
  <c r="Q184" i="1"/>
  <c r="Q106" i="1"/>
  <c r="Q89" i="1"/>
  <c r="J50" i="15"/>
  <c r="Q211" i="1"/>
  <c r="Q76" i="1"/>
  <c r="J38" i="15"/>
  <c r="Q150" i="1"/>
  <c r="Q288" i="1"/>
  <c r="Q136" i="1"/>
  <c r="J97" i="15"/>
  <c r="Q61" i="1"/>
  <c r="Q300" i="1"/>
  <c r="Q215" i="1"/>
  <c r="Q50" i="1"/>
  <c r="I1150" i="12"/>
  <c r="Q67" i="1"/>
  <c r="Q289" i="1"/>
  <c r="Q258" i="1"/>
  <c r="J87" i="15"/>
  <c r="Q139" i="1"/>
  <c r="Q295" i="1"/>
  <c r="Q278" i="1"/>
  <c r="J96" i="15"/>
  <c r="J58" i="15"/>
  <c r="Q189" i="1"/>
  <c r="Q313" i="1"/>
  <c r="Q213" i="1"/>
  <c r="Q208" i="1"/>
  <c r="J102" i="15"/>
  <c r="J98" i="15"/>
  <c r="Q242" i="1"/>
  <c r="Q91" i="1"/>
  <c r="J92" i="15"/>
  <c r="Q334" i="1"/>
  <c r="Q78" i="1"/>
  <c r="Q165" i="1"/>
  <c r="Q283" i="1"/>
  <c r="Q180" i="1"/>
  <c r="Q84" i="1"/>
  <c r="Q69" i="1"/>
  <c r="Q143" i="1"/>
  <c r="Q341" i="1"/>
  <c r="Q310" i="1"/>
  <c r="Q296" i="1"/>
  <c r="Q302" i="1"/>
  <c r="Q217" i="1"/>
  <c r="Q290" i="1"/>
  <c r="Q254" i="1"/>
  <c r="J55" i="15"/>
  <c r="J67" i="15"/>
  <c r="Q40" i="1"/>
  <c r="J52" i="15"/>
  <c r="Q185" i="1"/>
  <c r="Q77" i="1"/>
  <c r="Q319" i="1"/>
  <c r="Q88" i="1"/>
  <c r="Q175" i="1"/>
  <c r="Q51" i="1"/>
  <c r="Q347" i="1"/>
  <c r="Q234" i="1"/>
  <c r="Q304" i="1"/>
  <c r="Q188" i="1"/>
  <c r="J56" i="15"/>
  <c r="Q212" i="1"/>
  <c r="J139" i="15"/>
  <c r="D2300" i="14"/>
  <c r="D2291" i="14"/>
  <c r="D2302" i="14"/>
  <c r="D2293" i="14"/>
  <c r="D2143" i="14"/>
  <c r="D2125" i="14"/>
  <c r="D2161" i="14"/>
  <c r="D2278" i="14"/>
  <c r="D2197" i="14"/>
  <c r="D2251" i="14"/>
  <c r="D2314" i="14"/>
  <c r="D2188" i="14"/>
  <c r="D2260" i="14"/>
  <c r="D2142" i="14"/>
  <c r="D2160" i="14"/>
  <c r="D2124" i="14"/>
  <c r="D1962" i="14"/>
  <c r="D2061" i="14" s="1"/>
  <c r="D1818" i="14"/>
  <c r="D1908" i="14"/>
  <c r="D2034" i="14" s="1"/>
  <c r="D2277" i="14"/>
  <c r="D2187" i="14"/>
  <c r="D2313" i="14"/>
  <c r="D2259" i="14"/>
  <c r="D2250" i="14"/>
  <c r="D2196" i="14"/>
  <c r="D2025" i="14"/>
  <c r="D2079" i="14"/>
  <c r="D1963" i="14"/>
  <c r="D2062" i="14" s="1"/>
  <c r="D1819" i="14"/>
  <c r="D1909" i="14"/>
  <c r="D2035" i="14" s="1"/>
  <c r="D2080" i="14"/>
  <c r="D2026" i="14"/>
  <c r="D2123" i="14"/>
  <c r="D2159" i="14"/>
  <c r="D2141" i="14"/>
  <c r="D1915" i="14"/>
  <c r="D2041" i="14" s="1"/>
  <c r="D1825" i="14"/>
  <c r="D2167" i="14"/>
  <c r="D2131" i="14"/>
  <c r="D2230" i="14" s="1"/>
  <c r="D2221" i="14"/>
  <c r="D2176" i="14"/>
  <c r="D2239" i="14"/>
  <c r="D1823" i="14"/>
  <c r="D1913" i="14"/>
  <c r="D2039" i="14" s="1"/>
  <c r="D2126" i="14"/>
  <c r="D2225" i="14" s="1"/>
  <c r="D2216" i="14"/>
  <c r="D2162" i="14"/>
  <c r="D2235" i="14"/>
  <c r="D2172" i="14"/>
  <c r="D1911" i="14"/>
  <c r="D2037" i="14" s="1"/>
  <c r="D1821" i="14"/>
  <c r="D1910" i="14"/>
  <c r="D2036" i="14" s="1"/>
  <c r="D1820" i="14"/>
  <c r="G5753" i="13"/>
  <c r="G5771" i="13"/>
  <c r="G5798" i="13" s="1"/>
  <c r="G5825" i="13" s="1"/>
  <c r="G5852" i="13" s="1"/>
  <c r="G5879" i="13" s="1"/>
  <c r="G5906" i="13" s="1"/>
  <c r="G5933" i="13" s="1"/>
  <c r="G5960" i="13" s="1"/>
  <c r="G5987" i="13" s="1"/>
  <c r="G6014" i="13" s="1"/>
  <c r="G6041" i="13" s="1"/>
  <c r="G4304" i="13"/>
  <c r="G4394" i="13" s="1"/>
  <c r="G4232" i="13"/>
  <c r="AC381" i="1" l="1"/>
  <c r="AC418" i="1" s="1"/>
  <c r="D965" i="14"/>
  <c r="D2163" i="14"/>
  <c r="D2127" i="14"/>
  <c r="D2226" i="14" s="1"/>
  <c r="D2289" i="14"/>
  <c r="D1457" i="14"/>
  <c r="D1502" i="14"/>
  <c r="D1369" i="14"/>
  <c r="D1459" i="14"/>
  <c r="D1368" i="14"/>
  <c r="D1458" i="14"/>
  <c r="D1526" i="14"/>
  <c r="D1418" i="14"/>
  <c r="D1058" i="14"/>
  <c r="D1427" i="14"/>
  <c r="D1398" i="14"/>
  <c r="D1389" i="14"/>
  <c r="D1397" i="14"/>
  <c r="D1388" i="14"/>
  <c r="D1402" i="14"/>
  <c r="D1393" i="14"/>
  <c r="D1478" i="14"/>
  <c r="D1370" i="14"/>
  <c r="D1482" i="14"/>
  <c r="D1374" i="14"/>
  <c r="D1479" i="14"/>
  <c r="D1371" i="14"/>
  <c r="D1483" i="14"/>
  <c r="D1375" i="14"/>
  <c r="D1480" i="14"/>
  <c r="D1372" i="14"/>
  <c r="D731" i="14"/>
  <c r="D1064" i="14" s="1"/>
  <c r="D758" i="14"/>
  <c r="D1091" i="14" s="1"/>
  <c r="D1408" i="14"/>
  <c r="D1399" i="14"/>
  <c r="D1410" i="14"/>
  <c r="D1401" i="14"/>
  <c r="D713" i="14"/>
  <c r="D952" i="14"/>
  <c r="D1488" i="14"/>
  <c r="D1407" i="14"/>
  <c r="D1487" i="14"/>
  <c r="D1406" i="14"/>
  <c r="D1492" i="14"/>
  <c r="D1411" i="14"/>
  <c r="D776" i="14"/>
  <c r="D785" i="14" s="1"/>
  <c r="D1118" i="14" s="1"/>
  <c r="D740" i="14"/>
  <c r="D1073" i="14" s="1"/>
  <c r="D1028" i="14"/>
  <c r="D988" i="14"/>
  <c r="D1518" i="14"/>
  <c r="D1491" i="14"/>
  <c r="D1516" i="14"/>
  <c r="D1489" i="14"/>
  <c r="D1505" i="14"/>
  <c r="D1379" i="14"/>
  <c r="D1509" i="14"/>
  <c r="D1383" i="14"/>
  <c r="D732" i="14"/>
  <c r="D750" i="14" s="1"/>
  <c r="D1083" i="14" s="1"/>
  <c r="D1380" i="14"/>
  <c r="D1510" i="14"/>
  <c r="D1384" i="14"/>
  <c r="D1507" i="14"/>
  <c r="D1381" i="14"/>
  <c r="D736" i="14"/>
  <c r="D754" i="14" s="1"/>
  <c r="D1087" i="14" s="1"/>
  <c r="D745" i="14"/>
  <c r="D1078" i="14" s="1"/>
  <c r="D781" i="14"/>
  <c r="D790" i="14" s="1"/>
  <c r="D1123" i="14" s="1"/>
  <c r="D718" i="14"/>
  <c r="D1420" i="14" s="1"/>
  <c r="D763" i="14"/>
  <c r="D1096" i="14" s="1"/>
  <c r="D1033" i="14"/>
  <c r="D1307" i="14"/>
  <c r="D768" i="14"/>
  <c r="D1101" i="14" s="1"/>
  <c r="D1515" i="14"/>
  <c r="D1037" i="14"/>
  <c r="D1514" i="14"/>
  <c r="D772" i="14"/>
  <c r="D1105" i="14" s="1"/>
  <c r="D1519" i="14"/>
  <c r="D1312" i="14"/>
  <c r="D710" i="14"/>
  <c r="D1367" i="14"/>
  <c r="D759" i="14"/>
  <c r="D1092" i="14" s="1"/>
  <c r="D767" i="14"/>
  <c r="D1100" i="14" s="1"/>
  <c r="D714" i="14"/>
  <c r="D1416" i="14" s="1"/>
  <c r="D741" i="14"/>
  <c r="D1074" i="14" s="1"/>
  <c r="D1163" i="14"/>
  <c r="D722" i="14"/>
  <c r="D1025" i="14"/>
  <c r="D919" i="14"/>
  <c r="D703" i="14"/>
  <c r="D1468" i="14" s="1"/>
  <c r="D1162" i="14"/>
  <c r="D1477" i="14"/>
  <c r="D1161" i="14"/>
  <c r="D1476" i="14"/>
  <c r="D1160" i="14"/>
  <c r="D1475" i="14"/>
  <c r="D777" i="14"/>
  <c r="D786" i="14" s="1"/>
  <c r="D1119" i="14" s="1"/>
  <c r="D1506" i="14"/>
  <c r="D946" i="14"/>
  <c r="D1306" i="14"/>
  <c r="D656" i="14"/>
  <c r="D989" i="14" s="1"/>
  <c r="D1304" i="14"/>
  <c r="D928" i="14"/>
  <c r="D1297" i="14"/>
  <c r="D936" i="14"/>
  <c r="D1305" i="14"/>
  <c r="D948" i="14"/>
  <c r="D1308" i="14"/>
  <c r="D701" i="14"/>
  <c r="D1466" i="14" s="1"/>
  <c r="D1286" i="14"/>
  <c r="D927" i="14"/>
  <c r="D1296" i="14"/>
  <c r="D702" i="14"/>
  <c r="D1467" i="14" s="1"/>
  <c r="D1287" i="14"/>
  <c r="D926" i="14"/>
  <c r="D1295" i="14"/>
  <c r="D2207" i="14"/>
  <c r="D964" i="14"/>
  <c r="D2261" i="14"/>
  <c r="D2288" i="14"/>
  <c r="D658" i="14"/>
  <c r="D991" i="14" s="1"/>
  <c r="D2198" i="14"/>
  <c r="D2186" i="14"/>
  <c r="D2297" i="14"/>
  <c r="D966" i="14"/>
  <c r="D1029" i="14"/>
  <c r="D2234" i="14"/>
  <c r="D984" i="14"/>
  <c r="G3103" i="13"/>
  <c r="G3139" i="13" s="1"/>
  <c r="G3175" i="13" s="1"/>
  <c r="G3229" i="13" s="1"/>
  <c r="G3310" i="13" s="1"/>
  <c r="G3355" i="13" s="1"/>
  <c r="G3400" i="13" s="1"/>
  <c r="G3445" i="13" s="1"/>
  <c r="G3490" i="13" s="1"/>
  <c r="G3535" i="13" s="1"/>
  <c r="G3115" i="13"/>
  <c r="G3151" i="13" s="1"/>
  <c r="G3187" i="13" s="1"/>
  <c r="G3241" i="13" s="1"/>
  <c r="G3286" i="13" s="1"/>
  <c r="G3117" i="13"/>
  <c r="G3153" i="13" s="1"/>
  <c r="G3111" i="13"/>
  <c r="G3147" i="13" s="1"/>
  <c r="G3183" i="13" s="1"/>
  <c r="G3237" i="13" s="1"/>
  <c r="G3318" i="13" s="1"/>
  <c r="G3363" i="13" s="1"/>
  <c r="G3408" i="13" s="1"/>
  <c r="G3453" i="13" s="1"/>
  <c r="G3498" i="13" s="1"/>
  <c r="G3123" i="13"/>
  <c r="G3159" i="13" s="1"/>
  <c r="G3110" i="13"/>
  <c r="G3146" i="13" s="1"/>
  <c r="G3182" i="13" s="1"/>
  <c r="G3236" i="13" s="1"/>
  <c r="G3281" i="13" s="1"/>
  <c r="G3100" i="13"/>
  <c r="G3136" i="13" s="1"/>
  <c r="G3172" i="13" s="1"/>
  <c r="G3226" i="13" s="1"/>
  <c r="G3271" i="13" s="1"/>
  <c r="D1164" i="14"/>
  <c r="G3113" i="13"/>
  <c r="G3149" i="13" s="1"/>
  <c r="G3185" i="13" s="1"/>
  <c r="G3239" i="13" s="1"/>
  <c r="G3284" i="13" s="1"/>
  <c r="D1038" i="14"/>
  <c r="D723" i="14"/>
  <c r="D917" i="14"/>
  <c r="D937" i="14"/>
  <c r="D1027" i="14"/>
  <c r="D712" i="14"/>
  <c r="D1396" i="14" s="1"/>
  <c r="D2165" i="14"/>
  <c r="D2219" i="14"/>
  <c r="D1817" i="14"/>
  <c r="D1826" i="14" s="1"/>
  <c r="D935" i="14"/>
  <c r="D1941" i="14"/>
  <c r="D2195" i="14"/>
  <c r="D1923" i="14"/>
  <c r="D2249" i="14"/>
  <c r="D944" i="14"/>
  <c r="D2312" i="14"/>
  <c r="D2258" i="14"/>
  <c r="D962" i="14"/>
  <c r="G4411" i="13"/>
  <c r="G4420" i="13" s="1"/>
  <c r="G4429" i="13" s="1"/>
  <c r="G4438" i="13" s="1"/>
  <c r="G4447" i="13" s="1"/>
  <c r="G4456" i="13" s="1"/>
  <c r="G4465" i="13" s="1"/>
  <c r="G4474" i="13" s="1"/>
  <c r="G4483" i="13" s="1"/>
  <c r="G4492" i="13" s="1"/>
  <c r="G4501" i="13" s="1"/>
  <c r="G4510" i="13" s="1"/>
  <c r="G4519" i="13" s="1"/>
  <c r="G4528" i="13" s="1"/>
  <c r="G4537" i="13" s="1"/>
  <c r="G4546" i="13" s="1"/>
  <c r="G4555" i="13" s="1"/>
  <c r="G4564" i="13" s="1"/>
  <c r="G4573" i="13" s="1"/>
  <c r="G4582" i="13" s="1"/>
  <c r="G4591" i="13" s="1"/>
  <c r="G4600" i="13" s="1"/>
  <c r="G4609" i="13" s="1"/>
  <c r="G4618" i="13" s="1"/>
  <c r="G4627" i="13" s="1"/>
  <c r="G4636" i="13" s="1"/>
  <c r="G4645" i="13" s="1"/>
  <c r="G4654" i="13" s="1"/>
  <c r="G4663" i="13" s="1"/>
  <c r="G4672" i="13" s="1"/>
  <c r="G4681" i="13" s="1"/>
  <c r="G4690" i="13" s="1"/>
  <c r="G4699" i="13" s="1"/>
  <c r="G4708" i="13" s="1"/>
  <c r="G4717" i="13" s="1"/>
  <c r="G4726" i="13" s="1"/>
  <c r="G4222" i="13"/>
  <c r="G4294" i="13"/>
  <c r="G4384" i="13" s="1"/>
  <c r="G4288" i="13"/>
  <c r="G4378" i="13" s="1"/>
  <c r="G4216" i="13"/>
  <c r="G4405" i="13"/>
  <c r="G4414" i="13" s="1"/>
  <c r="G4423" i="13" s="1"/>
  <c r="G4432" i="13" s="1"/>
  <c r="G4441" i="13" s="1"/>
  <c r="G4450" i="13" s="1"/>
  <c r="G4459" i="13" s="1"/>
  <c r="G4468" i="13" s="1"/>
  <c r="G4477" i="13" s="1"/>
  <c r="G4486" i="13" s="1"/>
  <c r="G4495" i="13" s="1"/>
  <c r="G4504" i="13" s="1"/>
  <c r="G4513" i="13" s="1"/>
  <c r="G4522" i="13" s="1"/>
  <c r="G4531" i="13" s="1"/>
  <c r="G4540" i="13" s="1"/>
  <c r="G4549" i="13" s="1"/>
  <c r="G4558" i="13" s="1"/>
  <c r="G4567" i="13" s="1"/>
  <c r="G4576" i="13" s="1"/>
  <c r="G4585" i="13" s="1"/>
  <c r="G4594" i="13" s="1"/>
  <c r="G4603" i="13" s="1"/>
  <c r="G4612" i="13" s="1"/>
  <c r="G4621" i="13" s="1"/>
  <c r="G4630" i="13" s="1"/>
  <c r="G4639" i="13" s="1"/>
  <c r="G4648" i="13" s="1"/>
  <c r="G4657" i="13" s="1"/>
  <c r="G4666" i="13" s="1"/>
  <c r="G4675" i="13" s="1"/>
  <c r="G4684" i="13" s="1"/>
  <c r="G4693" i="13" s="1"/>
  <c r="G4702" i="13" s="1"/>
  <c r="G4711" i="13" s="1"/>
  <c r="G4720" i="13" s="1"/>
  <c r="G3316" i="13"/>
  <c r="G3361" i="13" s="1"/>
  <c r="G3406" i="13" s="1"/>
  <c r="G3451" i="13" s="1"/>
  <c r="G3496" i="13" s="1"/>
  <c r="G3280" i="13"/>
  <c r="G3315" i="13"/>
  <c r="G3360" i="13" s="1"/>
  <c r="G3405" i="13" s="1"/>
  <c r="G3450" i="13" s="1"/>
  <c r="G3495" i="13" s="1"/>
  <c r="G3279" i="13"/>
  <c r="G3306" i="13"/>
  <c r="G3351" i="13" s="1"/>
  <c r="G3396" i="13" s="1"/>
  <c r="G3441" i="13" s="1"/>
  <c r="G3486" i="13" s="1"/>
  <c r="G3531" i="13" s="1"/>
  <c r="G3270" i="13"/>
  <c r="G4217" i="13"/>
  <c r="G4406" i="13"/>
  <c r="G4415" i="13" s="1"/>
  <c r="G4424" i="13" s="1"/>
  <c r="G4433" i="13" s="1"/>
  <c r="G4442" i="13" s="1"/>
  <c r="G4451" i="13" s="1"/>
  <c r="G4460" i="13" s="1"/>
  <c r="G4469" i="13" s="1"/>
  <c r="G4478" i="13" s="1"/>
  <c r="G4487" i="13" s="1"/>
  <c r="G4496" i="13" s="1"/>
  <c r="G4505" i="13" s="1"/>
  <c r="G4514" i="13" s="1"/>
  <c r="G4523" i="13" s="1"/>
  <c r="G4532" i="13" s="1"/>
  <c r="G4541" i="13" s="1"/>
  <c r="G4550" i="13" s="1"/>
  <c r="G4559" i="13" s="1"/>
  <c r="G4568" i="13" s="1"/>
  <c r="G4577" i="13" s="1"/>
  <c r="G4586" i="13" s="1"/>
  <c r="G4595" i="13" s="1"/>
  <c r="G4604" i="13" s="1"/>
  <c r="G4613" i="13" s="1"/>
  <c r="G4622" i="13" s="1"/>
  <c r="G4631" i="13" s="1"/>
  <c r="G4640" i="13" s="1"/>
  <c r="G4649" i="13" s="1"/>
  <c r="G4658" i="13" s="1"/>
  <c r="G4667" i="13" s="1"/>
  <c r="G4676" i="13" s="1"/>
  <c r="G4685" i="13" s="1"/>
  <c r="G4694" i="13" s="1"/>
  <c r="G4703" i="13" s="1"/>
  <c r="G4712" i="13" s="1"/>
  <c r="G4721" i="13" s="1"/>
  <c r="G4289" i="13"/>
  <c r="G4379" i="13" s="1"/>
  <c r="G3262" i="13"/>
  <c r="G3298" i="13"/>
  <c r="G3343" i="13" s="1"/>
  <c r="G3388" i="13" s="1"/>
  <c r="G3433" i="13" s="1"/>
  <c r="G3478" i="13" s="1"/>
  <c r="G3523" i="13" s="1"/>
  <c r="G3304" i="13"/>
  <c r="G3349" i="13" s="1"/>
  <c r="G3394" i="13" s="1"/>
  <c r="G3439" i="13" s="1"/>
  <c r="G3484" i="13" s="1"/>
  <c r="G3529" i="13" s="1"/>
  <c r="G3268" i="13"/>
  <c r="G3303" i="13"/>
  <c r="G3348" i="13" s="1"/>
  <c r="G3393" i="13" s="1"/>
  <c r="G3438" i="13" s="1"/>
  <c r="G3483" i="13" s="1"/>
  <c r="G3528" i="13" s="1"/>
  <c r="G3267" i="13"/>
  <c r="G3199" i="13"/>
  <c r="G3244" i="13" s="1"/>
  <c r="G3325" i="13" s="1"/>
  <c r="G3370" i="13" s="1"/>
  <c r="G3415" i="13" s="1"/>
  <c r="G3460" i="13" s="1"/>
  <c r="G3505" i="13" s="1"/>
  <c r="G3208" i="13"/>
  <c r="D1914" i="14"/>
  <c r="D2040" i="14" s="1"/>
  <c r="G4290" i="13"/>
  <c r="G4380" i="13" s="1"/>
  <c r="G4218" i="13"/>
  <c r="G4407" i="13"/>
  <c r="G4416" i="13" s="1"/>
  <c r="G4425" i="13" s="1"/>
  <c r="G4434" i="13" s="1"/>
  <c r="G4443" i="13" s="1"/>
  <c r="G4452" i="13" s="1"/>
  <c r="G4461" i="13" s="1"/>
  <c r="G4470" i="13" s="1"/>
  <c r="G4479" i="13" s="1"/>
  <c r="G4488" i="13" s="1"/>
  <c r="G4497" i="13" s="1"/>
  <c r="G4506" i="13" s="1"/>
  <c r="G4515" i="13" s="1"/>
  <c r="G4524" i="13" s="1"/>
  <c r="G4533" i="13" s="1"/>
  <c r="G4542" i="13" s="1"/>
  <c r="G4551" i="13" s="1"/>
  <c r="G4560" i="13" s="1"/>
  <c r="G4569" i="13" s="1"/>
  <c r="G4578" i="13" s="1"/>
  <c r="G4587" i="13" s="1"/>
  <c r="G4596" i="13" s="1"/>
  <c r="G4605" i="13" s="1"/>
  <c r="G4614" i="13" s="1"/>
  <c r="G4623" i="13" s="1"/>
  <c r="G4632" i="13" s="1"/>
  <c r="G4641" i="13" s="1"/>
  <c r="G4650" i="13" s="1"/>
  <c r="G4659" i="13" s="1"/>
  <c r="G4668" i="13" s="1"/>
  <c r="G4677" i="13" s="1"/>
  <c r="G4686" i="13" s="1"/>
  <c r="G4695" i="13" s="1"/>
  <c r="G4704" i="13" s="1"/>
  <c r="G4713" i="13" s="1"/>
  <c r="G4722" i="13" s="1"/>
  <c r="G3212" i="13"/>
  <c r="G3203" i="13"/>
  <c r="G3248" i="13" s="1"/>
  <c r="G3329" i="13" s="1"/>
  <c r="G3374" i="13" s="1"/>
  <c r="G3419" i="13" s="1"/>
  <c r="G3464" i="13" s="1"/>
  <c r="G3509" i="13" s="1"/>
  <c r="G3285" i="13"/>
  <c r="G3321" i="13"/>
  <c r="G3366" i="13" s="1"/>
  <c r="G3411" i="13" s="1"/>
  <c r="G3456" i="13" s="1"/>
  <c r="G3501" i="13" s="1"/>
  <c r="G3276" i="13"/>
  <c r="G3312" i="13"/>
  <c r="G3357" i="13" s="1"/>
  <c r="G3402" i="13" s="1"/>
  <c r="G3447" i="13" s="1"/>
  <c r="G3492" i="13" s="1"/>
  <c r="G3537" i="13" s="1"/>
  <c r="G3297" i="13"/>
  <c r="G3342" i="13" s="1"/>
  <c r="G3387" i="13" s="1"/>
  <c r="G3432" i="13" s="1"/>
  <c r="G3477" i="13" s="1"/>
  <c r="G3522" i="13" s="1"/>
  <c r="G3261" i="13"/>
  <c r="G3311" i="13"/>
  <c r="G3356" i="13" s="1"/>
  <c r="G3401" i="13" s="1"/>
  <c r="G3446" i="13" s="1"/>
  <c r="G3491" i="13" s="1"/>
  <c r="G3536" i="13" s="1"/>
  <c r="G3275" i="13"/>
  <c r="G3266" i="13"/>
  <c r="G3302" i="13"/>
  <c r="G3347" i="13" s="1"/>
  <c r="G3392" i="13" s="1"/>
  <c r="G3437" i="13" s="1"/>
  <c r="G3482" i="13" s="1"/>
  <c r="G3527" i="13" s="1"/>
  <c r="G3308" i="13"/>
  <c r="G3353" i="13" s="1"/>
  <c r="G3398" i="13" s="1"/>
  <c r="G3443" i="13" s="1"/>
  <c r="G3488" i="13" s="1"/>
  <c r="G3533" i="13" s="1"/>
  <c r="G3272" i="13"/>
  <c r="G4291" i="13"/>
  <c r="G4381" i="13" s="1"/>
  <c r="G4408" i="13"/>
  <c r="G4417" i="13" s="1"/>
  <c r="G4426" i="13" s="1"/>
  <c r="G4435" i="13" s="1"/>
  <c r="G4444" i="13" s="1"/>
  <c r="G4453" i="13" s="1"/>
  <c r="G4462" i="13" s="1"/>
  <c r="G4471" i="13" s="1"/>
  <c r="G4480" i="13" s="1"/>
  <c r="G4489" i="13" s="1"/>
  <c r="G4498" i="13" s="1"/>
  <c r="G4507" i="13" s="1"/>
  <c r="G4516" i="13" s="1"/>
  <c r="G4525" i="13" s="1"/>
  <c r="G4534" i="13" s="1"/>
  <c r="G4543" i="13" s="1"/>
  <c r="G4552" i="13" s="1"/>
  <c r="G4561" i="13" s="1"/>
  <c r="G4570" i="13" s="1"/>
  <c r="G4579" i="13" s="1"/>
  <c r="G4588" i="13" s="1"/>
  <c r="G4597" i="13" s="1"/>
  <c r="G4606" i="13" s="1"/>
  <c r="G4615" i="13" s="1"/>
  <c r="G4624" i="13" s="1"/>
  <c r="G4633" i="13" s="1"/>
  <c r="G4642" i="13" s="1"/>
  <c r="G4651" i="13" s="1"/>
  <c r="G4660" i="13" s="1"/>
  <c r="G4669" i="13" s="1"/>
  <c r="G4678" i="13" s="1"/>
  <c r="G4687" i="13" s="1"/>
  <c r="G4696" i="13" s="1"/>
  <c r="G4705" i="13" s="1"/>
  <c r="G4714" i="13" s="1"/>
  <c r="G4723" i="13" s="1"/>
  <c r="G4219" i="13"/>
  <c r="D2174" i="14"/>
  <c r="G3277" i="13"/>
  <c r="G3313" i="13"/>
  <c r="G3358" i="13" s="1"/>
  <c r="G3403" i="13" s="1"/>
  <c r="G3448" i="13" s="1"/>
  <c r="G3493" i="13" s="1"/>
  <c r="G3538" i="13" s="1"/>
  <c r="G3202" i="13"/>
  <c r="G3247" i="13" s="1"/>
  <c r="G3328" i="13" s="1"/>
  <c r="G3373" i="13" s="1"/>
  <c r="G3418" i="13" s="1"/>
  <c r="G3463" i="13" s="1"/>
  <c r="G3508" i="13" s="1"/>
  <c r="G3211" i="13"/>
  <c r="G3209" i="13"/>
  <c r="G3200" i="13"/>
  <c r="G3245" i="13" s="1"/>
  <c r="G3326" i="13" s="1"/>
  <c r="G3371" i="13" s="1"/>
  <c r="G3416" i="13" s="1"/>
  <c r="G3461" i="13" s="1"/>
  <c r="G3506" i="13" s="1"/>
  <c r="G3263" i="13"/>
  <c r="G3299" i="13"/>
  <c r="G3344" i="13" s="1"/>
  <c r="G3389" i="13" s="1"/>
  <c r="G3434" i="13" s="1"/>
  <c r="G3479" i="13" s="1"/>
  <c r="G3524" i="13" s="1"/>
  <c r="G4409" i="13"/>
  <c r="G4418" i="13" s="1"/>
  <c r="G4427" i="13" s="1"/>
  <c r="G4436" i="13" s="1"/>
  <c r="G4445" i="13" s="1"/>
  <c r="G4454" i="13" s="1"/>
  <c r="G4463" i="13" s="1"/>
  <c r="G4472" i="13" s="1"/>
  <c r="G4481" i="13" s="1"/>
  <c r="G4490" i="13" s="1"/>
  <c r="G4499" i="13" s="1"/>
  <c r="G4508" i="13" s="1"/>
  <c r="G4517" i="13" s="1"/>
  <c r="G4526" i="13" s="1"/>
  <c r="G4535" i="13" s="1"/>
  <c r="G4544" i="13" s="1"/>
  <c r="G4553" i="13" s="1"/>
  <c r="G4562" i="13" s="1"/>
  <c r="G4571" i="13" s="1"/>
  <c r="G4580" i="13" s="1"/>
  <c r="G4589" i="13" s="1"/>
  <c r="G4598" i="13" s="1"/>
  <c r="G4607" i="13" s="1"/>
  <c r="G4616" i="13" s="1"/>
  <c r="G4625" i="13" s="1"/>
  <c r="G4634" i="13" s="1"/>
  <c r="G4643" i="13" s="1"/>
  <c r="G4652" i="13" s="1"/>
  <c r="G4661" i="13" s="1"/>
  <c r="G4670" i="13" s="1"/>
  <c r="G4679" i="13" s="1"/>
  <c r="G4688" i="13" s="1"/>
  <c r="G4697" i="13" s="1"/>
  <c r="G4706" i="13" s="1"/>
  <c r="G4715" i="13" s="1"/>
  <c r="G4724" i="13" s="1"/>
  <c r="G4292" i="13"/>
  <c r="G4382" i="13" s="1"/>
  <c r="G4220" i="13"/>
  <c r="G4410" i="13"/>
  <c r="G4419" i="13" s="1"/>
  <c r="G4428" i="13" s="1"/>
  <c r="G4437" i="13" s="1"/>
  <c r="G4446" i="13" s="1"/>
  <c r="G4455" i="13" s="1"/>
  <c r="G4464" i="13" s="1"/>
  <c r="G4473" i="13" s="1"/>
  <c r="G4482" i="13" s="1"/>
  <c r="G4491" i="13" s="1"/>
  <c r="G4500" i="13" s="1"/>
  <c r="G4509" i="13" s="1"/>
  <c r="G4518" i="13" s="1"/>
  <c r="G4527" i="13" s="1"/>
  <c r="G4536" i="13" s="1"/>
  <c r="G4545" i="13" s="1"/>
  <c r="G4554" i="13" s="1"/>
  <c r="G4563" i="13" s="1"/>
  <c r="G4572" i="13" s="1"/>
  <c r="G4581" i="13" s="1"/>
  <c r="G4590" i="13" s="1"/>
  <c r="G4599" i="13" s="1"/>
  <c r="G4608" i="13" s="1"/>
  <c r="G4617" i="13" s="1"/>
  <c r="G4626" i="13" s="1"/>
  <c r="G4635" i="13" s="1"/>
  <c r="G4644" i="13" s="1"/>
  <c r="G4653" i="13" s="1"/>
  <c r="G4662" i="13" s="1"/>
  <c r="G4671" i="13" s="1"/>
  <c r="G4680" i="13" s="1"/>
  <c r="G4689" i="13" s="1"/>
  <c r="G4698" i="13" s="1"/>
  <c r="G4707" i="13" s="1"/>
  <c r="G4716" i="13" s="1"/>
  <c r="G4725" i="13" s="1"/>
  <c r="G4221" i="13"/>
  <c r="G4293" i="13"/>
  <c r="G4383" i="13" s="1"/>
  <c r="G3205" i="13"/>
  <c r="G3250" i="13" s="1"/>
  <c r="G3331" i="13" s="1"/>
  <c r="G3376" i="13" s="1"/>
  <c r="G3421" i="13" s="1"/>
  <c r="G3466" i="13" s="1"/>
  <c r="G3511" i="13" s="1"/>
  <c r="G3214" i="13"/>
  <c r="G3265" i="13"/>
  <c r="G3301" i="13"/>
  <c r="G3346" i="13" s="1"/>
  <c r="G3391" i="13" s="1"/>
  <c r="G3436" i="13" s="1"/>
  <c r="G3481" i="13" s="1"/>
  <c r="G3526" i="13" s="1"/>
  <c r="G3201" i="13"/>
  <c r="G3246" i="13" s="1"/>
  <c r="G3327" i="13" s="1"/>
  <c r="G3372" i="13" s="1"/>
  <c r="G3417" i="13" s="1"/>
  <c r="G3462" i="13" s="1"/>
  <c r="G3507" i="13" s="1"/>
  <c r="G3210" i="13"/>
  <c r="G3300" i="13"/>
  <c r="G3345" i="13" s="1"/>
  <c r="G3390" i="13" s="1"/>
  <c r="G3435" i="13" s="1"/>
  <c r="G3480" i="13" s="1"/>
  <c r="G3525" i="13" s="1"/>
  <c r="G3264" i="13"/>
  <c r="G3319" i="13"/>
  <c r="G3364" i="13" s="1"/>
  <c r="G3409" i="13" s="1"/>
  <c r="G3454" i="13" s="1"/>
  <c r="G3499" i="13" s="1"/>
  <c r="G3283" i="13"/>
  <c r="G4287" i="13"/>
  <c r="G4377" i="13" s="1"/>
  <c r="G4215" i="13"/>
  <c r="G4404" i="13"/>
  <c r="G4413" i="13" s="1"/>
  <c r="G4422" i="13" s="1"/>
  <c r="G4431" i="13" s="1"/>
  <c r="G4440" i="13" s="1"/>
  <c r="G4449" i="13" s="1"/>
  <c r="G4458" i="13" s="1"/>
  <c r="G4467" i="13" s="1"/>
  <c r="G4476" i="13" s="1"/>
  <c r="G4485" i="13" s="1"/>
  <c r="G4494" i="13" s="1"/>
  <c r="G4503" i="13" s="1"/>
  <c r="G4512" i="13" s="1"/>
  <c r="G4521" i="13" s="1"/>
  <c r="G4530" i="13" s="1"/>
  <c r="G4539" i="13" s="1"/>
  <c r="G4548" i="13" s="1"/>
  <c r="G4557" i="13" s="1"/>
  <c r="G4566" i="13" s="1"/>
  <c r="G4575" i="13" s="1"/>
  <c r="G4584" i="13" s="1"/>
  <c r="G4593" i="13" s="1"/>
  <c r="G4602" i="13" s="1"/>
  <c r="G4611" i="13" s="1"/>
  <c r="G4620" i="13" s="1"/>
  <c r="G4629" i="13" s="1"/>
  <c r="G4638" i="13" s="1"/>
  <c r="G4647" i="13" s="1"/>
  <c r="G4656" i="13" s="1"/>
  <c r="G4665" i="13" s="1"/>
  <c r="G4674" i="13" s="1"/>
  <c r="G4683" i="13" s="1"/>
  <c r="G4692" i="13" s="1"/>
  <c r="G4701" i="13" s="1"/>
  <c r="G4710" i="13" s="1"/>
  <c r="G4719" i="13" s="1"/>
  <c r="G3309" i="13"/>
  <c r="G3354" i="13" s="1"/>
  <c r="G3399" i="13" s="1"/>
  <c r="G3444" i="13" s="1"/>
  <c r="G3489" i="13" s="1"/>
  <c r="G3534" i="13" s="1"/>
  <c r="G3273" i="13"/>
  <c r="V153" i="15"/>
  <c r="V154" i="15" s="1"/>
  <c r="V158" i="15" s="1"/>
  <c r="V159" i="15" s="1"/>
  <c r="V196" i="15" s="1"/>
  <c r="J38" i="2"/>
  <c r="K38" i="2" s="1"/>
  <c r="D1042" i="14"/>
  <c r="D918" i="14"/>
  <c r="D2078" i="14"/>
  <c r="D1961" i="14"/>
  <c r="D2060" i="14" s="1"/>
  <c r="D1168" i="14"/>
  <c r="D727" i="14"/>
  <c r="D1026" i="14"/>
  <c r="D945" i="14"/>
  <c r="D711" i="14"/>
  <c r="D657" i="14"/>
  <c r="D735" i="14"/>
  <c r="D1032" i="14"/>
  <c r="D780" i="14"/>
  <c r="D717" i="14"/>
  <c r="D762" i="14"/>
  <c r="D1095" i="14" s="1"/>
  <c r="D744" i="14"/>
  <c r="D1077" i="14" s="1"/>
  <c r="D951" i="14"/>
  <c r="D987" i="14"/>
  <c r="D969" i="14"/>
  <c r="D963" i="14"/>
  <c r="D726" i="14"/>
  <c r="D1167" i="14"/>
  <c r="D771" i="14"/>
  <c r="D1104" i="14" s="1"/>
  <c r="D1041" i="14"/>
  <c r="D1822" i="14"/>
  <c r="D1831" i="14" s="1"/>
  <c r="D1930" i="14" s="1"/>
  <c r="D778" i="14"/>
  <c r="D733" i="14"/>
  <c r="D1030" i="14"/>
  <c r="D760" i="14"/>
  <c r="D1093" i="14" s="1"/>
  <c r="D715" i="14"/>
  <c r="D742" i="14"/>
  <c r="D1075" i="14" s="1"/>
  <c r="D1039" i="14"/>
  <c r="D1165" i="14"/>
  <c r="D769" i="14"/>
  <c r="D1102" i="14" s="1"/>
  <c r="D724" i="14"/>
  <c r="D949" i="14"/>
  <c r="D967" i="14"/>
  <c r="D985" i="14"/>
  <c r="D1049" i="14"/>
  <c r="D1175" i="14"/>
  <c r="D1046" i="14"/>
  <c r="D1172" i="14"/>
  <c r="D749" i="14"/>
  <c r="D1082" i="14" s="1"/>
  <c r="D788" i="14"/>
  <c r="D1121" i="14" s="1"/>
  <c r="D1112" i="14"/>
  <c r="D752" i="14"/>
  <c r="D1085" i="14" s="1"/>
  <c r="D1067" i="14"/>
  <c r="J60" i="2"/>
  <c r="K60" i="2" s="1"/>
  <c r="D2205" i="14"/>
  <c r="D2268" i="14"/>
  <c r="D2206" i="14"/>
  <c r="D2269" i="14"/>
  <c r="D2204" i="14"/>
  <c r="D2267" i="14"/>
  <c r="D2213" i="14"/>
  <c r="D2285" i="14"/>
  <c r="D2215" i="14"/>
  <c r="D2287" i="14"/>
  <c r="D2214" i="14"/>
  <c r="D2286" i="14"/>
  <c r="J13" i="2"/>
  <c r="K13" i="2" s="1"/>
  <c r="J53" i="2"/>
  <c r="K53" i="2" s="1"/>
  <c r="J40" i="2"/>
  <c r="K40" i="2" s="1"/>
  <c r="J10" i="2"/>
  <c r="K10" i="2" s="1"/>
  <c r="J8" i="2"/>
  <c r="K8" i="2" s="1"/>
  <c r="J49" i="2"/>
  <c r="K49" i="2" s="1"/>
  <c r="J34" i="2"/>
  <c r="K34" i="2" s="1"/>
  <c r="J48" i="2"/>
  <c r="K48" i="2" s="1"/>
  <c r="J15" i="2"/>
  <c r="K15" i="2" s="1"/>
  <c r="J11" i="2"/>
  <c r="K11" i="2" s="1"/>
  <c r="J16" i="2"/>
  <c r="K16" i="2" s="1"/>
  <c r="J50" i="2"/>
  <c r="K50" i="2" s="1"/>
  <c r="J67" i="2" a="1"/>
  <c r="J67" i="2" s="1"/>
  <c r="K67" i="2" s="1"/>
  <c r="K68" i="2" s="1"/>
  <c r="J36" i="2"/>
  <c r="K36" i="2" s="1"/>
  <c r="J37" i="2"/>
  <c r="K37" i="2" s="1"/>
  <c r="J35" i="2"/>
  <c r="K35" i="2" s="1"/>
  <c r="J26" i="2"/>
  <c r="K26" i="2" s="1"/>
  <c r="J51" i="2"/>
  <c r="K51" i="2" s="1"/>
  <c r="J4" i="2"/>
  <c r="K4" i="2" s="1"/>
  <c r="J7" i="2"/>
  <c r="K7" i="2" s="1"/>
  <c r="J6" i="2"/>
  <c r="K6" i="2" s="1"/>
  <c r="J59" i="2"/>
  <c r="K59" i="2" s="1"/>
  <c r="J61" i="2"/>
  <c r="K61" i="2" s="1"/>
  <c r="J9" i="2"/>
  <c r="K9" i="2" s="1"/>
  <c r="J28" i="2"/>
  <c r="K28" i="2" s="1"/>
  <c r="J39" i="2"/>
  <c r="K39" i="2" s="1"/>
  <c r="J5" i="2"/>
  <c r="K5" i="2" s="1"/>
  <c r="J52" i="2"/>
  <c r="K52" i="2" s="1"/>
  <c r="J46" i="2"/>
  <c r="K46" i="2" s="1"/>
  <c r="J17" i="2"/>
  <c r="K17" i="2" s="1"/>
  <c r="Z199" i="15"/>
  <c r="J12" i="2"/>
  <c r="K12" i="2" s="1"/>
  <c r="J14" i="2"/>
  <c r="K14" i="2" s="1"/>
  <c r="J54" i="2"/>
  <c r="K54" i="2" s="1"/>
  <c r="J27" i="2"/>
  <c r="K27" i="2" s="1"/>
  <c r="J47" i="2"/>
  <c r="K47" i="2" s="1"/>
  <c r="J3" i="2"/>
  <c r="K3" i="2" s="1"/>
  <c r="AC417" i="1"/>
  <c r="J41" i="2"/>
  <c r="K41" i="2" s="1"/>
  <c r="AG421" i="1"/>
  <c r="I1155" i="12"/>
  <c r="H27" i="16" s="1"/>
  <c r="G6068" i="13"/>
  <c r="G6140" i="13" s="1"/>
  <c r="G6185" i="13" s="1"/>
  <c r="G6248" i="13" s="1"/>
  <c r="G6311" i="13" s="1"/>
  <c r="G6374" i="13" s="1"/>
  <c r="G6437" i="13" s="1"/>
  <c r="G6500" i="13" s="1"/>
  <c r="G6563" i="13" s="1"/>
  <c r="G6626" i="13" s="1"/>
  <c r="G6689" i="13" s="1"/>
  <c r="G6752" i="13" s="1"/>
  <c r="G6815" i="13" s="1"/>
  <c r="G6878" i="13" s="1"/>
  <c r="G6941" i="13" s="1"/>
  <c r="G7004" i="13" s="1"/>
  <c r="G6113" i="13"/>
  <c r="G6158" i="13" s="1"/>
  <c r="D2303" i="14"/>
  <c r="D2294" i="14"/>
  <c r="D2305" i="14"/>
  <c r="D2296" i="14"/>
  <c r="D2304" i="14"/>
  <c r="D2295" i="14"/>
  <c r="D1917" i="14"/>
  <c r="D2043" i="14" s="1"/>
  <c r="D1827" i="14"/>
  <c r="D2169" i="14"/>
  <c r="D2133" i="14"/>
  <c r="D2232" i="14" s="1"/>
  <c r="D2223" i="14"/>
  <c r="D2179" i="14"/>
  <c r="D2242" i="14"/>
  <c r="D2241" i="14"/>
  <c r="D2178" i="14"/>
  <c r="D1828" i="14"/>
  <c r="D1918" i="14"/>
  <c r="D2044" i="14" s="1"/>
  <c r="D2170" i="14"/>
  <c r="D2224" i="14"/>
  <c r="D2134" i="14"/>
  <c r="D2233" i="14" s="1"/>
  <c r="D2177" i="14"/>
  <c r="D2240" i="14"/>
  <c r="D2168" i="14"/>
  <c r="D2222" i="14"/>
  <c r="D2132" i="14"/>
  <c r="D2231" i="14" s="1"/>
  <c r="D1924" i="14"/>
  <c r="D1942" i="14"/>
  <c r="D1834" i="14"/>
  <c r="D1933" i="14" s="1"/>
  <c r="D1937" i="14"/>
  <c r="D1829" i="14"/>
  <c r="D1928" i="14" s="1"/>
  <c r="D1919" i="14"/>
  <c r="D1830" i="14"/>
  <c r="D1929" i="14" s="1"/>
  <c r="D1920" i="14"/>
  <c r="D1938" i="14"/>
  <c r="D1940" i="14"/>
  <c r="D1832" i="14"/>
  <c r="D1931" i="14" s="1"/>
  <c r="D1922" i="14"/>
  <c r="G4313" i="13"/>
  <c r="G4241" i="13"/>
  <c r="G5780" i="13"/>
  <c r="G5807" i="13" s="1"/>
  <c r="G5834" i="13" s="1"/>
  <c r="G5861" i="13" s="1"/>
  <c r="G5888" i="13" s="1"/>
  <c r="G5915" i="13" s="1"/>
  <c r="G5942" i="13" s="1"/>
  <c r="G5969" i="13" s="1"/>
  <c r="G5996" i="13" s="1"/>
  <c r="G6023" i="13" s="1"/>
  <c r="G6050" i="13" s="1"/>
  <c r="G6077" i="13" s="1"/>
  <c r="G5762" i="13"/>
  <c r="G5789" i="13" s="1"/>
  <c r="G5816" i="13" s="1"/>
  <c r="G5843" i="13" s="1"/>
  <c r="G5870" i="13" s="1"/>
  <c r="G5897" i="13" s="1"/>
  <c r="AC384" i="1" l="1"/>
  <c r="AC387" i="1" s="1"/>
  <c r="D1065" i="14"/>
  <c r="D1059" i="14"/>
  <c r="D1428" i="14"/>
  <c r="D1056" i="14"/>
  <c r="D1425" i="14"/>
  <c r="D1525" i="14"/>
  <c r="D1417" i="14"/>
  <c r="D1527" i="14"/>
  <c r="D1419" i="14"/>
  <c r="D1060" i="14"/>
  <c r="D1429" i="14"/>
  <c r="D1057" i="14"/>
  <c r="D1426" i="14"/>
  <c r="D1523" i="14"/>
  <c r="D1415" i="14"/>
  <c r="D1055" i="14"/>
  <c r="D1424" i="14"/>
  <c r="D1404" i="14"/>
  <c r="D1395" i="14"/>
  <c r="D1403" i="14"/>
  <c r="D1394" i="14"/>
  <c r="D1484" i="14"/>
  <c r="D1376" i="14"/>
  <c r="D1486" i="14"/>
  <c r="D1378" i="14"/>
  <c r="D1485" i="14"/>
  <c r="D1377" i="14"/>
  <c r="D1414" i="14"/>
  <c r="D1405" i="14"/>
  <c r="D1494" i="14"/>
  <c r="D1413" i="14"/>
  <c r="D728" i="14"/>
  <c r="D1412" i="14"/>
  <c r="D1109" i="14"/>
  <c r="D1069" i="14"/>
  <c r="D1051" i="14"/>
  <c r="D1528" i="14"/>
  <c r="D1173" i="14"/>
  <c r="D1524" i="14"/>
  <c r="D1177" i="14"/>
  <c r="D1520" i="14"/>
  <c r="D1493" i="14"/>
  <c r="D1171" i="14"/>
  <c r="D1495" i="14"/>
  <c r="D764" i="14"/>
  <c r="D1097" i="14" s="1"/>
  <c r="D1385" i="14"/>
  <c r="D1513" i="14"/>
  <c r="D1387" i="14"/>
  <c r="D1512" i="14"/>
  <c r="D1386" i="14"/>
  <c r="D1114" i="14"/>
  <c r="D1047" i="14"/>
  <c r="D782" i="14"/>
  <c r="D791" i="14" s="1"/>
  <c r="D1124" i="14" s="1"/>
  <c r="D1034" i="14"/>
  <c r="D773" i="14"/>
  <c r="D1106" i="14" s="1"/>
  <c r="D971" i="14"/>
  <c r="D1169" i="14"/>
  <c r="D1043" i="14"/>
  <c r="D1170" i="14"/>
  <c r="D1521" i="14"/>
  <c r="D730" i="14"/>
  <c r="D1522" i="14"/>
  <c r="D1035" i="14"/>
  <c r="D747" i="14"/>
  <c r="D1080" i="14" s="1"/>
  <c r="D720" i="14"/>
  <c r="D1110" i="14"/>
  <c r="D765" i="14"/>
  <c r="D1098" i="14" s="1"/>
  <c r="D783" i="14"/>
  <c r="D792" i="14" s="1"/>
  <c r="D1125" i="14" s="1"/>
  <c r="D973" i="14"/>
  <c r="D766" i="14"/>
  <c r="D1099" i="14" s="1"/>
  <c r="D739" i="14"/>
  <c r="D1072" i="14" s="1"/>
  <c r="D748" i="14"/>
  <c r="D1081" i="14" s="1"/>
  <c r="D1036" i="14"/>
  <c r="D721" i="14"/>
  <c r="D1423" i="14" s="1"/>
  <c r="D784" i="14"/>
  <c r="D793" i="14" s="1"/>
  <c r="D1126" i="14" s="1"/>
  <c r="G3274" i="13"/>
  <c r="D738" i="14"/>
  <c r="D756" i="14" s="1"/>
  <c r="D1089" i="14" s="1"/>
  <c r="D746" i="14"/>
  <c r="D1079" i="14" s="1"/>
  <c r="D1511" i="14"/>
  <c r="D737" i="14"/>
  <c r="D755" i="14" s="1"/>
  <c r="D1088" i="14" s="1"/>
  <c r="D719" i="14"/>
  <c r="D954" i="14"/>
  <c r="D1314" i="14"/>
  <c r="D955" i="14"/>
  <c r="D1315" i="14"/>
  <c r="D953" i="14"/>
  <c r="D1313" i="14"/>
  <c r="D1044" i="14"/>
  <c r="D1916" i="14"/>
  <c r="D2042" i="14" s="1"/>
  <c r="G3207" i="13"/>
  <c r="G3252" i="13" s="1"/>
  <c r="G3189" i="13"/>
  <c r="G3213" i="13"/>
  <c r="G3258" i="13" s="1"/>
  <c r="G3195" i="13"/>
  <c r="G3204" i="13"/>
  <c r="G3249" i="13" s="1"/>
  <c r="G3330" i="13" s="1"/>
  <c r="G3375" i="13" s="1"/>
  <c r="G3420" i="13" s="1"/>
  <c r="G3465" i="13" s="1"/>
  <c r="G3510" i="13" s="1"/>
  <c r="G3322" i="13"/>
  <c r="G3367" i="13" s="1"/>
  <c r="G3412" i="13" s="1"/>
  <c r="G3457" i="13" s="1"/>
  <c r="G3502" i="13" s="1"/>
  <c r="G3556" i="13" s="1"/>
  <c r="G3282" i="13"/>
  <c r="G3307" i="13"/>
  <c r="G3352" i="13" s="1"/>
  <c r="G3397" i="13" s="1"/>
  <c r="G3442" i="13" s="1"/>
  <c r="G3487" i="13" s="1"/>
  <c r="G3532" i="13" s="1"/>
  <c r="G3198" i="13"/>
  <c r="G3243" i="13" s="1"/>
  <c r="G3324" i="13" s="1"/>
  <c r="G3369" i="13" s="1"/>
  <c r="G3414" i="13" s="1"/>
  <c r="G3459" i="13" s="1"/>
  <c r="G3504" i="13" s="1"/>
  <c r="G3317" i="13"/>
  <c r="G3362" i="13" s="1"/>
  <c r="G3407" i="13" s="1"/>
  <c r="G3452" i="13" s="1"/>
  <c r="G3497" i="13" s="1"/>
  <c r="G3542" i="13" s="1"/>
  <c r="G3320" i="13"/>
  <c r="G3365" i="13" s="1"/>
  <c r="G3410" i="13" s="1"/>
  <c r="G3455" i="13" s="1"/>
  <c r="G3500" i="13" s="1"/>
  <c r="G3554" i="13" s="1"/>
  <c r="D775" i="14"/>
  <c r="D1108" i="14" s="1"/>
  <c r="D1045" i="14"/>
  <c r="G4728" i="13"/>
  <c r="G4746" i="13" s="1"/>
  <c r="G4764" i="13" s="1"/>
  <c r="G4782" i="13"/>
  <c r="G4791" i="13" s="1"/>
  <c r="G4800" i="13" s="1"/>
  <c r="G4809" i="13" s="1"/>
  <c r="G4818" i="13" s="1"/>
  <c r="G4827" i="13" s="1"/>
  <c r="G4836" i="13" s="1"/>
  <c r="G4845" i="13" s="1"/>
  <c r="G4854" i="13" s="1"/>
  <c r="G4863" i="13" s="1"/>
  <c r="G4872" i="13" s="1"/>
  <c r="G4881" i="13" s="1"/>
  <c r="G4890" i="13" s="1"/>
  <c r="G4899" i="13" s="1"/>
  <c r="G4908" i="13" s="1"/>
  <c r="G4917" i="13" s="1"/>
  <c r="G4926" i="13" s="1"/>
  <c r="G4935" i="13" s="1"/>
  <c r="G4944" i="13" s="1"/>
  <c r="G4953" i="13" s="1"/>
  <c r="G4962" i="13" s="1"/>
  <c r="G4971" i="13" s="1"/>
  <c r="G4980" i="13" s="1"/>
  <c r="G4989" i="13" s="1"/>
  <c r="G4998" i="13" s="1"/>
  <c r="G5007" i="13" s="1"/>
  <c r="G5016" i="13" s="1"/>
  <c r="G5025" i="13" s="1"/>
  <c r="G5034" i="13" s="1"/>
  <c r="G5043" i="13" s="1"/>
  <c r="G5052" i="13" s="1"/>
  <c r="G5061" i="13" s="1"/>
  <c r="G5070" i="13" s="1"/>
  <c r="G5079" i="13" s="1"/>
  <c r="G5088" i="13" s="1"/>
  <c r="G5097" i="13" s="1"/>
  <c r="G5106" i="13" s="1"/>
  <c r="G5115" i="13" s="1"/>
  <c r="G5124" i="13" s="1"/>
  <c r="G5133" i="13" s="1"/>
  <c r="G5142" i="13" s="1"/>
  <c r="G5151" i="13" s="1"/>
  <c r="G5160" i="13" s="1"/>
  <c r="G5169" i="13" s="1"/>
  <c r="G5178" i="13" s="1"/>
  <c r="G5187" i="13" s="1"/>
  <c r="G5196" i="13" s="1"/>
  <c r="G5205" i="13" s="1"/>
  <c r="G5214" i="13" s="1"/>
  <c r="G5223" i="13" s="1"/>
  <c r="G5232" i="13" s="1"/>
  <c r="G5241" i="13" s="1"/>
  <c r="G5250" i="13" s="1"/>
  <c r="G5259" i="13" s="1"/>
  <c r="G5268" i="13" s="1"/>
  <c r="G5277" i="13" s="1"/>
  <c r="G5286" i="13" s="1"/>
  <c r="G5295" i="13" s="1"/>
  <c r="G5304" i="13" s="1"/>
  <c r="G5313" i="13" s="1"/>
  <c r="G5322" i="13" s="1"/>
  <c r="G5331" i="13" s="1"/>
  <c r="G5340" i="13" s="1"/>
  <c r="G5349" i="13" s="1"/>
  <c r="G5358" i="13" s="1"/>
  <c r="G5367" i="13" s="1"/>
  <c r="G5376" i="13" s="1"/>
  <c r="G5385" i="13" s="1"/>
  <c r="G5394" i="13" s="1"/>
  <c r="G5403" i="13" s="1"/>
  <c r="G5412" i="13" s="1"/>
  <c r="G5421" i="13" s="1"/>
  <c r="G5430" i="13" s="1"/>
  <c r="G5439" i="13" s="1"/>
  <c r="G5448" i="13" s="1"/>
  <c r="G5457" i="13" s="1"/>
  <c r="G5466" i="13" s="1"/>
  <c r="G5475" i="13" s="1"/>
  <c r="G5484" i="13" s="1"/>
  <c r="G5493" i="13" s="1"/>
  <c r="G5502" i="13" s="1"/>
  <c r="G5511" i="13" s="1"/>
  <c r="G5520" i="13" s="1"/>
  <c r="G5529" i="13" s="1"/>
  <c r="G5538" i="13" s="1"/>
  <c r="G5547" i="13" s="1"/>
  <c r="G5556" i="13" s="1"/>
  <c r="G5565" i="13" s="1"/>
  <c r="G5574" i="13" s="1"/>
  <c r="G5583" i="13" s="1"/>
  <c r="G5592" i="13" s="1"/>
  <c r="G5601" i="13" s="1"/>
  <c r="G5610" i="13" s="1"/>
  <c r="G5619" i="13" s="1"/>
  <c r="G5628" i="13" s="1"/>
  <c r="G5637" i="13" s="1"/>
  <c r="G5646" i="13" s="1"/>
  <c r="G5655" i="13" s="1"/>
  <c r="G5664" i="13" s="1"/>
  <c r="G5673" i="13" s="1"/>
  <c r="G5682" i="13" s="1"/>
  <c r="G5691" i="13" s="1"/>
  <c r="G5700" i="13" s="1"/>
  <c r="G5709" i="13" s="1"/>
  <c r="G5718" i="13" s="1"/>
  <c r="G5727" i="13" s="1"/>
  <c r="G5736" i="13" s="1"/>
  <c r="G5745" i="13" s="1"/>
  <c r="G4737" i="13"/>
  <c r="G4755" i="13" s="1"/>
  <c r="G4773" i="13" s="1"/>
  <c r="G4302" i="13"/>
  <c r="G4392" i="13" s="1"/>
  <c r="G4230" i="13"/>
  <c r="G3254" i="13"/>
  <c r="G3290" i="13"/>
  <c r="G3335" i="13" s="1"/>
  <c r="G3380" i="13" s="1"/>
  <c r="G3425" i="13" s="1"/>
  <c r="G3470" i="13" s="1"/>
  <c r="G3515" i="13" s="1"/>
  <c r="G4300" i="13"/>
  <c r="G4390" i="13" s="1"/>
  <c r="G4228" i="13"/>
  <c r="G4227" i="13"/>
  <c r="G4299" i="13"/>
  <c r="G4389" i="13" s="1"/>
  <c r="G4729" i="13"/>
  <c r="G4747" i="13" s="1"/>
  <c r="G4765" i="13" s="1"/>
  <c r="G4783" i="13"/>
  <c r="G4792" i="13" s="1"/>
  <c r="G4801" i="13" s="1"/>
  <c r="G4810" i="13" s="1"/>
  <c r="G4819" i="13" s="1"/>
  <c r="G4828" i="13" s="1"/>
  <c r="G4837" i="13" s="1"/>
  <c r="G4846" i="13" s="1"/>
  <c r="G4855" i="13" s="1"/>
  <c r="G4864" i="13" s="1"/>
  <c r="G4873" i="13" s="1"/>
  <c r="G4882" i="13" s="1"/>
  <c r="G4891" i="13" s="1"/>
  <c r="G4900" i="13" s="1"/>
  <c r="G4909" i="13" s="1"/>
  <c r="G4918" i="13" s="1"/>
  <c r="G4927" i="13" s="1"/>
  <c r="G4936" i="13" s="1"/>
  <c r="G4945" i="13" s="1"/>
  <c r="G4954" i="13" s="1"/>
  <c r="G4963" i="13" s="1"/>
  <c r="G4972" i="13" s="1"/>
  <c r="G4981" i="13" s="1"/>
  <c r="G4990" i="13" s="1"/>
  <c r="G4999" i="13" s="1"/>
  <c r="G5008" i="13" s="1"/>
  <c r="G5017" i="13" s="1"/>
  <c r="G5026" i="13" s="1"/>
  <c r="G5035" i="13" s="1"/>
  <c r="G5044" i="13" s="1"/>
  <c r="G5053" i="13" s="1"/>
  <c r="G5062" i="13" s="1"/>
  <c r="G5071" i="13" s="1"/>
  <c r="G5080" i="13" s="1"/>
  <c r="G5089" i="13" s="1"/>
  <c r="G5098" i="13" s="1"/>
  <c r="G5107" i="13" s="1"/>
  <c r="G5116" i="13" s="1"/>
  <c r="G5125" i="13" s="1"/>
  <c r="G5134" i="13" s="1"/>
  <c r="G5143" i="13" s="1"/>
  <c r="G5152" i="13" s="1"/>
  <c r="G5161" i="13" s="1"/>
  <c r="G5170" i="13" s="1"/>
  <c r="G5179" i="13" s="1"/>
  <c r="G5188" i="13" s="1"/>
  <c r="G5197" i="13" s="1"/>
  <c r="G5206" i="13" s="1"/>
  <c r="G5215" i="13" s="1"/>
  <c r="G5224" i="13" s="1"/>
  <c r="G5233" i="13" s="1"/>
  <c r="G5242" i="13" s="1"/>
  <c r="G5251" i="13" s="1"/>
  <c r="G5260" i="13" s="1"/>
  <c r="G5269" i="13" s="1"/>
  <c r="G5278" i="13" s="1"/>
  <c r="G5287" i="13" s="1"/>
  <c r="G5296" i="13" s="1"/>
  <c r="G5305" i="13" s="1"/>
  <c r="G5314" i="13" s="1"/>
  <c r="G5323" i="13" s="1"/>
  <c r="G5332" i="13" s="1"/>
  <c r="G5341" i="13" s="1"/>
  <c r="G5350" i="13" s="1"/>
  <c r="G5359" i="13" s="1"/>
  <c r="G5368" i="13" s="1"/>
  <c r="G5377" i="13" s="1"/>
  <c r="G5386" i="13" s="1"/>
  <c r="G5395" i="13" s="1"/>
  <c r="G5404" i="13" s="1"/>
  <c r="G5413" i="13" s="1"/>
  <c r="G5422" i="13" s="1"/>
  <c r="G5431" i="13" s="1"/>
  <c r="G5440" i="13" s="1"/>
  <c r="G5449" i="13" s="1"/>
  <c r="G5458" i="13" s="1"/>
  <c r="G5467" i="13" s="1"/>
  <c r="G5476" i="13" s="1"/>
  <c r="G5485" i="13" s="1"/>
  <c r="G5494" i="13" s="1"/>
  <c r="G5503" i="13" s="1"/>
  <c r="G5512" i="13" s="1"/>
  <c r="G5521" i="13" s="1"/>
  <c r="G5530" i="13" s="1"/>
  <c r="G5539" i="13" s="1"/>
  <c r="G5548" i="13" s="1"/>
  <c r="G5557" i="13" s="1"/>
  <c r="G5566" i="13" s="1"/>
  <c r="G5575" i="13" s="1"/>
  <c r="G5584" i="13" s="1"/>
  <c r="G5593" i="13" s="1"/>
  <c r="G5602" i="13" s="1"/>
  <c r="G5611" i="13" s="1"/>
  <c r="G5620" i="13" s="1"/>
  <c r="G5629" i="13" s="1"/>
  <c r="G5638" i="13" s="1"/>
  <c r="G5647" i="13" s="1"/>
  <c r="G5656" i="13" s="1"/>
  <c r="G5665" i="13" s="1"/>
  <c r="G5674" i="13" s="1"/>
  <c r="G5683" i="13" s="1"/>
  <c r="G5692" i="13" s="1"/>
  <c r="G5701" i="13" s="1"/>
  <c r="G5710" i="13" s="1"/>
  <c r="G5719" i="13" s="1"/>
  <c r="G5728" i="13" s="1"/>
  <c r="G5737" i="13" s="1"/>
  <c r="G5746" i="13" s="1"/>
  <c r="G4738" i="13"/>
  <c r="G4756" i="13" s="1"/>
  <c r="G4774" i="13" s="1"/>
  <c r="G4224" i="13"/>
  <c r="G4296" i="13"/>
  <c r="G4386" i="13" s="1"/>
  <c r="G3291" i="13"/>
  <c r="G3336" i="13" s="1"/>
  <c r="G3381" i="13" s="1"/>
  <c r="G3426" i="13" s="1"/>
  <c r="G3471" i="13" s="1"/>
  <c r="G3516" i="13" s="1"/>
  <c r="G3255" i="13"/>
  <c r="G4734" i="13"/>
  <c r="G4752" i="13" s="1"/>
  <c r="G4770" i="13" s="1"/>
  <c r="G4788" i="13"/>
  <c r="G4797" i="13" s="1"/>
  <c r="G4806" i="13" s="1"/>
  <c r="G4815" i="13" s="1"/>
  <c r="G4824" i="13" s="1"/>
  <c r="G4833" i="13" s="1"/>
  <c r="G4842" i="13" s="1"/>
  <c r="G4851" i="13" s="1"/>
  <c r="G4860" i="13" s="1"/>
  <c r="G4869" i="13" s="1"/>
  <c r="G4878" i="13" s="1"/>
  <c r="G4887" i="13" s="1"/>
  <c r="G4896" i="13" s="1"/>
  <c r="G4905" i="13" s="1"/>
  <c r="G4914" i="13" s="1"/>
  <c r="G4923" i="13" s="1"/>
  <c r="G4932" i="13" s="1"/>
  <c r="G4941" i="13" s="1"/>
  <c r="G4950" i="13" s="1"/>
  <c r="G4959" i="13" s="1"/>
  <c r="G4968" i="13" s="1"/>
  <c r="G4977" i="13" s="1"/>
  <c r="G4986" i="13" s="1"/>
  <c r="G4995" i="13" s="1"/>
  <c r="G5004" i="13" s="1"/>
  <c r="G5013" i="13" s="1"/>
  <c r="G5022" i="13" s="1"/>
  <c r="G5031" i="13" s="1"/>
  <c r="G5040" i="13" s="1"/>
  <c r="G5049" i="13" s="1"/>
  <c r="G5058" i="13" s="1"/>
  <c r="G5067" i="13" s="1"/>
  <c r="G5076" i="13" s="1"/>
  <c r="G5085" i="13" s="1"/>
  <c r="G5094" i="13" s="1"/>
  <c r="G5103" i="13" s="1"/>
  <c r="G5112" i="13" s="1"/>
  <c r="G5121" i="13" s="1"/>
  <c r="G5130" i="13" s="1"/>
  <c r="G5139" i="13" s="1"/>
  <c r="G5148" i="13" s="1"/>
  <c r="G5157" i="13" s="1"/>
  <c r="G5166" i="13" s="1"/>
  <c r="G5175" i="13" s="1"/>
  <c r="G5184" i="13" s="1"/>
  <c r="G5193" i="13" s="1"/>
  <c r="G5202" i="13" s="1"/>
  <c r="G5211" i="13" s="1"/>
  <c r="G5220" i="13" s="1"/>
  <c r="G5229" i="13" s="1"/>
  <c r="G5238" i="13" s="1"/>
  <c r="G5247" i="13" s="1"/>
  <c r="G5256" i="13" s="1"/>
  <c r="G5265" i="13" s="1"/>
  <c r="G5274" i="13" s="1"/>
  <c r="G5283" i="13" s="1"/>
  <c r="G5292" i="13" s="1"/>
  <c r="G5301" i="13" s="1"/>
  <c r="G5310" i="13" s="1"/>
  <c r="G5319" i="13" s="1"/>
  <c r="G5328" i="13" s="1"/>
  <c r="G5337" i="13" s="1"/>
  <c r="G5346" i="13" s="1"/>
  <c r="G5355" i="13" s="1"/>
  <c r="G5364" i="13" s="1"/>
  <c r="G5373" i="13" s="1"/>
  <c r="G5382" i="13" s="1"/>
  <c r="G5391" i="13" s="1"/>
  <c r="G5400" i="13" s="1"/>
  <c r="G5409" i="13" s="1"/>
  <c r="G5418" i="13" s="1"/>
  <c r="G5427" i="13" s="1"/>
  <c r="G5436" i="13" s="1"/>
  <c r="G5445" i="13" s="1"/>
  <c r="G5454" i="13" s="1"/>
  <c r="G5463" i="13" s="1"/>
  <c r="G5472" i="13" s="1"/>
  <c r="G5481" i="13" s="1"/>
  <c r="G5490" i="13" s="1"/>
  <c r="G5499" i="13" s="1"/>
  <c r="G5508" i="13" s="1"/>
  <c r="G5517" i="13" s="1"/>
  <c r="G5526" i="13" s="1"/>
  <c r="G5535" i="13" s="1"/>
  <c r="G5544" i="13" s="1"/>
  <c r="G5553" i="13" s="1"/>
  <c r="G5562" i="13" s="1"/>
  <c r="G5571" i="13" s="1"/>
  <c r="G5580" i="13" s="1"/>
  <c r="G5589" i="13" s="1"/>
  <c r="G5598" i="13" s="1"/>
  <c r="G5607" i="13" s="1"/>
  <c r="G5616" i="13" s="1"/>
  <c r="G5625" i="13" s="1"/>
  <c r="G5634" i="13" s="1"/>
  <c r="G5643" i="13" s="1"/>
  <c r="G5652" i="13" s="1"/>
  <c r="G5661" i="13" s="1"/>
  <c r="G5670" i="13" s="1"/>
  <c r="G5679" i="13" s="1"/>
  <c r="G5688" i="13" s="1"/>
  <c r="G5697" i="13" s="1"/>
  <c r="G5706" i="13" s="1"/>
  <c r="G5715" i="13" s="1"/>
  <c r="G5724" i="13" s="1"/>
  <c r="G5733" i="13" s="1"/>
  <c r="G5742" i="13" s="1"/>
  <c r="G5751" i="13" s="1"/>
  <c r="G4743" i="13"/>
  <c r="G4761" i="13" s="1"/>
  <c r="G4779" i="13" s="1"/>
  <c r="G3292" i="13"/>
  <c r="G3337" i="13" s="1"/>
  <c r="G3382" i="13" s="1"/>
  <c r="G3427" i="13" s="1"/>
  <c r="G3472" i="13" s="1"/>
  <c r="G3517" i="13" s="1"/>
  <c r="G3256" i="13"/>
  <c r="G4786" i="13"/>
  <c r="G4795" i="13" s="1"/>
  <c r="G4804" i="13" s="1"/>
  <c r="G4813" i="13" s="1"/>
  <c r="G4822" i="13" s="1"/>
  <c r="G4831" i="13" s="1"/>
  <c r="G4840" i="13" s="1"/>
  <c r="G4849" i="13" s="1"/>
  <c r="G4858" i="13" s="1"/>
  <c r="G4867" i="13" s="1"/>
  <c r="G4876" i="13" s="1"/>
  <c r="G4885" i="13" s="1"/>
  <c r="G4894" i="13" s="1"/>
  <c r="G4903" i="13" s="1"/>
  <c r="G4912" i="13" s="1"/>
  <c r="G4921" i="13" s="1"/>
  <c r="G4930" i="13" s="1"/>
  <c r="G4939" i="13" s="1"/>
  <c r="G4948" i="13" s="1"/>
  <c r="G4957" i="13" s="1"/>
  <c r="G4966" i="13" s="1"/>
  <c r="G4975" i="13" s="1"/>
  <c r="G4984" i="13" s="1"/>
  <c r="G4993" i="13" s="1"/>
  <c r="G5002" i="13" s="1"/>
  <c r="G5011" i="13" s="1"/>
  <c r="G5020" i="13" s="1"/>
  <c r="G5029" i="13" s="1"/>
  <c r="G5038" i="13" s="1"/>
  <c r="G5047" i="13" s="1"/>
  <c r="G5056" i="13" s="1"/>
  <c r="G5065" i="13" s="1"/>
  <c r="G5074" i="13" s="1"/>
  <c r="G5083" i="13" s="1"/>
  <c r="G5092" i="13" s="1"/>
  <c r="G5101" i="13" s="1"/>
  <c r="G5110" i="13" s="1"/>
  <c r="G5119" i="13" s="1"/>
  <c r="G5128" i="13" s="1"/>
  <c r="G5137" i="13" s="1"/>
  <c r="G5146" i="13" s="1"/>
  <c r="G5155" i="13" s="1"/>
  <c r="G5164" i="13" s="1"/>
  <c r="G5173" i="13" s="1"/>
  <c r="G5182" i="13" s="1"/>
  <c r="G5191" i="13" s="1"/>
  <c r="G5200" i="13" s="1"/>
  <c r="G5209" i="13" s="1"/>
  <c r="G5218" i="13" s="1"/>
  <c r="G5227" i="13" s="1"/>
  <c r="G5236" i="13" s="1"/>
  <c r="G5245" i="13" s="1"/>
  <c r="G5254" i="13" s="1"/>
  <c r="G5263" i="13" s="1"/>
  <c r="G5272" i="13" s="1"/>
  <c r="G5281" i="13" s="1"/>
  <c r="G5290" i="13" s="1"/>
  <c r="G5299" i="13" s="1"/>
  <c r="G5308" i="13" s="1"/>
  <c r="G5317" i="13" s="1"/>
  <c r="G5326" i="13" s="1"/>
  <c r="G5335" i="13" s="1"/>
  <c r="G5344" i="13" s="1"/>
  <c r="G5353" i="13" s="1"/>
  <c r="G5362" i="13" s="1"/>
  <c r="G5371" i="13" s="1"/>
  <c r="G5380" i="13" s="1"/>
  <c r="G5389" i="13" s="1"/>
  <c r="G5398" i="13" s="1"/>
  <c r="G5407" i="13" s="1"/>
  <c r="G5416" i="13" s="1"/>
  <c r="G5425" i="13" s="1"/>
  <c r="G5434" i="13" s="1"/>
  <c r="G5443" i="13" s="1"/>
  <c r="G5452" i="13" s="1"/>
  <c r="G5461" i="13" s="1"/>
  <c r="G5470" i="13" s="1"/>
  <c r="G5479" i="13" s="1"/>
  <c r="G5488" i="13" s="1"/>
  <c r="G5497" i="13" s="1"/>
  <c r="G5506" i="13" s="1"/>
  <c r="G5515" i="13" s="1"/>
  <c r="G5524" i="13" s="1"/>
  <c r="G5533" i="13" s="1"/>
  <c r="G5542" i="13" s="1"/>
  <c r="G5551" i="13" s="1"/>
  <c r="G5560" i="13" s="1"/>
  <c r="G5569" i="13" s="1"/>
  <c r="G5578" i="13" s="1"/>
  <c r="G5587" i="13" s="1"/>
  <c r="G5596" i="13" s="1"/>
  <c r="G5605" i="13" s="1"/>
  <c r="G5614" i="13" s="1"/>
  <c r="G5623" i="13" s="1"/>
  <c r="G5632" i="13" s="1"/>
  <c r="G5641" i="13" s="1"/>
  <c r="G5650" i="13" s="1"/>
  <c r="G5659" i="13" s="1"/>
  <c r="G5668" i="13" s="1"/>
  <c r="G5677" i="13" s="1"/>
  <c r="G5686" i="13" s="1"/>
  <c r="G5695" i="13" s="1"/>
  <c r="G5704" i="13" s="1"/>
  <c r="G5713" i="13" s="1"/>
  <c r="G5722" i="13" s="1"/>
  <c r="G5731" i="13" s="1"/>
  <c r="G5740" i="13" s="1"/>
  <c r="G5749" i="13" s="1"/>
  <c r="G4732" i="13"/>
  <c r="G4750" i="13" s="1"/>
  <c r="G4768" i="13" s="1"/>
  <c r="G4741" i="13"/>
  <c r="G4759" i="13" s="1"/>
  <c r="G4777" i="13" s="1"/>
  <c r="G4297" i="13"/>
  <c r="G4387" i="13" s="1"/>
  <c r="G4225" i="13"/>
  <c r="G4301" i="13"/>
  <c r="G4391" i="13" s="1"/>
  <c r="G4229" i="13"/>
  <c r="G3289" i="13"/>
  <c r="G3334" i="13" s="1"/>
  <c r="G3379" i="13" s="1"/>
  <c r="G3424" i="13" s="1"/>
  <c r="G3469" i="13" s="1"/>
  <c r="G3514" i="13" s="1"/>
  <c r="G3253" i="13"/>
  <c r="G3549" i="13"/>
  <c r="G3540" i="13"/>
  <c r="G3553" i="13"/>
  <c r="G3544" i="13"/>
  <c r="G4733" i="13"/>
  <c r="G4751" i="13" s="1"/>
  <c r="G4769" i="13" s="1"/>
  <c r="G4742" i="13"/>
  <c r="G4760" i="13" s="1"/>
  <c r="G4778" i="13" s="1"/>
  <c r="G4787" i="13"/>
  <c r="G4796" i="13" s="1"/>
  <c r="G4805" i="13" s="1"/>
  <c r="G4814" i="13" s="1"/>
  <c r="G4823" i="13" s="1"/>
  <c r="G4832" i="13" s="1"/>
  <c r="G4841" i="13" s="1"/>
  <c r="G4850" i="13" s="1"/>
  <c r="G4859" i="13" s="1"/>
  <c r="G4868" i="13" s="1"/>
  <c r="G4877" i="13" s="1"/>
  <c r="G4886" i="13" s="1"/>
  <c r="G4895" i="13" s="1"/>
  <c r="G4904" i="13" s="1"/>
  <c r="G4913" i="13" s="1"/>
  <c r="G4922" i="13" s="1"/>
  <c r="G4931" i="13" s="1"/>
  <c r="G4940" i="13" s="1"/>
  <c r="G4949" i="13" s="1"/>
  <c r="G4958" i="13" s="1"/>
  <c r="G4967" i="13" s="1"/>
  <c r="G4976" i="13" s="1"/>
  <c r="G4985" i="13" s="1"/>
  <c r="G4994" i="13" s="1"/>
  <c r="G5003" i="13" s="1"/>
  <c r="G5012" i="13" s="1"/>
  <c r="G5021" i="13" s="1"/>
  <c r="G5030" i="13" s="1"/>
  <c r="G5039" i="13" s="1"/>
  <c r="G5048" i="13" s="1"/>
  <c r="G5057" i="13" s="1"/>
  <c r="G5066" i="13" s="1"/>
  <c r="G5075" i="13" s="1"/>
  <c r="G5084" i="13" s="1"/>
  <c r="G5093" i="13" s="1"/>
  <c r="G5102" i="13" s="1"/>
  <c r="G5111" i="13" s="1"/>
  <c r="G5120" i="13" s="1"/>
  <c r="G5129" i="13" s="1"/>
  <c r="G5138" i="13" s="1"/>
  <c r="G5147" i="13" s="1"/>
  <c r="G5156" i="13" s="1"/>
  <c r="G5165" i="13" s="1"/>
  <c r="G5174" i="13" s="1"/>
  <c r="G5183" i="13" s="1"/>
  <c r="G5192" i="13" s="1"/>
  <c r="G5201" i="13" s="1"/>
  <c r="G5210" i="13" s="1"/>
  <c r="G5219" i="13" s="1"/>
  <c r="G5228" i="13" s="1"/>
  <c r="G5237" i="13" s="1"/>
  <c r="G5246" i="13" s="1"/>
  <c r="G5255" i="13" s="1"/>
  <c r="G5264" i="13" s="1"/>
  <c r="G5273" i="13" s="1"/>
  <c r="G5282" i="13" s="1"/>
  <c r="G5291" i="13" s="1"/>
  <c r="G5300" i="13" s="1"/>
  <c r="G5309" i="13" s="1"/>
  <c r="G5318" i="13" s="1"/>
  <c r="G5327" i="13" s="1"/>
  <c r="G5336" i="13" s="1"/>
  <c r="G5345" i="13" s="1"/>
  <c r="G5354" i="13" s="1"/>
  <c r="G5363" i="13" s="1"/>
  <c r="G5372" i="13" s="1"/>
  <c r="G5381" i="13" s="1"/>
  <c r="G5390" i="13" s="1"/>
  <c r="G5399" i="13" s="1"/>
  <c r="G5408" i="13" s="1"/>
  <c r="G5417" i="13" s="1"/>
  <c r="G5426" i="13" s="1"/>
  <c r="G5435" i="13" s="1"/>
  <c r="G5444" i="13" s="1"/>
  <c r="G5453" i="13" s="1"/>
  <c r="G5462" i="13" s="1"/>
  <c r="G5471" i="13" s="1"/>
  <c r="G5480" i="13" s="1"/>
  <c r="G5489" i="13" s="1"/>
  <c r="G5498" i="13" s="1"/>
  <c r="G5507" i="13" s="1"/>
  <c r="G5516" i="13" s="1"/>
  <c r="G5525" i="13" s="1"/>
  <c r="G5534" i="13" s="1"/>
  <c r="G5543" i="13" s="1"/>
  <c r="G5552" i="13" s="1"/>
  <c r="G5561" i="13" s="1"/>
  <c r="G5570" i="13" s="1"/>
  <c r="G5579" i="13" s="1"/>
  <c r="G5588" i="13" s="1"/>
  <c r="G5597" i="13" s="1"/>
  <c r="G5606" i="13" s="1"/>
  <c r="G5615" i="13" s="1"/>
  <c r="G5624" i="13" s="1"/>
  <c r="G5633" i="13" s="1"/>
  <c r="G5642" i="13" s="1"/>
  <c r="G5651" i="13" s="1"/>
  <c r="G5660" i="13" s="1"/>
  <c r="G5669" i="13" s="1"/>
  <c r="G5678" i="13" s="1"/>
  <c r="G5687" i="13" s="1"/>
  <c r="G5696" i="13" s="1"/>
  <c r="G5705" i="13" s="1"/>
  <c r="G5714" i="13" s="1"/>
  <c r="G5723" i="13" s="1"/>
  <c r="G5732" i="13" s="1"/>
  <c r="G5741" i="13" s="1"/>
  <c r="G5750" i="13" s="1"/>
  <c r="G4303" i="13"/>
  <c r="G4393" i="13" s="1"/>
  <c r="G4231" i="13"/>
  <c r="G3259" i="13"/>
  <c r="G3295" i="13"/>
  <c r="G3340" i="13" s="1"/>
  <c r="G3385" i="13" s="1"/>
  <c r="G3430" i="13" s="1"/>
  <c r="G3475" i="13" s="1"/>
  <c r="G3520" i="13" s="1"/>
  <c r="G4735" i="13"/>
  <c r="G4753" i="13" s="1"/>
  <c r="G4771" i="13" s="1"/>
  <c r="G4744" i="13"/>
  <c r="G4762" i="13" s="1"/>
  <c r="G4780" i="13" s="1"/>
  <c r="G4789" i="13"/>
  <c r="G4798" i="13" s="1"/>
  <c r="G4807" i="13" s="1"/>
  <c r="G4816" i="13" s="1"/>
  <c r="G4825" i="13" s="1"/>
  <c r="G4834" i="13" s="1"/>
  <c r="G4843" i="13" s="1"/>
  <c r="G4852" i="13" s="1"/>
  <c r="G4861" i="13" s="1"/>
  <c r="G4870" i="13" s="1"/>
  <c r="G4879" i="13" s="1"/>
  <c r="G4888" i="13" s="1"/>
  <c r="G4897" i="13" s="1"/>
  <c r="G4906" i="13" s="1"/>
  <c r="G4915" i="13" s="1"/>
  <c r="G4924" i="13" s="1"/>
  <c r="G4933" i="13" s="1"/>
  <c r="G4942" i="13" s="1"/>
  <c r="G4951" i="13" s="1"/>
  <c r="G4960" i="13" s="1"/>
  <c r="G4969" i="13" s="1"/>
  <c r="G4978" i="13" s="1"/>
  <c r="G4987" i="13" s="1"/>
  <c r="G4996" i="13" s="1"/>
  <c r="G5005" i="13" s="1"/>
  <c r="G5014" i="13" s="1"/>
  <c r="G5023" i="13" s="1"/>
  <c r="G5032" i="13" s="1"/>
  <c r="G5041" i="13" s="1"/>
  <c r="G5050" i="13" s="1"/>
  <c r="G5059" i="13" s="1"/>
  <c r="G5068" i="13" s="1"/>
  <c r="G5077" i="13" s="1"/>
  <c r="G5086" i="13" s="1"/>
  <c r="G5095" i="13" s="1"/>
  <c r="G5104" i="13" s="1"/>
  <c r="G5113" i="13" s="1"/>
  <c r="G5122" i="13" s="1"/>
  <c r="G5131" i="13" s="1"/>
  <c r="G5140" i="13" s="1"/>
  <c r="G5149" i="13" s="1"/>
  <c r="G5158" i="13" s="1"/>
  <c r="G5167" i="13" s="1"/>
  <c r="G5176" i="13" s="1"/>
  <c r="G5185" i="13" s="1"/>
  <c r="G5194" i="13" s="1"/>
  <c r="G5203" i="13" s="1"/>
  <c r="G5212" i="13" s="1"/>
  <c r="G5221" i="13" s="1"/>
  <c r="G5230" i="13" s="1"/>
  <c r="G5239" i="13" s="1"/>
  <c r="G5248" i="13" s="1"/>
  <c r="G5257" i="13" s="1"/>
  <c r="G5266" i="13" s="1"/>
  <c r="G5275" i="13" s="1"/>
  <c r="G5284" i="13" s="1"/>
  <c r="G5293" i="13" s="1"/>
  <c r="G5302" i="13" s="1"/>
  <c r="G5311" i="13" s="1"/>
  <c r="G5320" i="13" s="1"/>
  <c r="G5329" i="13" s="1"/>
  <c r="G5338" i="13" s="1"/>
  <c r="G5347" i="13" s="1"/>
  <c r="G5356" i="13" s="1"/>
  <c r="G5365" i="13" s="1"/>
  <c r="G5374" i="13" s="1"/>
  <c r="G5383" i="13" s="1"/>
  <c r="G5392" i="13" s="1"/>
  <c r="G5401" i="13" s="1"/>
  <c r="G5410" i="13" s="1"/>
  <c r="G5419" i="13" s="1"/>
  <c r="G5428" i="13" s="1"/>
  <c r="G5437" i="13" s="1"/>
  <c r="G5446" i="13" s="1"/>
  <c r="G5455" i="13" s="1"/>
  <c r="G5464" i="13" s="1"/>
  <c r="G5473" i="13" s="1"/>
  <c r="G5482" i="13" s="1"/>
  <c r="G5491" i="13" s="1"/>
  <c r="G5500" i="13" s="1"/>
  <c r="G5509" i="13" s="1"/>
  <c r="G5518" i="13" s="1"/>
  <c r="G5527" i="13" s="1"/>
  <c r="G5536" i="13" s="1"/>
  <c r="G5545" i="13" s="1"/>
  <c r="G5554" i="13" s="1"/>
  <c r="G5563" i="13" s="1"/>
  <c r="G5572" i="13" s="1"/>
  <c r="G5581" i="13" s="1"/>
  <c r="G5590" i="13" s="1"/>
  <c r="G5599" i="13" s="1"/>
  <c r="G5608" i="13" s="1"/>
  <c r="G5617" i="13" s="1"/>
  <c r="G5626" i="13" s="1"/>
  <c r="G5635" i="13" s="1"/>
  <c r="G5644" i="13" s="1"/>
  <c r="G5653" i="13" s="1"/>
  <c r="G5662" i="13" s="1"/>
  <c r="G5671" i="13" s="1"/>
  <c r="G5680" i="13" s="1"/>
  <c r="G5689" i="13" s="1"/>
  <c r="G5698" i="13" s="1"/>
  <c r="G5707" i="13" s="1"/>
  <c r="G5716" i="13" s="1"/>
  <c r="G5725" i="13" s="1"/>
  <c r="G5734" i="13" s="1"/>
  <c r="G5743" i="13" s="1"/>
  <c r="G5752" i="13" s="1"/>
  <c r="G3552" i="13"/>
  <c r="G3543" i="13"/>
  <c r="G3293" i="13"/>
  <c r="G3338" i="13" s="1"/>
  <c r="G3383" i="13" s="1"/>
  <c r="G3428" i="13" s="1"/>
  <c r="G3473" i="13" s="1"/>
  <c r="G3518" i="13" s="1"/>
  <c r="G3257" i="13"/>
  <c r="G4730" i="13"/>
  <c r="G4748" i="13" s="1"/>
  <c r="G4766" i="13" s="1"/>
  <c r="G4739" i="13"/>
  <c r="G4757" i="13" s="1"/>
  <c r="G4775" i="13" s="1"/>
  <c r="G4784" i="13"/>
  <c r="G4793" i="13" s="1"/>
  <c r="G4802" i="13" s="1"/>
  <c r="G4811" i="13" s="1"/>
  <c r="G4820" i="13" s="1"/>
  <c r="G4829" i="13" s="1"/>
  <c r="G4838" i="13" s="1"/>
  <c r="G4847" i="13" s="1"/>
  <c r="G4856" i="13" s="1"/>
  <c r="G4865" i="13" s="1"/>
  <c r="G4874" i="13" s="1"/>
  <c r="G4883" i="13" s="1"/>
  <c r="G4892" i="13" s="1"/>
  <c r="G4901" i="13" s="1"/>
  <c r="G4910" i="13" s="1"/>
  <c r="G4919" i="13" s="1"/>
  <c r="G4928" i="13" s="1"/>
  <c r="G4937" i="13" s="1"/>
  <c r="G4946" i="13" s="1"/>
  <c r="G4955" i="13" s="1"/>
  <c r="G4964" i="13" s="1"/>
  <c r="G4973" i="13" s="1"/>
  <c r="G4982" i="13" s="1"/>
  <c r="G4991" i="13" s="1"/>
  <c r="G5000" i="13" s="1"/>
  <c r="G5009" i="13" s="1"/>
  <c r="G5018" i="13" s="1"/>
  <c r="G5027" i="13" s="1"/>
  <c r="G5036" i="13" s="1"/>
  <c r="G5045" i="13" s="1"/>
  <c r="G5054" i="13" s="1"/>
  <c r="G5063" i="13" s="1"/>
  <c r="G5072" i="13" s="1"/>
  <c r="G5081" i="13" s="1"/>
  <c r="G5090" i="13" s="1"/>
  <c r="G5099" i="13" s="1"/>
  <c r="G5108" i="13" s="1"/>
  <c r="G5117" i="13" s="1"/>
  <c r="G5126" i="13" s="1"/>
  <c r="G5135" i="13" s="1"/>
  <c r="G5144" i="13" s="1"/>
  <c r="G5153" i="13" s="1"/>
  <c r="G5162" i="13" s="1"/>
  <c r="G5171" i="13" s="1"/>
  <c r="G5180" i="13" s="1"/>
  <c r="G5189" i="13" s="1"/>
  <c r="G5198" i="13" s="1"/>
  <c r="G5207" i="13" s="1"/>
  <c r="G5216" i="13" s="1"/>
  <c r="G5225" i="13" s="1"/>
  <c r="G5234" i="13" s="1"/>
  <c r="G5243" i="13" s="1"/>
  <c r="G5252" i="13" s="1"/>
  <c r="G5261" i="13" s="1"/>
  <c r="G5270" i="13" s="1"/>
  <c r="G5279" i="13" s="1"/>
  <c r="G5288" i="13" s="1"/>
  <c r="G5297" i="13" s="1"/>
  <c r="G5306" i="13" s="1"/>
  <c r="G5315" i="13" s="1"/>
  <c r="G5324" i="13" s="1"/>
  <c r="G5333" i="13" s="1"/>
  <c r="G5342" i="13" s="1"/>
  <c r="G5351" i="13" s="1"/>
  <c r="G5360" i="13" s="1"/>
  <c r="G5369" i="13" s="1"/>
  <c r="G5378" i="13" s="1"/>
  <c r="G5387" i="13" s="1"/>
  <c r="G5396" i="13" s="1"/>
  <c r="G5405" i="13" s="1"/>
  <c r="G5414" i="13" s="1"/>
  <c r="G5423" i="13" s="1"/>
  <c r="G5432" i="13" s="1"/>
  <c r="G5441" i="13" s="1"/>
  <c r="G5450" i="13" s="1"/>
  <c r="G5459" i="13" s="1"/>
  <c r="G5468" i="13" s="1"/>
  <c r="G5477" i="13" s="1"/>
  <c r="G5486" i="13" s="1"/>
  <c r="G5495" i="13" s="1"/>
  <c r="G5504" i="13" s="1"/>
  <c r="G5513" i="13" s="1"/>
  <c r="G5522" i="13" s="1"/>
  <c r="G5531" i="13" s="1"/>
  <c r="G5540" i="13" s="1"/>
  <c r="G5549" i="13" s="1"/>
  <c r="G5558" i="13" s="1"/>
  <c r="G5567" i="13" s="1"/>
  <c r="G5576" i="13" s="1"/>
  <c r="G5585" i="13" s="1"/>
  <c r="G5594" i="13" s="1"/>
  <c r="G5603" i="13" s="1"/>
  <c r="G5612" i="13" s="1"/>
  <c r="G5621" i="13" s="1"/>
  <c r="G5630" i="13" s="1"/>
  <c r="G5639" i="13" s="1"/>
  <c r="G5648" i="13" s="1"/>
  <c r="G5657" i="13" s="1"/>
  <c r="G5666" i="13" s="1"/>
  <c r="G5675" i="13" s="1"/>
  <c r="G5684" i="13" s="1"/>
  <c r="G5693" i="13" s="1"/>
  <c r="G5702" i="13" s="1"/>
  <c r="G5711" i="13" s="1"/>
  <c r="G5720" i="13" s="1"/>
  <c r="G5729" i="13" s="1"/>
  <c r="G5738" i="13" s="1"/>
  <c r="G5747" i="13" s="1"/>
  <c r="G3546" i="13"/>
  <c r="G3555" i="13"/>
  <c r="G4731" i="13"/>
  <c r="G4749" i="13" s="1"/>
  <c r="G4767" i="13" s="1"/>
  <c r="G4785" i="13"/>
  <c r="G4794" i="13" s="1"/>
  <c r="G4803" i="13" s="1"/>
  <c r="G4812" i="13" s="1"/>
  <c r="G4821" i="13" s="1"/>
  <c r="G4830" i="13" s="1"/>
  <c r="G4839" i="13" s="1"/>
  <c r="G4848" i="13" s="1"/>
  <c r="G4857" i="13" s="1"/>
  <c r="G4866" i="13" s="1"/>
  <c r="G4875" i="13" s="1"/>
  <c r="G4884" i="13" s="1"/>
  <c r="G4893" i="13" s="1"/>
  <c r="G4902" i="13" s="1"/>
  <c r="G4911" i="13" s="1"/>
  <c r="G4920" i="13" s="1"/>
  <c r="G4929" i="13" s="1"/>
  <c r="G4938" i="13" s="1"/>
  <c r="G4947" i="13" s="1"/>
  <c r="G4956" i="13" s="1"/>
  <c r="G4965" i="13" s="1"/>
  <c r="G4974" i="13" s="1"/>
  <c r="G4983" i="13" s="1"/>
  <c r="G4992" i="13" s="1"/>
  <c r="G5001" i="13" s="1"/>
  <c r="G5010" i="13" s="1"/>
  <c r="G5019" i="13" s="1"/>
  <c r="G5028" i="13" s="1"/>
  <c r="G5037" i="13" s="1"/>
  <c r="G5046" i="13" s="1"/>
  <c r="G5055" i="13" s="1"/>
  <c r="G5064" i="13" s="1"/>
  <c r="G5073" i="13" s="1"/>
  <c r="G5082" i="13" s="1"/>
  <c r="G5091" i="13" s="1"/>
  <c r="G5100" i="13" s="1"/>
  <c r="G5109" i="13" s="1"/>
  <c r="G5118" i="13" s="1"/>
  <c r="G5127" i="13" s="1"/>
  <c r="G5136" i="13" s="1"/>
  <c r="G5145" i="13" s="1"/>
  <c r="G5154" i="13" s="1"/>
  <c r="G5163" i="13" s="1"/>
  <c r="G5172" i="13" s="1"/>
  <c r="G5181" i="13" s="1"/>
  <c r="G5190" i="13" s="1"/>
  <c r="G5199" i="13" s="1"/>
  <c r="G5208" i="13" s="1"/>
  <c r="G5217" i="13" s="1"/>
  <c r="G5226" i="13" s="1"/>
  <c r="G5235" i="13" s="1"/>
  <c r="G5244" i="13" s="1"/>
  <c r="G5253" i="13" s="1"/>
  <c r="G5262" i="13" s="1"/>
  <c r="G5271" i="13" s="1"/>
  <c r="G5280" i="13" s="1"/>
  <c r="G5289" i="13" s="1"/>
  <c r="G5298" i="13" s="1"/>
  <c r="G5307" i="13" s="1"/>
  <c r="G5316" i="13" s="1"/>
  <c r="G5325" i="13" s="1"/>
  <c r="G5334" i="13" s="1"/>
  <c r="G5343" i="13" s="1"/>
  <c r="G5352" i="13" s="1"/>
  <c r="G5361" i="13" s="1"/>
  <c r="G5370" i="13" s="1"/>
  <c r="G5379" i="13" s="1"/>
  <c r="G5388" i="13" s="1"/>
  <c r="G5397" i="13" s="1"/>
  <c r="G5406" i="13" s="1"/>
  <c r="G5415" i="13" s="1"/>
  <c r="G5424" i="13" s="1"/>
  <c r="G5433" i="13" s="1"/>
  <c r="G5442" i="13" s="1"/>
  <c r="G5451" i="13" s="1"/>
  <c r="G5460" i="13" s="1"/>
  <c r="G5469" i="13" s="1"/>
  <c r="G5478" i="13" s="1"/>
  <c r="G5487" i="13" s="1"/>
  <c r="G5496" i="13" s="1"/>
  <c r="G5505" i="13" s="1"/>
  <c r="G5514" i="13" s="1"/>
  <c r="G5523" i="13" s="1"/>
  <c r="G5532" i="13" s="1"/>
  <c r="G5541" i="13" s="1"/>
  <c r="G5550" i="13" s="1"/>
  <c r="G5559" i="13" s="1"/>
  <c r="G5568" i="13" s="1"/>
  <c r="G5577" i="13" s="1"/>
  <c r="G5586" i="13" s="1"/>
  <c r="G5595" i="13" s="1"/>
  <c r="G5604" i="13" s="1"/>
  <c r="G5613" i="13" s="1"/>
  <c r="G5622" i="13" s="1"/>
  <c r="G5631" i="13" s="1"/>
  <c r="G5640" i="13" s="1"/>
  <c r="G5649" i="13" s="1"/>
  <c r="G5658" i="13" s="1"/>
  <c r="G5667" i="13" s="1"/>
  <c r="G5676" i="13" s="1"/>
  <c r="G5685" i="13" s="1"/>
  <c r="G5694" i="13" s="1"/>
  <c r="G5703" i="13" s="1"/>
  <c r="G5712" i="13" s="1"/>
  <c r="G5721" i="13" s="1"/>
  <c r="G5730" i="13" s="1"/>
  <c r="G5739" i="13" s="1"/>
  <c r="G5748" i="13" s="1"/>
  <c r="G4740" i="13"/>
  <c r="G4758" i="13" s="1"/>
  <c r="G4776" i="13" s="1"/>
  <c r="G4226" i="13"/>
  <c r="G4298" i="13"/>
  <c r="G4388" i="13" s="1"/>
  <c r="G3550" i="13"/>
  <c r="G3541" i="13"/>
  <c r="V195" i="15"/>
  <c r="V199" i="15" s="1"/>
  <c r="V202" i="15" s="1"/>
  <c r="V162" i="15"/>
  <c r="V165" i="15" s="1"/>
  <c r="D729" i="14"/>
  <c r="D972" i="14"/>
  <c r="D990" i="14"/>
  <c r="D774" i="14"/>
  <c r="D1107" i="14" s="1"/>
  <c r="D1050" i="14"/>
  <c r="D1176" i="14"/>
  <c r="D1113" i="14"/>
  <c r="D789" i="14"/>
  <c r="D1122" i="14" s="1"/>
  <c r="D753" i="14"/>
  <c r="D1086" i="14" s="1"/>
  <c r="D1068" i="14"/>
  <c r="D1921" i="14"/>
  <c r="D1939" i="14"/>
  <c r="D1048" i="14"/>
  <c r="D1174" i="14"/>
  <c r="D751" i="14"/>
  <c r="D1084" i="14" s="1"/>
  <c r="D1066" i="14"/>
  <c r="D787" i="14"/>
  <c r="D1120" i="14" s="1"/>
  <c r="D1111" i="14"/>
  <c r="J68" i="2"/>
  <c r="H17" i="16"/>
  <c r="G6221" i="13"/>
  <c r="G6284" i="13" s="1"/>
  <c r="G6347" i="13" s="1"/>
  <c r="G6410" i="13" s="1"/>
  <c r="G6473" i="13" s="1"/>
  <c r="G6536" i="13" s="1"/>
  <c r="G6599" i="13" s="1"/>
  <c r="G6662" i="13" s="1"/>
  <c r="G6725" i="13" s="1"/>
  <c r="G6788" i="13" s="1"/>
  <c r="G6851" i="13" s="1"/>
  <c r="G6914" i="13" s="1"/>
  <c r="G6977" i="13" s="1"/>
  <c r="G6203" i="13"/>
  <c r="G6266" i="13" s="1"/>
  <c r="G6329" i="13" s="1"/>
  <c r="G6392" i="13" s="1"/>
  <c r="G6455" i="13" s="1"/>
  <c r="G6518" i="13" s="1"/>
  <c r="G6581" i="13" s="1"/>
  <c r="G6644" i="13" s="1"/>
  <c r="G6707" i="13" s="1"/>
  <c r="G6770" i="13" s="1"/>
  <c r="G6833" i="13" s="1"/>
  <c r="G6896" i="13" s="1"/>
  <c r="G6959" i="13" s="1"/>
  <c r="G7022" i="13" s="1"/>
  <c r="G6122" i="13"/>
  <c r="G6167" i="13" s="1"/>
  <c r="G6095" i="13"/>
  <c r="K62" i="2"/>
  <c r="J62" i="2"/>
  <c r="K29" i="2"/>
  <c r="L26" i="2" s="1"/>
  <c r="J29" i="2"/>
  <c r="K55" i="2"/>
  <c r="K42" i="2"/>
  <c r="K18" i="2"/>
  <c r="K19" i="2" s="1"/>
  <c r="L15" i="2" s="1"/>
  <c r="M15" i="2" s="1"/>
  <c r="J18" i="2"/>
  <c r="J19" i="2" s="1"/>
  <c r="J21" i="2" s="1"/>
  <c r="J55" i="2"/>
  <c r="H23" i="16"/>
  <c r="AC421" i="1"/>
  <c r="AC424" i="1" s="1"/>
  <c r="J42" i="2"/>
  <c r="D1927" i="14"/>
  <c r="D1945" i="14"/>
  <c r="D1837" i="14"/>
  <c r="D1936" i="14" s="1"/>
  <c r="D1836" i="14"/>
  <c r="D1935" i="14" s="1"/>
  <c r="D1944" i="14"/>
  <c r="D1926" i="14"/>
  <c r="D1943" i="14"/>
  <c r="D1925" i="14"/>
  <c r="D1835" i="14"/>
  <c r="D1934" i="14" s="1"/>
  <c r="G4322" i="13"/>
  <c r="G4250" i="13"/>
  <c r="G5924" i="13"/>
  <c r="G5951" i="13" s="1"/>
  <c r="G5978" i="13" s="1"/>
  <c r="G6005" i="13" s="1"/>
  <c r="G6032" i="13" s="1"/>
  <c r="G7040" i="13"/>
  <c r="D1052" i="14" l="1"/>
  <c r="D1421" i="14"/>
  <c r="D1530" i="14"/>
  <c r="D1422" i="14"/>
  <c r="D1061" i="14"/>
  <c r="D1430" i="14"/>
  <c r="D1062" i="14"/>
  <c r="D1431" i="14"/>
  <c r="D1063" i="14"/>
  <c r="D1432" i="14"/>
  <c r="D1053" i="14"/>
  <c r="D757" i="14"/>
  <c r="D1090" i="14" s="1"/>
  <c r="D1179" i="14"/>
  <c r="D1054" i="14"/>
  <c r="D1531" i="14"/>
  <c r="D1178" i="14"/>
  <c r="D1529" i="14"/>
  <c r="D1115" i="14"/>
  <c r="D1180" i="14"/>
  <c r="D1117" i="14"/>
  <c r="D1070" i="14"/>
  <c r="D1116" i="14"/>
  <c r="G3288" i="13"/>
  <c r="G3333" i="13" s="1"/>
  <c r="G3378" i="13" s="1"/>
  <c r="G3423" i="13" s="1"/>
  <c r="G3468" i="13" s="1"/>
  <c r="G3513" i="13" s="1"/>
  <c r="D1071" i="14"/>
  <c r="G3294" i="13"/>
  <c r="G3339" i="13" s="1"/>
  <c r="G3384" i="13" s="1"/>
  <c r="G3429" i="13" s="1"/>
  <c r="G3474" i="13" s="1"/>
  <c r="G3519" i="13" s="1"/>
  <c r="G3547" i="13"/>
  <c r="G3551" i="13"/>
  <c r="G3545" i="13"/>
  <c r="G5758" i="13"/>
  <c r="G5776" i="13"/>
  <c r="G5803" i="13" s="1"/>
  <c r="G5830" i="13" s="1"/>
  <c r="G5857" i="13" s="1"/>
  <c r="G5884" i="13" s="1"/>
  <c r="G5911" i="13" s="1"/>
  <c r="G5938" i="13" s="1"/>
  <c r="G5965" i="13" s="1"/>
  <c r="G5992" i="13" s="1"/>
  <c r="G6019" i="13" s="1"/>
  <c r="G6046" i="13" s="1"/>
  <c r="G5779" i="13"/>
  <c r="G5806" i="13" s="1"/>
  <c r="G5833" i="13" s="1"/>
  <c r="G5860" i="13" s="1"/>
  <c r="G5887" i="13" s="1"/>
  <c r="G5914" i="13" s="1"/>
  <c r="G5941" i="13" s="1"/>
  <c r="G5968" i="13" s="1"/>
  <c r="G5995" i="13" s="1"/>
  <c r="G6022" i="13" s="1"/>
  <c r="G6049" i="13" s="1"/>
  <c r="G5761" i="13"/>
  <c r="G4235" i="13"/>
  <c r="G4307" i="13"/>
  <c r="G4397" i="13" s="1"/>
  <c r="G4236" i="13"/>
  <c r="G4308" i="13"/>
  <c r="G4398" i="13" s="1"/>
  <c r="G4305" i="13"/>
  <c r="G4395" i="13" s="1"/>
  <c r="G4233" i="13"/>
  <c r="G4238" i="13"/>
  <c r="G4310" i="13"/>
  <c r="G4400" i="13" s="1"/>
  <c r="G4234" i="13"/>
  <c r="G4306" i="13"/>
  <c r="G4396" i="13" s="1"/>
  <c r="G5756" i="13"/>
  <c r="G5774" i="13"/>
  <c r="G5801" i="13" s="1"/>
  <c r="G5828" i="13" s="1"/>
  <c r="G5855" i="13" s="1"/>
  <c r="G5882" i="13" s="1"/>
  <c r="G5909" i="13" s="1"/>
  <c r="G5936" i="13" s="1"/>
  <c r="G5963" i="13" s="1"/>
  <c r="G5990" i="13" s="1"/>
  <c r="G6017" i="13" s="1"/>
  <c r="G6044" i="13" s="1"/>
  <c r="G4312" i="13"/>
  <c r="G4402" i="13" s="1"/>
  <c r="G4240" i="13"/>
  <c r="G5773" i="13"/>
  <c r="G5800" i="13" s="1"/>
  <c r="G5827" i="13" s="1"/>
  <c r="G5854" i="13" s="1"/>
  <c r="G5881" i="13" s="1"/>
  <c r="G5908" i="13" s="1"/>
  <c r="G5935" i="13" s="1"/>
  <c r="G5962" i="13" s="1"/>
  <c r="G5989" i="13" s="1"/>
  <c r="G6016" i="13" s="1"/>
  <c r="G6043" i="13" s="1"/>
  <c r="G5755" i="13"/>
  <c r="G4311" i="13"/>
  <c r="G4401" i="13" s="1"/>
  <c r="G4239" i="13"/>
  <c r="G5760" i="13"/>
  <c r="G5778" i="13"/>
  <c r="G5805" i="13" s="1"/>
  <c r="G5832" i="13" s="1"/>
  <c r="G5859" i="13" s="1"/>
  <c r="G5886" i="13" s="1"/>
  <c r="G5913" i="13" s="1"/>
  <c r="G5940" i="13" s="1"/>
  <c r="G5967" i="13" s="1"/>
  <c r="G5994" i="13" s="1"/>
  <c r="G6021" i="13" s="1"/>
  <c r="G6048" i="13" s="1"/>
  <c r="G5777" i="13"/>
  <c r="G5804" i="13" s="1"/>
  <c r="G5831" i="13" s="1"/>
  <c r="G5858" i="13" s="1"/>
  <c r="G5885" i="13" s="1"/>
  <c r="G5912" i="13" s="1"/>
  <c r="G5939" i="13" s="1"/>
  <c r="G5966" i="13" s="1"/>
  <c r="G5993" i="13" s="1"/>
  <c r="G6020" i="13" s="1"/>
  <c r="G6047" i="13" s="1"/>
  <c r="G5759" i="13"/>
  <c r="G5772" i="13"/>
  <c r="G5799" i="13" s="1"/>
  <c r="G5826" i="13" s="1"/>
  <c r="G5853" i="13" s="1"/>
  <c r="G5880" i="13" s="1"/>
  <c r="G5907" i="13" s="1"/>
  <c r="G5934" i="13" s="1"/>
  <c r="G5961" i="13" s="1"/>
  <c r="G5988" i="13" s="1"/>
  <c r="G6015" i="13" s="1"/>
  <c r="G6042" i="13" s="1"/>
  <c r="G5754" i="13"/>
  <c r="G5775" i="13"/>
  <c r="G5802" i="13" s="1"/>
  <c r="G5829" i="13" s="1"/>
  <c r="G5856" i="13" s="1"/>
  <c r="G5883" i="13" s="1"/>
  <c r="G5910" i="13" s="1"/>
  <c r="G5937" i="13" s="1"/>
  <c r="G5964" i="13" s="1"/>
  <c r="G5991" i="13" s="1"/>
  <c r="G6018" i="13" s="1"/>
  <c r="G6045" i="13" s="1"/>
  <c r="G5757" i="13"/>
  <c r="G4309" i="13"/>
  <c r="G4399" i="13" s="1"/>
  <c r="G4237" i="13"/>
  <c r="L35" i="2"/>
  <c r="L38" i="2"/>
  <c r="M38" i="2" s="1"/>
  <c r="H24" i="16"/>
  <c r="H63" i="2"/>
  <c r="G6230" i="13"/>
  <c r="G6293" i="13" s="1"/>
  <c r="G6356" i="13" s="1"/>
  <c r="G6419" i="13" s="1"/>
  <c r="G6482" i="13" s="1"/>
  <c r="G6545" i="13" s="1"/>
  <c r="G6608" i="13" s="1"/>
  <c r="G6671" i="13" s="1"/>
  <c r="G6734" i="13" s="1"/>
  <c r="G6797" i="13" s="1"/>
  <c r="G6860" i="13" s="1"/>
  <c r="G6923" i="13" s="1"/>
  <c r="G6986" i="13" s="1"/>
  <c r="G6212" i="13"/>
  <c r="G6275" i="13" s="1"/>
  <c r="G6338" i="13" s="1"/>
  <c r="G6401" i="13" s="1"/>
  <c r="G6464" i="13" s="1"/>
  <c r="G6527" i="13" s="1"/>
  <c r="G6590" i="13" s="1"/>
  <c r="G6653" i="13" s="1"/>
  <c r="G6716" i="13" s="1"/>
  <c r="G6779" i="13" s="1"/>
  <c r="G6842" i="13" s="1"/>
  <c r="G6905" i="13" s="1"/>
  <c r="G6968" i="13" s="1"/>
  <c r="G7031" i="13" s="1"/>
  <c r="L16" i="2"/>
  <c r="M16" i="2" s="1"/>
  <c r="H20" i="2"/>
  <c r="L3" i="2"/>
  <c r="F43" i="2"/>
  <c r="J63" i="2"/>
  <c r="L46" i="2"/>
  <c r="L27" i="2"/>
  <c r="H28" i="16"/>
  <c r="E63" i="2"/>
  <c r="D20" i="2"/>
  <c r="I30" i="2"/>
  <c r="L54" i="2"/>
  <c r="C56" i="2"/>
  <c r="D30" i="2"/>
  <c r="J69" i="2"/>
  <c r="L11" i="2"/>
  <c r="I63" i="2"/>
  <c r="I20" i="2"/>
  <c r="C63" i="2"/>
  <c r="L37" i="2"/>
  <c r="M37" i="2" s="1"/>
  <c r="L40" i="2"/>
  <c r="M40" i="2" s="1"/>
  <c r="L34" i="2"/>
  <c r="L36" i="2"/>
  <c r="L41" i="2"/>
  <c r="M41" i="2" s="1"/>
  <c r="L39" i="2"/>
  <c r="M39" i="2" s="1"/>
  <c r="J56" i="2"/>
  <c r="L28" i="2"/>
  <c r="L59" i="2"/>
  <c r="L48" i="2"/>
  <c r="L53" i="2"/>
  <c r="C30" i="2"/>
  <c r="G30" i="2"/>
  <c r="H43" i="2"/>
  <c r="L9" i="2"/>
  <c r="L60" i="2"/>
  <c r="L6" i="2"/>
  <c r="L47" i="2"/>
  <c r="F20" i="2"/>
  <c r="G63" i="2"/>
  <c r="D63" i="2"/>
  <c r="E69" i="2"/>
  <c r="C69" i="2"/>
  <c r="G69" i="2"/>
  <c r="G43" i="2"/>
  <c r="J30" i="2"/>
  <c r="L4" i="2"/>
  <c r="L17" i="2"/>
  <c r="M17" i="2" s="1"/>
  <c r="L12" i="2"/>
  <c r="D56" i="2"/>
  <c r="E43" i="2"/>
  <c r="B20" i="2"/>
  <c r="H30" i="2"/>
  <c r="B69" i="2"/>
  <c r="B56" i="2"/>
  <c r="E30" i="2"/>
  <c r="L67" i="2"/>
  <c r="L8" i="2"/>
  <c r="L14" i="2"/>
  <c r="L49" i="2"/>
  <c r="L13" i="2"/>
  <c r="L51" i="2"/>
  <c r="F56" i="2"/>
  <c r="I43" i="2"/>
  <c r="C43" i="2"/>
  <c r="G20" i="2"/>
  <c r="D43" i="2"/>
  <c r="F69" i="2"/>
  <c r="F63" i="2"/>
  <c r="C20" i="2"/>
  <c r="H69" i="2"/>
  <c r="L5" i="2"/>
  <c r="L61" i="2"/>
  <c r="L10" i="2"/>
  <c r="L7" i="2"/>
  <c r="L52" i="2"/>
  <c r="L50" i="2"/>
  <c r="G56" i="2"/>
  <c r="I69" i="2"/>
  <c r="L66" i="2"/>
  <c r="E56" i="2"/>
  <c r="D69" i="2"/>
  <c r="B43" i="2"/>
  <c r="H56" i="2"/>
  <c r="B63" i="2"/>
  <c r="B30" i="2"/>
  <c r="I56" i="2"/>
  <c r="E20" i="2"/>
  <c r="F30" i="2"/>
  <c r="J43" i="2"/>
  <c r="J20" i="2"/>
  <c r="G6059" i="13"/>
  <c r="G6104" i="13"/>
  <c r="G6149" i="13" s="1"/>
  <c r="G6194" i="13" s="1"/>
  <c r="G6257" i="13" s="1"/>
  <c r="G6320" i="13" s="1"/>
  <c r="G6383" i="13" s="1"/>
  <c r="G6446" i="13" s="1"/>
  <c r="G6509" i="13" s="1"/>
  <c r="G6572" i="13" s="1"/>
  <c r="G6635" i="13" s="1"/>
  <c r="G6698" i="13" s="1"/>
  <c r="G6761" i="13" s="1"/>
  <c r="G6824" i="13" s="1"/>
  <c r="G6887" i="13" s="1"/>
  <c r="G6950" i="13" s="1"/>
  <c r="G7013" i="13" s="1"/>
  <c r="G4331" i="13"/>
  <c r="G4259" i="13"/>
  <c r="G4318" i="13" l="1"/>
  <c r="G4246" i="13"/>
  <c r="G6075" i="13"/>
  <c r="G6147" i="13" s="1"/>
  <c r="G6192" i="13" s="1"/>
  <c r="G6255" i="13" s="1"/>
  <c r="G6318" i="13" s="1"/>
  <c r="G6381" i="13" s="1"/>
  <c r="G6444" i="13" s="1"/>
  <c r="G6507" i="13" s="1"/>
  <c r="G6570" i="13" s="1"/>
  <c r="G6633" i="13" s="1"/>
  <c r="G6696" i="13" s="1"/>
  <c r="G6759" i="13" s="1"/>
  <c r="G6822" i="13" s="1"/>
  <c r="G6885" i="13" s="1"/>
  <c r="G6948" i="13" s="1"/>
  <c r="G7011" i="13" s="1"/>
  <c r="G6120" i="13"/>
  <c r="G6165" i="13" s="1"/>
  <c r="G6071" i="13"/>
  <c r="G6143" i="13" s="1"/>
  <c r="G6188" i="13" s="1"/>
  <c r="G6251" i="13" s="1"/>
  <c r="G6314" i="13" s="1"/>
  <c r="G6377" i="13" s="1"/>
  <c r="G6440" i="13" s="1"/>
  <c r="G6503" i="13" s="1"/>
  <c r="G6566" i="13" s="1"/>
  <c r="G6629" i="13" s="1"/>
  <c r="G6692" i="13" s="1"/>
  <c r="G6755" i="13" s="1"/>
  <c r="G6818" i="13" s="1"/>
  <c r="G6881" i="13" s="1"/>
  <c r="G6944" i="13" s="1"/>
  <c r="G7007" i="13" s="1"/>
  <c r="G6116" i="13"/>
  <c r="G6161" i="13" s="1"/>
  <c r="G5786" i="13"/>
  <c r="G5813" i="13" s="1"/>
  <c r="G5840" i="13" s="1"/>
  <c r="G5867" i="13" s="1"/>
  <c r="G5894" i="13" s="1"/>
  <c r="G5921" i="13" s="1"/>
  <c r="G5948" i="13" s="1"/>
  <c r="G5975" i="13" s="1"/>
  <c r="G6002" i="13" s="1"/>
  <c r="G6029" i="13" s="1"/>
  <c r="G6056" i="13" s="1"/>
  <c r="G5768" i="13"/>
  <c r="G5795" i="13" s="1"/>
  <c r="G5822" i="13" s="1"/>
  <c r="G5849" i="13" s="1"/>
  <c r="G5876" i="13" s="1"/>
  <c r="G5903" i="13" s="1"/>
  <c r="G4314" i="13"/>
  <c r="G4242" i="13"/>
  <c r="G5769" i="13"/>
  <c r="G5796" i="13" s="1"/>
  <c r="G5823" i="13" s="1"/>
  <c r="G5850" i="13" s="1"/>
  <c r="G5877" i="13" s="1"/>
  <c r="G5904" i="13" s="1"/>
  <c r="G5787" i="13"/>
  <c r="G5814" i="13" s="1"/>
  <c r="G5841" i="13" s="1"/>
  <c r="G5868" i="13" s="1"/>
  <c r="G5895" i="13" s="1"/>
  <c r="G5922" i="13" s="1"/>
  <c r="G5949" i="13" s="1"/>
  <c r="G5976" i="13" s="1"/>
  <c r="G6003" i="13" s="1"/>
  <c r="G6030" i="13" s="1"/>
  <c r="G6057" i="13" s="1"/>
  <c r="G5765" i="13"/>
  <c r="G5792" i="13" s="1"/>
  <c r="G5819" i="13" s="1"/>
  <c r="G5846" i="13" s="1"/>
  <c r="G5873" i="13" s="1"/>
  <c r="G5900" i="13" s="1"/>
  <c r="G5783" i="13"/>
  <c r="G5810" i="13" s="1"/>
  <c r="G5837" i="13" s="1"/>
  <c r="G5864" i="13" s="1"/>
  <c r="G5891" i="13" s="1"/>
  <c r="G5918" i="13" s="1"/>
  <c r="G5945" i="13" s="1"/>
  <c r="G5972" i="13" s="1"/>
  <c r="G5999" i="13" s="1"/>
  <c r="G6026" i="13" s="1"/>
  <c r="G6053" i="13" s="1"/>
  <c r="G4245" i="13"/>
  <c r="G4317" i="13"/>
  <c r="G5766" i="13"/>
  <c r="G5793" i="13" s="1"/>
  <c r="G5820" i="13" s="1"/>
  <c r="G5847" i="13" s="1"/>
  <c r="G5874" i="13" s="1"/>
  <c r="G5901" i="13" s="1"/>
  <c r="G5784" i="13"/>
  <c r="G5811" i="13" s="1"/>
  <c r="G5838" i="13" s="1"/>
  <c r="G5865" i="13" s="1"/>
  <c r="G5892" i="13" s="1"/>
  <c r="G5919" i="13" s="1"/>
  <c r="G5946" i="13" s="1"/>
  <c r="G5973" i="13" s="1"/>
  <c r="G6000" i="13" s="1"/>
  <c r="G6027" i="13" s="1"/>
  <c r="G6054" i="13" s="1"/>
  <c r="G4248" i="13"/>
  <c r="G4320" i="13"/>
  <c r="G4315" i="13"/>
  <c r="G4243" i="13"/>
  <c r="G6072" i="13"/>
  <c r="G6144" i="13" s="1"/>
  <c r="G6189" i="13" s="1"/>
  <c r="G6252" i="13" s="1"/>
  <c r="G6315" i="13" s="1"/>
  <c r="G6378" i="13" s="1"/>
  <c r="G6441" i="13" s="1"/>
  <c r="G6504" i="13" s="1"/>
  <c r="G6567" i="13" s="1"/>
  <c r="G6630" i="13" s="1"/>
  <c r="G6693" i="13" s="1"/>
  <c r="G6756" i="13" s="1"/>
  <c r="G6819" i="13" s="1"/>
  <c r="G6882" i="13" s="1"/>
  <c r="G6945" i="13" s="1"/>
  <c r="G7008" i="13" s="1"/>
  <c r="G6117" i="13"/>
  <c r="G6162" i="13" s="1"/>
  <c r="G4244" i="13"/>
  <c r="G4316" i="13"/>
  <c r="G5763" i="13"/>
  <c r="G5790" i="13" s="1"/>
  <c r="G5817" i="13" s="1"/>
  <c r="G5844" i="13" s="1"/>
  <c r="G5871" i="13" s="1"/>
  <c r="G5898" i="13" s="1"/>
  <c r="G5781" i="13"/>
  <c r="G5808" i="13" s="1"/>
  <c r="G5835" i="13" s="1"/>
  <c r="G5862" i="13" s="1"/>
  <c r="G5889" i="13" s="1"/>
  <c r="G5916" i="13" s="1"/>
  <c r="G5943" i="13" s="1"/>
  <c r="G5970" i="13" s="1"/>
  <c r="G5997" i="13" s="1"/>
  <c r="G6024" i="13" s="1"/>
  <c r="G6051" i="13" s="1"/>
  <c r="G5764" i="13"/>
  <c r="G5791" i="13" s="1"/>
  <c r="G5818" i="13" s="1"/>
  <c r="G5845" i="13" s="1"/>
  <c r="G5872" i="13" s="1"/>
  <c r="G5899" i="13" s="1"/>
  <c r="G5782" i="13"/>
  <c r="G5809" i="13" s="1"/>
  <c r="G5836" i="13" s="1"/>
  <c r="G5863" i="13" s="1"/>
  <c r="G5890" i="13" s="1"/>
  <c r="G5917" i="13" s="1"/>
  <c r="G5944" i="13" s="1"/>
  <c r="G5971" i="13" s="1"/>
  <c r="G5998" i="13" s="1"/>
  <c r="G6025" i="13" s="1"/>
  <c r="G6052" i="13" s="1"/>
  <c r="G5788" i="13"/>
  <c r="G5815" i="13" s="1"/>
  <c r="G5842" i="13" s="1"/>
  <c r="G5869" i="13" s="1"/>
  <c r="G5896" i="13" s="1"/>
  <c r="G5923" i="13" s="1"/>
  <c r="G5950" i="13" s="1"/>
  <c r="G5977" i="13" s="1"/>
  <c r="G6004" i="13" s="1"/>
  <c r="G6031" i="13" s="1"/>
  <c r="G6058" i="13" s="1"/>
  <c r="G5770" i="13"/>
  <c r="G5797" i="13" s="1"/>
  <c r="G5824" i="13" s="1"/>
  <c r="G5851" i="13" s="1"/>
  <c r="G5878" i="13" s="1"/>
  <c r="G5905" i="13" s="1"/>
  <c r="G6069" i="13"/>
  <c r="G6141" i="13" s="1"/>
  <c r="G6186" i="13" s="1"/>
  <c r="G6249" i="13" s="1"/>
  <c r="G6312" i="13" s="1"/>
  <c r="G6375" i="13" s="1"/>
  <c r="G6438" i="13" s="1"/>
  <c r="G6501" i="13" s="1"/>
  <c r="G6564" i="13" s="1"/>
  <c r="G6627" i="13" s="1"/>
  <c r="G6690" i="13" s="1"/>
  <c r="G6753" i="13" s="1"/>
  <c r="G6816" i="13" s="1"/>
  <c r="G6879" i="13" s="1"/>
  <c r="G6942" i="13" s="1"/>
  <c r="G7005" i="13" s="1"/>
  <c r="G6114" i="13"/>
  <c r="G6159" i="13" s="1"/>
  <c r="G6115" i="13"/>
  <c r="G6160" i="13" s="1"/>
  <c r="G6070" i="13"/>
  <c r="G6142" i="13" s="1"/>
  <c r="G6187" i="13" s="1"/>
  <c r="G6250" i="13" s="1"/>
  <c r="G6313" i="13" s="1"/>
  <c r="G6376" i="13" s="1"/>
  <c r="G6439" i="13" s="1"/>
  <c r="G6502" i="13" s="1"/>
  <c r="G6565" i="13" s="1"/>
  <c r="G6628" i="13" s="1"/>
  <c r="G6691" i="13" s="1"/>
  <c r="G6754" i="13" s="1"/>
  <c r="G6817" i="13" s="1"/>
  <c r="G6880" i="13" s="1"/>
  <c r="G6943" i="13" s="1"/>
  <c r="G7006" i="13" s="1"/>
  <c r="G4247" i="13"/>
  <c r="G4319" i="13"/>
  <c r="G6121" i="13"/>
  <c r="G6166" i="13" s="1"/>
  <c r="G6076" i="13"/>
  <c r="G6148" i="13" s="1"/>
  <c r="G6193" i="13" s="1"/>
  <c r="G6256" i="13" s="1"/>
  <c r="G6319" i="13" s="1"/>
  <c r="G6382" i="13" s="1"/>
  <c r="G6445" i="13" s="1"/>
  <c r="G6508" i="13" s="1"/>
  <c r="G6571" i="13" s="1"/>
  <c r="G6634" i="13" s="1"/>
  <c r="G6697" i="13" s="1"/>
  <c r="G6760" i="13" s="1"/>
  <c r="G6823" i="13" s="1"/>
  <c r="G6886" i="13" s="1"/>
  <c r="G6949" i="13" s="1"/>
  <c r="G7012" i="13" s="1"/>
  <c r="G4321" i="13"/>
  <c r="G4249" i="13"/>
  <c r="G6073" i="13"/>
  <c r="G6145" i="13" s="1"/>
  <c r="G6190" i="13" s="1"/>
  <c r="G6253" i="13" s="1"/>
  <c r="G6316" i="13" s="1"/>
  <c r="G6379" i="13" s="1"/>
  <c r="G6442" i="13" s="1"/>
  <c r="G6505" i="13" s="1"/>
  <c r="G6568" i="13" s="1"/>
  <c r="G6631" i="13" s="1"/>
  <c r="G6694" i="13" s="1"/>
  <c r="G6757" i="13" s="1"/>
  <c r="G6820" i="13" s="1"/>
  <c r="G6883" i="13" s="1"/>
  <c r="G6946" i="13" s="1"/>
  <c r="G7009" i="13" s="1"/>
  <c r="G6118" i="13"/>
  <c r="G6163" i="13" s="1"/>
  <c r="G6074" i="13"/>
  <c r="G6146" i="13" s="1"/>
  <c r="G6191" i="13" s="1"/>
  <c r="G6254" i="13" s="1"/>
  <c r="G6317" i="13" s="1"/>
  <c r="G6380" i="13" s="1"/>
  <c r="G6443" i="13" s="1"/>
  <c r="G6506" i="13" s="1"/>
  <c r="G6569" i="13" s="1"/>
  <c r="G6632" i="13" s="1"/>
  <c r="G6695" i="13" s="1"/>
  <c r="G6758" i="13" s="1"/>
  <c r="G6821" i="13" s="1"/>
  <c r="G6884" i="13" s="1"/>
  <c r="G6947" i="13" s="1"/>
  <c r="G7010" i="13" s="1"/>
  <c r="G6119" i="13"/>
  <c r="G6164" i="13" s="1"/>
  <c r="G5767" i="13"/>
  <c r="G5794" i="13" s="1"/>
  <c r="G5821" i="13" s="1"/>
  <c r="G5848" i="13" s="1"/>
  <c r="G5875" i="13" s="1"/>
  <c r="G5902" i="13" s="1"/>
  <c r="G5785" i="13"/>
  <c r="G5812" i="13" s="1"/>
  <c r="G5839" i="13" s="1"/>
  <c r="G5866" i="13" s="1"/>
  <c r="G5893" i="13" s="1"/>
  <c r="G5920" i="13" s="1"/>
  <c r="G5947" i="13" s="1"/>
  <c r="G5974" i="13" s="1"/>
  <c r="G6001" i="13" s="1"/>
  <c r="G6028" i="13" s="1"/>
  <c r="G6055" i="13" s="1"/>
  <c r="G6131" i="13"/>
  <c r="G6176" i="13" s="1"/>
  <c r="G6239" i="13" s="1"/>
  <c r="G6302" i="13" s="1"/>
  <c r="G6365" i="13" s="1"/>
  <c r="G6428" i="13" s="1"/>
  <c r="G6491" i="13" s="1"/>
  <c r="G6554" i="13" s="1"/>
  <c r="G6617" i="13" s="1"/>
  <c r="G6680" i="13" s="1"/>
  <c r="G6743" i="13" s="1"/>
  <c r="G6806" i="13" s="1"/>
  <c r="G6869" i="13" s="1"/>
  <c r="G6932" i="13" s="1"/>
  <c r="G6995" i="13" s="1"/>
  <c r="G6086" i="13"/>
  <c r="M34" i="2"/>
  <c r="M3" i="2"/>
  <c r="M8" i="2"/>
  <c r="G4268" i="13"/>
  <c r="G4277" i="13"/>
  <c r="G4367" i="13" s="1"/>
  <c r="G4340" i="13"/>
  <c r="G6223" i="13" l="1"/>
  <c r="G6286" i="13" s="1"/>
  <c r="G6349" i="13" s="1"/>
  <c r="G6412" i="13" s="1"/>
  <c r="G6475" i="13" s="1"/>
  <c r="G6538" i="13" s="1"/>
  <c r="G6601" i="13" s="1"/>
  <c r="G6664" i="13" s="1"/>
  <c r="G6727" i="13" s="1"/>
  <c r="G6790" i="13" s="1"/>
  <c r="G6853" i="13" s="1"/>
  <c r="G6916" i="13" s="1"/>
  <c r="G6979" i="13" s="1"/>
  <c r="G6205" i="13"/>
  <c r="G6268" i="13" s="1"/>
  <c r="G6331" i="13" s="1"/>
  <c r="G6394" i="13" s="1"/>
  <c r="G6457" i="13" s="1"/>
  <c r="G6520" i="13" s="1"/>
  <c r="G6583" i="13" s="1"/>
  <c r="G6646" i="13" s="1"/>
  <c r="G6709" i="13" s="1"/>
  <c r="G6772" i="13" s="1"/>
  <c r="G6835" i="13" s="1"/>
  <c r="G6898" i="13" s="1"/>
  <c r="G6961" i="13" s="1"/>
  <c r="G7024" i="13" s="1"/>
  <c r="G6081" i="13"/>
  <c r="G6126" i="13"/>
  <c r="G6171" i="13" s="1"/>
  <c r="G6099" i="13"/>
  <c r="G5928" i="13"/>
  <c r="G5955" i="13" s="1"/>
  <c r="G5982" i="13" s="1"/>
  <c r="G6009" i="13" s="1"/>
  <c r="G6036" i="13" s="1"/>
  <c r="G7044" i="13"/>
  <c r="G6082" i="13"/>
  <c r="G6127" i="13"/>
  <c r="G6172" i="13" s="1"/>
  <c r="G6100" i="13"/>
  <c r="G7048" i="13"/>
  <c r="G5932" i="13"/>
  <c r="G5959" i="13" s="1"/>
  <c r="G5986" i="13" s="1"/>
  <c r="G6013" i="13" s="1"/>
  <c r="G6040" i="13" s="1"/>
  <c r="G6225" i="13"/>
  <c r="G6288" i="13" s="1"/>
  <c r="G6351" i="13" s="1"/>
  <c r="G6414" i="13" s="1"/>
  <c r="G6477" i="13" s="1"/>
  <c r="G6540" i="13" s="1"/>
  <c r="G6603" i="13" s="1"/>
  <c r="G6666" i="13" s="1"/>
  <c r="G6729" i="13" s="1"/>
  <c r="G6792" i="13" s="1"/>
  <c r="G6855" i="13" s="1"/>
  <c r="G6918" i="13" s="1"/>
  <c r="G6981" i="13" s="1"/>
  <c r="G6207" i="13"/>
  <c r="G6270" i="13" s="1"/>
  <c r="G6333" i="13" s="1"/>
  <c r="G6396" i="13" s="1"/>
  <c r="G6459" i="13" s="1"/>
  <c r="G6522" i="13" s="1"/>
  <c r="G6585" i="13" s="1"/>
  <c r="G6648" i="13" s="1"/>
  <c r="G6711" i="13" s="1"/>
  <c r="G6774" i="13" s="1"/>
  <c r="G6837" i="13" s="1"/>
  <c r="G6900" i="13" s="1"/>
  <c r="G6963" i="13" s="1"/>
  <c r="G7026" i="13" s="1"/>
  <c r="G5930" i="13"/>
  <c r="G5957" i="13" s="1"/>
  <c r="G5984" i="13" s="1"/>
  <c r="G6011" i="13" s="1"/>
  <c r="G6038" i="13" s="1"/>
  <c r="G7046" i="13"/>
  <c r="G6083" i="13"/>
  <c r="G6101" i="13"/>
  <c r="G6128" i="13"/>
  <c r="G6173" i="13" s="1"/>
  <c r="G6227" i="13"/>
  <c r="G6290" i="13" s="1"/>
  <c r="G6353" i="13" s="1"/>
  <c r="G6416" i="13" s="1"/>
  <c r="G6479" i="13" s="1"/>
  <c r="G6542" i="13" s="1"/>
  <c r="G6605" i="13" s="1"/>
  <c r="G6668" i="13" s="1"/>
  <c r="G6731" i="13" s="1"/>
  <c r="G6794" i="13" s="1"/>
  <c r="G6857" i="13" s="1"/>
  <c r="G6920" i="13" s="1"/>
  <c r="G6983" i="13" s="1"/>
  <c r="G6209" i="13"/>
  <c r="G6272" i="13" s="1"/>
  <c r="G6335" i="13" s="1"/>
  <c r="G6398" i="13" s="1"/>
  <c r="G6461" i="13" s="1"/>
  <c r="G6524" i="13" s="1"/>
  <c r="G6587" i="13" s="1"/>
  <c r="G6650" i="13" s="1"/>
  <c r="G6713" i="13" s="1"/>
  <c r="G6776" i="13" s="1"/>
  <c r="G6839" i="13" s="1"/>
  <c r="G6902" i="13" s="1"/>
  <c r="G6965" i="13" s="1"/>
  <c r="G7028" i="13" s="1"/>
  <c r="G4324" i="13"/>
  <c r="G4252" i="13"/>
  <c r="G5929" i="13"/>
  <c r="G5956" i="13" s="1"/>
  <c r="G5983" i="13" s="1"/>
  <c r="G6010" i="13" s="1"/>
  <c r="G6037" i="13" s="1"/>
  <c r="G7045" i="13"/>
  <c r="G6229" i="13"/>
  <c r="G6292" i="13" s="1"/>
  <c r="G6355" i="13" s="1"/>
  <c r="G6418" i="13" s="1"/>
  <c r="G6481" i="13" s="1"/>
  <c r="G6544" i="13" s="1"/>
  <c r="G6607" i="13" s="1"/>
  <c r="G6670" i="13" s="1"/>
  <c r="G6733" i="13" s="1"/>
  <c r="G6796" i="13" s="1"/>
  <c r="G6859" i="13" s="1"/>
  <c r="G6922" i="13" s="1"/>
  <c r="G6985" i="13" s="1"/>
  <c r="G6211" i="13"/>
  <c r="G6274" i="13" s="1"/>
  <c r="G6337" i="13" s="1"/>
  <c r="G6400" i="13" s="1"/>
  <c r="G6463" i="13" s="1"/>
  <c r="G6526" i="13" s="1"/>
  <c r="G6589" i="13" s="1"/>
  <c r="G6652" i="13" s="1"/>
  <c r="G6715" i="13" s="1"/>
  <c r="G6778" i="13" s="1"/>
  <c r="G6841" i="13" s="1"/>
  <c r="G6904" i="13" s="1"/>
  <c r="G6967" i="13" s="1"/>
  <c r="G7030" i="13" s="1"/>
  <c r="G6085" i="13"/>
  <c r="G6130" i="13"/>
  <c r="G6175" i="13" s="1"/>
  <c r="G6103" i="13"/>
  <c r="G4254" i="13"/>
  <c r="G4326" i="13"/>
  <c r="G6079" i="13"/>
  <c r="G6124" i="13"/>
  <c r="G6169" i="13" s="1"/>
  <c r="G6097" i="13"/>
  <c r="G6080" i="13"/>
  <c r="G6125" i="13"/>
  <c r="G6170" i="13" s="1"/>
  <c r="G6098" i="13"/>
  <c r="G6224" i="13"/>
  <c r="G6287" i="13" s="1"/>
  <c r="G6350" i="13" s="1"/>
  <c r="G6413" i="13" s="1"/>
  <c r="G6476" i="13" s="1"/>
  <c r="G6539" i="13" s="1"/>
  <c r="G6602" i="13" s="1"/>
  <c r="G6665" i="13" s="1"/>
  <c r="G6728" i="13" s="1"/>
  <c r="G6791" i="13" s="1"/>
  <c r="G6854" i="13" s="1"/>
  <c r="G6917" i="13" s="1"/>
  <c r="G6980" i="13" s="1"/>
  <c r="G6206" i="13"/>
  <c r="G6269" i="13" s="1"/>
  <c r="G6332" i="13" s="1"/>
  <c r="G6395" i="13" s="1"/>
  <c r="G6458" i="13" s="1"/>
  <c r="G6521" i="13" s="1"/>
  <c r="G6584" i="13" s="1"/>
  <c r="G6647" i="13" s="1"/>
  <c r="G6710" i="13" s="1"/>
  <c r="G6773" i="13" s="1"/>
  <c r="G6836" i="13" s="1"/>
  <c r="G6899" i="13" s="1"/>
  <c r="G6962" i="13" s="1"/>
  <c r="G7025" i="13" s="1"/>
  <c r="G4256" i="13"/>
  <c r="G4328" i="13"/>
  <c r="G7042" i="13"/>
  <c r="G5926" i="13"/>
  <c r="G5953" i="13" s="1"/>
  <c r="G5980" i="13" s="1"/>
  <c r="G6007" i="13" s="1"/>
  <c r="G6034" i="13" s="1"/>
  <c r="G7043" i="13"/>
  <c r="G5927" i="13"/>
  <c r="G5954" i="13" s="1"/>
  <c r="G5981" i="13" s="1"/>
  <c r="G6008" i="13" s="1"/>
  <c r="G6035" i="13" s="1"/>
  <c r="G6084" i="13"/>
  <c r="G6129" i="13"/>
  <c r="G6174" i="13" s="1"/>
  <c r="G6102" i="13"/>
  <c r="G6228" i="13"/>
  <c r="G6291" i="13" s="1"/>
  <c r="G6354" i="13" s="1"/>
  <c r="G6417" i="13" s="1"/>
  <c r="G6480" i="13" s="1"/>
  <c r="G6543" i="13" s="1"/>
  <c r="G6606" i="13" s="1"/>
  <c r="G6669" i="13" s="1"/>
  <c r="G6732" i="13" s="1"/>
  <c r="G6795" i="13" s="1"/>
  <c r="G6858" i="13" s="1"/>
  <c r="G6921" i="13" s="1"/>
  <c r="G6984" i="13" s="1"/>
  <c r="G6210" i="13"/>
  <c r="G6273" i="13" s="1"/>
  <c r="G6336" i="13" s="1"/>
  <c r="G6399" i="13" s="1"/>
  <c r="G6462" i="13" s="1"/>
  <c r="G6525" i="13" s="1"/>
  <c r="G6588" i="13" s="1"/>
  <c r="G6651" i="13" s="1"/>
  <c r="G6714" i="13" s="1"/>
  <c r="G6777" i="13" s="1"/>
  <c r="G6840" i="13" s="1"/>
  <c r="G6903" i="13" s="1"/>
  <c r="G6966" i="13" s="1"/>
  <c r="G7029" i="13" s="1"/>
  <c r="G6078" i="13"/>
  <c r="G6123" i="13"/>
  <c r="G6168" i="13" s="1"/>
  <c r="G6096" i="13"/>
  <c r="G6208" i="13"/>
  <c r="G6271" i="13" s="1"/>
  <c r="G6334" i="13" s="1"/>
  <c r="G6397" i="13" s="1"/>
  <c r="G6460" i="13" s="1"/>
  <c r="G6523" i="13" s="1"/>
  <c r="G6586" i="13" s="1"/>
  <c r="G6649" i="13" s="1"/>
  <c r="G6712" i="13" s="1"/>
  <c r="G6775" i="13" s="1"/>
  <c r="G6838" i="13" s="1"/>
  <c r="G6901" i="13" s="1"/>
  <c r="G6964" i="13" s="1"/>
  <c r="G7027" i="13" s="1"/>
  <c r="G6226" i="13"/>
  <c r="G6289" i="13" s="1"/>
  <c r="G6352" i="13" s="1"/>
  <c r="G6415" i="13" s="1"/>
  <c r="G6478" i="13" s="1"/>
  <c r="G6541" i="13" s="1"/>
  <c r="G6604" i="13" s="1"/>
  <c r="G6667" i="13" s="1"/>
  <c r="G6730" i="13" s="1"/>
  <c r="G6793" i="13" s="1"/>
  <c r="G6856" i="13" s="1"/>
  <c r="G6919" i="13" s="1"/>
  <c r="G6982" i="13" s="1"/>
  <c r="G7041" i="13"/>
  <c r="G5925" i="13"/>
  <c r="G5952" i="13" s="1"/>
  <c r="G5979" i="13" s="1"/>
  <c r="G6006" i="13" s="1"/>
  <c r="G6033" i="13" s="1"/>
  <c r="G4257" i="13"/>
  <c r="G4329" i="13"/>
  <c r="G4258" i="13"/>
  <c r="G4330" i="13"/>
  <c r="G4255" i="13"/>
  <c r="G4327" i="13"/>
  <c r="G7047" i="13"/>
  <c r="G5931" i="13"/>
  <c r="G5958" i="13" s="1"/>
  <c r="G5985" i="13" s="1"/>
  <c r="G6012" i="13" s="1"/>
  <c r="G6039" i="13" s="1"/>
  <c r="G6204" i="13"/>
  <c r="G6267" i="13" s="1"/>
  <c r="G6330" i="13" s="1"/>
  <c r="G6393" i="13" s="1"/>
  <c r="G6456" i="13" s="1"/>
  <c r="G6519" i="13" s="1"/>
  <c r="G6582" i="13" s="1"/>
  <c r="G6645" i="13" s="1"/>
  <c r="G6708" i="13" s="1"/>
  <c r="G6771" i="13" s="1"/>
  <c r="G6834" i="13" s="1"/>
  <c r="G6897" i="13" s="1"/>
  <c r="G6960" i="13" s="1"/>
  <c r="G7023" i="13" s="1"/>
  <c r="G6222" i="13"/>
  <c r="G6285" i="13" s="1"/>
  <c r="G6348" i="13" s="1"/>
  <c r="G6411" i="13" s="1"/>
  <c r="G6474" i="13" s="1"/>
  <c r="G6537" i="13" s="1"/>
  <c r="G6600" i="13" s="1"/>
  <c r="G6663" i="13" s="1"/>
  <c r="G6726" i="13" s="1"/>
  <c r="G6789" i="13" s="1"/>
  <c r="G6852" i="13" s="1"/>
  <c r="G6915" i="13" s="1"/>
  <c r="G6978" i="13" s="1"/>
  <c r="G4251" i="13"/>
  <c r="G4323" i="13"/>
  <c r="G4325" i="13"/>
  <c r="G4253" i="13"/>
  <c r="G4349" i="13"/>
  <c r="G4358" i="13"/>
  <c r="G4260" i="13" l="1"/>
  <c r="G4332" i="13"/>
  <c r="G6238" i="13"/>
  <c r="G6301" i="13" s="1"/>
  <c r="G6364" i="13" s="1"/>
  <c r="G6427" i="13" s="1"/>
  <c r="G6490" i="13" s="1"/>
  <c r="G6553" i="13" s="1"/>
  <c r="G6616" i="13" s="1"/>
  <c r="G6679" i="13" s="1"/>
  <c r="G6742" i="13" s="1"/>
  <c r="G6805" i="13" s="1"/>
  <c r="G6868" i="13" s="1"/>
  <c r="G6931" i="13" s="1"/>
  <c r="G6994" i="13" s="1"/>
  <c r="G6220" i="13"/>
  <c r="G6283" i="13" s="1"/>
  <c r="G6346" i="13" s="1"/>
  <c r="G6409" i="13" s="1"/>
  <c r="G6472" i="13" s="1"/>
  <c r="G6535" i="13" s="1"/>
  <c r="G6598" i="13" s="1"/>
  <c r="G6661" i="13" s="1"/>
  <c r="G6724" i="13" s="1"/>
  <c r="G6787" i="13" s="1"/>
  <c r="G6850" i="13" s="1"/>
  <c r="G6913" i="13" s="1"/>
  <c r="G6976" i="13" s="1"/>
  <c r="G7039" i="13" s="1"/>
  <c r="G4262" i="13"/>
  <c r="G4334" i="13"/>
  <c r="G6237" i="13"/>
  <c r="G6300" i="13" s="1"/>
  <c r="G6363" i="13" s="1"/>
  <c r="G6426" i="13" s="1"/>
  <c r="G6489" i="13" s="1"/>
  <c r="G6552" i="13" s="1"/>
  <c r="G6615" i="13" s="1"/>
  <c r="G6678" i="13" s="1"/>
  <c r="G6741" i="13" s="1"/>
  <c r="G6804" i="13" s="1"/>
  <c r="G6867" i="13" s="1"/>
  <c r="G6930" i="13" s="1"/>
  <c r="G6993" i="13" s="1"/>
  <c r="G6219" i="13"/>
  <c r="G6282" i="13" s="1"/>
  <c r="G6345" i="13" s="1"/>
  <c r="G6408" i="13" s="1"/>
  <c r="G6471" i="13" s="1"/>
  <c r="G6534" i="13" s="1"/>
  <c r="G6597" i="13" s="1"/>
  <c r="G6660" i="13" s="1"/>
  <c r="G6723" i="13" s="1"/>
  <c r="G6786" i="13" s="1"/>
  <c r="G6849" i="13" s="1"/>
  <c r="G6912" i="13" s="1"/>
  <c r="G6975" i="13" s="1"/>
  <c r="G7038" i="13" s="1"/>
  <c r="G6064" i="13"/>
  <c r="G6109" i="13"/>
  <c r="G6154" i="13" s="1"/>
  <c r="G6199" i="13" s="1"/>
  <c r="G6262" i="13" s="1"/>
  <c r="G6325" i="13" s="1"/>
  <c r="G6388" i="13" s="1"/>
  <c r="G6451" i="13" s="1"/>
  <c r="G6514" i="13" s="1"/>
  <c r="G6577" i="13" s="1"/>
  <c r="G6640" i="13" s="1"/>
  <c r="G6703" i="13" s="1"/>
  <c r="G6766" i="13" s="1"/>
  <c r="G6829" i="13" s="1"/>
  <c r="G6892" i="13" s="1"/>
  <c r="G6955" i="13" s="1"/>
  <c r="G7018" i="13" s="1"/>
  <c r="G4335" i="13"/>
  <c r="G4263" i="13"/>
  <c r="G4333" i="13"/>
  <c r="G4261" i="13"/>
  <c r="G6065" i="13"/>
  <c r="G6110" i="13"/>
  <c r="G6155" i="13" s="1"/>
  <c r="G6200" i="13" s="1"/>
  <c r="G6263" i="13" s="1"/>
  <c r="G6326" i="13" s="1"/>
  <c r="G6389" i="13" s="1"/>
  <c r="G6452" i="13" s="1"/>
  <c r="G6515" i="13" s="1"/>
  <c r="G6578" i="13" s="1"/>
  <c r="G6641" i="13" s="1"/>
  <c r="G6704" i="13" s="1"/>
  <c r="G6767" i="13" s="1"/>
  <c r="G6830" i="13" s="1"/>
  <c r="G6893" i="13" s="1"/>
  <c r="G6956" i="13" s="1"/>
  <c r="G7019" i="13" s="1"/>
  <c r="G6107" i="13"/>
  <c r="G6152" i="13" s="1"/>
  <c r="G6197" i="13" s="1"/>
  <c r="G6260" i="13" s="1"/>
  <c r="G6323" i="13" s="1"/>
  <c r="G6386" i="13" s="1"/>
  <c r="G6449" i="13" s="1"/>
  <c r="G6512" i="13" s="1"/>
  <c r="G6575" i="13" s="1"/>
  <c r="G6638" i="13" s="1"/>
  <c r="G6701" i="13" s="1"/>
  <c r="G6764" i="13" s="1"/>
  <c r="G6827" i="13" s="1"/>
  <c r="G6890" i="13" s="1"/>
  <c r="G6953" i="13" s="1"/>
  <c r="G7016" i="13" s="1"/>
  <c r="G6062" i="13"/>
  <c r="G6063" i="13"/>
  <c r="G6108" i="13"/>
  <c r="G6153" i="13" s="1"/>
  <c r="G6198" i="13" s="1"/>
  <c r="G6261" i="13" s="1"/>
  <c r="G6324" i="13" s="1"/>
  <c r="G6387" i="13" s="1"/>
  <c r="G6450" i="13" s="1"/>
  <c r="G6513" i="13" s="1"/>
  <c r="G6576" i="13" s="1"/>
  <c r="G6639" i="13" s="1"/>
  <c r="G6702" i="13" s="1"/>
  <c r="G6765" i="13" s="1"/>
  <c r="G6828" i="13" s="1"/>
  <c r="G6891" i="13" s="1"/>
  <c r="G6954" i="13" s="1"/>
  <c r="G7017" i="13" s="1"/>
  <c r="G6231" i="13"/>
  <c r="G6294" i="13" s="1"/>
  <c r="G6357" i="13" s="1"/>
  <c r="G6420" i="13" s="1"/>
  <c r="G6483" i="13" s="1"/>
  <c r="G6546" i="13" s="1"/>
  <c r="G6609" i="13" s="1"/>
  <c r="G6672" i="13" s="1"/>
  <c r="G6735" i="13" s="1"/>
  <c r="G6798" i="13" s="1"/>
  <c r="G6861" i="13" s="1"/>
  <c r="G6924" i="13" s="1"/>
  <c r="G6987" i="13" s="1"/>
  <c r="G6213" i="13"/>
  <c r="G6276" i="13" s="1"/>
  <c r="G6339" i="13" s="1"/>
  <c r="G6402" i="13" s="1"/>
  <c r="G6465" i="13" s="1"/>
  <c r="G6528" i="13" s="1"/>
  <c r="G6591" i="13" s="1"/>
  <c r="G6654" i="13" s="1"/>
  <c r="G6717" i="13" s="1"/>
  <c r="G6780" i="13" s="1"/>
  <c r="G6843" i="13" s="1"/>
  <c r="G6906" i="13" s="1"/>
  <c r="G6969" i="13" s="1"/>
  <c r="G7032" i="13" s="1"/>
  <c r="G6061" i="13"/>
  <c r="G6106" i="13"/>
  <c r="G6151" i="13" s="1"/>
  <c r="G6196" i="13" s="1"/>
  <c r="G6259" i="13" s="1"/>
  <c r="G6322" i="13" s="1"/>
  <c r="G6385" i="13" s="1"/>
  <c r="G6448" i="13" s="1"/>
  <c r="G6511" i="13" s="1"/>
  <c r="G6574" i="13" s="1"/>
  <c r="G6637" i="13" s="1"/>
  <c r="G6700" i="13" s="1"/>
  <c r="G6763" i="13" s="1"/>
  <c r="G6826" i="13" s="1"/>
  <c r="G6889" i="13" s="1"/>
  <c r="G6952" i="13" s="1"/>
  <c r="G7015" i="13" s="1"/>
  <c r="G6067" i="13"/>
  <c r="G6112" i="13"/>
  <c r="G6157" i="13" s="1"/>
  <c r="G6202" i="13" s="1"/>
  <c r="G6265" i="13" s="1"/>
  <c r="G6328" i="13" s="1"/>
  <c r="G6391" i="13" s="1"/>
  <c r="G6454" i="13" s="1"/>
  <c r="G6517" i="13" s="1"/>
  <c r="G6580" i="13" s="1"/>
  <c r="G6643" i="13" s="1"/>
  <c r="G6706" i="13" s="1"/>
  <c r="G6769" i="13" s="1"/>
  <c r="G6832" i="13" s="1"/>
  <c r="G6895" i="13" s="1"/>
  <c r="G6958" i="13" s="1"/>
  <c r="G7021" i="13" s="1"/>
  <c r="G6234" i="13"/>
  <c r="G6297" i="13" s="1"/>
  <c r="G6360" i="13" s="1"/>
  <c r="G6423" i="13" s="1"/>
  <c r="G6486" i="13" s="1"/>
  <c r="G6549" i="13" s="1"/>
  <c r="G6612" i="13" s="1"/>
  <c r="G6675" i="13" s="1"/>
  <c r="G6738" i="13" s="1"/>
  <c r="G6801" i="13" s="1"/>
  <c r="G6864" i="13" s="1"/>
  <c r="G6927" i="13" s="1"/>
  <c r="G6990" i="13" s="1"/>
  <c r="G6216" i="13"/>
  <c r="G6279" i="13" s="1"/>
  <c r="G6342" i="13" s="1"/>
  <c r="G6405" i="13" s="1"/>
  <c r="G6468" i="13" s="1"/>
  <c r="G6531" i="13" s="1"/>
  <c r="G6594" i="13" s="1"/>
  <c r="G6657" i="13" s="1"/>
  <c r="G6720" i="13" s="1"/>
  <c r="G6783" i="13" s="1"/>
  <c r="G6846" i="13" s="1"/>
  <c r="G6909" i="13" s="1"/>
  <c r="G6972" i="13" s="1"/>
  <c r="G7035" i="13" s="1"/>
  <c r="G4266" i="13"/>
  <c r="G4338" i="13"/>
  <c r="G6236" i="13"/>
  <c r="G6299" i="13" s="1"/>
  <c r="G6362" i="13" s="1"/>
  <c r="G6425" i="13" s="1"/>
  <c r="G6488" i="13" s="1"/>
  <c r="G6551" i="13" s="1"/>
  <c r="G6614" i="13" s="1"/>
  <c r="G6677" i="13" s="1"/>
  <c r="G6740" i="13" s="1"/>
  <c r="G6803" i="13" s="1"/>
  <c r="G6866" i="13" s="1"/>
  <c r="G6929" i="13" s="1"/>
  <c r="G6992" i="13" s="1"/>
  <c r="G6218" i="13"/>
  <c r="G6281" i="13" s="1"/>
  <c r="G6344" i="13" s="1"/>
  <c r="G6407" i="13" s="1"/>
  <c r="G6470" i="13" s="1"/>
  <c r="G6533" i="13" s="1"/>
  <c r="G6596" i="13" s="1"/>
  <c r="G6659" i="13" s="1"/>
  <c r="G6722" i="13" s="1"/>
  <c r="G6785" i="13" s="1"/>
  <c r="G6848" i="13" s="1"/>
  <c r="G6911" i="13" s="1"/>
  <c r="G6974" i="13" s="1"/>
  <c r="G7037" i="13" s="1"/>
  <c r="G6066" i="13"/>
  <c r="G6111" i="13"/>
  <c r="G6156" i="13" s="1"/>
  <c r="G6201" i="13" s="1"/>
  <c r="G6264" i="13" s="1"/>
  <c r="G6327" i="13" s="1"/>
  <c r="G6390" i="13" s="1"/>
  <c r="G6453" i="13" s="1"/>
  <c r="G6516" i="13" s="1"/>
  <c r="G6579" i="13" s="1"/>
  <c r="G6642" i="13" s="1"/>
  <c r="G6705" i="13" s="1"/>
  <c r="G6768" i="13" s="1"/>
  <c r="G6831" i="13" s="1"/>
  <c r="G6894" i="13" s="1"/>
  <c r="G6957" i="13" s="1"/>
  <c r="G7020" i="13" s="1"/>
  <c r="G6060" i="13"/>
  <c r="G6105" i="13"/>
  <c r="G6150" i="13" s="1"/>
  <c r="G6195" i="13" s="1"/>
  <c r="G6258" i="13" s="1"/>
  <c r="G6321" i="13" s="1"/>
  <c r="G6384" i="13" s="1"/>
  <c r="G6447" i="13" s="1"/>
  <c r="G6510" i="13" s="1"/>
  <c r="G6573" i="13" s="1"/>
  <c r="G6636" i="13" s="1"/>
  <c r="G6699" i="13" s="1"/>
  <c r="G6762" i="13" s="1"/>
  <c r="G6825" i="13" s="1"/>
  <c r="G6888" i="13" s="1"/>
  <c r="G6951" i="13" s="1"/>
  <c r="G7014" i="13" s="1"/>
  <c r="G6214" i="13"/>
  <c r="G6277" i="13" s="1"/>
  <c r="G6340" i="13" s="1"/>
  <c r="G6403" i="13" s="1"/>
  <c r="G6466" i="13" s="1"/>
  <c r="G6529" i="13" s="1"/>
  <c r="G6592" i="13" s="1"/>
  <c r="G6655" i="13" s="1"/>
  <c r="G6718" i="13" s="1"/>
  <c r="G6781" i="13" s="1"/>
  <c r="G6844" i="13" s="1"/>
  <c r="G6907" i="13" s="1"/>
  <c r="G6970" i="13" s="1"/>
  <c r="G7033" i="13" s="1"/>
  <c r="G6232" i="13"/>
  <c r="G6295" i="13" s="1"/>
  <c r="G6358" i="13" s="1"/>
  <c r="G6421" i="13" s="1"/>
  <c r="G6484" i="13" s="1"/>
  <c r="G6547" i="13" s="1"/>
  <c r="G6610" i="13" s="1"/>
  <c r="G6673" i="13" s="1"/>
  <c r="G6736" i="13" s="1"/>
  <c r="G6799" i="13" s="1"/>
  <c r="G6862" i="13" s="1"/>
  <c r="G6925" i="13" s="1"/>
  <c r="G6988" i="13" s="1"/>
  <c r="G4336" i="13"/>
  <c r="G4264" i="13"/>
  <c r="G4339" i="13"/>
  <c r="G4267" i="13"/>
  <c r="G6233" i="13"/>
  <c r="G6296" i="13" s="1"/>
  <c r="G6359" i="13" s="1"/>
  <c r="G6422" i="13" s="1"/>
  <c r="G6485" i="13" s="1"/>
  <c r="G6548" i="13" s="1"/>
  <c r="G6611" i="13" s="1"/>
  <c r="G6674" i="13" s="1"/>
  <c r="G6737" i="13" s="1"/>
  <c r="G6800" i="13" s="1"/>
  <c r="G6863" i="13" s="1"/>
  <c r="G6926" i="13" s="1"/>
  <c r="G6989" i="13" s="1"/>
  <c r="G6215" i="13"/>
  <c r="G6278" i="13" s="1"/>
  <c r="G6341" i="13" s="1"/>
  <c r="G6404" i="13" s="1"/>
  <c r="G6467" i="13" s="1"/>
  <c r="G6530" i="13" s="1"/>
  <c r="G6593" i="13" s="1"/>
  <c r="G6656" i="13" s="1"/>
  <c r="G6719" i="13" s="1"/>
  <c r="G6782" i="13" s="1"/>
  <c r="G6845" i="13" s="1"/>
  <c r="G6908" i="13" s="1"/>
  <c r="G6971" i="13" s="1"/>
  <c r="G7034" i="13" s="1"/>
  <c r="G4337" i="13"/>
  <c r="G4265" i="13"/>
  <c r="G6217" i="13"/>
  <c r="G6280" i="13" s="1"/>
  <c r="G6343" i="13" s="1"/>
  <c r="G6406" i="13" s="1"/>
  <c r="G6469" i="13" s="1"/>
  <c r="G6532" i="13" s="1"/>
  <c r="G6595" i="13" s="1"/>
  <c r="G6658" i="13" s="1"/>
  <c r="G6721" i="13" s="1"/>
  <c r="G6784" i="13" s="1"/>
  <c r="G6847" i="13" s="1"/>
  <c r="G6910" i="13" s="1"/>
  <c r="G6973" i="13" s="1"/>
  <c r="G7036" i="13" s="1"/>
  <c r="G6235" i="13"/>
  <c r="G6298" i="13" s="1"/>
  <c r="G6361" i="13" s="1"/>
  <c r="G6424" i="13" s="1"/>
  <c r="G6487" i="13" s="1"/>
  <c r="G6550" i="13" s="1"/>
  <c r="G6613" i="13" s="1"/>
  <c r="G6676" i="13" s="1"/>
  <c r="G6739" i="13" s="1"/>
  <c r="G6802" i="13" s="1"/>
  <c r="G6865" i="13" s="1"/>
  <c r="G6928" i="13" s="1"/>
  <c r="G6991" i="13" s="1"/>
  <c r="G6134" i="13" l="1"/>
  <c r="G6179" i="13" s="1"/>
  <c r="G6242" i="13" s="1"/>
  <c r="G6305" i="13" s="1"/>
  <c r="G6368" i="13" s="1"/>
  <c r="G6431" i="13" s="1"/>
  <c r="G6494" i="13" s="1"/>
  <c r="G6557" i="13" s="1"/>
  <c r="G6620" i="13" s="1"/>
  <c r="G6683" i="13" s="1"/>
  <c r="G6746" i="13" s="1"/>
  <c r="G6809" i="13" s="1"/>
  <c r="G6872" i="13" s="1"/>
  <c r="G6935" i="13" s="1"/>
  <c r="G6998" i="13" s="1"/>
  <c r="G6089" i="13"/>
  <c r="G6133" i="13"/>
  <c r="G6178" i="13" s="1"/>
  <c r="G6241" i="13" s="1"/>
  <c r="G6304" i="13" s="1"/>
  <c r="G6367" i="13" s="1"/>
  <c r="G6430" i="13" s="1"/>
  <c r="G6493" i="13" s="1"/>
  <c r="G6556" i="13" s="1"/>
  <c r="G6619" i="13" s="1"/>
  <c r="G6682" i="13" s="1"/>
  <c r="G6745" i="13" s="1"/>
  <c r="G6808" i="13" s="1"/>
  <c r="G6871" i="13" s="1"/>
  <c r="G6934" i="13" s="1"/>
  <c r="G6997" i="13" s="1"/>
  <c r="G6088" i="13"/>
  <c r="G6137" i="13"/>
  <c r="G6182" i="13" s="1"/>
  <c r="G6245" i="13" s="1"/>
  <c r="G6308" i="13" s="1"/>
  <c r="G6371" i="13" s="1"/>
  <c r="G6434" i="13" s="1"/>
  <c r="G6497" i="13" s="1"/>
  <c r="G6560" i="13" s="1"/>
  <c r="G6623" i="13" s="1"/>
  <c r="G6686" i="13" s="1"/>
  <c r="G6749" i="13" s="1"/>
  <c r="G6812" i="13" s="1"/>
  <c r="G6875" i="13" s="1"/>
  <c r="G6938" i="13" s="1"/>
  <c r="G7001" i="13" s="1"/>
  <c r="G6092" i="13"/>
  <c r="G4281" i="13"/>
  <c r="G4371" i="13" s="1"/>
  <c r="G4344" i="13"/>
  <c r="G4272" i="13"/>
  <c r="G4348" i="13"/>
  <c r="G4285" i="13"/>
  <c r="G4375" i="13" s="1"/>
  <c r="G4276" i="13"/>
  <c r="G4346" i="13"/>
  <c r="G4283" i="13"/>
  <c r="G4373" i="13" s="1"/>
  <c r="G4274" i="13"/>
  <c r="G4279" i="13"/>
  <c r="G4369" i="13" s="1"/>
  <c r="G4342" i="13"/>
  <c r="G4270" i="13"/>
  <c r="G4282" i="13"/>
  <c r="G4372" i="13" s="1"/>
  <c r="G4273" i="13"/>
  <c r="G4345" i="13"/>
  <c r="G4347" i="13"/>
  <c r="G4284" i="13"/>
  <c r="G4374" i="13" s="1"/>
  <c r="G4275" i="13"/>
  <c r="G4343" i="13"/>
  <c r="G4280" i="13"/>
  <c r="G4370" i="13" s="1"/>
  <c r="G4271" i="13"/>
  <c r="G6087" i="13"/>
  <c r="G6132" i="13"/>
  <c r="G6177" i="13" s="1"/>
  <c r="G6240" i="13" s="1"/>
  <c r="G6303" i="13" s="1"/>
  <c r="G6366" i="13" s="1"/>
  <c r="G6429" i="13" s="1"/>
  <c r="G6492" i="13" s="1"/>
  <c r="G6555" i="13" s="1"/>
  <c r="G6618" i="13" s="1"/>
  <c r="G6681" i="13" s="1"/>
  <c r="G6744" i="13" s="1"/>
  <c r="G6807" i="13" s="1"/>
  <c r="G6870" i="13" s="1"/>
  <c r="G6933" i="13" s="1"/>
  <c r="G6996" i="13" s="1"/>
  <c r="G6090" i="13"/>
  <c r="G6135" i="13"/>
  <c r="G6180" i="13" s="1"/>
  <c r="G6243" i="13" s="1"/>
  <c r="G6306" i="13" s="1"/>
  <c r="G6369" i="13" s="1"/>
  <c r="G6432" i="13" s="1"/>
  <c r="G6495" i="13" s="1"/>
  <c r="G6558" i="13" s="1"/>
  <c r="G6621" i="13" s="1"/>
  <c r="G6684" i="13" s="1"/>
  <c r="G6747" i="13" s="1"/>
  <c r="G6810" i="13" s="1"/>
  <c r="G6873" i="13" s="1"/>
  <c r="G6936" i="13" s="1"/>
  <c r="G6999" i="13" s="1"/>
  <c r="G6138" i="13"/>
  <c r="G6183" i="13" s="1"/>
  <c r="G6246" i="13" s="1"/>
  <c r="G6309" i="13" s="1"/>
  <c r="G6372" i="13" s="1"/>
  <c r="G6435" i="13" s="1"/>
  <c r="G6498" i="13" s="1"/>
  <c r="G6561" i="13" s="1"/>
  <c r="G6624" i="13" s="1"/>
  <c r="G6687" i="13" s="1"/>
  <c r="G6750" i="13" s="1"/>
  <c r="G6813" i="13" s="1"/>
  <c r="G6876" i="13" s="1"/>
  <c r="G6939" i="13" s="1"/>
  <c r="G7002" i="13" s="1"/>
  <c r="G6093" i="13"/>
  <c r="G6094" i="13"/>
  <c r="G6139" i="13"/>
  <c r="G6184" i="13" s="1"/>
  <c r="G6247" i="13" s="1"/>
  <c r="G6310" i="13" s="1"/>
  <c r="G6373" i="13" s="1"/>
  <c r="G6436" i="13" s="1"/>
  <c r="G6499" i="13" s="1"/>
  <c r="G6562" i="13" s="1"/>
  <c r="G6625" i="13" s="1"/>
  <c r="G6688" i="13" s="1"/>
  <c r="G6751" i="13" s="1"/>
  <c r="G6814" i="13" s="1"/>
  <c r="G6877" i="13" s="1"/>
  <c r="G6940" i="13" s="1"/>
  <c r="G7003" i="13" s="1"/>
  <c r="G6136" i="13"/>
  <c r="G6181" i="13" s="1"/>
  <c r="G6244" i="13" s="1"/>
  <c r="G6307" i="13" s="1"/>
  <c r="G6370" i="13" s="1"/>
  <c r="G6433" i="13" s="1"/>
  <c r="G6496" i="13" s="1"/>
  <c r="G6559" i="13" s="1"/>
  <c r="G6622" i="13" s="1"/>
  <c r="G6685" i="13" s="1"/>
  <c r="G6748" i="13" s="1"/>
  <c r="G6811" i="13" s="1"/>
  <c r="G6874" i="13" s="1"/>
  <c r="G6937" i="13" s="1"/>
  <c r="G7000" i="13" s="1"/>
  <c r="G6091" i="13"/>
  <c r="G4341" i="13"/>
  <c r="G4269" i="13"/>
  <c r="G4278" i="13"/>
  <c r="G4368" i="13" s="1"/>
  <c r="G4360" i="13" l="1"/>
  <c r="G4351" i="13"/>
  <c r="G4362" i="13"/>
  <c r="G4353" i="13"/>
  <c r="G4350" i="13"/>
  <c r="G4359" i="13"/>
  <c r="G4355" i="13"/>
  <c r="G4364" i="13"/>
  <c r="G4361" i="13"/>
  <c r="G4352" i="13"/>
  <c r="G4356" i="13"/>
  <c r="G4365" i="13"/>
  <c r="G4354" i="13"/>
  <c r="G4363" i="13"/>
  <c r="G4357" i="13"/>
  <c r="G4366" i="1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<sst xmlns="http://schemas.openxmlformats.org/spreadsheetml/2006/main" count="39348" uniqueCount="3182">
  <si>
    <t>TO</t>
  </si>
  <si>
    <t>FROM</t>
  </si>
  <si>
    <t>Kilter Grips</t>
  </si>
  <si>
    <t>P.O.Box 11072</t>
  </si>
  <si>
    <t>Boulder, CO 80301</t>
  </si>
  <si>
    <t>Bolts?</t>
  </si>
  <si>
    <t>Color Spc?</t>
  </si>
  <si>
    <t>SHIP TO</t>
  </si>
  <si>
    <t>P.O.</t>
  </si>
  <si>
    <t>REP</t>
  </si>
  <si>
    <t>Name</t>
  </si>
  <si>
    <t>Phone #</t>
  </si>
  <si>
    <t>DATE</t>
  </si>
  <si>
    <t>M/DD/YYYY</t>
  </si>
  <si>
    <t>Company</t>
  </si>
  <si>
    <t>Street</t>
  </si>
  <si>
    <t>NOTES</t>
  </si>
  <si>
    <t>Any specific notes? Color requests and larger orders usually have between 30-60 day turn around. Ship week quote upon request. If needed by a specific date please tell us. Please use color sheet and color #s in the Other Color column for additional colors.</t>
  </si>
  <si>
    <t>City</t>
  </si>
  <si>
    <t>State</t>
  </si>
  <si>
    <t>Zip Code</t>
  </si>
  <si>
    <t xml:space="preserve"> </t>
  </si>
  <si>
    <t>Country</t>
  </si>
  <si>
    <t>Email</t>
  </si>
  <si>
    <t>Accounts Payable Contact:</t>
  </si>
  <si>
    <t>Billing Email:</t>
  </si>
  <si>
    <t>PAYMENT TERMS</t>
  </si>
  <si>
    <t>Weights</t>
  </si>
  <si>
    <t>Set Description</t>
  </si>
  <si>
    <t>Hold Type</t>
  </si>
  <si>
    <t>Qty of Grips</t>
  </si>
  <si>
    <t>SKU</t>
  </si>
  <si>
    <t>Total Sets</t>
  </si>
  <si>
    <t>Other Color</t>
  </si>
  <si>
    <t>Total Qty of Grips</t>
  </si>
  <si>
    <t>Total Cost</t>
  </si>
  <si>
    <t>Weight Per Set</t>
  </si>
  <si>
    <t>Weight Total</t>
  </si>
  <si>
    <t>Total # holds per color</t>
  </si>
  <si>
    <t>KFB005</t>
  </si>
  <si>
    <t>Total holds per type</t>
  </si>
  <si>
    <t>% of total</t>
  </si>
  <si>
    <t>KFB006</t>
  </si>
  <si>
    <t>KFB007</t>
  </si>
  <si>
    <t>KFB008</t>
  </si>
  <si>
    <t>KFB010</t>
  </si>
  <si>
    <t>KFB011</t>
  </si>
  <si>
    <t>KFB002</t>
  </si>
  <si>
    <t>KFB003</t>
  </si>
  <si>
    <t>KFB014</t>
  </si>
  <si>
    <t>KFB001</t>
  </si>
  <si>
    <t>KFB009</t>
  </si>
  <si>
    <t>KFB012</t>
  </si>
  <si>
    <t>KFB013</t>
  </si>
  <si>
    <t>KFB004</t>
  </si>
  <si>
    <t>KHIP005</t>
  </si>
  <si>
    <t>KHIP010</t>
  </si>
  <si>
    <t>KHIP004</t>
  </si>
  <si>
    <t>KHIP002</t>
  </si>
  <si>
    <t>KHIP003</t>
  </si>
  <si>
    <t>KHIP001</t>
  </si>
  <si>
    <t>KHWA015-1</t>
  </si>
  <si>
    <t>KHWA015-2</t>
  </si>
  <si>
    <t>KHWA015-3</t>
  </si>
  <si>
    <t>KHIP012-2</t>
  </si>
  <si>
    <t>KHIP012-3</t>
  </si>
  <si>
    <t>KHWA014</t>
  </si>
  <si>
    <t>KHWA016</t>
  </si>
  <si>
    <t>KHWA013</t>
  </si>
  <si>
    <t>KHWA018</t>
  </si>
  <si>
    <t>KHWA020</t>
  </si>
  <si>
    <t>Total holds per color</t>
  </si>
  <si>
    <t>KHWA002</t>
  </si>
  <si>
    <t>Hands</t>
  </si>
  <si>
    <t>% of Total</t>
  </si>
  <si>
    <t>KHWA008</t>
  </si>
  <si>
    <t>KHWA009</t>
  </si>
  <si>
    <t>KHWA011</t>
  </si>
  <si>
    <t>KHWA012</t>
  </si>
  <si>
    <t>Total</t>
  </si>
  <si>
    <t>KHWA017</t>
  </si>
  <si>
    <t>KHIP018</t>
  </si>
  <si>
    <t>KHIP019</t>
  </si>
  <si>
    <t>KHWA003</t>
  </si>
  <si>
    <t>KHWA006</t>
  </si>
  <si>
    <t>KHWA007</t>
  </si>
  <si>
    <t>KHWA022</t>
  </si>
  <si>
    <t>KHIP017</t>
  </si>
  <si>
    <t>KHIP021</t>
  </si>
  <si>
    <t>KHWA005</t>
  </si>
  <si>
    <t>KHWA010</t>
  </si>
  <si>
    <t>KHWA004</t>
  </si>
  <si>
    <t>KHIP013</t>
  </si>
  <si>
    <t>KHIP014</t>
  </si>
  <si>
    <t>KHIP015</t>
  </si>
  <si>
    <t>KHIP007</t>
  </si>
  <si>
    <t>KHIP009</t>
  </si>
  <si>
    <t>KHIP016</t>
  </si>
  <si>
    <t>KHWA001</t>
  </si>
  <si>
    <t>KHPJ001</t>
  </si>
  <si>
    <t>KHRQ001</t>
  </si>
  <si>
    <t>KHAP001</t>
  </si>
  <si>
    <t>KHAP002</t>
  </si>
  <si>
    <t>KHJH001</t>
  </si>
  <si>
    <t>KHJH003</t>
  </si>
  <si>
    <t>KHJH004</t>
  </si>
  <si>
    <t>KHJH005</t>
  </si>
  <si>
    <t>KHUW005</t>
  </si>
  <si>
    <t>KHUW006</t>
  </si>
  <si>
    <t>KHUW004</t>
  </si>
  <si>
    <t>KHUW003</t>
  </si>
  <si>
    <t>KHUW002</t>
  </si>
  <si>
    <t>KHUW001</t>
  </si>
  <si>
    <t>KHJW002-1</t>
  </si>
  <si>
    <t>KHJW002-2</t>
  </si>
  <si>
    <t>KHJW002-3</t>
  </si>
  <si>
    <t>KHJW004</t>
  </si>
  <si>
    <t>KHJW005</t>
  </si>
  <si>
    <t>KHJW003</t>
  </si>
  <si>
    <t>KHJW008</t>
  </si>
  <si>
    <t>KHJW001</t>
  </si>
  <si>
    <t>KHJW011</t>
  </si>
  <si>
    <t>KHJW010</t>
  </si>
  <si>
    <t>KHJW006</t>
  </si>
  <si>
    <t>KHJW007</t>
  </si>
  <si>
    <t>KHKD007-1</t>
  </si>
  <si>
    <t>KHKD007-2</t>
  </si>
  <si>
    <t>KHKD007-3</t>
  </si>
  <si>
    <t>KHKD006</t>
  </si>
  <si>
    <t>KHKD013</t>
  </si>
  <si>
    <t>KHKD012</t>
  </si>
  <si>
    <t>KHKD005</t>
  </si>
  <si>
    <t>KHKD008</t>
  </si>
  <si>
    <t>KHKD010</t>
  </si>
  <si>
    <t>KHKD011</t>
  </si>
  <si>
    <t>KHKD001</t>
  </si>
  <si>
    <t>KHKD002</t>
  </si>
  <si>
    <t>KHKD003</t>
  </si>
  <si>
    <t>KHKD004</t>
  </si>
  <si>
    <t>KHKD009</t>
  </si>
  <si>
    <t>KHKD014</t>
  </si>
  <si>
    <t>KHKD017</t>
  </si>
  <si>
    <t>KHKD018</t>
  </si>
  <si>
    <t>KHKD016</t>
  </si>
  <si>
    <t>KHKD019</t>
  </si>
  <si>
    <t>KHKD015</t>
  </si>
  <si>
    <t>K049-1</t>
  </si>
  <si>
    <t>K049-2</t>
  </si>
  <si>
    <t>K049-3</t>
  </si>
  <si>
    <t>K066-1</t>
  </si>
  <si>
    <t>K066-2</t>
  </si>
  <si>
    <t>K066-3</t>
  </si>
  <si>
    <t>K063-1</t>
  </si>
  <si>
    <t>K063-2</t>
  </si>
  <si>
    <t>K063-3</t>
  </si>
  <si>
    <t>K065-1</t>
  </si>
  <si>
    <t>K065-2</t>
  </si>
  <si>
    <t>K065-3</t>
  </si>
  <si>
    <t>K069-1</t>
  </si>
  <si>
    <t>K069-2</t>
  </si>
  <si>
    <t>K069-3</t>
  </si>
  <si>
    <t>K053-1</t>
  </si>
  <si>
    <t>K053-2</t>
  </si>
  <si>
    <t>K053-3</t>
  </si>
  <si>
    <t>K072</t>
  </si>
  <si>
    <t>K073</t>
  </si>
  <si>
    <t>K121</t>
  </si>
  <si>
    <t>K164</t>
  </si>
  <si>
    <t>K001</t>
  </si>
  <si>
    <t>K007</t>
  </si>
  <si>
    <t>K008</t>
  </si>
  <si>
    <t>K011</t>
  </si>
  <si>
    <t>K054</t>
  </si>
  <si>
    <t>Noah Large 6 - Jugs</t>
  </si>
  <si>
    <t>K060</t>
  </si>
  <si>
    <t>K109</t>
  </si>
  <si>
    <t>K111</t>
  </si>
  <si>
    <t>K116</t>
  </si>
  <si>
    <t>K003</t>
  </si>
  <si>
    <t>K009</t>
  </si>
  <si>
    <t>K012</t>
  </si>
  <si>
    <t>K014</t>
  </si>
  <si>
    <t>K037</t>
  </si>
  <si>
    <t>K038</t>
  </si>
  <si>
    <t>K042</t>
  </si>
  <si>
    <t>K044</t>
  </si>
  <si>
    <t>K052</t>
  </si>
  <si>
    <t>K059</t>
  </si>
  <si>
    <t>K080</t>
  </si>
  <si>
    <t>K081</t>
  </si>
  <si>
    <t>K084</t>
  </si>
  <si>
    <t>K085</t>
  </si>
  <si>
    <t>K086</t>
  </si>
  <si>
    <t>K087</t>
  </si>
  <si>
    <t>K095</t>
  </si>
  <si>
    <t>K113</t>
  </si>
  <si>
    <t>K114</t>
  </si>
  <si>
    <t>K119</t>
  </si>
  <si>
    <t>K120</t>
  </si>
  <si>
    <t>K154</t>
  </si>
  <si>
    <t>K155</t>
  </si>
  <si>
    <t>K156</t>
  </si>
  <si>
    <t>K159</t>
  </si>
  <si>
    <t>K174</t>
  </si>
  <si>
    <t>K024</t>
  </si>
  <si>
    <t>K025</t>
  </si>
  <si>
    <t>K090</t>
  </si>
  <si>
    <t>K092</t>
  </si>
  <si>
    <t>K099</t>
  </si>
  <si>
    <t>K103</t>
  </si>
  <si>
    <t>K106</t>
  </si>
  <si>
    <t>K175</t>
  </si>
  <si>
    <t>K020</t>
  </si>
  <si>
    <t>K021</t>
  </si>
  <si>
    <t>K040</t>
  </si>
  <si>
    <t>K126-1</t>
  </si>
  <si>
    <t>K126-2</t>
  </si>
  <si>
    <t>K126-3</t>
  </si>
  <si>
    <t>K133-2</t>
  </si>
  <si>
    <t>K133-3</t>
  </si>
  <si>
    <t>K161-2</t>
  </si>
  <si>
    <t>K161-3</t>
  </si>
  <si>
    <t>K128</t>
  </si>
  <si>
    <t>K124</t>
  </si>
  <si>
    <t>K123</t>
  </si>
  <si>
    <t>K127</t>
  </si>
  <si>
    <t>K061</t>
  </si>
  <si>
    <t>K122</t>
  </si>
  <si>
    <t>K130</t>
  </si>
  <si>
    <t>Sandstone XL 4 - Jugs</t>
  </si>
  <si>
    <t>K139</t>
  </si>
  <si>
    <t>Sandstone XL 5 - Jugs</t>
  </si>
  <si>
    <t>K140</t>
  </si>
  <si>
    <t>K160</t>
  </si>
  <si>
    <t>K033</t>
  </si>
  <si>
    <t>K035</t>
  </si>
  <si>
    <t>K107</t>
  </si>
  <si>
    <t>K108</t>
  </si>
  <si>
    <t>K134</t>
  </si>
  <si>
    <t>K135</t>
  </si>
  <si>
    <t>K137</t>
  </si>
  <si>
    <t>K148</t>
  </si>
  <si>
    <t>K152</t>
  </si>
  <si>
    <t>K169</t>
  </si>
  <si>
    <t>K171</t>
  </si>
  <si>
    <t>K173</t>
  </si>
  <si>
    <t>K002</t>
  </si>
  <si>
    <t>K029</t>
  </si>
  <si>
    <t>K032</t>
  </si>
  <si>
    <t>K104</t>
  </si>
  <si>
    <t>K115</t>
  </si>
  <si>
    <t>K136</t>
  </si>
  <si>
    <t>K138</t>
  </si>
  <si>
    <t>K141</t>
  </si>
  <si>
    <t>K142</t>
  </si>
  <si>
    <t>K143</t>
  </si>
  <si>
    <t>K144</t>
  </si>
  <si>
    <t>K146</t>
  </si>
  <si>
    <t>K150</t>
  </si>
  <si>
    <t>K151</t>
  </si>
  <si>
    <t>K153</t>
  </si>
  <si>
    <t>K145</t>
  </si>
  <si>
    <t>K157</t>
  </si>
  <si>
    <t>K158</t>
  </si>
  <si>
    <t>K176</t>
  </si>
  <si>
    <t>K177</t>
  </si>
  <si>
    <t>K178</t>
  </si>
  <si>
    <t>K147</t>
  </si>
  <si>
    <t>K149</t>
  </si>
  <si>
    <t>K172</t>
  </si>
  <si>
    <t>KHIP006</t>
  </si>
  <si>
    <t>KHIP008</t>
  </si>
  <si>
    <t>K047-1</t>
  </si>
  <si>
    <t>K047-2</t>
  </si>
  <si>
    <t>K047-3</t>
  </si>
  <si>
    <t>K074</t>
  </si>
  <si>
    <t>K034</t>
  </si>
  <si>
    <t>K036</t>
  </si>
  <si>
    <t>K118</t>
  </si>
  <si>
    <t>K013</t>
  </si>
  <si>
    <t>K022</t>
  </si>
  <si>
    <t>K026</t>
  </si>
  <si>
    <t>K041</t>
  </si>
  <si>
    <t>K043</t>
  </si>
  <si>
    <t>K045</t>
  </si>
  <si>
    <t>K018</t>
  </si>
  <si>
    <t>K019</t>
  </si>
  <si>
    <t>K048-1</t>
  </si>
  <si>
    <t>K048-2</t>
  </si>
  <si>
    <t>K048-3</t>
  </si>
  <si>
    <t>K068-1</t>
  </si>
  <si>
    <t>K068-2</t>
  </si>
  <si>
    <t>K068-3</t>
  </si>
  <si>
    <t>K067-1</t>
  </si>
  <si>
    <t>K067-2</t>
  </si>
  <si>
    <t>K067-3</t>
  </si>
  <si>
    <t>K125</t>
  </si>
  <si>
    <t>K076</t>
  </si>
  <si>
    <t>K005</t>
  </si>
  <si>
    <t>K006</t>
  </si>
  <si>
    <t>K030</t>
  </si>
  <si>
    <t>K031</t>
  </si>
  <si>
    <t>K051</t>
  </si>
  <si>
    <t>K058</t>
  </si>
  <si>
    <t>K088</t>
  </si>
  <si>
    <t>K096</t>
  </si>
  <si>
    <t>K097</t>
  </si>
  <si>
    <t>K098</t>
  </si>
  <si>
    <t>K110</t>
  </si>
  <si>
    <t>K010</t>
  </si>
  <si>
    <t>K015</t>
  </si>
  <si>
    <t>K023</t>
  </si>
  <si>
    <t>K050</t>
  </si>
  <si>
    <t>K055</t>
  </si>
  <si>
    <t>K056</t>
  </si>
  <si>
    <t>K057</t>
  </si>
  <si>
    <t>K077</t>
  </si>
  <si>
    <t>K082</t>
  </si>
  <si>
    <t>K083</t>
  </si>
  <si>
    <t>K094</t>
  </si>
  <si>
    <t>K100</t>
  </si>
  <si>
    <t>K105</t>
  </si>
  <si>
    <t>K112</t>
  </si>
  <si>
    <t>K117</t>
  </si>
  <si>
    <t>K166</t>
  </si>
  <si>
    <t>K167</t>
  </si>
  <si>
    <t>K168</t>
  </si>
  <si>
    <t>K170</t>
  </si>
  <si>
    <t>K004</t>
  </si>
  <si>
    <t>K016</t>
  </si>
  <si>
    <t>K017</t>
  </si>
  <si>
    <t>K039</t>
  </si>
  <si>
    <t>K046</t>
  </si>
  <si>
    <t>K079</t>
  </si>
  <si>
    <t>K091</t>
  </si>
  <si>
    <t>K093</t>
  </si>
  <si>
    <t>K102</t>
  </si>
  <si>
    <t>K027</t>
  </si>
  <si>
    <t>K028</t>
  </si>
  <si>
    <t>K101</t>
  </si>
  <si>
    <t>Hold Weight:</t>
  </si>
  <si>
    <t>Totals:</t>
  </si>
  <si>
    <t>Total Grips:</t>
  </si>
  <si>
    <t>Hardware Total:</t>
  </si>
  <si>
    <t>Shirts Total</t>
  </si>
  <si>
    <t>PRODUCT TOTAL:</t>
  </si>
  <si>
    <t>Manufacturer Handling Fee (based on order size):</t>
  </si>
  <si>
    <t>Shipping (We will calculate and return a quote on this):</t>
  </si>
  <si>
    <t>ORDER TOTAL:</t>
  </si>
  <si>
    <t>Payment:</t>
  </si>
  <si>
    <t>TOTAL DUE:</t>
  </si>
  <si>
    <t>Discount</t>
  </si>
  <si>
    <t>KHJW012</t>
  </si>
  <si>
    <t>Brushed Sandstone Jibs Set 1</t>
  </si>
  <si>
    <t>Brushed Sandstone Jibs Set 3</t>
  </si>
  <si>
    <t>Brushed Sandstone Jibs Set 6</t>
  </si>
  <si>
    <t>Brushed Sandstone Jibs Set 7</t>
  </si>
  <si>
    <t>Brushed Sandstone Jibs Set 8</t>
  </si>
  <si>
    <t>Brushed Sandstone Jibs Set 9 - Rails</t>
  </si>
  <si>
    <t>Brushed Sandstone Jibs Set 10 - Slopers</t>
  </si>
  <si>
    <t>Noah 2XL 1 - Rails</t>
  </si>
  <si>
    <t>Noah 2XL 2 - Rails</t>
  </si>
  <si>
    <t>Noah 2XL 3 - Rails</t>
  </si>
  <si>
    <t>Noah XL 1 - Rails</t>
  </si>
  <si>
    <t>Noah XL 2 - Rails</t>
  </si>
  <si>
    <t>Noah XL 3 - Rails</t>
  </si>
  <si>
    <t>Noah XL 4 - Over Jugs</t>
  </si>
  <si>
    <t>Noah XL 5 - Over Jugs</t>
  </si>
  <si>
    <t>Noah XL 6 - Over Jugs</t>
  </si>
  <si>
    <t>Noah XL 7 - Over Jugs</t>
  </si>
  <si>
    <t>Noah XL 9 - Over Jugs</t>
  </si>
  <si>
    <t>Sandstone Kaiju 1-2 - Ledges</t>
  </si>
  <si>
    <t>Sandstone Kaiju 4-5 - Huecos</t>
  </si>
  <si>
    <t>Sandstone 2XL Set 1 - Super Jugs</t>
  </si>
  <si>
    <t>Sandstone 2XL Set 2 - Jugs</t>
  </si>
  <si>
    <t>Sandstone 2XL Set 3 - Jugs</t>
  </si>
  <si>
    <t>Sandstone 2XL Set 4 - Jugs</t>
  </si>
  <si>
    <t>Sandstone 2XL Set 5 - Super Jugs</t>
  </si>
  <si>
    <t>Sandstone 2XL Set 6 - Mixed Set</t>
  </si>
  <si>
    <t>Sandstone XL 1 - Fins</t>
  </si>
  <si>
    <t>Sandstone XL 2 - Jugs</t>
  </si>
  <si>
    <t>Sandstone Large 1 - Jugs</t>
  </si>
  <si>
    <t>Sandstone Large 2 - Mini Jugs and Incuts</t>
  </si>
  <si>
    <t>Sandstone Mega Jibs Set 1 - Big Hueco</t>
  </si>
  <si>
    <t>Sandstone Jibs Set 1 - Edges and Incuts</t>
  </si>
  <si>
    <t>Granite Kaiju 1-3 Roof Slopers</t>
  </si>
  <si>
    <t>Granite 2XL Set 1 - Super Jugs</t>
  </si>
  <si>
    <t>Granite Teagan 2XL Set 1 - Mixed Set</t>
  </si>
  <si>
    <t>Granite Teagan XL Set 1 - Pinches</t>
  </si>
  <si>
    <t>Jeremy Ho Lo Riders Kaiju 4-6 - Crescents</t>
  </si>
  <si>
    <t>Jeremy Ho Lo Riders Kaiju 7-8 - Crescents</t>
  </si>
  <si>
    <t>Jeremy Ho Lo Riders XL 1 - Crescents</t>
  </si>
  <si>
    <t>Jeremy Ho Lo Riders XL 2 - Crescents</t>
  </si>
  <si>
    <t>Jeremy Ho Lo Riders XL 3 - Pinches</t>
  </si>
  <si>
    <t>Jeremy Ho Lo Riders XL 4 - Pinches</t>
  </si>
  <si>
    <t>KX001</t>
  </si>
  <si>
    <t>KX003</t>
  </si>
  <si>
    <t>KX009</t>
  </si>
  <si>
    <t>KX010</t>
  </si>
  <si>
    <t>KX028</t>
  </si>
  <si>
    <t>KX032</t>
  </si>
  <si>
    <t>KX033</t>
  </si>
  <si>
    <t>KX034</t>
  </si>
  <si>
    <t>KX035</t>
  </si>
  <si>
    <t>KX036</t>
  </si>
  <si>
    <t>KX037</t>
  </si>
  <si>
    <t>KX038</t>
  </si>
  <si>
    <t>KX039</t>
  </si>
  <si>
    <t>KX042</t>
  </si>
  <si>
    <t>KX043</t>
  </si>
  <si>
    <t>KX046</t>
  </si>
  <si>
    <t>KX047</t>
  </si>
  <si>
    <t>KX048</t>
  </si>
  <si>
    <t>KX040</t>
  </si>
  <si>
    <t>KX041</t>
  </si>
  <si>
    <t>KX018</t>
  </si>
  <si>
    <t>KX049</t>
  </si>
  <si>
    <t>KX011</t>
  </si>
  <si>
    <t>KX012</t>
  </si>
  <si>
    <t>KX013</t>
  </si>
  <si>
    <t>KX014</t>
  </si>
  <si>
    <t>KX017</t>
  </si>
  <si>
    <t>KX030</t>
  </si>
  <si>
    <t>KX007</t>
  </si>
  <si>
    <t>KX016</t>
  </si>
  <si>
    <t>KX025</t>
  </si>
  <si>
    <t>KX044</t>
  </si>
  <si>
    <t>KX015</t>
  </si>
  <si>
    <t>KX045</t>
  </si>
  <si>
    <t>KX026</t>
  </si>
  <si>
    <t>KX027</t>
  </si>
  <si>
    <t>KX022</t>
  </si>
  <si>
    <t>KX019</t>
  </si>
  <si>
    <t>KX029</t>
  </si>
  <si>
    <t>KX021</t>
  </si>
  <si>
    <t>KX020</t>
  </si>
  <si>
    <t>KXJH002</t>
  </si>
  <si>
    <t>KXJH003</t>
  </si>
  <si>
    <t>KXJH004</t>
  </si>
  <si>
    <t>KXJH005</t>
  </si>
  <si>
    <t>KXJH006</t>
  </si>
  <si>
    <t>KXJH007</t>
  </si>
  <si>
    <t>KXJH008</t>
  </si>
  <si>
    <t>KXJH009</t>
  </si>
  <si>
    <t>KFB019</t>
  </si>
  <si>
    <t>Composite X</t>
  </si>
  <si>
    <t>Sales Tax?</t>
  </si>
  <si>
    <t>Color Charge</t>
  </si>
  <si>
    <t>Difficulty</t>
  </si>
  <si>
    <t>easy</t>
  </si>
  <si>
    <t>crimps</t>
  </si>
  <si>
    <t>hard</t>
  </si>
  <si>
    <t>medium</t>
  </si>
  <si>
    <t>edges</t>
  </si>
  <si>
    <t>feet</t>
  </si>
  <si>
    <t>incuts</t>
  </si>
  <si>
    <t>jibs</t>
  </si>
  <si>
    <t>jugs</t>
  </si>
  <si>
    <t>pinches</t>
  </si>
  <si>
    <t>slopers</t>
  </si>
  <si>
    <t>slots</t>
  </si>
  <si>
    <t>mini jugs</t>
  </si>
  <si>
    <t>KHUW007</t>
  </si>
  <si>
    <t>KHUW008</t>
  </si>
  <si>
    <t>KHUW009</t>
  </si>
  <si>
    <t>KHUW010</t>
  </si>
  <si>
    <t>KHUW011</t>
  </si>
  <si>
    <t>Red</t>
  </si>
  <si>
    <t>Orange</t>
  </si>
  <si>
    <t>Yellow</t>
  </si>
  <si>
    <t>Blue</t>
  </si>
  <si>
    <t>Purple</t>
  </si>
  <si>
    <t>Hot Pink</t>
  </si>
  <si>
    <t>Black</t>
  </si>
  <si>
    <t>11-12</t>
  </si>
  <si>
    <t>14-01</t>
  </si>
  <si>
    <t>15-12</t>
  </si>
  <si>
    <t>16-16</t>
  </si>
  <si>
    <t>13-01</t>
  </si>
  <si>
    <t>07-13</t>
  </si>
  <si>
    <t>11-26</t>
  </si>
  <si>
    <t>18-01</t>
  </si>
  <si>
    <t>Green</t>
  </si>
  <si>
    <t>Color</t>
  </si>
  <si>
    <t>Quantity</t>
  </si>
  <si>
    <t>Handling</t>
  </si>
  <si>
    <t>K149 DT</t>
  </si>
  <si>
    <t>K161-1 DT</t>
  </si>
  <si>
    <t>K161-2 DT</t>
  </si>
  <si>
    <t>K161-3 DT</t>
  </si>
  <si>
    <t>K162-1 DT</t>
  </si>
  <si>
    <t>K162-2 DT</t>
  </si>
  <si>
    <t>K162-3 DT</t>
  </si>
  <si>
    <t>feature</t>
  </si>
  <si>
    <t>KFB015</t>
  </si>
  <si>
    <t>KFB016</t>
  </si>
  <si>
    <t>KFB017</t>
  </si>
  <si>
    <t>KFB018</t>
  </si>
  <si>
    <t>KFB020</t>
  </si>
  <si>
    <t>KFB021</t>
  </si>
  <si>
    <t>KFB022</t>
  </si>
  <si>
    <t>KFB023</t>
  </si>
  <si>
    <t>KFB024</t>
  </si>
  <si>
    <t>Quantity of Sets</t>
  </si>
  <si>
    <t>Holds per Set</t>
  </si>
  <si>
    <t>1.5"</t>
  </si>
  <si>
    <t>2"</t>
  </si>
  <si>
    <t>2.5"</t>
  </si>
  <si>
    <t>3"</t>
  </si>
  <si>
    <t>3.5"</t>
  </si>
  <si>
    <t>4"</t>
  </si>
  <si>
    <t>4.5"</t>
  </si>
  <si>
    <t>5"</t>
  </si>
  <si>
    <t>6"</t>
  </si>
  <si>
    <t>6.5"</t>
  </si>
  <si>
    <t>7"</t>
  </si>
  <si>
    <t>8"</t>
  </si>
  <si>
    <t>Added</t>
  </si>
  <si>
    <t>KHIP013 DT</t>
  </si>
  <si>
    <t>KU001</t>
  </si>
  <si>
    <t>Per Unit</t>
  </si>
  <si>
    <t>Cost Per Size</t>
  </si>
  <si>
    <t>Product/Service</t>
  </si>
  <si>
    <t>Rate</t>
  </si>
  <si>
    <t>Amount</t>
  </si>
  <si>
    <t>Customer</t>
  </si>
  <si>
    <t>Vendor</t>
  </si>
  <si>
    <t>Legend</t>
  </si>
  <si>
    <t>UV Stabilize</t>
  </si>
  <si>
    <t>UV Stabilizer</t>
  </si>
  <si>
    <t>Y</t>
  </si>
  <si>
    <t>N</t>
  </si>
  <si>
    <t>Product</t>
  </si>
  <si>
    <t>Shipping</t>
  </si>
  <si>
    <t>Hardware</t>
  </si>
  <si>
    <t>KXJH001</t>
  </si>
  <si>
    <t>Jeremy Ho Lo Riders Kaiju 1-3 - Crescents</t>
  </si>
  <si>
    <t>Effective</t>
  </si>
  <si>
    <t>Brushed Sandstone Jibs Set 2</t>
  </si>
  <si>
    <t>KX002</t>
  </si>
  <si>
    <t>Brushed Sandstone Jibs Set 4</t>
  </si>
  <si>
    <t>KX004</t>
  </si>
  <si>
    <t>KX005</t>
  </si>
  <si>
    <t>KX006</t>
  </si>
  <si>
    <t>KX008</t>
  </si>
  <si>
    <t>KX031</t>
  </si>
  <si>
    <t>Font Jib Plates Large Set 1</t>
  </si>
  <si>
    <t>Font Jib Plates Large Set 2</t>
  </si>
  <si>
    <t>Brushed Sandstone Jibs Set 5</t>
  </si>
  <si>
    <t>Granite Jibs Set 1</t>
  </si>
  <si>
    <t>Holds - Kilter:K001</t>
  </si>
  <si>
    <t>Holds - Kilter:K002</t>
  </si>
  <si>
    <t>Holds - Kilter:K003</t>
  </si>
  <si>
    <t>Holds - Kilter:K004</t>
  </si>
  <si>
    <t>Holds - Kilter:K005</t>
  </si>
  <si>
    <t>Holds - Kilter:K006</t>
  </si>
  <si>
    <t>Holds - Kilter:K007</t>
  </si>
  <si>
    <t>Holds - Kilter:K008</t>
  </si>
  <si>
    <t>Holds - Kilter:K009</t>
  </si>
  <si>
    <t>Holds - Kilter:K010</t>
  </si>
  <si>
    <t>Holds - Kilter:K011</t>
  </si>
  <si>
    <t>Holds - Kilter:K012</t>
  </si>
  <si>
    <t>Holds - Kilter:K013</t>
  </si>
  <si>
    <t>Holds - Kilter:K014</t>
  </si>
  <si>
    <t>Holds - Kilter:K015</t>
  </si>
  <si>
    <t>Holds - Kilter:K016</t>
  </si>
  <si>
    <t>Holds - Kilter:K017</t>
  </si>
  <si>
    <t>Holds - Kilter:K018</t>
  </si>
  <si>
    <t>Holds - Kilter:K019</t>
  </si>
  <si>
    <t>Holds - Kilter:K020</t>
  </si>
  <si>
    <t>Holds - Kilter:K021</t>
  </si>
  <si>
    <t>Holds - Kilter:K022</t>
  </si>
  <si>
    <t>Holds - Kilter:K023</t>
  </si>
  <si>
    <t>Holds - Kilter:K024</t>
  </si>
  <si>
    <t>Holds - Kilter:K025</t>
  </si>
  <si>
    <t>Holds - Kilter:K026</t>
  </si>
  <si>
    <t>Holds - Kilter:K027</t>
  </si>
  <si>
    <t>Holds - Kilter:K028</t>
  </si>
  <si>
    <t>Holds - Kilter:K030</t>
  </si>
  <si>
    <t>Holds - Kilter:K031</t>
  </si>
  <si>
    <t>Holds - Kilter:K032</t>
  </si>
  <si>
    <t>Holds - Kilter:K033</t>
  </si>
  <si>
    <t>Holds - Kilter:K034</t>
  </si>
  <si>
    <t>Holds - Kilter:K035</t>
  </si>
  <si>
    <t>Holds - Kilter:K036</t>
  </si>
  <si>
    <t>Holds - Kilter:K037</t>
  </si>
  <si>
    <t>Holds - Kilter:K038</t>
  </si>
  <si>
    <t>Holds - Kilter:K039</t>
  </si>
  <si>
    <t>Holds - Kilter:K040</t>
  </si>
  <si>
    <t>Holds - Kilter:K041</t>
  </si>
  <si>
    <t>Holds - Kilter:K042</t>
  </si>
  <si>
    <t>Holds - Kilter:K043</t>
  </si>
  <si>
    <t>Holds - Kilter:K044</t>
  </si>
  <si>
    <t>Holds - Kilter:K045</t>
  </si>
  <si>
    <t>Holds - Kilter:K046</t>
  </si>
  <si>
    <t>Holds - Kilter:K047-1</t>
  </si>
  <si>
    <t>Holds - Kilter:K047-2</t>
  </si>
  <si>
    <t>Holds - Kilter:K047-3</t>
  </si>
  <si>
    <t>Holds - Kilter:K048-1</t>
  </si>
  <si>
    <t>Holds - Kilter:K048-2</t>
  </si>
  <si>
    <t>Holds - Kilter:K048-3</t>
  </si>
  <si>
    <t>Holds - Kilter:K049-1</t>
  </si>
  <si>
    <t>Holds - Kilter:K049-2</t>
  </si>
  <si>
    <t>Holds - Kilter:K049-3</t>
  </si>
  <si>
    <t>Holds - Kilter:K050</t>
  </si>
  <si>
    <t>Holds - Kilter:K051</t>
  </si>
  <si>
    <t>Holds - Kilter:K052</t>
  </si>
  <si>
    <t>Holds - Kilter:K053-1</t>
  </si>
  <si>
    <t>Holds - Kilter:K053-2</t>
  </si>
  <si>
    <t>Holds - Kilter:K053-3</t>
  </si>
  <si>
    <t>Holds - Kilter:K054</t>
  </si>
  <si>
    <t>Holds - Kilter:K055</t>
  </si>
  <si>
    <t>Holds - Kilter:K056</t>
  </si>
  <si>
    <t>Holds - Kilter:K057</t>
  </si>
  <si>
    <t>Holds - Kilter:K058</t>
  </si>
  <si>
    <t>Holds - Kilter:K059</t>
  </si>
  <si>
    <t>Holds - Kilter:K060</t>
  </si>
  <si>
    <t>Holds - Kilter:K061</t>
  </si>
  <si>
    <t>Holds - Kilter:K063-1</t>
  </si>
  <si>
    <t>Holds - Kilter:K063-2</t>
  </si>
  <si>
    <t>Holds - Kilter:K063-3</t>
  </si>
  <si>
    <t>Holds - Kilter:K065-1</t>
  </si>
  <si>
    <t>Holds - Kilter:K065-2</t>
  </si>
  <si>
    <t>Holds - Kilter:K065-3</t>
  </si>
  <si>
    <t>Holds - Kilter:K066-1</t>
  </si>
  <si>
    <t>Holds - Kilter:K066-2</t>
  </si>
  <si>
    <t>Holds - Kilter:K066-3</t>
  </si>
  <si>
    <t>Holds - Kilter:K067-1</t>
  </si>
  <si>
    <t>Holds - Kilter:K067-2</t>
  </si>
  <si>
    <t>Holds - Kilter:K067-3</t>
  </si>
  <si>
    <t>Holds - Kilter:K068-1</t>
  </si>
  <si>
    <t>Holds - Kilter:K068-2</t>
  </si>
  <si>
    <t>Holds - Kilter:K068-3</t>
  </si>
  <si>
    <t>Holds - Kilter:K069-1</t>
  </si>
  <si>
    <t>Holds - Kilter:K069-2</t>
  </si>
  <si>
    <t>Holds - Kilter:K069-3</t>
  </si>
  <si>
    <t>Holds - Kilter:K072</t>
  </si>
  <si>
    <t>Holds - Kilter:K073</t>
  </si>
  <si>
    <t>Holds - Kilter:K074</t>
  </si>
  <si>
    <t>Holds - Kilter:K076</t>
  </si>
  <si>
    <t>Holds - Kilter:K077</t>
  </si>
  <si>
    <t>Holds - Kilter:K079</t>
  </si>
  <si>
    <t>Holds - Kilter:K080</t>
  </si>
  <si>
    <t>Holds - Kilter:K081</t>
  </si>
  <si>
    <t>Holds - Kilter:K082</t>
  </si>
  <si>
    <t>Holds - Kilter:K083</t>
  </si>
  <si>
    <t>Holds - Kilter:K084</t>
  </si>
  <si>
    <t>Holds - Kilter:K085</t>
  </si>
  <si>
    <t>Holds - Kilter:K086</t>
  </si>
  <si>
    <t>Holds - Kilter:K087</t>
  </si>
  <si>
    <t>Holds - Kilter:K088</t>
  </si>
  <si>
    <t>Holds - Kilter:K090</t>
  </si>
  <si>
    <t>Holds - Kilter:K091</t>
  </si>
  <si>
    <t>Holds - Kilter:K092</t>
  </si>
  <si>
    <t>Holds - Kilter:K093</t>
  </si>
  <si>
    <t>Holds - Kilter:K094</t>
  </si>
  <si>
    <t>Holds - Kilter:K095</t>
  </si>
  <si>
    <t>Holds - Kilter:K096</t>
  </si>
  <si>
    <t>Holds - Kilter:K097</t>
  </si>
  <si>
    <t>Holds - Kilter:K098</t>
  </si>
  <si>
    <t>Holds - Kilter:K099</t>
  </si>
  <si>
    <t>Holds - Kilter:K100</t>
  </si>
  <si>
    <t>Holds - Kilter:K101</t>
  </si>
  <si>
    <t>Holds - Kilter:K102</t>
  </si>
  <si>
    <t>Holds - Kilter:K103</t>
  </si>
  <si>
    <t>Holds - Kilter:K104</t>
  </si>
  <si>
    <t>Holds - Kilter:K105</t>
  </si>
  <si>
    <t>Holds - Kilter:K106</t>
  </si>
  <si>
    <t>Holds - Kilter:K107</t>
  </si>
  <si>
    <t>Holds - Kilter:K108</t>
  </si>
  <si>
    <t>Holds - Kilter:K109</t>
  </si>
  <si>
    <t>Holds - Kilter:K110</t>
  </si>
  <si>
    <t>Holds - Kilter:K111</t>
  </si>
  <si>
    <t>Holds - Kilter:K112</t>
  </si>
  <si>
    <t>Holds - Kilter:K113</t>
  </si>
  <si>
    <t>Holds - Kilter:K114</t>
  </si>
  <si>
    <t>Holds - Kilter:K115</t>
  </si>
  <si>
    <t>Holds - Kilter:K116</t>
  </si>
  <si>
    <t>Holds - Kilter:K117</t>
  </si>
  <si>
    <t>Holds - Kilter:K118</t>
  </si>
  <si>
    <t>Holds - Kilter:K119</t>
  </si>
  <si>
    <t>Holds - Kilter:K120</t>
  </si>
  <si>
    <t>Holds - Kilter:K121</t>
  </si>
  <si>
    <t>Holds - Kilter:K122</t>
  </si>
  <si>
    <t>Holds - Kilter:K123</t>
  </si>
  <si>
    <t>Holds - Kilter:K124</t>
  </si>
  <si>
    <t>Holds - Kilter:K125</t>
  </si>
  <si>
    <t>Holds - Kilter:K126-1</t>
  </si>
  <si>
    <t>Holds - Kilter:K126-2</t>
  </si>
  <si>
    <t>Holds - Kilter:K126-3</t>
  </si>
  <si>
    <t>Holds - Kilter:K127</t>
  </si>
  <si>
    <t>Holds - Kilter:K128</t>
  </si>
  <si>
    <t>Holds - Kilter:K130</t>
  </si>
  <si>
    <t>Holds - Kilter:K133-2</t>
  </si>
  <si>
    <t>Holds - Kilter:K133-3</t>
  </si>
  <si>
    <t>Holds - Kilter:K134</t>
  </si>
  <si>
    <t>Holds - Kilter:K135</t>
  </si>
  <si>
    <t>Holds - Kilter:K136</t>
  </si>
  <si>
    <t>Holds - Kilter:K137</t>
  </si>
  <si>
    <t>Holds - Kilter:K138</t>
  </si>
  <si>
    <t>Holds - Kilter:K139</t>
  </si>
  <si>
    <t>Holds - Kilter:K140</t>
  </si>
  <si>
    <t>Holds - Kilter:K141</t>
  </si>
  <si>
    <t>Holds - Kilter:K142</t>
  </si>
  <si>
    <t>Holds - Kilter:K143</t>
  </si>
  <si>
    <t>Holds - Kilter:K144</t>
  </si>
  <si>
    <t>Holds - Kilter:K145</t>
  </si>
  <si>
    <t>Holds - Kilter:K146</t>
  </si>
  <si>
    <t>Holds - Kilter:K147</t>
  </si>
  <si>
    <t>Holds - Kilter:K148</t>
  </si>
  <si>
    <t>Holds - Kilter:K149</t>
  </si>
  <si>
    <t>Holds - Kilter:K149 DT</t>
  </si>
  <si>
    <t>Holds - Kilter:K150</t>
  </si>
  <si>
    <t>Holds - Kilter:K151</t>
  </si>
  <si>
    <t>Holds - Kilter:K152</t>
  </si>
  <si>
    <t>Holds - Kilter:K153</t>
  </si>
  <si>
    <t>Holds - Kilter:K154</t>
  </si>
  <si>
    <t>Holds - Kilter:K155</t>
  </si>
  <si>
    <t>Holds - Kilter:K156</t>
  </si>
  <si>
    <t>Holds - Kilter:K157</t>
  </si>
  <si>
    <t>Holds - Kilter:K158</t>
  </si>
  <si>
    <t>Holds - Kilter:K159</t>
  </si>
  <si>
    <t>Holds - Kilter:K160</t>
  </si>
  <si>
    <t>Holds - Kilter:K161-1 DT</t>
  </si>
  <si>
    <t>Holds - Kilter:K161-2</t>
  </si>
  <si>
    <t>Holds - Kilter:K161-2 DT</t>
  </si>
  <si>
    <t>Holds - Kilter:K161-3</t>
  </si>
  <si>
    <t>Holds - Kilter:K161-3 DT</t>
  </si>
  <si>
    <t>Holds - Kilter:K162-1 DT</t>
  </si>
  <si>
    <t>Holds - Kilter:K162-2 DT</t>
  </si>
  <si>
    <t>Holds - Kilter:K162-3 DT</t>
  </si>
  <si>
    <t>Holds - Kilter:K164</t>
  </si>
  <si>
    <t>Holds - Kilter:K166</t>
  </si>
  <si>
    <t>Holds - Kilter:K167</t>
  </si>
  <si>
    <t>Holds - Kilter:K168</t>
  </si>
  <si>
    <t>Holds - Kilter:K169</t>
  </si>
  <si>
    <t>Holds - Kilter:K170</t>
  </si>
  <si>
    <t>Holds - Kilter:K171</t>
  </si>
  <si>
    <t>Holds - Kilter:K172</t>
  </si>
  <si>
    <t>Holds - Kilter:K173</t>
  </si>
  <si>
    <t>Holds - Kilter:K174</t>
  </si>
  <si>
    <t>Holds - Kilter:K175</t>
  </si>
  <si>
    <t>Holds - Kilter:K176</t>
  </si>
  <si>
    <t>Holds - Kilter:K177</t>
  </si>
  <si>
    <t>Holds - Kilter:K178</t>
  </si>
  <si>
    <t>Holds - F-Block:Dan Yagmin:KFB001</t>
  </si>
  <si>
    <t>Holds - F-Block:Dan Yagmin:KFB002</t>
  </si>
  <si>
    <t>Holds - F-Block:Dan Yagmin:KFB003</t>
  </si>
  <si>
    <t>Holds - F-Block:Dan Yagmin:KFB004</t>
  </si>
  <si>
    <t>Holds - F-Block:Dan Yagmin:KFB005</t>
  </si>
  <si>
    <t>Holds - F-Block:Dan Yagmin:KFB006</t>
  </si>
  <si>
    <t>Holds - F-Block:Dan Yagmin:KFB007</t>
  </si>
  <si>
    <t>Holds - F-Block:Dan Yagmin:KFB008</t>
  </si>
  <si>
    <t>Holds - F-Block:Dan Yagmin:KFB009</t>
  </si>
  <si>
    <t>Holds - F-Block:Dan Yagmin:KFB010</t>
  </si>
  <si>
    <t>Holds - F-Block:Dan Yagmin:KFB011</t>
  </si>
  <si>
    <t>Holds - F-Block:Dan Yagmin:KFB012</t>
  </si>
  <si>
    <t>Holds - F-Block:Dan Yagmin:KFB013</t>
  </si>
  <si>
    <t>Holds - F-Block:Dan Yagmin:KFB014</t>
  </si>
  <si>
    <t>Holds - F-Block:Dan Yagmin:KFB015</t>
  </si>
  <si>
    <t>Holds - F-Block:Dan Yagmin:KFB016</t>
  </si>
  <si>
    <t>Holds - F-Block:Dan Yagmin:KFB017</t>
  </si>
  <si>
    <t>Holds - F-Block:Dan Yagmin:KFB018</t>
  </si>
  <si>
    <t>Holds - F-Block:Dan Yagmin:KFB019</t>
  </si>
  <si>
    <t>Holds - F-Block:Dan Yagmin:KFB020</t>
  </si>
  <si>
    <t>Holds - F-Block:Dan Yagmin:KFB021</t>
  </si>
  <si>
    <t>Holds - F-Block:Dan Yagmin:KFB022</t>
  </si>
  <si>
    <t>Holds - F-Block:Dan Yagmin:KFB023</t>
  </si>
  <si>
    <t>Holds - F-Block:Dan Yagmin:KFB024</t>
  </si>
  <si>
    <t>Holds - Haptic:Alex:KHAP001</t>
  </si>
  <si>
    <t>Holds - Haptic:Alex:KHAP002</t>
  </si>
  <si>
    <t>Holds - Haptic:Ian:KHIP001</t>
  </si>
  <si>
    <t>Holds - Haptic:Ian:KHIP002</t>
  </si>
  <si>
    <t>Holds - Haptic:Ian:KHIP003</t>
  </si>
  <si>
    <t>Holds - Haptic:Ian:KHIP004</t>
  </si>
  <si>
    <t>Holds - Haptic:Ian:KHIP005</t>
  </si>
  <si>
    <t>Holds - Haptic:Ian:KHIP006</t>
  </si>
  <si>
    <t>Holds - Haptic:Ian:KHIP007</t>
  </si>
  <si>
    <t>Holds - Haptic:Ian:KHIP008</t>
  </si>
  <si>
    <t>Holds - Haptic:Ian:KHIP009</t>
  </si>
  <si>
    <t>Holds - Haptic:Ian:KHIP010</t>
  </si>
  <si>
    <t>Holds - Haptic:Ian:KHIP012-2</t>
  </si>
  <si>
    <t>Holds - Haptic:Ian:KHIP012-3</t>
  </si>
  <si>
    <t>Holds - Haptic:Ian:KHIP013</t>
  </si>
  <si>
    <t>Holds - Haptic:Ian:KHIP013 DT</t>
  </si>
  <si>
    <t>Holds - Haptic:Ian:KHIP014</t>
  </si>
  <si>
    <t>Holds - Haptic:Ian:KHIP015</t>
  </si>
  <si>
    <t>Holds - Haptic:Ian:KHIP016</t>
  </si>
  <si>
    <t>Holds - Haptic:Ian:KHIP017</t>
  </si>
  <si>
    <t>Holds - Haptic:Ian:KHIP018</t>
  </si>
  <si>
    <t>Holds - Haptic:Ian:KHIP019</t>
  </si>
  <si>
    <t>Holds - Haptic:Ian:KHIP021</t>
  </si>
  <si>
    <t>Holds - Haptic:Jeremy:KHJH001</t>
  </si>
  <si>
    <t>Holds - Haptic:Jeremy:KHJH003</t>
  </si>
  <si>
    <t>Holds - Haptic:Jeremy:KHJH004</t>
  </si>
  <si>
    <t>Holds - Haptic:Jeremy:KHJH005</t>
  </si>
  <si>
    <t>Holds - Haptic:Jimmy:KHJW001</t>
  </si>
  <si>
    <t>Holds - Haptic:Jimmy:KHJW002-1</t>
  </si>
  <si>
    <t>Holds - Haptic:Jimmy:KHJW002-2</t>
  </si>
  <si>
    <t>Holds - Haptic:Jimmy:KHJW002-3</t>
  </si>
  <si>
    <t>Holds - Haptic:Jimmy:KHJW003</t>
  </si>
  <si>
    <t>Holds - Haptic:Jimmy:KHJW004</t>
  </si>
  <si>
    <t>Holds - Haptic:Jimmy:KHJW005</t>
  </si>
  <si>
    <t>Holds - Haptic:Jimmy:KHJW006</t>
  </si>
  <si>
    <t>Holds - Haptic:Jimmy:KHJW007</t>
  </si>
  <si>
    <t>Holds - Haptic:Jimmy:KHJW008</t>
  </si>
  <si>
    <t>Holds - Haptic:Jimmy:KHJW010</t>
  </si>
  <si>
    <t>Holds - Haptic:Jimmy:KHJW011</t>
  </si>
  <si>
    <t>Holds - Haptic:Jimmy:KHJW012</t>
  </si>
  <si>
    <t>Holds - Haptic:Keith:KHKD001</t>
  </si>
  <si>
    <t>Holds - Haptic:Keith:KHKD002</t>
  </si>
  <si>
    <t>Holds - Haptic:Keith:KHKD003</t>
  </si>
  <si>
    <t>Holds - Haptic:Keith:KHKD004</t>
  </si>
  <si>
    <t>Holds - Haptic:Keith:KHKD005</t>
  </si>
  <si>
    <t>Holds - Haptic:Keith:KHKD006</t>
  </si>
  <si>
    <t>Holds - Haptic:Keith:KHKD007-1</t>
  </si>
  <si>
    <t>Holds - Haptic:Keith:KHKD007-2</t>
  </si>
  <si>
    <t>Holds - Haptic:Keith:KHKD007-3</t>
  </si>
  <si>
    <t>Holds - Haptic:Keith:KHKD008</t>
  </si>
  <si>
    <t>Holds - Haptic:Keith:KHKD009</t>
  </si>
  <si>
    <t>Holds - Haptic:Keith:KHKD010</t>
  </si>
  <si>
    <t>Holds - Haptic:Keith:KHKD011</t>
  </si>
  <si>
    <t>Holds - Haptic:Keith:KHKD012</t>
  </si>
  <si>
    <t>Holds - Haptic:Keith:KHKD013</t>
  </si>
  <si>
    <t>Holds - Haptic:Keith:KHKD014</t>
  </si>
  <si>
    <t>Holds - Haptic:Keith:KHKD015</t>
  </si>
  <si>
    <t>Holds - Haptic:Keith:KHKD016</t>
  </si>
  <si>
    <t>Holds - Haptic:Keith:KHKD017</t>
  </si>
  <si>
    <t>Holds - Haptic:Keith:KHKD018</t>
  </si>
  <si>
    <t>Holds - Haptic:Keith:KHKD019</t>
  </si>
  <si>
    <t>Holds - Haptic:Pete:KHPJ001</t>
  </si>
  <si>
    <t>Holds - Haptic:Roy:KHRQ001</t>
  </si>
  <si>
    <t>Holds - Haptic:Unleashed Will:KHUW001</t>
  </si>
  <si>
    <t>Holds - Haptic:Unleashed Will:KHUW002</t>
  </si>
  <si>
    <t>Holds - Haptic:Unleashed Will:KHUW003</t>
  </si>
  <si>
    <t>Holds - Haptic:Unleashed Will:KHUW004</t>
  </si>
  <si>
    <t>Holds - Haptic:Unleashed Will:KHUW005</t>
  </si>
  <si>
    <t>Holds - Haptic:Unleashed Will:KHUW006</t>
  </si>
  <si>
    <t>Holds - Haptic:Unleashed Will:KHUW007</t>
  </si>
  <si>
    <t>Holds - Haptic:Unleashed Will:KHUW008</t>
  </si>
  <si>
    <t>Holds - Haptic:Unleashed Will:KHUW009</t>
  </si>
  <si>
    <t>Holds - Haptic:Unleashed Will:KHUW010</t>
  </si>
  <si>
    <t>Holds - Haptic:Unleashed Will:KHUW011</t>
  </si>
  <si>
    <t>Holds - Haptic:Will:KHWA001</t>
  </si>
  <si>
    <t>Holds - Haptic:Will:KHWA002</t>
  </si>
  <si>
    <t>Holds - Haptic:Will:KHWA003</t>
  </si>
  <si>
    <t>Holds - Haptic:Will:KHWA004</t>
  </si>
  <si>
    <t>Holds - Haptic:Will:KHWA005</t>
  </si>
  <si>
    <t>Holds - Haptic:Will:KHWA006</t>
  </si>
  <si>
    <t>Holds - Haptic:Will:KHWA007</t>
  </si>
  <si>
    <t>Holds - Haptic:Will:KHWA008</t>
  </si>
  <si>
    <t>Holds - Haptic:Will:KHWA009</t>
  </si>
  <si>
    <t>Holds - Haptic:Will:KHWA010</t>
  </si>
  <si>
    <t>Holds - Haptic:Will:KHWA011</t>
  </si>
  <si>
    <t>Holds - Haptic:Will:KHWA012</t>
  </si>
  <si>
    <t>Holds - Haptic:Will:KHWA013</t>
  </si>
  <si>
    <t>Holds - Haptic:Will:KHWA014</t>
  </si>
  <si>
    <t>Holds - Haptic:Will:KHWA015-1</t>
  </si>
  <si>
    <t>Holds - Haptic:Will:KHWA015-2</t>
  </si>
  <si>
    <t>Holds - Haptic:Will:KHWA015-3</t>
  </si>
  <si>
    <t>Holds - Haptic:Will:KHWA016</t>
  </si>
  <si>
    <t>Holds - Haptic:Will:KHWA017</t>
  </si>
  <si>
    <t>Holds - Haptic:Will:KHWA018</t>
  </si>
  <si>
    <t>Holds - Haptic:Will:KHWA020</t>
  </si>
  <si>
    <t>Holds - Haptic:Will:KHWA022</t>
  </si>
  <si>
    <t>Holds - Union:KU001</t>
  </si>
  <si>
    <t>Manufacturer</t>
  </si>
  <si>
    <t>Style</t>
  </si>
  <si>
    <t>Size</t>
  </si>
  <si>
    <t>KHJW013</t>
  </si>
  <si>
    <t>KHJW014</t>
  </si>
  <si>
    <t>KHJW015</t>
  </si>
  <si>
    <t>Holds - Haptic:Jimmy:KHJW013</t>
  </si>
  <si>
    <t>Holds - Haptic:Jimmy:KHJW014</t>
  </si>
  <si>
    <t>Holds - Haptic:Jimmy:KHJW015</t>
  </si>
  <si>
    <t>KHWA015 (Kit)</t>
  </si>
  <si>
    <t>KHJW002 (Kit)</t>
  </si>
  <si>
    <t>KHKD007 (Kit)</t>
  </si>
  <si>
    <t>K066 (Kit)</t>
  </si>
  <si>
    <t>K049 (Kit)</t>
  </si>
  <si>
    <t>K063 (Kit)</t>
  </si>
  <si>
    <t>K065 (Kit)</t>
  </si>
  <si>
    <t>K069 (Kit)</t>
  </si>
  <si>
    <t>K053 (Kit)</t>
  </si>
  <si>
    <t>K126 (Kit)</t>
  </si>
  <si>
    <t>K047 (Kit)</t>
  </si>
  <si>
    <t>K048 (Kit)</t>
  </si>
  <si>
    <t>K068 (Kit)</t>
  </si>
  <si>
    <t>K067 (Kit)</t>
  </si>
  <si>
    <t>KHIP012 (Kit)</t>
  </si>
  <si>
    <t>K133 (Kit)</t>
  </si>
  <si>
    <t>K161 (Kit)</t>
  </si>
  <si>
    <t>K078 (Kit)</t>
  </si>
  <si>
    <t>K161 DT (Kit)</t>
  </si>
  <si>
    <t>K162 DT (Kit)</t>
  </si>
  <si>
    <t>Holds - Kilter:K047 (Kit)</t>
  </si>
  <si>
    <t>Holds - Kilter:K048 (Kit)</t>
  </si>
  <si>
    <t>Holds - Kilter:K049 (Kit)</t>
  </si>
  <si>
    <t>Holds - Kilter:K053 (Kit)</t>
  </si>
  <si>
    <t>Holds - Kilter:K063 (Kit)</t>
  </si>
  <si>
    <t>Holds - Kilter:K065 (Kit)</t>
  </si>
  <si>
    <t>Holds - Kilter:K066 (Kit)</t>
  </si>
  <si>
    <t>Holds - Kilter:K067 (Kit)</t>
  </si>
  <si>
    <t>Holds - Kilter:K068 (Kit)</t>
  </si>
  <si>
    <t>Holds - Kilter:K069 (Kit)</t>
  </si>
  <si>
    <t>Holds - Kilter:K078 (Kit)</t>
  </si>
  <si>
    <t>Holds - Kilter:K126 (Kit)</t>
  </si>
  <si>
    <t>Holds - Kilter:K133 (Kit)</t>
  </si>
  <si>
    <t>Holds - Kilter:K161 (Kit)</t>
  </si>
  <si>
    <t>Holds - Haptic:Ian:KHIP012 (Kit)</t>
  </si>
  <si>
    <t>Holds - Haptic:Jimmy:KHJW002 (Kit)</t>
  </si>
  <si>
    <t>Holds - Haptic:Keith:KHKD007 (Kit)</t>
  </si>
  <si>
    <t>Holds - Haptic:Will:KHWA015 (Kit)</t>
  </si>
  <si>
    <t>Holds - Kilter:K161 DT (Kit)</t>
  </si>
  <si>
    <t>Holds - Kilter:K162 DT (Kit)</t>
  </si>
  <si>
    <t>Retail Price</t>
  </si>
  <si>
    <t>DISCOUNTED HOLD COST:</t>
  </si>
  <si>
    <t>RETAIL HOLD COST:</t>
  </si>
  <si>
    <t>*Your Price</t>
  </si>
  <si>
    <t>*NOTE "Your Price" changes based on order size and discount earned</t>
  </si>
  <si>
    <t>Sets:</t>
  </si>
  <si>
    <t>Holds:</t>
  </si>
  <si>
    <t>ARAGON</t>
  </si>
  <si>
    <t>COMPOSITE X</t>
  </si>
  <si>
    <t>SUMMARY</t>
  </si>
  <si>
    <t>Yes</t>
  </si>
  <si>
    <t>No</t>
  </si>
  <si>
    <t>Additional Bolts</t>
  </si>
  <si>
    <t>www.settercloset.com for photos &amp; color charts</t>
  </si>
  <si>
    <r>
      <rPr>
        <b/>
        <sz val="10"/>
        <rFont val="Verdana"/>
        <family val="2"/>
      </rPr>
      <t>holds@kiltergrips.com</t>
    </r>
    <r>
      <rPr>
        <sz val="10"/>
        <rFont val="Verdana"/>
        <family val="2"/>
      </rPr>
      <t xml:space="preserve"> for questions, quotes &amp; orders</t>
    </r>
  </si>
  <si>
    <t>KHIP011</t>
  </si>
  <si>
    <t>Holds - Haptic:Ian:KHIP011</t>
  </si>
  <si>
    <t>We will email you an invoice for payment once your order has been received and successfully submitted for production.  Standard payment terms for US orders are 1/2 due at time of order and final 1/2 due at receipt of shipment -OR- full payment due prior to ship date (applicable if first 1/2 payment is not received within 15 days of invoice date).  For international orders, standard payment terms are 1/2 due at time of order and final 1/2 due prior to ship date.  To request/arrange any non-standard payment terms, please contact our accounting department: griffin@kiltergrips.com</t>
  </si>
  <si>
    <t>International/General: Jackie - 775.771.3371</t>
  </si>
  <si>
    <t>Discount Value:</t>
  </si>
  <si>
    <t>Retail Value:</t>
  </si>
  <si>
    <t>K179 (Kit)</t>
  </si>
  <si>
    <t>K179-1</t>
  </si>
  <si>
    <t>K179-2</t>
  </si>
  <si>
    <t>K179-3</t>
  </si>
  <si>
    <t>KHPJ002</t>
  </si>
  <si>
    <t>3.5"SDS</t>
  </si>
  <si>
    <t>Holds - Haptic:Pete:KHPJ002</t>
  </si>
  <si>
    <t>Holds - Kilter:K179 (Kit)</t>
  </si>
  <si>
    <t>Holds - Kilter:K179-1</t>
  </si>
  <si>
    <t>Holds - Kilter:K179-2</t>
  </si>
  <si>
    <t>Holds - Kilter:K179-3</t>
  </si>
  <si>
    <t>KHPJ003</t>
  </si>
  <si>
    <t>K181</t>
  </si>
  <si>
    <t>K182</t>
  </si>
  <si>
    <t>K183</t>
  </si>
  <si>
    <t>K184</t>
  </si>
  <si>
    <t>K185</t>
  </si>
  <si>
    <t>International/General: Griff - 410.960.0356</t>
  </si>
  <si>
    <t>Holds - Kilter:K181</t>
  </si>
  <si>
    <t>Holds - Kilter:K182</t>
  </si>
  <si>
    <t>Holds - Kilter:K183</t>
  </si>
  <si>
    <t>Holds - Kilter:K184</t>
  </si>
  <si>
    <t>Holds - Kilter:K185</t>
  </si>
  <si>
    <t>Holds - Haptic:Pete:KHPJ003</t>
  </si>
  <si>
    <t>better than white</t>
  </si>
  <si>
    <t>Light Purple 17-18</t>
  </si>
  <si>
    <t>Dark Purple 17-16</t>
  </si>
  <si>
    <t>Flat Neon Green 16-08</t>
  </si>
  <si>
    <t>slightly darker than Lime 16-09</t>
  </si>
  <si>
    <t>prefer standard or lilac</t>
  </si>
  <si>
    <t>pretty, not commonly used</t>
  </si>
  <si>
    <t>yep</t>
  </si>
  <si>
    <t>very commonly used, nice color</t>
  </si>
  <si>
    <t>not guaranteed to stay white</t>
  </si>
  <si>
    <t>Darker Green 16-13</t>
  </si>
  <si>
    <t>just a little darker than 16-16</t>
  </si>
  <si>
    <t>Red Clay 11-09</t>
  </si>
  <si>
    <t>nice color for rock style holds</t>
  </si>
  <si>
    <t>Gray Tan 11-30</t>
  </si>
  <si>
    <t>Darkest Brown 11-11</t>
  </si>
  <si>
    <t>very brown</t>
  </si>
  <si>
    <t>Alien Green 16-29</t>
  </si>
  <si>
    <t>close to Comp-X Euro Fluoro Green</t>
  </si>
  <si>
    <t>glows in blacklight</t>
  </si>
  <si>
    <t>Day Glo Blue 13-18</t>
  </si>
  <si>
    <t>Lighter Day Glo Green 16-18</t>
  </si>
  <si>
    <t>Darker Day Glo Green 06-06</t>
  </si>
  <si>
    <t>Day Glo Pink 11-25</t>
  </si>
  <si>
    <t>looks like watered down iced coffee</t>
  </si>
  <si>
    <t>Bright Red 11-24</t>
  </si>
  <si>
    <t>Lilac, very pretty</t>
  </si>
  <si>
    <t>Standard Colors</t>
  </si>
  <si>
    <t>Approx. Aragon Matches</t>
  </si>
  <si>
    <t>brighter than Aragon's blue 13-01</t>
  </si>
  <si>
    <t>Not Very Close - only get if you have  other Euro colors</t>
  </si>
  <si>
    <t>Close Enough For Some - your own risk, no guarantees</t>
  </si>
  <si>
    <t>Day Glo Orange 14-11</t>
  </si>
  <si>
    <t>seriously glowing yellow</t>
  </si>
  <si>
    <t>Day Glo Yellow 15-09</t>
  </si>
  <si>
    <t>seriously glowing, matches Euro Fluoro Orange</t>
  </si>
  <si>
    <t>will yellow with time/sun, not super bright</t>
  </si>
  <si>
    <t>best match, Aragon Black</t>
  </si>
  <si>
    <t>decent Aragon Green 16-16</t>
  </si>
  <si>
    <t>decent Aragon Orange 14-01</t>
  </si>
  <si>
    <t>decent Aragon Purple 07-13</t>
  </si>
  <si>
    <t>decent Aragon Alien Green 16-29</t>
  </si>
  <si>
    <t>decent Aragon Day Glo Orange 14-11</t>
  </si>
  <si>
    <t>77 Green US 16-16</t>
  </si>
  <si>
    <t>10 Jet Black</t>
  </si>
  <si>
    <t>76 Orange US 14-01</t>
  </si>
  <si>
    <t>78 Purple US 07-13</t>
  </si>
  <si>
    <t>11 Fluoro Orange</t>
  </si>
  <si>
    <t>12 Fluoro Green</t>
  </si>
  <si>
    <t>79 Pure White</t>
  </si>
  <si>
    <t>7 Sky Blue</t>
  </si>
  <si>
    <t>2 Bright Yellow</t>
  </si>
  <si>
    <t>5 Traffic Red</t>
  </si>
  <si>
    <t>69 Lime</t>
  </si>
  <si>
    <t>16 Signal Violet</t>
  </si>
  <si>
    <t>13 Fluoro Pink</t>
  </si>
  <si>
    <t>To see color options scroll right and up</t>
  </si>
  <si>
    <t>Notes</t>
  </si>
  <si>
    <t>close to standard yellow</t>
  </si>
  <si>
    <t>brick red</t>
  </si>
  <si>
    <t>not common</t>
  </si>
  <si>
    <t>dirt color</t>
  </si>
  <si>
    <t>close to regular orange</t>
  </si>
  <si>
    <t>KX050</t>
  </si>
  <si>
    <t>KX051</t>
  </si>
  <si>
    <t>Brushed Sandstone Medium 1 - Slopey Edges</t>
  </si>
  <si>
    <t>KX054</t>
  </si>
  <si>
    <t>Noah Small 2 - Incut Ears</t>
  </si>
  <si>
    <t>Noah Small 3 - Incut Ears</t>
  </si>
  <si>
    <t>Noah Small 4 - Slopey Dishes</t>
  </si>
  <si>
    <t>KX055</t>
  </si>
  <si>
    <t>KX056</t>
  </si>
  <si>
    <t>KX057</t>
  </si>
  <si>
    <t>Color Code</t>
  </si>
  <si>
    <t>Sandstone Large 3 - Jugs</t>
  </si>
  <si>
    <t>KX061</t>
  </si>
  <si>
    <t>Jeremy Ho Lo Riders Large 1 - Crescents</t>
  </si>
  <si>
    <t>Jeremy Ho Lo Riders Large 2 - Crescents</t>
  </si>
  <si>
    <t>Keith Dickey Stella Granite Large 1 - Puffy Junction Balls</t>
  </si>
  <si>
    <t>Noah Large 1 - Rails</t>
  </si>
  <si>
    <t>Noah Large 2 - Rails</t>
  </si>
  <si>
    <t>KXKD002</t>
  </si>
  <si>
    <t>Sandstone Medium 1 - Crimps</t>
  </si>
  <si>
    <t>Sandstone Medium 2 - Crimps</t>
  </si>
  <si>
    <t>pockets</t>
  </si>
  <si>
    <t>KHIP022</t>
  </si>
  <si>
    <t>Holds - Haptic:Ian:KHIP022</t>
  </si>
  <si>
    <t>Sandstone XL 6 - Over Jugs</t>
  </si>
  <si>
    <t>Sandstone XL 7 - Over Jugs</t>
  </si>
  <si>
    <t>KX059</t>
  </si>
  <si>
    <t>KX065</t>
  </si>
  <si>
    <t>Granite Mega Jibs Set 2 - Granite Plates</t>
  </si>
  <si>
    <t>KX062</t>
  </si>
  <si>
    <t>Keith Dickey Moses Sandstone XL 1 - Huecos</t>
  </si>
  <si>
    <t>KXKD001</t>
  </si>
  <si>
    <t>Brushed Sandstone XL 1 - Ledges</t>
  </si>
  <si>
    <t>KX064</t>
  </si>
  <si>
    <t>Granite XL 1 - Over Jugs</t>
  </si>
  <si>
    <t>KX058</t>
  </si>
  <si>
    <t>K187</t>
  </si>
  <si>
    <t>K188</t>
  </si>
  <si>
    <t>K187/188 (Kit)</t>
  </si>
  <si>
    <t>Holds - Kilter:K187</t>
  </si>
  <si>
    <t>Holds - Kilter:K188</t>
  </si>
  <si>
    <t>K189</t>
  </si>
  <si>
    <t>Holds - Kilter:K189</t>
  </si>
  <si>
    <t>KHIP023</t>
  </si>
  <si>
    <t>KHIP024</t>
  </si>
  <si>
    <t>KHIP026</t>
  </si>
  <si>
    <t>Holds - Haptic:Ian:KHIP023</t>
  </si>
  <si>
    <t>Holds - Haptic:Ian:KHIP024</t>
  </si>
  <si>
    <t>Holds - Haptic:Ian:KHIP026</t>
  </si>
  <si>
    <t>KHPJ012</t>
  </si>
  <si>
    <t>Handholds per Color</t>
  </si>
  <si>
    <t>Holds per Color</t>
  </si>
  <si>
    <t>Holds - Haptic:Pete:KHPJ012</t>
  </si>
  <si>
    <t>sandstone</t>
  </si>
  <si>
    <t>granite</t>
  </si>
  <si>
    <t>traprock</t>
  </si>
  <si>
    <t>angular</t>
  </si>
  <si>
    <t>simple</t>
  </si>
  <si>
    <t>Type</t>
  </si>
  <si>
    <t>% Feet of Total</t>
  </si>
  <si>
    <t>% Holds of Total</t>
  </si>
  <si>
    <t>KX060</t>
  </si>
  <si>
    <t>Holds - Europe:Holds - Europe - Kilter:KX001</t>
  </si>
  <si>
    <t>Holds - Europe:Holds - Europe - Kilter:KX002</t>
  </si>
  <si>
    <t>Holds - Europe:Holds - Europe - Kilter:KX003</t>
  </si>
  <si>
    <t>Holds - Europe:Holds - Europe - Kilter:KX004</t>
  </si>
  <si>
    <t>Holds - Europe:Holds - Europe - Kilter:KX005</t>
  </si>
  <si>
    <t>Holds - Europe:Holds - Europe - Kilter:KX006</t>
  </si>
  <si>
    <t>Holds - Europe:Holds - Europe - Kilter:KX007</t>
  </si>
  <si>
    <t>Holds - Europe:Holds - Europe - Kilter:KX008</t>
  </si>
  <si>
    <t>Holds - Europe:Holds - Europe - Kilter:KX009</t>
  </si>
  <si>
    <t>Holds - Europe:Holds - Europe - Kilter:KX010</t>
  </si>
  <si>
    <t>Holds - Europe:Holds - Europe - Kilter:KX011</t>
  </si>
  <si>
    <t>Holds - Europe:Holds - Europe - Kilter:KX012</t>
  </si>
  <si>
    <t>Holds - Europe:Holds - Europe - Kilter:KX013</t>
  </si>
  <si>
    <t>Holds - Europe:Holds - Europe - Kilter:KX014</t>
  </si>
  <si>
    <t>Holds - Europe:Holds - Europe - Kilter:KX015</t>
  </si>
  <si>
    <t>Holds - Europe:Holds - Europe - Kilter:KX016</t>
  </si>
  <si>
    <t>Holds - Europe:Holds - Europe - Kilter:KX017</t>
  </si>
  <si>
    <t>Holds - Europe:Holds - Europe - Kilter:KX018</t>
  </si>
  <si>
    <t>Holds - Europe:Holds - Europe - Kilter:KX019</t>
  </si>
  <si>
    <t>Holds - Europe:Holds - Europe - Kilter:KX020</t>
  </si>
  <si>
    <t>Holds - Europe:Holds - Europe - Kilter:KX021</t>
  </si>
  <si>
    <t>Holds - Europe:Holds - Europe - Kilter:KX022</t>
  </si>
  <si>
    <t>Holds - Europe:Holds - Europe - Kilter:KX025</t>
  </si>
  <si>
    <t>Holds - Europe:Holds - Europe - Kilter:KX026</t>
  </si>
  <si>
    <t>Holds - Europe:Holds - Europe - Kilter:KX027</t>
  </si>
  <si>
    <t>Holds - Europe:Holds - Europe - Kilter:KX028</t>
  </si>
  <si>
    <t>Holds - Europe:Holds - Europe - Kilter:KX029</t>
  </si>
  <si>
    <t>Holds - Europe:Holds - Europe - Kilter:KX030</t>
  </si>
  <si>
    <t>Holds - Europe:Holds - Europe - Kilter:KX031</t>
  </si>
  <si>
    <t>Holds - Europe:Holds - Europe - Kilter:KX032</t>
  </si>
  <si>
    <t>Holds - Europe:Holds - Europe - Kilter:KX033</t>
  </si>
  <si>
    <t>Holds - Europe:Holds - Europe - Kilter:KX034</t>
  </si>
  <si>
    <t>Holds - Europe:Holds - Europe - Kilter:KX035</t>
  </si>
  <si>
    <t>Holds - Europe:Holds - Europe - Kilter:KX036</t>
  </si>
  <si>
    <t>Holds - Europe:Holds - Europe - Kilter:KX037</t>
  </si>
  <si>
    <t>Holds - Europe:Holds - Europe - Kilter:KX038</t>
  </si>
  <si>
    <t>Holds - Europe:Holds - Europe - Kilter:KX039</t>
  </si>
  <si>
    <t>Holds - Europe:Holds - Europe - Kilter:KX040</t>
  </si>
  <si>
    <t>Holds - Europe:Holds - Europe - Kilter:KX041</t>
  </si>
  <si>
    <t>Holds - Europe:Holds - Europe - Kilter:KX042</t>
  </si>
  <si>
    <t>Holds - Europe:Holds - Europe - Kilter:KX043</t>
  </si>
  <si>
    <t>Holds - Europe:Holds - Europe - Kilter:KX044</t>
  </si>
  <si>
    <t>Holds - Europe:Holds - Europe - Kilter:KX045</t>
  </si>
  <si>
    <t>Holds - Europe:Holds - Europe - Kilter:KX046</t>
  </si>
  <si>
    <t>Holds - Europe:Holds - Europe - Kilter:KX047</t>
  </si>
  <si>
    <t>Holds - Europe:Holds - Europe - Kilter:KX048</t>
  </si>
  <si>
    <t>Holds - Europe:Holds - Europe - Kilter:KX049</t>
  </si>
  <si>
    <t>Holds - Europe:Holds - Europe - Kilter:KX050</t>
  </si>
  <si>
    <t>Holds - Europe:Holds - Europe - Kilter:KX051</t>
  </si>
  <si>
    <t>Holds - Europe:Holds - Europe - Kilter:KX054</t>
  </si>
  <si>
    <t>Holds - Europe:Holds - Europe - Kilter:KX055</t>
  </si>
  <si>
    <t>Holds - Europe:Holds - Europe - Kilter:KX056</t>
  </si>
  <si>
    <t>Holds - Europe:Holds - Europe - Kilter:KX057</t>
  </si>
  <si>
    <t>Holds - Europe:Holds - Europe - Kilter:KX058</t>
  </si>
  <si>
    <t>Holds - Europe:Holds - Europe - Kilter:KX059</t>
  </si>
  <si>
    <t>Holds - Europe:Holds - Europe - Kilter:KX060</t>
  </si>
  <si>
    <t>Holds - Europe:Holds - Europe - Kilter:KX061</t>
  </si>
  <si>
    <t>Holds - Europe:Holds - Europe - Kilter:KX062</t>
  </si>
  <si>
    <t>Holds - Europe:Holds - Europe - Kilter:KX064</t>
  </si>
  <si>
    <t>Holds - Europe:Holds - Europe - Kilter:KX065</t>
  </si>
  <si>
    <t>Hardening</t>
  </si>
  <si>
    <t>kaiju</t>
  </si>
  <si>
    <t>large</t>
  </si>
  <si>
    <t>small</t>
  </si>
  <si>
    <t>Holds per color</t>
  </si>
  <si>
    <t>2xl</t>
  </si>
  <si>
    <t>xl</t>
  </si>
  <si>
    <t>xs</t>
  </si>
  <si>
    <t>Urban Plastix</t>
  </si>
  <si>
    <t>Call with Color and matching questions</t>
  </si>
  <si>
    <t>Composite-X Dannomond Color Options</t>
  </si>
  <si>
    <t>Aragon Code</t>
  </si>
  <si>
    <t>Other Free Colors (US)</t>
  </si>
  <si>
    <t>15-14</t>
  </si>
  <si>
    <t>16-18</t>
  </si>
  <si>
    <t>18-03</t>
  </si>
  <si>
    <t>Aragon Color Options</t>
  </si>
  <si>
    <t>16-09</t>
  </si>
  <si>
    <t>14-06</t>
  </si>
  <si>
    <t>13-15</t>
  </si>
  <si>
    <t>13-14</t>
  </si>
  <si>
    <t>15-01</t>
  </si>
  <si>
    <t>14-04</t>
  </si>
  <si>
    <t>15-06</t>
  </si>
  <si>
    <t>18-09</t>
  </si>
  <si>
    <t>11-20</t>
  </si>
  <si>
    <t>11-01</t>
  </si>
  <si>
    <t>11-17</t>
  </si>
  <si>
    <t>Milk Chocolate</t>
  </si>
  <si>
    <t>Earth Orange</t>
  </si>
  <si>
    <t>Dark Sand</t>
  </si>
  <si>
    <t>Sand</t>
  </si>
  <si>
    <t>Dark Granite</t>
  </si>
  <si>
    <t>Charcoal</t>
  </si>
  <si>
    <t>Darker Red</t>
  </si>
  <si>
    <t>Darker Yellow</t>
  </si>
  <si>
    <t>Royal Blue</t>
  </si>
  <si>
    <t>Flat Pink</t>
  </si>
  <si>
    <t>Lightest Blue</t>
  </si>
  <si>
    <t>Squash Orange</t>
  </si>
  <si>
    <t>Lime Green</t>
  </si>
  <si>
    <t>18-12</t>
  </si>
  <si>
    <t>17-18</t>
  </si>
  <si>
    <t>12-01</t>
  </si>
  <si>
    <t>White</t>
  </si>
  <si>
    <t>Light Gray</t>
  </si>
  <si>
    <t>nice, close to black</t>
  </si>
  <si>
    <t>Standard Colors (US)</t>
  </si>
  <si>
    <t>17-16</t>
  </si>
  <si>
    <t>16-08</t>
  </si>
  <si>
    <t>16-13</t>
  </si>
  <si>
    <t>11-24</t>
  </si>
  <si>
    <t>11-09</t>
  </si>
  <si>
    <t>11-30</t>
  </si>
  <si>
    <t>11-11</t>
  </si>
  <si>
    <t>16-29</t>
  </si>
  <si>
    <t>06-06</t>
  </si>
  <si>
    <t>13-18</t>
  </si>
  <si>
    <t>11-25</t>
  </si>
  <si>
    <t>14-11</t>
  </si>
  <si>
    <t>15-09</t>
  </si>
  <si>
    <t>KHIP025</t>
  </si>
  <si>
    <t>K191</t>
  </si>
  <si>
    <t>KHPJ005</t>
  </si>
  <si>
    <t>KHPJ007</t>
  </si>
  <si>
    <t>KHPJ008</t>
  </si>
  <si>
    <t>KHPJ009</t>
  </si>
  <si>
    <t>KHPJ010</t>
  </si>
  <si>
    <t>KHPJ011</t>
  </si>
  <si>
    <t>KHPJ013</t>
  </si>
  <si>
    <t>KHPJ014</t>
  </si>
  <si>
    <t>Holds - Kilter:K191</t>
  </si>
  <si>
    <t>Holds - Haptic:Ian:KHIP025</t>
  </si>
  <si>
    <t>KHPJ004</t>
  </si>
  <si>
    <t>Holds - Haptic:Pete:KHPJ004</t>
  </si>
  <si>
    <t>Holds - Haptic:Pete:KHPJ005</t>
  </si>
  <si>
    <t>KHPJ006 DT</t>
  </si>
  <si>
    <t>Holds - Haptic:Pete:KHPJ006 DT</t>
  </si>
  <si>
    <t>Holds - Haptic:Pete:KHPJ007</t>
  </si>
  <si>
    <t>Holds - Haptic:Pete:KHPJ008</t>
  </si>
  <si>
    <t>Holds - Haptic:Pete:KHPJ009</t>
  </si>
  <si>
    <t>Holds - Haptic:Pete:KHPJ010</t>
  </si>
  <si>
    <t>Holds - Haptic:Pete:KHPJ011</t>
  </si>
  <si>
    <t>Holds - Haptic:Pete:KHPJ013</t>
  </si>
  <si>
    <t>Holds - Haptic:Pete:KHPJ014</t>
  </si>
  <si>
    <t>UP064</t>
  </si>
  <si>
    <t>UP004</t>
  </si>
  <si>
    <t>UP005</t>
  </si>
  <si>
    <t>UP006</t>
  </si>
  <si>
    <t>UP060</t>
  </si>
  <si>
    <t>UP067</t>
  </si>
  <si>
    <t>UP065</t>
  </si>
  <si>
    <t>UP039</t>
  </si>
  <si>
    <t>UP056</t>
  </si>
  <si>
    <t>UP100</t>
  </si>
  <si>
    <t>UP058</t>
  </si>
  <si>
    <t>UP046</t>
  </si>
  <si>
    <t>UP019</t>
  </si>
  <si>
    <t>UP101</t>
  </si>
  <si>
    <t>UP038</t>
  </si>
  <si>
    <t>UP066</t>
  </si>
  <si>
    <t>UP103</t>
  </si>
  <si>
    <t>UP102</t>
  </si>
  <si>
    <t>UP041</t>
  </si>
  <si>
    <t>UP029</t>
  </si>
  <si>
    <t>UP028</t>
  </si>
  <si>
    <t>UP048</t>
  </si>
  <si>
    <t>UP062</t>
  </si>
  <si>
    <t>UP010</t>
  </si>
  <si>
    <t>UP026</t>
  </si>
  <si>
    <t>UP051</t>
  </si>
  <si>
    <t>UP057</t>
  </si>
  <si>
    <t>UP090</t>
  </si>
  <si>
    <t>UP055</t>
  </si>
  <si>
    <t>UP052</t>
  </si>
  <si>
    <t>UP072</t>
  </si>
  <si>
    <t>UP020</t>
  </si>
  <si>
    <t>UP021</t>
  </si>
  <si>
    <t>UP022</t>
  </si>
  <si>
    <t>UP017</t>
  </si>
  <si>
    <t>UP091</t>
  </si>
  <si>
    <t>UP001</t>
  </si>
  <si>
    <t>UP073</t>
  </si>
  <si>
    <t>UP015</t>
  </si>
  <si>
    <t>UP049</t>
  </si>
  <si>
    <t>UP012</t>
  </si>
  <si>
    <t>UP075</t>
  </si>
  <si>
    <t>UP089</t>
  </si>
  <si>
    <t>UP043</t>
  </si>
  <si>
    <t>UP094</t>
  </si>
  <si>
    <t>UP078</t>
  </si>
  <si>
    <t>UP071</t>
  </si>
  <si>
    <t>UP096</t>
  </si>
  <si>
    <t>UP099</t>
  </si>
  <si>
    <t>UP083</t>
  </si>
  <si>
    <t>UP080</t>
  </si>
  <si>
    <t>UP081</t>
  </si>
  <si>
    <t>UP085</t>
  </si>
  <si>
    <t>UP097</t>
  </si>
  <si>
    <t>UP092</t>
  </si>
  <si>
    <t>UP024</t>
  </si>
  <si>
    <t>UP007</t>
  </si>
  <si>
    <t>UP061</t>
  </si>
  <si>
    <t>UP027</t>
  </si>
  <si>
    <t>UP011</t>
  </si>
  <si>
    <t>UP053</t>
  </si>
  <si>
    <t>UP084</t>
  </si>
  <si>
    <t>UP070</t>
  </si>
  <si>
    <t>UP068</t>
  </si>
  <si>
    <t>UP054</t>
  </si>
  <si>
    <t>UP023</t>
  </si>
  <si>
    <t>UP018</t>
  </si>
  <si>
    <t>UP003</t>
  </si>
  <si>
    <t>UP002</t>
  </si>
  <si>
    <t>UP047</t>
  </si>
  <si>
    <t>UP042</t>
  </si>
  <si>
    <t>UP074</t>
  </si>
  <si>
    <t>UP044</t>
  </si>
  <si>
    <t>UP050</t>
  </si>
  <si>
    <t>UP040</t>
  </si>
  <si>
    <t>UP045</t>
  </si>
  <si>
    <t>UP098</t>
  </si>
  <si>
    <t>UP076</t>
  </si>
  <si>
    <t>UP008</t>
  </si>
  <si>
    <t>UP093</t>
  </si>
  <si>
    <t>UP025</t>
  </si>
  <si>
    <t>UP009</t>
  </si>
  <si>
    <t>UP016</t>
  </si>
  <si>
    <t>UP087</t>
  </si>
  <si>
    <t>UP086</t>
  </si>
  <si>
    <t>UP063</t>
  </si>
  <si>
    <t>UP079</t>
  </si>
  <si>
    <t>UP077</t>
  </si>
  <si>
    <t>UP095</t>
  </si>
  <si>
    <t>UP082</t>
  </si>
  <si>
    <t>UP069</t>
  </si>
  <si>
    <t>UP104</t>
  </si>
  <si>
    <t>UP037</t>
  </si>
  <si>
    <t>UP014</t>
  </si>
  <si>
    <t>UP013</t>
  </si>
  <si>
    <t>Speed Bumps M1 - Crimps</t>
  </si>
  <si>
    <t>7</t>
  </si>
  <si>
    <t>unique art</t>
  </si>
  <si>
    <t>To see color options, go to cover page</t>
  </si>
  <si>
    <t>UPX1</t>
  </si>
  <si>
    <t>UPX2</t>
  </si>
  <si>
    <t>UPX3</t>
  </si>
  <si>
    <t>UPX4</t>
  </si>
  <si>
    <t>Reg L1 - Roof Jugs</t>
  </si>
  <si>
    <t>Reg L2 - Jugs</t>
  </si>
  <si>
    <t>Reg M1 - Jugs</t>
  </si>
  <si>
    <t>UPX5</t>
  </si>
  <si>
    <t>UPX6</t>
  </si>
  <si>
    <t>UPX7</t>
  </si>
  <si>
    <t>UPX8</t>
  </si>
  <si>
    <t>UPX9</t>
  </si>
  <si>
    <t>UPX10</t>
  </si>
  <si>
    <t>UPX11</t>
  </si>
  <si>
    <t>UPX12</t>
  </si>
  <si>
    <t>UPX13</t>
  </si>
  <si>
    <t>UPX14</t>
  </si>
  <si>
    <t>Tremors 2XL 3 - Bow Ties</t>
  </si>
  <si>
    <t>Tremors L1 - Jugs</t>
  </si>
  <si>
    <t>Tremors L2 - Jugs</t>
  </si>
  <si>
    <t>Tremors M1 - Waves</t>
  </si>
  <si>
    <t>Tremors S 1 - Pinches</t>
  </si>
  <si>
    <t>Tremors XS 1 - Feet 1</t>
  </si>
  <si>
    <t>Tremors XS 2 - Feet 2</t>
  </si>
  <si>
    <t>Tremors Jibs 1</t>
  </si>
  <si>
    <t>UPX15</t>
  </si>
  <si>
    <t>UPX16</t>
  </si>
  <si>
    <t>UPX17</t>
  </si>
  <si>
    <t>UPX18</t>
  </si>
  <si>
    <t>UPX19</t>
  </si>
  <si>
    <t>UPX20</t>
  </si>
  <si>
    <t>UPX21</t>
  </si>
  <si>
    <t>UPX22</t>
  </si>
  <si>
    <t>Big Brick 2XL 1 - 2 Piece</t>
  </si>
  <si>
    <t>Big Brick 2XL 2 - 3 Piece</t>
  </si>
  <si>
    <t>Big Brick XL 1 - 2 Piece</t>
  </si>
  <si>
    <t>Big Brick XL 2 - Slopers</t>
  </si>
  <si>
    <t>Big Brick L1 - 2 Piece</t>
  </si>
  <si>
    <t>Big Brick L2 - Incuts</t>
  </si>
  <si>
    <t>Big Brick S1 - Crimps</t>
  </si>
  <si>
    <t>Big Brick XS 1 - Feet</t>
  </si>
  <si>
    <t>UPX23</t>
  </si>
  <si>
    <t>UPX24</t>
  </si>
  <si>
    <t>UPX25</t>
  </si>
  <si>
    <t>UPX26</t>
  </si>
  <si>
    <t>UPX27</t>
  </si>
  <si>
    <t>Not Font 2XL 1 - Plate Slopers</t>
  </si>
  <si>
    <t>UPX28</t>
  </si>
  <si>
    <t>UPX29</t>
  </si>
  <si>
    <t>Not Font XL 1 - Hooded Pinches</t>
  </si>
  <si>
    <t>UPX30</t>
  </si>
  <si>
    <t>Not Font L1 - Mini Jugs</t>
  </si>
  <si>
    <t>UPX31</t>
  </si>
  <si>
    <t>Not Font L2 - Crimps</t>
  </si>
  <si>
    <t>UPX32</t>
  </si>
  <si>
    <t>Not Font M1 - Crimps</t>
  </si>
  <si>
    <t>UPX33</t>
  </si>
  <si>
    <t>Not Font M2 - Pinches</t>
  </si>
  <si>
    <t>UPX34</t>
  </si>
  <si>
    <t>Not Font XS 1 - Feet</t>
  </si>
  <si>
    <t>UPX35</t>
  </si>
  <si>
    <t>Not Font XS 2 - Feet</t>
  </si>
  <si>
    <t>UPX36</t>
  </si>
  <si>
    <t>Speed Bumps XL 1 - Doubles</t>
  </si>
  <si>
    <t>UPX37</t>
  </si>
  <si>
    <t>Speed Bumps XL 2 - Crimps</t>
  </si>
  <si>
    <t>UPX38</t>
  </si>
  <si>
    <t>Speed Bumps L1 - Crimps</t>
  </si>
  <si>
    <t>UPX39</t>
  </si>
  <si>
    <t>Speed Bumps L2 - Incuts</t>
  </si>
  <si>
    <t>UPX40</t>
  </si>
  <si>
    <t>Speed Bumps L3 - Lo-Pro</t>
  </si>
  <si>
    <t>UPX41</t>
  </si>
  <si>
    <t>Speed Bumps L4 - Pinches</t>
  </si>
  <si>
    <t>UPX42</t>
  </si>
  <si>
    <t>UPX43</t>
  </si>
  <si>
    <t>UPX44</t>
  </si>
  <si>
    <t>Speed Bumps M3 - Pinches</t>
  </si>
  <si>
    <t>UPX45</t>
  </si>
  <si>
    <t>Speed Bumps M4 - Pinches</t>
  </si>
  <si>
    <t>UPX46</t>
  </si>
  <si>
    <t>Speed Bumps S1 - Pinches</t>
  </si>
  <si>
    <t>UPX47</t>
  </si>
  <si>
    <t>Speed Bumps XS 1 - Crimps</t>
  </si>
  <si>
    <t>UPX48</t>
  </si>
  <si>
    <t>Speed Bumps XS 2 - Feet 1</t>
  </si>
  <si>
    <t>UPX49</t>
  </si>
  <si>
    <t>Trim XL 1 - Jugs</t>
  </si>
  <si>
    <t>UPX50</t>
  </si>
  <si>
    <t>Trim XL 2 - Pinches</t>
  </si>
  <si>
    <t>UPX51</t>
  </si>
  <si>
    <t>UPX52</t>
  </si>
  <si>
    <t>Trim L 1 - Jugs</t>
  </si>
  <si>
    <t>UPX53</t>
  </si>
  <si>
    <t>Trim L 2 - Pinches</t>
  </si>
  <si>
    <t>UPX54</t>
  </si>
  <si>
    <t>Trim M 1 - Crimps</t>
  </si>
  <si>
    <t>UPX55</t>
  </si>
  <si>
    <t>Trim S 1 - Crimps</t>
  </si>
  <si>
    <t>UPX56</t>
  </si>
  <si>
    <t>Trim XS 1 - Feet</t>
  </si>
  <si>
    <t>Financial</t>
  </si>
  <si>
    <t>Analysis</t>
  </si>
  <si>
    <t>Cost per hold</t>
  </si>
  <si>
    <t>Discount %</t>
  </si>
  <si>
    <t>Discount Value</t>
  </si>
  <si>
    <t>UP030</t>
  </si>
  <si>
    <t>UP031</t>
  </si>
  <si>
    <t>UP032</t>
  </si>
  <si>
    <t>UP033</t>
  </si>
  <si>
    <t>UP034</t>
  </si>
  <si>
    <t>UP035</t>
  </si>
  <si>
    <t>UP036</t>
  </si>
  <si>
    <t>UP059</t>
  </si>
  <si>
    <t>UP088</t>
  </si>
  <si>
    <t>UP105</t>
  </si>
  <si>
    <t>UP106</t>
  </si>
  <si>
    <t>UP107</t>
  </si>
  <si>
    <t>UP108</t>
  </si>
  <si>
    <t>Holds - Urban Plastix:UP001</t>
  </si>
  <si>
    <t>Holds - Urban Plastix:UP002</t>
  </si>
  <si>
    <t>Holds - Urban Plastix:UP003</t>
  </si>
  <si>
    <t>Holds - Urban Plastix:UP004</t>
  </si>
  <si>
    <t>Holds - Urban Plastix:UP005</t>
  </si>
  <si>
    <t>Holds - Urban Plastix:UP006</t>
  </si>
  <si>
    <t>Holds - Urban Plastix:UP007</t>
  </si>
  <si>
    <t>Holds - Urban Plastix:UP008</t>
  </si>
  <si>
    <t>Holds - Urban Plastix:UP009</t>
  </si>
  <si>
    <t>Holds - Urban Plastix:UP010</t>
  </si>
  <si>
    <t>Holds - Urban Plastix:UP011</t>
  </si>
  <si>
    <t>Holds - Urban Plastix:UP012</t>
  </si>
  <si>
    <t>Holds - Urban Plastix:UP013</t>
  </si>
  <si>
    <t>Holds - Urban Plastix:UP014</t>
  </si>
  <si>
    <t>Holds - Urban Plastix:UP015</t>
  </si>
  <si>
    <t>Holds - Urban Plastix:UP016</t>
  </si>
  <si>
    <t>Holds - Urban Plastix:UP017</t>
  </si>
  <si>
    <t>Holds - Urban Plastix:UP018</t>
  </si>
  <si>
    <t>Holds - Urban Plastix:UP019</t>
  </si>
  <si>
    <t>Holds - Urban Plastix:UP020</t>
  </si>
  <si>
    <t>Holds - Urban Plastix:UP021</t>
  </si>
  <si>
    <t>Holds - Urban Plastix:UP022</t>
  </si>
  <si>
    <t>Holds - Urban Plastix:UP023</t>
  </si>
  <si>
    <t>Holds - Urban Plastix:UP024</t>
  </si>
  <si>
    <t>Holds - Urban Plastix:UP025</t>
  </si>
  <si>
    <t>Holds - Urban Plastix:UP026</t>
  </si>
  <si>
    <t>Holds - Urban Plastix:UP027</t>
  </si>
  <si>
    <t>Holds - Urban Plastix:UP028</t>
  </si>
  <si>
    <t>Holds - Urban Plastix:UP030</t>
  </si>
  <si>
    <t>Holds - Urban Plastix:UP031</t>
  </si>
  <si>
    <t>Holds - Urban Plastix:UP032</t>
  </si>
  <si>
    <t>Holds - Urban Plastix:UP033</t>
  </si>
  <si>
    <t>Holds - Urban Plastix:UP034</t>
  </si>
  <si>
    <t>Holds - Urban Plastix:UP035</t>
  </si>
  <si>
    <t>Holds - Urban Plastix:UP036</t>
  </si>
  <si>
    <t>Holds - Urban Plastix:UP037</t>
  </si>
  <si>
    <t>Holds - Urban Plastix:UP038</t>
  </si>
  <si>
    <t>Holds - Urban Plastix:UP039</t>
  </si>
  <si>
    <t>Holds - Urban Plastix:UP040</t>
  </si>
  <si>
    <t>Holds - Urban Plastix:UP041</t>
  </si>
  <si>
    <t>Holds - Urban Plastix:UP042</t>
  </si>
  <si>
    <t>Holds - Urban Plastix:UP043</t>
  </si>
  <si>
    <t>Holds - Urban Plastix:UP044</t>
  </si>
  <si>
    <t>Holds - Urban Plastix:UP045</t>
  </si>
  <si>
    <t>Holds - Urban Plastix:UP046</t>
  </si>
  <si>
    <t>Holds - Urban Plastix:UP050</t>
  </si>
  <si>
    <t>Holds - Urban Plastix:UP051</t>
  </si>
  <si>
    <t>Holds - Urban Plastix:UP052</t>
  </si>
  <si>
    <t>Holds - Urban Plastix:UP054</t>
  </si>
  <si>
    <t>Holds - Urban Plastix:UP055</t>
  </si>
  <si>
    <t>Holds - Urban Plastix:UP056</t>
  </si>
  <si>
    <t>Holds - Urban Plastix:UP057</t>
  </si>
  <si>
    <t>Holds - Urban Plastix:UP058</t>
  </si>
  <si>
    <t>Holds - Urban Plastix:UP059</t>
  </si>
  <si>
    <t>Holds - Urban Plastix:UP060</t>
  </si>
  <si>
    <t>Holds - Urban Plastix:UP061</t>
  </si>
  <si>
    <t>Holds - Urban Plastix:UP072</t>
  </si>
  <si>
    <t>Holds - Urban Plastix:UP073</t>
  </si>
  <si>
    <t>Holds - Urban Plastix:UP074</t>
  </si>
  <si>
    <t>Holds - Urban Plastix:UP076</t>
  </si>
  <si>
    <t>Holds - Urban Plastix:UP077</t>
  </si>
  <si>
    <t>Holds - Urban Plastix:UP079</t>
  </si>
  <si>
    <t>Holds - Urban Plastix:UP080</t>
  </si>
  <si>
    <t>Holds - Urban Plastix:UP081</t>
  </si>
  <si>
    <t>Holds - Urban Plastix:UP082</t>
  </si>
  <si>
    <t>Holds - Urban Plastix:UP083</t>
  </si>
  <si>
    <t>Holds - Urban Plastix:UP084</t>
  </si>
  <si>
    <t>Holds - Urban Plastix:UP085</t>
  </si>
  <si>
    <t>Holds - Urban Plastix:UP086</t>
  </si>
  <si>
    <t>Holds - Urban Plastix:UP087</t>
  </si>
  <si>
    <t>Holds - Urban Plastix:UP088</t>
  </si>
  <si>
    <t>Holds - Urban Plastix:UP090</t>
  </si>
  <si>
    <t>Holds - Urban Plastix:UP091</t>
  </si>
  <si>
    <t>Holds - Urban Plastix:UP092</t>
  </si>
  <si>
    <t>Holds - Urban Plastix:UP093</t>
  </si>
  <si>
    <t>Holds - Urban Plastix:UP094</t>
  </si>
  <si>
    <t>Holds - Urban Plastix:UP095</t>
  </si>
  <si>
    <t>Holds - Urban Plastix:UP096</t>
  </si>
  <si>
    <t>Holds - Urban Plastix:UP097</t>
  </si>
  <si>
    <t>Holds - Urban Plastix:UP098</t>
  </si>
  <si>
    <t>Holds - Urban Plastix:UP099</t>
  </si>
  <si>
    <t>Holds - Urban Plastix:UP100</t>
  </si>
  <si>
    <t>Holds - Urban Plastix:UP101</t>
  </si>
  <si>
    <t>Holds - Urban Plastix:UP102</t>
  </si>
  <si>
    <t>Holds - Urban Plastix:UP103</t>
  </si>
  <si>
    <t>Holds - Urban Plastix:UP104</t>
  </si>
  <si>
    <t>Holds - Urban Plastix:UP105</t>
  </si>
  <si>
    <t>Holds - Urban Plastix:UP106</t>
  </si>
  <si>
    <t>Holds - Urban Plastix:UP107</t>
  </si>
  <si>
    <t>Holds - Urban Plastix:UP108</t>
  </si>
  <si>
    <t>Retail</t>
  </si>
  <si>
    <t>Kilter Aragon</t>
  </si>
  <si>
    <t>Kilter Comp X</t>
  </si>
  <si>
    <t>UP Aragon</t>
  </si>
  <si>
    <t>UP Comp X</t>
  </si>
  <si>
    <t>Speed Bumps M2 - Crimp</t>
  </si>
  <si>
    <t>Trim XL 3 - Edges</t>
  </si>
  <si>
    <t>Not Font Kaiju 1 - Stalactite</t>
  </si>
  <si>
    <t>Not Font Kaiju 2 - Sloper</t>
  </si>
  <si>
    <t>Not Font Kaiju 3 - Sloper</t>
  </si>
  <si>
    <t>Not Font 2XL 2 - Plate Slopers</t>
  </si>
  <si>
    <t>Not Font 2XL 3 - Jugs</t>
  </si>
  <si>
    <t>Holds - Urban Plastix:UP047</t>
  </si>
  <si>
    <t>Holds - Urban Plastix:UP048</t>
  </si>
  <si>
    <t>Holds - Urban Plastix:UP049</t>
  </si>
  <si>
    <t>Holds - Urban Plastix:UP053</t>
  </si>
  <si>
    <t>Holds - Urban Plastix:UP063</t>
  </si>
  <si>
    <t>Holds - Urban Plastix:UP062</t>
  </si>
  <si>
    <t>Holds - Urban Plastix:UP064</t>
  </si>
  <si>
    <t>Holds - Urban Plastix:UP065</t>
  </si>
  <si>
    <t>Holds - Urban Plastix:UP066</t>
  </si>
  <si>
    <t>Holds - Urban Plastix:UP067</t>
  </si>
  <si>
    <t>Holds - Urban Plastix:UP068</t>
  </si>
  <si>
    <t>Holds - Urban Plastix:UP069</t>
  </si>
  <si>
    <t>Holds - Urban Plastix:UP070</t>
  </si>
  <si>
    <t>Holds - Urban Plastix:UP071</t>
  </si>
  <si>
    <t>Holds - Urban Plastix:UP078</t>
  </si>
  <si>
    <t>Holds - Urban Plastix:UP089</t>
  </si>
  <si>
    <t>Holds - Urban Plastix:UP029</t>
  </si>
  <si>
    <t>Holds - Urban Plastix:UP075</t>
  </si>
  <si>
    <t>KXST029</t>
  </si>
  <si>
    <t>close to 16-09 and 16-08, a little darker</t>
  </si>
  <si>
    <t>okay with 11-24, some people use with no issue</t>
  </si>
  <si>
    <t>okay with 15-12, some people use with no issue</t>
  </si>
  <si>
    <t>blacklight, darker and clearer than 11-26</t>
  </si>
  <si>
    <t>good color, ok with Euro Traffic Red</t>
  </si>
  <si>
    <t>uncommon, old UP standard color</t>
  </si>
  <si>
    <t>bubblegum, prefer bright pink 11-26</t>
  </si>
  <si>
    <t>Kilter's original orange, great color</t>
  </si>
  <si>
    <t>okay with 11-25, not a consistent color , so not recommended</t>
  </si>
  <si>
    <r>
      <rPr>
        <b/>
        <sz val="22"/>
        <rFont val="Bauhaus 93"/>
        <family val="5"/>
      </rPr>
      <t>KILTER</t>
    </r>
    <r>
      <rPr>
        <b/>
        <sz val="22"/>
        <rFont val="Stardos Stencil"/>
      </rPr>
      <t xml:space="preserve"> ~ HAPTIC ~ F-BLOC ~ </t>
    </r>
    <r>
      <rPr>
        <b/>
        <sz val="20"/>
        <rFont val="Stardos Stencil"/>
      </rPr>
      <t>URBAN PLASTIX</t>
    </r>
  </si>
  <si>
    <t>SC00TK</t>
  </si>
  <si>
    <t>Discounted</t>
  </si>
  <si>
    <t>K186</t>
  </si>
  <si>
    <t>Holds - Kilter:K186</t>
  </si>
  <si>
    <t>UV Protectant</t>
  </si>
  <si>
    <t>Tremors 2XL 1 - Jugs</t>
  </si>
  <si>
    <t>Tremors 2XL 2 - Plates</t>
  </si>
  <si>
    <t>KHJH006</t>
  </si>
  <si>
    <t>Holds - Haptic:Jeremy:KHJH006</t>
  </si>
  <si>
    <t>UP109</t>
  </si>
  <si>
    <t>Holds - Urban Plastix:UP109</t>
  </si>
  <si>
    <t>UP111</t>
  </si>
  <si>
    <t>Holds - Urban Plastix:UP111</t>
  </si>
  <si>
    <t>UP110</t>
  </si>
  <si>
    <t>Holds - Urban Plastix:UP110</t>
  </si>
  <si>
    <t>UP112</t>
  </si>
  <si>
    <t>Holds - Urban Plastix:UP112</t>
  </si>
  <si>
    <t>UP113</t>
  </si>
  <si>
    <t>Holds - Urban Plastix:UP113</t>
  </si>
  <si>
    <t>%</t>
  </si>
  <si>
    <t>KHPJ015</t>
  </si>
  <si>
    <t>Holds - Haptic:Pete:KHPJ015</t>
  </si>
  <si>
    <t>Holds - Europe:Holds - Europe - Urban Plastix:UPX1</t>
  </si>
  <si>
    <t>Holds - Europe:Holds - Europe - Urban Plastix:UPX2</t>
  </si>
  <si>
    <t>Holds - Europe:Holds - Europe - Urban Plastix:UPX3</t>
  </si>
  <si>
    <t>Holds - Europe:Holds - Europe - Urban Plastix:UPX4</t>
  </si>
  <si>
    <t>Holds - Europe:Holds - Europe - Urban Plastix:UPX5</t>
  </si>
  <si>
    <t>Holds - Europe:Holds - Europe - Urban Plastix:UPX6</t>
  </si>
  <si>
    <t>Holds - Europe:Holds - Europe - Urban Plastix:UPX7</t>
  </si>
  <si>
    <t>Holds - Europe:Holds - Europe - Urban Plastix:UPX8</t>
  </si>
  <si>
    <t>Holds - Europe:Holds - Europe - Urban Plastix:UPX9</t>
  </si>
  <si>
    <t>Holds - Europe:Holds - Europe - Urban Plastix:UPX10</t>
  </si>
  <si>
    <t>Holds - Europe:Holds - Europe - Urban Plastix:UPX11</t>
  </si>
  <si>
    <t>Holds - Europe:Holds - Europe - Urban Plastix:UPX12</t>
  </si>
  <si>
    <t>Holds - Europe:Holds - Europe - Urban Plastix:UPX13</t>
  </si>
  <si>
    <t>Holds - Europe:Holds - Europe - Urban Plastix:UPX14</t>
  </si>
  <si>
    <t>Holds - Europe:Holds - Europe - Urban Plastix:UPX15</t>
  </si>
  <si>
    <t>Holds - Europe:Holds - Europe - Urban Plastix:UPX16</t>
  </si>
  <si>
    <t>Holds - Europe:Holds - Europe - Urban Plastix:UPX17</t>
  </si>
  <si>
    <t>Holds - Europe:Holds - Europe - Urban Plastix:UPX18</t>
  </si>
  <si>
    <t>Holds - Europe:Holds - Europe - Urban Plastix:UPX19</t>
  </si>
  <si>
    <t>Holds - Europe:Holds - Europe - Urban Plastix:UPX20</t>
  </si>
  <si>
    <t>Holds - Europe:Holds - Europe - Urban Plastix:UPX21</t>
  </si>
  <si>
    <t>Holds - Europe:Holds - Europe - Urban Plastix:UPX22</t>
  </si>
  <si>
    <t>Holds - Europe:Holds - Europe - Urban Plastix:UPX23</t>
  </si>
  <si>
    <t>Holds - Europe:Holds - Europe - Urban Plastix:UPX24</t>
  </si>
  <si>
    <t>Holds - Europe:Holds - Europe - Urban Plastix:UPX25</t>
  </si>
  <si>
    <t>Holds - Europe:Holds - Europe - Urban Plastix:UPX26</t>
  </si>
  <si>
    <t>Holds - Europe:Holds - Europe - Urban Plastix:UPX27</t>
  </si>
  <si>
    <t>Holds - Europe:Holds - Europe - Urban Plastix:UPX28</t>
  </si>
  <si>
    <t>Holds - Europe:Holds - Europe - Urban Plastix:UPX29</t>
  </si>
  <si>
    <t>Holds - Europe:Holds - Europe - Urban Plastix:UPX30</t>
  </si>
  <si>
    <t>Holds - Europe:Holds - Europe - Urban Plastix:UPX31</t>
  </si>
  <si>
    <t>Holds - Europe:Holds - Europe - Urban Plastix:UPX32</t>
  </si>
  <si>
    <t>Holds - Europe:Holds - Europe - Urban Plastix:UPX33</t>
  </si>
  <si>
    <t>Holds - Europe:Holds - Europe - Urban Plastix:UPX34</t>
  </si>
  <si>
    <t>Holds - Europe:Holds - Europe - Urban Plastix:UPX35</t>
  </si>
  <si>
    <t>Holds - Europe:Holds - Europe - Urban Plastix:UPX36</t>
  </si>
  <si>
    <t>Holds - Europe:Holds - Europe - Urban Plastix:UPX37</t>
  </si>
  <si>
    <t>Holds - Europe:Holds - Europe - Urban Plastix:UPX38</t>
  </si>
  <si>
    <t>Holds - Europe:Holds - Europe - Urban Plastix:UPX39</t>
  </si>
  <si>
    <t>Holds - Europe:Holds - Europe - Urban Plastix:UPX40</t>
  </si>
  <si>
    <t>Holds - Europe:Holds - Europe - Urban Plastix:UPX41</t>
  </si>
  <si>
    <t>Holds - Europe:Holds - Europe - Urban Plastix:UPX42</t>
  </si>
  <si>
    <t>Holds - Europe:Holds - Europe - Urban Plastix:UPX43</t>
  </si>
  <si>
    <t>Holds - Europe:Holds - Europe - Urban Plastix:UPX44</t>
  </si>
  <si>
    <t>Holds - Europe:Holds - Europe - Urban Plastix:UPX45</t>
  </si>
  <si>
    <t>Holds - Europe:Holds - Europe - Urban Plastix:UPX46</t>
  </si>
  <si>
    <t>Holds - Europe:Holds - Europe - Urban Plastix:UPX47</t>
  </si>
  <si>
    <t>Holds - Europe:Holds - Europe - Urban Plastix:UPX48</t>
  </si>
  <si>
    <t>Holds - Europe:Holds - Europe - Urban Plastix:UPX49</t>
  </si>
  <si>
    <t>Holds - Europe:Holds - Europe - Urban Plastix:UPX50</t>
  </si>
  <si>
    <t>Holds - Europe:Holds - Europe - Urban Plastix:UPX51</t>
  </si>
  <si>
    <t>Holds - Europe:Holds - Europe - Urban Plastix:UPX52</t>
  </si>
  <si>
    <t>KXST011</t>
  </si>
  <si>
    <t>KXST003</t>
  </si>
  <si>
    <t>KXST039</t>
  </si>
  <si>
    <t>KXST041</t>
  </si>
  <si>
    <t>KXST006</t>
  </si>
  <si>
    <t>KXST007</t>
  </si>
  <si>
    <t>Smooth Tufa - End - Slopey Pinch</t>
  </si>
  <si>
    <t>Smooth Tufa - Center - Slopey Y Pinch</t>
  </si>
  <si>
    <t>Smooth Tufa - Center - Incut Directional</t>
  </si>
  <si>
    <t>Smooth Tufa - End - Flat Directional Hueco</t>
  </si>
  <si>
    <t>Smooth Tufa - End Cap - Irregular Badges</t>
  </si>
  <si>
    <t>Smooth Tufa - Center - Slopey</t>
  </si>
  <si>
    <t>Smooth Tufa - End - Incut Pinch</t>
  </si>
  <si>
    <t>Holds - Europe:Holds - Europe - Kilter:KXST011</t>
  </si>
  <si>
    <t>Holds - Europe:Holds - Europe - Kilter:KXST029</t>
  </si>
  <si>
    <t>Holds - Europe:Holds - Europe - Kilter:KXST003</t>
  </si>
  <si>
    <t>Holds - Europe:Holds - Europe - Kilter:KXST006</t>
  </si>
  <si>
    <t>Holds - Europe:Holds - Europe - Kilter:KXST007</t>
  </si>
  <si>
    <t>Holds - Europe:Holds - Europe - Kilter:KXST039</t>
  </si>
  <si>
    <t>Holds - Europe:Holds - Europe - Kilter:KXST041</t>
  </si>
  <si>
    <t>Brushed Sandstone Kaiju 9-11 - Ribs</t>
  </si>
  <si>
    <t>KX089</t>
  </si>
  <si>
    <t>Holds - Europe:Holds - Europe - Kilter:KX089</t>
  </si>
  <si>
    <t>Brushed Sandstone Large 3 - Incut Blocker Pack</t>
  </si>
  <si>
    <t>KX088</t>
  </si>
  <si>
    <t>Brushed Sandstone Medium 2 - Incut Edges</t>
  </si>
  <si>
    <t>KX087</t>
  </si>
  <si>
    <t>Brushed Sandstone Mega Jibs Set 3 - Sloper Kaiju Blockers</t>
  </si>
  <si>
    <t>Brushed Sandstone Mega Jibs Set 4 - Sloper Kaiju Blockers</t>
  </si>
  <si>
    <t>KX078 (4-6)</t>
  </si>
  <si>
    <t>Brushed Sandstone XL 3 - Flat and Incut Pinches</t>
  </si>
  <si>
    <t>KX076</t>
  </si>
  <si>
    <t>Holds - Europe:Holds - Europe - Kilter:KX076</t>
  </si>
  <si>
    <t>KX077 (4-6)</t>
  </si>
  <si>
    <t>Holds - Europe:Holds - Europe - Kilter:KX077 (4-6)</t>
  </si>
  <si>
    <t>Holds - Europe:Holds - Europe - Kilter:KX078 (4-6)</t>
  </si>
  <si>
    <t>Holds - Europe:Holds - Europe - Kilter:KX087</t>
  </si>
  <si>
    <t>Holds - Europe:Holds - Europe - Kilter:KX088</t>
  </si>
  <si>
    <t>KX069</t>
  </si>
  <si>
    <t>Holds - Europe:Holds - Europe - Kilter:KX069</t>
  </si>
  <si>
    <t>KX052</t>
  </si>
  <si>
    <t>Holds - Europe:Holds - Europe - Kilter:KX052</t>
  </si>
  <si>
    <t>KX053</t>
  </si>
  <si>
    <t>Holds - Europe:Holds - Europe - Kilter:KX053</t>
  </si>
  <si>
    <t>Granite Mega Jibs Set 3 - Granite Sloper Plates</t>
  </si>
  <si>
    <t>Noah Medium 1 - Incut Edges</t>
  </si>
  <si>
    <t>Noah Small 1 - Incut Ears</t>
  </si>
  <si>
    <t>Granite 2XL Set 2 - Huecos</t>
  </si>
  <si>
    <t>KX063</t>
  </si>
  <si>
    <t>Holds - Europe:Holds - Europe - Kilter:KX063</t>
  </si>
  <si>
    <t>KXST012</t>
  </si>
  <si>
    <t>Holds - Europe:Holds - Europe - Kilter:KXST012</t>
  </si>
  <si>
    <t>KXST017</t>
  </si>
  <si>
    <t>Holds - Europe:Holds - Europe - Kilter:KXST017</t>
  </si>
  <si>
    <t>KXST024</t>
  </si>
  <si>
    <t>Holds - Europe:Holds - Europe - Kilter:KXST024</t>
  </si>
  <si>
    <t>KXST037</t>
  </si>
  <si>
    <t>Holds - Europe:Holds - Europe - Kilter:KXST037</t>
  </si>
  <si>
    <t>Smooth Tufa - End - Junction Teagan Knob</t>
  </si>
  <si>
    <t>Smooth Tufa - Center - Big Flat Y Directional</t>
  </si>
  <si>
    <t>HOLD</t>
  </si>
  <si>
    <t>SETTER CLOSET ORDER FORM</t>
  </si>
  <si>
    <t>KILTER / F-BLOC ORDER FORM</t>
  </si>
  <si>
    <t>URBAN PLASTIX ORDER FORM</t>
  </si>
  <si>
    <t>Brushed Sandstone Jibs Set 11 - Pods and Slopers</t>
  </si>
  <si>
    <t>KX085</t>
  </si>
  <si>
    <t>KXST008</t>
  </si>
  <si>
    <t>Smooth Tufa - End - Big Ball</t>
  </si>
  <si>
    <t>KXST025</t>
  </si>
  <si>
    <t>Smooth Tufa - Center - Slopey Y Directional</t>
  </si>
  <si>
    <t>KXST028</t>
  </si>
  <si>
    <t>Smooth Tufa - Center - Slopey Pinch</t>
  </si>
  <si>
    <t>KXST038</t>
  </si>
  <si>
    <t>Holds - Europe:Holds - Europe - Kilter:KXST038</t>
  </si>
  <si>
    <t>Holds - Europe:Holds - Europe - Kilter:KXST028</t>
  </si>
  <si>
    <t>Holds - Europe:Holds - Europe - Kilter:KXST025</t>
  </si>
  <si>
    <t>Holds - Europe:Holds - Europe - Kilter:KXST008</t>
  </si>
  <si>
    <t>Holds - Europe:Holds - Europe - Kilter:KX085</t>
  </si>
  <si>
    <t>Setter Closet Recommended Bolt List</t>
  </si>
  <si>
    <t>KX083</t>
  </si>
  <si>
    <t>Holds - Europe:Holds - Europe - Kilter:KX083</t>
  </si>
  <si>
    <t>KXST016</t>
  </si>
  <si>
    <t>Holds - Europe:Holds - Europe - Kilter:KXST016</t>
  </si>
  <si>
    <t>KXST030</t>
  </si>
  <si>
    <t>Holds - Europe:Holds - Europe - Kilter:KXST030</t>
  </si>
  <si>
    <t>KXST042</t>
  </si>
  <si>
    <t>Holds - Europe:Holds - Europe - Kilter:KXST042</t>
  </si>
  <si>
    <t>KXST046</t>
  </si>
  <si>
    <t>Holds - Europe:Holds - Europe - Kilter:KXST046</t>
  </si>
  <si>
    <t>KXST045</t>
  </si>
  <si>
    <t>Holds - Europe:Holds - Europe - Kilter:KXST045</t>
  </si>
  <si>
    <t>Smooth Tufa - End Cap - Pointy Badges</t>
  </si>
  <si>
    <t>Brushed Sandstone 2XL 2 - Ledges</t>
  </si>
  <si>
    <t>Smooth Tufa - End - Incut C Hueco</t>
  </si>
  <si>
    <t>Smooth Tufa - Center - Slopey Directional</t>
  </si>
  <si>
    <t>Smooth Tufa - End Cap - Cut Offs</t>
  </si>
  <si>
    <t>Holds - F-bloc:Dan Yagmin:KFB001</t>
  </si>
  <si>
    <t>Holds - F-bloc:Dan Yagmin:KFB002</t>
  </si>
  <si>
    <t>Holds - F-bloc:Dan Yagmin:KFB003</t>
  </si>
  <si>
    <t>Holds - F-bloc:Dan Yagmin:KFB004</t>
  </si>
  <si>
    <t>Holds - F-bloc:Dan Yagmin:KFB005</t>
  </si>
  <si>
    <t>Holds - F-bloc:Dan Yagmin:KFB006</t>
  </si>
  <si>
    <t>Holds - F-bloc:Dan Yagmin:KFB007</t>
  </si>
  <si>
    <t>Holds - F-bloc:Dan Yagmin:KFB008</t>
  </si>
  <si>
    <t>Holds - F-bloc:Dan Yagmin:KFB009</t>
  </si>
  <si>
    <t>Holds - F-bloc:Dan Yagmin:KFB010</t>
  </si>
  <si>
    <t>Holds - F-bloc:Dan Yagmin:KFB011</t>
  </si>
  <si>
    <t>Holds - F-bloc:Dan Yagmin:KFB012</t>
  </si>
  <si>
    <t>Holds - F-bloc:Dan Yagmin:KFB013</t>
  </si>
  <si>
    <t>Holds - F-bloc:Dan Yagmin:KFB014</t>
  </si>
  <si>
    <t>Holds - F-bloc:Dan Yagmin:KFB015</t>
  </si>
  <si>
    <t>Holds - F-bloc:Dan Yagmin:KFB016</t>
  </si>
  <si>
    <t>Holds - F-bloc:Dan Yagmin:KFB017</t>
  </si>
  <si>
    <t>Holds - F-bloc:Dan Yagmin:KFB018</t>
  </si>
  <si>
    <t>Holds - F-bloc:Dan Yagmin:KFB019</t>
  </si>
  <si>
    <t>Holds - F-bloc:Dan Yagmin:KFB020</t>
  </si>
  <si>
    <t>Holds - F-bloc:Dan Yagmin:KFB021</t>
  </si>
  <si>
    <t>Holds - F-bloc:Dan Yagmin:KFB022</t>
  </si>
  <si>
    <t>Holds - F-bloc:Dan Yagmin:KFB023</t>
  </si>
  <si>
    <t>Holds - F-bloc:Dan Yagmin:KFB024</t>
  </si>
  <si>
    <t>UP114</t>
  </si>
  <si>
    <t>Holds - Urban Plastix:UP114</t>
  </si>
  <si>
    <t>UP115</t>
  </si>
  <si>
    <t>Holds - Urban Plastix:UP115</t>
  </si>
  <si>
    <t>UP116</t>
  </si>
  <si>
    <t>Holds - Urban Plastix:UP116</t>
  </si>
  <si>
    <t>UP117</t>
  </si>
  <si>
    <t>Holds - Urban Plastix:UP117</t>
  </si>
  <si>
    <t>UP118</t>
  </si>
  <si>
    <t>Holds - Urban Plastix:UP118</t>
  </si>
  <si>
    <t>UP119</t>
  </si>
  <si>
    <t>Holds - Urban Plastix:UP119</t>
  </si>
  <si>
    <t>UP120</t>
  </si>
  <si>
    <t>Holds - Urban Plastix:UP120</t>
  </si>
  <si>
    <t>Noah 2XL 4 - Slopey Pinches</t>
  </si>
  <si>
    <t>KX071</t>
  </si>
  <si>
    <t>KX070</t>
  </si>
  <si>
    <t>Holds - Europe:Holds - Europe - Kilter:KX070</t>
  </si>
  <si>
    <t>Holds - Europe:Holds - Europe - Kilter:KX071</t>
  </si>
  <si>
    <t>Brushed Sandstone XL 4 - Slopers</t>
  </si>
  <si>
    <t>KX082</t>
  </si>
  <si>
    <t>Holds - Europe:Holds - Europe - Kilter:KX082</t>
  </si>
  <si>
    <t>Brushed Sandstone Large 2 - Plate Slopers</t>
  </si>
  <si>
    <t>KX084</t>
  </si>
  <si>
    <t>Holds - Europe:Holds - Europe - Kilter:KX084</t>
  </si>
  <si>
    <t>KXST018</t>
  </si>
  <si>
    <t>Holds - Europe:Holds - Europe - Kilter:KXST018</t>
  </si>
  <si>
    <t>KXST031</t>
  </si>
  <si>
    <t>Holds - Europe:Holds - Europe - Kilter:KXST031</t>
  </si>
  <si>
    <t>Smooth Tufa - Center - Y Slopey</t>
  </si>
  <si>
    <t>KXST002</t>
  </si>
  <si>
    <t>Holds - Europe:Holds - Europe - Kilter:KXST002</t>
  </si>
  <si>
    <t>KXST005</t>
  </si>
  <si>
    <t>Holds - Europe:Holds - Europe - Kilter:KXST005</t>
  </si>
  <si>
    <t>Smooth Tufa - End - Slopey Incut Directional</t>
  </si>
  <si>
    <t>KXST040</t>
  </si>
  <si>
    <t>Holds - Europe:Holds - Europe - Kilter:KXST040</t>
  </si>
  <si>
    <t>Smooth Tufa - End Cap - Teagan Knobs</t>
  </si>
  <si>
    <t>KX080</t>
  </si>
  <si>
    <t>Holds - Europe:Holds - Europe - Kilter:KX080</t>
  </si>
  <si>
    <t>Brushed Sandstone 2XL 1 - Slopey and Flat Pinches</t>
  </si>
  <si>
    <t>Brushed Sandstone Kaiju 1-2 - Huecos</t>
  </si>
  <si>
    <t>Brushed Sandstone Kaiju 3-5 - Stalactites</t>
  </si>
  <si>
    <t>Brushed Sandstone Kaiju 6-8 - Ledges</t>
  </si>
  <si>
    <t>KX074</t>
  </si>
  <si>
    <t>KX077 (1-3)</t>
  </si>
  <si>
    <t>KX078 (1-3)</t>
  </si>
  <si>
    <t>Holds - Europe:Holds - Europe - Kilter:KX074</t>
  </si>
  <si>
    <t>Holds - Europe:Holds - Europe - Kilter:KX077 (1-3)</t>
  </si>
  <si>
    <t>Holds - Europe:Holds - Europe - Kilter:KX078 (1-3)</t>
  </si>
  <si>
    <t>Brushed Sandstone Large 1 - Mixed Incuts</t>
  </si>
  <si>
    <t>KX079</t>
  </si>
  <si>
    <t>Holds - Europe:Holds - Europe - Kilter:KX079</t>
  </si>
  <si>
    <t>Brushed Sandstone Mega Jibs Set 2 - Brushed Plate Slopers</t>
  </si>
  <si>
    <t>Brushed Sandstone Small 1 - Slopey Edges</t>
  </si>
  <si>
    <t>KX086</t>
  </si>
  <si>
    <t>Holds - Europe:Holds - Europe - Kilter:KX086</t>
  </si>
  <si>
    <t>Brushed Sandstone XL 2 - Slopey and Flat Pinches</t>
  </si>
  <si>
    <t>KX075</t>
  </si>
  <si>
    <t>Holds - Europe:Holds - Europe - Kilter:KX075</t>
  </si>
  <si>
    <t>Peter Juhl Flo Mega Jibs Set 1 - Casper Huecos</t>
  </si>
  <si>
    <t>KXPJ001</t>
  </si>
  <si>
    <t>Peter Juhl Flo Mega Jibs Set 2 - Casper Huecos</t>
  </si>
  <si>
    <t>KXPJ002</t>
  </si>
  <si>
    <t>Granite XL 2 - Over Jugs</t>
  </si>
  <si>
    <t>KX067</t>
  </si>
  <si>
    <t>KX066</t>
  </si>
  <si>
    <t>Holds - Europe:Holds - Europe - Kilter:KX066</t>
  </si>
  <si>
    <t>Holds - Europe:Holds - Europe - Kilter:KX067</t>
  </si>
  <si>
    <t>Noah XL 10 - Pinches</t>
  </si>
  <si>
    <t>KXST001</t>
  </si>
  <si>
    <t>Holds - Europe:Holds - Europe - Kilter:KXST001</t>
  </si>
  <si>
    <t>KXST010</t>
  </si>
  <si>
    <t>KXST009</t>
  </si>
  <si>
    <t>Holds - Europe:Holds - Europe - Kilter:KXST009</t>
  </si>
  <si>
    <t>Holds - Europe:Holds - Europe - Kilter:KXST010</t>
  </si>
  <si>
    <t>Smooth Tufa - Center - Slopey and Flat Directional</t>
  </si>
  <si>
    <t>KXST013</t>
  </si>
  <si>
    <t>Holds - Europe:Holds - Europe - Kilter:KXST013</t>
  </si>
  <si>
    <t>KXST015</t>
  </si>
  <si>
    <t>Holds - Europe:Holds - Europe - Kilter:KXST015</t>
  </si>
  <si>
    <t>Smooth Tufa - End - Slopey Incut Hueco</t>
  </si>
  <si>
    <t>Smooth Tufa - Center - Big Incut</t>
  </si>
  <si>
    <t>KXST023</t>
  </si>
  <si>
    <t>Holds - Europe:Holds - Europe - Kilter:KXST023</t>
  </si>
  <si>
    <t>Smooth Tufa - Center - Slopey Incut Directional</t>
  </si>
  <si>
    <t>KXST027</t>
  </si>
  <si>
    <t>Holds - Europe:Holds - Europe - Kilter:KXST027</t>
  </si>
  <si>
    <t>KXST004</t>
  </si>
  <si>
    <t>Smooth Tufa - End Cap - Badgy Badges</t>
  </si>
  <si>
    <t>KXST043</t>
  </si>
  <si>
    <t>Holds - Europe:Holds - Europe - Kilter:KXST043</t>
  </si>
  <si>
    <t>Peter Juhl Flo XL Set 1 - Smooth Horns</t>
  </si>
  <si>
    <t>KXPJ003</t>
  </si>
  <si>
    <t>Winter Kaiju 1-4 - Huecos</t>
  </si>
  <si>
    <t>KX073</t>
  </si>
  <si>
    <t>Holds - Europe:Holds - Europe - Kilter:KX073</t>
  </si>
  <si>
    <t>Smooth Tufa - End - Incut Directional Hueco</t>
  </si>
  <si>
    <t>KXST032</t>
  </si>
  <si>
    <t>Holds - Europe:Holds - Europe - Kilter:KXST032</t>
  </si>
  <si>
    <t>UP121</t>
  </si>
  <si>
    <t>UP122</t>
  </si>
  <si>
    <t>UP123</t>
  </si>
  <si>
    <t>Holds - Urban Plastix:UP121</t>
  </si>
  <si>
    <t>Holds - Urban Plastix:UP122</t>
  </si>
  <si>
    <t>Holds - Urban Plastix:UP123</t>
  </si>
  <si>
    <t>UP124</t>
  </si>
  <si>
    <t>Holds - Urban Plastix:UP124</t>
  </si>
  <si>
    <t>UP125</t>
  </si>
  <si>
    <t>Holds - Urban Plastix:UP125</t>
  </si>
  <si>
    <t>KHPJ017</t>
  </si>
  <si>
    <t>Holds - Haptic:Pete:KHPJ017</t>
  </si>
  <si>
    <t>KHPJ018</t>
  </si>
  <si>
    <t>Holds - Haptic:Pete:KHPJ018</t>
  </si>
  <si>
    <t>KHPJ019</t>
  </si>
  <si>
    <t>Holds - Haptic:Pete:KHPJ019</t>
  </si>
  <si>
    <t>KHPJ021</t>
  </si>
  <si>
    <t>Holds - Haptic:Pete:KHPJ021</t>
  </si>
  <si>
    <t>K193</t>
  </si>
  <si>
    <t>K192</t>
  </si>
  <si>
    <t>Holds - Kilter:K192</t>
  </si>
  <si>
    <t>Holds - Kilter:K193</t>
  </si>
  <si>
    <t>K194</t>
  </si>
  <si>
    <t>Holds - Kilter:K194</t>
  </si>
  <si>
    <t>Noah Kaiju 1-3 - Huecos</t>
  </si>
  <si>
    <t>KX068</t>
  </si>
  <si>
    <t>KXST014</t>
  </si>
  <si>
    <t>Holds - Europe:Holds - Europe - Kilter:KXST014</t>
  </si>
  <si>
    <t>KXST033</t>
  </si>
  <si>
    <t>Holds - Europe:Holds - Europe - Kilter:KXST033</t>
  </si>
  <si>
    <t>KXST035</t>
  </si>
  <si>
    <t>Holds - Europe:Holds - Europe - Kilter:KXST035</t>
  </si>
  <si>
    <t>KXST047</t>
  </si>
  <si>
    <t>Holds - Europe:Holds - Europe - Kilter:KXST047</t>
  </si>
  <si>
    <t>KXST053</t>
  </si>
  <si>
    <t>Holds - Europe:Holds - Europe - Kilter:KXST053</t>
  </si>
  <si>
    <t>Smooth Tufa - Center - Jug</t>
  </si>
  <si>
    <t>Smooth Tufa - End - Ball Jug</t>
  </si>
  <si>
    <t>Smooth Tufa - End - Slopey Directional Hueco</t>
  </si>
  <si>
    <t>Smooth Tufa - Center - Slopey Jug</t>
  </si>
  <si>
    <t>13-24</t>
  </si>
  <si>
    <t>13-27</t>
  </si>
  <si>
    <t>5</t>
  </si>
  <si>
    <t>76</t>
  </si>
  <si>
    <t>11</t>
  </si>
  <si>
    <t>2</t>
  </si>
  <si>
    <t>77</t>
  </si>
  <si>
    <t>12</t>
  </si>
  <si>
    <t>69</t>
  </si>
  <si>
    <t>78</t>
  </si>
  <si>
    <t>16</t>
  </si>
  <si>
    <t>13</t>
  </si>
  <si>
    <t>79</t>
  </si>
  <si>
    <t>New Gym</t>
  </si>
  <si>
    <t>Climbable Square Feet</t>
  </si>
  <si>
    <t>Boulder Density</t>
  </si>
  <si>
    <t>Holds on Wall</t>
  </si>
  <si>
    <t>Holds in Backstock</t>
  </si>
  <si>
    <t>Boulder Density Goal</t>
  </si>
  <si>
    <t>Boulder Square Feet</t>
  </si>
  <si>
    <t>Your Input</t>
  </si>
  <si>
    <t>Our Recommendation</t>
  </si>
  <si>
    <t>Low</t>
  </si>
  <si>
    <t>Medium</t>
  </si>
  <si>
    <t>High</t>
  </si>
  <si>
    <t>Number of Boulders</t>
  </si>
  <si>
    <t>Boulder Linear Feet</t>
  </si>
  <si>
    <t>Potential Boulder Zones</t>
  </si>
  <si>
    <t>Route Density Goal</t>
  </si>
  <si>
    <t>Number of Routes</t>
  </si>
  <si>
    <t>Route Zones</t>
  </si>
  <si>
    <t>Number of Colors to Select</t>
  </si>
  <si>
    <t>Overall Density Goal</t>
  </si>
  <si>
    <t>Basic Color Pallette</t>
  </si>
  <si>
    <t>Select?</t>
  </si>
  <si>
    <t>In Use</t>
  </si>
  <si>
    <t>Total Holds per Color</t>
  </si>
  <si>
    <t>Feet per Color</t>
  </si>
  <si>
    <t>Total Holds</t>
  </si>
  <si>
    <t>Average Boulder Height</t>
  </si>
  <si>
    <t>Boulders per Color</t>
  </si>
  <si>
    <t>Holds per Boulder</t>
  </si>
  <si>
    <t>Routes per Color</t>
  </si>
  <si>
    <t>Holds per Route</t>
  </si>
  <si>
    <t>Average Route Height</t>
  </si>
  <si>
    <t>Total Boulder Holds</t>
  </si>
  <si>
    <t>Total Route Holds</t>
  </si>
  <si>
    <t>Brushed Sandstone Kaiju 12-14 - Ribs</t>
  </si>
  <si>
    <t>KX094</t>
  </si>
  <si>
    <t>Holds - Europe:Holds - Europe - Kilter:KX094</t>
  </si>
  <si>
    <t>KXST019</t>
  </si>
  <si>
    <t>Holds - Europe:Holds - Europe - Kilter:KXST019</t>
  </si>
  <si>
    <t>KXST022</t>
  </si>
  <si>
    <t>Holds - Europe:Holds - Europe - Kilter:KXST022</t>
  </si>
  <si>
    <t>KXST036</t>
  </si>
  <si>
    <t>Holds - Europe:Holds - Europe - Kilter:KXST036</t>
  </si>
  <si>
    <t>KXST048</t>
  </si>
  <si>
    <t>Holds - Europe:Holds - Europe - Kilter:KXST048</t>
  </si>
  <si>
    <t>KXST049</t>
  </si>
  <si>
    <t>Holds - Europe:Holds - Europe - Kilter:KXST049</t>
  </si>
  <si>
    <t>KXST055</t>
  </si>
  <si>
    <t>Holds - Europe:Holds - Europe - Kilter:KXST055</t>
  </si>
  <si>
    <t>KXST066</t>
  </si>
  <si>
    <t>Holds - Europe:Holds - Europe - Kilter:KXST066</t>
  </si>
  <si>
    <t>Smooth Tufa - End - Incut Teagan Knob</t>
  </si>
  <si>
    <t>Smooth Tufa - Companion - Incut Teagan Knob</t>
  </si>
  <si>
    <t>Smooth Tufa - End - Rounded Horn Jug</t>
  </si>
  <si>
    <t>Smooth Tufa - Center - Slopey Ledge</t>
  </si>
  <si>
    <t>Smooth Tufa - Center - Junctions</t>
  </si>
  <si>
    <t>Smooth Tufa - Companion - Puffy Jug</t>
  </si>
  <si>
    <t>UP126</t>
  </si>
  <si>
    <t>Holds - Urban Plastix:UP126</t>
  </si>
  <si>
    <t>K195</t>
  </si>
  <si>
    <t>Holds - Kilter:K195</t>
  </si>
  <si>
    <t>K196</t>
  </si>
  <si>
    <t>Holds - Kilter:K196</t>
  </si>
  <si>
    <t>K198</t>
  </si>
  <si>
    <t>Holds - Kilter:K198</t>
  </si>
  <si>
    <t>Granite Kaiju 4-6 - Huecos</t>
  </si>
  <si>
    <t>Holds - Europe:Holds - Europe - Kilter:KX068</t>
  </si>
  <si>
    <t>Holds - Europe:Holds - Europe - Urban Plastix:UPX53</t>
  </si>
  <si>
    <t>Holds - Europe:Holds - Europe - Urban Plastix:UPX54</t>
  </si>
  <si>
    <t>Holds - Europe:Holds - Europe - Urban Plastix:UPX55</t>
  </si>
  <si>
    <t>Holds - Europe:Holds - Europe - Urban Plastix:UPX56</t>
  </si>
  <si>
    <t>KXST050</t>
  </si>
  <si>
    <t>KXST056</t>
  </si>
  <si>
    <t>Holds - Europe:Holds - Europe - Kilter:KXST050</t>
  </si>
  <si>
    <t>Holds - Europe:Holds - Europe - Kilter:KXST056</t>
  </si>
  <si>
    <t>KHIP028</t>
  </si>
  <si>
    <t>KUE001</t>
  </si>
  <si>
    <t>KHPJ020</t>
  </si>
  <si>
    <t>Holds - Europe:Holds - Europe - Kilter:KXST004</t>
  </si>
  <si>
    <t>KHPJ022</t>
  </si>
  <si>
    <t>Holds - Haptic:Pete:KHPJ020</t>
  </si>
  <si>
    <t>Holds - Haptic:Pete:KHPJ022</t>
  </si>
  <si>
    <t>Holds - Haptic:Ian:KHIP028</t>
  </si>
  <si>
    <t>K197</t>
  </si>
  <si>
    <t>aragon</t>
  </si>
  <si>
    <t>composite x</t>
  </si>
  <si>
    <t>KHPJ016</t>
  </si>
  <si>
    <t>4"SDS</t>
  </si>
  <si>
    <t>5"SDS</t>
  </si>
  <si>
    <t>kilter</t>
  </si>
  <si>
    <t>urban plastix</t>
  </si>
  <si>
    <t>Haptic</t>
  </si>
  <si>
    <t>Kilter</t>
  </si>
  <si>
    <t>Brushed Sandstone and Sandstone</t>
  </si>
  <si>
    <t>Granite</t>
  </si>
  <si>
    <t>Jimmy Webb - Southern Sandstone Slopers</t>
  </si>
  <si>
    <t>Noah</t>
  </si>
  <si>
    <t>Winter</t>
  </si>
  <si>
    <t>Font Sandstone</t>
  </si>
  <si>
    <t>Moses Plated Sandstone</t>
  </si>
  <si>
    <t>Granite Mega Jibs Set 1 - Granite Texture Plates</t>
  </si>
  <si>
    <t>Jeremy Ho - Lo Riders</t>
  </si>
  <si>
    <t>Peter Juhl - Flo</t>
  </si>
  <si>
    <t>Smooth Tufa System</t>
  </si>
  <si>
    <t>Smooth Tufas - Centers  (2-4 connection points)</t>
  </si>
  <si>
    <t>Smooth Tufa - End Features  (1 connection point)</t>
  </si>
  <si>
    <t>Smooth Tufas - End Caps and Angled Spacers  (1-2 connection points)</t>
  </si>
  <si>
    <t>Smooth Tufa - Angled Spacers - Set 1</t>
  </si>
  <si>
    <t>Smooth Tufas - Companions (0 connection points)</t>
  </si>
  <si>
    <t>Tremors</t>
  </si>
  <si>
    <t>Bricks</t>
  </si>
  <si>
    <t>Speed Bumps</t>
  </si>
  <si>
    <t>Ditches</t>
  </si>
  <si>
    <t>Regs</t>
  </si>
  <si>
    <t>Trim</t>
  </si>
  <si>
    <t>Not Font</t>
  </si>
  <si>
    <t>Kilter Board Kits</t>
  </si>
  <si>
    <t>Lights and Holds</t>
  </si>
  <si>
    <t>8x12 and 12x12</t>
  </si>
  <si>
    <t>Discounts Available</t>
  </si>
  <si>
    <t>w/Tier Hold Orders</t>
  </si>
  <si>
    <t>Frame, Mat, and Install</t>
  </si>
  <si>
    <t>quotes available</t>
  </si>
  <si>
    <t>Email us for more info:</t>
  </si>
  <si>
    <t>holds@kiltergrips.com</t>
  </si>
  <si>
    <t>KHIP029 (Kit)</t>
  </si>
  <si>
    <t>KHIP029-1</t>
  </si>
  <si>
    <t>KHIP029-2</t>
  </si>
  <si>
    <t>KHIP030</t>
  </si>
  <si>
    <t>KHIP031 (Kit)</t>
  </si>
  <si>
    <t>KHIP031-1</t>
  </si>
  <si>
    <t>KHIP031-2</t>
  </si>
  <si>
    <t>K199</t>
  </si>
  <si>
    <t>KUEE001</t>
  </si>
  <si>
    <t>Holds - Union:KUEE001</t>
  </si>
  <si>
    <t>Holds - Haptic:Ian:KHIP030</t>
  </si>
  <si>
    <t>Holds - Kilter:K199</t>
  </si>
  <si>
    <t>Other Colors SEE CHART</t>
  </si>
  <si>
    <t>Yellow 15-12 (MATCH)</t>
  </si>
  <si>
    <t>Green 16-16 (MATCH)</t>
  </si>
  <si>
    <t>Sky Blue (SEE COVER PAGE)</t>
  </si>
  <si>
    <t>Traffic Red (SEE COVER PAGE)</t>
  </si>
  <si>
    <t>Purple 07-13 (MATCH)</t>
  </si>
  <si>
    <t>Fluoro/Test Pink (SEE COVER PAGE)</t>
  </si>
  <si>
    <t>Black 18-01 (MATCH)</t>
  </si>
  <si>
    <t>Kilter Fiberglass</t>
  </si>
  <si>
    <t>Holds - Haptic:Ian:KHIP029 (Kit)</t>
  </si>
  <si>
    <t>Holds - Haptic:Ian:KHIP029-1</t>
  </si>
  <si>
    <t>Holds - Haptic:Ian:KHIP029-2</t>
  </si>
  <si>
    <t>Holds - Haptic:Ian:KHIP031 (Kit)</t>
  </si>
  <si>
    <t>Holds - Haptic:Ian:KHIP031-1</t>
  </si>
  <si>
    <t>Holds - Haptic:Ian:KHIP031-2</t>
  </si>
  <si>
    <t>Customer Short Name:</t>
  </si>
  <si>
    <t>Customer PO Number:</t>
  </si>
  <si>
    <t>Customer Order Date:</t>
  </si>
  <si>
    <t>Internal Number:</t>
  </si>
  <si>
    <t>Fulfillment Date:</t>
  </si>
  <si>
    <t>Ship to(Address1):</t>
  </si>
  <si>
    <t>Address2:</t>
  </si>
  <si>
    <t>City:</t>
  </si>
  <si>
    <t>State:</t>
  </si>
  <si>
    <t>Zip Code:</t>
  </si>
  <si>
    <t>Uv Stabilizer(Yes/No)</t>
  </si>
  <si>
    <t>Include Hardware(Yes/No)</t>
  </si>
  <si>
    <t>Change hardware to SS?</t>
  </si>
  <si>
    <t>* Note: The macro Build Work Order will clear all existing data in rows 21 and below</t>
  </si>
  <si>
    <t>Item Code</t>
  </si>
  <si>
    <t>Hware Add</t>
  </si>
  <si>
    <t>Brushed Sandstone Daikaiju 1 - Hueco</t>
  </si>
  <si>
    <t>KX095</t>
  </si>
  <si>
    <t>KXST044</t>
  </si>
  <si>
    <t>Holds - Europe:Holds - Europe - Kilter:KX095</t>
  </si>
  <si>
    <t>Holds - Europe:Holds - Europe - Kilter:KXST044</t>
  </si>
  <si>
    <t>KHIP032</t>
  </si>
  <si>
    <t>UP128</t>
  </si>
  <si>
    <t>Holds - Haptic:Ian:KHIP032</t>
  </si>
  <si>
    <t>Holds - Urban Plastix:UP128</t>
  </si>
  <si>
    <t>Noah 2XL 5 - Huecos</t>
  </si>
  <si>
    <t>KX072</t>
  </si>
  <si>
    <t>Smooth Tufa - Center - Slopey Rib Pinch</t>
  </si>
  <si>
    <t>KXST059</t>
  </si>
  <si>
    <t>KXST063</t>
  </si>
  <si>
    <t>Holds - Europe:Holds - Europe - Kilter:KXST059</t>
  </si>
  <si>
    <t>Holds - Europe:Holds - Europe - Kilter:KXST063</t>
  </si>
  <si>
    <t>Walltopia</t>
  </si>
  <si>
    <t>Smooth Tufa - End Cap</t>
  </si>
  <si>
    <t>walltopia</t>
  </si>
  <si>
    <t>macros</t>
  </si>
  <si>
    <t>other</t>
  </si>
  <si>
    <t>UPDC01</t>
  </si>
  <si>
    <t>WALLTOPIA</t>
  </si>
  <si>
    <t>Fluoro Orange 14-11 (SEE COVER PAGE)</t>
  </si>
  <si>
    <t>Holds - Urban Plastix:UP129</t>
  </si>
  <si>
    <t>Holds - Urban Plastix:UPDC01</t>
  </si>
  <si>
    <t>KHJH007</t>
  </si>
  <si>
    <t>UP129</t>
  </si>
  <si>
    <t>K200</t>
  </si>
  <si>
    <t>Holds - Kilter:K200</t>
  </si>
  <si>
    <t>K201</t>
  </si>
  <si>
    <t>Holds - Kilter:K201</t>
  </si>
  <si>
    <t>Noah 2XL 6 - Fins</t>
  </si>
  <si>
    <t>KX081</t>
  </si>
  <si>
    <t>Holds - Europe:Holds - Europe - Kilter:KX081</t>
  </si>
  <si>
    <t>KXST020</t>
  </si>
  <si>
    <t>KXST034</t>
  </si>
  <si>
    <t>Holds - Europe:Holds - Europe - Kilter:KXST020</t>
  </si>
  <si>
    <t>Holds - Europe:Holds - Europe - Kilter:KXST034</t>
  </si>
  <si>
    <t>KXST058</t>
  </si>
  <si>
    <t>Holds - Europe:Holds - Europe - Kilter:KXST058</t>
  </si>
  <si>
    <t>Smooth Tufa - End - Rounded Ball Sloper</t>
  </si>
  <si>
    <t>KHJH007 (Kit)</t>
  </si>
  <si>
    <t>KHJH007-1</t>
  </si>
  <si>
    <t>KHJH007-3</t>
  </si>
  <si>
    <t>KHJH007-2</t>
  </si>
  <si>
    <t>Holds - Haptic:Jeremy:KHJH007 (Kit)</t>
  </si>
  <si>
    <t>Holds - Haptic:Jeremy:KHJH007-2</t>
  </si>
  <si>
    <t>Holds - Haptic:Jeremy:KHJH007-3</t>
  </si>
  <si>
    <t>KHIP033 (Kit)</t>
  </si>
  <si>
    <t>KHIP033-1</t>
  </si>
  <si>
    <t>KHIP033-2</t>
  </si>
  <si>
    <t>Holds - Haptic:Ian:KHIP033 (Kit)</t>
  </si>
  <si>
    <t>Holds - Haptic:Ian:KHIP033-1</t>
  </si>
  <si>
    <t>Holds - Haptic:Ian:KHIP033-2</t>
  </si>
  <si>
    <t>UP131</t>
  </si>
  <si>
    <t>UP130</t>
  </si>
  <si>
    <t>Holds - Urban Plastix:UP130</t>
  </si>
  <si>
    <t>Holds - Urban Plastix:UP131</t>
  </si>
  <si>
    <t>KWF001-1</t>
  </si>
  <si>
    <t>KWF001-2</t>
  </si>
  <si>
    <t>KWF001 (Kit)</t>
  </si>
  <si>
    <t>KWF002</t>
  </si>
  <si>
    <t>KWF003</t>
  </si>
  <si>
    <t>KWF008</t>
  </si>
  <si>
    <t>Kilter Fiberglass Produced at Walltopia, shipped everywhere</t>
  </si>
  <si>
    <t>Walltopia Fiberglass Color Options</t>
  </si>
  <si>
    <t>Walltopia color approximates, not guaranteed</t>
  </si>
  <si>
    <t>Dannomond/Fiberglass purple, no US match</t>
  </si>
  <si>
    <t>Holds - Europe:Holds - Europe - Kilter:KX072</t>
  </si>
  <si>
    <t>KHIP035</t>
  </si>
  <si>
    <t>Holds - Haptic:Ian:KHIP035</t>
  </si>
  <si>
    <t>Brushed Sandstone Complex Stalactite and Blockers</t>
  </si>
  <si>
    <t>Brushed Sandstone Complex Ledges and Blockers</t>
  </si>
  <si>
    <t>KX077 (Kit)</t>
  </si>
  <si>
    <t>KX078 (Kit)</t>
  </si>
  <si>
    <t>KTW1</t>
  </si>
  <si>
    <t>KTW2</t>
  </si>
  <si>
    <t>KTW3</t>
  </si>
  <si>
    <t>KTW4</t>
  </si>
  <si>
    <t>KHIP036</t>
  </si>
  <si>
    <t>Holds - Haptic:Ian:KHIP036</t>
  </si>
  <si>
    <t>UP132</t>
  </si>
  <si>
    <t>Holds - Urban Plastix:UP132</t>
  </si>
  <si>
    <t>UP133</t>
  </si>
  <si>
    <t>Holds - Urban Plastix:UP133</t>
  </si>
  <si>
    <t>UP134</t>
  </si>
  <si>
    <t>Holds - Urban Plastix:UP134</t>
  </si>
  <si>
    <t>UP135</t>
  </si>
  <si>
    <t>Holds - Urban Plastix:UP135</t>
  </si>
  <si>
    <t>UP136</t>
  </si>
  <si>
    <t>Holds - Urban Plastix:UP136</t>
  </si>
  <si>
    <t>UP137</t>
  </si>
  <si>
    <t>Holds - Urban Plastix:UP137</t>
  </si>
  <si>
    <t>UP138</t>
  </si>
  <si>
    <t>Holds - Urban Plastix:UP138</t>
  </si>
  <si>
    <t>UP139</t>
  </si>
  <si>
    <t>Holds - Urban Plastix:UP139</t>
  </si>
  <si>
    <t>UP140</t>
  </si>
  <si>
    <t>Holds - Urban Plastix:UP140</t>
  </si>
  <si>
    <t>UP141</t>
  </si>
  <si>
    <t>Holds - Urban Plastix:UP141</t>
  </si>
  <si>
    <t>UP142</t>
  </si>
  <si>
    <t>Holds - Urban Plastix:UP142</t>
  </si>
  <si>
    <t>Font Volume Stacks XL Set 1 - 30 degrees</t>
  </si>
  <si>
    <t>KX091</t>
  </si>
  <si>
    <t>KX090</t>
  </si>
  <si>
    <t>Holds - Europe:Holds - Europe - Kilter:KX090</t>
  </si>
  <si>
    <t>Holds - Europe:Holds - Europe - Kilter:KX091</t>
  </si>
  <si>
    <t>KXST049 R</t>
  </si>
  <si>
    <t>Holds - Europe:Holds - Europe - Kilter:KXST049 R</t>
  </si>
  <si>
    <t>Sandstone Large 4 - Mixed Edges</t>
  </si>
  <si>
    <t>Smooth Tufa - End - Center - Junctions Reduced</t>
  </si>
  <si>
    <t>KTW5</t>
  </si>
  <si>
    <t>KHIP034</t>
  </si>
  <si>
    <t>Holds - Haptic:Ian:KHIP034</t>
  </si>
  <si>
    <t>KHJH008</t>
  </si>
  <si>
    <t>Holds - Haptic:Jeremy:KHJH008</t>
  </si>
  <si>
    <t>Noah Fiberglass Kaiju 1 - Big Rail Pinch</t>
  </si>
  <si>
    <t>Noah Fiberglass Kaiju 2 - Big Rail Pinch</t>
  </si>
  <si>
    <t>Hardware/Other</t>
  </si>
  <si>
    <t>UP143</t>
  </si>
  <si>
    <t>Holds - Urban Plastix:UP143</t>
  </si>
  <si>
    <t>UP144</t>
  </si>
  <si>
    <t>Holds - Urban Plastix:UP144</t>
  </si>
  <si>
    <t>UP145</t>
  </si>
  <si>
    <t>Holds - Urban Plastix:UP145</t>
  </si>
  <si>
    <t>KHIP037</t>
  </si>
  <si>
    <t>Holds - Haptic:Ian:KHIP037</t>
  </si>
  <si>
    <t>KHIP038</t>
  </si>
  <si>
    <t>Holds - Haptic:Ian:KHIP038</t>
  </si>
  <si>
    <t>K202</t>
  </si>
  <si>
    <t>Holds - Kilter:K202</t>
  </si>
  <si>
    <t>K203</t>
  </si>
  <si>
    <t>Holds - Kilter:K203</t>
  </si>
  <si>
    <t>K204</t>
  </si>
  <si>
    <t>Holds - Kilter:K204</t>
  </si>
  <si>
    <t>K205</t>
  </si>
  <si>
    <t>Holds - Kilter:K205</t>
  </si>
  <si>
    <t>K206</t>
  </si>
  <si>
    <t>Holds - Kilter:K206</t>
  </si>
  <si>
    <t>UP151</t>
  </si>
  <si>
    <t>Holds - Urban Plastix:UP151</t>
  </si>
  <si>
    <t>KHIP039</t>
  </si>
  <si>
    <t>Holds - Haptic:Ian:KHIP039</t>
  </si>
  <si>
    <t>K209</t>
  </si>
  <si>
    <t>Holds - Kilter:K209</t>
  </si>
  <si>
    <t>KHPJ024</t>
  </si>
  <si>
    <t>Add On</t>
  </si>
  <si>
    <t>Qty</t>
  </si>
  <si>
    <t>7/32" Impact Hex Bit (Flathead/Martini/Buttonhead Bolt Size)</t>
  </si>
  <si>
    <t>5/16" and 7/32" Impact Hex Bit Set</t>
  </si>
  <si>
    <t>5/16" Impact Hex Bit (Standard Bolt Size)</t>
  </si>
  <si>
    <t>KHPJ023</t>
  </si>
  <si>
    <t>Holds - Haptic:Pete:KHPJ023</t>
  </si>
  <si>
    <t>Holds - Haptic:Pete:KHPJ024</t>
  </si>
  <si>
    <t>downclimb</t>
  </si>
  <si>
    <t>KTW6</t>
  </si>
  <si>
    <t>5.5"</t>
  </si>
  <si>
    <t>KWF005</t>
  </si>
  <si>
    <t>KWF012</t>
  </si>
  <si>
    <t>KWF045</t>
  </si>
  <si>
    <t>KWF032</t>
  </si>
  <si>
    <t>KWF034</t>
  </si>
  <si>
    <t>KWF038</t>
  </si>
  <si>
    <t>KWF013</t>
  </si>
  <si>
    <t>KWF031</t>
  </si>
  <si>
    <t>KWF007</t>
  </si>
  <si>
    <t>KWF020</t>
  </si>
  <si>
    <t>KWF022</t>
  </si>
  <si>
    <t>KWF026</t>
  </si>
  <si>
    <t>KWF036</t>
  </si>
  <si>
    <t>KWF015</t>
  </si>
  <si>
    <t>KWF016</t>
  </si>
  <si>
    <t>KWF029</t>
  </si>
  <si>
    <t>Flo Fiberglass Daikaiju 1 - Mega Casper Hueco</t>
  </si>
  <si>
    <t>Urban Plastix Fiberglass Produced at Walltopia, shipped everywhere</t>
  </si>
  <si>
    <t>UP Fiberglass</t>
  </si>
  <si>
    <t>Sales Tax</t>
  </si>
  <si>
    <t>Discounted Hold Cost</t>
  </si>
  <si>
    <t>5/16" T-Wrench (Standard Bolt Size)</t>
  </si>
  <si>
    <t>7/32" T-Wrench (Flathead/Martini/Buttonhead Bolt Size)</t>
  </si>
  <si>
    <t>T-Nut - Pound-in - Zinc</t>
  </si>
  <si>
    <t>T-Nut - Pound-in - Stainless</t>
  </si>
  <si>
    <t>T-Nut - Screw-in Zinc</t>
  </si>
  <si>
    <t>T-20 Impact Driver Bit</t>
  </si>
  <si>
    <t>2" T20-WS</t>
  </si>
  <si>
    <t>3" T20-WS</t>
  </si>
  <si>
    <t>5/16" and 7/32" T-Wrench Set</t>
  </si>
  <si>
    <t>Winter XL 1 - 90 Degree Stacks</t>
  </si>
  <si>
    <t>KX098</t>
  </si>
  <si>
    <t>Winter XL 2 - 60/30 Degree Stacks</t>
  </si>
  <si>
    <t>KX100</t>
  </si>
  <si>
    <t>Winter Large 1 - 60/30 Degree Stacks</t>
  </si>
  <si>
    <t>KX099</t>
  </si>
  <si>
    <t>Holds - Europe:Holds - Europe - Kilter:KX098</t>
  </si>
  <si>
    <t>Holds - Europe:Holds - Europe - Kilter:KX099</t>
  </si>
  <si>
    <t>Holds - Europe:Holds - Europe - Kilter:KX100</t>
  </si>
  <si>
    <t>KXJW001</t>
  </si>
  <si>
    <t>KXST062</t>
  </si>
  <si>
    <t>Holds - Europe:Holds - Europe - Kilter:KXST062</t>
  </si>
  <si>
    <t>Smooth Tufa - Center - Pinch</t>
  </si>
  <si>
    <t>Jimmy's Southern Sandstone Kaiju 1 - Slots</t>
  </si>
  <si>
    <t>Aragon Shipping</t>
  </si>
  <si>
    <t>Comp X Shipping</t>
  </si>
  <si>
    <t>Walltopia Shipping</t>
  </si>
  <si>
    <t>UP149</t>
  </si>
  <si>
    <t>UP152</t>
  </si>
  <si>
    <t>Holds - Urban Plastix:UP152</t>
  </si>
  <si>
    <t>UP153</t>
  </si>
  <si>
    <t>Holds - Urban Plastix:UP153</t>
  </si>
  <si>
    <t>UP150</t>
  </si>
  <si>
    <t>Holds - Urban Plastix:UP150</t>
  </si>
  <si>
    <t>Holds - Urban Plastix:UP149</t>
  </si>
  <si>
    <t>KHIP042</t>
  </si>
  <si>
    <t>Holds - Haptic:Ian:KHIP042</t>
  </si>
  <si>
    <t>KHIP043</t>
  </si>
  <si>
    <t>Holds - Haptic:Ian:KHIP043</t>
  </si>
  <si>
    <t>K210</t>
  </si>
  <si>
    <t>K212</t>
  </si>
  <si>
    <t>Holds - Kilter:K210</t>
  </si>
  <si>
    <t>Holds - Kilter:K212</t>
  </si>
  <si>
    <t>Holds - Europe:Holds - Europe - Kilter:Jeremy:KXJH001</t>
  </si>
  <si>
    <t>Holds - Europe:Holds - Europe - Kilter:Jeremy:KXJH002</t>
  </si>
  <si>
    <t>Holds - Europe:Holds - Europe - Kilter:Jeremy:KXJH003</t>
  </si>
  <si>
    <t>Holds - Europe:Holds - Europe - Kilter:Jeremy:KXJH004</t>
  </si>
  <si>
    <t>Holds - Europe:Holds - Europe - Kilter:Jeremy:KXJH005</t>
  </si>
  <si>
    <t>Holds - Europe:Holds - Europe - Kilter:Jeremy:KXJH006</t>
  </si>
  <si>
    <t>Holds - Europe:Holds - Europe - Kilter:Jeremy:KXJH007</t>
  </si>
  <si>
    <t>Holds - Europe:Holds - Europe - Kilter:Jeremy:KXJH008</t>
  </si>
  <si>
    <t>Holds - Europe:Holds - Europe - Kilter:Jeremy:KXJH009</t>
  </si>
  <si>
    <t>Holds - Europe:Holds - Europe - Kilter:Keith:KXKD001</t>
  </si>
  <si>
    <t>Holds - Europe:Holds - Europe - Kilter:Keith:KXKD002</t>
  </si>
  <si>
    <t>Holds - Europe:Holds - Europe - Kilter:Pete:KXPJ001</t>
  </si>
  <si>
    <t>Holds - Europe:Holds - Europe - Kilter:Pete:KXPJ002</t>
  </si>
  <si>
    <t>Holds - Europe:Holds - Europe - Kilter:Pete:KXPJ003</t>
  </si>
  <si>
    <t>Holds - Europe:Holds - Europe - Kilter:Jimmy:KXJW001</t>
  </si>
  <si>
    <t>KHIP045</t>
  </si>
  <si>
    <t>KHIP047</t>
  </si>
  <si>
    <t>KHIP048</t>
  </si>
  <si>
    <t>KHIP049 (Kit)</t>
  </si>
  <si>
    <t>KHIP049-1</t>
  </si>
  <si>
    <t>KHIP049-2</t>
  </si>
  <si>
    <t>UP154</t>
  </si>
  <si>
    <t>KHIP044</t>
  </si>
  <si>
    <t>Holds - Haptic:Ian:KHIP044</t>
  </si>
  <si>
    <t>Holds - Haptic:Ian:KHIP045</t>
  </si>
  <si>
    <t>KHIP046</t>
  </si>
  <si>
    <t>Holds - Haptic:Ian:KHIP046</t>
  </si>
  <si>
    <t>Holds - Haptic:Ian:KHIP047</t>
  </si>
  <si>
    <t>Holds - Haptic:Ian:KHIP048</t>
  </si>
  <si>
    <t>Holds - Urban Plastix:UP154</t>
  </si>
  <si>
    <t>Holds - Haptic:Ian:KHIP049 (Kit)</t>
  </si>
  <si>
    <t>Holds - Haptic:Ian:KHIP049-1</t>
  </si>
  <si>
    <t>Holds - Haptic:Ian:KHIP049-2</t>
  </si>
  <si>
    <t>KX097</t>
  </si>
  <si>
    <t>Winter 2XL 1 - 60/30 Degree Stacks</t>
  </si>
  <si>
    <t>Holds - Europe:Holds - Europe - Kilter:KX097</t>
  </si>
  <si>
    <t>K215</t>
  </si>
  <si>
    <t>K208</t>
  </si>
  <si>
    <t>Holds - Kilter:K208</t>
  </si>
  <si>
    <t>K213</t>
  </si>
  <si>
    <t>Holds - Kilter:K213</t>
  </si>
  <si>
    <t>K214</t>
  </si>
  <si>
    <t>Holds - Kilter:K214</t>
  </si>
  <si>
    <t>Holds - Kilter:K215</t>
  </si>
  <si>
    <t>KHIP050</t>
  </si>
  <si>
    <t>Holds - Haptic:Ian:KHIP050</t>
  </si>
  <si>
    <t>KHIP051 (Kit)</t>
  </si>
  <si>
    <t>KHIP051-1</t>
  </si>
  <si>
    <t>KHIP051-2</t>
  </si>
  <si>
    <t>Holds - Haptic:Ian:KHIP051 (Kit)</t>
  </si>
  <si>
    <t>Holds - Haptic:Ian:KHIP051-1</t>
  </si>
  <si>
    <t>Holds - Haptic:Ian:KHIP051-2</t>
  </si>
  <si>
    <t>UWF002</t>
  </si>
  <si>
    <t>Fiberglass Kit 1 - Noah Kaiju 1-2 - Big Rail Pinches</t>
  </si>
  <si>
    <t>Noah Fiberglass Kaiju 8 - 90 Degree Rounded Ledge</t>
  </si>
  <si>
    <t>KWF018-2</t>
  </si>
  <si>
    <t>Fiberglass Kit 29 - Noah Kaiju 13 &amp; 2XL 9 - 30/60 Degree Complex Rounded Ledges</t>
  </si>
  <si>
    <t>Fiberglass Kit 15 - Noah Kaiju 5, 2XL 6, &amp; XL 6 - Raised Plate Slopers</t>
  </si>
  <si>
    <t>Fiberglass Kit 3 - Noah XL 1-5 - Big Edges</t>
  </si>
  <si>
    <t>Fiberglass Kit 5 - Wingate Sandstone Kaiju 1-2 - Slopey Crescent Ledges</t>
  </si>
  <si>
    <t>Fiberglass Kit 45 - Wingate Sandstone Kaiju 12 &amp; 2XL 4 - Crescent Sloper</t>
  </si>
  <si>
    <t>Fiberglass Kit 32 - Wingate Sandstone Kaiju 8-9 - Flat Ledges</t>
  </si>
  <si>
    <t>Fiberglass Kit 31 - Wingate Sandstone Kaiju 6-7 - Slopey Crescent Ledges</t>
  </si>
  <si>
    <t>Fiberglass Kit 8 - Wingate Sandstone 2XL 1-3 &amp; L1 - Flat to Slopey Ledges</t>
  </si>
  <si>
    <t>Fiberglass Kit 12 - Wingate Sandstone Kaiju 5 &amp; XL 4-6 - Pinches</t>
  </si>
  <si>
    <t>Fiberglass Kit 38 - Wingate Sandstone 2XL 1-3 - Slopey Pinches</t>
  </si>
  <si>
    <t>Fiberglass Kit 34 - Wingate Sandstone XL 7-10, L2-4 - Slopey Crescent Ledges</t>
  </si>
  <si>
    <t>Noah Fiberglass Daikaiju 2 - Fat Lip Rounded Dish</t>
  </si>
  <si>
    <t>Fiberglass Kit 7 - Noah Kaiju 3-4 - Big Scoops</t>
  </si>
  <si>
    <t>Fiberglass Kit 22 - Winter Kaiju 1-2 &amp; 2XL 10-11 - 20/70 Degree Complex Rounded Ledges</t>
  </si>
  <si>
    <t>Fiberglass Kit 26 - Noah Kaiju 9 &amp; 2XL 7 - 30/60 Degree Complex Rounded Ledges</t>
  </si>
  <si>
    <t>Fiberglass Kit 20 - Winter 2XL 8-9 - 10/80 Complex Rounded Ledges</t>
  </si>
  <si>
    <t>Fiberglass Kit 2 - Winter XL 1-5 - Pinches</t>
  </si>
  <si>
    <t>Fiberglass Kit 16 - Noah Daikaiju 1 &amp; Kaiju 6 - Incut Raised Rails</t>
  </si>
  <si>
    <t>UP Fiberglass Kit 2 - Speed Bumps XL 1-4</t>
  </si>
  <si>
    <t>Holds - Europe:Holds - Europe - Kilter:KWF003</t>
  </si>
  <si>
    <t>Holds - Europe:Holds - Europe - Kilter:KWF008</t>
  </si>
  <si>
    <t>Holds - Europe:Holds - Europe - Kilter:KWF002</t>
  </si>
  <si>
    <t>Holds - Europe:Holds - Europe - Kilter:KWF001-2</t>
  </si>
  <si>
    <t>Holds - Europe:Holds - Europe - Kilter:KWF001-1</t>
  </si>
  <si>
    <t>Holds - Europe:Holds - Europe - Kilter:KWF001 (Kit)</t>
  </si>
  <si>
    <t>Holds - Europe:Holds - Europe - Kilter:KWF005</t>
  </si>
  <si>
    <t>Holds - Europe:Holds - Europe - Kilter:KWF012</t>
  </si>
  <si>
    <t>Holds - Europe:Holds - Europe - Kilter:KWF045</t>
  </si>
  <si>
    <t>Holds - Europe:Holds - Europe - Kilter:KWF032</t>
  </si>
  <si>
    <t>Holds - Europe:Holds - Europe - Kilter:KWF034</t>
  </si>
  <si>
    <t>Holds - Europe:Holds - Europe - Kilter:KWF038</t>
  </si>
  <si>
    <t>Holds - Europe:Holds - Europe - Kilter:KWF013</t>
  </si>
  <si>
    <t>Holds - Europe:Holds - Europe - Kilter:KWF031</t>
  </si>
  <si>
    <t>Holds - Europe:Holds - Europe - Kilter:KWF007</t>
  </si>
  <si>
    <t>Holds - Europe:Holds - Europe - Kilter:KWF020</t>
  </si>
  <si>
    <t>Holds - Europe:Holds - Europe - Kilter:KWF022</t>
  </si>
  <si>
    <t>Holds - Europe:Holds - Europe - Kilter:KWF026</t>
  </si>
  <si>
    <t>Holds - Europe:Holds - Europe - Kilter:KWF036</t>
  </si>
  <si>
    <t>Holds - Europe:Holds - Europe - Kilter:KWF015</t>
  </si>
  <si>
    <t>Holds - Europe:Holds - Europe - Kilter:KWF016</t>
  </si>
  <si>
    <t>Holds - Europe:Holds - Europe - Kilter:KWF029</t>
  </si>
  <si>
    <t>Holds - Europe:Holds - Europe - Kilter:KWF018-2</t>
  </si>
  <si>
    <t>Holds - Europe:Holds - Europe - Urban Plastix:UWF002</t>
  </si>
  <si>
    <t>K207</t>
  </si>
  <si>
    <t>Holds - Kilter:K207</t>
  </si>
  <si>
    <t>KHIP040 (Kit)</t>
  </si>
  <si>
    <t>KHIP040-1</t>
  </si>
  <si>
    <t>KHIP040-2</t>
  </si>
  <si>
    <t>KHIP040-3</t>
  </si>
  <si>
    <t>Holds - Haptic:Ian:KHIP040 (Kit)</t>
  </si>
  <si>
    <t>Holds - Haptic:Ian:KHIP040-1</t>
  </si>
  <si>
    <t>Holds - Haptic:Ian:KHIP040-2</t>
  </si>
  <si>
    <t>Holds - Haptic:Ian:KHIP040-3</t>
  </si>
  <si>
    <t>KHJH009</t>
  </si>
  <si>
    <t>Holds - Haptic:Jeremy:KHJH009</t>
  </si>
  <si>
    <t>KHJH010</t>
  </si>
  <si>
    <t>Holds - Haptic:Jeremy:KHJH010</t>
  </si>
  <si>
    <t>KHJH011</t>
  </si>
  <si>
    <t>Holds - Haptic:Jeremy:KHJH011</t>
  </si>
  <si>
    <t>KHJH012</t>
  </si>
  <si>
    <t>Holds - Haptic:Jeremy:KHJH012</t>
  </si>
  <si>
    <t>KHJH013</t>
  </si>
  <si>
    <t>Holds - Haptic:Jeremy:KHJH013</t>
  </si>
  <si>
    <t>KHJH014</t>
  </si>
  <si>
    <t>Holds - Haptic:Jeremy:KHJH014</t>
  </si>
  <si>
    <t>KHJH015</t>
  </si>
  <si>
    <t>Holds - Haptic:Jeremy:KHJH015</t>
  </si>
  <si>
    <t>KHJH016</t>
  </si>
  <si>
    <t>Holds - Haptic:Jeremy:KHJH016</t>
  </si>
  <si>
    <t>KHJH017</t>
  </si>
  <si>
    <t>Holds - Haptic:Jeremy:KHJH017</t>
  </si>
  <si>
    <t>UP148</t>
  </si>
  <si>
    <t>Holds - Urban Plastix:UP148</t>
  </si>
  <si>
    <t>UP146</t>
  </si>
  <si>
    <t>Holds - Urban Plastix:UP146</t>
  </si>
  <si>
    <t>UP147</t>
  </si>
  <si>
    <t>Holds - Urban Plastix:UP147</t>
  </si>
  <si>
    <t>UP155</t>
  </si>
  <si>
    <t>Holds - Urban Plastix:UP155</t>
  </si>
  <si>
    <t>UP156</t>
  </si>
  <si>
    <t>Holds - Urban Plastix:UP156</t>
  </si>
  <si>
    <t>UP157</t>
  </si>
  <si>
    <t>Holds - Urban Plastix:UP157</t>
  </si>
  <si>
    <t>K216</t>
  </si>
  <si>
    <t>Holds - Kilter:K216</t>
  </si>
  <si>
    <t>KU003</t>
  </si>
  <si>
    <t>K217</t>
  </si>
  <si>
    <t>Holds - Union:KU003</t>
  </si>
  <si>
    <t>UP158</t>
  </si>
  <si>
    <t>UP159</t>
  </si>
  <si>
    <t>Holds - Urban Plastix:UP158</t>
  </si>
  <si>
    <t>Holds - Urban Plastix:UP159</t>
  </si>
  <si>
    <t>UP160</t>
  </si>
  <si>
    <t>Holds - Urban Plastix:UP160</t>
  </si>
  <si>
    <t>UP162</t>
  </si>
  <si>
    <t>Holds - Urban Plastix:UP162</t>
  </si>
  <si>
    <t>UP163</t>
  </si>
  <si>
    <t>Holds - Urban Plastix:UP163</t>
  </si>
  <si>
    <t>Holds - Kilter:K217</t>
  </si>
  <si>
    <t>KHIP052</t>
  </si>
  <si>
    <t>KHIP053</t>
  </si>
  <si>
    <t>UP161</t>
  </si>
  <si>
    <t>Holds - Haptic:Ian:KHIP052</t>
  </si>
  <si>
    <t>Holds - Haptic:Ian:KHIP053</t>
  </si>
  <si>
    <t>Holds - Urban Plastix:UP161</t>
  </si>
  <si>
    <t>KX103</t>
  </si>
  <si>
    <t>Holds - Europe:Holds - Europe - Kilter:KX103</t>
  </si>
  <si>
    <t>KX104</t>
  </si>
  <si>
    <t>Holds - Europe:Holds - Europe - Kilter:KX104</t>
  </si>
  <si>
    <t>KX109</t>
  </si>
  <si>
    <t>Holds - Europe:Holds - Europe - Kilter:KX109</t>
  </si>
  <si>
    <t>Brushed Sandstone Large 4 - Incuts</t>
  </si>
  <si>
    <t>Sanstone 2XL Set 7 - Plated Sandstone Hueco</t>
  </si>
  <si>
    <t>Brushed Sandstone 2XL 5 - Rounded Incuts</t>
  </si>
  <si>
    <t>Peter Juhl Flo Kaiju 1-3 - Fins</t>
  </si>
  <si>
    <t>KXPJ004</t>
  </si>
  <si>
    <t>Holds - Europe:Holds - Europe - Kilter:Pete:KXPJ004</t>
  </si>
  <si>
    <t>KXST052</t>
  </si>
  <si>
    <t>Holds - Europe:Holds - Europe - Kilter:KXST052</t>
  </si>
  <si>
    <t>KXST061</t>
  </si>
  <si>
    <t>Holds - Europe:Holds - Europe - Kilter:KXST061</t>
  </si>
  <si>
    <t>K218</t>
  </si>
  <si>
    <t>K219</t>
  </si>
  <si>
    <t>K220</t>
  </si>
  <si>
    <t>K221</t>
  </si>
  <si>
    <t>Holds - Kilter:K218</t>
  </si>
  <si>
    <t>Holds - Kilter:K219</t>
  </si>
  <si>
    <t>Holds - Kilter:K220</t>
  </si>
  <si>
    <t>Holds - Kilter:K221</t>
  </si>
  <si>
    <t>KHJH018</t>
  </si>
  <si>
    <t>Holds - Haptic:Jeremy:KHJH018</t>
  </si>
  <si>
    <t>KXST051</t>
  </si>
  <si>
    <t>Smooth Tufa - End - Slopey Incut Fin</t>
  </si>
  <si>
    <t>KXST054</t>
  </si>
  <si>
    <t>KXST060</t>
  </si>
  <si>
    <t>Holds - Europe:Holds - Europe - Kilter:KXST051</t>
  </si>
  <si>
    <t>Holds - Europe:Holds - Europe - Kilter:KXST054</t>
  </si>
  <si>
    <t>Holds - Europe:Holds - Europe - Kilter:KXST060</t>
  </si>
  <si>
    <t>Brushed Sandstone Mega Jibs Set 7</t>
  </si>
  <si>
    <t>KX114</t>
  </si>
  <si>
    <t>KX110</t>
  </si>
  <si>
    <t>Holds - Europe:Holds - Europe - Kilter:KX110</t>
  </si>
  <si>
    <t>Holds - Europe:Holds - Europe - Kilter:KX114</t>
  </si>
  <si>
    <t>Brushed Sandstone 2XL 6 - Rounded Incuts</t>
  </si>
  <si>
    <t>Peter Juhl - Rok</t>
  </si>
  <si>
    <t>Peter Juhl Rok XL Set 1 - Plates</t>
  </si>
  <si>
    <t>KXPJ005</t>
  </si>
  <si>
    <t>Holds - Europe:Holds - Europe - Kilter:Pete:KXPJ005</t>
  </si>
  <si>
    <t>K225</t>
  </si>
  <si>
    <t>K226</t>
  </si>
  <si>
    <t>K223</t>
  </si>
  <si>
    <t>K224</t>
  </si>
  <si>
    <t>KHIP054</t>
  </si>
  <si>
    <t>K222</t>
  </si>
  <si>
    <t>Holds - Kilter:K222</t>
  </si>
  <si>
    <t>Holds - Kilter:K223</t>
  </si>
  <si>
    <t>Holds - Kilter:K224</t>
  </si>
  <si>
    <t>Holds - Kilter:K225</t>
  </si>
  <si>
    <t>Holds - Kilter:K226</t>
  </si>
  <si>
    <t>Holds - Haptic:Ian:KHIP054</t>
  </si>
  <si>
    <t>UP166</t>
  </si>
  <si>
    <t>UP167</t>
  </si>
  <si>
    <t>UP168</t>
  </si>
  <si>
    <t>UP164</t>
  </si>
  <si>
    <t>Holds - Urban Plastix:UP164</t>
  </si>
  <si>
    <t>UP165</t>
  </si>
  <si>
    <t>Holds - Urban Plastix:UP165</t>
  </si>
  <si>
    <t>Holds - Urban Plastix:UP166</t>
  </si>
  <si>
    <t>Holds - Urban Plastix:UP167</t>
  </si>
  <si>
    <t>Holds - Urban Plastix:UP168</t>
  </si>
  <si>
    <t>K223/226 (Kit)</t>
  </si>
  <si>
    <t>K224/225 (Kit)</t>
  </si>
  <si>
    <t>Brushed Sandstone Complex - Fat Incut Kaiju 9 and Blocker Jibs</t>
  </si>
  <si>
    <t>Brushed Sandstone Complex 2XL 4 - Blocky Edges</t>
  </si>
  <si>
    <t>KX107-1</t>
  </si>
  <si>
    <t>Holds - Europe:Holds - Europe - Kilter:KX107-1</t>
  </si>
  <si>
    <t>KHIP055</t>
  </si>
  <si>
    <t>K227</t>
  </si>
  <si>
    <t>Holds - Haptic:Ian:KHIP055</t>
  </si>
  <si>
    <t>Holds - Kilter:K227</t>
  </si>
  <si>
    <t>Brushed Sandstone 2XL 3 - Ribs</t>
  </si>
  <si>
    <t>KX105</t>
  </si>
  <si>
    <t>Brushed Sandstone XL 5 - Incut Ledges</t>
  </si>
  <si>
    <t>KX108</t>
  </si>
  <si>
    <t>Holds - Europe:Holds - Europe - Kilter:KX105</t>
  </si>
  <si>
    <t>Holds - Europe:Holds - Europe - Kilter:KX108</t>
  </si>
  <si>
    <t>Brushed Sandstone Mega Jibs Set 6 - Blockers</t>
  </si>
  <si>
    <t>KX113</t>
  </si>
  <si>
    <t>Holds - Europe:Holds - Europe - Kilter:KX113</t>
  </si>
  <si>
    <t>KXPJ006</t>
  </si>
  <si>
    <t>Holds - Europe:Holds - Europe - Kilter:Pete:KXPJ006</t>
  </si>
  <si>
    <t>KXPJ007</t>
  </si>
  <si>
    <t>Holds - Europe:Holds - Europe - Kilter:Pete:KXPJ007</t>
  </si>
  <si>
    <t>KXPJ008</t>
  </si>
  <si>
    <t>Holds - Europe:Holds - Europe - Kilter:Pete:KXPJ008</t>
  </si>
  <si>
    <t>KXPJ009</t>
  </si>
  <si>
    <t>Holds - Europe:Holds - Europe - Kilter:Pete:KXPJ009</t>
  </si>
  <si>
    <t>Peter Juhl Flo XS Set 1 - Smooth Horn Feet</t>
  </si>
  <si>
    <t>Peter Juhl Flo XS Set 2 - Slash Feet</t>
  </si>
  <si>
    <t>Peter Juhl Flo XS Set 3 - Cobbles Feet</t>
  </si>
  <si>
    <t>Peter Juhl Flo XS Set 4 - Slopey Disc Feet</t>
  </si>
  <si>
    <t>Reg XS 4 - Feet</t>
  </si>
  <si>
    <t>UPX065</t>
  </si>
  <si>
    <t>Stratos</t>
  </si>
  <si>
    <t>Stratos S1 - Feet</t>
  </si>
  <si>
    <t>UPX058</t>
  </si>
  <si>
    <t>Stratos S2 - Mini Jugs</t>
  </si>
  <si>
    <t>UPX059</t>
  </si>
  <si>
    <t>UPX060</t>
  </si>
  <si>
    <t>UPX061</t>
  </si>
  <si>
    <t>Stratos S3 - Pinches</t>
  </si>
  <si>
    <t>Holds - Europe:Holds - Europe - Urban Plastix:UPX061</t>
  </si>
  <si>
    <t>Holds - Europe:Holds - Europe - Urban Plastix:UPX065</t>
  </si>
  <si>
    <t>UPX057</t>
  </si>
  <si>
    <t>Holds - Europe:Holds - Europe - Urban Plastix:UPX057</t>
  </si>
  <si>
    <t>Holds - Europe:Holds - Europe - Urban Plastix:UPX058</t>
  </si>
  <si>
    <t>Holds - Europe:Holds - Europe - Urban Plastix:UPX059</t>
  </si>
  <si>
    <t>Holds - Europe:Holds - Europe - Urban Plastix:UPX060</t>
  </si>
  <si>
    <t>UP169</t>
  </si>
  <si>
    <t>Holds - Urban Plastix:UP169</t>
  </si>
  <si>
    <t>UP172</t>
  </si>
  <si>
    <t>UP173</t>
  </si>
  <si>
    <t>UP170</t>
  </si>
  <si>
    <t>Holds - Urban Plastix:UP170</t>
  </si>
  <si>
    <t>UP171</t>
  </si>
  <si>
    <t>Holds - Urban Plastix:UP171</t>
  </si>
  <si>
    <t>Holds - Urban Plastix:UP172</t>
  </si>
  <si>
    <t>Holds - Urban Plastix:UP173</t>
  </si>
  <si>
    <t>K228</t>
  </si>
  <si>
    <t>Holds - Kilter:K228</t>
  </si>
  <si>
    <t>K229</t>
  </si>
  <si>
    <t>Holds - Kilter:K229</t>
  </si>
  <si>
    <t>K230</t>
  </si>
  <si>
    <t>Holds - Kilter:K230</t>
  </si>
  <si>
    <t>K231</t>
  </si>
  <si>
    <t>Holds - Kilter:K231</t>
  </si>
  <si>
    <t>K232</t>
  </si>
  <si>
    <t>Holds - Kilter:K232</t>
  </si>
  <si>
    <t>K233</t>
  </si>
  <si>
    <t>Holds - Kilter:K233</t>
  </si>
  <si>
    <t>Link</t>
  </si>
  <si>
    <t>KHIP056</t>
  </si>
  <si>
    <t>Holds - Haptic:Ian:KHIP056</t>
  </si>
  <si>
    <t>KX101-2</t>
  </si>
  <si>
    <t>KX101-1</t>
  </si>
  <si>
    <t>Winter 2XL 1 - 60/30 Degree Jugs</t>
  </si>
  <si>
    <t>Winter 2XL 1 Kit - 60/30 Degree Jugs and Stacks</t>
  </si>
  <si>
    <t>KX101 (Kit)</t>
  </si>
  <si>
    <t>Winter Medium 1 - 60/30 Degree Stacks</t>
  </si>
  <si>
    <t>Winter Medium 1 Kit - 60/30 Degree Incuts and Stacks</t>
  </si>
  <si>
    <t>Winter Medium 1 - 60/30 Degree Incuts</t>
  </si>
  <si>
    <t>KX102 (Kit)</t>
  </si>
  <si>
    <t>KX102-1</t>
  </si>
  <si>
    <t>KX102-2</t>
  </si>
  <si>
    <t>Holds - Europe:Holds - Europe - Kilter:KX101-1</t>
  </si>
  <si>
    <t>Holds - Europe:Holds - Europe - Kilter:KX101-2</t>
  </si>
  <si>
    <t>Holds - Europe:Holds - Europe - Kilter:KX102-1</t>
  </si>
  <si>
    <t>Holds - Europe:Holds - Europe - Kilter:KX102-2</t>
  </si>
  <si>
    <t>Stratos M2 - Plate Edges</t>
  </si>
  <si>
    <t>Stratos M3 - Pinches</t>
  </si>
  <si>
    <t>UPX062</t>
  </si>
  <si>
    <t>Holds - Europe:Holds - Europe - Urban Plastix:UPX062</t>
  </si>
  <si>
    <t>UPX063</t>
  </si>
  <si>
    <t>Holds - Europe:Holds - Europe - Urban Plastix:UPX063</t>
  </si>
  <si>
    <t>UPX064</t>
  </si>
  <si>
    <t>Holds - Europe:Holds - Europe - Urban Plastix:UPX064</t>
  </si>
  <si>
    <t>Stratos XL 1 - Over Jugs</t>
  </si>
  <si>
    <t>Stratos XS 1 - Feet</t>
  </si>
  <si>
    <t>Reg XL 1 - Jugs</t>
  </si>
  <si>
    <t>Reg XL 2 - Jugs</t>
  </si>
  <si>
    <t>UP174</t>
  </si>
  <si>
    <t>Holds - Urban Plastix:UP174</t>
  </si>
  <si>
    <t>UP175</t>
  </si>
  <si>
    <t>Holds - Urban Plastix:UP175</t>
  </si>
  <si>
    <t>UP176</t>
  </si>
  <si>
    <t>Holds - Urban Plastix:UP176</t>
  </si>
  <si>
    <t>UP177</t>
  </si>
  <si>
    <t>UP178</t>
  </si>
  <si>
    <t>Holds - Urban Plastix:UP177</t>
  </si>
  <si>
    <t>Holds - Urban Plastix:UP178</t>
  </si>
  <si>
    <t>K234</t>
  </si>
  <si>
    <t>Holds - Kilter:K234</t>
  </si>
  <si>
    <t>UP182</t>
  </si>
  <si>
    <t>UP179</t>
  </si>
  <si>
    <t>UP183</t>
  </si>
  <si>
    <t>UP180</t>
  </si>
  <si>
    <t>UP181</t>
  </si>
  <si>
    <t>Holds - Urban Plastix:UP179</t>
  </si>
  <si>
    <t>Holds - Urban Plastix:UP180</t>
  </si>
  <si>
    <t>Holds - Urban Plastix:UP181</t>
  </si>
  <si>
    <t>Holds - Urban Plastix:UP182</t>
  </si>
  <si>
    <t>Holds - Urban Plastix:UP183</t>
  </si>
  <si>
    <t>UP184</t>
  </si>
  <si>
    <t>Holds - Urban Plastix:UP184</t>
  </si>
  <si>
    <t>UP185</t>
  </si>
  <si>
    <t>Holds - Urban Plastix:UP185</t>
  </si>
  <si>
    <t>UP186</t>
  </si>
  <si>
    <t>Holds - Urban Plastix:UP186</t>
  </si>
  <si>
    <t>UP187</t>
  </si>
  <si>
    <t>Holds - Urban Plastix:UP187</t>
  </si>
  <si>
    <t>KHJW016 (Kit)</t>
  </si>
  <si>
    <t>K235</t>
  </si>
  <si>
    <t>K236</t>
  </si>
  <si>
    <t>KHIP057</t>
  </si>
  <si>
    <t>KHIP058</t>
  </si>
  <si>
    <t>KHIP059</t>
  </si>
  <si>
    <t>Holds - Kilter:K235</t>
  </si>
  <si>
    <t>Holds - Kilter:K236</t>
  </si>
  <si>
    <t>Holds - Haptic:Ian:KHIP057</t>
  </si>
  <si>
    <t>Holds - Haptic:Ian:KHIP058</t>
  </si>
  <si>
    <t>Holds - Haptic:Ian:KHIP059</t>
  </si>
  <si>
    <t>KHJW016-1</t>
  </si>
  <si>
    <t>KHJW016-2</t>
  </si>
  <si>
    <t>KHJW016-3</t>
  </si>
  <si>
    <t>Holds - Haptic:Jimmy:KHJW016 (Kit)</t>
  </si>
  <si>
    <t>Holds - Haptic:Jimmy:KHJW016-1</t>
  </si>
  <si>
    <t>Holds - Haptic:Jimmy:KHJW016-2</t>
  </si>
  <si>
    <t>Holds - Haptic:Jimmy:KHJW016-3</t>
  </si>
  <si>
    <t>UP188</t>
  </si>
  <si>
    <t>Holds - Urban Plastix:UP188</t>
  </si>
  <si>
    <t>UP189</t>
  </si>
  <si>
    <t>Holds - Urban Plastix:UP189</t>
  </si>
  <si>
    <t>UP190</t>
  </si>
  <si>
    <t>Holds - Urban Plastix:UP190</t>
  </si>
  <si>
    <t>UP191</t>
  </si>
  <si>
    <t>Holds - Urban Plastix:UP191</t>
  </si>
  <si>
    <t>UP192</t>
  </si>
  <si>
    <t>Holds - Urban Plastix:UP192</t>
  </si>
  <si>
    <t>UP193</t>
  </si>
  <si>
    <t>Holds - Urban Plastix:UP193</t>
  </si>
  <si>
    <t>KHAR01</t>
  </si>
  <si>
    <t>K238</t>
  </si>
  <si>
    <t>K237</t>
  </si>
  <si>
    <t>Holds - Kilter:K237</t>
  </si>
  <si>
    <t>Holds - Kilter:K238</t>
  </si>
  <si>
    <t>KHAR02</t>
  </si>
  <si>
    <t>UP194</t>
  </si>
  <si>
    <t>Holds - Urban Plastix:UP194</t>
  </si>
  <si>
    <t>UP195</t>
  </si>
  <si>
    <t>Holds - Urban Plastix:UP195</t>
  </si>
  <si>
    <t>UP196</t>
  </si>
  <si>
    <t>Holds - Urban Plastix:UP196</t>
  </si>
  <si>
    <t>UP197</t>
  </si>
  <si>
    <t>Holds - Urban Plastix:UP197</t>
  </si>
  <si>
    <t>UP198</t>
  </si>
  <si>
    <t>Holds - Urban Plastix:UP198</t>
  </si>
  <si>
    <t>UP199</t>
  </si>
  <si>
    <t>Holds - Urban Plastix:UP199</t>
  </si>
  <si>
    <t>US Sales: Kiel Mahar - 720.456.0543</t>
  </si>
  <si>
    <t>K239</t>
  </si>
  <si>
    <t>Holds - Kilter:K239</t>
  </si>
  <si>
    <t>K240</t>
  </si>
  <si>
    <t>Holds - Kilter:K240</t>
  </si>
  <si>
    <t>K241</t>
  </si>
  <si>
    <t>Holds - Kilter:K241</t>
  </si>
  <si>
    <t>K242</t>
  </si>
  <si>
    <t>Holds - Kilter:K242</t>
  </si>
  <si>
    <t>K243</t>
  </si>
  <si>
    <t>Holds - Kilter:K243</t>
  </si>
  <si>
    <t>K244</t>
  </si>
  <si>
    <t>Holds - Kilter:K244</t>
  </si>
  <si>
    <t>K245</t>
  </si>
  <si>
    <t>Holds - Kilter:K245</t>
  </si>
  <si>
    <t>K246</t>
  </si>
  <si>
    <t>Holds - Kilter:K246</t>
  </si>
  <si>
    <t>K247</t>
  </si>
  <si>
    <t>Holds - Kilter:K247</t>
  </si>
  <si>
    <t>K248</t>
  </si>
  <si>
    <t>Holds - Kilter:K248</t>
  </si>
  <si>
    <t>UP200</t>
  </si>
  <si>
    <t>Holds - Urban Plastix:UP200</t>
  </si>
  <si>
    <t>UP201</t>
  </si>
  <si>
    <t>Holds - Urban Plastix:UP201</t>
  </si>
  <si>
    <t>UP202</t>
  </si>
  <si>
    <t>Holds - Urban Plastix:UP202</t>
  </si>
  <si>
    <t>UP203</t>
  </si>
  <si>
    <t>Holds - Urban Plastix:UP203</t>
  </si>
  <si>
    <t>UP207</t>
  </si>
  <si>
    <t>UP208</t>
  </si>
  <si>
    <t>UP209</t>
  </si>
  <si>
    <t>UP210</t>
  </si>
  <si>
    <t>UP204</t>
  </si>
  <si>
    <t>Holds - Urban Plastix:UP204</t>
  </si>
  <si>
    <t>UP205</t>
  </si>
  <si>
    <t>Holds - Urban Plastix:UP205</t>
  </si>
  <si>
    <t>UP206</t>
  </si>
  <si>
    <t>Holds - Urban Plastix:UP206</t>
  </si>
  <si>
    <t>Holds - Urban Plastix:UP207</t>
  </si>
  <si>
    <t>Holds - Urban Plastix:UP208</t>
  </si>
  <si>
    <t>Holds - Urban Plastix:UP209</t>
  </si>
  <si>
    <t>Holds - Urban Plastix:UP210</t>
  </si>
  <si>
    <t>K249</t>
  </si>
  <si>
    <t>K250</t>
  </si>
  <si>
    <t>K252</t>
  </si>
  <si>
    <t>K251</t>
  </si>
  <si>
    <t>Holds - Kilter:K249</t>
  </si>
  <si>
    <t>Holds - Kilter:K250</t>
  </si>
  <si>
    <t>Holds - Kilter:K251</t>
  </si>
  <si>
    <t>Holds - Kilter:K252</t>
  </si>
  <si>
    <t>KHIP060</t>
  </si>
  <si>
    <t>KHIP061</t>
  </si>
  <si>
    <t>KHIP062</t>
  </si>
  <si>
    <t>KHIP063</t>
  </si>
  <si>
    <t>KHIP064</t>
  </si>
  <si>
    <t>KHIP065</t>
  </si>
  <si>
    <t>KHIP066</t>
  </si>
  <si>
    <t>KHIP067</t>
  </si>
  <si>
    <t>Holds - Haptic:Ian:KHIP060</t>
  </si>
  <si>
    <t>Holds - Haptic:Ian:KHIP061</t>
  </si>
  <si>
    <t>Holds - Haptic:Ian:KHIP062</t>
  </si>
  <si>
    <t>Holds - Haptic:Ian:KHIP063</t>
  </si>
  <si>
    <t>Holds - Haptic:Ian:KHIP064</t>
  </si>
  <si>
    <t>Holds - Haptic:Ian:KHIP065</t>
  </si>
  <si>
    <t>Holds - Haptic:Ian:KHIP066</t>
  </si>
  <si>
    <t>Holds - Haptic:Ian:KHIP067</t>
  </si>
  <si>
    <t>UP212</t>
  </si>
  <si>
    <t>UP211</t>
  </si>
  <si>
    <t>UP213</t>
  </si>
  <si>
    <t>UP214</t>
  </si>
  <si>
    <t>UP215</t>
  </si>
  <si>
    <t>UP216</t>
  </si>
  <si>
    <t>UP217</t>
  </si>
  <si>
    <t>UP218</t>
  </si>
  <si>
    <t>UP219</t>
  </si>
  <si>
    <t>UP220</t>
  </si>
  <si>
    <t>Holds - Urban Plastix:UP211</t>
  </si>
  <si>
    <t>Holds - Urban Plastix:UP212</t>
  </si>
  <si>
    <t>Holds - Urban Plastix:UP213</t>
  </si>
  <si>
    <t>Holds - Urban Plastix:UP214</t>
  </si>
  <si>
    <t>Holds - Urban Plastix:UP215</t>
  </si>
  <si>
    <t>Holds - Urban Plastix:UP216</t>
  </si>
  <si>
    <t>Holds - Urban Plastix:UP217</t>
  </si>
  <si>
    <t>Holds - Urban Plastix:UP218</t>
  </si>
  <si>
    <t>Holds - Urban Plastix:UP219</t>
  </si>
  <si>
    <t>Holds - Urban Plastix:UP220</t>
  </si>
  <si>
    <t>KHPJ025</t>
  </si>
  <si>
    <t>Holds - Haptic:Pete:KHPJ025</t>
  </si>
  <si>
    <t>KX129</t>
  </si>
  <si>
    <t>Noah XL 12 - Pinches</t>
  </si>
  <si>
    <t>Holds - Europe:Holds - Europe - Kilter:KX129</t>
  </si>
  <si>
    <t>KX135</t>
  </si>
  <si>
    <t>Holds - Europe:Holds - Europe - Kilter:KX135</t>
  </si>
  <si>
    <t>KX136</t>
  </si>
  <si>
    <t>Holds - Europe:Holds - Europe - Kilter:KX136</t>
  </si>
  <si>
    <t>Winter Large 2 - 90 Degree Stacks</t>
  </si>
  <si>
    <t>Winter Large 3 - Slopey Stacks</t>
  </si>
  <si>
    <t>Reg XS 6 - Scoop Feet</t>
  </si>
  <si>
    <t>UPX066</t>
  </si>
  <si>
    <t>Reg XL 5 - Jugs</t>
  </si>
  <si>
    <t>UPX87</t>
  </si>
  <si>
    <t>Stratos L5 - Edges</t>
  </si>
  <si>
    <t>UPX80</t>
  </si>
  <si>
    <t>Holds - Europe:Holds - Europe - Urban Plastix:UPX066</t>
  </si>
  <si>
    <t>Holds - Europe:Holds - Europe - Urban Plastix:UPX80</t>
  </si>
  <si>
    <t>Holds - Europe:Holds - Europe - Urban Plastix:UPX87</t>
  </si>
  <si>
    <t>K253</t>
  </si>
  <si>
    <t>Holds - Kilter:K253</t>
  </si>
  <si>
    <t>K254</t>
  </si>
  <si>
    <t>Holds - Kilter:K254</t>
  </si>
  <si>
    <t>K255</t>
  </si>
  <si>
    <t>Holds - Kilter:K255</t>
  </si>
  <si>
    <t>Sandstone XS 1 - Crimps and Edges</t>
  </si>
  <si>
    <t>KX123</t>
  </si>
  <si>
    <t>KX115-1</t>
  </si>
  <si>
    <t>Holds - Europe:Holds - Europe - Kilter:KX115-1</t>
  </si>
  <si>
    <t>KX115-2</t>
  </si>
  <si>
    <t>Holds - Europe:Holds - Europe - Kilter:KX115-2</t>
  </si>
  <si>
    <t>KX116</t>
  </si>
  <si>
    <t>Holds - Europe:Holds - Europe - Kilter:KX116</t>
  </si>
  <si>
    <t>KX117</t>
  </si>
  <si>
    <t>Holds - Europe:Holds - Europe - Kilter:KX117</t>
  </si>
  <si>
    <t>KX118</t>
  </si>
  <si>
    <t>Holds - Europe:Holds - Europe - Kilter:KX118</t>
  </si>
  <si>
    <t>KX119</t>
  </si>
  <si>
    <t>Holds - Europe:Holds - Europe - Kilter:KX119</t>
  </si>
  <si>
    <t>KX120</t>
  </si>
  <si>
    <t>Holds - Europe:Holds - Europe - Kilter:KX120</t>
  </si>
  <si>
    <t>KX121</t>
  </si>
  <si>
    <t>Holds - Europe:Holds - Europe - Kilter:KX121</t>
  </si>
  <si>
    <t>KX122</t>
  </si>
  <si>
    <t>Holds - Europe:Holds - Europe - Kilter:KX122</t>
  </si>
  <si>
    <t>Holds - Europe:Holds - Europe - Kilter:KX123</t>
  </si>
  <si>
    <t>KX124</t>
  </si>
  <si>
    <t>Holds - Europe:Holds - Europe - Kilter:KX124</t>
  </si>
  <si>
    <t>KX125</t>
  </si>
  <si>
    <t>Holds - Europe:Holds - Europe - Kilter:KX125</t>
  </si>
  <si>
    <t>KX126</t>
  </si>
  <si>
    <t>Holds - Europe:Holds - Europe - Kilter:KX126</t>
  </si>
  <si>
    <t>KX127</t>
  </si>
  <si>
    <t>Holds - Europe:Holds - Europe - Kilter:KX127</t>
  </si>
  <si>
    <t>KX128</t>
  </si>
  <si>
    <t>Holds - Europe:Holds - Europe - Kilter:KX128</t>
  </si>
  <si>
    <t>Noah Large 3 - Jugs</t>
  </si>
  <si>
    <t>Noah Medium 3 - Jugs</t>
  </si>
  <si>
    <t>Brushed Sandstone Small 2 - Crimps and Edges</t>
  </si>
  <si>
    <t>Sandstone XS 2 - Slopers/Feet</t>
  </si>
  <si>
    <t>Noah Large 4 - Pinches</t>
  </si>
  <si>
    <t>Noah XL 11 - Slopey Pinches</t>
  </si>
  <si>
    <t>Brushed Sandstone Large 5 - Pinches</t>
  </si>
  <si>
    <t>KX130</t>
  </si>
  <si>
    <t>Brushed Sandstone Kaiju 15-16 - Dishes</t>
  </si>
  <si>
    <t>KX133</t>
  </si>
  <si>
    <t>Holds - Europe:Holds - Europe - Kilter:KX130</t>
  </si>
  <si>
    <t>KX131</t>
  </si>
  <si>
    <t>Holds - Europe:Holds - Europe - Kilter:KX131</t>
  </si>
  <si>
    <t>KX132</t>
  </si>
  <si>
    <t>Holds - Europe:Holds - Europe - Kilter:KX132</t>
  </si>
  <si>
    <t>Holds - Europe:Holds - Europe - Kilter:KX133</t>
  </si>
  <si>
    <t>KX134</t>
  </si>
  <si>
    <t>Holds - Europe:Holds - Europe - Kilter:KX134</t>
  </si>
  <si>
    <t>KX137</t>
  </si>
  <si>
    <t>Holds - Europe:Holds - Europe - Kilter:KX137</t>
  </si>
  <si>
    <t>KX138</t>
  </si>
  <si>
    <t>Holds - Europe:Holds - Europe - Kilter:KX138</t>
  </si>
  <si>
    <t>Winter Medium 2 - Jugs</t>
  </si>
  <si>
    <t>Winter Large 4 - Slopier Stacks</t>
  </si>
  <si>
    <t>Brushed Sandstone XL 6 - Jugs</t>
  </si>
  <si>
    <t>Brushed Sandstone Jibs Set 12 - Complex Blockers</t>
  </si>
  <si>
    <t>KX115 (Kit)</t>
  </si>
  <si>
    <t>Sandstone XS 3 - Blocky and Slopey Edges/Feet</t>
  </si>
  <si>
    <t>Brushed Sandstone 2XL 8 - Ledges</t>
  </si>
  <si>
    <t>Font Volume Stacks XL Set 2 - 30 degrees Huecos</t>
  </si>
  <si>
    <t>KX193</t>
  </si>
  <si>
    <t>Holds - Europe:Holds - Europe - Kilter:KX193</t>
  </si>
  <si>
    <t>KXPJ011</t>
  </si>
  <si>
    <t>Holds - Europe:Holds - Europe - Kilter:Pete:KXPJ011</t>
  </si>
  <si>
    <t>Peter Juhl - Geo Complex</t>
  </si>
  <si>
    <t>Geo Complex Large 1 - Jugs</t>
  </si>
  <si>
    <t>Stratos 	2XL 3 - 2 Piece-Plate Edges</t>
  </si>
  <si>
    <t>UPX67</t>
  </si>
  <si>
    <t>Holds - Europe:Holds - Europe - Urban Plastix:UPX67</t>
  </si>
  <si>
    <t>UPX72</t>
  </si>
  <si>
    <t>UPX68</t>
  </si>
  <si>
    <t>Holds - Europe:Holds - Europe - Urban Plastix:UPX68</t>
  </si>
  <si>
    <t>Holds - Europe:Holds - Europe - Urban Plastix:UPX72</t>
  </si>
  <si>
    <t>UPX73</t>
  </si>
  <si>
    <t>Holds - Europe:Holds - Europe - Urban Plastix:UPX73</t>
  </si>
  <si>
    <t>UPX74</t>
  </si>
  <si>
    <t>Holds - Europe:Holds - Europe - Urban Plastix:UPX74</t>
  </si>
  <si>
    <t>UPX75</t>
  </si>
  <si>
    <t>Holds - Europe:Holds - Europe - Urban Plastix:UPX75</t>
  </si>
  <si>
    <t>Reg 	Jibs 1 - 5 Long Medium Rails</t>
  </si>
  <si>
    <t>Reg 	Jibs Jibs 2 - 12 Small Rails</t>
  </si>
  <si>
    <t>Reg 	Jibs Jibs 3 - 11 XS Slopey Geo</t>
  </si>
  <si>
    <t>Reg 	Jibs 4 - XXS Slopey Cobbles</t>
  </si>
  <si>
    <t>UPX81</t>
  </si>
  <si>
    <t>Holds - Europe:Holds - Europe - Urban Plastix:UPX81</t>
  </si>
  <si>
    <t>Reg 	L4 - Puffy Incuts</t>
  </si>
  <si>
    <t>Ditches L5 - Slot Edges</t>
  </si>
  <si>
    <t>UPX83</t>
  </si>
  <si>
    <t>UPX82</t>
  </si>
  <si>
    <t>Holds - Europe:Holds - Europe - Urban Plastix:UPX82</t>
  </si>
  <si>
    <t>Holds - Europe:Holds - Europe - Urban Plastix:UPX83</t>
  </si>
  <si>
    <t>UPX84</t>
  </si>
  <si>
    <t>Holds - Europe:Holds - Europe - Urban Plastix:UPX84</t>
  </si>
  <si>
    <t>UPX85</t>
  </si>
  <si>
    <t>Holds - Europe:Holds - Europe - Urban Plastix:UPX85</t>
  </si>
  <si>
    <t>UPX86</t>
  </si>
  <si>
    <t>Holds - Europe:Holds - Europe - Urban Plastix:UPX86</t>
  </si>
  <si>
    <t>Reg M4 - Mini Jugs</t>
  </si>
  <si>
    <t>Ditches M6 - Two Finger Dishes</t>
  </si>
  <si>
    <t>Reg M12 - 1.25 Pad Edges</t>
  </si>
  <si>
    <t>UPX69</t>
  </si>
  <si>
    <t>Holds - Europe:Holds - Europe - Urban Plastix:UPX69</t>
  </si>
  <si>
    <t>Reg M13 - 1 Pad Puffy Incut Edges</t>
  </si>
  <si>
    <t>UPX70</t>
  </si>
  <si>
    <t>Reg XL 3 - Puffy Incut Edges</t>
  </si>
  <si>
    <t>UPX76</t>
  </si>
  <si>
    <t>Holds - Europe:Holds - Europe - Urban Plastix:UPX70</t>
  </si>
  <si>
    <t>UPX71</t>
  </si>
  <si>
    <t>Holds - Europe:Holds - Europe - Urban Plastix:UPX71</t>
  </si>
  <si>
    <t>Holds - Europe:Holds - Europe - Urban Plastix:UPX76</t>
  </si>
  <si>
    <t>UPX77</t>
  </si>
  <si>
    <t>Holds - Europe:Holds - Europe - Urban Plastix:UPX77</t>
  </si>
  <si>
    <t>UPX78</t>
  </si>
  <si>
    <t>Holds - Europe:Holds - Europe - Urban Plastix:UPX78</t>
  </si>
  <si>
    <t>UPX79</t>
  </si>
  <si>
    <t>Holds - Europe:Holds - Europe - Urban Plastix:UPX79</t>
  </si>
  <si>
    <t>Reg XL 4 - Puffy Incut Edges</t>
  </si>
  <si>
    <t xml:space="preserve">	Stratos XL 5 - Pinches</t>
  </si>
  <si>
    <t xml:space="preserve">	Stratos XL 6 - Edges</t>
  </si>
  <si>
    <t>Reg 	XS 7 - Incut Feet</t>
  </si>
  <si>
    <t>Ditches L6 - Slot Edges</t>
  </si>
  <si>
    <t>Reg XL 6 - Puffy Incuts</t>
  </si>
  <si>
    <t>UPX88</t>
  </si>
  <si>
    <t>Holds - Europe:Holds - Europe - Urban Plastix:UPX88</t>
  </si>
  <si>
    <t>Total Weight</t>
  </si>
  <si>
    <t>LBS</t>
  </si>
  <si>
    <t>UP223</t>
  </si>
  <si>
    <t>UP221</t>
  </si>
  <si>
    <t>Holds - Urban Plastix:UP221</t>
  </si>
  <si>
    <t>UP222</t>
  </si>
  <si>
    <t>Holds - Urban Plastix:UP222</t>
  </si>
  <si>
    <t>Holds - Urban Plastix:UP223</t>
  </si>
  <si>
    <t>KHIP068</t>
  </si>
  <si>
    <t>Holds - Haptic:Ian:KHIP068</t>
  </si>
  <si>
    <t>KHIP069</t>
  </si>
  <si>
    <t>Holds - Haptic:Ian:KHIP069</t>
  </si>
  <si>
    <t>KHIP070</t>
  </si>
  <si>
    <t>Holds - Haptic:Ian:KHIP070</t>
  </si>
  <si>
    <t>dual tex</t>
  </si>
  <si>
    <t>KHJW017</t>
  </si>
  <si>
    <t>Holds - Haptic:Jimmy:KHJW017</t>
  </si>
  <si>
    <t>KHJW018</t>
  </si>
  <si>
    <t>Holds - Haptic:Jimmy:KHJW018</t>
  </si>
  <si>
    <t>Brushed Sandstone Large 6 - Incut Edges</t>
  </si>
  <si>
    <t>Brushed Sandstone 2XL 7 - Incut Ledges</t>
  </si>
  <si>
    <t>KHJW019</t>
  </si>
  <si>
    <t>KU010</t>
  </si>
  <si>
    <t>Holds - Union:KU010</t>
  </si>
  <si>
    <t>KU011</t>
  </si>
  <si>
    <t>Holds - Union:KU011</t>
  </si>
  <si>
    <t>UP224</t>
  </si>
  <si>
    <t>Holds - Urban Plastix:UP224</t>
  </si>
  <si>
    <t>KHIP071</t>
  </si>
  <si>
    <t>Holds - Haptic:Ian:KHIP071</t>
  </si>
  <si>
    <t>UP225</t>
  </si>
  <si>
    <t>Holds - Urban Plastix:UP225</t>
  </si>
  <si>
    <t>UP226</t>
  </si>
  <si>
    <t>Holds - Urban Plastix:UP226</t>
  </si>
  <si>
    <t>UP227</t>
  </si>
  <si>
    <t>Holds - Urban Plastix:UP227</t>
  </si>
  <si>
    <t>Holds - Haptic:Jimmy:KHJW019</t>
  </si>
  <si>
    <t>KHIP072</t>
  </si>
  <si>
    <t>Holds - Haptic:Ian:KHIP072</t>
  </si>
  <si>
    <t>K256</t>
  </si>
  <si>
    <t>Holds - Kilter:K256</t>
  </si>
  <si>
    <t>UP228</t>
  </si>
  <si>
    <t>Holds - Urban Plastix:UP228</t>
  </si>
  <si>
    <t>UP229</t>
  </si>
  <si>
    <t>Holds - Urban Plastix:UP229</t>
  </si>
  <si>
    <t>UP230</t>
  </si>
  <si>
    <t>Holds - Urban Plastix:UP230</t>
  </si>
  <si>
    <t>UP231</t>
  </si>
  <si>
    <t>Holds - Urban Plastix:UP231</t>
  </si>
  <si>
    <t>UP232</t>
  </si>
  <si>
    <t>Holds - Urban Plastix:UP232</t>
  </si>
  <si>
    <t>UP233</t>
  </si>
  <si>
    <t>Holds - Urban Plastix:UP233</t>
  </si>
  <si>
    <t>UP234</t>
  </si>
  <si>
    <t>Holds - Urban Plastix:UP234</t>
  </si>
  <si>
    <t>UP235</t>
  </si>
  <si>
    <t>Holds - Urban Plastix:UP235</t>
  </si>
  <si>
    <t>UP236</t>
  </si>
  <si>
    <t>Holds - Urban Plastix:UP236</t>
  </si>
  <si>
    <t>UP237</t>
  </si>
  <si>
    <t>Holds - Urban Plastix:UP237</t>
  </si>
  <si>
    <t>UP238</t>
  </si>
  <si>
    <t>Holds - Urban Plastix:UP238</t>
  </si>
  <si>
    <t>UP239</t>
  </si>
  <si>
    <t>Holds - Urban Plastix:UP239</t>
  </si>
  <si>
    <t>UP240</t>
  </si>
  <si>
    <t>Holds - Urban Plastix:UP240</t>
  </si>
  <si>
    <t>UP241</t>
  </si>
  <si>
    <t>Holds - Urban Plastix:UP241</t>
  </si>
  <si>
    <t>UP242</t>
  </si>
  <si>
    <t>Holds - Urban Plastix:UP242</t>
  </si>
  <si>
    <t>UP243</t>
  </si>
  <si>
    <t>Holds - Urban Plastix:UP243</t>
  </si>
  <si>
    <t>KHIP033-3</t>
  </si>
  <si>
    <t>Holds - Haptic:Ian:KHIP033-3</t>
  </si>
  <si>
    <t>Brushed Sandstone Jibs Set 12 Kit - Complex Blockers</t>
  </si>
  <si>
    <t>Noah Medium 2 - Jugs</t>
  </si>
  <si>
    <t>Brushed Sandstone Medium 3 - Mini Jugs</t>
  </si>
  <si>
    <t>Brushed Sandstone Small 3 - Incuts</t>
  </si>
  <si>
    <t>Brushed Sandstone Medium 4 - Edges and Pinches</t>
  </si>
  <si>
    <t>Noah XS 7 - Small Ears</t>
  </si>
  <si>
    <t>KX144</t>
  </si>
  <si>
    <t>KX139</t>
  </si>
  <si>
    <t>Holds - Europe:Holds - Europe - Kilter:KX139</t>
  </si>
  <si>
    <t>KX140</t>
  </si>
  <si>
    <t>Holds - Europe:Holds - Europe - Kilter:KX140</t>
  </si>
  <si>
    <t>KX141</t>
  </si>
  <si>
    <t>Holds - Europe:Holds - Europe - Kilter:KX141</t>
  </si>
  <si>
    <t>KX142</t>
  </si>
  <si>
    <t>Holds - Europe:Holds - Europe - Kilter:KX142</t>
  </si>
  <si>
    <t>KX143</t>
  </si>
  <si>
    <t>Holds - Europe:Holds - Europe - Kilter:KX143</t>
  </si>
  <si>
    <t>Holds - Europe:Holds - Europe - Kilter:KX144</t>
  </si>
  <si>
    <t>KX145</t>
  </si>
  <si>
    <t>Holds - Europe:Holds - Europe - Kilter:KX145</t>
  </si>
  <si>
    <t>KX146</t>
  </si>
  <si>
    <t>Holds - Europe:Holds - Europe - Kilter:KX146</t>
  </si>
  <si>
    <t>KX147</t>
  </si>
  <si>
    <t>Holds - Europe:Holds - Europe - Kilter:KX147</t>
  </si>
  <si>
    <t>KX148</t>
  </si>
  <si>
    <t>Holds - Europe:Holds - Europe - Kilter:KX148</t>
  </si>
  <si>
    <t>KX149</t>
  </si>
  <si>
    <t>Holds - Europe:Holds - Europe - Kilter:KX149</t>
  </si>
  <si>
    <t>KX150</t>
  </si>
  <si>
    <t>Holds - Europe:Holds - Europe - Kilter:KX150</t>
  </si>
  <si>
    <t>KX153</t>
  </si>
  <si>
    <t>Holds - Europe:Holds - Europe - Kilter:KX153</t>
  </si>
  <si>
    <t>KX154</t>
  </si>
  <si>
    <t>Holds - Europe:Holds - Europe - Kilter:KX154</t>
  </si>
  <si>
    <t>KX155</t>
  </si>
  <si>
    <t>Holds - Europe:Holds - Europe - Kilter:KX155</t>
  </si>
  <si>
    <t>KX169</t>
  </si>
  <si>
    <t>Holds - Europe:Holds - Europe - Kilter:KX169</t>
  </si>
  <si>
    <t>KX173</t>
  </si>
  <si>
    <t>Holds - Europe:Holds - Europe - Kilter:KX173</t>
  </si>
  <si>
    <t>Noah Small 5 - Incut Ears</t>
  </si>
  <si>
    <t>Noah Small 6 - Incut Ears</t>
  </si>
  <si>
    <t>Noah Small 7 - Incut Ears</t>
  </si>
  <si>
    <t>Winter Small 10 - Jugs</t>
  </si>
  <si>
    <t>Brushed Sandstone XS 4 - Slopey Feet</t>
  </si>
  <si>
    <t>Brushed Sandstone XL 8 - Slopers</t>
  </si>
  <si>
    <t>Brushed Sandstone XL 9 - Ribs</t>
  </si>
  <si>
    <t>Noah Medium 4 - Jugs</t>
  </si>
  <si>
    <t>Brushed Sandstone Kaiju 17-18 - Big Fins</t>
  </si>
  <si>
    <t>KX174</t>
  </si>
  <si>
    <t>Holds - Europe:Holds - Europe - Kilter:KX174</t>
  </si>
  <si>
    <t>Brushed Sandstone Kaiju 22-23 - Slopers</t>
  </si>
  <si>
    <t>Smooth Tufa - End - Teagan Knob</t>
  </si>
  <si>
    <t>KXST021</t>
  </si>
  <si>
    <t>Holds - Europe:Holds - Europe - Kilter:KXST021</t>
  </si>
  <si>
    <t>UP244</t>
  </si>
  <si>
    <t>UP246</t>
  </si>
  <si>
    <t>Holds - Urban Plastix:UP244</t>
  </si>
  <si>
    <t>UP245</t>
  </si>
  <si>
    <t>Holds - Urban Plastix:UP245</t>
  </si>
  <si>
    <t>Holds - Urban Plastix:UP246</t>
  </si>
  <si>
    <t>Brushed Sandstone XL 7 - Mixed Incuts</t>
  </si>
  <si>
    <t>KX152</t>
  </si>
  <si>
    <t>Brushed Sandstone Mega Jibs Set 8 - Ribs</t>
  </si>
  <si>
    <t>Holds - Europe:Holds - Europe - Kilter:KX152</t>
  </si>
  <si>
    <t>Brushed Sandstone Small 7 - Incuts</t>
  </si>
  <si>
    <t>Brushed Sandstone Small 4 - Edges</t>
  </si>
  <si>
    <t>Brushed Sandstone Small 5 - Edges</t>
  </si>
  <si>
    <t>KX161</t>
  </si>
  <si>
    <t>Brushed Sandstone Small 8 - Mixed Edges and Pinches</t>
  </si>
  <si>
    <t>KX162</t>
  </si>
  <si>
    <t>2022 Q4 NEW SETS HIGHLIGHTED BELOW</t>
  </si>
  <si>
    <t>2023 Q1 NEW SETS HIGHLIGHTED BELOW</t>
  </si>
  <si>
    <t>Brushed Sandstone Kaiju 19-20 - Jugs</t>
  </si>
  <si>
    <t>KX170</t>
  </si>
  <si>
    <t>Brushed Sandstone Kaiju 20-21 - Incuts</t>
  </si>
  <si>
    <t>KX171</t>
  </si>
  <si>
    <t>Granite Medium 10 - Jugs</t>
  </si>
  <si>
    <t>KX157</t>
  </si>
  <si>
    <t>Holds - Europe:Holds - Europe - Kilter:KX157</t>
  </si>
  <si>
    <t>Holds - Europe:Holds - Europe - Kilter:KX170</t>
  </si>
  <si>
    <t>Holds - Europe:Holds - Europe - Kilter:KX171</t>
  </si>
  <si>
    <t>Ditches S1 - Pinches</t>
  </si>
  <si>
    <t>UPX99</t>
  </si>
  <si>
    <t>Reg XS 8 - Incut Bump Feet</t>
  </si>
  <si>
    <t>Reg XS 9 - Slopey Bump Feet</t>
  </si>
  <si>
    <t>UPX100</t>
  </si>
  <si>
    <t>Holds - Europe:Holds - Europe - Urban Plastix:UPX99</t>
  </si>
  <si>
    <t>Holds - Europe:Holds - Europe - Urban Plastix:UPX100</t>
  </si>
  <si>
    <t>KX175</t>
  </si>
  <si>
    <t>Holds - Europe:Holds - Europe - Kilter:KX175</t>
  </si>
  <si>
    <t>Winter Medium 3 - Jugs</t>
  </si>
  <si>
    <t>KX160</t>
  </si>
  <si>
    <t>Holds - Europe:Holds - Europe - Kilter:KX160</t>
  </si>
  <si>
    <t>Holds - Kilter:KHAR01</t>
  </si>
  <si>
    <t>Holds - Kilter:KHAR02</t>
  </si>
  <si>
    <t xml:space="preserve">	Noah XS 5 - Small Incut Ears</t>
  </si>
  <si>
    <t xml:space="preserve">	Noah XS 6 - Small Incut Ears</t>
  </si>
  <si>
    <t>UP247</t>
  </si>
  <si>
    <t>Holds - Urban Plastix:UP247</t>
  </si>
  <si>
    <t>UP248</t>
  </si>
  <si>
    <t>Holds - Urban Plastix:UP248</t>
  </si>
  <si>
    <t>UP249</t>
  </si>
  <si>
    <t>Holds - Urban Plastix:UP249</t>
  </si>
  <si>
    <t>UP250</t>
  </si>
  <si>
    <t>Holds - Urban Plastix:UP250</t>
  </si>
  <si>
    <t>UP251</t>
  </si>
  <si>
    <t>Holds - Urban Plastix:UP251</t>
  </si>
  <si>
    <t>UP252</t>
  </si>
  <si>
    <t>Holds - Urban Plastix:UP252</t>
  </si>
  <si>
    <t>KX159</t>
  </si>
  <si>
    <t>KXKD003</t>
  </si>
  <si>
    <t>KX168</t>
  </si>
  <si>
    <t>KX172</t>
  </si>
  <si>
    <t>KX163</t>
  </si>
  <si>
    <t>KX164</t>
  </si>
  <si>
    <t>KX166</t>
  </si>
  <si>
    <t>KX167</t>
  </si>
  <si>
    <t>KX165</t>
  </si>
  <si>
    <t>KX151</t>
  </si>
  <si>
    <t>KX156</t>
  </si>
  <si>
    <t>KX158</t>
  </si>
  <si>
    <t>Holds - Europe:Holds - Europe - Kilter:KX159</t>
  </si>
  <si>
    <t>Granite Medium 11 - Jugs</t>
  </si>
  <si>
    <t>Keith Dickey Moses Sandstone Large 1 - Jugs</t>
  </si>
  <si>
    <t>Holds - Europe:Holds - Europe - Kilter:Keith:KXKD003</t>
  </si>
  <si>
    <t>Brushed Sandstone Small 6 - Mixed Edges</t>
  </si>
  <si>
    <t>Holds - Europe:Holds - Europe - Kilter:KX151</t>
  </si>
  <si>
    <t>Brushed Sandstone Medium 5 - Slopey and Lipped Edges</t>
  </si>
  <si>
    <t>Brushed Sandstone Medium 6 - Jugs</t>
  </si>
  <si>
    <t>Holds - Europe:Holds - Europe - Kilter:KX156</t>
  </si>
  <si>
    <t>Holds - Europe:Holds - Europe - Kilter:KX158</t>
  </si>
  <si>
    <t>Sandstone Large 9 - Jugs and Mini Jugs</t>
  </si>
  <si>
    <t>Holds - Europe:Holds - Europe - Kilter:KX163</t>
  </si>
  <si>
    <t>Holds - Europe:Holds - Europe - Kilter:KX164</t>
  </si>
  <si>
    <t>Noah Small 8 - Incuts</t>
  </si>
  <si>
    <t>Noah Small 9 - Incuts and Mini Jugs</t>
  </si>
  <si>
    <t>Brushed Sandstone Large 7 - Ledges</t>
  </si>
  <si>
    <t>Brushed Sandstone Large 8 - Incut Ledges</t>
  </si>
  <si>
    <t>Holds - Europe:Holds - Europe - Kilter:KX165</t>
  </si>
  <si>
    <t>Holds - Europe:Holds - Europe - Kilter:KX166</t>
  </si>
  <si>
    <t>Brushed Sandstone Medium 7 - Mini Jugs</t>
  </si>
  <si>
    <t>Holds - Europe:Holds - Europe - Kilter:KX167</t>
  </si>
  <si>
    <t>Holds - Europe:Holds - Europe - Kilter:KX168</t>
  </si>
  <si>
    <t>Noah Small 10 - Incuts</t>
  </si>
  <si>
    <t>Holds - Europe:Holds - Europe - Kilter:KX172</t>
  </si>
  <si>
    <t>Noah Large 5 - Jugs</t>
  </si>
  <si>
    <t>version: April 20, 2023</t>
  </si>
  <si>
    <t>CX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</si>
</sst>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_);[Red]\(&quot;$&quot;#,##0\)"/>
    <numFmt numFmtId="44" formatCode="_(&quot;$&quot;* #,##0.00_);_(&quot;$&quot;* \(#,##0.00\);_(&quot;$&quot;* &quot;-&quot;??_);_(@_)"/>
    <numFmt numFmtId="43" formatCode="_(* #,##0.00_);_(* \(#,##0.00\);_(* &quot;-&quot;??_);_(@_)"/>
    <numFmt numFmtId="164" formatCode="00000"/>
    <numFmt numFmtId="165" formatCode="\$#,##0.00\ ;[Red]&quot;($&quot;#,##0.00\)"/>
    <numFmt numFmtId="166" formatCode="\$#,##0.00"/>
    <numFmt numFmtId="167" formatCode="&quot;$&quot;#,##0.00"/>
    <numFmt numFmtId="168" formatCode="\$#,##0.00_);[Red]&quot;($&quot;#,##0.00\)"/>
    <numFmt numFmtId="169" formatCode="_(* #,##0_);_(* \(#,##0\);_(* &quot;-&quot;??_);_(@_)"/>
    <numFmt numFmtId="170" formatCode="_(&quot;$&quot;* #,##0_);_(&quot;$&quot;* \(#,##0\);_(&quot;$&quot;* &quot;-&quot;??_);_(@_)"/>
    <numFmt numFmtId="171" formatCode="_([$€-2]\ * #,##0.00_);_([$€-2]\ * \(#,##0.00\);_([$€-2]\ * &quot;-&quot;??_);_(@_)"/>
  </numFmts>
  <fonts count="107">
    <font>
      <sz val="10"/>
      <color rgb="FF000000"/>
      <name val="Verdana"/>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Verdana"/>
      <family val="2"/>
    </font>
    <font>
      <b/>
      <sz val="18"/>
      <name val="Stardos Stencil"/>
    </font>
    <font>
      <sz val="8"/>
      <name val="Verdana"/>
      <family val="2"/>
    </font>
    <font>
      <sz val="8"/>
      <color rgb="FF000000"/>
      <name val="Verdana"/>
      <family val="2"/>
    </font>
    <font>
      <b/>
      <sz val="8"/>
      <name val="Stardos Stencil"/>
    </font>
    <font>
      <b/>
      <sz val="8"/>
      <color rgb="FFFFFFFF"/>
      <name val="Verdana"/>
      <family val="2"/>
    </font>
    <font>
      <b/>
      <sz val="12"/>
      <name val="Verdana"/>
      <family val="2"/>
    </font>
    <font>
      <sz val="9"/>
      <name val="Verdana"/>
      <family val="2"/>
    </font>
    <font>
      <sz val="10"/>
      <name val="Verdana"/>
      <family val="2"/>
    </font>
    <font>
      <i/>
      <sz val="9"/>
      <name val="Verdana"/>
      <family val="2"/>
    </font>
    <font>
      <sz val="8"/>
      <color rgb="FFFF0000"/>
      <name val="Verdana"/>
      <family val="2"/>
    </font>
    <font>
      <i/>
      <sz val="10"/>
      <name val="Verdana"/>
      <family val="2"/>
    </font>
    <font>
      <sz val="8"/>
      <color rgb="FF3366FF"/>
      <name val="Verdana"/>
      <family val="2"/>
    </font>
    <font>
      <b/>
      <sz val="10"/>
      <name val="Verdana"/>
      <family val="2"/>
    </font>
    <font>
      <b/>
      <sz val="8"/>
      <name val="Verdana"/>
      <family val="2"/>
    </font>
    <font>
      <sz val="8"/>
      <color rgb="FFFFFFFF"/>
      <name val="Verdana"/>
      <family val="2"/>
    </font>
    <font>
      <b/>
      <sz val="12"/>
      <name val="Verdana"/>
      <family val="2"/>
    </font>
    <font>
      <i/>
      <sz val="8"/>
      <name val="Verdana"/>
      <family val="2"/>
    </font>
    <font>
      <b/>
      <sz val="8"/>
      <color rgb="FF000000"/>
      <name val="Verdana"/>
      <family val="2"/>
    </font>
    <font>
      <b/>
      <sz val="8"/>
      <name val="Verdana"/>
      <family val="2"/>
    </font>
    <font>
      <sz val="10"/>
      <color rgb="FF212121"/>
      <name val="Roboto"/>
    </font>
    <font>
      <sz val="10"/>
      <color rgb="FFFFFFFF"/>
      <name val="Verdana"/>
      <family val="2"/>
    </font>
    <font>
      <b/>
      <i/>
      <sz val="8"/>
      <color rgb="FFFFFFFF"/>
      <name val="Verdana"/>
      <family val="2"/>
    </font>
    <font>
      <b/>
      <u/>
      <sz val="8"/>
      <color rgb="FFFFFFFF"/>
      <name val="Verdana"/>
      <family val="2"/>
    </font>
    <font>
      <b/>
      <u/>
      <sz val="8"/>
      <color rgb="FFFFFFFF"/>
      <name val="Verdana"/>
      <family val="2"/>
    </font>
    <font>
      <sz val="10"/>
      <color rgb="FF000000"/>
      <name val="Verdana"/>
      <family val="2"/>
    </font>
    <font>
      <b/>
      <sz val="8"/>
      <name val="Verdana"/>
      <family val="2"/>
    </font>
    <font>
      <sz val="8"/>
      <color rgb="FF000000"/>
      <name val="Verdana"/>
      <family val="2"/>
    </font>
    <font>
      <sz val="10"/>
      <color theme="0"/>
      <name val="Verdana"/>
      <family val="2"/>
    </font>
    <font>
      <sz val="10"/>
      <color rgb="FF000000"/>
      <name val="Verdana"/>
      <family val="2"/>
    </font>
    <font>
      <sz val="10"/>
      <color rgb="FF000000"/>
      <name val="Verdana"/>
      <family val="2"/>
    </font>
    <font>
      <b/>
      <i/>
      <sz val="8"/>
      <name val="Verdana"/>
      <family val="2"/>
    </font>
    <font>
      <b/>
      <sz val="11"/>
      <color theme="1"/>
      <name val="Calibri"/>
      <family val="2"/>
      <scheme val="minor"/>
    </font>
    <font>
      <b/>
      <u/>
      <sz val="16"/>
      <color theme="1"/>
      <name val="Calibri"/>
      <family val="2"/>
      <scheme val="minor"/>
    </font>
    <font>
      <sz val="8"/>
      <color rgb="FF000000"/>
      <name val="Arial"/>
      <family val="2"/>
    </font>
    <font>
      <sz val="8"/>
      <color theme="1"/>
      <name val="Arial"/>
      <family val="2"/>
    </font>
    <font>
      <sz val="10"/>
      <color rgb="FF000000"/>
      <name val="Verdana"/>
      <family val="2"/>
    </font>
    <font>
      <sz val="12"/>
      <color theme="1"/>
      <name val="Calibri"/>
      <family val="2"/>
      <scheme val="minor"/>
    </font>
    <font>
      <b/>
      <sz val="8"/>
      <color theme="0"/>
      <name val="Verdana"/>
      <family val="2"/>
    </font>
    <font>
      <sz val="11"/>
      <color theme="0"/>
      <name val="Calibri"/>
      <family val="2"/>
      <scheme val="minor"/>
    </font>
    <font>
      <b/>
      <sz val="12"/>
      <color rgb="FF000000"/>
      <name val="Verdana"/>
      <family val="2"/>
    </font>
    <font>
      <b/>
      <sz val="10"/>
      <color rgb="FF000000"/>
      <name val="Verdana"/>
      <family val="2"/>
    </font>
    <font>
      <b/>
      <sz val="10"/>
      <color theme="0"/>
      <name val="Verdana"/>
      <family val="2"/>
    </font>
    <font>
      <b/>
      <sz val="10"/>
      <color theme="1"/>
      <name val="Verdana"/>
      <family val="2"/>
    </font>
    <font>
      <u/>
      <sz val="10"/>
      <color theme="10"/>
      <name val="Verdana"/>
      <family val="2"/>
    </font>
    <font>
      <u/>
      <sz val="10"/>
      <color theme="11"/>
      <name val="Verdana"/>
      <family val="2"/>
    </font>
    <font>
      <b/>
      <sz val="10"/>
      <color rgb="FFFFFFFF"/>
      <name val="Verdana"/>
      <family val="2"/>
    </font>
    <font>
      <b/>
      <sz val="10"/>
      <color theme="2"/>
      <name val="Verdana"/>
      <family val="2"/>
    </font>
    <font>
      <sz val="10"/>
      <color theme="2"/>
      <name val="Verdana"/>
      <family val="2"/>
    </font>
    <font>
      <sz val="8"/>
      <color theme="0"/>
      <name val="Verdana"/>
      <family val="2"/>
    </font>
    <font>
      <b/>
      <i/>
      <sz val="8"/>
      <color theme="0"/>
      <name val="Verdana"/>
      <family val="2"/>
    </font>
    <font>
      <b/>
      <i/>
      <sz val="10"/>
      <name val="Verdana"/>
      <family val="2"/>
    </font>
    <font>
      <b/>
      <sz val="14"/>
      <color theme="0"/>
      <name val="Verdana"/>
      <family val="2"/>
    </font>
    <font>
      <sz val="14"/>
      <color rgb="FF000000"/>
      <name val="Verdana"/>
      <family val="2"/>
    </font>
    <font>
      <b/>
      <sz val="12"/>
      <color theme="0"/>
      <name val="Verdana"/>
      <family val="2"/>
    </font>
    <font>
      <sz val="10"/>
      <color theme="1"/>
      <name val="Verdana"/>
      <family val="2"/>
    </font>
    <font>
      <i/>
      <sz val="8"/>
      <color rgb="FF000000"/>
      <name val="Verdana"/>
      <family val="2"/>
    </font>
    <font>
      <b/>
      <sz val="20"/>
      <name val="Stardos Stencil"/>
    </font>
    <font>
      <b/>
      <sz val="22"/>
      <name val="Stardos Stencil"/>
    </font>
    <font>
      <sz val="22"/>
      <color rgb="FF000000"/>
      <name val="Verdana"/>
      <family val="2"/>
    </font>
    <font>
      <b/>
      <sz val="22"/>
      <name val="Bauhaus 93"/>
      <family val="5"/>
    </font>
    <font>
      <sz val="20"/>
      <color rgb="FF000000"/>
      <name val="Verdana"/>
      <family val="2"/>
    </font>
    <font>
      <b/>
      <sz val="22"/>
      <name val="Stardos Stencil"/>
      <family val="5"/>
    </font>
    <font>
      <sz val="11"/>
      <color rgb="FF000000"/>
      <name val="Calibri"/>
      <family val="2"/>
    </font>
    <font>
      <sz val="11"/>
      <name val="Calibri"/>
      <family val="2"/>
      <scheme val="minor"/>
    </font>
    <font>
      <sz val="10"/>
      <name val="Arial"/>
      <family val="2"/>
    </font>
    <font>
      <sz val="10"/>
      <color theme="10"/>
      <name val="Verdana"/>
      <family val="2"/>
    </font>
    <font>
      <u/>
      <sz val="10"/>
      <color theme="0"/>
      <name val="Verdana"/>
      <family val="2"/>
    </font>
    <font>
      <sz val="11"/>
      <color theme="1"/>
      <name val="Calibri"/>
      <family val="2"/>
      <scheme val="minor"/>
    </font>
    <font>
      <sz val="11"/>
      <color theme="1"/>
      <name val="Calibri"/>
      <family val="2"/>
      <scheme val="minor"/>
    </font>
  </fonts>
  <fills count="96">
    <fill>
      <patternFill patternType="none"/>
    </fill>
    <fill>
      <patternFill patternType="gray125"/>
    </fill>
    <fill>
      <patternFill patternType="solid">
        <fgColor rgb="FF000000"/>
        <bgColor rgb="FF000000"/>
      </patternFill>
    </fill>
    <fill>
      <patternFill patternType="solid">
        <fgColor rgb="FFC0C0C0"/>
        <bgColor rgb="FFC0C0C0"/>
      </patternFill>
    </fill>
    <fill>
      <patternFill patternType="solid">
        <fgColor rgb="FFFF0000"/>
        <bgColor rgb="FFFF0000"/>
      </patternFill>
    </fill>
    <fill>
      <patternFill patternType="solid">
        <fgColor rgb="FFFF9900"/>
        <bgColor rgb="FFFF9900"/>
      </patternFill>
    </fill>
    <fill>
      <patternFill patternType="solid">
        <fgColor rgb="FFFFFF00"/>
        <bgColor rgb="FFFFFF00"/>
      </patternFill>
    </fill>
    <fill>
      <patternFill patternType="solid">
        <fgColor rgb="FF339966"/>
        <bgColor rgb="FF339966"/>
      </patternFill>
    </fill>
    <fill>
      <patternFill patternType="solid">
        <fgColor rgb="FF3366FF"/>
        <bgColor rgb="FF3366FF"/>
      </patternFill>
    </fill>
    <fill>
      <patternFill patternType="solid">
        <fgColor rgb="FF800080"/>
        <bgColor rgb="FF800080"/>
      </patternFill>
    </fill>
    <fill>
      <patternFill patternType="solid">
        <fgColor rgb="FFFF00FF"/>
        <bgColor rgb="FFFF00FF"/>
      </patternFill>
    </fill>
    <fill>
      <patternFill patternType="solid">
        <fgColor rgb="FFEFEFEF"/>
        <bgColor rgb="FFEFEFEF"/>
      </patternFill>
    </fill>
    <fill>
      <patternFill patternType="solid">
        <fgColor rgb="FFD9D9D9"/>
        <bgColor rgb="FFD9D9D9"/>
      </patternFill>
    </fill>
    <fill>
      <patternFill patternType="solid">
        <fgColor rgb="FFFFFFFF"/>
        <bgColor rgb="FFFFFFFF"/>
      </patternFill>
    </fill>
    <fill>
      <patternFill patternType="solid">
        <fgColor rgb="FFF3F3F3"/>
        <bgColor rgb="FFF3F3F3"/>
      </patternFill>
    </fill>
    <fill>
      <patternFill patternType="solid">
        <fgColor theme="1"/>
        <bgColor rgb="FF000000"/>
      </patternFill>
    </fill>
    <fill>
      <patternFill patternType="solid">
        <fgColor theme="0"/>
        <bgColor rgb="FF000000"/>
      </patternFill>
    </fill>
    <fill>
      <patternFill patternType="solid">
        <fgColor theme="0"/>
        <bgColor indexed="64"/>
      </patternFill>
    </fill>
    <fill>
      <patternFill patternType="solid">
        <fgColor theme="3" tint="0.59999389629810485"/>
        <bgColor indexed="64"/>
      </patternFill>
    </fill>
    <fill>
      <patternFill patternType="solid">
        <fgColor theme="0" tint="-0.249977111117893"/>
        <bgColor indexed="64"/>
      </patternFill>
    </fill>
    <fill>
      <patternFill patternType="solid">
        <fgColor theme="0"/>
        <bgColor theme="0" tint="-0.14999847407452621"/>
      </patternFill>
    </fill>
    <fill>
      <patternFill patternType="solid">
        <fgColor theme="1"/>
        <bgColor indexed="64"/>
      </patternFill>
    </fill>
    <fill>
      <patternFill patternType="solid">
        <fgColor rgb="FFFF0000"/>
        <bgColor indexed="64"/>
      </patternFill>
    </fill>
    <fill>
      <patternFill patternType="solid">
        <fgColor rgb="FFFFC000"/>
        <bgColor indexed="64"/>
      </patternFill>
    </fill>
    <fill>
      <patternFill patternType="solid">
        <fgColor rgb="FFFFFF00"/>
        <bgColor indexed="64"/>
      </patternFill>
    </fill>
    <fill>
      <patternFill patternType="solid">
        <fgColor rgb="FF00B050"/>
        <bgColor indexed="64"/>
      </patternFill>
    </fill>
    <fill>
      <patternFill patternType="solid">
        <fgColor rgb="FF0070C0"/>
        <bgColor indexed="64"/>
      </patternFill>
    </fill>
    <fill>
      <patternFill patternType="solid">
        <fgColor rgb="FF7030A0"/>
        <bgColor indexed="64"/>
      </patternFill>
    </fill>
    <fill>
      <patternFill patternType="solid">
        <fgColor theme="9" tint="-0.249977111117893"/>
        <bgColor indexed="64"/>
      </patternFill>
    </fill>
    <fill>
      <patternFill patternType="solid">
        <fgColor theme="0" tint="-0.499984740745262"/>
        <bgColor indexed="64"/>
      </patternFill>
    </fill>
    <fill>
      <patternFill patternType="solid">
        <fgColor theme="0"/>
        <bgColor rgb="FFFF0000"/>
      </patternFill>
    </fill>
    <fill>
      <patternFill patternType="solid">
        <fgColor theme="0"/>
        <bgColor rgb="FFFF9900"/>
      </patternFill>
    </fill>
    <fill>
      <patternFill patternType="solid">
        <fgColor theme="0"/>
        <bgColor rgb="FFFFFF00"/>
      </patternFill>
    </fill>
    <fill>
      <patternFill patternType="solid">
        <fgColor theme="0"/>
        <bgColor rgb="FF339966"/>
      </patternFill>
    </fill>
    <fill>
      <patternFill patternType="solid">
        <fgColor theme="0"/>
        <bgColor rgb="FF3366FF"/>
      </patternFill>
    </fill>
    <fill>
      <patternFill patternType="solid">
        <fgColor theme="0"/>
        <bgColor rgb="FF800080"/>
      </patternFill>
    </fill>
    <fill>
      <patternFill patternType="solid">
        <fgColor theme="0"/>
        <bgColor rgb="FFFF00FF"/>
      </patternFill>
    </fill>
    <fill>
      <patternFill patternType="solid">
        <fgColor rgb="FFC00000"/>
        <bgColor indexed="64"/>
      </patternFill>
    </fill>
    <fill>
      <patternFill patternType="solid">
        <fgColor theme="7" tint="0.59999389629810485"/>
        <bgColor indexed="64"/>
      </patternFill>
    </fill>
    <fill>
      <patternFill patternType="solid">
        <fgColor rgb="FF0432FF"/>
        <bgColor indexed="64"/>
      </patternFill>
    </fill>
    <fill>
      <patternFill patternType="solid">
        <fgColor theme="9" tint="0.39997558519241921"/>
        <bgColor indexed="64"/>
      </patternFill>
    </fill>
    <fill>
      <patternFill patternType="solid">
        <fgColor theme="1" tint="0.499984740745262"/>
        <bgColor indexed="64"/>
      </patternFill>
    </fill>
    <fill>
      <patternFill patternType="solid">
        <fgColor theme="5" tint="-0.249977111117893"/>
        <bgColor indexed="64"/>
      </patternFill>
    </fill>
    <fill>
      <patternFill patternType="solid">
        <fgColor theme="4" tint="-0.249977111117893"/>
        <bgColor indexed="64"/>
      </patternFill>
    </fill>
    <fill>
      <patternFill patternType="solid">
        <fgColor rgb="FF945200"/>
        <bgColor indexed="64"/>
      </patternFill>
    </fill>
    <fill>
      <patternFill patternType="solid">
        <fgColor rgb="FFFF9300"/>
        <bgColor indexed="64"/>
      </patternFill>
    </fill>
    <fill>
      <patternFill patternType="solid">
        <fgColor theme="6" tint="0.39997558519241921"/>
        <bgColor indexed="64"/>
      </patternFill>
    </fill>
    <fill>
      <patternFill patternType="solid">
        <fgColor rgb="FFFF8029"/>
        <bgColor indexed="64"/>
      </patternFill>
    </fill>
    <fill>
      <patternFill patternType="solid">
        <fgColor rgb="FFFF2E15"/>
        <bgColor indexed="64"/>
      </patternFill>
    </fill>
    <fill>
      <patternFill patternType="solid">
        <fgColor rgb="FF0096FF"/>
        <bgColor indexed="64"/>
      </patternFill>
    </fill>
    <fill>
      <patternFill patternType="solid">
        <fgColor theme="8"/>
        <bgColor indexed="64"/>
      </patternFill>
    </fill>
    <fill>
      <patternFill patternType="solid">
        <fgColor theme="8" tint="0.39997558519241921"/>
        <bgColor indexed="64"/>
      </patternFill>
    </fill>
    <fill>
      <patternFill patternType="solid">
        <fgColor rgb="FFFF2F92"/>
        <bgColor indexed="64"/>
      </patternFill>
    </fill>
    <fill>
      <patternFill patternType="solid">
        <fgColor rgb="FF92D050"/>
        <bgColor rgb="FF000000"/>
      </patternFill>
    </fill>
    <fill>
      <patternFill patternType="solid">
        <fgColor rgb="FF80C9FF"/>
        <bgColor rgb="FF000000"/>
      </patternFill>
    </fill>
    <fill>
      <patternFill patternType="solid">
        <fgColor rgb="FFF4A4F0"/>
        <bgColor rgb="FF000000"/>
      </patternFill>
    </fill>
    <fill>
      <patternFill patternType="solid">
        <fgColor rgb="FF0432FF"/>
        <bgColor rgb="FF000000"/>
      </patternFill>
    </fill>
    <fill>
      <patternFill patternType="solid">
        <fgColor rgb="FFFFFF00"/>
        <bgColor rgb="FF000000"/>
      </patternFill>
    </fill>
    <fill>
      <patternFill patternType="solid">
        <fgColor rgb="FFC00000"/>
        <bgColor rgb="FF000000"/>
      </patternFill>
    </fill>
    <fill>
      <patternFill patternType="solid">
        <fgColor rgb="FF333F4F"/>
        <bgColor rgb="FF000000"/>
      </patternFill>
    </fill>
    <fill>
      <patternFill patternType="solid">
        <fgColor rgb="FF808080"/>
        <bgColor rgb="FF000000"/>
      </patternFill>
    </fill>
    <fill>
      <patternFill patternType="solid">
        <fgColor rgb="FFBFBF00"/>
        <bgColor rgb="FF000000"/>
      </patternFill>
    </fill>
    <fill>
      <patternFill patternType="solid">
        <fgColor rgb="FFBF8F00"/>
        <bgColor rgb="FF000000"/>
      </patternFill>
    </fill>
    <fill>
      <patternFill patternType="solid">
        <fgColor rgb="FF945200"/>
        <bgColor rgb="FF000000"/>
      </patternFill>
    </fill>
    <fill>
      <patternFill patternType="solid">
        <fgColor rgb="FFFF9300"/>
        <bgColor rgb="FF000000"/>
      </patternFill>
    </fill>
    <fill>
      <patternFill patternType="solid">
        <fgColor rgb="FFFFC000"/>
        <bgColor rgb="FF000000"/>
      </patternFill>
    </fill>
    <fill>
      <patternFill patternType="solid">
        <fgColor rgb="FFE7E6E6"/>
        <bgColor rgb="FF000000"/>
      </patternFill>
    </fill>
    <fill>
      <patternFill patternType="solid">
        <fgColor rgb="FFC8A2E3"/>
        <bgColor rgb="FF000000"/>
      </patternFill>
    </fill>
    <fill>
      <patternFill patternType="solid">
        <fgColor rgb="FF542477"/>
        <bgColor rgb="FF000000"/>
      </patternFill>
    </fill>
    <fill>
      <patternFill patternType="solid">
        <fgColor rgb="FF00843C"/>
        <bgColor rgb="FF000000"/>
      </patternFill>
    </fill>
    <fill>
      <patternFill patternType="solid">
        <fgColor rgb="FFFF2E15"/>
        <bgColor rgb="FF000000"/>
      </patternFill>
    </fill>
    <fill>
      <patternFill patternType="solid">
        <fgColor rgb="FFB0402C"/>
        <bgColor rgb="FF000000"/>
      </patternFill>
    </fill>
    <fill>
      <patternFill patternType="solid">
        <fgColor rgb="FF89571B"/>
        <bgColor rgb="FF000000"/>
      </patternFill>
    </fill>
    <fill>
      <patternFill patternType="solid">
        <fgColor rgb="FF35FF91"/>
        <bgColor rgb="FF000000"/>
      </patternFill>
    </fill>
    <fill>
      <patternFill patternType="solid">
        <fgColor rgb="FF3FDE2F"/>
        <bgColor rgb="FF000000"/>
      </patternFill>
    </fill>
    <fill>
      <patternFill patternType="solid">
        <fgColor rgb="FF52F070"/>
        <bgColor rgb="FF000000"/>
      </patternFill>
    </fill>
    <fill>
      <patternFill patternType="solid">
        <fgColor rgb="FF00B0F0"/>
        <bgColor rgb="FF000000"/>
      </patternFill>
    </fill>
    <fill>
      <patternFill patternType="solid">
        <fgColor rgb="FF40AEFF"/>
        <bgColor rgb="FF000000"/>
      </patternFill>
    </fill>
    <fill>
      <patternFill patternType="solid">
        <fgColor rgb="FFE938FB"/>
        <bgColor rgb="FF000000"/>
      </patternFill>
    </fill>
    <fill>
      <patternFill patternType="solid">
        <fgColor theme="5"/>
        <bgColor indexed="64"/>
      </patternFill>
    </fill>
    <fill>
      <patternFill patternType="solid">
        <fgColor rgb="FF673F1B"/>
        <bgColor rgb="FF000000"/>
      </patternFill>
    </fill>
    <fill>
      <patternFill patternType="solid">
        <fgColor rgb="FF75D242"/>
        <bgColor indexed="64"/>
      </patternFill>
    </fill>
    <fill>
      <patternFill patternType="solid">
        <fgColor theme="1"/>
        <bgColor rgb="FFFF9900"/>
      </patternFill>
    </fill>
    <fill>
      <patternFill patternType="solid">
        <fgColor theme="1"/>
        <bgColor rgb="FFFFFF00"/>
      </patternFill>
    </fill>
    <fill>
      <patternFill patternType="solid">
        <fgColor theme="1"/>
        <bgColor rgb="FF339966"/>
      </patternFill>
    </fill>
    <fill>
      <patternFill patternType="solid">
        <fgColor theme="1"/>
        <bgColor rgb="FF3366FF"/>
      </patternFill>
    </fill>
    <fill>
      <patternFill patternType="solid">
        <fgColor theme="1"/>
        <bgColor rgb="FF800080"/>
      </patternFill>
    </fill>
    <fill>
      <patternFill patternType="solid">
        <fgColor theme="1"/>
        <bgColor rgb="FFFF00FF"/>
      </patternFill>
    </fill>
    <fill>
      <patternFill patternType="solid">
        <fgColor rgb="FF75D242"/>
        <bgColor rgb="FF000000"/>
      </patternFill>
    </fill>
    <fill>
      <patternFill patternType="solid">
        <fgColor rgb="FF92D050"/>
        <bgColor theme="0" tint="-0.14999847407452621"/>
      </patternFill>
    </fill>
    <fill>
      <patternFill patternType="solid">
        <fgColor rgb="FF92D050"/>
        <bgColor indexed="64"/>
      </patternFill>
    </fill>
    <fill>
      <patternFill patternType="solid">
        <fgColor rgb="FFFF2E15"/>
        <bgColor rgb="FFFF0000"/>
      </patternFill>
    </fill>
    <fill>
      <patternFill patternType="solid">
        <fgColor rgb="FF0070C0"/>
        <bgColor rgb="FF3366FF"/>
      </patternFill>
    </fill>
    <fill>
      <patternFill patternType="solid">
        <fgColor rgb="FF7030A0"/>
        <bgColor rgb="FF800080"/>
      </patternFill>
    </fill>
    <fill>
      <patternFill patternType="solid">
        <fgColor theme="9" tint="-0.249977111117893"/>
        <bgColor rgb="FFFF00FF"/>
      </patternFill>
    </fill>
    <fill>
      <patternFill patternType="solid">
        <fgColor rgb="FFFF8029"/>
        <bgColor rgb="FFFF9900"/>
      </patternFill>
    </fill>
  </fills>
  <borders count="89">
    <border>
      <left/>
      <right/>
      <top/>
      <bottom/>
      <diagonal/>
    </border>
    <border>
      <left/>
      <right/>
      <top/>
      <bottom/>
      <diagonal/>
    </border>
    <border>
      <left style="thin">
        <color rgb="FF000000"/>
      </left>
      <right style="thin">
        <color rgb="FF000000"/>
      </right>
      <top style="thin">
        <color rgb="FF000000"/>
      </top>
      <bottom/>
      <diagonal/>
    </border>
    <border>
      <left/>
      <right/>
      <top/>
      <bottom/>
      <diagonal/>
    </border>
    <border>
      <left/>
      <right/>
      <top/>
      <bottom/>
      <diagonal/>
    </border>
    <border>
      <left style="thin">
        <color rgb="FF000000"/>
      </left>
      <right style="thin">
        <color rgb="FF000000"/>
      </right>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ck">
        <color rgb="FF000000"/>
      </left>
      <right/>
      <top style="thick">
        <color rgb="FF000000"/>
      </top>
      <bottom/>
      <diagonal/>
    </border>
    <border>
      <left style="thick">
        <color rgb="FF000000"/>
      </left>
      <right/>
      <top/>
      <bottom/>
      <diagonal/>
    </border>
    <border>
      <left style="thin">
        <color rgb="FF000000"/>
      </left>
      <right style="thin">
        <color rgb="FF000000"/>
      </right>
      <top/>
      <bottom/>
      <diagonal/>
    </border>
    <border>
      <left/>
      <right/>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bottom/>
      <diagonal/>
    </border>
    <border>
      <left style="thin">
        <color auto="1"/>
      </left>
      <right/>
      <top/>
      <bottom/>
      <diagonal/>
    </border>
    <border>
      <left/>
      <right style="medium">
        <color auto="1"/>
      </right>
      <top style="medium">
        <color auto="1"/>
      </top>
      <bottom style="medium">
        <color auto="1"/>
      </bottom>
      <diagonal/>
    </border>
    <border>
      <left/>
      <right style="thin">
        <color auto="1"/>
      </right>
      <top style="thin">
        <color auto="1"/>
      </top>
      <bottom/>
      <diagonal/>
    </border>
    <border>
      <left style="thin">
        <color auto="1"/>
      </left>
      <right/>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bottom style="medium">
        <color auto="1"/>
      </bottom>
      <diagonal/>
    </border>
    <border>
      <left style="thin">
        <color auto="1"/>
      </left>
      <right style="double">
        <color auto="1"/>
      </right>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double">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medium">
        <color auto="1"/>
      </right>
      <top style="medium">
        <color auto="1"/>
      </top>
      <bottom/>
      <diagonal/>
    </border>
    <border>
      <left/>
      <right style="medium">
        <color auto="1"/>
      </right>
      <top/>
      <bottom/>
      <diagonal/>
    </border>
    <border>
      <left style="medium">
        <color auto="1"/>
      </left>
      <right style="thin">
        <color rgb="FF000000"/>
      </right>
      <top style="medium">
        <color auto="1"/>
      </top>
      <bottom/>
      <diagonal/>
    </border>
    <border>
      <left style="thin">
        <color rgb="FF000000"/>
      </left>
      <right style="medium">
        <color auto="1"/>
      </right>
      <top style="medium">
        <color auto="1"/>
      </top>
      <bottom/>
      <diagonal/>
    </border>
    <border>
      <left style="medium">
        <color auto="1"/>
      </left>
      <right style="thin">
        <color rgb="FF000000"/>
      </right>
      <top style="thin">
        <color rgb="FF000000"/>
      </top>
      <bottom/>
      <diagonal/>
    </border>
    <border>
      <left style="thin">
        <color rgb="FF000000"/>
      </left>
      <right style="medium">
        <color auto="1"/>
      </right>
      <top style="thin">
        <color rgb="FF000000"/>
      </top>
      <bottom/>
      <diagonal/>
    </border>
    <border>
      <left style="medium">
        <color auto="1"/>
      </left>
      <right style="thin">
        <color rgb="FF000000"/>
      </right>
      <top style="thin">
        <color rgb="FF000000"/>
      </top>
      <bottom style="medium">
        <color auto="1"/>
      </bottom>
      <diagonal/>
    </border>
    <border>
      <left style="thin">
        <color rgb="FF000000"/>
      </left>
      <right style="medium">
        <color auto="1"/>
      </right>
      <top style="thin">
        <color rgb="FF000000"/>
      </top>
      <bottom style="medium">
        <color auto="1"/>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auto="1"/>
      </top>
      <bottom style="thin">
        <color auto="1"/>
      </bottom>
      <diagonal/>
    </border>
    <border>
      <left/>
      <right style="thin">
        <color rgb="FF000000"/>
      </right>
      <top/>
      <bottom/>
      <diagonal/>
    </border>
    <border>
      <left style="thin">
        <color auto="1"/>
      </left>
      <right style="thin">
        <color rgb="FF000000"/>
      </right>
      <top style="thin">
        <color auto="1"/>
      </top>
      <bottom/>
      <diagonal/>
    </border>
    <border>
      <left/>
      <right/>
      <top style="thin">
        <color auto="1"/>
      </top>
      <bottom/>
      <diagonal/>
    </border>
    <border>
      <left style="thin">
        <color rgb="FF000000"/>
      </left>
      <right/>
      <top style="thin">
        <color auto="1"/>
      </top>
      <bottom style="thin">
        <color rgb="FF000000"/>
      </bottom>
      <diagonal/>
    </border>
    <border>
      <left style="thin">
        <color rgb="FF000000"/>
      </left>
      <right style="thin">
        <color rgb="FF000000"/>
      </right>
      <top style="thin">
        <color auto="1"/>
      </top>
      <bottom style="thin">
        <color rgb="FF000000"/>
      </bottom>
      <diagonal/>
    </border>
    <border>
      <left/>
      <right style="thin">
        <color rgb="FF000000"/>
      </right>
      <top style="thin">
        <color auto="1"/>
      </top>
      <bottom style="thin">
        <color rgb="FF000000"/>
      </bottom>
      <diagonal/>
    </border>
    <border>
      <left style="thin">
        <color auto="1"/>
      </left>
      <right/>
      <top style="thin">
        <color rgb="FF000000"/>
      </top>
      <bottom style="thin">
        <color rgb="FF000000"/>
      </bottom>
      <diagonal/>
    </border>
    <border>
      <left/>
      <right/>
      <top/>
      <bottom style="thin">
        <color auto="1"/>
      </bottom>
      <diagonal/>
    </border>
    <border>
      <left/>
      <right style="thin">
        <color auto="1"/>
      </right>
      <top/>
      <bottom style="thin">
        <color auto="1"/>
      </bottom>
      <diagonal/>
    </border>
    <border>
      <left style="thin">
        <color rgb="FF000000"/>
      </left>
      <right style="thin">
        <color auto="1"/>
      </right>
      <top style="thin">
        <color auto="1"/>
      </top>
      <bottom style="thin">
        <color rgb="FF000000"/>
      </bottom>
      <diagonal/>
    </border>
    <border>
      <left style="thin">
        <color rgb="FF000000"/>
      </left>
      <right style="thin">
        <color rgb="FF000000"/>
      </right>
      <top/>
      <bottom style="thin">
        <color auto="1"/>
      </bottom>
      <diagonal/>
    </border>
    <border>
      <left style="thin">
        <color indexed="64"/>
      </left>
      <right/>
      <top/>
      <bottom style="medium">
        <color auto="1"/>
      </bottom>
      <diagonal/>
    </border>
    <border>
      <left/>
      <right style="thin">
        <color indexed="64"/>
      </right>
      <top/>
      <bottom style="medium">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rgb="FF000000"/>
      </left>
      <right style="thin">
        <color rgb="FF000000"/>
      </right>
      <top style="thin">
        <color rgb="FF000000"/>
      </top>
      <bottom style="thin">
        <color rgb="FF000000"/>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s>
  <cellStyleXfs count="28">
    <xf numFmtId="0" fontId="0" fillId="0" borderId="0"/>
    <xf numFmtId="43" fontId="62" fillId="0" borderId="0" applyFont="0" applyFill="0" applyBorder="0" applyAlignment="0" applyProtection="0"/>
    <xf numFmtId="44" fontId="62" fillId="0" borderId="0" applyFont="0" applyFill="0" applyBorder="0" applyAlignment="0" applyProtection="0"/>
    <xf numFmtId="0" fontId="62" fillId="0" borderId="23"/>
    <xf numFmtId="0" fontId="67" fillId="0" borderId="23"/>
    <xf numFmtId="0" fontId="62" fillId="0" borderId="23"/>
    <xf numFmtId="9" fontId="62" fillId="0" borderId="23" applyFont="0" applyFill="0" applyBorder="0" applyAlignment="0" applyProtection="0"/>
    <xf numFmtId="44" fontId="62" fillId="0" borderId="23" applyFont="0" applyFill="0" applyBorder="0" applyAlignment="0" applyProtection="0"/>
    <xf numFmtId="0" fontId="36" fillId="0" borderId="23"/>
    <xf numFmtId="9" fontId="67" fillId="0" borderId="0" applyFont="0" applyFill="0" applyBorder="0" applyAlignment="0" applyProtection="0"/>
    <xf numFmtId="0" fontId="35" fillId="0" borderId="23"/>
    <xf numFmtId="43" fontId="37" fillId="0" borderId="23" applyFont="0" applyFill="0" applyBorder="0" applyAlignment="0" applyProtection="0"/>
    <xf numFmtId="44" fontId="35" fillId="0" borderId="23" applyFont="0" applyFill="0" applyBorder="0" applyAlignment="0" applyProtection="0"/>
    <xf numFmtId="0" fontId="73" fillId="0" borderId="23"/>
    <xf numFmtId="0" fontId="73" fillId="0" borderId="23"/>
    <xf numFmtId="0" fontId="73" fillId="0" borderId="23"/>
    <xf numFmtId="0" fontId="73" fillId="0" borderId="23"/>
    <xf numFmtId="0" fontId="73" fillId="0" borderId="23"/>
    <xf numFmtId="0" fontId="73" fillId="0" borderId="23"/>
    <xf numFmtId="0" fontId="74" fillId="0" borderId="23"/>
    <xf numFmtId="0" fontId="33" fillId="0" borderId="23"/>
    <xf numFmtId="44" fontId="74" fillId="0" borderId="23" applyFont="0" applyFill="0" applyBorder="0" applyAlignment="0" applyProtection="0"/>
    <xf numFmtId="9" fontId="74" fillId="0" borderId="23" applyFont="0" applyFill="0" applyBorder="0" applyAlignment="0" applyProtection="0"/>
    <xf numFmtId="43" fontId="74" fillId="0" borderId="23" applyFont="0" applyFill="0" applyBorder="0" applyAlignment="0" applyProtection="0"/>
    <xf numFmtId="0" fontId="81" fillId="0" borderId="0" applyNumberFormat="0" applyFill="0" applyBorder="0" applyAlignment="0" applyProtection="0"/>
    <xf numFmtId="0" fontId="82" fillId="0" borderId="0" applyNumberFormat="0" applyFill="0" applyBorder="0" applyAlignment="0" applyProtection="0"/>
    <xf numFmtId="0" fontId="81" fillId="0" borderId="0" applyNumberFormat="0" applyFill="0" applyBorder="0" applyAlignment="0" applyProtection="0"/>
    <xf numFmtId="0" fontId="82" fillId="0" borderId="0" applyNumberFormat="0" applyFill="0" applyBorder="0" applyAlignment="0" applyProtection="0"/>
  </cellStyleXfs>
  <cellXfs count="840">
    <xf numFmtId="0" fontId="0" fillId="0" borderId="0" xfId="0"/>
    <xf numFmtId="169" fontId="0" fillId="0" borderId="0" xfId="1" applyNumberFormat="1" applyFont="1"/>
    <xf numFmtId="44" fontId="0" fillId="0" borderId="0" xfId="2" applyFont="1"/>
    <xf numFmtId="0" fontId="62" fillId="0" borderId="0" xfId="0" applyFont="1"/>
    <xf numFmtId="44" fontId="62" fillId="0" borderId="0" xfId="2"/>
    <xf numFmtId="0" fontId="0" fillId="22" borderId="0" xfId="0" applyFill="1"/>
    <xf numFmtId="0" fontId="0" fillId="23" borderId="0" xfId="0" applyFill="1"/>
    <xf numFmtId="0" fontId="0" fillId="24" borderId="0" xfId="0" applyFill="1"/>
    <xf numFmtId="0" fontId="0" fillId="25" borderId="0" xfId="0" applyFill="1"/>
    <xf numFmtId="0" fontId="0" fillId="26" borderId="0" xfId="0" applyFill="1"/>
    <xf numFmtId="0" fontId="0" fillId="27" borderId="0" xfId="0" applyFill="1"/>
    <xf numFmtId="0" fontId="37" fillId="28" borderId="0" xfId="0" applyFont="1" applyFill="1"/>
    <xf numFmtId="0" fontId="0" fillId="29" borderId="0" xfId="0" applyFill="1"/>
    <xf numFmtId="0" fontId="65" fillId="21" borderId="0" xfId="0" applyFont="1" applyFill="1"/>
    <xf numFmtId="169" fontId="62" fillId="0" borderId="0" xfId="1" applyNumberFormat="1"/>
    <xf numFmtId="0" fontId="62" fillId="0" borderId="28" xfId="0" applyFont="1" applyBorder="1"/>
    <xf numFmtId="44" fontId="0" fillId="0" borderId="53" xfId="2" applyFont="1" applyBorder="1"/>
    <xf numFmtId="0" fontId="62" fillId="0" borderId="30" xfId="0" applyFont="1" applyBorder="1"/>
    <xf numFmtId="44" fontId="0" fillId="0" borderId="54" xfId="2" applyFont="1" applyBorder="1"/>
    <xf numFmtId="0" fontId="62" fillId="0" borderId="31" xfId="0" applyFont="1" applyBorder="1"/>
    <xf numFmtId="44" fontId="0" fillId="0" borderId="46" xfId="2" applyFont="1" applyBorder="1"/>
    <xf numFmtId="44" fontId="0" fillId="0" borderId="54" xfId="0" applyNumberFormat="1" applyBorder="1"/>
    <xf numFmtId="49" fontId="0" fillId="22" borderId="0" xfId="0" applyNumberFormat="1" applyFill="1"/>
    <xf numFmtId="49" fontId="0" fillId="23" borderId="0" xfId="0" applyNumberFormat="1" applyFill="1"/>
    <xf numFmtId="49" fontId="0" fillId="24" borderId="0" xfId="0" applyNumberFormat="1" applyFill="1"/>
    <xf numFmtId="49" fontId="0" fillId="25" borderId="0" xfId="0" applyNumberFormat="1" applyFill="1"/>
    <xf numFmtId="49" fontId="0" fillId="26" borderId="0" xfId="0" applyNumberFormat="1" applyFill="1"/>
    <xf numFmtId="49" fontId="0" fillId="27" borderId="0" xfId="0" applyNumberFormat="1" applyFill="1"/>
    <xf numFmtId="49" fontId="37" fillId="28" borderId="0" xfId="0" applyNumberFormat="1" applyFont="1" applyFill="1"/>
    <xf numFmtId="49" fontId="65" fillId="21" borderId="0" xfId="0" applyNumberFormat="1" applyFont="1" applyFill="1"/>
    <xf numFmtId="0" fontId="37" fillId="0" borderId="0" xfId="0" applyFont="1" applyProtection="1">
      <protection locked="0"/>
    </xf>
    <xf numFmtId="0" fontId="38" fillId="0" borderId="0" xfId="0" applyFont="1" applyAlignment="1" applyProtection="1">
      <alignment horizontal="center" vertical="top"/>
      <protection locked="0"/>
    </xf>
    <xf numFmtId="2" fontId="38" fillId="0" borderId="0" xfId="0" applyNumberFormat="1" applyFont="1" applyAlignment="1" applyProtection="1">
      <alignment horizontal="center" vertical="top"/>
      <protection locked="0"/>
    </xf>
    <xf numFmtId="0" fontId="0" fillId="0" borderId="0" xfId="0" applyProtection="1">
      <protection locked="0"/>
    </xf>
    <xf numFmtId="0" fontId="39" fillId="0" borderId="0" xfId="0" applyFont="1" applyProtection="1">
      <protection locked="0"/>
    </xf>
    <xf numFmtId="0" fontId="40" fillId="0" borderId="0" xfId="0" applyFont="1" applyProtection="1">
      <protection locked="0"/>
    </xf>
    <xf numFmtId="0" fontId="41" fillId="0" borderId="0" xfId="0" applyFont="1" applyAlignment="1" applyProtection="1">
      <alignment horizontal="center" vertical="top"/>
      <protection locked="0"/>
    </xf>
    <xf numFmtId="2" fontId="41" fillId="0" borderId="0" xfId="0" applyNumberFormat="1" applyFont="1" applyAlignment="1" applyProtection="1">
      <alignment horizontal="center" vertical="top"/>
      <protection locked="0"/>
    </xf>
    <xf numFmtId="0" fontId="42" fillId="2" borderId="1" xfId="0" applyFont="1" applyFill="1" applyBorder="1" applyProtection="1">
      <protection locked="0"/>
    </xf>
    <xf numFmtId="0" fontId="37" fillId="0" borderId="0" xfId="0" applyFont="1" applyAlignment="1" applyProtection="1">
      <alignment horizontal="left"/>
      <protection locked="0"/>
    </xf>
    <xf numFmtId="2" fontId="37" fillId="0" borderId="0" xfId="0" applyNumberFormat="1" applyFont="1" applyProtection="1">
      <protection locked="0"/>
    </xf>
    <xf numFmtId="0" fontId="43" fillId="0" borderId="0" xfId="0" applyFont="1" applyAlignment="1" applyProtection="1">
      <alignment vertical="center"/>
      <protection locked="0"/>
    </xf>
    <xf numFmtId="0" fontId="37" fillId="0" borderId="2" xfId="0" applyFont="1" applyBorder="1" applyProtection="1">
      <protection locked="0"/>
    </xf>
    <xf numFmtId="0" fontId="37" fillId="0" borderId="0" xfId="0" applyFont="1" applyAlignment="1" applyProtection="1">
      <alignment wrapText="1"/>
      <protection locked="0"/>
    </xf>
    <xf numFmtId="0" fontId="44" fillId="0" borderId="0" xfId="0" applyFont="1" applyProtection="1">
      <protection locked="0"/>
    </xf>
    <xf numFmtId="0" fontId="46" fillId="0" borderId="0" xfId="0" applyFont="1" applyAlignment="1" applyProtection="1">
      <alignment horizontal="right"/>
      <protection locked="0"/>
    </xf>
    <xf numFmtId="0" fontId="47" fillId="0" borderId="0" xfId="0" applyFont="1" applyProtection="1">
      <protection locked="0"/>
    </xf>
    <xf numFmtId="0" fontId="39" fillId="0" borderId="0" xfId="0" applyFont="1" applyAlignment="1" applyProtection="1">
      <alignment horizontal="left"/>
      <protection locked="0"/>
    </xf>
    <xf numFmtId="0" fontId="50" fillId="0" borderId="0" xfId="0" applyFont="1" applyProtection="1">
      <protection locked="0"/>
    </xf>
    <xf numFmtId="0" fontId="37" fillId="0" borderId="0" xfId="0" applyFont="1" applyAlignment="1" applyProtection="1">
      <alignment horizontal="right"/>
      <protection locked="0"/>
    </xf>
    <xf numFmtId="0" fontId="51" fillId="0" borderId="0" xfId="0" applyFont="1" applyProtection="1">
      <protection locked="0"/>
    </xf>
    <xf numFmtId="0" fontId="65" fillId="0" borderId="0" xfId="0" applyFont="1" applyProtection="1">
      <protection locked="0"/>
    </xf>
    <xf numFmtId="169" fontId="0" fillId="0" borderId="0" xfId="1" applyNumberFormat="1" applyFont="1" applyProtection="1">
      <protection locked="0"/>
    </xf>
    <xf numFmtId="44" fontId="0" fillId="0" borderId="0" xfId="2" applyFont="1" applyProtection="1">
      <protection locked="0"/>
    </xf>
    <xf numFmtId="169" fontId="37" fillId="0" borderId="0" xfId="1" applyNumberFormat="1" applyFont="1" applyProtection="1">
      <protection locked="0"/>
    </xf>
    <xf numFmtId="0" fontId="66" fillId="0" borderId="0" xfId="0" applyFont="1" applyProtection="1">
      <protection locked="0"/>
    </xf>
    <xf numFmtId="44" fontId="37" fillId="0" borderId="0" xfId="0" applyNumberFormat="1" applyFont="1" applyProtection="1">
      <protection locked="0"/>
    </xf>
    <xf numFmtId="2" fontId="0" fillId="0" borderId="0" xfId="0" applyNumberFormat="1" applyProtection="1">
      <protection locked="0"/>
    </xf>
    <xf numFmtId="168" fontId="42" fillId="2" borderId="1" xfId="0" applyNumberFormat="1" applyFont="1" applyFill="1" applyBorder="1" applyAlignment="1">
      <alignment horizontal="center"/>
    </xf>
    <xf numFmtId="1" fontId="52" fillId="2" borderId="1" xfId="0" applyNumberFormat="1" applyFont="1" applyFill="1" applyBorder="1" applyAlignment="1">
      <alignment horizontal="center"/>
    </xf>
    <xf numFmtId="1" fontId="52" fillId="2" borderId="23" xfId="0" applyNumberFormat="1" applyFont="1" applyFill="1" applyBorder="1" applyAlignment="1">
      <alignment horizontal="center"/>
    </xf>
    <xf numFmtId="169" fontId="52" fillId="2" borderId="1" xfId="0" applyNumberFormat="1" applyFont="1" applyFill="1" applyBorder="1" applyAlignment="1">
      <alignment horizontal="center"/>
    </xf>
    <xf numFmtId="166" fontId="39" fillId="2" borderId="1" xfId="0" applyNumberFormat="1" applyFont="1" applyFill="1" applyBorder="1"/>
    <xf numFmtId="0" fontId="45" fillId="0" borderId="5" xfId="0" applyFont="1" applyBorder="1"/>
    <xf numFmtId="2" fontId="45" fillId="0" borderId="22" xfId="0" applyNumberFormat="1" applyFont="1" applyBorder="1"/>
    <xf numFmtId="1" fontId="51" fillId="16" borderId="34" xfId="0" applyNumberFormat="1" applyFont="1" applyFill="1" applyBorder="1" applyAlignment="1">
      <alignment horizontal="center"/>
    </xf>
    <xf numFmtId="166" fontId="51" fillId="16" borderId="40" xfId="0" applyNumberFormat="1" applyFont="1" applyFill="1" applyBorder="1"/>
    <xf numFmtId="0" fontId="42" fillId="2" borderId="1" xfId="0" applyFont="1" applyFill="1" applyBorder="1" applyAlignment="1">
      <alignment horizontal="center" vertical="center" wrapText="1"/>
    </xf>
    <xf numFmtId="166" fontId="42" fillId="2" borderId="1" xfId="0" applyNumberFormat="1" applyFont="1" applyFill="1" applyBorder="1" applyAlignment="1">
      <alignment horizontal="center" vertical="center" wrapText="1"/>
    </xf>
    <xf numFmtId="9" fontId="42" fillId="2" borderId="1" xfId="0" applyNumberFormat="1" applyFont="1" applyFill="1" applyBorder="1" applyAlignment="1">
      <alignment horizontal="center" vertical="center" wrapText="1"/>
    </xf>
    <xf numFmtId="0" fontId="39" fillId="2" borderId="1" xfId="0" applyFont="1" applyFill="1" applyBorder="1"/>
    <xf numFmtId="0" fontId="39" fillId="2" borderId="23" xfId="0" applyFont="1" applyFill="1" applyBorder="1"/>
    <xf numFmtId="0" fontId="51" fillId="2" borderId="1" xfId="0" applyFont="1" applyFill="1" applyBorder="1" applyAlignment="1">
      <alignment horizontal="center" vertical="center" wrapText="1"/>
    </xf>
    <xf numFmtId="44" fontId="42" fillId="2" borderId="1" xfId="2" applyFont="1" applyFill="1" applyBorder="1" applyAlignment="1">
      <alignment horizontal="center"/>
    </xf>
    <xf numFmtId="167" fontId="63" fillId="0" borderId="0" xfId="0" applyNumberFormat="1" applyFont="1" applyAlignment="1">
      <alignment horizontal="center"/>
    </xf>
    <xf numFmtId="167" fontId="42" fillId="2" borderId="1" xfId="0" applyNumberFormat="1" applyFont="1" applyFill="1" applyBorder="1" applyAlignment="1">
      <alignment horizontal="center" vertical="center"/>
    </xf>
    <xf numFmtId="0" fontId="59" fillId="2" borderId="1" xfId="0" applyFont="1" applyFill="1" applyBorder="1" applyAlignment="1">
      <alignment horizontal="right" vertical="center" wrapText="1"/>
    </xf>
    <xf numFmtId="0" fontId="59" fillId="2" borderId="23" xfId="0" applyFont="1" applyFill="1" applyBorder="1" applyAlignment="1">
      <alignment horizontal="right" vertical="center" wrapText="1"/>
    </xf>
    <xf numFmtId="167" fontId="42" fillId="2" borderId="1" xfId="0" applyNumberFormat="1" applyFont="1" applyFill="1" applyBorder="1" applyAlignment="1">
      <alignment horizontal="center"/>
    </xf>
    <xf numFmtId="167" fontId="51" fillId="0" borderId="0" xfId="0" applyNumberFormat="1" applyFont="1" applyAlignment="1">
      <alignment horizontal="center"/>
    </xf>
    <xf numFmtId="167" fontId="42" fillId="15" borderId="1" xfId="0" applyNumberFormat="1" applyFont="1" applyFill="1" applyBorder="1" applyAlignment="1">
      <alignment horizontal="center"/>
    </xf>
    <xf numFmtId="167" fontId="42" fillId="0" borderId="0" xfId="0" applyNumberFormat="1" applyFont="1" applyAlignment="1">
      <alignment horizontal="center"/>
    </xf>
    <xf numFmtId="0" fontId="59" fillId="2" borderId="1" xfId="0" applyFont="1" applyFill="1" applyBorder="1" applyAlignment="1">
      <alignment horizontal="right"/>
    </xf>
    <xf numFmtId="2" fontId="51" fillId="3" borderId="55" xfId="0" applyNumberFormat="1" applyFont="1" applyFill="1" applyBorder="1" applyAlignment="1">
      <alignment horizontal="center" vertical="center" wrapText="1"/>
    </xf>
    <xf numFmtId="1" fontId="48" fillId="3" borderId="56" xfId="0" applyNumberFormat="1" applyFont="1" applyFill="1" applyBorder="1" applyAlignment="1">
      <alignment horizontal="center" vertical="center" wrapText="1"/>
    </xf>
    <xf numFmtId="0" fontId="37" fillId="0" borderId="0" xfId="0" applyFont="1"/>
    <xf numFmtId="2" fontId="51" fillId="3" borderId="57" xfId="0" applyNumberFormat="1" applyFont="1" applyFill="1" applyBorder="1" applyAlignment="1">
      <alignment horizontal="center" vertical="center" wrapText="1"/>
    </xf>
    <xf numFmtId="1" fontId="48" fillId="3" borderId="58" xfId="0" applyNumberFormat="1" applyFont="1" applyFill="1" applyBorder="1" applyAlignment="1">
      <alignment horizontal="center" vertical="center" wrapText="1"/>
    </xf>
    <xf numFmtId="2" fontId="51" fillId="3" borderId="59" xfId="0" applyNumberFormat="1" applyFont="1" applyFill="1" applyBorder="1" applyAlignment="1">
      <alignment horizontal="center" vertical="center" wrapText="1"/>
    </xf>
    <xf numFmtId="2" fontId="48" fillId="3" borderId="60" xfId="0" applyNumberFormat="1" applyFont="1" applyFill="1" applyBorder="1" applyAlignment="1">
      <alignment horizontal="center" vertical="center" wrapText="1"/>
    </xf>
    <xf numFmtId="2" fontId="37" fillId="0" borderId="34" xfId="0" applyNumberFormat="1" applyFont="1" applyBorder="1"/>
    <xf numFmtId="2" fontId="0" fillId="0" borderId="0" xfId="0" applyNumberFormat="1"/>
    <xf numFmtId="167" fontId="0" fillId="0" borderId="0" xfId="0" applyNumberFormat="1"/>
    <xf numFmtId="0" fontId="35" fillId="0" borderId="23" xfId="10" applyProtection="1">
      <protection locked="0"/>
    </xf>
    <xf numFmtId="0" fontId="69" fillId="18" borderId="38" xfId="10" applyFont="1" applyFill="1" applyBorder="1" applyProtection="1">
      <protection locked="0"/>
    </xf>
    <xf numFmtId="0" fontId="69" fillId="0" borderId="39" xfId="10" applyFont="1" applyBorder="1" applyAlignment="1" applyProtection="1">
      <alignment horizontal="center" wrapText="1"/>
      <protection locked="0"/>
    </xf>
    <xf numFmtId="0" fontId="69" fillId="0" borderId="47" xfId="10" applyFont="1" applyBorder="1" applyAlignment="1" applyProtection="1">
      <alignment horizontal="center" vertical="center" wrapText="1"/>
      <protection locked="0"/>
    </xf>
    <xf numFmtId="0" fontId="69" fillId="0" borderId="38" xfId="10" applyFont="1" applyBorder="1" applyProtection="1">
      <protection locked="0"/>
    </xf>
    <xf numFmtId="0" fontId="69" fillId="0" borderId="48" xfId="10" applyFont="1" applyBorder="1" applyProtection="1">
      <protection locked="0"/>
    </xf>
    <xf numFmtId="0" fontId="69" fillId="19" borderId="49" xfId="10" applyFont="1" applyFill="1" applyBorder="1" applyProtection="1">
      <protection locked="0"/>
    </xf>
    <xf numFmtId="0" fontId="69" fillId="19" borderId="42" xfId="10" applyFont="1" applyFill="1" applyBorder="1" applyProtection="1">
      <protection locked="0"/>
    </xf>
    <xf numFmtId="0" fontId="35" fillId="0" borderId="23" xfId="10" applyAlignment="1" applyProtection="1">
      <alignment horizontal="center"/>
      <protection locked="0"/>
    </xf>
    <xf numFmtId="44" fontId="35" fillId="0" borderId="23" xfId="12" applyProtection="1">
      <protection locked="0"/>
    </xf>
    <xf numFmtId="169" fontId="72" fillId="17" borderId="51" xfId="5" applyNumberFormat="1" applyFont="1" applyFill="1" applyBorder="1" applyAlignment="1" applyProtection="1">
      <alignment horizontal="center"/>
      <protection locked="0"/>
    </xf>
    <xf numFmtId="0" fontId="32" fillId="17" borderId="51" xfId="5" applyFont="1" applyFill="1" applyBorder="1" applyProtection="1">
      <protection locked="0"/>
    </xf>
    <xf numFmtId="169" fontId="32" fillId="17" borderId="51" xfId="1" applyNumberFormat="1" applyFont="1" applyFill="1" applyBorder="1" applyProtection="1">
      <protection locked="0"/>
    </xf>
    <xf numFmtId="169" fontId="72" fillId="17" borderId="51" xfId="1" applyNumberFormat="1" applyFont="1" applyFill="1" applyBorder="1" applyAlignment="1" applyProtection="1">
      <alignment horizontal="center"/>
      <protection locked="0"/>
    </xf>
    <xf numFmtId="0" fontId="69" fillId="17" borderId="38" xfId="10" applyFont="1" applyFill="1" applyBorder="1" applyProtection="1">
      <protection locked="0"/>
    </xf>
    <xf numFmtId="0" fontId="35" fillId="0" borderId="23" xfId="10"/>
    <xf numFmtId="9" fontId="35" fillId="0" borderId="23" xfId="9" applyFont="1" applyBorder="1"/>
    <xf numFmtId="169" fontId="37" fillId="0" borderId="0" xfId="1" applyNumberFormat="1" applyFont="1"/>
    <xf numFmtId="44" fontId="37" fillId="0" borderId="0" xfId="0" applyNumberFormat="1" applyFont="1"/>
    <xf numFmtId="44" fontId="35" fillId="0" borderId="35" xfId="12" applyBorder="1"/>
    <xf numFmtId="44" fontId="69" fillId="0" borderId="35" xfId="2" applyFont="1" applyBorder="1"/>
    <xf numFmtId="169" fontId="71" fillId="20" borderId="36" xfId="11" applyNumberFormat="1" applyFont="1" applyFill="1" applyBorder="1" applyAlignment="1">
      <alignment horizontal="center"/>
    </xf>
    <xf numFmtId="0" fontId="35" fillId="20" borderId="50" xfId="10" applyFill="1" applyBorder="1"/>
    <xf numFmtId="169" fontId="35" fillId="20" borderId="37" xfId="11" applyNumberFormat="1" applyFont="1" applyFill="1" applyBorder="1"/>
    <xf numFmtId="169" fontId="35" fillId="20" borderId="35" xfId="11" applyNumberFormat="1" applyFont="1" applyFill="1" applyBorder="1"/>
    <xf numFmtId="169" fontId="35" fillId="17" borderId="35" xfId="11" applyNumberFormat="1" applyFont="1" applyFill="1" applyBorder="1"/>
    <xf numFmtId="169" fontId="35" fillId="17" borderId="36" xfId="11" applyNumberFormat="1" applyFont="1" applyFill="1" applyBorder="1"/>
    <xf numFmtId="169" fontId="35" fillId="17" borderId="37" xfId="11" applyNumberFormat="1" applyFont="1" applyFill="1" applyBorder="1"/>
    <xf numFmtId="0" fontId="0" fillId="20" borderId="37" xfId="10" applyFont="1" applyFill="1" applyBorder="1"/>
    <xf numFmtId="169" fontId="35" fillId="17" borderId="51" xfId="11" applyNumberFormat="1" applyFont="1" applyFill="1" applyBorder="1"/>
    <xf numFmtId="169" fontId="35" fillId="20" borderId="51" xfId="11" applyNumberFormat="1" applyFont="1" applyFill="1" applyBorder="1"/>
    <xf numFmtId="169" fontId="35" fillId="17" borderId="52" xfId="11" applyNumberFormat="1" applyFont="1" applyFill="1" applyBorder="1"/>
    <xf numFmtId="0" fontId="69" fillId="19" borderId="38" xfId="10" applyFont="1" applyFill="1" applyBorder="1"/>
    <xf numFmtId="169" fontId="72" fillId="19" borderId="51" xfId="10" applyNumberFormat="1" applyFont="1" applyFill="1" applyBorder="1" applyAlignment="1">
      <alignment horizontal="center"/>
    </xf>
    <xf numFmtId="169" fontId="35" fillId="19" borderId="51" xfId="11" applyNumberFormat="1" applyFont="1" applyFill="1" applyBorder="1"/>
    <xf numFmtId="0" fontId="53" fillId="0" borderId="0" xfId="0" applyFont="1" applyAlignment="1" applyProtection="1">
      <alignment vertical="center"/>
      <protection locked="0"/>
    </xf>
    <xf numFmtId="0" fontId="45" fillId="0" borderId="0" xfId="0" applyFont="1" applyAlignment="1" applyProtection="1">
      <alignment vertical="center"/>
      <protection locked="0"/>
    </xf>
    <xf numFmtId="0" fontId="53" fillId="0" borderId="0" xfId="0" applyFont="1" applyProtection="1">
      <protection locked="0"/>
    </xf>
    <xf numFmtId="9" fontId="45" fillId="0" borderId="0" xfId="0" applyNumberFormat="1" applyFont="1" applyProtection="1">
      <protection locked="0"/>
    </xf>
    <xf numFmtId="0" fontId="45" fillId="0" borderId="0" xfId="0" applyFont="1" applyProtection="1">
      <protection locked="0"/>
    </xf>
    <xf numFmtId="0" fontId="43" fillId="0" borderId="0" xfId="0" applyFont="1" applyAlignment="1">
      <alignment horizontal="center" vertical="center" wrapText="1"/>
    </xf>
    <xf numFmtId="9" fontId="53" fillId="0" borderId="0" xfId="0" applyNumberFormat="1" applyFont="1" applyAlignment="1">
      <alignment vertical="center"/>
    </xf>
    <xf numFmtId="0" fontId="53" fillId="0" borderId="0" xfId="0" applyFont="1" applyAlignment="1">
      <alignment horizontal="center" vertical="center"/>
    </xf>
    <xf numFmtId="0" fontId="42" fillId="4" borderId="19" xfId="0" applyFont="1" applyFill="1" applyBorder="1" applyAlignment="1">
      <alignment horizontal="center" vertical="center" wrapText="1"/>
    </xf>
    <xf numFmtId="0" fontId="42" fillId="5" borderId="19" xfId="0" applyFont="1" applyFill="1" applyBorder="1" applyAlignment="1">
      <alignment horizontal="center" vertical="center" wrapText="1"/>
    </xf>
    <xf numFmtId="0" fontId="51" fillId="6" borderId="19" xfId="0" applyFont="1" applyFill="1" applyBorder="1" applyAlignment="1">
      <alignment horizontal="center" vertical="center" wrapText="1"/>
    </xf>
    <xf numFmtId="0" fontId="42" fillId="7" borderId="19" xfId="0" applyFont="1" applyFill="1" applyBorder="1" applyAlignment="1">
      <alignment horizontal="center" vertical="center" wrapText="1"/>
    </xf>
    <xf numFmtId="0" fontId="42" fillId="8" borderId="19" xfId="0" applyFont="1" applyFill="1" applyBorder="1" applyAlignment="1">
      <alignment horizontal="center" vertical="center" wrapText="1"/>
    </xf>
    <xf numFmtId="0" fontId="42" fillId="9" borderId="19" xfId="0" applyFont="1" applyFill="1" applyBorder="1" applyAlignment="1">
      <alignment horizontal="center" vertical="center" wrapText="1"/>
    </xf>
    <xf numFmtId="0" fontId="42" fillId="10" borderId="19" xfId="0" applyFont="1" applyFill="1" applyBorder="1" applyAlignment="1">
      <alignment horizontal="center" vertical="center" wrapText="1"/>
    </xf>
    <xf numFmtId="0" fontId="42" fillId="2" borderId="19" xfId="0" applyFont="1" applyFill="1" applyBorder="1" applyAlignment="1">
      <alignment horizontal="center" vertical="center" wrapText="1"/>
    </xf>
    <xf numFmtId="0" fontId="51" fillId="16" borderId="19" xfId="0" applyFont="1" applyFill="1" applyBorder="1" applyAlignment="1">
      <alignment horizontal="center" vertical="center" wrapText="1"/>
    </xf>
    <xf numFmtId="0" fontId="55" fillId="12" borderId="20" xfId="0" applyFont="1" applyFill="1" applyBorder="1" applyAlignment="1">
      <alignment horizontal="center" vertical="center" wrapText="1"/>
    </xf>
    <xf numFmtId="0" fontId="56" fillId="11" borderId="24" xfId="0" applyFont="1" applyFill="1" applyBorder="1" applyAlignment="1">
      <alignment horizontal="center"/>
    </xf>
    <xf numFmtId="0" fontId="42" fillId="0" borderId="23" xfId="0" applyFont="1" applyBorder="1" applyAlignment="1">
      <alignment horizontal="center" vertical="center" wrapText="1"/>
    </xf>
    <xf numFmtId="0" fontId="57" fillId="12" borderId="53" xfId="0" applyFont="1" applyFill="1" applyBorder="1" applyAlignment="1">
      <alignment horizontal="right"/>
    </xf>
    <xf numFmtId="9" fontId="45" fillId="11" borderId="24" xfId="0" applyNumberFormat="1" applyFont="1" applyFill="1" applyBorder="1"/>
    <xf numFmtId="0" fontId="57" fillId="13" borderId="23" xfId="0" applyFont="1" applyFill="1" applyBorder="1" applyAlignment="1">
      <alignment horizontal="right"/>
    </xf>
    <xf numFmtId="0" fontId="57" fillId="12" borderId="54" xfId="0" applyFont="1" applyFill="1" applyBorder="1" applyAlignment="1">
      <alignment horizontal="right"/>
    </xf>
    <xf numFmtId="9" fontId="45" fillId="11" borderId="25" xfId="0" applyNumberFormat="1" applyFont="1" applyFill="1" applyBorder="1"/>
    <xf numFmtId="0" fontId="57" fillId="13" borderId="32" xfId="0" applyFont="1" applyFill="1" applyBorder="1" applyAlignment="1">
      <alignment horizontal="right"/>
    </xf>
    <xf numFmtId="0" fontId="57" fillId="12" borderId="46" xfId="0" applyFont="1" applyFill="1" applyBorder="1" applyAlignment="1">
      <alignment horizontal="right"/>
    </xf>
    <xf numFmtId="9" fontId="45" fillId="11" borderId="26" xfId="0" applyNumberFormat="1" applyFont="1" applyFill="1" applyBorder="1"/>
    <xf numFmtId="9" fontId="45" fillId="11" borderId="27" xfId="0" applyNumberFormat="1" applyFont="1" applyFill="1" applyBorder="1"/>
    <xf numFmtId="10" fontId="57" fillId="0" borderId="40" xfId="0" applyNumberFormat="1" applyFont="1" applyBorder="1" applyAlignment="1">
      <alignment horizontal="right" vertical="center"/>
    </xf>
    <xf numFmtId="0" fontId="45" fillId="12" borderId="20" xfId="0" applyFont="1" applyFill="1" applyBorder="1" applyAlignment="1">
      <alignment vertical="center"/>
    </xf>
    <xf numFmtId="0" fontId="58" fillId="2" borderId="33" xfId="0" applyFont="1" applyFill="1" applyBorder="1" applyAlignment="1">
      <alignment vertical="center"/>
    </xf>
    <xf numFmtId="0" fontId="45" fillId="0" borderId="40" xfId="0" applyFont="1" applyBorder="1" applyAlignment="1">
      <alignment vertical="center"/>
    </xf>
    <xf numFmtId="0" fontId="45" fillId="0" borderId="0" xfId="0" applyFont="1" applyAlignment="1">
      <alignment vertical="center"/>
    </xf>
    <xf numFmtId="10" fontId="45" fillId="14" borderId="27" xfId="0" applyNumberFormat="1" applyFont="1" applyFill="1" applyBorder="1"/>
    <xf numFmtId="9" fontId="45" fillId="0" borderId="0" xfId="0" applyNumberFormat="1" applyFont="1"/>
    <xf numFmtId="0" fontId="57" fillId="12" borderId="29" xfId="0" applyFont="1" applyFill="1" applyBorder="1" applyAlignment="1">
      <alignment horizontal="right"/>
    </xf>
    <xf numFmtId="0" fontId="57" fillId="12" borderId="23" xfId="0" applyFont="1" applyFill="1" applyBorder="1" applyAlignment="1">
      <alignment horizontal="right"/>
    </xf>
    <xf numFmtId="0" fontId="57" fillId="12" borderId="32" xfId="0" applyFont="1" applyFill="1" applyBorder="1" applyAlignment="1">
      <alignment horizontal="right"/>
    </xf>
    <xf numFmtId="0" fontId="45" fillId="12" borderId="21" xfId="0" applyFont="1" applyFill="1" applyBorder="1" applyAlignment="1">
      <alignment vertical="center"/>
    </xf>
    <xf numFmtId="10" fontId="57" fillId="0" borderId="23" xfId="0" applyNumberFormat="1" applyFont="1" applyBorder="1" applyAlignment="1">
      <alignment horizontal="center" vertical="center"/>
    </xf>
    <xf numFmtId="0" fontId="76" fillId="0" borderId="23" xfId="10" applyFont="1"/>
    <xf numFmtId="0" fontId="39" fillId="0" borderId="0" xfId="0" applyFont="1"/>
    <xf numFmtId="0" fontId="49" fillId="0" borderId="0" xfId="0" applyFont="1"/>
    <xf numFmtId="0" fontId="77" fillId="0" borderId="23" xfId="0" applyFont="1" applyBorder="1" applyProtection="1">
      <protection locked="0"/>
    </xf>
    <xf numFmtId="0" fontId="39" fillId="0" borderId="23" xfId="0" applyFont="1" applyBorder="1" applyProtection="1">
      <protection locked="0"/>
    </xf>
    <xf numFmtId="0" fontId="42" fillId="4" borderId="19" xfId="0" applyFont="1" applyFill="1" applyBorder="1" applyAlignment="1" applyProtection="1">
      <alignment horizontal="center" vertical="center" wrapText="1"/>
      <protection locked="0"/>
    </xf>
    <xf numFmtId="0" fontId="42" fillId="5" borderId="19" xfId="0" applyFont="1" applyFill="1" applyBorder="1" applyAlignment="1" applyProtection="1">
      <alignment horizontal="center" vertical="center" wrapText="1"/>
      <protection locked="0"/>
    </xf>
    <xf numFmtId="0" fontId="51" fillId="6" borderId="19" xfId="0" applyFont="1" applyFill="1" applyBorder="1" applyAlignment="1" applyProtection="1">
      <alignment horizontal="center" vertical="center" wrapText="1"/>
      <protection locked="0"/>
    </xf>
    <xf numFmtId="0" fontId="42" fillId="7" borderId="19" xfId="0" applyFont="1" applyFill="1" applyBorder="1" applyAlignment="1" applyProtection="1">
      <alignment horizontal="center" vertical="center" wrapText="1"/>
      <protection locked="0"/>
    </xf>
    <xf numFmtId="0" fontId="42" fillId="8" borderId="19" xfId="0" applyFont="1" applyFill="1" applyBorder="1" applyAlignment="1" applyProtection="1">
      <alignment horizontal="center" vertical="center" wrapText="1"/>
      <protection locked="0"/>
    </xf>
    <xf numFmtId="0" fontId="42" fillId="9" borderId="19" xfId="0" applyFont="1" applyFill="1" applyBorder="1" applyAlignment="1" applyProtection="1">
      <alignment horizontal="center" vertical="center" wrapText="1"/>
      <protection locked="0"/>
    </xf>
    <xf numFmtId="0" fontId="42" fillId="10" borderId="19" xfId="0" applyFont="1" applyFill="1" applyBorder="1" applyAlignment="1" applyProtection="1">
      <alignment horizontal="center" vertical="center" wrapText="1"/>
      <protection locked="0"/>
    </xf>
    <xf numFmtId="0" fontId="42" fillId="2" borderId="19" xfId="0" applyFont="1" applyFill="1" applyBorder="1" applyAlignment="1" applyProtection="1">
      <alignment horizontal="center" vertical="center" wrapText="1"/>
      <protection locked="0"/>
    </xf>
    <xf numFmtId="0" fontId="51" fillId="16" borderId="19" xfId="0" applyFont="1" applyFill="1" applyBorder="1" applyAlignment="1" applyProtection="1">
      <alignment horizontal="center" vertical="center" wrapText="1"/>
      <protection locked="0"/>
    </xf>
    <xf numFmtId="0" fontId="51" fillId="0" borderId="23" xfId="0" applyFont="1" applyBorder="1" applyAlignment="1" applyProtection="1">
      <alignment horizontal="center"/>
      <protection locked="0"/>
    </xf>
    <xf numFmtId="0" fontId="0" fillId="0" borderId="23" xfId="0" applyBorder="1" applyProtection="1">
      <protection locked="0"/>
    </xf>
    <xf numFmtId="0" fontId="39" fillId="0" borderId="5" xfId="0" applyFont="1" applyBorder="1" applyProtection="1">
      <protection locked="0"/>
    </xf>
    <xf numFmtId="0" fontId="39" fillId="0" borderId="5" xfId="0" applyFont="1" applyBorder="1" applyAlignment="1" applyProtection="1">
      <alignment horizontal="center"/>
      <protection locked="0"/>
    </xf>
    <xf numFmtId="0" fontId="39" fillId="0" borderId="62" xfId="0" applyFont="1" applyBorder="1" applyAlignment="1" applyProtection="1">
      <alignment horizontal="center"/>
      <protection locked="0"/>
    </xf>
    <xf numFmtId="165" fontId="51" fillId="0" borderId="62" xfId="0" applyNumberFormat="1" applyFont="1" applyBorder="1" applyAlignment="1" applyProtection="1">
      <alignment horizontal="center"/>
      <protection locked="0"/>
    </xf>
    <xf numFmtId="1" fontId="51" fillId="0" borderId="5" xfId="0" applyNumberFormat="1" applyFont="1" applyBorder="1" applyAlignment="1" applyProtection="1">
      <alignment horizontal="center"/>
      <protection locked="0"/>
    </xf>
    <xf numFmtId="165" fontId="52" fillId="0" borderId="5" xfId="0" applyNumberFormat="1" applyFont="1" applyBorder="1" applyAlignment="1" applyProtection="1">
      <alignment horizontal="center"/>
      <protection locked="0"/>
    </xf>
    <xf numFmtId="165" fontId="39" fillId="0" borderId="5" xfId="0" applyNumberFormat="1" applyFont="1" applyBorder="1" applyAlignment="1" applyProtection="1">
      <alignment horizontal="center"/>
      <protection locked="0"/>
    </xf>
    <xf numFmtId="1" fontId="39" fillId="0" borderId="5" xfId="0" applyNumberFormat="1" applyFont="1" applyBorder="1" applyAlignment="1" applyProtection="1">
      <alignment horizontal="center"/>
      <protection locked="0"/>
    </xf>
    <xf numFmtId="1" fontId="39" fillId="0" borderId="64" xfId="0" applyNumberFormat="1" applyFont="1" applyBorder="1" applyAlignment="1" applyProtection="1">
      <alignment horizontal="center"/>
      <protection locked="0"/>
    </xf>
    <xf numFmtId="166" fontId="39" fillId="0" borderId="61" xfId="0" applyNumberFormat="1" applyFont="1" applyBorder="1" applyProtection="1">
      <protection locked="0"/>
    </xf>
    <xf numFmtId="2" fontId="51" fillId="3" borderId="22" xfId="0" applyNumberFormat="1" applyFont="1" applyFill="1" applyBorder="1" applyAlignment="1" applyProtection="1">
      <alignment horizontal="center" vertical="center" wrapText="1"/>
      <protection locked="0"/>
    </xf>
    <xf numFmtId="0" fontId="42" fillId="2" borderId="65" xfId="0" applyFont="1" applyFill="1" applyBorder="1" applyAlignment="1" applyProtection="1">
      <alignment horizontal="center" vertical="center" wrapText="1"/>
      <protection locked="0"/>
    </xf>
    <xf numFmtId="0" fontId="42" fillId="2" borderId="66" xfId="0" applyFont="1" applyFill="1" applyBorder="1" applyAlignment="1" applyProtection="1">
      <alignment horizontal="center" vertical="center" wrapText="1"/>
      <protection locked="0"/>
    </xf>
    <xf numFmtId="0" fontId="42" fillId="2" borderId="67" xfId="0" applyFont="1" applyFill="1" applyBorder="1" applyAlignment="1" applyProtection="1">
      <alignment horizontal="center" vertical="center" wrapText="1"/>
      <protection locked="0"/>
    </xf>
    <xf numFmtId="0" fontId="42" fillId="2" borderId="68" xfId="0" applyFont="1" applyFill="1" applyBorder="1" applyAlignment="1" applyProtection="1">
      <alignment horizontal="center" vertical="center" wrapText="1"/>
      <protection locked="0"/>
    </xf>
    <xf numFmtId="49" fontId="42" fillId="4" borderId="68" xfId="0" applyNumberFormat="1" applyFont="1" applyFill="1" applyBorder="1" applyAlignment="1" applyProtection="1">
      <alignment horizontal="center" vertical="center" wrapText="1"/>
      <protection locked="0"/>
    </xf>
    <xf numFmtId="49" fontId="42" fillId="5" borderId="68" xfId="0" applyNumberFormat="1" applyFont="1" applyFill="1" applyBorder="1" applyAlignment="1" applyProtection="1">
      <alignment horizontal="center" vertical="center" wrapText="1"/>
      <protection locked="0"/>
    </xf>
    <xf numFmtId="49" fontId="51" fillId="6" borderId="68" xfId="0" applyNumberFormat="1" applyFont="1" applyFill="1" applyBorder="1" applyAlignment="1" applyProtection="1">
      <alignment horizontal="center" vertical="center" wrapText="1"/>
      <protection locked="0"/>
    </xf>
    <xf numFmtId="49" fontId="42" fillId="7" borderId="68" xfId="0" applyNumberFormat="1" applyFont="1" applyFill="1" applyBorder="1" applyAlignment="1" applyProtection="1">
      <alignment horizontal="center" vertical="center" wrapText="1"/>
      <protection locked="0"/>
    </xf>
    <xf numFmtId="49" fontId="42" fillId="8" borderId="68" xfId="0" applyNumberFormat="1" applyFont="1" applyFill="1" applyBorder="1" applyAlignment="1" applyProtection="1">
      <alignment horizontal="center" vertical="center" wrapText="1"/>
      <protection locked="0"/>
    </xf>
    <xf numFmtId="49" fontId="42" fillId="9" borderId="68" xfId="0" applyNumberFormat="1" applyFont="1" applyFill="1" applyBorder="1" applyAlignment="1" applyProtection="1">
      <alignment horizontal="center" vertical="center" wrapText="1"/>
      <protection locked="0"/>
    </xf>
    <xf numFmtId="49" fontId="42" fillId="10" borderId="68" xfId="0" applyNumberFormat="1" applyFont="1" applyFill="1" applyBorder="1" applyAlignment="1" applyProtection="1">
      <alignment horizontal="center" vertical="center" wrapText="1"/>
      <protection locked="0"/>
    </xf>
    <xf numFmtId="49" fontId="42" fillId="2" borderId="68"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protection locked="0"/>
    </xf>
    <xf numFmtId="2" fontId="42" fillId="2" borderId="66" xfId="0" applyNumberFormat="1" applyFont="1" applyFill="1" applyBorder="1" applyAlignment="1" applyProtection="1">
      <alignment horizontal="center" vertical="center" wrapText="1"/>
      <protection locked="0"/>
    </xf>
    <xf numFmtId="0" fontId="42" fillId="2" borderId="41" xfId="0" applyFont="1" applyFill="1" applyBorder="1" applyAlignment="1" applyProtection="1">
      <alignment horizontal="center" vertical="center" wrapText="1"/>
      <protection locked="0"/>
    </xf>
    <xf numFmtId="0" fontId="75" fillId="21" borderId="70" xfId="0" applyFont="1" applyFill="1" applyBorder="1" applyProtection="1">
      <protection locked="0"/>
    </xf>
    <xf numFmtId="0" fontId="75" fillId="21" borderId="39" xfId="0" applyFont="1" applyFill="1" applyBorder="1" applyProtection="1">
      <protection locked="0"/>
    </xf>
    <xf numFmtId="44" fontId="48" fillId="3" borderId="56" xfId="2" applyFont="1" applyFill="1" applyBorder="1" applyAlignment="1">
      <alignment horizontal="center" vertical="center" wrapText="1"/>
    </xf>
    <xf numFmtId="0" fontId="79" fillId="0" borderId="0" xfId="0" applyFont="1" applyProtection="1">
      <protection locked="0"/>
    </xf>
    <xf numFmtId="49" fontId="51" fillId="16" borderId="68" xfId="0" applyNumberFormat="1" applyFont="1" applyFill="1" applyBorder="1" applyAlignment="1" applyProtection="1">
      <alignment horizontal="center" vertical="center" wrapText="1"/>
      <protection locked="0"/>
    </xf>
    <xf numFmtId="0" fontId="78" fillId="0" borderId="0" xfId="0" applyFont="1" applyAlignment="1" applyProtection="1">
      <alignment horizontal="center" vertical="center"/>
      <protection locked="0"/>
    </xf>
    <xf numFmtId="0" fontId="65" fillId="39" borderId="23" xfId="0" applyFont="1" applyFill="1" applyBorder="1" applyAlignment="1" applyProtection="1">
      <alignment horizontal="left"/>
      <protection locked="0"/>
    </xf>
    <xf numFmtId="0" fontId="79" fillId="21" borderId="23" xfId="0" applyFont="1" applyFill="1" applyBorder="1" applyProtection="1">
      <protection locked="0"/>
    </xf>
    <xf numFmtId="0" fontId="86" fillId="21" borderId="0" xfId="0" applyFont="1" applyFill="1" applyProtection="1">
      <protection locked="0"/>
    </xf>
    <xf numFmtId="0" fontId="75" fillId="21" borderId="0" xfId="0" applyFont="1" applyFill="1" applyAlignment="1" applyProtection="1">
      <alignment vertical="center"/>
      <protection locked="0"/>
    </xf>
    <xf numFmtId="10" fontId="42" fillId="2" borderId="1" xfId="0" applyNumberFormat="1" applyFont="1" applyFill="1" applyBorder="1" applyAlignment="1">
      <alignment horizontal="center" vertical="center" wrapText="1"/>
    </xf>
    <xf numFmtId="165" fontId="52" fillId="2" borderId="1" xfId="0" applyNumberFormat="1" applyFont="1" applyFill="1" applyBorder="1" applyAlignment="1">
      <alignment horizontal="center"/>
    </xf>
    <xf numFmtId="0" fontId="37" fillId="0" borderId="40" xfId="0" applyFont="1" applyBorder="1" applyAlignment="1">
      <alignment vertical="center"/>
    </xf>
    <xf numFmtId="10" fontId="57" fillId="0" borderId="27" xfId="0" applyNumberFormat="1" applyFont="1" applyBorder="1" applyAlignment="1">
      <alignment vertical="center"/>
    </xf>
    <xf numFmtId="0" fontId="40" fillId="0" borderId="0" xfId="0" applyFont="1" applyAlignment="1" applyProtection="1">
      <alignment horizontal="center"/>
      <protection locked="0"/>
    </xf>
    <xf numFmtId="0" fontId="50" fillId="0" borderId="0" xfId="0" applyFont="1" applyAlignment="1">
      <alignment vertical="center"/>
    </xf>
    <xf numFmtId="0" fontId="88" fillId="0" borderId="23" xfId="0" applyFont="1" applyBorder="1"/>
    <xf numFmtId="0" fontId="50" fillId="0" borderId="28" xfId="0" applyFont="1" applyBorder="1" applyAlignment="1">
      <alignment horizontal="center"/>
    </xf>
    <xf numFmtId="0" fontId="50" fillId="0" borderId="30" xfId="0" applyFont="1" applyBorder="1" applyAlignment="1">
      <alignment horizontal="center"/>
    </xf>
    <xf numFmtId="0" fontId="50" fillId="0" borderId="31" xfId="0" applyFont="1" applyBorder="1" applyAlignment="1">
      <alignment horizontal="center"/>
    </xf>
    <xf numFmtId="0" fontId="50" fillId="0" borderId="0" xfId="0" applyFont="1" applyAlignment="1">
      <alignment horizontal="center" vertical="center" wrapText="1"/>
    </xf>
    <xf numFmtId="0" fontId="50" fillId="0" borderId="0" xfId="0" applyFont="1"/>
    <xf numFmtId="0" fontId="81" fillId="0" borderId="0" xfId="26" applyAlignment="1" applyProtection="1">
      <alignment horizontal="left"/>
      <protection locked="0"/>
    </xf>
    <xf numFmtId="0" fontId="0" fillId="0" borderId="0" xfId="0" applyAlignment="1">
      <alignment horizontal="center" vertical="center"/>
    </xf>
    <xf numFmtId="0" fontId="91" fillId="21" borderId="0" xfId="0" applyFont="1" applyFill="1" applyAlignment="1" applyProtection="1">
      <alignment vertical="center"/>
      <protection locked="0"/>
    </xf>
    <xf numFmtId="0" fontId="79" fillId="21" borderId="0" xfId="0" applyFont="1" applyFill="1" applyProtection="1">
      <protection locked="0"/>
    </xf>
    <xf numFmtId="0" fontId="86" fillId="21" borderId="23" xfId="0" applyFont="1" applyFill="1" applyBorder="1" applyProtection="1">
      <protection locked="0"/>
    </xf>
    <xf numFmtId="0" fontId="0" fillId="0" borderId="23" xfId="0" applyBorder="1" applyAlignment="1">
      <alignment horizontal="center" vertical="center"/>
    </xf>
    <xf numFmtId="0" fontId="79" fillId="21" borderId="23" xfId="0" applyFont="1" applyFill="1" applyBorder="1" applyAlignment="1" applyProtection="1">
      <alignment horizontal="left" vertical="center"/>
      <protection locked="0"/>
    </xf>
    <xf numFmtId="0" fontId="83" fillId="2" borderId="23" xfId="0" applyFont="1" applyFill="1" applyBorder="1" applyAlignment="1" applyProtection="1">
      <alignment horizontal="left" vertical="center"/>
      <protection locked="0"/>
    </xf>
    <xf numFmtId="0" fontId="0" fillId="0" borderId="23" xfId="0" applyBorder="1"/>
    <xf numFmtId="0" fontId="80" fillId="54" borderId="23" xfId="0" applyFont="1" applyFill="1" applyBorder="1" applyAlignment="1" applyProtection="1">
      <alignment horizontal="center" vertical="center"/>
      <protection locked="0"/>
    </xf>
    <xf numFmtId="0" fontId="80" fillId="57" borderId="23" xfId="0" applyFont="1" applyFill="1" applyBorder="1" applyAlignment="1" applyProtection="1">
      <alignment horizontal="center" vertical="center"/>
      <protection locked="0"/>
    </xf>
    <xf numFmtId="0" fontId="80" fillId="63" borderId="23" xfId="0" applyFont="1" applyFill="1" applyBorder="1" applyAlignment="1" applyProtection="1">
      <alignment horizontal="center" vertical="center"/>
      <protection locked="0"/>
    </xf>
    <xf numFmtId="0" fontId="0" fillId="66" borderId="23" xfId="0" applyFill="1" applyBorder="1" applyProtection="1">
      <protection locked="0"/>
    </xf>
    <xf numFmtId="0" fontId="0" fillId="67" borderId="23" xfId="0" applyFill="1" applyBorder="1" applyProtection="1">
      <protection locked="0"/>
    </xf>
    <xf numFmtId="0" fontId="78" fillId="73" borderId="23" xfId="0" applyFont="1" applyFill="1" applyBorder="1" applyProtection="1">
      <protection locked="0"/>
    </xf>
    <xf numFmtId="0" fontId="78" fillId="74" borderId="23" xfId="0" applyFont="1" applyFill="1" applyBorder="1" applyProtection="1">
      <protection locked="0"/>
    </xf>
    <xf numFmtId="0" fontId="78" fillId="75" borderId="23" xfId="0" applyFont="1" applyFill="1" applyBorder="1" applyProtection="1">
      <protection locked="0"/>
    </xf>
    <xf numFmtId="0" fontId="78" fillId="76" borderId="23" xfId="0" applyFont="1" applyFill="1" applyBorder="1" applyProtection="1">
      <protection locked="0"/>
    </xf>
    <xf numFmtId="0" fontId="78" fillId="78" borderId="23" xfId="0" applyFont="1" applyFill="1" applyBorder="1" applyAlignment="1" applyProtection="1">
      <alignment vertical="center"/>
      <protection locked="0"/>
    </xf>
    <xf numFmtId="0" fontId="78" fillId="45" borderId="23" xfId="0" applyFont="1" applyFill="1" applyBorder="1" applyAlignment="1" applyProtection="1">
      <alignment horizontal="left" vertical="center"/>
      <protection locked="0"/>
    </xf>
    <xf numFmtId="0" fontId="78" fillId="79" borderId="23" xfId="0" applyFont="1" applyFill="1" applyBorder="1" applyAlignment="1" applyProtection="1">
      <alignment horizontal="left" vertical="center"/>
      <protection locked="0"/>
    </xf>
    <xf numFmtId="0" fontId="79" fillId="0" borderId="23" xfId="0" applyFont="1" applyBorder="1" applyAlignment="1" applyProtection="1">
      <alignment horizontal="left" vertical="center"/>
      <protection locked="0"/>
    </xf>
    <xf numFmtId="0" fontId="83" fillId="0" borderId="23" xfId="0" applyFont="1" applyBorder="1" applyAlignment="1" applyProtection="1">
      <alignment horizontal="left" vertical="center"/>
      <protection locked="0"/>
    </xf>
    <xf numFmtId="0" fontId="79" fillId="21" borderId="23" xfId="0" applyFont="1" applyFill="1" applyBorder="1" applyAlignment="1" applyProtection="1">
      <alignment horizontal="left"/>
      <protection locked="0"/>
    </xf>
    <xf numFmtId="0" fontId="79" fillId="88" borderId="23" xfId="0" applyFont="1" applyFill="1" applyBorder="1" applyAlignment="1" applyProtection="1">
      <alignment horizontal="center" vertical="center"/>
      <protection locked="0"/>
    </xf>
    <xf numFmtId="0" fontId="79" fillId="56" borderId="23" xfId="0" applyFont="1" applyFill="1" applyBorder="1" applyAlignment="1" applyProtection="1">
      <alignment horizontal="center" vertical="center"/>
      <protection locked="0"/>
    </xf>
    <xf numFmtId="0" fontId="79" fillId="58" borderId="23" xfId="0" applyFont="1" applyFill="1" applyBorder="1" applyAlignment="1" applyProtection="1">
      <alignment horizontal="center" vertical="center"/>
      <protection locked="0"/>
    </xf>
    <xf numFmtId="0" fontId="79" fillId="59" borderId="23" xfId="0" applyFont="1" applyFill="1" applyBorder="1" applyAlignment="1" applyProtection="1">
      <alignment horizontal="center" vertical="center"/>
      <protection locked="0"/>
    </xf>
    <xf numFmtId="0" fontId="65" fillId="59" borderId="23" xfId="0" applyFont="1" applyFill="1" applyBorder="1" applyAlignment="1" applyProtection="1">
      <alignment horizontal="left" vertical="center"/>
      <protection locked="0"/>
    </xf>
    <xf numFmtId="0" fontId="79" fillId="60" borderId="23" xfId="0" applyFont="1" applyFill="1" applyBorder="1" applyAlignment="1" applyProtection="1">
      <alignment horizontal="center" vertical="center"/>
      <protection locked="0"/>
    </xf>
    <xf numFmtId="0" fontId="80" fillId="65" borderId="23" xfId="0" applyFont="1" applyFill="1" applyBorder="1" applyAlignment="1" applyProtection="1">
      <alignment horizontal="center"/>
      <protection locked="0"/>
    </xf>
    <xf numFmtId="0" fontId="80" fillId="61" borderId="23" xfId="0" applyFont="1" applyFill="1" applyBorder="1" applyAlignment="1" applyProtection="1">
      <alignment horizontal="center" vertical="center"/>
      <protection locked="0"/>
    </xf>
    <xf numFmtId="0" fontId="80" fillId="62" borderId="23" xfId="0" applyFont="1" applyFill="1" applyBorder="1" applyAlignment="1" applyProtection="1">
      <alignment horizontal="center" vertical="center"/>
      <protection locked="0"/>
    </xf>
    <xf numFmtId="0" fontId="80" fillId="64" borderId="23" xfId="0" applyFont="1" applyFill="1" applyBorder="1" applyAlignment="1" applyProtection="1">
      <alignment horizontal="center" vertical="center"/>
      <protection locked="0"/>
    </xf>
    <xf numFmtId="0" fontId="80" fillId="55" borderId="23" xfId="0" applyFont="1" applyFill="1" applyBorder="1" applyAlignment="1" applyProtection="1">
      <alignment horizontal="center" vertical="center"/>
      <protection locked="0"/>
    </xf>
    <xf numFmtId="0" fontId="78" fillId="66" borderId="23" xfId="0" applyFont="1" applyFill="1" applyBorder="1" applyAlignment="1" applyProtection="1">
      <alignment horizontal="center"/>
      <protection locked="0"/>
    </xf>
    <xf numFmtId="0" fontId="78" fillId="0" borderId="23" xfId="0" applyFont="1" applyBorder="1" applyAlignment="1" applyProtection="1">
      <alignment horizontal="center"/>
      <protection locked="0"/>
    </xf>
    <xf numFmtId="0" fontId="78" fillId="67" borderId="23" xfId="0" applyFont="1" applyFill="1" applyBorder="1" applyAlignment="1" applyProtection="1">
      <alignment horizontal="center"/>
      <protection locked="0"/>
    </xf>
    <xf numFmtId="0" fontId="84" fillId="68" borderId="23" xfId="0" applyFont="1" applyFill="1" applyBorder="1" applyAlignment="1" applyProtection="1">
      <alignment horizontal="center"/>
      <protection locked="0"/>
    </xf>
    <xf numFmtId="0" fontId="78" fillId="53" borderId="23" xfId="0" applyFont="1" applyFill="1" applyBorder="1" applyAlignment="1" applyProtection="1">
      <alignment horizontal="center"/>
      <protection locked="0"/>
    </xf>
    <xf numFmtId="0" fontId="80" fillId="69" borderId="23" xfId="0" applyFont="1" applyFill="1" applyBorder="1" applyAlignment="1" applyProtection="1">
      <alignment horizontal="center"/>
      <protection locked="0"/>
    </xf>
    <xf numFmtId="0" fontId="80" fillId="70" borderId="23" xfId="0" applyFont="1" applyFill="1" applyBorder="1" applyAlignment="1" applyProtection="1">
      <alignment horizontal="center"/>
      <protection locked="0"/>
    </xf>
    <xf numFmtId="0" fontId="80" fillId="71" borderId="23" xfId="0" applyFont="1" applyFill="1" applyBorder="1" applyAlignment="1" applyProtection="1">
      <alignment horizontal="center"/>
      <protection locked="0"/>
    </xf>
    <xf numFmtId="0" fontId="80" fillId="72" borderId="23" xfId="0" applyFont="1" applyFill="1" applyBorder="1" applyAlignment="1" applyProtection="1">
      <alignment horizontal="center"/>
      <protection locked="0"/>
    </xf>
    <xf numFmtId="0" fontId="80" fillId="80" borderId="23" xfId="0" applyFont="1" applyFill="1" applyBorder="1" applyAlignment="1" applyProtection="1">
      <alignment horizontal="center"/>
      <protection locked="0"/>
    </xf>
    <xf numFmtId="0" fontId="83" fillId="4" borderId="19" xfId="0" applyFont="1" applyFill="1" applyBorder="1" applyAlignment="1" applyProtection="1">
      <alignment horizontal="center" vertical="center" wrapText="1"/>
      <protection locked="0"/>
    </xf>
    <xf numFmtId="49" fontId="83" fillId="4" borderId="73" xfId="0" applyNumberFormat="1" applyFont="1" applyFill="1" applyBorder="1" applyAlignment="1" applyProtection="1">
      <alignment horizontal="center" vertical="center" wrapText="1"/>
      <protection locked="0"/>
    </xf>
    <xf numFmtId="49" fontId="83" fillId="4" borderId="63" xfId="0" applyNumberFormat="1" applyFont="1" applyFill="1" applyBorder="1" applyAlignment="1" applyProtection="1">
      <alignment horizontal="center" vertical="center" wrapText="1"/>
      <protection locked="0"/>
    </xf>
    <xf numFmtId="0" fontId="83" fillId="5" borderId="19" xfId="0" applyFont="1" applyFill="1" applyBorder="1" applyAlignment="1" applyProtection="1">
      <alignment horizontal="center" vertical="center" wrapText="1"/>
      <protection locked="0"/>
    </xf>
    <xf numFmtId="49" fontId="83" fillId="5" borderId="73" xfId="0" applyNumberFormat="1" applyFont="1" applyFill="1" applyBorder="1" applyAlignment="1" applyProtection="1">
      <alignment horizontal="center" vertical="center" wrapText="1"/>
      <protection locked="0"/>
    </xf>
    <xf numFmtId="49" fontId="83" fillId="5" borderId="23" xfId="0" applyNumberFormat="1" applyFont="1" applyFill="1" applyBorder="1" applyAlignment="1" applyProtection="1">
      <alignment horizontal="center" vertical="center" wrapText="1"/>
      <protection locked="0"/>
    </xf>
    <xf numFmtId="0" fontId="50" fillId="6" borderId="19" xfId="0" applyFont="1" applyFill="1" applyBorder="1" applyAlignment="1" applyProtection="1">
      <alignment horizontal="center" vertical="center" wrapText="1"/>
      <protection locked="0"/>
    </xf>
    <xf numFmtId="49" fontId="50" fillId="6" borderId="73" xfId="0" applyNumberFormat="1" applyFont="1" applyFill="1" applyBorder="1" applyAlignment="1" applyProtection="1">
      <alignment horizontal="center" vertical="center" wrapText="1"/>
      <protection locked="0"/>
    </xf>
    <xf numFmtId="49" fontId="50" fillId="6" borderId="63" xfId="0" applyNumberFormat="1" applyFont="1" applyFill="1" applyBorder="1" applyAlignment="1" applyProtection="1">
      <alignment horizontal="center" vertical="center" wrapText="1"/>
      <protection locked="0"/>
    </xf>
    <xf numFmtId="0" fontId="83" fillId="7" borderId="19" xfId="0" applyFont="1" applyFill="1" applyBorder="1" applyAlignment="1" applyProtection="1">
      <alignment horizontal="center" vertical="center" wrapText="1"/>
      <protection locked="0"/>
    </xf>
    <xf numFmtId="49" fontId="83" fillId="7" borderId="73" xfId="0" applyNumberFormat="1" applyFont="1" applyFill="1" applyBorder="1" applyAlignment="1" applyProtection="1">
      <alignment horizontal="center" vertical="center" wrapText="1"/>
      <protection locked="0"/>
    </xf>
    <xf numFmtId="49" fontId="83" fillId="7" borderId="63" xfId="0" applyNumberFormat="1" applyFont="1" applyFill="1" applyBorder="1" applyAlignment="1" applyProtection="1">
      <alignment horizontal="center" vertical="center" wrapText="1"/>
      <protection locked="0"/>
    </xf>
    <xf numFmtId="0" fontId="83" fillId="8" borderId="19" xfId="0" applyFont="1" applyFill="1" applyBorder="1" applyAlignment="1" applyProtection="1">
      <alignment horizontal="center" vertical="center" wrapText="1"/>
      <protection locked="0"/>
    </xf>
    <xf numFmtId="49" fontId="83" fillId="8" borderId="73" xfId="0" applyNumberFormat="1" applyFont="1" applyFill="1" applyBorder="1" applyAlignment="1" applyProtection="1">
      <alignment horizontal="center" vertical="center" wrapText="1"/>
      <protection locked="0"/>
    </xf>
    <xf numFmtId="49" fontId="83" fillId="8" borderId="63" xfId="0" applyNumberFormat="1" applyFont="1" applyFill="1" applyBorder="1" applyAlignment="1" applyProtection="1">
      <alignment horizontal="center" vertical="center" wrapText="1"/>
      <protection locked="0"/>
    </xf>
    <xf numFmtId="0" fontId="83" fillId="9" borderId="19" xfId="0" applyFont="1" applyFill="1" applyBorder="1" applyAlignment="1" applyProtection="1">
      <alignment horizontal="center" vertical="center" wrapText="1"/>
      <protection locked="0"/>
    </xf>
    <xf numFmtId="49" fontId="83" fillId="9" borderId="73" xfId="0" applyNumberFormat="1" applyFont="1" applyFill="1" applyBorder="1" applyAlignment="1" applyProtection="1">
      <alignment horizontal="center" vertical="center" wrapText="1"/>
      <protection locked="0"/>
    </xf>
    <xf numFmtId="49" fontId="83" fillId="9" borderId="63" xfId="0" applyNumberFormat="1" applyFont="1" applyFill="1" applyBorder="1" applyAlignment="1" applyProtection="1">
      <alignment horizontal="center" vertical="center" wrapText="1"/>
      <protection locked="0"/>
    </xf>
    <xf numFmtId="0" fontId="83" fillId="10" borderId="19" xfId="0" applyFont="1" applyFill="1" applyBorder="1" applyAlignment="1" applyProtection="1">
      <alignment horizontal="center" vertical="center" wrapText="1"/>
      <protection locked="0"/>
    </xf>
    <xf numFmtId="49" fontId="83" fillId="10" borderId="73" xfId="0" applyNumberFormat="1" applyFont="1" applyFill="1" applyBorder="1" applyAlignment="1" applyProtection="1">
      <alignment horizontal="center" vertical="center" wrapText="1"/>
      <protection locked="0"/>
    </xf>
    <xf numFmtId="49" fontId="83" fillId="10" borderId="63" xfId="0" applyNumberFormat="1" applyFont="1" applyFill="1" applyBorder="1" applyAlignment="1" applyProtection="1">
      <alignment horizontal="center" vertical="center" wrapText="1"/>
      <protection locked="0"/>
    </xf>
    <xf numFmtId="0" fontId="83" fillId="2" borderId="19" xfId="0" applyFont="1" applyFill="1" applyBorder="1" applyAlignment="1" applyProtection="1">
      <alignment horizontal="center" vertical="center" wrapText="1"/>
      <protection locked="0"/>
    </xf>
    <xf numFmtId="49" fontId="83" fillId="2" borderId="73" xfId="0" applyNumberFormat="1" applyFont="1" applyFill="1" applyBorder="1" applyAlignment="1" applyProtection="1">
      <alignment horizontal="center" vertical="center" wrapText="1"/>
      <protection locked="0"/>
    </xf>
    <xf numFmtId="49" fontId="83" fillId="2" borderId="71" xfId="0" applyNumberFormat="1" applyFont="1" applyFill="1" applyBorder="1" applyAlignment="1" applyProtection="1">
      <alignment horizontal="center" vertical="center" wrapText="1"/>
      <protection locked="0"/>
    </xf>
    <xf numFmtId="0" fontId="79" fillId="81" borderId="23" xfId="0" applyFont="1" applyFill="1" applyBorder="1" applyAlignment="1" applyProtection="1">
      <alignment horizontal="center"/>
      <protection locked="0"/>
    </xf>
    <xf numFmtId="0" fontId="80" fillId="38" borderId="23" xfId="0" applyFont="1" applyFill="1" applyBorder="1" applyAlignment="1" applyProtection="1">
      <alignment horizontal="center"/>
      <protection locked="0"/>
    </xf>
    <xf numFmtId="49" fontId="80" fillId="40" borderId="23" xfId="0" applyNumberFormat="1" applyFont="1" applyFill="1" applyBorder="1" applyAlignment="1" applyProtection="1">
      <alignment horizontal="center"/>
      <protection locked="0"/>
    </xf>
    <xf numFmtId="0" fontId="79" fillId="39" borderId="23" xfId="0" applyFont="1" applyFill="1" applyBorder="1" applyAlignment="1" applyProtection="1">
      <alignment horizontal="center"/>
      <protection locked="0"/>
    </xf>
    <xf numFmtId="0" fontId="80" fillId="24" borderId="23" xfId="0" applyFont="1" applyFill="1" applyBorder="1" applyAlignment="1" applyProtection="1">
      <alignment horizontal="center"/>
      <protection locked="0"/>
    </xf>
    <xf numFmtId="49" fontId="79" fillId="37" borderId="23" xfId="0" applyNumberFormat="1" applyFont="1" applyFill="1" applyBorder="1" applyAlignment="1" applyProtection="1">
      <alignment horizontal="center"/>
      <protection locked="0"/>
    </xf>
    <xf numFmtId="0" fontId="79" fillId="41" borderId="23" xfId="0" applyFont="1" applyFill="1" applyBorder="1" applyAlignment="1" applyProtection="1">
      <alignment horizontal="center"/>
      <protection locked="0"/>
    </xf>
    <xf numFmtId="0" fontId="80" fillId="42" borderId="23" xfId="0" applyFont="1" applyFill="1" applyBorder="1" applyAlignment="1" applyProtection="1">
      <alignment horizontal="center"/>
      <protection locked="0"/>
    </xf>
    <xf numFmtId="0" fontId="80" fillId="43" borderId="23" xfId="0" applyFont="1" applyFill="1" applyBorder="1" applyAlignment="1" applyProtection="1">
      <alignment horizontal="center"/>
      <protection locked="0"/>
    </xf>
    <xf numFmtId="49" fontId="80" fillId="44" borderId="23" xfId="0" applyNumberFormat="1" applyFont="1" applyFill="1" applyBorder="1" applyAlignment="1" applyProtection="1">
      <alignment horizontal="center"/>
      <protection locked="0"/>
    </xf>
    <xf numFmtId="0" fontId="80" fillId="45" borderId="23" xfId="0" applyFont="1" applyFill="1" applyBorder="1" applyAlignment="1" applyProtection="1">
      <alignment horizontal="center"/>
      <protection locked="0"/>
    </xf>
    <xf numFmtId="0" fontId="65" fillId="81" borderId="23" xfId="0" applyFont="1" applyFill="1" applyBorder="1" applyAlignment="1" applyProtection="1">
      <alignment horizontal="left"/>
      <protection locked="0"/>
    </xf>
    <xf numFmtId="0" fontId="92" fillId="65" borderId="23" xfId="0" applyFont="1" applyFill="1" applyBorder="1" applyProtection="1">
      <protection locked="0"/>
    </xf>
    <xf numFmtId="0" fontId="92" fillId="38" borderId="23" xfId="0" applyFont="1" applyFill="1" applyBorder="1" applyAlignment="1" applyProtection="1">
      <alignment horizontal="left"/>
      <protection locked="0"/>
    </xf>
    <xf numFmtId="0" fontId="92" fillId="40" borderId="23" xfId="0" applyFont="1" applyFill="1" applyBorder="1" applyAlignment="1" applyProtection="1">
      <alignment horizontal="left"/>
      <protection locked="0"/>
    </xf>
    <xf numFmtId="0" fontId="92" fillId="24" borderId="23" xfId="0" applyFont="1" applyFill="1" applyBorder="1" applyAlignment="1" applyProtection="1">
      <alignment horizontal="left"/>
      <protection locked="0"/>
    </xf>
    <xf numFmtId="0" fontId="65" fillId="37" borderId="23" xfId="0" applyFont="1" applyFill="1" applyBorder="1" applyAlignment="1" applyProtection="1">
      <alignment horizontal="left"/>
      <protection locked="0"/>
    </xf>
    <xf numFmtId="0" fontId="65" fillId="41" borderId="23" xfId="0" applyFont="1" applyFill="1" applyBorder="1" applyAlignment="1" applyProtection="1">
      <alignment horizontal="left"/>
      <protection locked="0"/>
    </xf>
    <xf numFmtId="0" fontId="92" fillId="42" borderId="23" xfId="0" applyFont="1" applyFill="1" applyBorder="1" applyAlignment="1" applyProtection="1">
      <alignment horizontal="left"/>
      <protection locked="0"/>
    </xf>
    <xf numFmtId="0" fontId="92" fillId="43" borderId="23" xfId="0" applyFont="1" applyFill="1" applyBorder="1" applyAlignment="1" applyProtection="1">
      <alignment horizontal="left"/>
      <protection locked="0"/>
    </xf>
    <xf numFmtId="0" fontId="92" fillId="44" borderId="23" xfId="0" applyFont="1" applyFill="1" applyBorder="1" applyAlignment="1" applyProtection="1">
      <alignment horizontal="left"/>
      <protection locked="0"/>
    </xf>
    <xf numFmtId="0" fontId="92" fillId="45" borderId="23" xfId="0" applyFont="1" applyFill="1" applyBorder="1" applyAlignment="1" applyProtection="1">
      <alignment horizontal="left"/>
      <protection locked="0"/>
    </xf>
    <xf numFmtId="0" fontId="85" fillId="68" borderId="23" xfId="0" applyFont="1" applyFill="1" applyBorder="1" applyProtection="1">
      <protection locked="0"/>
    </xf>
    <xf numFmtId="0" fontId="0" fillId="53" borderId="23" xfId="0" applyFill="1" applyBorder="1" applyProtection="1">
      <protection locked="0"/>
    </xf>
    <xf numFmtId="0" fontId="92" fillId="69" borderId="23" xfId="0" applyFont="1" applyFill="1" applyBorder="1" applyProtection="1">
      <protection locked="0"/>
    </xf>
    <xf numFmtId="0" fontId="92" fillId="70" borderId="23" xfId="0" applyFont="1" applyFill="1" applyBorder="1" applyProtection="1">
      <protection locked="0"/>
    </xf>
    <xf numFmtId="0" fontId="92" fillId="71" borderId="23" xfId="0" applyFont="1" applyFill="1" applyBorder="1" applyProtection="1">
      <protection locked="0"/>
    </xf>
    <xf numFmtId="0" fontId="92" fillId="72" borderId="23" xfId="0" applyFont="1" applyFill="1" applyBorder="1" applyProtection="1">
      <protection locked="0"/>
    </xf>
    <xf numFmtId="0" fontId="92" fillId="80" borderId="23" xfId="0" applyFont="1" applyFill="1" applyBorder="1" applyProtection="1">
      <protection locked="0"/>
    </xf>
    <xf numFmtId="49" fontId="78" fillId="66" borderId="23" xfId="0" applyNumberFormat="1" applyFont="1" applyFill="1" applyBorder="1" applyAlignment="1" applyProtection="1">
      <alignment horizontal="center"/>
      <protection locked="0"/>
    </xf>
    <xf numFmtId="49" fontId="78" fillId="0" borderId="23" xfId="0" applyNumberFormat="1" applyFont="1" applyBorder="1" applyAlignment="1" applyProtection="1">
      <alignment horizontal="center"/>
      <protection locked="0"/>
    </xf>
    <xf numFmtId="49" fontId="78" fillId="67" borderId="23" xfId="0" applyNumberFormat="1" applyFont="1" applyFill="1" applyBorder="1" applyAlignment="1" applyProtection="1">
      <alignment horizontal="center"/>
      <protection locked="0"/>
    </xf>
    <xf numFmtId="49" fontId="84" fillId="68" borderId="23" xfId="0" applyNumberFormat="1" applyFont="1" applyFill="1" applyBorder="1" applyAlignment="1" applyProtection="1">
      <alignment horizontal="center"/>
      <protection locked="0"/>
    </xf>
    <xf numFmtId="49" fontId="78" fillId="53" borderId="23" xfId="0" applyNumberFormat="1" applyFont="1" applyFill="1" applyBorder="1" applyAlignment="1" applyProtection="1">
      <alignment horizontal="center"/>
      <protection locked="0"/>
    </xf>
    <xf numFmtId="49" fontId="80" fillId="69" borderId="23" xfId="0" applyNumberFormat="1" applyFont="1" applyFill="1" applyBorder="1" applyAlignment="1" applyProtection="1">
      <alignment horizontal="center"/>
      <protection locked="0"/>
    </xf>
    <xf numFmtId="49" fontId="80" fillId="70" borderId="23" xfId="0" applyNumberFormat="1" applyFont="1" applyFill="1" applyBorder="1" applyAlignment="1" applyProtection="1">
      <alignment horizontal="center"/>
      <protection locked="0"/>
    </xf>
    <xf numFmtId="49" fontId="80" fillId="71" borderId="23" xfId="0" applyNumberFormat="1" applyFont="1" applyFill="1" applyBorder="1" applyAlignment="1" applyProtection="1">
      <alignment horizontal="center"/>
      <protection locked="0"/>
    </xf>
    <xf numFmtId="49" fontId="80" fillId="72" borderId="23" xfId="0" applyNumberFormat="1" applyFont="1" applyFill="1" applyBorder="1" applyAlignment="1" applyProtection="1">
      <alignment horizontal="center"/>
      <protection locked="0"/>
    </xf>
    <xf numFmtId="49" fontId="80" fillId="80" borderId="23" xfId="0" applyNumberFormat="1" applyFont="1" applyFill="1" applyBorder="1" applyAlignment="1" applyProtection="1">
      <alignment horizontal="center"/>
      <protection locked="0"/>
    </xf>
    <xf numFmtId="49" fontId="78" fillId="45" borderId="23" xfId="0" applyNumberFormat="1" applyFont="1" applyFill="1" applyBorder="1" applyAlignment="1" applyProtection="1">
      <alignment horizontal="center" vertical="center"/>
      <protection locked="0"/>
    </xf>
    <xf numFmtId="49" fontId="78" fillId="79" borderId="23" xfId="0" applyNumberFormat="1" applyFont="1" applyFill="1" applyBorder="1" applyAlignment="1" applyProtection="1">
      <alignment horizontal="center"/>
      <protection locked="0"/>
    </xf>
    <xf numFmtId="49" fontId="78" fillId="73" borderId="23" xfId="0" applyNumberFormat="1" applyFont="1" applyFill="1" applyBorder="1" applyAlignment="1" applyProtection="1">
      <alignment horizontal="center"/>
      <protection locked="0"/>
    </xf>
    <xf numFmtId="49" fontId="78" fillId="74" borderId="23" xfId="0" applyNumberFormat="1" applyFont="1" applyFill="1" applyBorder="1" applyAlignment="1" applyProtection="1">
      <alignment horizontal="center"/>
      <protection locked="0"/>
    </xf>
    <xf numFmtId="49" fontId="78" fillId="75" borderId="23" xfId="0" applyNumberFormat="1" applyFont="1" applyFill="1" applyBorder="1" applyAlignment="1" applyProtection="1">
      <alignment horizontal="center"/>
      <protection locked="0"/>
    </xf>
    <xf numFmtId="49" fontId="78" fillId="77" borderId="23" xfId="0" applyNumberFormat="1" applyFont="1" applyFill="1" applyBorder="1" applyAlignment="1" applyProtection="1">
      <alignment horizontal="center"/>
      <protection locked="0"/>
    </xf>
    <xf numFmtId="49" fontId="78" fillId="78" borderId="23" xfId="0" applyNumberFormat="1" applyFont="1" applyFill="1" applyBorder="1" applyAlignment="1" applyProtection="1">
      <alignment horizontal="center" vertical="center"/>
      <protection locked="0"/>
    </xf>
    <xf numFmtId="49" fontId="0" fillId="73" borderId="23" xfId="0" applyNumberFormat="1" applyFill="1" applyBorder="1" applyAlignment="1" applyProtection="1">
      <alignment horizontal="left"/>
      <protection locked="0"/>
    </xf>
    <xf numFmtId="49" fontId="0" fillId="74" borderId="23" xfId="0" applyNumberFormat="1" applyFill="1" applyBorder="1" applyAlignment="1" applyProtection="1">
      <alignment horizontal="left"/>
      <protection locked="0"/>
    </xf>
    <xf numFmtId="49" fontId="0" fillId="75" borderId="23" xfId="0" applyNumberFormat="1" applyFill="1" applyBorder="1" applyAlignment="1" applyProtection="1">
      <alignment horizontal="left"/>
      <protection locked="0"/>
    </xf>
    <xf numFmtId="49" fontId="0" fillId="77" borderId="23" xfId="0" applyNumberFormat="1" applyFill="1" applyBorder="1" applyAlignment="1" applyProtection="1">
      <alignment horizontal="left"/>
      <protection locked="0"/>
    </xf>
    <xf numFmtId="49" fontId="0" fillId="78" borderId="23" xfId="0" applyNumberFormat="1" applyFill="1" applyBorder="1" applyAlignment="1" applyProtection="1">
      <alignment horizontal="left" vertical="center"/>
      <protection locked="0"/>
    </xf>
    <xf numFmtId="49" fontId="78" fillId="45" borderId="23" xfId="0" applyNumberFormat="1" applyFont="1" applyFill="1" applyBorder="1" applyAlignment="1" applyProtection="1">
      <alignment horizontal="left" vertical="center"/>
      <protection locked="0"/>
    </xf>
    <xf numFmtId="49" fontId="78" fillId="79" borderId="23" xfId="0" applyNumberFormat="1" applyFont="1" applyFill="1" applyBorder="1" applyAlignment="1" applyProtection="1">
      <alignment horizontal="left"/>
      <protection locked="0"/>
    </xf>
    <xf numFmtId="0" fontId="0" fillId="0" borderId="0" xfId="0" applyAlignment="1" applyProtection="1">
      <alignment vertical="top"/>
      <protection locked="0"/>
    </xf>
    <xf numFmtId="0" fontId="45" fillId="0" borderId="23" xfId="0" applyFont="1" applyBorder="1" applyProtection="1">
      <protection locked="0"/>
    </xf>
    <xf numFmtId="2" fontId="48" fillId="3" borderId="74" xfId="0" applyNumberFormat="1" applyFont="1" applyFill="1" applyBorder="1" applyAlignment="1">
      <alignment horizontal="center" vertical="center" wrapText="1"/>
    </xf>
    <xf numFmtId="9" fontId="37" fillId="0" borderId="54" xfId="0" applyNumberFormat="1" applyFont="1" applyBorder="1" applyProtection="1">
      <protection locked="0"/>
    </xf>
    <xf numFmtId="44" fontId="35" fillId="0" borderId="23" xfId="2" applyFont="1" applyBorder="1" applyProtection="1">
      <protection locked="0"/>
    </xf>
    <xf numFmtId="0" fontId="65" fillId="21" borderId="0" xfId="0" applyFont="1" applyFill="1" applyProtection="1">
      <protection locked="0"/>
    </xf>
    <xf numFmtId="0" fontId="65" fillId="21" borderId="23" xfId="0" applyFont="1" applyFill="1" applyBorder="1" applyProtection="1">
      <protection locked="0"/>
    </xf>
    <xf numFmtId="0" fontId="79" fillId="25" borderId="0" xfId="0" applyFont="1" applyFill="1" applyProtection="1">
      <protection locked="0"/>
    </xf>
    <xf numFmtId="0" fontId="65" fillId="25" borderId="0" xfId="0" applyFont="1" applyFill="1" applyProtection="1">
      <protection locked="0"/>
    </xf>
    <xf numFmtId="0" fontId="65" fillId="25" borderId="23" xfId="0" applyFont="1" applyFill="1" applyBorder="1" applyProtection="1">
      <protection locked="0"/>
    </xf>
    <xf numFmtId="0" fontId="78" fillId="45" borderId="0" xfId="0" applyFont="1" applyFill="1" applyProtection="1">
      <protection locked="0"/>
    </xf>
    <xf numFmtId="0" fontId="0" fillId="45" borderId="0" xfId="0" applyFill="1" applyProtection="1">
      <protection locked="0"/>
    </xf>
    <xf numFmtId="0" fontId="0" fillId="45" borderId="23" xfId="0" applyFill="1" applyBorder="1" applyProtection="1">
      <protection locked="0"/>
    </xf>
    <xf numFmtId="0" fontId="79" fillId="50" borderId="0" xfId="0" applyFont="1" applyFill="1" applyProtection="1">
      <protection locked="0"/>
    </xf>
    <xf numFmtId="0" fontId="65" fillId="50" borderId="0" xfId="0" applyFont="1" applyFill="1" applyProtection="1">
      <protection locked="0"/>
    </xf>
    <xf numFmtId="0" fontId="65" fillId="50" borderId="23" xfId="0" applyFont="1" applyFill="1" applyBorder="1" applyProtection="1">
      <protection locked="0"/>
    </xf>
    <xf numFmtId="0" fontId="78" fillId="46" borderId="0" xfId="0" applyFont="1" applyFill="1" applyProtection="1">
      <protection locked="0"/>
    </xf>
    <xf numFmtId="0" fontId="0" fillId="46" borderId="0" xfId="0" applyFill="1" applyProtection="1">
      <protection locked="0"/>
    </xf>
    <xf numFmtId="0" fontId="0" fillId="46" borderId="23" xfId="0" applyFill="1" applyBorder="1" applyProtection="1">
      <protection locked="0"/>
    </xf>
    <xf numFmtId="0" fontId="78" fillId="47" borderId="0" xfId="0" applyFont="1" applyFill="1" applyProtection="1">
      <protection locked="0"/>
    </xf>
    <xf numFmtId="0" fontId="0" fillId="47" borderId="0" xfId="0" applyFill="1" applyProtection="1">
      <protection locked="0"/>
    </xf>
    <xf numFmtId="0" fontId="0" fillId="47" borderId="23" xfId="0" applyFill="1" applyBorder="1" applyProtection="1">
      <protection locked="0"/>
    </xf>
    <xf numFmtId="0" fontId="78" fillId="0" borderId="23" xfId="0" applyFont="1" applyBorder="1" applyProtection="1">
      <protection locked="0"/>
    </xf>
    <xf numFmtId="0" fontId="78" fillId="21" borderId="23" xfId="0" applyFont="1" applyFill="1" applyBorder="1" applyProtection="1">
      <protection locked="0"/>
    </xf>
    <xf numFmtId="0" fontId="0" fillId="21" borderId="23" xfId="0" applyFill="1" applyBorder="1" applyProtection="1">
      <protection locked="0"/>
    </xf>
    <xf numFmtId="0" fontId="78" fillId="49" borderId="0" xfId="0" applyFont="1" applyFill="1" applyProtection="1">
      <protection locked="0"/>
    </xf>
    <xf numFmtId="0" fontId="0" fillId="49" borderId="0" xfId="0" applyFill="1" applyProtection="1">
      <protection locked="0"/>
    </xf>
    <xf numFmtId="0" fontId="0" fillId="49" borderId="23" xfId="0" applyFill="1" applyBorder="1" applyProtection="1">
      <protection locked="0"/>
    </xf>
    <xf numFmtId="0" fontId="78" fillId="24" borderId="0" xfId="0" applyFont="1" applyFill="1" applyProtection="1">
      <protection locked="0"/>
    </xf>
    <xf numFmtId="0" fontId="0" fillId="24" borderId="0" xfId="0" applyFill="1" applyProtection="1">
      <protection locked="0"/>
    </xf>
    <xf numFmtId="0" fontId="0" fillId="24" borderId="23" xfId="0" applyFill="1" applyBorder="1" applyProtection="1">
      <protection locked="0"/>
    </xf>
    <xf numFmtId="0" fontId="78" fillId="48" borderId="0" xfId="0" applyFont="1" applyFill="1" applyProtection="1">
      <protection locked="0"/>
    </xf>
    <xf numFmtId="0" fontId="0" fillId="48" borderId="0" xfId="0" applyFill="1" applyProtection="1">
      <protection locked="0"/>
    </xf>
    <xf numFmtId="0" fontId="0" fillId="48" borderId="23" xfId="0" applyFill="1" applyBorder="1" applyProtection="1">
      <protection locked="0"/>
    </xf>
    <xf numFmtId="0" fontId="78" fillId="81" borderId="0" xfId="0" applyFont="1" applyFill="1" applyProtection="1">
      <protection locked="0"/>
    </xf>
    <xf numFmtId="0" fontId="0" fillId="81" borderId="0" xfId="0" applyFill="1" applyProtection="1">
      <protection locked="0"/>
    </xf>
    <xf numFmtId="0" fontId="0" fillId="81" borderId="23" xfId="0" applyFill="1" applyBorder="1" applyProtection="1">
      <protection locked="0"/>
    </xf>
    <xf numFmtId="0" fontId="79" fillId="52" borderId="42" xfId="0" applyFont="1" applyFill="1" applyBorder="1" applyProtection="1">
      <protection locked="0"/>
    </xf>
    <xf numFmtId="0" fontId="65" fillId="52" borderId="71" xfId="0" applyFont="1" applyFill="1" applyBorder="1" applyProtection="1">
      <protection locked="0"/>
    </xf>
    <xf numFmtId="0" fontId="65" fillId="52" borderId="23" xfId="0" applyFont="1" applyFill="1" applyBorder="1" applyProtection="1">
      <protection locked="0"/>
    </xf>
    <xf numFmtId="0" fontId="79" fillId="0" borderId="23" xfId="0" applyFont="1" applyBorder="1" applyProtection="1">
      <protection locked="0"/>
    </xf>
    <xf numFmtId="0" fontId="65" fillId="0" borderId="23" xfId="0" applyFont="1" applyBorder="1" applyProtection="1">
      <protection locked="0"/>
    </xf>
    <xf numFmtId="0" fontId="0" fillId="21" borderId="0" xfId="0" applyFill="1" applyProtection="1">
      <protection locked="0"/>
    </xf>
    <xf numFmtId="0" fontId="79" fillId="51" borderId="0" xfId="0" applyFont="1" applyFill="1" applyProtection="1">
      <protection locked="0"/>
    </xf>
    <xf numFmtId="0" fontId="65" fillId="51" borderId="0" xfId="0" applyFont="1" applyFill="1" applyProtection="1">
      <protection locked="0"/>
    </xf>
    <xf numFmtId="0" fontId="0" fillId="51" borderId="23" xfId="0" applyFill="1" applyBorder="1" applyProtection="1">
      <protection locked="0"/>
    </xf>
    <xf numFmtId="0" fontId="93" fillId="0" borderId="0" xfId="0" applyFont="1" applyAlignment="1" applyProtection="1">
      <alignment horizontal="right"/>
      <protection locked="0"/>
    </xf>
    <xf numFmtId="0" fontId="93" fillId="0" borderId="0" xfId="0" applyFont="1" applyAlignment="1" applyProtection="1">
      <alignment horizontal="left"/>
      <protection locked="0"/>
    </xf>
    <xf numFmtId="9" fontId="0" fillId="0" borderId="23" xfId="9" applyFont="1" applyBorder="1"/>
    <xf numFmtId="0" fontId="30" fillId="0" borderId="23" xfId="10" applyFont="1" applyProtection="1">
      <protection locked="0"/>
    </xf>
    <xf numFmtId="0" fontId="34" fillId="0" borderId="23" xfId="10" applyFont="1"/>
    <xf numFmtId="0" fontId="28" fillId="0" borderId="23" xfId="10" applyFont="1" applyProtection="1">
      <protection locked="0"/>
    </xf>
    <xf numFmtId="0" fontId="35" fillId="20" borderId="52" xfId="10" applyFill="1" applyBorder="1"/>
    <xf numFmtId="0" fontId="27" fillId="0" borderId="23" xfId="10" applyFont="1" applyProtection="1">
      <protection locked="0"/>
    </xf>
    <xf numFmtId="9" fontId="35" fillId="0" borderId="23" xfId="9" applyFont="1" applyBorder="1" applyProtection="1">
      <protection locked="0"/>
    </xf>
    <xf numFmtId="44" fontId="62" fillId="0" borderId="0" xfId="2" applyFont="1"/>
    <xf numFmtId="170" fontId="0" fillId="0" borderId="0" xfId="2" applyNumberFormat="1" applyFont="1"/>
    <xf numFmtId="0" fontId="50" fillId="0" borderId="33" xfId="0" applyFont="1" applyBorder="1" applyAlignment="1">
      <alignment horizontal="center"/>
    </xf>
    <xf numFmtId="0" fontId="57" fillId="12" borderId="40" xfId="0" applyFont="1" applyFill="1" applyBorder="1" applyAlignment="1">
      <alignment horizontal="right"/>
    </xf>
    <xf numFmtId="0" fontId="57" fillId="13" borderId="52" xfId="0" applyFont="1" applyFill="1" applyBorder="1" applyAlignment="1">
      <alignment horizontal="right"/>
    </xf>
    <xf numFmtId="0" fontId="57" fillId="13" borderId="66" xfId="0" applyFont="1" applyFill="1" applyBorder="1" applyAlignment="1">
      <alignment horizontal="right"/>
    </xf>
    <xf numFmtId="0" fontId="57" fillId="13" borderId="41" xfId="0" applyFont="1" applyFill="1" applyBorder="1" applyAlignment="1">
      <alignment horizontal="right"/>
    </xf>
    <xf numFmtId="0" fontId="57" fillId="13" borderId="39" xfId="0" applyFont="1" applyFill="1" applyBorder="1" applyAlignment="1">
      <alignment horizontal="right"/>
    </xf>
    <xf numFmtId="0" fontId="57" fillId="13" borderId="38" xfId="0" applyFont="1" applyFill="1" applyBorder="1" applyAlignment="1">
      <alignment horizontal="right"/>
    </xf>
    <xf numFmtId="0" fontId="57" fillId="13" borderId="75" xfId="0" applyFont="1" applyFill="1" applyBorder="1" applyAlignment="1">
      <alignment horizontal="right"/>
    </xf>
    <xf numFmtId="0" fontId="57" fillId="13" borderId="76" xfId="0" applyFont="1" applyFill="1" applyBorder="1" applyAlignment="1">
      <alignment horizontal="right"/>
    </xf>
    <xf numFmtId="0" fontId="57" fillId="13" borderId="42" xfId="0" applyFont="1" applyFill="1" applyBorder="1" applyAlignment="1">
      <alignment horizontal="right"/>
    </xf>
    <xf numFmtId="0" fontId="57" fillId="13" borderId="71" xfId="0" applyFont="1" applyFill="1" applyBorder="1" applyAlignment="1">
      <alignment horizontal="right"/>
    </xf>
    <xf numFmtId="0" fontId="57" fillId="13" borderId="72" xfId="0" applyFont="1" applyFill="1" applyBorder="1" applyAlignment="1">
      <alignment horizontal="right"/>
    </xf>
    <xf numFmtId="0" fontId="57" fillId="13" borderId="28" xfId="0" applyFont="1" applyFill="1" applyBorder="1" applyAlignment="1">
      <alignment horizontal="right"/>
    </xf>
    <xf numFmtId="0" fontId="57" fillId="13" borderId="29" xfId="0" applyFont="1" applyFill="1" applyBorder="1" applyAlignment="1">
      <alignment horizontal="right"/>
    </xf>
    <xf numFmtId="0" fontId="57" fillId="13" borderId="53" xfId="0" applyFont="1" applyFill="1" applyBorder="1" applyAlignment="1">
      <alignment horizontal="right"/>
    </xf>
    <xf numFmtId="0" fontId="57" fillId="13" borderId="30" xfId="0" applyFont="1" applyFill="1" applyBorder="1" applyAlignment="1">
      <alignment horizontal="right"/>
    </xf>
    <xf numFmtId="0" fontId="57" fillId="13" borderId="54" xfId="0" applyFont="1" applyFill="1" applyBorder="1" applyAlignment="1">
      <alignment horizontal="right"/>
    </xf>
    <xf numFmtId="0" fontId="57" fillId="13" borderId="31" xfId="0" applyFont="1" applyFill="1" applyBorder="1" applyAlignment="1">
      <alignment horizontal="right"/>
    </xf>
    <xf numFmtId="0" fontId="57" fillId="13" borderId="46" xfId="0" applyFont="1" applyFill="1" applyBorder="1" applyAlignment="1">
      <alignment horizontal="right"/>
    </xf>
    <xf numFmtId="0" fontId="57" fillId="13" borderId="33" xfId="0" applyFont="1" applyFill="1" applyBorder="1" applyAlignment="1">
      <alignment horizontal="right"/>
    </xf>
    <xf numFmtId="0" fontId="57" fillId="13" borderId="34" xfId="0" applyFont="1" applyFill="1" applyBorder="1" applyAlignment="1">
      <alignment horizontal="right"/>
    </xf>
    <xf numFmtId="0" fontId="57" fillId="13" borderId="40" xfId="0" applyFont="1" applyFill="1" applyBorder="1" applyAlignment="1">
      <alignment horizontal="right"/>
    </xf>
    <xf numFmtId="49" fontId="35" fillId="0" borderId="23" xfId="10" applyNumberFormat="1" applyProtection="1">
      <protection locked="0"/>
    </xf>
    <xf numFmtId="49" fontId="35" fillId="0" borderId="23" xfId="10" applyNumberFormat="1" applyAlignment="1" applyProtection="1">
      <alignment horizontal="center"/>
      <protection locked="0"/>
    </xf>
    <xf numFmtId="49" fontId="25" fillId="0" borderId="23" xfId="10" applyNumberFormat="1" applyFont="1" applyProtection="1">
      <protection locked="0"/>
    </xf>
    <xf numFmtId="49" fontId="25" fillId="0" borderId="23" xfId="10" applyNumberFormat="1" applyFont="1" applyAlignment="1" applyProtection="1">
      <alignment horizontal="center"/>
      <protection locked="0"/>
    </xf>
    <xf numFmtId="43" fontId="0" fillId="0" borderId="0" xfId="0" applyNumberFormat="1"/>
    <xf numFmtId="169" fontId="0" fillId="0" borderId="27" xfId="1" applyNumberFormat="1" applyFont="1" applyBorder="1"/>
    <xf numFmtId="0" fontId="0" fillId="0" borderId="27" xfId="0" applyBorder="1"/>
    <xf numFmtId="0" fontId="62" fillId="0" borderId="23" xfId="0" applyFont="1" applyBorder="1"/>
    <xf numFmtId="0" fontId="25" fillId="0" borderId="23" xfId="10" applyFont="1" applyProtection="1">
      <protection locked="0"/>
    </xf>
    <xf numFmtId="169" fontId="62" fillId="0" borderId="0" xfId="1" applyNumberFormat="1" applyFont="1" applyAlignment="1">
      <alignment horizontal="left"/>
    </xf>
    <xf numFmtId="169" fontId="0" fillId="0" borderId="0" xfId="1" applyNumberFormat="1" applyFont="1" applyAlignment="1">
      <alignment horizontal="left"/>
    </xf>
    <xf numFmtId="0" fontId="0" fillId="0" borderId="0" xfId="0" applyAlignment="1">
      <alignment wrapText="1"/>
    </xf>
    <xf numFmtId="169" fontId="62" fillId="0" borderId="23" xfId="1" applyNumberFormat="1" applyFont="1" applyFill="1" applyBorder="1" applyAlignment="1">
      <alignment horizontal="left"/>
    </xf>
    <xf numFmtId="169" fontId="0" fillId="0" borderId="0" xfId="0" applyNumberFormat="1"/>
    <xf numFmtId="169" fontId="0" fillId="0" borderId="0" xfId="1" applyNumberFormat="1" applyFont="1" applyAlignment="1">
      <alignment wrapText="1"/>
    </xf>
    <xf numFmtId="0" fontId="35" fillId="89" borderId="37" xfId="10" applyFill="1" applyBorder="1"/>
    <xf numFmtId="0" fontId="35" fillId="90" borderId="37" xfId="10" applyFill="1" applyBorder="1"/>
    <xf numFmtId="0" fontId="0" fillId="90" borderId="38" xfId="10" applyFont="1" applyFill="1" applyBorder="1"/>
    <xf numFmtId="0" fontId="0" fillId="89" borderId="37" xfId="10" applyFont="1" applyFill="1" applyBorder="1"/>
    <xf numFmtId="0" fontId="0" fillId="90" borderId="37" xfId="10" applyFont="1" applyFill="1" applyBorder="1"/>
    <xf numFmtId="0" fontId="35" fillId="90" borderId="41" xfId="10" applyFill="1" applyBorder="1"/>
    <xf numFmtId="0" fontId="62" fillId="89" borderId="37" xfId="10" applyFont="1" applyFill="1" applyBorder="1"/>
    <xf numFmtId="0" fontId="31" fillId="90" borderId="37" xfId="10" applyFont="1" applyFill="1" applyBorder="1"/>
    <xf numFmtId="0" fontId="29" fillId="90" borderId="37" xfId="10" applyFont="1" applyFill="1" applyBorder="1"/>
    <xf numFmtId="0" fontId="26" fillId="90" borderId="37" xfId="10" applyFont="1" applyFill="1" applyBorder="1"/>
    <xf numFmtId="0" fontId="35" fillId="89" borderId="37" xfId="10" applyFill="1" applyBorder="1" applyAlignment="1">
      <alignment wrapText="1"/>
    </xf>
    <xf numFmtId="0" fontId="62" fillId="90" borderId="38" xfId="10" applyFont="1" applyFill="1" applyBorder="1"/>
    <xf numFmtId="0" fontId="40" fillId="0" borderId="35" xfId="0" applyFont="1" applyBorder="1" applyProtection="1">
      <protection locked="0"/>
    </xf>
    <xf numFmtId="0" fontId="40" fillId="0" borderId="35" xfId="0" applyFont="1" applyBorder="1" applyAlignment="1" applyProtection="1">
      <alignment horizontal="center"/>
      <protection locked="0"/>
    </xf>
    <xf numFmtId="165" fontId="40" fillId="0" borderId="35" xfId="0" applyNumberFormat="1" applyFont="1" applyBorder="1" applyAlignment="1">
      <alignment horizontal="center"/>
    </xf>
    <xf numFmtId="1" fontId="39" fillId="0" borderId="35" xfId="0" applyNumberFormat="1" applyFont="1" applyBorder="1" applyAlignment="1">
      <alignment horizontal="center"/>
    </xf>
    <xf numFmtId="169" fontId="52" fillId="4" borderId="35" xfId="1" applyNumberFormat="1" applyFont="1" applyFill="1" applyBorder="1" applyAlignment="1" applyProtection="1">
      <alignment horizontal="center"/>
      <protection locked="0"/>
    </xf>
    <xf numFmtId="169" fontId="52" fillId="5" borderId="35" xfId="1" applyNumberFormat="1" applyFont="1" applyFill="1" applyBorder="1" applyAlignment="1" applyProtection="1">
      <alignment horizontal="center"/>
      <protection locked="0"/>
    </xf>
    <xf numFmtId="169" fontId="39" fillId="6" borderId="35" xfId="1" applyNumberFormat="1" applyFont="1" applyFill="1" applyBorder="1" applyAlignment="1" applyProtection="1">
      <alignment horizontal="center"/>
      <protection locked="0"/>
    </xf>
    <xf numFmtId="169" fontId="52" fillId="7" borderId="35" xfId="1" applyNumberFormat="1" applyFont="1" applyFill="1" applyBorder="1" applyAlignment="1" applyProtection="1">
      <alignment horizontal="center"/>
      <protection locked="0"/>
    </xf>
    <xf numFmtId="169" fontId="52" fillId="8" borderId="35" xfId="1" applyNumberFormat="1" applyFont="1" applyFill="1" applyBorder="1" applyAlignment="1" applyProtection="1">
      <alignment horizontal="center"/>
      <protection locked="0"/>
    </xf>
    <xf numFmtId="169" fontId="52" fillId="9" borderId="35" xfId="1" applyNumberFormat="1" applyFont="1" applyFill="1" applyBorder="1" applyAlignment="1" applyProtection="1">
      <alignment horizontal="center"/>
      <protection locked="0"/>
    </xf>
    <xf numFmtId="169" fontId="52" fillId="10" borderId="35" xfId="1" applyNumberFormat="1" applyFont="1" applyFill="1" applyBorder="1" applyAlignment="1" applyProtection="1">
      <alignment horizontal="center"/>
      <protection locked="0"/>
    </xf>
    <xf numFmtId="169" fontId="52" fillId="2" borderId="35" xfId="1" applyNumberFormat="1" applyFont="1" applyFill="1" applyBorder="1" applyAlignment="1" applyProtection="1">
      <alignment horizontal="center"/>
      <protection locked="0"/>
    </xf>
    <xf numFmtId="169" fontId="39" fillId="0" borderId="35" xfId="1" applyNumberFormat="1" applyFont="1" applyBorder="1" applyAlignment="1" applyProtection="1">
      <alignment horizontal="center"/>
      <protection locked="0"/>
    </xf>
    <xf numFmtId="166" fontId="39" fillId="0" borderId="35" xfId="0" applyNumberFormat="1" applyFont="1" applyBorder="1"/>
    <xf numFmtId="2" fontId="39" fillId="0" borderId="35" xfId="0" applyNumberFormat="1" applyFont="1" applyBorder="1" applyAlignment="1">
      <alignment horizontal="center"/>
    </xf>
    <xf numFmtId="0" fontId="40" fillId="17" borderId="35" xfId="0" applyFont="1" applyFill="1" applyBorder="1" applyProtection="1">
      <protection locked="0"/>
    </xf>
    <xf numFmtId="0" fontId="64" fillId="17" borderId="35" xfId="0" applyFont="1" applyFill="1" applyBorder="1" applyProtection="1">
      <protection locked="0"/>
    </xf>
    <xf numFmtId="0" fontId="40" fillId="17" borderId="35" xfId="0" applyFont="1" applyFill="1" applyBorder="1" applyAlignment="1" applyProtection="1">
      <alignment horizontal="center"/>
      <protection locked="0"/>
    </xf>
    <xf numFmtId="1" fontId="39" fillId="17" borderId="35" xfId="0" applyNumberFormat="1" applyFont="1" applyFill="1" applyBorder="1" applyAlignment="1">
      <alignment horizontal="center"/>
    </xf>
    <xf numFmtId="169" fontId="52" fillId="30" borderId="35" xfId="1" applyNumberFormat="1" applyFont="1" applyFill="1" applyBorder="1" applyAlignment="1" applyProtection="1">
      <alignment horizontal="center"/>
      <protection locked="0"/>
    </xf>
    <xf numFmtId="169" fontId="52" fillId="31" borderId="35" xfId="1" applyNumberFormat="1" applyFont="1" applyFill="1" applyBorder="1" applyAlignment="1" applyProtection="1">
      <alignment horizontal="center"/>
      <protection locked="0"/>
    </xf>
    <xf numFmtId="169" fontId="39" fillId="32" borderId="35" xfId="1" applyNumberFormat="1" applyFont="1" applyFill="1" applyBorder="1" applyAlignment="1" applyProtection="1">
      <alignment horizontal="center"/>
      <protection locked="0"/>
    </xf>
    <xf numFmtId="169" fontId="52" fillId="33" borderId="35" xfId="1" applyNumberFormat="1" applyFont="1" applyFill="1" applyBorder="1" applyAlignment="1" applyProtection="1">
      <alignment horizontal="center"/>
      <protection locked="0"/>
    </xf>
    <xf numFmtId="169" fontId="52" fillId="34" borderId="35" xfId="1" applyNumberFormat="1" applyFont="1" applyFill="1" applyBorder="1" applyAlignment="1" applyProtection="1">
      <alignment horizontal="center"/>
      <protection locked="0"/>
    </xf>
    <xf numFmtId="169" fontId="52" fillId="35" borderId="35" xfId="1" applyNumberFormat="1" applyFont="1" applyFill="1" applyBorder="1" applyAlignment="1" applyProtection="1">
      <alignment horizontal="center"/>
      <protection locked="0"/>
    </xf>
    <xf numFmtId="169" fontId="52" fillId="36" borderId="35" xfId="1" applyNumberFormat="1" applyFont="1" applyFill="1" applyBorder="1" applyAlignment="1" applyProtection="1">
      <alignment horizontal="center"/>
      <protection locked="0"/>
    </xf>
    <xf numFmtId="169" fontId="52" fillId="16" borderId="35" xfId="1" applyNumberFormat="1" applyFont="1" applyFill="1" applyBorder="1" applyAlignment="1" applyProtection="1">
      <alignment horizontal="center"/>
      <protection locked="0"/>
    </xf>
    <xf numFmtId="166" fontId="39" fillId="17" borderId="35" xfId="0" applyNumberFormat="1" applyFont="1" applyFill="1" applyBorder="1"/>
    <xf numFmtId="2" fontId="39" fillId="17" borderId="35" xfId="0" applyNumberFormat="1" applyFont="1" applyFill="1" applyBorder="1" applyAlignment="1">
      <alignment horizontal="center"/>
    </xf>
    <xf numFmtId="169" fontId="39" fillId="17" borderId="35" xfId="1" applyNumberFormat="1" applyFont="1" applyFill="1" applyBorder="1" applyAlignment="1" applyProtection="1">
      <alignment horizontal="center"/>
      <protection locked="0"/>
    </xf>
    <xf numFmtId="0" fontId="75" fillId="21" borderId="35" xfId="0" applyFont="1" applyFill="1" applyBorder="1" applyProtection="1">
      <protection locked="0"/>
    </xf>
    <xf numFmtId="165" fontId="40" fillId="21" borderId="35" xfId="0" applyNumberFormat="1" applyFont="1" applyFill="1" applyBorder="1" applyAlignment="1">
      <alignment horizontal="center"/>
    </xf>
    <xf numFmtId="0" fontId="75" fillId="21" borderId="35" xfId="0" applyFont="1" applyFill="1" applyBorder="1"/>
    <xf numFmtId="0" fontId="89" fillId="21" borderId="35" xfId="0" applyFont="1" applyFill="1" applyBorder="1" applyProtection="1">
      <protection locked="0"/>
    </xf>
    <xf numFmtId="0" fontId="75" fillId="21" borderId="35" xfId="0" applyFont="1" applyFill="1" applyBorder="1" applyAlignment="1" applyProtection="1">
      <alignment horizontal="center"/>
      <protection locked="0"/>
    </xf>
    <xf numFmtId="165" fontId="75" fillId="21" borderId="35" xfId="0" applyNumberFormat="1" applyFont="1" applyFill="1" applyBorder="1" applyAlignment="1">
      <alignment horizontal="center"/>
    </xf>
    <xf numFmtId="1" fontId="75" fillId="21" borderId="35" xfId="0" applyNumberFormat="1" applyFont="1" applyFill="1" applyBorder="1" applyAlignment="1">
      <alignment horizontal="center"/>
    </xf>
    <xf numFmtId="169" fontId="75" fillId="82" borderId="35" xfId="1" applyNumberFormat="1" applyFont="1" applyFill="1" applyBorder="1" applyAlignment="1" applyProtection="1">
      <alignment horizontal="center"/>
      <protection locked="0"/>
    </xf>
    <xf numFmtId="169" fontId="75" fillId="83" borderId="35" xfId="1" applyNumberFormat="1" applyFont="1" applyFill="1" applyBorder="1" applyAlignment="1" applyProtection="1">
      <alignment horizontal="center"/>
      <protection locked="0"/>
    </xf>
    <xf numFmtId="169" fontId="75" fillId="84" borderId="35" xfId="1" applyNumberFormat="1" applyFont="1" applyFill="1" applyBorder="1" applyAlignment="1" applyProtection="1">
      <alignment horizontal="center"/>
      <protection locked="0"/>
    </xf>
    <xf numFmtId="169" fontId="75" fillId="85" borderId="35" xfId="1" applyNumberFormat="1" applyFont="1" applyFill="1" applyBorder="1" applyAlignment="1" applyProtection="1">
      <alignment horizontal="center"/>
      <protection locked="0"/>
    </xf>
    <xf numFmtId="169" fontId="75" fillId="86" borderId="35" xfId="1" applyNumberFormat="1" applyFont="1" applyFill="1" applyBorder="1" applyAlignment="1" applyProtection="1">
      <alignment horizontal="center"/>
      <protection locked="0"/>
    </xf>
    <xf numFmtId="1" fontId="39" fillId="0" borderId="77" xfId="0" applyNumberFormat="1" applyFont="1" applyBorder="1" applyAlignment="1">
      <alignment horizontal="center"/>
    </xf>
    <xf numFmtId="166" fontId="39" fillId="0" borderId="77" xfId="0" applyNumberFormat="1" applyFont="1" applyBorder="1"/>
    <xf numFmtId="2" fontId="39" fillId="0" borderId="77" xfId="0" applyNumberFormat="1" applyFont="1" applyBorder="1" applyAlignment="1">
      <alignment horizontal="center"/>
    </xf>
    <xf numFmtId="2" fontId="54" fillId="0" borderId="78" xfId="0" applyNumberFormat="1" applyFont="1" applyBorder="1" applyAlignment="1">
      <alignment horizontal="center"/>
    </xf>
    <xf numFmtId="2" fontId="54" fillId="0" borderId="80" xfId="0" applyNumberFormat="1" applyFont="1" applyBorder="1" applyAlignment="1">
      <alignment horizontal="center"/>
    </xf>
    <xf numFmtId="2" fontId="54" fillId="17" borderId="80" xfId="0" applyNumberFormat="1" applyFont="1" applyFill="1" applyBorder="1" applyAlignment="1">
      <alignment horizontal="center"/>
    </xf>
    <xf numFmtId="0" fontId="75" fillId="21" borderId="80" xfId="0" applyFont="1" applyFill="1" applyBorder="1"/>
    <xf numFmtId="1" fontId="39" fillId="0" borderId="82" xfId="0" applyNumberFormat="1" applyFont="1" applyBorder="1" applyAlignment="1">
      <alignment horizontal="center"/>
    </xf>
    <xf numFmtId="169" fontId="52" fillId="4" borderId="82" xfId="1" applyNumberFormat="1" applyFont="1" applyFill="1" applyBorder="1" applyAlignment="1" applyProtection="1">
      <alignment horizontal="center"/>
      <protection locked="0"/>
    </xf>
    <xf numFmtId="169" fontId="52" fillId="5" borderId="82" xfId="1" applyNumberFormat="1" applyFont="1" applyFill="1" applyBorder="1" applyAlignment="1" applyProtection="1">
      <alignment horizontal="center"/>
      <protection locked="0"/>
    </xf>
    <xf numFmtId="169" fontId="39" fillId="6" borderId="82" xfId="1" applyNumberFormat="1" applyFont="1" applyFill="1" applyBorder="1" applyAlignment="1" applyProtection="1">
      <alignment horizontal="center"/>
      <protection locked="0"/>
    </xf>
    <xf numFmtId="169" fontId="52" fillId="7" borderId="82" xfId="1" applyNumberFormat="1" applyFont="1" applyFill="1" applyBorder="1" applyAlignment="1" applyProtection="1">
      <alignment horizontal="center"/>
      <protection locked="0"/>
    </xf>
    <xf numFmtId="169" fontId="52" fillId="8" borderId="82" xfId="1" applyNumberFormat="1" applyFont="1" applyFill="1" applyBorder="1" applyAlignment="1" applyProtection="1">
      <alignment horizontal="center"/>
      <protection locked="0"/>
    </xf>
    <xf numFmtId="169" fontId="52" fillId="9" borderId="82" xfId="1" applyNumberFormat="1" applyFont="1" applyFill="1" applyBorder="1" applyAlignment="1" applyProtection="1">
      <alignment horizontal="center"/>
      <protection locked="0"/>
    </xf>
    <xf numFmtId="169" fontId="52" fillId="10" borderId="82" xfId="1" applyNumberFormat="1" applyFont="1" applyFill="1" applyBorder="1" applyAlignment="1" applyProtection="1">
      <alignment horizontal="center"/>
      <protection locked="0"/>
    </xf>
    <xf numFmtId="169" fontId="52" fillId="2" borderId="82" xfId="1" applyNumberFormat="1" applyFont="1" applyFill="1" applyBorder="1" applyAlignment="1" applyProtection="1">
      <alignment horizontal="center"/>
      <protection locked="0"/>
    </xf>
    <xf numFmtId="169" fontId="39" fillId="0" borderId="82" xfId="1" applyNumberFormat="1" applyFont="1" applyBorder="1" applyAlignment="1" applyProtection="1">
      <alignment horizontal="center"/>
      <protection locked="0"/>
    </xf>
    <xf numFmtId="166" fontId="39" fillId="0" borderId="82" xfId="0" applyNumberFormat="1" applyFont="1" applyBorder="1"/>
    <xf numFmtId="2" fontId="39" fillId="0" borderId="82" xfId="0" applyNumberFormat="1" applyFont="1" applyBorder="1" applyAlignment="1">
      <alignment horizontal="center"/>
    </xf>
    <xf numFmtId="2" fontId="54" fillId="0" borderId="83" xfId="0" applyNumberFormat="1" applyFont="1" applyBorder="1" applyAlignment="1">
      <alignment horizontal="center"/>
    </xf>
    <xf numFmtId="0" fontId="64" fillId="0" borderId="35" xfId="0" applyFont="1" applyBorder="1" applyProtection="1">
      <protection locked="0"/>
    </xf>
    <xf numFmtId="169" fontId="75" fillId="87" borderId="35" xfId="1" applyNumberFormat="1" applyFont="1" applyFill="1" applyBorder="1" applyAlignment="1" applyProtection="1">
      <alignment horizontal="center"/>
      <protection locked="0"/>
    </xf>
    <xf numFmtId="169" fontId="75" fillId="15" borderId="35" xfId="1" applyNumberFormat="1" applyFont="1" applyFill="1" applyBorder="1" applyAlignment="1" applyProtection="1">
      <alignment horizontal="center"/>
      <protection locked="0"/>
    </xf>
    <xf numFmtId="0" fontId="0" fillId="21" borderId="35" xfId="0" applyFill="1" applyBorder="1"/>
    <xf numFmtId="166" fontId="75" fillId="21" borderId="35" xfId="0" applyNumberFormat="1" applyFont="1" applyFill="1" applyBorder="1"/>
    <xf numFmtId="2" fontId="75" fillId="21" borderId="35" xfId="0" applyNumberFormat="1" applyFont="1" applyFill="1" applyBorder="1" applyAlignment="1">
      <alignment horizontal="center"/>
    </xf>
    <xf numFmtId="2" fontId="79" fillId="21" borderId="28" xfId="0" applyNumberFormat="1" applyFont="1" applyFill="1" applyBorder="1" applyProtection="1">
      <protection locked="0"/>
    </xf>
    <xf numFmtId="0" fontId="79" fillId="21" borderId="53" xfId="0" applyFont="1" applyFill="1" applyBorder="1"/>
    <xf numFmtId="2" fontId="37" fillId="0" borderId="30" xfId="0" applyNumberFormat="1" applyFont="1" applyBorder="1" applyProtection="1">
      <protection locked="0"/>
    </xf>
    <xf numFmtId="0" fontId="78" fillId="0" borderId="54" xfId="0" applyFont="1" applyBorder="1" applyAlignment="1" applyProtection="1">
      <alignment horizontal="center" vertical="center"/>
      <protection locked="0"/>
    </xf>
    <xf numFmtId="2" fontId="50" fillId="0" borderId="30" xfId="0" applyNumberFormat="1" applyFont="1" applyBorder="1" applyProtection="1">
      <protection locked="0"/>
    </xf>
    <xf numFmtId="6" fontId="78" fillId="0" borderId="54" xfId="0" applyNumberFormat="1" applyFont="1" applyBorder="1" applyAlignment="1" applyProtection="1">
      <alignment horizontal="center" vertical="center"/>
      <protection locked="0"/>
    </xf>
    <xf numFmtId="0" fontId="0" fillId="0" borderId="30" xfId="0" applyBorder="1" applyProtection="1">
      <protection locked="0"/>
    </xf>
    <xf numFmtId="0" fontId="37" fillId="0" borderId="54" xfId="0" applyFont="1" applyBorder="1" applyProtection="1">
      <protection locked="0"/>
    </xf>
    <xf numFmtId="0" fontId="37" fillId="0" borderId="30" xfId="0" applyFont="1" applyBorder="1" applyProtection="1">
      <protection locked="0"/>
    </xf>
    <xf numFmtId="0" fontId="81" fillId="0" borderId="31" xfId="26" applyBorder="1" applyProtection="1">
      <protection locked="0"/>
    </xf>
    <xf numFmtId="0" fontId="37" fillId="0" borderId="46" xfId="0" applyFont="1" applyBorder="1" applyProtection="1">
      <protection locked="0"/>
    </xf>
    <xf numFmtId="0" fontId="65" fillId="21" borderId="30" xfId="0" applyFont="1" applyFill="1" applyBorder="1"/>
    <xf numFmtId="169" fontId="75" fillId="91" borderId="84" xfId="1" applyNumberFormat="1" applyFont="1" applyFill="1" applyBorder="1" applyAlignment="1" applyProtection="1">
      <alignment horizontal="center" vertical="center" wrapText="1"/>
      <protection locked="0"/>
    </xf>
    <xf numFmtId="169" fontId="51" fillId="6" borderId="84" xfId="1" applyNumberFormat="1" applyFont="1" applyFill="1" applyBorder="1" applyAlignment="1" applyProtection="1">
      <alignment horizontal="center" vertical="center" wrapText="1"/>
      <protection locked="0"/>
    </xf>
    <xf numFmtId="169" fontId="42" fillId="7" borderId="84" xfId="1" applyNumberFormat="1" applyFont="1" applyFill="1" applyBorder="1" applyAlignment="1" applyProtection="1">
      <alignment horizontal="center" vertical="center" wrapText="1"/>
      <protection locked="0"/>
    </xf>
    <xf numFmtId="169" fontId="42" fillId="92" borderId="84" xfId="1" applyNumberFormat="1" applyFont="1" applyFill="1" applyBorder="1" applyAlignment="1" applyProtection="1">
      <alignment horizontal="center" vertical="center" wrapText="1"/>
      <protection locked="0"/>
    </xf>
    <xf numFmtId="169" fontId="42" fillId="93" borderId="84" xfId="1" applyNumberFormat="1" applyFont="1" applyFill="1" applyBorder="1" applyAlignment="1" applyProtection="1">
      <alignment horizontal="center" vertical="center" wrapText="1"/>
      <protection locked="0"/>
    </xf>
    <xf numFmtId="169" fontId="42" fillId="94" borderId="84" xfId="1" applyNumberFormat="1" applyFont="1" applyFill="1" applyBorder="1" applyAlignment="1" applyProtection="1">
      <alignment horizontal="center" vertical="center" wrapText="1"/>
      <protection locked="0"/>
    </xf>
    <xf numFmtId="169" fontId="42" fillId="2" borderId="84" xfId="1" applyNumberFormat="1" applyFont="1" applyFill="1" applyBorder="1" applyAlignment="1" applyProtection="1">
      <alignment horizontal="center" vertical="center" wrapText="1"/>
      <protection locked="0"/>
    </xf>
    <xf numFmtId="0" fontId="75" fillId="21" borderId="84" xfId="0" applyFont="1" applyFill="1" applyBorder="1" applyAlignment="1" applyProtection="1">
      <alignment horizontal="center" vertical="center" wrapText="1"/>
      <protection locked="0"/>
    </xf>
    <xf numFmtId="0" fontId="24" fillId="0" borderId="23" xfId="10" applyFont="1" applyProtection="1">
      <protection locked="0"/>
    </xf>
    <xf numFmtId="2" fontId="62" fillId="0" borderId="23" xfId="5" applyNumberFormat="1"/>
    <xf numFmtId="0" fontId="62" fillId="0" borderId="23" xfId="5"/>
    <xf numFmtId="0" fontId="101" fillId="0" borderId="39" xfId="5" applyFont="1" applyBorder="1" applyAlignment="1">
      <alignment horizontal="left"/>
    </xf>
    <xf numFmtId="0" fontId="101" fillId="0" borderId="66" xfId="5" applyFont="1" applyBorder="1"/>
    <xf numFmtId="0" fontId="101" fillId="0" borderId="41" xfId="5" applyFont="1" applyBorder="1" applyAlignment="1">
      <alignment horizontal="left"/>
    </xf>
    <xf numFmtId="16" fontId="101" fillId="0" borderId="39" xfId="5" applyNumberFormat="1" applyFont="1" applyBorder="1" applyAlignment="1">
      <alignment horizontal="left"/>
    </xf>
    <xf numFmtId="0" fontId="101" fillId="0" borderId="23" xfId="5" applyFont="1"/>
    <xf numFmtId="0" fontId="101" fillId="0" borderId="38" xfId="5" applyFont="1" applyBorder="1" applyAlignment="1">
      <alignment horizontal="left"/>
    </xf>
    <xf numFmtId="0" fontId="62" fillId="0" borderId="39" xfId="5" applyBorder="1" applyAlignment="1">
      <alignment horizontal="left"/>
    </xf>
    <xf numFmtId="16" fontId="101" fillId="0" borderId="23" xfId="5" applyNumberFormat="1" applyFont="1"/>
    <xf numFmtId="14" fontId="101" fillId="0" borderId="39" xfId="5" quotePrefix="1" applyNumberFormat="1" applyFont="1" applyBorder="1" applyAlignment="1">
      <alignment horizontal="left"/>
    </xf>
    <xf numFmtId="49" fontId="62" fillId="0" borderId="39" xfId="5" applyNumberFormat="1" applyBorder="1" applyAlignment="1">
      <alignment horizontal="left"/>
    </xf>
    <xf numFmtId="14" fontId="62" fillId="0" borderId="23" xfId="5" applyNumberFormat="1"/>
    <xf numFmtId="14" fontId="62" fillId="0" borderId="39" xfId="5" applyNumberFormat="1" applyBorder="1" applyAlignment="1">
      <alignment horizontal="left"/>
    </xf>
    <xf numFmtId="2" fontId="102" fillId="0" borderId="23" xfId="5" applyNumberFormat="1" applyFont="1"/>
    <xf numFmtId="0" fontId="101" fillId="0" borderId="38" xfId="5" applyFont="1" applyBorder="1"/>
    <xf numFmtId="9" fontId="0" fillId="0" borderId="23" xfId="6" applyFont="1"/>
    <xf numFmtId="0" fontId="101" fillId="0" borderId="42" xfId="5" applyFont="1" applyBorder="1" applyAlignment="1">
      <alignment horizontal="left"/>
    </xf>
    <xf numFmtId="0" fontId="101" fillId="0" borderId="71" xfId="5" applyFont="1" applyBorder="1"/>
    <xf numFmtId="0" fontId="101" fillId="0" borderId="72" xfId="5" applyFont="1" applyBorder="1" applyAlignment="1">
      <alignment horizontal="left"/>
    </xf>
    <xf numFmtId="2" fontId="101" fillId="0" borderId="23" xfId="5" applyNumberFormat="1" applyFont="1"/>
    <xf numFmtId="49" fontId="101" fillId="0" borderId="23" xfId="5" applyNumberFormat="1" applyFont="1" applyAlignment="1">
      <alignment horizontal="left"/>
    </xf>
    <xf numFmtId="0" fontId="101" fillId="0" borderId="23" xfId="5" applyFont="1" applyAlignment="1">
      <alignment horizontal="left"/>
    </xf>
    <xf numFmtId="0" fontId="62" fillId="0" borderId="23" xfId="5" quotePrefix="1"/>
    <xf numFmtId="0" fontId="62" fillId="0" borderId="23" xfId="5" applyAlignment="1">
      <alignment horizontal="left"/>
    </xf>
    <xf numFmtId="49" fontId="62" fillId="0" borderId="23" xfId="5" applyNumberFormat="1"/>
    <xf numFmtId="2" fontId="62" fillId="0" borderId="35" xfId="5" applyNumberFormat="1" applyBorder="1"/>
    <xf numFmtId="0" fontId="62" fillId="0" borderId="35" xfId="5" applyBorder="1"/>
    <xf numFmtId="0" fontId="62" fillId="0" borderId="35" xfId="5" applyBorder="1" applyAlignment="1">
      <alignment horizontal="left"/>
    </xf>
    <xf numFmtId="49" fontId="62" fillId="0" borderId="37" xfId="5" applyNumberFormat="1" applyBorder="1"/>
    <xf numFmtId="1" fontId="62" fillId="0" borderId="23" xfId="5" applyNumberFormat="1"/>
    <xf numFmtId="49" fontId="62" fillId="0" borderId="23" xfId="5" applyNumberFormat="1" applyAlignment="1">
      <alignment horizontal="left"/>
    </xf>
    <xf numFmtId="164" fontId="39" fillId="0" borderId="0" xfId="0" applyNumberFormat="1" applyFont="1" applyProtection="1">
      <protection locked="0"/>
    </xf>
    <xf numFmtId="14" fontId="37" fillId="0" borderId="0" xfId="0" applyNumberFormat="1" applyFont="1" applyProtection="1">
      <protection locked="0"/>
    </xf>
    <xf numFmtId="169" fontId="42" fillId="95" borderId="84" xfId="1" applyNumberFormat="1" applyFont="1" applyFill="1" applyBorder="1" applyAlignment="1" applyProtection="1">
      <alignment horizontal="center" vertical="center" wrapText="1"/>
      <protection locked="0"/>
    </xf>
    <xf numFmtId="169" fontId="52" fillId="95" borderId="35" xfId="1" applyNumberFormat="1" applyFont="1" applyFill="1" applyBorder="1" applyAlignment="1" applyProtection="1">
      <alignment horizontal="center"/>
      <protection locked="0"/>
    </xf>
    <xf numFmtId="0" fontId="75" fillId="21" borderId="51" xfId="0" applyFont="1" applyFill="1" applyBorder="1" applyProtection="1">
      <protection locked="0"/>
    </xf>
    <xf numFmtId="0" fontId="75" fillId="21" borderId="51" xfId="0" applyFont="1" applyFill="1" applyBorder="1"/>
    <xf numFmtId="0" fontId="75" fillId="21" borderId="49" xfId="0" applyFont="1" applyFill="1" applyBorder="1" applyProtection="1">
      <protection locked="0"/>
    </xf>
    <xf numFmtId="0" fontId="75" fillId="21" borderId="49" xfId="0" applyFont="1" applyFill="1" applyBorder="1"/>
    <xf numFmtId="2" fontId="87" fillId="21" borderId="80" xfId="0" applyNumberFormat="1" applyFont="1" applyFill="1" applyBorder="1" applyAlignment="1">
      <alignment horizontal="center"/>
    </xf>
    <xf numFmtId="0" fontId="23" fillId="0" borderId="23" xfId="10" applyFont="1" applyProtection="1">
      <protection locked="0"/>
    </xf>
    <xf numFmtId="0" fontId="22" fillId="90" borderId="37" xfId="10" applyFont="1" applyFill="1" applyBorder="1"/>
    <xf numFmtId="0" fontId="0" fillId="0" borderId="35" xfId="10" applyFont="1" applyBorder="1" applyAlignment="1">
      <alignment horizontal="center"/>
    </xf>
    <xf numFmtId="169" fontId="35" fillId="20" borderId="36" xfId="11" applyNumberFormat="1" applyFont="1" applyFill="1" applyBorder="1"/>
    <xf numFmtId="44" fontId="35" fillId="0" borderId="23" xfId="12" applyBorder="1"/>
    <xf numFmtId="44" fontId="21" fillId="0" borderId="35" xfId="12" applyFont="1" applyBorder="1"/>
    <xf numFmtId="169" fontId="0" fillId="79" borderId="35" xfId="1" applyNumberFormat="1" applyFont="1" applyFill="1" applyBorder="1" applyAlignment="1">
      <alignment horizontal="center"/>
    </xf>
    <xf numFmtId="0" fontId="62" fillId="0" borderId="33" xfId="0" applyFont="1" applyBorder="1" applyAlignment="1">
      <alignment horizontal="center"/>
    </xf>
    <xf numFmtId="0" fontId="62" fillId="0" borderId="40" xfId="0" applyFont="1" applyBorder="1" applyAlignment="1">
      <alignment horizontal="center"/>
    </xf>
    <xf numFmtId="0" fontId="20" fillId="90" borderId="37" xfId="10" applyFont="1" applyFill="1" applyBorder="1"/>
    <xf numFmtId="0" fontId="19" fillId="0" borderId="23" xfId="10" applyFont="1" applyProtection="1">
      <protection locked="0"/>
    </xf>
    <xf numFmtId="0" fontId="18" fillId="90" borderId="37" xfId="10" applyFont="1" applyFill="1" applyBorder="1"/>
    <xf numFmtId="169" fontId="17" fillId="17" borderId="51" xfId="11" applyNumberFormat="1" applyFont="1" applyFill="1" applyBorder="1"/>
    <xf numFmtId="0" fontId="16" fillId="90" borderId="37" xfId="10" applyFont="1" applyFill="1" applyBorder="1"/>
    <xf numFmtId="0" fontId="16" fillId="17" borderId="35" xfId="5" applyFont="1" applyFill="1" applyBorder="1" applyProtection="1">
      <protection locked="0"/>
    </xf>
    <xf numFmtId="169" fontId="16" fillId="17" borderId="35" xfId="1" applyNumberFormat="1" applyFont="1" applyFill="1" applyBorder="1" applyProtection="1">
      <protection locked="0"/>
    </xf>
    <xf numFmtId="169" fontId="35" fillId="17" borderId="35" xfId="1" applyNumberFormat="1" applyFont="1" applyFill="1" applyBorder="1" applyProtection="1">
      <protection locked="0"/>
    </xf>
    <xf numFmtId="169" fontId="16" fillId="20" borderId="52" xfId="11" applyNumberFormat="1" applyFont="1" applyFill="1" applyBorder="1" applyProtection="1"/>
    <xf numFmtId="169" fontId="16" fillId="17" borderId="52" xfId="11" applyNumberFormat="1" applyFont="1" applyFill="1" applyBorder="1"/>
    <xf numFmtId="0" fontId="104" fillId="21" borderId="23" xfId="26" applyFont="1" applyFill="1" applyBorder="1" applyProtection="1">
      <protection locked="0"/>
    </xf>
    <xf numFmtId="0" fontId="16" fillId="17" borderId="36" xfId="5" applyFont="1" applyFill="1" applyBorder="1" applyProtection="1">
      <protection locked="0"/>
    </xf>
    <xf numFmtId="169" fontId="16" fillId="17" borderId="51" xfId="1" applyNumberFormat="1" applyFont="1" applyFill="1" applyBorder="1" applyProtection="1">
      <protection locked="0"/>
    </xf>
    <xf numFmtId="169" fontId="16" fillId="17" borderId="36" xfId="1" applyNumberFormat="1" applyFont="1" applyFill="1" applyBorder="1" applyProtection="1">
      <protection locked="0"/>
    </xf>
    <xf numFmtId="0" fontId="15" fillId="90" borderId="37" xfId="10" applyFont="1" applyFill="1" applyBorder="1"/>
    <xf numFmtId="0" fontId="81" fillId="21" borderId="39" xfId="26" applyFill="1" applyBorder="1" applyProtection="1">
      <protection locked="0"/>
    </xf>
    <xf numFmtId="0" fontId="104" fillId="21" borderId="39" xfId="26" applyFont="1" applyFill="1" applyBorder="1" applyProtection="1">
      <protection locked="0"/>
    </xf>
    <xf numFmtId="49" fontId="0" fillId="29" borderId="0" xfId="0" applyNumberFormat="1" applyFill="1"/>
    <xf numFmtId="49" fontId="62" fillId="22" borderId="0" xfId="0" applyNumberFormat="1" applyFont="1" applyFill="1"/>
    <xf numFmtId="169" fontId="14" fillId="20" borderId="36" xfId="11" applyNumberFormat="1" applyFont="1" applyFill="1" applyBorder="1" applyProtection="1"/>
    <xf numFmtId="169" fontId="14" fillId="17" borderId="35" xfId="1" applyNumberFormat="1" applyFont="1" applyFill="1" applyBorder="1" applyProtection="1">
      <protection locked="0"/>
    </xf>
    <xf numFmtId="0" fontId="14" fillId="90" borderId="37" xfId="10" applyFont="1" applyFill="1" applyBorder="1"/>
    <xf numFmtId="0" fontId="14" fillId="17" borderId="35" xfId="5" applyFont="1" applyFill="1" applyBorder="1" applyProtection="1">
      <protection locked="0"/>
    </xf>
    <xf numFmtId="169" fontId="14" fillId="20" borderId="35" xfId="1" applyNumberFormat="1" applyFont="1" applyFill="1" applyBorder="1" applyProtection="1">
      <protection locked="0"/>
    </xf>
    <xf numFmtId="169" fontId="14" fillId="20" borderId="51" xfId="11" applyNumberFormat="1" applyFont="1" applyFill="1" applyBorder="1"/>
    <xf numFmtId="169" fontId="14" fillId="20" borderId="52" xfId="11" applyNumberFormat="1" applyFont="1" applyFill="1" applyBorder="1" applyProtection="1"/>
    <xf numFmtId="169" fontId="14" fillId="17" borderId="36" xfId="11" applyNumberFormat="1" applyFont="1" applyFill="1" applyBorder="1"/>
    <xf numFmtId="169" fontId="14" fillId="17" borderId="52" xfId="11" applyNumberFormat="1" applyFont="1" applyFill="1" applyBorder="1"/>
    <xf numFmtId="0" fontId="13" fillId="90" borderId="37" xfId="10" applyFont="1" applyFill="1" applyBorder="1"/>
    <xf numFmtId="169" fontId="12" fillId="17" borderId="35" xfId="1" applyNumberFormat="1" applyFont="1" applyFill="1" applyBorder="1" applyProtection="1">
      <protection locked="0"/>
    </xf>
    <xf numFmtId="169" fontId="12" fillId="20" borderId="35" xfId="1" applyNumberFormat="1" applyFont="1" applyFill="1" applyBorder="1" applyProtection="1">
      <protection locked="0"/>
    </xf>
    <xf numFmtId="0" fontId="12" fillId="17" borderId="35" xfId="5" applyFont="1" applyFill="1" applyBorder="1" applyProtection="1">
      <protection locked="0"/>
    </xf>
    <xf numFmtId="169" fontId="12" fillId="20" borderId="51" xfId="11" applyNumberFormat="1" applyFont="1" applyFill="1" applyBorder="1"/>
    <xf numFmtId="169" fontId="35" fillId="20" borderId="35" xfId="1" applyNumberFormat="1" applyFont="1" applyFill="1" applyBorder="1" applyProtection="1">
      <protection locked="0"/>
    </xf>
    <xf numFmtId="169" fontId="12" fillId="20" borderId="52" xfId="11" applyNumberFormat="1" applyFont="1" applyFill="1" applyBorder="1" applyProtection="1"/>
    <xf numFmtId="169" fontId="12" fillId="17" borderId="52" xfId="11" applyNumberFormat="1" applyFont="1" applyFill="1" applyBorder="1"/>
    <xf numFmtId="0" fontId="35" fillId="20" borderId="36" xfId="10" applyFill="1" applyBorder="1"/>
    <xf numFmtId="169" fontId="35" fillId="20" borderId="52" xfId="11" applyNumberFormat="1" applyFont="1" applyFill="1" applyBorder="1"/>
    <xf numFmtId="0" fontId="12" fillId="90" borderId="37" xfId="10" applyFont="1" applyFill="1" applyBorder="1"/>
    <xf numFmtId="169" fontId="11" fillId="17" borderId="35" xfId="1" applyNumberFormat="1" applyFont="1" applyFill="1" applyBorder="1" applyProtection="1">
      <protection locked="0"/>
    </xf>
    <xf numFmtId="0" fontId="11" fillId="17" borderId="35" xfId="5" applyFont="1" applyFill="1" applyBorder="1" applyProtection="1">
      <protection locked="0"/>
    </xf>
    <xf numFmtId="0" fontId="65" fillId="21" borderId="23" xfId="0" applyFont="1" applyFill="1" applyBorder="1"/>
    <xf numFmtId="0" fontId="11" fillId="17" borderId="52" xfId="5" applyFont="1" applyFill="1" applyBorder="1" applyProtection="1">
      <protection locked="0"/>
    </xf>
    <xf numFmtId="169" fontId="11" fillId="17" borderId="52" xfId="1" applyNumberFormat="1" applyFont="1" applyFill="1" applyBorder="1" applyProtection="1">
      <protection locked="0"/>
    </xf>
    <xf numFmtId="0" fontId="40" fillId="38" borderId="35" xfId="0" applyFont="1" applyFill="1" applyBorder="1" applyProtection="1">
      <protection locked="0"/>
    </xf>
    <xf numFmtId="0" fontId="40" fillId="38" borderId="35" xfId="0" applyFont="1" applyFill="1" applyBorder="1" applyAlignment="1" applyProtection="1">
      <alignment horizontal="center"/>
      <protection locked="0"/>
    </xf>
    <xf numFmtId="0" fontId="55" fillId="38" borderId="27" xfId="0" applyFont="1" applyFill="1" applyBorder="1" applyProtection="1">
      <protection locked="0"/>
    </xf>
    <xf numFmtId="0" fontId="40" fillId="38" borderId="82" xfId="0" applyFont="1" applyFill="1" applyBorder="1" applyProtection="1">
      <protection locked="0"/>
    </xf>
    <xf numFmtId="0" fontId="40" fillId="38" borderId="82" xfId="0" applyFont="1" applyFill="1" applyBorder="1" applyAlignment="1" applyProtection="1">
      <alignment horizontal="center"/>
      <protection locked="0"/>
    </xf>
    <xf numFmtId="169" fontId="10" fillId="20" borderId="35" xfId="1" applyNumberFormat="1" applyFont="1" applyFill="1" applyBorder="1" applyProtection="1">
      <protection locked="0"/>
    </xf>
    <xf numFmtId="169" fontId="10" fillId="17" borderId="35" xfId="1" applyNumberFormat="1" applyFont="1" applyFill="1" applyBorder="1" applyProtection="1">
      <protection locked="0"/>
    </xf>
    <xf numFmtId="0" fontId="10" fillId="17" borderId="35" xfId="5" applyFont="1" applyFill="1" applyBorder="1" applyProtection="1">
      <protection locked="0"/>
    </xf>
    <xf numFmtId="169" fontId="10" fillId="20" borderId="51" xfId="11" applyNumberFormat="1" applyFont="1" applyFill="1" applyBorder="1"/>
    <xf numFmtId="169" fontId="10" fillId="20" borderId="52" xfId="11" applyNumberFormat="1" applyFont="1" applyFill="1" applyBorder="1" applyProtection="1"/>
    <xf numFmtId="169" fontId="10" fillId="17" borderId="52" xfId="11" applyNumberFormat="1" applyFont="1" applyFill="1" applyBorder="1"/>
    <xf numFmtId="169" fontId="10" fillId="17" borderId="36" xfId="1" applyNumberFormat="1" applyFont="1" applyFill="1" applyBorder="1" applyProtection="1">
      <protection locked="0"/>
    </xf>
    <xf numFmtId="0" fontId="75" fillId="21" borderId="86" xfId="0" applyFont="1" applyFill="1" applyBorder="1"/>
    <xf numFmtId="0" fontId="75" fillId="21" borderId="88" xfId="0" applyFont="1" applyFill="1" applyBorder="1"/>
    <xf numFmtId="0" fontId="9" fillId="89" borderId="37" xfId="10" applyFont="1" applyFill="1" applyBorder="1"/>
    <xf numFmtId="0" fontId="10" fillId="17" borderId="36" xfId="5" applyFont="1" applyFill="1" applyBorder="1" applyProtection="1">
      <protection locked="0"/>
    </xf>
    <xf numFmtId="0" fontId="12" fillId="17" borderId="36" xfId="5" applyFont="1" applyFill="1" applyBorder="1" applyProtection="1">
      <protection locked="0"/>
    </xf>
    <xf numFmtId="169" fontId="12" fillId="17" borderId="36" xfId="1" applyNumberFormat="1" applyFont="1" applyFill="1" applyBorder="1" applyProtection="1">
      <protection locked="0"/>
    </xf>
    <xf numFmtId="0" fontId="8" fillId="90" borderId="37" xfId="10" applyFont="1" applyFill="1" applyBorder="1"/>
    <xf numFmtId="169" fontId="7" fillId="20" borderId="35" xfId="1" applyNumberFormat="1" applyFont="1" applyFill="1" applyBorder="1" applyProtection="1">
      <protection locked="0"/>
    </xf>
    <xf numFmtId="169" fontId="7" fillId="17" borderId="35" xfId="1" applyNumberFormat="1" applyFont="1" applyFill="1" applyBorder="1" applyProtection="1">
      <protection locked="0"/>
    </xf>
    <xf numFmtId="0" fontId="7" fillId="17" borderId="35" xfId="5" applyFont="1" applyFill="1" applyBorder="1" applyProtection="1">
      <protection locked="0"/>
    </xf>
    <xf numFmtId="169" fontId="7" fillId="20" borderId="51" xfId="11" applyNumberFormat="1" applyFont="1" applyFill="1" applyBorder="1"/>
    <xf numFmtId="169" fontId="7" fillId="20" borderId="52" xfId="11" applyNumberFormat="1" applyFont="1" applyFill="1" applyBorder="1" applyProtection="1"/>
    <xf numFmtId="169" fontId="7" fillId="17" borderId="52" xfId="11" applyNumberFormat="1" applyFont="1" applyFill="1" applyBorder="1"/>
    <xf numFmtId="0" fontId="40" fillId="38" borderId="77" xfId="0" applyFont="1" applyFill="1" applyBorder="1" applyProtection="1">
      <protection locked="0"/>
    </xf>
    <xf numFmtId="0" fontId="40" fillId="38" borderId="77" xfId="0" applyFont="1" applyFill="1" applyBorder="1" applyAlignment="1" applyProtection="1">
      <alignment horizontal="center"/>
      <protection locked="0"/>
    </xf>
    <xf numFmtId="169" fontId="6" fillId="20" borderId="35" xfId="1" applyNumberFormat="1" applyFont="1" applyFill="1" applyBorder="1" applyProtection="1">
      <protection locked="0"/>
    </xf>
    <xf numFmtId="169" fontId="6" fillId="17" borderId="35" xfId="1" applyNumberFormat="1" applyFont="1" applyFill="1" applyBorder="1" applyProtection="1">
      <protection locked="0"/>
    </xf>
    <xf numFmtId="0" fontId="6" fillId="17" borderId="35" xfId="5" applyFont="1" applyFill="1" applyBorder="1" applyProtection="1">
      <protection locked="0"/>
    </xf>
    <xf numFmtId="169" fontId="6" fillId="20" borderId="51" xfId="11" applyNumberFormat="1" applyFont="1" applyFill="1" applyBorder="1"/>
    <xf numFmtId="169" fontId="6" fillId="20" borderId="52" xfId="11" applyNumberFormat="1" applyFont="1" applyFill="1" applyBorder="1" applyProtection="1"/>
    <xf numFmtId="169" fontId="6" fillId="17" borderId="52" xfId="11" applyNumberFormat="1" applyFont="1" applyFill="1" applyBorder="1"/>
    <xf numFmtId="0" fontId="6" fillId="17" borderId="52" xfId="5" applyFont="1" applyFill="1" applyBorder="1" applyProtection="1">
      <protection locked="0"/>
    </xf>
    <xf numFmtId="169" fontId="6" fillId="17" borderId="51" xfId="1" applyNumberFormat="1" applyFont="1" applyFill="1" applyBorder="1" applyProtection="1">
      <protection locked="0"/>
    </xf>
    <xf numFmtId="169" fontId="6" fillId="20" borderId="51" xfId="1" applyNumberFormat="1" applyFont="1" applyFill="1" applyBorder="1" applyProtection="1">
      <protection locked="0"/>
    </xf>
    <xf numFmtId="169" fontId="35" fillId="17" borderId="51" xfId="1" applyNumberFormat="1" applyFont="1" applyFill="1" applyBorder="1" applyProtection="1">
      <protection locked="0"/>
    </xf>
    <xf numFmtId="169" fontId="6" fillId="17" borderId="52" xfId="1" applyNumberFormat="1" applyFont="1" applyFill="1" applyBorder="1" applyProtection="1">
      <protection locked="0"/>
    </xf>
    <xf numFmtId="0" fontId="105" fillId="17" borderId="35" xfId="5" applyFont="1" applyFill="1" applyBorder="1" applyProtection="1">
      <protection locked="0"/>
    </xf>
    <xf numFmtId="169" fontId="105" fillId="20" borderId="35" xfId="1" applyNumberFormat="1" applyFont="1" applyFill="1" applyBorder="1" applyProtection="1">
      <protection locked="0"/>
    </xf>
    <xf numFmtId="169" fontId="105" fillId="17" borderId="35" xfId="1" applyNumberFormat="1" applyFont="1" applyFill="1" applyBorder="1" applyProtection="1">
      <protection locked="0"/>
    </xf>
    <xf numFmtId="169" fontId="105" fillId="20" borderId="52" xfId="11" applyNumberFormat="1" applyFont="1" applyFill="1" applyBorder="1" applyProtection="1"/>
    <xf numFmtId="0" fontId="105" fillId="17" borderId="52" xfId="5" applyFont="1" applyFill="1" applyBorder="1" applyProtection="1">
      <protection locked="0"/>
    </xf>
    <xf numFmtId="169" fontId="105" fillId="17" borderId="51" xfId="1" applyNumberFormat="1" applyFont="1" applyFill="1" applyBorder="1" applyProtection="1">
      <protection locked="0"/>
    </xf>
    <xf numFmtId="169" fontId="105" fillId="20" borderId="51" xfId="1" applyNumberFormat="1" applyFont="1" applyFill="1" applyBorder="1" applyProtection="1">
      <protection locked="0"/>
    </xf>
    <xf numFmtId="169" fontId="35" fillId="20" borderId="51" xfId="1" applyNumberFormat="1" applyFont="1" applyFill="1" applyBorder="1" applyProtection="1">
      <protection locked="0"/>
    </xf>
    <xf numFmtId="169" fontId="105" fillId="17" borderId="52" xfId="1" applyNumberFormat="1" applyFont="1" applyFill="1" applyBorder="1" applyProtection="1">
      <protection locked="0"/>
    </xf>
    <xf numFmtId="169" fontId="5" fillId="17" borderId="35" xfId="1" applyNumberFormat="1" applyFont="1" applyFill="1" applyBorder="1" applyProtection="1">
      <protection locked="0"/>
    </xf>
    <xf numFmtId="169" fontId="5" fillId="20" borderId="35" xfId="1" applyNumberFormat="1" applyFont="1" applyFill="1" applyBorder="1" applyProtection="1">
      <protection locked="0"/>
    </xf>
    <xf numFmtId="0" fontId="5" fillId="17" borderId="35" xfId="5" applyFont="1" applyFill="1" applyBorder="1" applyProtection="1">
      <protection locked="0"/>
    </xf>
    <xf numFmtId="169" fontId="5" fillId="20" borderId="51" xfId="11" applyNumberFormat="1" applyFont="1" applyFill="1" applyBorder="1"/>
    <xf numFmtId="169" fontId="5" fillId="20" borderId="52" xfId="11" applyNumberFormat="1" applyFont="1" applyFill="1" applyBorder="1" applyProtection="1"/>
    <xf numFmtId="169" fontId="5" fillId="17" borderId="52" xfId="11" applyNumberFormat="1" applyFont="1" applyFill="1" applyBorder="1"/>
    <xf numFmtId="0" fontId="5" fillId="17" borderId="52" xfId="5" applyFont="1" applyFill="1" applyBorder="1" applyProtection="1">
      <protection locked="0"/>
    </xf>
    <xf numFmtId="169" fontId="5" fillId="17" borderId="51" xfId="1" applyNumberFormat="1" applyFont="1" applyFill="1" applyBorder="1" applyProtection="1">
      <protection locked="0"/>
    </xf>
    <xf numFmtId="169" fontId="5" fillId="20" borderId="51" xfId="1" applyNumberFormat="1" applyFont="1" applyFill="1" applyBorder="1" applyProtection="1">
      <protection locked="0"/>
    </xf>
    <xf numFmtId="169" fontId="5" fillId="17" borderId="52" xfId="1" applyNumberFormat="1" applyFont="1" applyFill="1" applyBorder="1" applyProtection="1">
      <protection locked="0"/>
    </xf>
    <xf numFmtId="0" fontId="5" fillId="0" borderId="23" xfId="10" applyFont="1" applyProtection="1">
      <protection locked="0"/>
    </xf>
    <xf numFmtId="43" fontId="35" fillId="0" borderId="23" xfId="1" applyFont="1" applyBorder="1" applyProtection="1">
      <protection locked="0"/>
    </xf>
    <xf numFmtId="0" fontId="81" fillId="17" borderId="79" xfId="26" applyFill="1" applyBorder="1" applyAlignment="1" applyProtection="1">
      <alignment horizontal="left"/>
      <protection locked="0"/>
    </xf>
    <xf numFmtId="0" fontId="103" fillId="38" borderId="79" xfId="26" applyFont="1" applyFill="1" applyBorder="1" applyAlignment="1" applyProtection="1">
      <alignment horizontal="left"/>
      <protection locked="0"/>
    </xf>
    <xf numFmtId="0" fontId="40" fillId="17" borderId="79" xfId="0" applyFont="1" applyFill="1" applyBorder="1" applyAlignment="1" applyProtection="1">
      <alignment horizontal="left"/>
      <protection locked="0"/>
    </xf>
    <xf numFmtId="0" fontId="81" fillId="38" borderId="79" xfId="26" applyFill="1" applyBorder="1" applyAlignment="1" applyProtection="1">
      <alignment horizontal="left"/>
      <protection locked="0"/>
    </xf>
    <xf numFmtId="0" fontId="81" fillId="0" borderId="79" xfId="26" applyBorder="1" applyAlignment="1" applyProtection="1">
      <alignment horizontal="left"/>
      <protection locked="0"/>
    </xf>
    <xf numFmtId="0" fontId="40" fillId="0" borderId="79" xfId="0" applyFont="1" applyBorder="1" applyAlignment="1" applyProtection="1">
      <alignment horizontal="left"/>
      <protection locked="0"/>
    </xf>
    <xf numFmtId="0" fontId="81" fillId="38" borderId="79" xfId="26" applyFill="1" applyBorder="1" applyAlignment="1">
      <alignment horizontal="left"/>
    </xf>
    <xf numFmtId="0" fontId="104" fillId="21" borderId="79" xfId="26" applyFont="1" applyFill="1" applyBorder="1" applyAlignment="1" applyProtection="1">
      <alignment horizontal="left"/>
      <protection locked="0"/>
    </xf>
    <xf numFmtId="0" fontId="62" fillId="38" borderId="79" xfId="0" applyFont="1" applyFill="1" applyBorder="1" applyAlignment="1">
      <alignment horizontal="left"/>
    </xf>
    <xf numFmtId="0" fontId="89" fillId="21" borderId="79" xfId="0" applyFont="1" applyFill="1" applyBorder="1" applyAlignment="1" applyProtection="1">
      <alignment horizontal="left"/>
      <protection locked="0"/>
    </xf>
    <xf numFmtId="0" fontId="81" fillId="0" borderId="79" xfId="26" applyFill="1" applyBorder="1" applyAlignment="1">
      <alignment horizontal="left"/>
    </xf>
    <xf numFmtId="0" fontId="75" fillId="21" borderId="79" xfId="0" applyFont="1" applyFill="1" applyBorder="1" applyAlignment="1" applyProtection="1">
      <alignment horizontal="left"/>
      <protection locked="0"/>
    </xf>
    <xf numFmtId="0" fontId="75" fillId="21" borderId="85" xfId="0" applyFont="1" applyFill="1" applyBorder="1" applyAlignment="1" applyProtection="1">
      <alignment horizontal="left"/>
      <protection locked="0"/>
    </xf>
    <xf numFmtId="0" fontId="75" fillId="21" borderId="87" xfId="0" applyFont="1" applyFill="1" applyBorder="1" applyAlignment="1" applyProtection="1">
      <alignment horizontal="left"/>
      <protection locked="0"/>
    </xf>
    <xf numFmtId="0" fontId="81" fillId="38" borderId="81" xfId="26" applyFill="1" applyBorder="1" applyAlignment="1" applyProtection="1">
      <alignment horizontal="left"/>
      <protection locked="0"/>
    </xf>
    <xf numFmtId="0" fontId="4" fillId="89" borderId="37" xfId="10" applyFont="1" applyFill="1" applyBorder="1"/>
    <xf numFmtId="0" fontId="3" fillId="17" borderId="35" xfId="5" applyFont="1" applyFill="1" applyBorder="1" applyProtection="1">
      <protection locked="0"/>
    </xf>
    <xf numFmtId="169" fontId="3" fillId="20" borderId="35" xfId="1" applyNumberFormat="1" applyFont="1" applyFill="1" applyBorder="1" applyProtection="1">
      <protection locked="0"/>
    </xf>
    <xf numFmtId="169" fontId="3" fillId="20" borderId="51" xfId="11" applyNumberFormat="1" applyFont="1" applyFill="1" applyBorder="1"/>
    <xf numFmtId="169" fontId="3" fillId="17" borderId="35" xfId="1" applyNumberFormat="1" applyFont="1" applyFill="1" applyBorder="1" applyProtection="1">
      <protection locked="0"/>
    </xf>
    <xf numFmtId="169" fontId="3" fillId="20" borderId="52" xfId="11" applyNumberFormat="1" applyFont="1" applyFill="1" applyBorder="1" applyProtection="1"/>
    <xf numFmtId="169" fontId="3" fillId="17" borderId="52" xfId="11" applyNumberFormat="1" applyFont="1" applyFill="1" applyBorder="1"/>
    <xf numFmtId="0" fontId="81" fillId="38" borderId="28" xfId="26" applyFill="1" applyBorder="1" applyAlignment="1">
      <alignment horizontal="left"/>
    </xf>
    <xf numFmtId="169" fontId="2" fillId="20" borderId="35" xfId="1" applyNumberFormat="1" applyFont="1" applyFill="1" applyBorder="1" applyProtection="1">
      <protection locked="0"/>
    </xf>
    <xf numFmtId="169" fontId="2" fillId="17" borderId="35" xfId="1" applyNumberFormat="1" applyFont="1" applyFill="1" applyBorder="1" applyProtection="1">
      <protection locked="0"/>
    </xf>
    <xf numFmtId="0" fontId="2" fillId="17" borderId="35" xfId="5" applyFont="1" applyFill="1" applyBorder="1" applyProtection="1">
      <protection locked="0"/>
    </xf>
    <xf numFmtId="169" fontId="2" fillId="20" borderId="51" xfId="11" applyNumberFormat="1" applyFont="1" applyFill="1" applyBorder="1" applyProtection="1">
      <protection locked="0"/>
    </xf>
    <xf numFmtId="169" fontId="2" fillId="20" borderId="52" xfId="11" applyNumberFormat="1" applyFont="1" applyFill="1" applyBorder="1" applyProtection="1"/>
    <xf numFmtId="169" fontId="2" fillId="17" borderId="52" xfId="11" applyNumberFormat="1" applyFont="1" applyFill="1" applyBorder="1"/>
    <xf numFmtId="169" fontId="2" fillId="20" borderId="51" xfId="11" applyNumberFormat="1" applyFont="1" applyFill="1" applyBorder="1"/>
    <xf numFmtId="0" fontId="106" fillId="17" borderId="35" xfId="5" applyFont="1" applyFill="1" applyBorder="1" applyProtection="1">
      <protection locked="0"/>
    </xf>
    <xf numFmtId="169" fontId="106" fillId="20" borderId="35" xfId="1" applyNumberFormat="1" applyFont="1" applyFill="1" applyBorder="1" applyProtection="1">
      <protection locked="0"/>
    </xf>
    <xf numFmtId="169" fontId="106" fillId="17" borderId="35" xfId="1" applyNumberFormat="1" applyFont="1" applyFill="1" applyBorder="1" applyProtection="1">
      <protection locked="0"/>
    </xf>
    <xf numFmtId="169" fontId="106" fillId="20" borderId="52" xfId="11" applyNumberFormat="1" applyFont="1" applyFill="1" applyBorder="1" applyProtection="1"/>
    <xf numFmtId="0" fontId="106" fillId="17" borderId="52" xfId="5" applyFont="1" applyFill="1" applyBorder="1" applyProtection="1">
      <protection locked="0"/>
    </xf>
    <xf numFmtId="169" fontId="106" fillId="17" borderId="51" xfId="1" applyNumberFormat="1" applyFont="1" applyFill="1" applyBorder="1" applyProtection="1">
      <protection locked="0"/>
    </xf>
    <xf numFmtId="169" fontId="106" fillId="20" borderId="51" xfId="1" applyNumberFormat="1" applyFont="1" applyFill="1" applyBorder="1" applyProtection="1">
      <protection locked="0"/>
    </xf>
    <xf numFmtId="169" fontId="106" fillId="17" borderId="52" xfId="1" applyNumberFormat="1" applyFont="1" applyFill="1" applyBorder="1" applyProtection="1">
      <protection locked="0"/>
    </xf>
    <xf numFmtId="0" fontId="103" fillId="90" borderId="79" xfId="26" applyFont="1" applyFill="1" applyBorder="1" applyAlignment="1" applyProtection="1">
      <alignment horizontal="left"/>
      <protection locked="0"/>
    </xf>
    <xf numFmtId="0" fontId="40" fillId="90" borderId="35" xfId="0" applyFont="1" applyFill="1" applyBorder="1" applyProtection="1">
      <protection locked="0"/>
    </xf>
    <xf numFmtId="0" fontId="40" fillId="90" borderId="35" xfId="0" applyFont="1" applyFill="1" applyBorder="1" applyAlignment="1" applyProtection="1">
      <alignment horizontal="center"/>
      <protection locked="0"/>
    </xf>
    <xf numFmtId="0" fontId="55" fillId="90" borderId="27" xfId="0" applyFont="1" applyFill="1" applyBorder="1" applyProtection="1">
      <protection locked="0"/>
    </xf>
    <xf numFmtId="0" fontId="81" fillId="90" borderId="79" xfId="26" applyFill="1" applyBorder="1" applyAlignment="1" applyProtection="1">
      <alignment horizontal="left"/>
      <protection locked="0"/>
    </xf>
    <xf numFmtId="0" fontId="64" fillId="90" borderId="35" xfId="0" applyFont="1" applyFill="1" applyBorder="1" applyProtection="1">
      <protection locked="0"/>
    </xf>
    <xf numFmtId="0" fontId="62" fillId="90" borderId="79" xfId="0" applyFont="1" applyFill="1" applyBorder="1" applyAlignment="1">
      <alignment horizontal="left"/>
    </xf>
    <xf numFmtId="0" fontId="1" fillId="0" borderId="23" xfId="10" applyFont="1" applyProtection="1">
      <protection locked="0"/>
    </xf>
    <xf numFmtId="171" fontId="37" fillId="0" borderId="54" xfId="2" applyNumberFormat="1" applyFont="1" applyBorder="1"/>
    <xf numFmtId="171" fontId="79" fillId="21" borderId="54" xfId="0" applyNumberFormat="1" applyFont="1" applyFill="1" applyBorder="1"/>
    <xf numFmtId="171" fontId="0" fillId="0" borderId="46" xfId="2" applyNumberFormat="1" applyFont="1" applyBorder="1" applyProtection="1">
      <protection locked="0"/>
    </xf>
    <xf numFmtId="171" fontId="40" fillId="0" borderId="35" xfId="0" applyNumberFormat="1" applyFont="1" applyBorder="1" applyAlignment="1">
      <alignment horizontal="center"/>
    </xf>
    <xf numFmtId="171" fontId="40" fillId="17" borderId="35" xfId="0" applyNumberFormat="1" applyFont="1" applyFill="1" applyBorder="1" applyAlignment="1">
      <alignment horizontal="center"/>
    </xf>
    <xf numFmtId="171" fontId="75" fillId="21" borderId="35" xfId="0" applyNumberFormat="1" applyFont="1" applyFill="1" applyBorder="1"/>
    <xf numFmtId="171" fontId="40" fillId="0" borderId="82" xfId="0" applyNumberFormat="1" applyFont="1" applyBorder="1" applyAlignment="1">
      <alignment horizontal="center"/>
    </xf>
    <xf numFmtId="171" fontId="42" fillId="2" borderId="1" xfId="0" applyNumberFormat="1" applyFont="1" applyFill="1" applyBorder="1" applyAlignment="1">
      <alignment horizontal="center" vertical="center" wrapText="1"/>
    </xf>
    <xf numFmtId="171" fontId="42" fillId="2" borderId="1" xfId="2" applyNumberFormat="1" applyFont="1" applyFill="1" applyBorder="1" applyAlignment="1">
      <alignment horizontal="center"/>
    </xf>
    <xf numFmtId="171" fontId="42" fillId="2" borderId="1" xfId="0" applyNumberFormat="1" applyFont="1" applyFill="1" applyBorder="1" applyAlignment="1">
      <alignment horizontal="center" vertical="center"/>
    </xf>
    <xf numFmtId="171" fontId="42" fillId="2" borderId="1" xfId="0" applyNumberFormat="1" applyFont="1" applyFill="1" applyBorder="1" applyAlignment="1">
      <alignment horizontal="center"/>
    </xf>
    <xf numFmtId="171" fontId="42" fillId="15" borderId="1" xfId="0" applyNumberFormat="1" applyFont="1" applyFill="1" applyBorder="1" applyAlignment="1">
      <alignment horizontal="center"/>
    </xf>
    <xf numFmtId="171" fontId="48" fillId="3" borderId="56" xfId="2" applyNumberFormat="1" applyFont="1" applyFill="1" applyBorder="1" applyAlignment="1">
      <alignment horizontal="center" vertical="center" wrapText="1"/>
    </xf>
    <xf numFmtId="171" fontId="35" fillId="0" borderId="23" xfId="2" applyNumberFormat="1" applyFont="1" applyBorder="1" applyProtection="1">
      <protection locked="0"/>
    </xf>
    <xf numFmtId="171" fontId="75" fillId="21" borderId="51" xfId="0" applyNumberFormat="1" applyFont="1" applyFill="1" applyBorder="1"/>
    <xf numFmtId="171" fontId="40" fillId="0" borderId="77" xfId="0" applyNumberFormat="1" applyFont="1" applyBorder="1" applyAlignment="1">
      <alignment horizontal="center"/>
    </xf>
    <xf numFmtId="171" fontId="75" fillId="21" borderId="49" xfId="0" applyNumberFormat="1" applyFont="1" applyFill="1" applyBorder="1"/>
    <xf numFmtId="171" fontId="75" fillId="21" borderId="35" xfId="0" applyNumberFormat="1" applyFont="1" applyFill="1" applyBorder="1" applyAlignment="1" applyProtection="1">
      <alignment horizontal="center"/>
      <protection locked="0"/>
    </xf>
    <xf numFmtId="0" fontId="89" fillId="21" borderId="23" xfId="0" applyFont="1" applyFill="1" applyBorder="1" applyAlignment="1" applyProtection="1">
      <alignment horizontal="center" vertical="center" wrapText="1"/>
      <protection locked="0"/>
    </xf>
    <xf numFmtId="0" fontId="90" fillId="0" borderId="23" xfId="0" applyFont="1" applyBorder="1" applyAlignment="1">
      <alignment horizontal="center" vertical="center" wrapText="1"/>
    </xf>
    <xf numFmtId="0" fontId="94" fillId="0" borderId="23" xfId="0" applyFont="1" applyBorder="1" applyAlignment="1" applyProtection="1">
      <alignment horizontal="center" vertical="top"/>
      <protection locked="0"/>
    </xf>
    <xf numFmtId="0" fontId="62" fillId="0" borderId="33" xfId="0" applyFont="1" applyBorder="1" applyAlignment="1">
      <alignment horizontal="center"/>
    </xf>
    <xf numFmtId="0" fontId="62" fillId="0" borderId="40" xfId="0" applyFont="1" applyBorder="1" applyAlignment="1">
      <alignment horizontal="center"/>
    </xf>
    <xf numFmtId="0" fontId="99" fillId="0" borderId="23" xfId="0" applyFont="1" applyBorder="1" applyAlignment="1" applyProtection="1">
      <alignment horizontal="center" vertical="top"/>
      <protection locked="0"/>
    </xf>
    <xf numFmtId="0" fontId="96" fillId="0" borderId="23" xfId="0" applyFont="1" applyBorder="1" applyAlignment="1">
      <alignment horizontal="center" vertical="top"/>
    </xf>
    <xf numFmtId="0" fontId="43" fillId="11" borderId="0" xfId="0" applyFont="1" applyFill="1" applyAlignment="1">
      <alignment horizontal="center" vertical="center" wrapText="1"/>
    </xf>
    <xf numFmtId="0" fontId="0" fillId="0" borderId="0" xfId="0"/>
    <xf numFmtId="10" fontId="57" fillId="0" borderId="24" xfId="0" applyNumberFormat="1" applyFont="1" applyBorder="1" applyAlignment="1">
      <alignment horizontal="center" vertical="center"/>
    </xf>
    <xf numFmtId="10" fontId="57" fillId="0" borderId="25" xfId="0" applyNumberFormat="1" applyFont="1" applyBorder="1" applyAlignment="1">
      <alignment horizontal="center" vertical="center"/>
    </xf>
    <xf numFmtId="10" fontId="57" fillId="0" borderId="26" xfId="0" applyNumberFormat="1" applyFont="1" applyBorder="1" applyAlignment="1">
      <alignment horizontal="center" vertical="center"/>
    </xf>
    <xf numFmtId="10" fontId="57" fillId="0" borderId="23" xfId="0" applyNumberFormat="1" applyFont="1" applyBorder="1" applyAlignment="1">
      <alignment horizontal="center" vertical="center"/>
    </xf>
    <xf numFmtId="0" fontId="60" fillId="2" borderId="6" xfId="0" applyFont="1" applyFill="1" applyBorder="1" applyAlignment="1">
      <alignment horizontal="right" vertical="center" wrapText="1"/>
    </xf>
    <xf numFmtId="0" fontId="45" fillId="0" borderId="23" xfId="0" applyFont="1" applyBorder="1"/>
    <xf numFmtId="0" fontId="45" fillId="0" borderId="7" xfId="0" applyFont="1" applyBorder="1"/>
    <xf numFmtId="2" fontId="78" fillId="0" borderId="24" xfId="0" applyNumberFormat="1" applyFont="1" applyBorder="1" applyAlignment="1">
      <alignment horizontal="center" vertical="center" textRotation="255"/>
    </xf>
    <xf numFmtId="2" fontId="78" fillId="0" borderId="25" xfId="0" applyNumberFormat="1" applyFont="1" applyBorder="1" applyAlignment="1">
      <alignment horizontal="center" vertical="center" textRotation="255"/>
    </xf>
    <xf numFmtId="2" fontId="78" fillId="0" borderId="26" xfId="0" applyNumberFormat="1" applyFont="1" applyBorder="1" applyAlignment="1">
      <alignment horizontal="center" vertical="center" textRotation="255"/>
    </xf>
    <xf numFmtId="0" fontId="42" fillId="2" borderId="6" xfId="0" applyFont="1" applyFill="1" applyBorder="1" applyAlignment="1">
      <alignment horizontal="right" vertical="center" wrapText="1"/>
    </xf>
    <xf numFmtId="0" fontId="42" fillId="2" borderId="23" xfId="0" applyFont="1" applyFill="1" applyBorder="1" applyAlignment="1">
      <alignment horizontal="right" vertical="center" wrapText="1"/>
    </xf>
    <xf numFmtId="0" fontId="59" fillId="2" borderId="6" xfId="0" applyFont="1" applyFill="1" applyBorder="1" applyAlignment="1">
      <alignment horizontal="right" vertical="center" wrapText="1"/>
    </xf>
    <xf numFmtId="0" fontId="60" fillId="2" borderId="23" xfId="0" applyFont="1" applyFill="1" applyBorder="1" applyAlignment="1">
      <alignment horizontal="right" vertical="center" wrapText="1"/>
    </xf>
    <xf numFmtId="0" fontId="59" fillId="2" borderId="6" xfId="0" applyFont="1" applyFill="1" applyBorder="1" applyAlignment="1">
      <alignment horizontal="right"/>
    </xf>
    <xf numFmtId="0" fontId="59" fillId="2" borderId="23" xfId="0" applyFont="1" applyFill="1" applyBorder="1" applyAlignment="1">
      <alignment horizontal="right"/>
    </xf>
    <xf numFmtId="0" fontId="61" fillId="2" borderId="6" xfId="0" applyFont="1" applyFill="1" applyBorder="1" applyAlignment="1">
      <alignment horizontal="right"/>
    </xf>
    <xf numFmtId="0" fontId="61" fillId="2" borderId="23" xfId="0" applyFont="1" applyFill="1" applyBorder="1" applyAlignment="1">
      <alignment horizontal="right"/>
    </xf>
    <xf numFmtId="0" fontId="38" fillId="0" borderId="0" xfId="0" applyFont="1" applyAlignment="1" applyProtection="1">
      <alignment horizontal="center" vertical="top"/>
      <protection locked="0"/>
    </xf>
    <xf numFmtId="0" fontId="0" fillId="0" borderId="0" xfId="0" applyProtection="1">
      <protection locked="0"/>
    </xf>
    <xf numFmtId="0" fontId="42" fillId="2" borderId="6" xfId="0" applyFont="1" applyFill="1" applyBorder="1" applyProtection="1">
      <protection locked="0"/>
    </xf>
    <xf numFmtId="0" fontId="45" fillId="0" borderId="7" xfId="0" applyFont="1" applyBorder="1" applyProtection="1">
      <protection locked="0"/>
    </xf>
    <xf numFmtId="0" fontId="37" fillId="0" borderId="0" xfId="0" applyFont="1" applyProtection="1">
      <protection locked="0"/>
    </xf>
    <xf numFmtId="0" fontId="37" fillId="0" borderId="2" xfId="0" applyFont="1" applyBorder="1" applyAlignment="1" applyProtection="1">
      <alignment vertical="center"/>
      <protection locked="0"/>
    </xf>
    <xf numFmtId="0" fontId="45" fillId="0" borderId="5" xfId="0" applyFont="1" applyBorder="1" applyProtection="1">
      <protection locked="0"/>
    </xf>
    <xf numFmtId="0" fontId="42" fillId="2" borderId="3" xfId="0" applyFont="1" applyFill="1" applyBorder="1" applyAlignment="1" applyProtection="1">
      <alignment wrapText="1"/>
      <protection locked="0"/>
    </xf>
    <xf numFmtId="0" fontId="45" fillId="0" borderId="4" xfId="0" applyFont="1" applyBorder="1" applyProtection="1">
      <protection locked="0"/>
    </xf>
    <xf numFmtId="0" fontId="40" fillId="0" borderId="0" xfId="0" applyFont="1" applyAlignment="1" applyProtection="1">
      <alignment horizontal="center"/>
      <protection locked="0"/>
    </xf>
    <xf numFmtId="0" fontId="60" fillId="2" borderId="29" xfId="0" applyFont="1" applyFill="1" applyBorder="1" applyAlignment="1">
      <alignment horizontal="right" vertical="center" wrapText="1"/>
    </xf>
    <xf numFmtId="1" fontId="68" fillId="16" borderId="33" xfId="0" applyNumberFormat="1" applyFont="1" applyFill="1" applyBorder="1" applyAlignment="1">
      <alignment horizontal="right"/>
    </xf>
    <xf numFmtId="0" fontId="37" fillId="17" borderId="34" xfId="0" applyFont="1" applyFill="1" applyBorder="1"/>
    <xf numFmtId="0" fontId="51" fillId="0" borderId="0" xfId="0" applyFont="1" applyAlignment="1" applyProtection="1">
      <alignment horizontal="center"/>
      <protection locked="0"/>
    </xf>
    <xf numFmtId="0" fontId="48" fillId="3" borderId="8" xfId="0" applyFont="1" applyFill="1" applyBorder="1" applyAlignment="1" applyProtection="1">
      <alignment horizontal="left" vertical="top" wrapText="1"/>
      <protection locked="0"/>
    </xf>
    <xf numFmtId="0" fontId="48" fillId="3" borderId="23" xfId="0" applyFont="1" applyFill="1" applyBorder="1" applyAlignment="1" applyProtection="1">
      <alignment horizontal="left" vertical="top" wrapText="1"/>
      <protection locked="0"/>
    </xf>
    <xf numFmtId="0" fontId="45" fillId="0" borderId="9" xfId="0" applyFont="1" applyBorder="1" applyProtection="1">
      <protection locked="0"/>
    </xf>
    <xf numFmtId="0" fontId="45" fillId="0" borderId="10" xfId="0" applyFont="1" applyBorder="1" applyProtection="1">
      <protection locked="0"/>
    </xf>
    <xf numFmtId="0" fontId="45" fillId="0" borderId="11" xfId="0" applyFont="1" applyBorder="1" applyProtection="1">
      <protection locked="0"/>
    </xf>
    <xf numFmtId="0" fontId="45" fillId="0" borderId="23" xfId="0" applyFont="1" applyBorder="1" applyProtection="1">
      <protection locked="0"/>
    </xf>
    <xf numFmtId="0" fontId="45" fillId="0" borderId="12" xfId="0" applyFont="1" applyBorder="1" applyProtection="1">
      <protection locked="0"/>
    </xf>
    <xf numFmtId="0" fontId="45" fillId="0" borderId="13" xfId="0" applyFont="1" applyBorder="1" applyProtection="1">
      <protection locked="0"/>
    </xf>
    <xf numFmtId="0" fontId="45" fillId="0" borderId="14" xfId="0" applyFont="1" applyBorder="1" applyProtection="1">
      <protection locked="0"/>
    </xf>
    <xf numFmtId="0" fontId="45" fillId="0" borderId="15" xfId="0" applyFont="1" applyBorder="1" applyProtection="1">
      <protection locked="0"/>
    </xf>
    <xf numFmtId="0" fontId="37" fillId="0" borderId="16" xfId="0" applyFont="1" applyBorder="1" applyProtection="1">
      <protection locked="0"/>
    </xf>
    <xf numFmtId="0" fontId="45" fillId="0" borderId="17" xfId="0" applyFont="1" applyBorder="1" applyProtection="1">
      <protection locked="0"/>
    </xf>
    <xf numFmtId="0" fontId="45" fillId="0" borderId="18" xfId="0" applyFont="1" applyBorder="1" applyProtection="1">
      <protection locked="0"/>
    </xf>
    <xf numFmtId="0" fontId="37" fillId="0" borderId="0" xfId="0" applyFont="1" applyAlignment="1" applyProtection="1">
      <alignment horizontal="left" wrapText="1"/>
      <protection locked="0"/>
    </xf>
    <xf numFmtId="169" fontId="0" fillId="0" borderId="0" xfId="1" applyNumberFormat="1" applyFont="1" applyAlignment="1">
      <alignment horizontal="left"/>
    </xf>
    <xf numFmtId="169" fontId="62" fillId="0" borderId="0" xfId="1" applyNumberFormat="1" applyFont="1" applyAlignment="1">
      <alignment horizontal="left"/>
    </xf>
    <xf numFmtId="0" fontId="70" fillId="0" borderId="43" xfId="10" applyFont="1" applyBorder="1" applyAlignment="1" applyProtection="1">
      <alignment horizontal="center" vertical="center"/>
      <protection locked="0"/>
    </xf>
    <xf numFmtId="0" fontId="70" fillId="0" borderId="44" xfId="10" applyFont="1" applyBorder="1" applyAlignment="1" applyProtection="1">
      <alignment horizontal="center" vertical="center"/>
      <protection locked="0"/>
    </xf>
    <xf numFmtId="0" fontId="70" fillId="0" borderId="45" xfId="10" applyFont="1" applyBorder="1" applyAlignment="1" applyProtection="1">
      <alignment horizontal="center" vertical="center"/>
      <protection locked="0"/>
    </xf>
    <xf numFmtId="0" fontId="70" fillId="0" borderId="31" xfId="10" applyFont="1" applyBorder="1" applyAlignment="1" applyProtection="1">
      <alignment horizontal="center" vertical="center"/>
      <protection locked="0"/>
    </xf>
    <xf numFmtId="0" fontId="70" fillId="0" borderId="32" xfId="10" applyFont="1" applyBorder="1" applyAlignment="1" applyProtection="1">
      <alignment horizontal="center" vertical="center"/>
      <protection locked="0"/>
    </xf>
    <xf numFmtId="0" fontId="70" fillId="0" borderId="46" xfId="10" applyFont="1" applyBorder="1" applyAlignment="1" applyProtection="1">
      <alignment horizontal="center" vertical="center"/>
      <protection locked="0"/>
    </xf>
    <xf numFmtId="0" fontId="0" fillId="0" borderId="35" xfId="10" applyFont="1" applyBorder="1" applyAlignment="1">
      <alignment horizontal="center"/>
    </xf>
    <xf numFmtId="0" fontId="78" fillId="0" borderId="35" xfId="10" applyFont="1" applyBorder="1" applyAlignment="1">
      <alignment horizontal="center"/>
    </xf>
    <xf numFmtId="0" fontId="69" fillId="0" borderId="36" xfId="10" applyFont="1" applyBorder="1" applyAlignment="1" applyProtection="1">
      <alignment horizontal="center"/>
      <protection locked="0"/>
    </xf>
    <xf numFmtId="0" fontId="69" fillId="0" borderId="63" xfId="10" applyFont="1" applyBorder="1" applyAlignment="1" applyProtection="1">
      <alignment horizontal="center"/>
      <protection locked="0"/>
    </xf>
    <xf numFmtId="0" fontId="69" fillId="0" borderId="37" xfId="10" applyFont="1" applyBorder="1" applyAlignment="1" applyProtection="1">
      <alignment horizontal="center"/>
      <protection locked="0"/>
    </xf>
    <xf numFmtId="0" fontId="19" fillId="0" borderId="36" xfId="10" applyFont="1" applyBorder="1" applyAlignment="1" applyProtection="1">
      <alignment horizontal="left"/>
      <protection locked="0"/>
    </xf>
    <xf numFmtId="0" fontId="35" fillId="0" borderId="63" xfId="10" applyBorder="1" applyAlignment="1" applyProtection="1">
      <alignment horizontal="left"/>
      <protection locked="0"/>
    </xf>
    <xf numFmtId="0" fontId="35" fillId="0" borderId="37" xfId="10" applyBorder="1" applyAlignment="1" applyProtection="1">
      <alignment horizontal="left"/>
      <protection locked="0"/>
    </xf>
    <xf numFmtId="0" fontId="35" fillId="0" borderId="36" xfId="10" applyBorder="1" applyAlignment="1" applyProtection="1">
      <alignment horizontal="left"/>
      <protection locked="0"/>
    </xf>
    <xf numFmtId="0" fontId="21" fillId="0" borderId="36" xfId="10" applyFont="1" applyBorder="1" applyAlignment="1" applyProtection="1">
      <alignment horizontal="left"/>
      <protection locked="0"/>
    </xf>
  </cellXfs>
  <cellStyles count="28">
    <cellStyle name="Comma" xfId="1" builtinId="3"/>
    <cellStyle name="Comma 2" xfId="11" xr:uid="{00000000-0005-0000-0000-000001000000}"/>
    <cellStyle name="Comma 3" xfId="23" xr:uid="{00000000-0005-0000-0000-000002000000}"/>
    <cellStyle name="Currency" xfId="2" builtinId="4"/>
    <cellStyle name="Currency 2" xfId="7" xr:uid="{00000000-0005-0000-0000-000004000000}"/>
    <cellStyle name="Currency 3" xfId="12" xr:uid="{00000000-0005-0000-0000-000005000000}"/>
    <cellStyle name="Currency 4" xfId="21" xr:uid="{00000000-0005-0000-0000-000006000000}"/>
    <cellStyle name="Followed Hyperlink" xfId="25" builtinId="9" hidden="1"/>
    <cellStyle name="Followed Hyperlink" xfId="27" builtinId="9" hidden="1"/>
    <cellStyle name="Hyperlink" xfId="24" builtinId="8" hidden="1"/>
    <cellStyle name="Hyperlink" xfId="26" builtinId="8"/>
    <cellStyle name="Normal" xfId="0" builtinId="0"/>
    <cellStyle name="Normal 10" xfId="17" xr:uid="{00000000-0005-0000-0000-00000C000000}"/>
    <cellStyle name="Normal 11" xfId="18" xr:uid="{00000000-0005-0000-0000-00000D000000}"/>
    <cellStyle name="Normal 12" xfId="19" xr:uid="{00000000-0005-0000-0000-00000E000000}"/>
    <cellStyle name="Normal 2" xfId="5" xr:uid="{00000000-0005-0000-0000-00000F000000}"/>
    <cellStyle name="Normal 2 2" xfId="10" xr:uid="{00000000-0005-0000-0000-000010000000}"/>
    <cellStyle name="Normal 2 3" xfId="20" xr:uid="{00000000-0005-0000-0000-000011000000}"/>
    <cellStyle name="Normal 3" xfId="3" xr:uid="{00000000-0005-0000-0000-000012000000}"/>
    <cellStyle name="Normal 4" xfId="4" xr:uid="{00000000-0005-0000-0000-000013000000}"/>
    <cellStyle name="Normal 5" xfId="8" xr:uid="{00000000-0005-0000-0000-000014000000}"/>
    <cellStyle name="Normal 6" xfId="13" xr:uid="{00000000-0005-0000-0000-000015000000}"/>
    <cellStyle name="Normal 7" xfId="14" xr:uid="{00000000-0005-0000-0000-000016000000}"/>
    <cellStyle name="Normal 8" xfId="15" xr:uid="{00000000-0005-0000-0000-000017000000}"/>
    <cellStyle name="Normal 9" xfId="16" xr:uid="{00000000-0005-0000-0000-000018000000}"/>
    <cellStyle name="Percent" xfId="9" builtinId="5"/>
    <cellStyle name="Percent 2" xfId="6" xr:uid="{00000000-0005-0000-0000-00001A000000}"/>
    <cellStyle name="Percent 3" xfId="22" xr:uid="{00000000-0005-0000-0000-00001B000000}"/>
  </cellStyles>
  <dxfs count="33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theme="1"/>
        <name val="Calibri"/>
        <scheme val="minor"/>
      </font>
      <numFmt numFmtId="169" formatCode="_(* #,##0_);_(* \(#,##0\);_(* &quot;-&quot;??_);_(@_)"/>
      <fill>
        <patternFill patternType="solid">
          <fgColor indexed="64"/>
          <bgColor theme="0"/>
        </patternFill>
      </fill>
      <border diagonalUp="0" diagonalDown="0" outline="0">
        <left style="thin">
          <color auto="1"/>
        </left>
        <right style="thin">
          <color auto="1"/>
        </right>
        <top style="thin">
          <color auto="1"/>
        </top>
        <bottom/>
      </border>
    </dxf>
    <dxf>
      <font>
        <sz val="11"/>
        <color theme="1"/>
        <name val="Calibri"/>
        <scheme val="minor"/>
      </font>
      <numFmt numFmtId="169" formatCode="_(* #,##0_);_(* \(#,##0\);_(* &quot;-&quot;??_);_(@_)"/>
      <fill>
        <patternFill patternType="solid">
          <fgColor indexed="64"/>
          <bgColor theme="0"/>
        </patternFill>
      </fil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theme="1"/>
        <name val="Calibri"/>
        <scheme val="minor"/>
      </font>
      <numFmt numFmtId="169" formatCode="_(* #,##0_);_(* \(#,##0\);_(* &quot;-&quot;??_);_(@_)"/>
      <fill>
        <patternFill patternType="solid">
          <fgColor indexed="64"/>
          <bgColor theme="0"/>
        </patternFill>
      </fill>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theme="1"/>
        <name val="Calibri"/>
        <family val="2"/>
        <scheme val="minor"/>
      </font>
      <numFmt numFmtId="169" formatCode="_(* #,##0_);_(* \(#,##0\);_(* &quot;-&quot;??_);_(@_)"/>
      <fill>
        <patternFill patternType="solid">
          <fgColor indexed="64"/>
          <bgColor theme="0"/>
        </patternFill>
      </fill>
      <border diagonalUp="0" diagonalDown="0">
        <left style="thin">
          <color auto="1"/>
        </left>
        <right/>
        <top style="thin">
          <color auto="1"/>
        </top>
        <bottom/>
        <vertical/>
        <horizontal/>
      </border>
    </dxf>
    <dxf>
      <font>
        <b val="0"/>
        <i val="0"/>
        <strike val="0"/>
        <condense val="0"/>
        <extend val="0"/>
        <outline val="0"/>
        <shadow val="0"/>
        <u val="none"/>
        <vertAlign val="baseline"/>
        <sz val="11"/>
        <color theme="1"/>
        <name val="Calibri"/>
        <scheme val="minor"/>
      </font>
      <numFmt numFmtId="169" formatCode="_(* #,##0_);_(* \(#,##0\);_(* &quot;-&quot;??_);_(@_)"/>
      <fill>
        <patternFill patternType="solid">
          <fgColor indexed="64"/>
          <bgColor theme="0"/>
        </patternFill>
      </fill>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theme="1"/>
        <name val="Calibri"/>
        <family val="2"/>
        <scheme val="minor"/>
      </font>
      <numFmt numFmtId="169" formatCode="_(* #,##0_);_(* \(#,##0\);_(* &quot;-&quot;??_);_(@_)"/>
      <fill>
        <patternFill patternType="solid">
          <fgColor indexed="64"/>
          <bgColor theme="0"/>
        </patternFill>
      </fill>
      <border diagonalUp="0" diagonalDown="0">
        <left style="thin">
          <color auto="1"/>
        </left>
        <right/>
        <top style="thin">
          <color auto="1"/>
        </top>
        <bottom/>
        <vertical/>
        <horizontal/>
      </border>
    </dxf>
    <dxf>
      <font>
        <b val="0"/>
        <i val="0"/>
        <strike val="0"/>
        <condense val="0"/>
        <extend val="0"/>
        <outline val="0"/>
        <shadow val="0"/>
        <u val="none"/>
        <vertAlign val="baseline"/>
        <sz val="11"/>
        <color theme="1"/>
        <name val="Calibri"/>
        <scheme val="minor"/>
      </font>
      <numFmt numFmtId="169" formatCode="_(* #,##0_);_(* \(#,##0\);_(* &quot;-&quot;??_);_(@_)"/>
      <fill>
        <patternFill patternType="solid">
          <fgColor indexed="64"/>
          <bgColor theme="0"/>
        </patternFill>
      </fill>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theme="1"/>
        <name val="Calibri"/>
        <scheme val="minor"/>
      </font>
      <numFmt numFmtId="169" formatCode="_(* #,##0_);_(* \(#,##0\);_(* &quot;-&quot;??_);_(@_)"/>
      <fill>
        <patternFill patternType="solid">
          <fgColor theme="0" tint="-0.14999847407452621"/>
          <bgColor theme="0"/>
        </patternFill>
      </fill>
      <border diagonalUp="0" diagonalDown="0">
        <left style="thin">
          <color auto="1"/>
        </left>
        <right/>
        <top style="thin">
          <color auto="1"/>
        </top>
        <bottom/>
        <vertical/>
        <horizontal/>
      </border>
      <protection locked="1" hidden="0"/>
    </dxf>
    <dxf>
      <font>
        <b val="0"/>
        <i val="0"/>
        <strike val="0"/>
        <condense val="0"/>
        <extend val="0"/>
        <outline val="0"/>
        <shadow val="0"/>
        <u val="none"/>
        <vertAlign val="baseline"/>
        <sz val="11"/>
        <color theme="1"/>
        <name val="Calibri"/>
        <scheme val="minor"/>
      </font>
      <numFmt numFmtId="169" formatCode="_(* #,##0_);_(* \(#,##0\);_(* &quot;-&quot;??_);_(@_)"/>
      <fill>
        <patternFill patternType="solid">
          <fgColor indexed="64"/>
          <bgColor theme="0"/>
        </patternFill>
      </fill>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theme="1"/>
        <name val="Calibri"/>
        <scheme val="minor"/>
      </font>
      <numFmt numFmtId="169" formatCode="_(* #,##0_);_(* \(#,##0\);_(* &quot;-&quot;??_);_(@_)"/>
      <fill>
        <patternFill patternType="solid">
          <fgColor indexed="64"/>
          <bgColor theme="0"/>
        </patternFill>
      </fil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theme="1"/>
        <name val="Calibri"/>
        <scheme val="minor"/>
      </font>
      <numFmt numFmtId="169" formatCode="_(* #,##0_);_(* \(#,##0\);_(* &quot;-&quot;??_);_(@_)"/>
      <fill>
        <patternFill patternType="solid">
          <fgColor indexed="64"/>
          <bgColor theme="0"/>
        </patternFill>
      </fill>
      <border diagonalUp="0" diagonalDown="0" outline="0">
        <left style="thin">
          <color auto="1"/>
        </left>
        <right style="thin">
          <color auto="1"/>
        </right>
        <top style="thin">
          <color auto="1"/>
        </top>
        <bottom/>
      </border>
    </dxf>
    <dxf>
      <numFmt numFmtId="169" formatCode="_(* #,##0_);_(* \(#,##0\);_(* &quot;-&quot;??_);_(@_)"/>
      <fill>
        <patternFill>
          <bgColor theme="0"/>
        </patternFill>
      </fill>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Calibri"/>
        <scheme val="minor"/>
      </font>
      <numFmt numFmtId="169" formatCode="_(* #,##0_);_(* \(#,##0\);_(* &quot;-&quot;??_);_(@_)"/>
      <fill>
        <patternFill patternType="solid">
          <fgColor indexed="64"/>
          <bgColor theme="0"/>
        </patternFill>
      </fill>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theme="1"/>
        <name val="Calibri"/>
        <scheme val="minor"/>
      </font>
      <numFmt numFmtId="169" formatCode="_(* #,##0_);_(* \(#,##0\);_(* &quot;-&quot;??_);_(@_)"/>
      <fill>
        <patternFill>
          <bgColor theme="0"/>
        </patternFill>
      </fill>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Calibri"/>
        <scheme val="minor"/>
      </font>
      <numFmt numFmtId="169" formatCode="_(* #,##0_);_(* \(#,##0\);_(* &quot;-&quot;??_);_(@_)"/>
      <fill>
        <patternFill patternType="solid">
          <fgColor indexed="64"/>
          <bgColor theme="0"/>
        </patternFill>
      </fill>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theme="1"/>
        <name val="Calibri"/>
        <scheme val="minor"/>
      </font>
      <numFmt numFmtId="169" formatCode="_(* #,##0_);_(* \(#,##0\);_(* &quot;-&quot;??_);_(@_)"/>
      <fill>
        <patternFill>
          <bgColor theme="0"/>
        </patternFill>
      </fill>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Calibri"/>
        <scheme val="minor"/>
      </font>
      <numFmt numFmtId="169" formatCode="_(* #,##0_);_(* \(#,##0\);_(* &quot;-&quot;??_);_(@_)"/>
      <fill>
        <patternFill patternType="solid">
          <fgColor indexed="64"/>
          <bgColor theme="0"/>
        </patternFill>
      </fill>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theme="1"/>
        <name val="Calibri"/>
        <scheme val="minor"/>
      </font>
      <numFmt numFmtId="169" formatCode="_(* #,##0_);_(* \(#,##0\);_(* &quot;-&quot;??_);_(@_)"/>
      <fill>
        <patternFill>
          <bgColor theme="0"/>
        </patternFill>
      </fill>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Calibri"/>
        <scheme val="minor"/>
      </font>
      <numFmt numFmtId="169" formatCode="_(* #,##0_);_(* \(#,##0\);_(* &quot;-&quot;??_);_(@_)"/>
      <fill>
        <patternFill patternType="solid">
          <fgColor indexed="64"/>
          <bgColor theme="0"/>
        </patternFill>
      </fill>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theme="1"/>
        <name val="Calibri"/>
        <scheme val="minor"/>
      </font>
      <numFmt numFmtId="169" formatCode="_(* #,##0_);_(* \(#,##0\);_(* &quot;-&quot;??_);_(@_)"/>
      <fill>
        <patternFill>
          <bgColor theme="0"/>
        </patternFill>
      </fill>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Calibri"/>
        <scheme val="minor"/>
      </font>
      <numFmt numFmtId="169" formatCode="_(* #,##0_);_(* \(#,##0\);_(* &quot;-&quot;??_);_(@_)"/>
      <fill>
        <patternFill patternType="solid">
          <fgColor indexed="64"/>
          <bgColor theme="0"/>
        </patternFill>
      </fill>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theme="1"/>
        <name val="Calibri"/>
        <family val="2"/>
        <scheme val="minor"/>
      </font>
      <numFmt numFmtId="169" formatCode="_(* #,##0_);_(* \(#,##0\);_(* &quot;-&quot;??_);_(@_)"/>
      <fill>
        <patternFill patternType="solid">
          <fgColor theme="0" tint="-0.14999847407452621"/>
          <bgColor theme="0"/>
        </patternFill>
      </fill>
      <border diagonalUp="0" diagonalDown="0">
        <left style="thin">
          <color auto="1"/>
        </left>
        <right style="thin">
          <color auto="1"/>
        </right>
        <top style="thin">
          <color auto="1"/>
        </top>
        <bottom/>
        <vertical/>
        <horizontal/>
      </border>
    </dxf>
    <dxf>
      <font>
        <b val="0"/>
        <i val="0"/>
        <strike val="0"/>
        <condense val="0"/>
        <extend val="0"/>
        <outline val="0"/>
        <shadow val="0"/>
        <u val="none"/>
        <vertAlign val="baseline"/>
        <sz val="11"/>
        <color theme="1"/>
        <name val="Calibri"/>
        <scheme val="minor"/>
      </font>
      <numFmt numFmtId="169" formatCode="_(* #,##0_);_(* \(#,##0\);_(* &quot;-&quot;??_);_(@_)"/>
      <fill>
        <patternFill patternType="solid">
          <fgColor indexed="64"/>
          <bgColor theme="0"/>
        </patternFill>
      </fill>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theme="1"/>
        <name val="Calibri"/>
        <scheme val="minor"/>
      </font>
      <numFmt numFmtId="169" formatCode="_(* #,##0_);_(* \(#,##0\);_(* &quot;-&quot;??_);_(@_)"/>
      <fill>
        <patternFill>
          <bgColor theme="0"/>
        </patternFill>
      </fill>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Calibri"/>
        <scheme val="minor"/>
      </font>
      <numFmt numFmtId="169" formatCode="_(* #,##0_);_(* \(#,##0\);_(* &quot;-&quot;??_);_(@_)"/>
      <fill>
        <patternFill patternType="solid">
          <fgColor indexed="64"/>
          <bgColor theme="0"/>
        </patternFill>
      </fill>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theme="1"/>
        <name val="Calibri"/>
        <scheme val="minor"/>
      </font>
      <numFmt numFmtId="169" formatCode="_(* #,##0_);_(* \(#,##0\);_(* &quot;-&quot;??_);_(@_)"/>
      <fill>
        <patternFill>
          <bgColor theme="0"/>
        </patternFill>
      </fill>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Calibri"/>
        <scheme val="minor"/>
      </font>
      <numFmt numFmtId="169" formatCode="_(* #,##0_);_(* \(#,##0\);_(* &quot;-&quot;??_);_(@_)"/>
      <fill>
        <patternFill patternType="solid">
          <fgColor indexed="64"/>
          <bgColor theme="0"/>
        </patternFill>
      </fill>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theme="1"/>
        <name val="Calibri"/>
        <scheme val="minor"/>
      </font>
      <numFmt numFmtId="169" formatCode="_(* #,##0_);_(* \(#,##0\);_(* &quot;-&quot;??_);_(@_)"/>
      <fill>
        <patternFill>
          <bgColor theme="0"/>
        </patternFill>
      </fill>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Calibri"/>
        <scheme val="minor"/>
      </font>
      <numFmt numFmtId="169" formatCode="_(* #,##0_);_(* \(#,##0\);_(* &quot;-&quot;??_);_(@_)"/>
      <fill>
        <patternFill patternType="solid">
          <fgColor indexed="64"/>
          <bgColor theme="0"/>
        </patternFill>
      </fill>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theme="1"/>
        <name val="Calibri"/>
        <scheme val="minor"/>
      </font>
      <numFmt numFmtId="169" formatCode="_(* #,##0_);_(* \(#,##0\);_(* &quot;-&quot;??_);_(@_)"/>
      <fill>
        <patternFill>
          <bgColor theme="0"/>
        </patternFill>
      </fill>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Calibri"/>
        <scheme val="minor"/>
      </font>
      <numFmt numFmtId="169" formatCode="_(* #,##0_);_(* \(#,##0\);_(* &quot;-&quot;??_);_(@_)"/>
      <fill>
        <patternFill patternType="solid">
          <fgColor indexed="64"/>
          <bgColor theme="0"/>
        </patternFill>
      </fill>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theme="1"/>
        <name val="Calibri"/>
        <scheme val="minor"/>
      </font>
      <numFmt numFmtId="169" formatCode="_(* #,##0_);_(* \(#,##0\);_(* &quot;-&quot;??_);_(@_)"/>
      <fill>
        <patternFill>
          <bgColor theme="0"/>
        </patternFill>
      </fill>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Calibri"/>
        <scheme val="minor"/>
      </font>
      <numFmt numFmtId="169" formatCode="_(* #,##0_);_(* \(#,##0\);_(* &quot;-&quot;??_);_(@_)"/>
      <fill>
        <patternFill patternType="solid">
          <fgColor indexed="64"/>
          <bgColor theme="0"/>
        </patternFill>
      </fill>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theme="1"/>
        <name val="Calibri"/>
        <scheme val="minor"/>
      </font>
      <numFmt numFmtId="169" formatCode="_(* #,##0_);_(* \(#,##0\);_(* &quot;-&quot;??_);_(@_)"/>
      <fill>
        <patternFill>
          <bgColor theme="0"/>
        </patternFill>
      </fill>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Calibri"/>
        <scheme val="minor"/>
      </font>
      <numFmt numFmtId="169" formatCode="_(* #,##0_);_(* \(#,##0\);_(* &quot;-&quot;??_);_(@_)"/>
      <fill>
        <patternFill patternType="solid">
          <fgColor indexed="64"/>
          <bgColor theme="0"/>
        </patternFill>
      </fill>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theme="1"/>
        <name val="Calibri"/>
        <scheme val="minor"/>
      </font>
      <numFmt numFmtId="169" formatCode="_(* #,##0_);_(* \(#,##0\);_(* &quot;-&quot;??_);_(@_)"/>
      <fill>
        <patternFill>
          <bgColor theme="0"/>
        </patternFill>
      </fill>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Calibri"/>
        <scheme val="minor"/>
      </font>
      <numFmt numFmtId="169" formatCode="_(* #,##0_);_(* \(#,##0\);_(* &quot;-&quot;??_);_(@_)"/>
      <fill>
        <patternFill patternType="solid">
          <fgColor indexed="64"/>
          <bgColor theme="0"/>
        </patternFill>
      </fill>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1"/>
        <color theme="1"/>
        <name val="Calibri"/>
        <scheme val="minor"/>
      </font>
      <numFmt numFmtId="169" formatCode="_(* #,##0_);_(* \(#,##0\);_(* &quot;-&quot;??_);_(@_)"/>
      <fill>
        <patternFill>
          <bgColor theme="0"/>
        </patternFill>
      </fill>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Calibri"/>
        <scheme val="minor"/>
      </font>
      <numFmt numFmtId="169" formatCode="_(* #,##0_);_(* \(#,##0\);_(* &quot;-&quot;??_);_(@_)"/>
      <fill>
        <patternFill patternType="solid">
          <fgColor indexed="64"/>
          <bgColor theme="0"/>
        </patternFill>
      </fill>
      <alignment horizontal="general" vertical="bottom" textRotation="0" wrapText="0" indent="0" justifyLastLine="0" shrinkToFit="0" readingOrder="0"/>
      <border diagonalUp="0" diagonalDown="0" outline="0">
        <left style="thin">
          <color auto="1"/>
        </left>
        <right style="thin">
          <color auto="1"/>
        </right>
        <top style="thin">
          <color auto="1"/>
        </top>
        <bottom/>
      </border>
      <protection locked="1" hidden="0"/>
    </dxf>
    <dxf>
      <font>
        <b val="0"/>
        <i val="0"/>
        <strike val="0"/>
        <condense val="0"/>
        <extend val="0"/>
        <outline val="0"/>
        <shadow val="0"/>
        <u val="none"/>
        <vertAlign val="baseline"/>
        <sz val="11"/>
        <color theme="1"/>
        <name val="Calibri"/>
        <scheme val="minor"/>
      </font>
      <fill>
        <patternFill>
          <bgColor theme="0"/>
        </patternFill>
      </fill>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8"/>
        <color theme="1"/>
        <name val="Arial"/>
        <scheme val="none"/>
      </font>
      <numFmt numFmtId="169" formatCode="_(* #,##0_);_(* \(#,##0\);_(* &quot;-&quot;??_);_(@_)"/>
      <fill>
        <patternFill patternType="solid">
          <fgColor indexed="64"/>
          <bgColor theme="0"/>
        </patternFill>
      </fill>
      <alignment horizontal="center" vertical="bottom" textRotation="0" wrapText="0" indent="0" justifyLastLine="0" shrinkToFit="0" readingOrder="0"/>
      <border diagonalUp="0" diagonalDown="0" outline="0">
        <left style="thin">
          <color auto="1"/>
        </left>
        <right style="thin">
          <color auto="1"/>
        </right>
        <top style="thin">
          <color auto="1"/>
        </top>
        <bottom/>
      </border>
      <protection locked="1" hidden="0"/>
    </dxf>
    <dxf>
      <font>
        <b val="0"/>
        <i val="0"/>
        <strike val="0"/>
        <condense val="0"/>
        <extend val="0"/>
        <outline val="0"/>
        <shadow val="0"/>
        <u val="none"/>
        <vertAlign val="baseline"/>
        <sz val="8"/>
        <color theme="1"/>
        <name val="Arial"/>
        <scheme val="none"/>
      </font>
      <numFmt numFmtId="169" formatCode="_(* #,##0_);_(* \(#,##0\);_(* &quot;-&quot;??_);_(@_)"/>
      <fill>
        <patternFill>
          <bgColor theme="0"/>
        </patternFill>
      </fill>
      <alignment horizontal="center" textRotation="0" indent="0" justifyLastLine="0" shrinkToFit="0" readingOrder="0"/>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theme="1"/>
        <name val="Calibri"/>
        <scheme val="minor"/>
      </font>
      <numFmt numFmtId="0" formatCode="General"/>
      <fill>
        <patternFill patternType="solid">
          <fgColor indexed="64"/>
          <bgColor theme="0"/>
        </patternFill>
      </fill>
      <alignment horizontal="general" vertical="bottom" textRotation="0" wrapText="0" indent="0" justifyLastLine="0" shrinkToFit="0" readingOrder="0"/>
      <border diagonalUp="0" diagonalDown="0" outline="0">
        <left/>
        <right style="thin">
          <color auto="1"/>
        </right>
        <top/>
        <bottom/>
      </border>
      <protection locked="1" hidden="0"/>
    </dxf>
    <dxf>
      <fill>
        <patternFill>
          <bgColor theme="0"/>
        </patternFill>
      </fill>
      <border>
        <right style="thin">
          <color auto="1"/>
        </right>
      </border>
      <protection locked="0" hidden="0"/>
    </dxf>
    <dxf>
      <border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theme="1"/>
        <name val="Calibri"/>
        <scheme val="minor"/>
      </font>
      <fill>
        <patternFill>
          <bgColor theme="0"/>
        </patternFill>
      </fill>
      <protection locked="0" hidden="0"/>
    </dxf>
    <dxf>
      <font>
        <b/>
        <i val="0"/>
        <strike val="0"/>
        <condense val="0"/>
        <extend val="0"/>
        <outline val="0"/>
        <shadow val="0"/>
        <u val="none"/>
        <vertAlign val="baseline"/>
        <sz val="11"/>
        <color theme="1"/>
        <name val="Calibri"/>
        <scheme val="minor"/>
      </font>
      <border diagonalUp="0" diagonalDown="0">
        <left style="thin">
          <color auto="1"/>
        </left>
        <right style="thin">
          <color auto="1"/>
        </right>
        <top/>
        <bottom/>
      </border>
      <protection locked="0" hidden="0"/>
    </dxf>
    <dxf>
      <fill>
        <patternFill>
          <bgColor theme="0" tint="-0.34998626667073579"/>
        </patternFill>
      </fill>
    </dxf>
    <dxf>
      <fill>
        <patternFill>
          <bgColor theme="0" tint="-0.24994659260841701"/>
        </patternFill>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ill>
        <patternFill patternType="solid">
          <fgColor rgb="FFCC99FF"/>
          <bgColor rgb="FFCC99FF"/>
        </patternFill>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ill>
        <patternFill patternType="solid">
          <fgColor rgb="FFCC99FF"/>
          <bgColor rgb="FFCC99FF"/>
        </patternFill>
      </fill>
    </dxf>
    <dxf>
      <fill>
        <patternFill patternType="solid">
          <fgColor rgb="FFCC99FF"/>
          <bgColor rgb="FFCC99FF"/>
        </patternFill>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ill>
        <patternFill patternType="solid">
          <fgColor rgb="FFCC99FF"/>
          <bgColor rgb="FFCC99FF"/>
        </patternFill>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ill>
        <patternFill patternType="solid">
          <fgColor rgb="FFCC99FF"/>
          <bgColor rgb="FFCC99FF"/>
        </patternFill>
      </fill>
    </dxf>
    <dxf>
      <fill>
        <patternFill patternType="solid">
          <fgColor rgb="FFCC99FF"/>
          <bgColor rgb="FFCC99FF"/>
        </patternFill>
      </fill>
    </dxf>
    <dxf>
      <font>
        <color rgb="FFFFFFFF"/>
      </font>
      <fill>
        <patternFill patternType="none"/>
      </fill>
    </dxf>
  </dxfs>
  <tableStyles count="0" defaultTableStyle="TableStyleMedium2" defaultPivotStyle="PivotStyleLight16"/>
  <colors>
    <mruColors>
      <color rgb="FFFF8029"/>
      <color rgb="FFFF2E15"/>
      <color rgb="FF75D242"/>
      <color rgb="FF673F1B"/>
      <color rgb="FFFF9300"/>
      <color rgb="FF0432FF"/>
      <color rgb="FF5E5E5E"/>
      <color rgb="FF212121"/>
      <color rgb="FF424242"/>
      <color rgb="FF9452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5315085275127599E-2"/>
          <c:y val="1.5677635671263599E-2"/>
          <c:w val="0.91472138235095102"/>
          <c:h val="0.875763101866602"/>
        </c:manualLayout>
      </c:layout>
      <c:barChart>
        <c:barDir val="col"/>
        <c:grouping val="clustered"/>
        <c:varyColors val="1"/>
        <c:ser>
          <c:idx val="1"/>
          <c:order val="1"/>
          <c:tx>
            <c:strRef>
              <c:f>Summary!$B$2</c:f>
              <c:strCache>
                <c:ptCount val="1"/>
                <c:pt idx="0">
                  <c:v>Red</c:v>
                </c:pt>
              </c:strCache>
              <c:extLst xmlns:c15="http://schemas.microsoft.com/office/drawing/2012/chart"/>
            </c:strRef>
          </c:tx>
          <c:spPr>
            <a:solidFill>
              <a:srgbClr val="FF0000"/>
            </a:solidFill>
            <a:ln>
              <a:noFill/>
            </a:ln>
            <a:effectLst>
              <a:outerShdw blurRad="57150" dist="19050" dir="5400000" algn="ctr" rotWithShape="0">
                <a:srgbClr val="000000">
                  <a:alpha val="63000"/>
                </a:srgbClr>
              </a:outerShdw>
            </a:effectLst>
          </c:spPr>
          <c:invertIfNegative val="1"/>
          <c:cat>
            <c:strRef>
              <c:extLst>
                <c:ext xmlns:c15="http://schemas.microsoft.com/office/drawing/2012/chart" uri="{02D57815-91ED-43cb-92C2-25804820EDAC}">
                  <c15:fullRef>
                    <c15:sqref>Summary!$A$3:$A$15</c15:sqref>
                  </c15:fullRef>
                </c:ext>
              </c:extLst>
              <c:f>Summary!$A$3:$A$13</c:f>
              <c:strCache>
                <c:ptCount val="11"/>
                <c:pt idx="0">
                  <c:v>macros</c:v>
                </c:pt>
                <c:pt idx="1">
                  <c:v>feature</c:v>
                </c:pt>
                <c:pt idx="2">
                  <c:v>jugs</c:v>
                </c:pt>
                <c:pt idx="3">
                  <c:v>mini jugs</c:v>
                </c:pt>
                <c:pt idx="4">
                  <c:v>incuts</c:v>
                </c:pt>
                <c:pt idx="5">
                  <c:v>crimps</c:v>
                </c:pt>
                <c:pt idx="6">
                  <c:v>edges</c:v>
                </c:pt>
                <c:pt idx="7">
                  <c:v>slots</c:v>
                </c:pt>
                <c:pt idx="8">
                  <c:v>pinches</c:v>
                </c:pt>
                <c:pt idx="9">
                  <c:v>pockets</c:v>
                </c:pt>
                <c:pt idx="10">
                  <c:v>slopers</c:v>
                </c:pt>
              </c:strCache>
            </c:strRef>
          </c:cat>
          <c:val>
            <c:numRef>
              <c:extLst>
                <c:ext xmlns:c15="http://schemas.microsoft.com/office/drawing/2012/chart" uri="{02D57815-91ED-43cb-92C2-25804820EDAC}">
                  <c15:fullRef>
                    <c15:sqref>Summary!$B$3:$B$23</c15:sqref>
                  </c15:fullRef>
                </c:ext>
              </c:extLst>
              <c:f>(Summary!$B$3:$B$13,Summary!$B$18:$B$23)</c:f>
              <c:numCache>
                <c:formatCode>General</c:formatCode>
                <c:ptCount val="17"/>
                <c:pt idx="0">
                  <c:v>0</c:v>
                </c:pt>
                <c:pt idx="1">
                  <c:v>296</c:v>
                </c:pt>
                <c:pt idx="2">
                  <c:v>972</c:v>
                </c:pt>
                <c:pt idx="3">
                  <c:v>72</c:v>
                </c:pt>
                <c:pt idx="4">
                  <c:v>599</c:v>
                </c:pt>
                <c:pt idx="5">
                  <c:v>125</c:v>
                </c:pt>
                <c:pt idx="6">
                  <c:v>476</c:v>
                </c:pt>
                <c:pt idx="7">
                  <c:v>0</c:v>
                </c:pt>
                <c:pt idx="8">
                  <c:v>438</c:v>
                </c:pt>
                <c:pt idx="9">
                  <c:v>0</c:v>
                </c:pt>
                <c:pt idx="10">
                  <c:v>524</c:v>
                </c:pt>
                <c:pt idx="11">
                  <c:v>4697</c:v>
                </c:pt>
                <c:pt idx="12">
                  <c:v>5267</c:v>
                </c:pt>
                <c:pt idx="13" formatCode="0.00%">
                  <c:v>0.11337121701321624</c:v>
                </c:pt>
                <c:pt idx="14" formatCode="0.00%">
                  <c:v>0.10822099867097019</c:v>
                </c:pt>
              </c:numCache>
            </c:numRef>
          </c:val>
          <c:extLst xmlns:c15="http://schemas.microsoft.com/office/drawing/2012/chart">
            <c:ext xmlns:c14="http://schemas.microsoft.com/office/drawing/2007/8/2/chart" uri="{6F2FDCE9-48DA-4B69-8628-5D25D57E5C99}">
              <c14:invertSolidFillFmt>
                <c14:spPr xmlns:c14="http://schemas.microsoft.com/office/drawing/2007/8/2/chart">
                  <a:solidFill>
                    <a:srgbClr val="FFFFFF"/>
                  </a:solidFill>
                  <a:ln>
                    <a:noFill/>
                  </a:ln>
                  <a:effectLst>
                    <a:outerShdw blurRad="57150" dist="19050" dir="5400000" algn="ctr" rotWithShape="0">
                      <a:srgbClr val="000000">
                        <a:alpha val="63000"/>
                      </a:srgbClr>
                    </a:outerShdw>
                  </a:effectLst>
                </c14:spPr>
              </c14:invertSolidFillFmt>
            </c:ext>
            <c:ext xmlns:c16="http://schemas.microsoft.com/office/drawing/2014/chart" uri="{C3380CC4-5D6E-409C-BE32-E72D297353CC}">
              <c16:uniqueId val="{00000001-6CE8-4CBA-90C5-903D0A6EF467}"/>
            </c:ext>
          </c:extLst>
        </c:ser>
        <c:ser>
          <c:idx val="2"/>
          <c:order val="2"/>
          <c:tx>
            <c:strRef>
              <c:f>Summary!$C$2</c:f>
              <c:strCache>
                <c:ptCount val="1"/>
                <c:pt idx="0">
                  <c:v>Orange</c:v>
                </c:pt>
              </c:strCache>
            </c:strRef>
          </c:tx>
          <c:spPr>
            <a:solidFill>
              <a:srgbClr val="FFC000"/>
            </a:solidFill>
            <a:ln>
              <a:noFill/>
            </a:ln>
            <a:effectLst>
              <a:outerShdw blurRad="57150" dist="19050" dir="5400000" algn="ctr" rotWithShape="0">
                <a:srgbClr val="000000">
                  <a:alpha val="63000"/>
                </a:srgbClr>
              </a:outerShdw>
            </a:effectLst>
          </c:spPr>
          <c:invertIfNegative val="1"/>
          <c:cat>
            <c:strRef>
              <c:extLst>
                <c:ext xmlns:c15="http://schemas.microsoft.com/office/drawing/2012/chart" uri="{02D57815-91ED-43cb-92C2-25804820EDAC}">
                  <c15:fullRef>
                    <c15:sqref>Summary!$A$3:$A$15</c15:sqref>
                  </c15:fullRef>
                </c:ext>
              </c:extLst>
              <c:f>Summary!$A$3:$A$13</c:f>
              <c:strCache>
                <c:ptCount val="11"/>
                <c:pt idx="0">
                  <c:v>macros</c:v>
                </c:pt>
                <c:pt idx="1">
                  <c:v>feature</c:v>
                </c:pt>
                <c:pt idx="2">
                  <c:v>jugs</c:v>
                </c:pt>
                <c:pt idx="3">
                  <c:v>mini jugs</c:v>
                </c:pt>
                <c:pt idx="4">
                  <c:v>incuts</c:v>
                </c:pt>
                <c:pt idx="5">
                  <c:v>crimps</c:v>
                </c:pt>
                <c:pt idx="6">
                  <c:v>edges</c:v>
                </c:pt>
                <c:pt idx="7">
                  <c:v>slots</c:v>
                </c:pt>
                <c:pt idx="8">
                  <c:v>pinches</c:v>
                </c:pt>
                <c:pt idx="9">
                  <c:v>pockets</c:v>
                </c:pt>
                <c:pt idx="10">
                  <c:v>slopers</c:v>
                </c:pt>
              </c:strCache>
            </c:strRef>
          </c:cat>
          <c:val>
            <c:numRef>
              <c:extLst>
                <c:ext xmlns:c15="http://schemas.microsoft.com/office/drawing/2012/chart" uri="{02D57815-91ED-43cb-92C2-25804820EDAC}">
                  <c15:fullRef>
                    <c15:sqref>Summary!$C$3:$C$23</c15:sqref>
                  </c15:fullRef>
                </c:ext>
              </c:extLst>
              <c:f>(Summary!$C$3:$C$13,Summary!$C$18:$C$23)</c:f>
              <c:numCache>
                <c:formatCode>General</c:formatCode>
                <c:ptCount val="17"/>
                <c:pt idx="0">
                  <c:v>0</c:v>
                </c:pt>
                <c:pt idx="1">
                  <c:v>6</c:v>
                </c:pt>
                <c:pt idx="2">
                  <c:v>0</c:v>
                </c:pt>
                <c:pt idx="3">
                  <c:v>0</c:v>
                </c:pt>
                <c:pt idx="4">
                  <c:v>72</c:v>
                </c:pt>
                <c:pt idx="5">
                  <c:v>10</c:v>
                </c:pt>
                <c:pt idx="6">
                  <c:v>9</c:v>
                </c:pt>
                <c:pt idx="7">
                  <c:v>0</c:v>
                </c:pt>
                <c:pt idx="8">
                  <c:v>24</c:v>
                </c:pt>
                <c:pt idx="9">
                  <c:v>0</c:v>
                </c:pt>
                <c:pt idx="10">
                  <c:v>52</c:v>
                </c:pt>
                <c:pt idx="11">
                  <c:v>321</c:v>
                </c:pt>
                <c:pt idx="12">
                  <c:v>421</c:v>
                </c:pt>
                <c:pt idx="13" formatCode="0.00%">
                  <c:v>9.0619484265357965E-3</c:v>
                </c:pt>
                <c:pt idx="14" formatCode="0.00%">
                  <c:v>0.23752969121140141</c:v>
                </c:pt>
              </c:numCache>
            </c:numRef>
          </c:val>
          <c:extLst>
            <c:ext xmlns:c14="http://schemas.microsoft.com/office/drawing/2007/8/2/chart" uri="{6F2FDCE9-48DA-4B69-8628-5D25D57E5C99}">
              <c14:invertSolidFillFmt>
                <c14:spPr xmlns:c14="http://schemas.microsoft.com/office/drawing/2007/8/2/chart">
                  <a:solidFill>
                    <a:srgbClr val="FFFFFF"/>
                  </a:solidFill>
                  <a:ln>
                    <a:noFill/>
                  </a:ln>
                  <a:effectLst>
                    <a:outerShdw blurRad="57150" dist="19050" dir="5400000" algn="ctr" rotWithShape="0">
                      <a:srgbClr val="000000">
                        <a:alpha val="63000"/>
                      </a:srgbClr>
                    </a:outerShdw>
                  </a:effectLst>
                </c14:spPr>
              </c14:invertSolidFillFmt>
            </c:ext>
            <c:ext xmlns:c16="http://schemas.microsoft.com/office/drawing/2014/chart" uri="{C3380CC4-5D6E-409C-BE32-E72D297353CC}">
              <c16:uniqueId val="{00000002-6CE8-4CBA-90C5-903D0A6EF467}"/>
            </c:ext>
          </c:extLst>
        </c:ser>
        <c:ser>
          <c:idx val="3"/>
          <c:order val="3"/>
          <c:tx>
            <c:strRef>
              <c:f>Summary!$D$2</c:f>
              <c:strCache>
                <c:ptCount val="1"/>
                <c:pt idx="0">
                  <c:v>Yellow</c:v>
                </c:pt>
              </c:strCache>
            </c:strRef>
          </c:tx>
          <c:spPr>
            <a:solidFill>
              <a:srgbClr val="FFFF00"/>
            </a:solidFill>
            <a:ln>
              <a:noFill/>
            </a:ln>
            <a:effectLst>
              <a:outerShdw blurRad="57150" dist="19050" dir="5400000" algn="ctr" rotWithShape="0">
                <a:srgbClr val="000000">
                  <a:alpha val="63000"/>
                </a:srgbClr>
              </a:outerShdw>
            </a:effectLst>
          </c:spPr>
          <c:invertIfNegative val="1"/>
          <c:cat>
            <c:strRef>
              <c:extLst>
                <c:ext xmlns:c15="http://schemas.microsoft.com/office/drawing/2012/chart" uri="{02D57815-91ED-43cb-92C2-25804820EDAC}">
                  <c15:fullRef>
                    <c15:sqref>Summary!$A$3:$A$15</c15:sqref>
                  </c15:fullRef>
                </c:ext>
              </c:extLst>
              <c:f>Summary!$A$3:$A$13</c:f>
              <c:strCache>
                <c:ptCount val="11"/>
                <c:pt idx="0">
                  <c:v>macros</c:v>
                </c:pt>
                <c:pt idx="1">
                  <c:v>feature</c:v>
                </c:pt>
                <c:pt idx="2">
                  <c:v>jugs</c:v>
                </c:pt>
                <c:pt idx="3">
                  <c:v>mini jugs</c:v>
                </c:pt>
                <c:pt idx="4">
                  <c:v>incuts</c:v>
                </c:pt>
                <c:pt idx="5">
                  <c:v>crimps</c:v>
                </c:pt>
                <c:pt idx="6">
                  <c:v>edges</c:v>
                </c:pt>
                <c:pt idx="7">
                  <c:v>slots</c:v>
                </c:pt>
                <c:pt idx="8">
                  <c:v>pinches</c:v>
                </c:pt>
                <c:pt idx="9">
                  <c:v>pockets</c:v>
                </c:pt>
                <c:pt idx="10">
                  <c:v>slopers</c:v>
                </c:pt>
              </c:strCache>
            </c:strRef>
          </c:cat>
          <c:val>
            <c:numRef>
              <c:extLst>
                <c:ext xmlns:c15="http://schemas.microsoft.com/office/drawing/2012/chart" uri="{02D57815-91ED-43cb-92C2-25804820EDAC}">
                  <c15:fullRef>
                    <c15:sqref>Summary!$D$3:$D$23</c15:sqref>
                  </c15:fullRef>
                </c:ext>
              </c:extLst>
              <c:f>(Summary!$D$3:$D$13,Summary!$D$18:$D$23)</c:f>
              <c:numCache>
                <c:formatCode>General</c:formatCode>
                <c:ptCount val="17"/>
                <c:pt idx="0">
                  <c:v>0</c:v>
                </c:pt>
                <c:pt idx="1">
                  <c:v>317</c:v>
                </c:pt>
                <c:pt idx="2">
                  <c:v>1399</c:v>
                </c:pt>
                <c:pt idx="3">
                  <c:v>122</c:v>
                </c:pt>
                <c:pt idx="4">
                  <c:v>750</c:v>
                </c:pt>
                <c:pt idx="5">
                  <c:v>327</c:v>
                </c:pt>
                <c:pt idx="6">
                  <c:v>689</c:v>
                </c:pt>
                <c:pt idx="7">
                  <c:v>0</c:v>
                </c:pt>
                <c:pt idx="8">
                  <c:v>718</c:v>
                </c:pt>
                <c:pt idx="9">
                  <c:v>0</c:v>
                </c:pt>
                <c:pt idx="10">
                  <c:v>614</c:v>
                </c:pt>
                <c:pt idx="11">
                  <c:v>6301</c:v>
                </c:pt>
                <c:pt idx="12">
                  <c:v>7502</c:v>
                </c:pt>
                <c:pt idx="13" formatCode="0.00%">
                  <c:v>0.16147918550088253</c:v>
                </c:pt>
                <c:pt idx="14" formatCode="0.00%">
                  <c:v>0.16009064249533458</c:v>
                </c:pt>
              </c:numCache>
            </c:numRef>
          </c:val>
          <c:extLst>
            <c:ext xmlns:c14="http://schemas.microsoft.com/office/drawing/2007/8/2/chart" uri="{6F2FDCE9-48DA-4B69-8628-5D25D57E5C99}">
              <c14:invertSolidFillFmt>
                <c14:spPr xmlns:c14="http://schemas.microsoft.com/office/drawing/2007/8/2/chart">
                  <a:solidFill>
                    <a:srgbClr val="FFFFFF"/>
                  </a:solidFill>
                  <a:ln>
                    <a:noFill/>
                  </a:ln>
                  <a:effectLst>
                    <a:outerShdw blurRad="57150" dist="19050" dir="5400000" algn="ctr" rotWithShape="0">
                      <a:srgbClr val="000000">
                        <a:alpha val="63000"/>
                      </a:srgbClr>
                    </a:outerShdw>
                  </a:effectLst>
                </c14:spPr>
              </c14:invertSolidFillFmt>
            </c:ext>
            <c:ext xmlns:c16="http://schemas.microsoft.com/office/drawing/2014/chart" uri="{C3380CC4-5D6E-409C-BE32-E72D297353CC}">
              <c16:uniqueId val="{00000003-6CE8-4CBA-90C5-903D0A6EF467}"/>
            </c:ext>
          </c:extLst>
        </c:ser>
        <c:ser>
          <c:idx val="4"/>
          <c:order val="4"/>
          <c:tx>
            <c:strRef>
              <c:f>Summary!$E$2</c:f>
              <c:strCache>
                <c:ptCount val="1"/>
                <c:pt idx="0">
                  <c:v>Green</c:v>
                </c:pt>
              </c:strCache>
            </c:strRef>
          </c:tx>
          <c:spPr>
            <a:solidFill>
              <a:srgbClr val="00B050"/>
            </a:solidFill>
            <a:ln>
              <a:noFill/>
            </a:ln>
            <a:effectLst>
              <a:outerShdw blurRad="57150" dist="19050" dir="5400000" algn="ctr" rotWithShape="0">
                <a:srgbClr val="000000">
                  <a:alpha val="63000"/>
                </a:srgbClr>
              </a:outerShdw>
            </a:effectLst>
          </c:spPr>
          <c:invertIfNegative val="1"/>
          <c:cat>
            <c:strRef>
              <c:extLst>
                <c:ext xmlns:c15="http://schemas.microsoft.com/office/drawing/2012/chart" uri="{02D57815-91ED-43cb-92C2-25804820EDAC}">
                  <c15:fullRef>
                    <c15:sqref>Summary!$A$3:$A$15</c15:sqref>
                  </c15:fullRef>
                </c:ext>
              </c:extLst>
              <c:f>Summary!$A$3:$A$13</c:f>
              <c:strCache>
                <c:ptCount val="11"/>
                <c:pt idx="0">
                  <c:v>macros</c:v>
                </c:pt>
                <c:pt idx="1">
                  <c:v>feature</c:v>
                </c:pt>
                <c:pt idx="2">
                  <c:v>jugs</c:v>
                </c:pt>
                <c:pt idx="3">
                  <c:v>mini jugs</c:v>
                </c:pt>
                <c:pt idx="4">
                  <c:v>incuts</c:v>
                </c:pt>
                <c:pt idx="5">
                  <c:v>crimps</c:v>
                </c:pt>
                <c:pt idx="6">
                  <c:v>edges</c:v>
                </c:pt>
                <c:pt idx="7">
                  <c:v>slots</c:v>
                </c:pt>
                <c:pt idx="8">
                  <c:v>pinches</c:v>
                </c:pt>
                <c:pt idx="9">
                  <c:v>pockets</c:v>
                </c:pt>
                <c:pt idx="10">
                  <c:v>slopers</c:v>
                </c:pt>
              </c:strCache>
            </c:strRef>
          </c:cat>
          <c:val>
            <c:numRef>
              <c:extLst>
                <c:ext xmlns:c15="http://schemas.microsoft.com/office/drawing/2012/chart" uri="{02D57815-91ED-43cb-92C2-25804820EDAC}">
                  <c15:fullRef>
                    <c15:sqref>Summary!$E$3:$E$23</c15:sqref>
                  </c15:fullRef>
                </c:ext>
              </c:extLst>
              <c:f>(Summary!$E$3:$E$13,Summary!$E$18:$E$23)</c:f>
              <c:numCache>
                <c:formatCode>General</c:formatCode>
                <c:ptCount val="17"/>
                <c:pt idx="0">
                  <c:v>0</c:v>
                </c:pt>
                <c:pt idx="1">
                  <c:v>364</c:v>
                </c:pt>
                <c:pt idx="2">
                  <c:v>1158</c:v>
                </c:pt>
                <c:pt idx="3">
                  <c:v>90</c:v>
                </c:pt>
                <c:pt idx="4">
                  <c:v>659</c:v>
                </c:pt>
                <c:pt idx="5">
                  <c:v>130</c:v>
                </c:pt>
                <c:pt idx="6">
                  <c:v>554</c:v>
                </c:pt>
                <c:pt idx="7">
                  <c:v>0</c:v>
                </c:pt>
                <c:pt idx="8">
                  <c:v>558</c:v>
                </c:pt>
                <c:pt idx="9">
                  <c:v>0</c:v>
                </c:pt>
                <c:pt idx="10">
                  <c:v>564</c:v>
                </c:pt>
                <c:pt idx="11">
                  <c:v>4978</c:v>
                </c:pt>
                <c:pt idx="12">
                  <c:v>5448</c:v>
                </c:pt>
                <c:pt idx="13" formatCode="0.00%">
                  <c:v>0.11726720909208317</c:v>
                </c:pt>
                <c:pt idx="14" formatCode="0.00%">
                  <c:v>8.6270190895741561E-2</c:v>
                </c:pt>
              </c:numCache>
            </c:numRef>
          </c:val>
          <c:extLst>
            <c:ext xmlns:c14="http://schemas.microsoft.com/office/drawing/2007/8/2/chart" uri="{6F2FDCE9-48DA-4B69-8628-5D25D57E5C99}">
              <c14:invertSolidFillFmt>
                <c14:spPr xmlns:c14="http://schemas.microsoft.com/office/drawing/2007/8/2/chart">
                  <a:solidFill>
                    <a:srgbClr val="FFFFFF"/>
                  </a:solidFill>
                  <a:ln>
                    <a:noFill/>
                  </a:ln>
                  <a:effectLst>
                    <a:outerShdw blurRad="57150" dist="19050" dir="5400000" algn="ctr" rotWithShape="0">
                      <a:srgbClr val="000000">
                        <a:alpha val="63000"/>
                      </a:srgbClr>
                    </a:outerShdw>
                  </a:effectLst>
                </c14:spPr>
              </c14:invertSolidFillFmt>
            </c:ext>
            <c:ext xmlns:c16="http://schemas.microsoft.com/office/drawing/2014/chart" uri="{C3380CC4-5D6E-409C-BE32-E72D297353CC}">
              <c16:uniqueId val="{00000004-6CE8-4CBA-90C5-903D0A6EF467}"/>
            </c:ext>
          </c:extLst>
        </c:ser>
        <c:ser>
          <c:idx val="5"/>
          <c:order val="5"/>
          <c:tx>
            <c:strRef>
              <c:f>Summary!$F$2</c:f>
              <c:strCache>
                <c:ptCount val="1"/>
                <c:pt idx="0">
                  <c:v>Blue</c:v>
                </c:pt>
              </c:strCache>
            </c:strRef>
          </c:tx>
          <c:spPr>
            <a:solidFill>
              <a:srgbClr val="0070C0"/>
            </a:solidFill>
            <a:ln>
              <a:noFill/>
            </a:ln>
            <a:effectLst>
              <a:outerShdw blurRad="57150" dist="19050" dir="5400000" algn="ctr" rotWithShape="0">
                <a:srgbClr val="000000">
                  <a:alpha val="63000"/>
                </a:srgbClr>
              </a:outerShdw>
            </a:effectLst>
          </c:spPr>
          <c:invertIfNegative val="1"/>
          <c:cat>
            <c:strRef>
              <c:extLst>
                <c:ext xmlns:c15="http://schemas.microsoft.com/office/drawing/2012/chart" uri="{02D57815-91ED-43cb-92C2-25804820EDAC}">
                  <c15:fullRef>
                    <c15:sqref>Summary!$A$3:$A$15</c15:sqref>
                  </c15:fullRef>
                </c:ext>
              </c:extLst>
              <c:f>Summary!$A$3:$A$13</c:f>
              <c:strCache>
                <c:ptCount val="11"/>
                <c:pt idx="0">
                  <c:v>macros</c:v>
                </c:pt>
                <c:pt idx="1">
                  <c:v>feature</c:v>
                </c:pt>
                <c:pt idx="2">
                  <c:v>jugs</c:v>
                </c:pt>
                <c:pt idx="3">
                  <c:v>mini jugs</c:v>
                </c:pt>
                <c:pt idx="4">
                  <c:v>incuts</c:v>
                </c:pt>
                <c:pt idx="5">
                  <c:v>crimps</c:v>
                </c:pt>
                <c:pt idx="6">
                  <c:v>edges</c:v>
                </c:pt>
                <c:pt idx="7">
                  <c:v>slots</c:v>
                </c:pt>
                <c:pt idx="8">
                  <c:v>pinches</c:v>
                </c:pt>
                <c:pt idx="9">
                  <c:v>pockets</c:v>
                </c:pt>
                <c:pt idx="10">
                  <c:v>slopers</c:v>
                </c:pt>
              </c:strCache>
            </c:strRef>
          </c:cat>
          <c:val>
            <c:numRef>
              <c:extLst>
                <c:ext xmlns:c15="http://schemas.microsoft.com/office/drawing/2012/chart" uri="{02D57815-91ED-43cb-92C2-25804820EDAC}">
                  <c15:fullRef>
                    <c15:sqref>Summary!$F$3:$F$23</c15:sqref>
                  </c15:fullRef>
                </c:ext>
              </c:extLst>
              <c:f>(Summary!$F$3:$F$13,Summary!$F$18:$F$23)</c:f>
              <c:numCache>
                <c:formatCode>General</c:formatCode>
                <c:ptCount val="17"/>
                <c:pt idx="0">
                  <c:v>0</c:v>
                </c:pt>
                <c:pt idx="1">
                  <c:v>327</c:v>
                </c:pt>
                <c:pt idx="2">
                  <c:v>1552</c:v>
                </c:pt>
                <c:pt idx="3">
                  <c:v>172</c:v>
                </c:pt>
                <c:pt idx="4">
                  <c:v>910</c:v>
                </c:pt>
                <c:pt idx="5">
                  <c:v>528</c:v>
                </c:pt>
                <c:pt idx="6">
                  <c:v>639</c:v>
                </c:pt>
                <c:pt idx="7">
                  <c:v>0</c:v>
                </c:pt>
                <c:pt idx="8">
                  <c:v>913</c:v>
                </c:pt>
                <c:pt idx="9">
                  <c:v>0</c:v>
                </c:pt>
                <c:pt idx="10">
                  <c:v>671</c:v>
                </c:pt>
                <c:pt idx="11">
                  <c:v>7222</c:v>
                </c:pt>
                <c:pt idx="12">
                  <c:v>9187</c:v>
                </c:pt>
                <c:pt idx="13" formatCode="0.00%">
                  <c:v>0.19774850402514099</c:v>
                </c:pt>
                <c:pt idx="14" formatCode="0.00%">
                  <c:v>0.21388919124850331</c:v>
                </c:pt>
              </c:numCache>
            </c:numRef>
          </c:val>
          <c:extLst>
            <c:ext xmlns:c14="http://schemas.microsoft.com/office/drawing/2007/8/2/chart" uri="{6F2FDCE9-48DA-4B69-8628-5D25D57E5C99}">
              <c14:invertSolidFillFmt>
                <c14:spPr xmlns:c14="http://schemas.microsoft.com/office/drawing/2007/8/2/chart">
                  <a:solidFill>
                    <a:srgbClr val="FFFFFF"/>
                  </a:solidFill>
                  <a:ln>
                    <a:noFill/>
                  </a:ln>
                  <a:effectLst>
                    <a:outerShdw blurRad="57150" dist="19050" dir="5400000" algn="ctr" rotWithShape="0">
                      <a:srgbClr val="000000">
                        <a:alpha val="63000"/>
                      </a:srgbClr>
                    </a:outerShdw>
                  </a:effectLst>
                </c14:spPr>
              </c14:invertSolidFillFmt>
            </c:ext>
            <c:ext xmlns:c16="http://schemas.microsoft.com/office/drawing/2014/chart" uri="{C3380CC4-5D6E-409C-BE32-E72D297353CC}">
              <c16:uniqueId val="{00000005-6CE8-4CBA-90C5-903D0A6EF467}"/>
            </c:ext>
          </c:extLst>
        </c:ser>
        <c:ser>
          <c:idx val="6"/>
          <c:order val="6"/>
          <c:tx>
            <c:strRef>
              <c:f>Summary!$G$2</c:f>
              <c:strCache>
                <c:ptCount val="1"/>
                <c:pt idx="0">
                  <c:v>Purple</c:v>
                </c:pt>
              </c:strCache>
            </c:strRef>
          </c:tx>
          <c:spPr>
            <a:solidFill>
              <a:srgbClr val="7030A0"/>
            </a:solidFill>
            <a:ln>
              <a:noFill/>
            </a:ln>
            <a:effectLst>
              <a:outerShdw blurRad="57150" dist="19050" dir="5400000" algn="ctr" rotWithShape="0">
                <a:srgbClr val="000000">
                  <a:alpha val="63000"/>
                </a:srgbClr>
              </a:outerShdw>
            </a:effectLst>
          </c:spPr>
          <c:invertIfNegative val="1"/>
          <c:cat>
            <c:strRef>
              <c:extLst>
                <c:ext xmlns:c15="http://schemas.microsoft.com/office/drawing/2012/chart" uri="{02D57815-91ED-43cb-92C2-25804820EDAC}">
                  <c15:fullRef>
                    <c15:sqref>Summary!$A$3:$A$15</c15:sqref>
                  </c15:fullRef>
                </c:ext>
              </c:extLst>
              <c:f>Summary!$A$3:$A$13</c:f>
              <c:strCache>
                <c:ptCount val="11"/>
                <c:pt idx="0">
                  <c:v>macros</c:v>
                </c:pt>
                <c:pt idx="1">
                  <c:v>feature</c:v>
                </c:pt>
                <c:pt idx="2">
                  <c:v>jugs</c:v>
                </c:pt>
                <c:pt idx="3">
                  <c:v>mini jugs</c:v>
                </c:pt>
                <c:pt idx="4">
                  <c:v>incuts</c:v>
                </c:pt>
                <c:pt idx="5">
                  <c:v>crimps</c:v>
                </c:pt>
                <c:pt idx="6">
                  <c:v>edges</c:v>
                </c:pt>
                <c:pt idx="7">
                  <c:v>slots</c:v>
                </c:pt>
                <c:pt idx="8">
                  <c:v>pinches</c:v>
                </c:pt>
                <c:pt idx="9">
                  <c:v>pockets</c:v>
                </c:pt>
                <c:pt idx="10">
                  <c:v>slopers</c:v>
                </c:pt>
              </c:strCache>
            </c:strRef>
          </c:cat>
          <c:val>
            <c:numRef>
              <c:extLst>
                <c:ext xmlns:c15="http://schemas.microsoft.com/office/drawing/2012/chart" uri="{02D57815-91ED-43cb-92C2-25804820EDAC}">
                  <c15:fullRef>
                    <c15:sqref>Summary!$G$3:$G$23</c15:sqref>
                  </c15:fullRef>
                </c:ext>
              </c:extLst>
              <c:f>(Summary!$G$3:$G$13,Summary!$G$18:$G$23)</c:f>
              <c:numCache>
                <c:formatCode>General</c:formatCode>
                <c:ptCount val="17"/>
                <c:pt idx="0">
                  <c:v>0</c:v>
                </c:pt>
                <c:pt idx="1">
                  <c:v>259</c:v>
                </c:pt>
                <c:pt idx="2">
                  <c:v>725</c:v>
                </c:pt>
                <c:pt idx="3">
                  <c:v>56</c:v>
                </c:pt>
                <c:pt idx="4">
                  <c:v>462</c:v>
                </c:pt>
                <c:pt idx="5">
                  <c:v>103</c:v>
                </c:pt>
                <c:pt idx="6">
                  <c:v>666</c:v>
                </c:pt>
                <c:pt idx="7">
                  <c:v>0</c:v>
                </c:pt>
                <c:pt idx="8">
                  <c:v>393</c:v>
                </c:pt>
                <c:pt idx="9">
                  <c:v>0</c:v>
                </c:pt>
                <c:pt idx="10">
                  <c:v>323</c:v>
                </c:pt>
                <c:pt idx="11">
                  <c:v>3633</c:v>
                </c:pt>
                <c:pt idx="12">
                  <c:v>3923</c:v>
                </c:pt>
                <c:pt idx="13" formatCode="0.00%">
                  <c:v>8.4441861466270612E-2</c:v>
                </c:pt>
                <c:pt idx="14" formatCode="0.00%">
                  <c:v>7.3923018098394092E-2</c:v>
                </c:pt>
              </c:numCache>
            </c:numRef>
          </c:val>
          <c:extLst>
            <c:ext xmlns:c14="http://schemas.microsoft.com/office/drawing/2007/8/2/chart" uri="{6F2FDCE9-48DA-4B69-8628-5D25D57E5C99}">
              <c14:invertSolidFillFmt>
                <c14:spPr xmlns:c14="http://schemas.microsoft.com/office/drawing/2007/8/2/chart">
                  <a:solidFill>
                    <a:srgbClr val="FFFFFF"/>
                  </a:solidFill>
                  <a:ln>
                    <a:noFill/>
                  </a:ln>
                  <a:effectLst>
                    <a:outerShdw blurRad="57150" dist="19050" dir="5400000" algn="ctr" rotWithShape="0">
                      <a:srgbClr val="000000">
                        <a:alpha val="63000"/>
                      </a:srgbClr>
                    </a:outerShdw>
                  </a:effectLst>
                </c14:spPr>
              </c14:invertSolidFillFmt>
            </c:ext>
            <c:ext xmlns:c16="http://schemas.microsoft.com/office/drawing/2014/chart" uri="{C3380CC4-5D6E-409C-BE32-E72D297353CC}">
              <c16:uniqueId val="{00000006-6CE8-4CBA-90C5-903D0A6EF467}"/>
            </c:ext>
          </c:extLst>
        </c:ser>
        <c:ser>
          <c:idx val="7"/>
          <c:order val="7"/>
          <c:tx>
            <c:strRef>
              <c:f>Summary!$H$2</c:f>
              <c:strCache>
                <c:ptCount val="1"/>
                <c:pt idx="0">
                  <c:v>Hot Pink</c:v>
                </c:pt>
              </c:strCache>
            </c:strRef>
          </c:tx>
          <c:spPr>
            <a:solidFill>
              <a:srgbClr val="ED66E7"/>
            </a:solidFill>
            <a:ln>
              <a:noFill/>
            </a:ln>
            <a:effectLst>
              <a:outerShdw blurRad="57150" dist="19050" dir="5400000" algn="ctr" rotWithShape="0">
                <a:srgbClr val="000000">
                  <a:alpha val="63000"/>
                </a:srgbClr>
              </a:outerShdw>
            </a:effectLst>
          </c:spPr>
          <c:invertIfNegative val="1"/>
          <c:cat>
            <c:strRef>
              <c:extLst>
                <c:ext xmlns:c15="http://schemas.microsoft.com/office/drawing/2012/chart" uri="{02D57815-91ED-43cb-92C2-25804820EDAC}">
                  <c15:fullRef>
                    <c15:sqref>Summary!$A$3:$A$15</c15:sqref>
                  </c15:fullRef>
                </c:ext>
              </c:extLst>
              <c:f>Summary!$A$3:$A$13</c:f>
              <c:strCache>
                <c:ptCount val="11"/>
                <c:pt idx="0">
                  <c:v>macros</c:v>
                </c:pt>
                <c:pt idx="1">
                  <c:v>feature</c:v>
                </c:pt>
                <c:pt idx="2">
                  <c:v>jugs</c:v>
                </c:pt>
                <c:pt idx="3">
                  <c:v>mini jugs</c:v>
                </c:pt>
                <c:pt idx="4">
                  <c:v>incuts</c:v>
                </c:pt>
                <c:pt idx="5">
                  <c:v>crimps</c:v>
                </c:pt>
                <c:pt idx="6">
                  <c:v>edges</c:v>
                </c:pt>
                <c:pt idx="7">
                  <c:v>slots</c:v>
                </c:pt>
                <c:pt idx="8">
                  <c:v>pinches</c:v>
                </c:pt>
                <c:pt idx="9">
                  <c:v>pockets</c:v>
                </c:pt>
                <c:pt idx="10">
                  <c:v>slopers</c:v>
                </c:pt>
              </c:strCache>
            </c:strRef>
          </c:cat>
          <c:val>
            <c:numRef>
              <c:extLst>
                <c:ext xmlns:c15="http://schemas.microsoft.com/office/drawing/2012/chart" uri="{02D57815-91ED-43cb-92C2-25804820EDAC}">
                  <c15:fullRef>
                    <c15:sqref>Summary!$H$3:$H$23</c15:sqref>
                  </c15:fullRef>
                </c:ext>
              </c:extLst>
              <c:f>(Summary!$H$3:$H$13,Summary!$H$18:$H$23)</c:f>
              <c:numCache>
                <c:formatCode>General</c:formatCode>
                <c:ptCount val="17"/>
                <c:pt idx="0">
                  <c:v>0</c:v>
                </c:pt>
                <c:pt idx="1">
                  <c:v>135</c:v>
                </c:pt>
                <c:pt idx="2">
                  <c:v>582</c:v>
                </c:pt>
                <c:pt idx="3">
                  <c:v>60</c:v>
                </c:pt>
                <c:pt idx="4">
                  <c:v>247</c:v>
                </c:pt>
                <c:pt idx="5">
                  <c:v>60</c:v>
                </c:pt>
                <c:pt idx="6">
                  <c:v>232</c:v>
                </c:pt>
                <c:pt idx="7">
                  <c:v>0</c:v>
                </c:pt>
                <c:pt idx="8">
                  <c:v>218</c:v>
                </c:pt>
                <c:pt idx="9">
                  <c:v>0</c:v>
                </c:pt>
                <c:pt idx="10">
                  <c:v>256</c:v>
                </c:pt>
                <c:pt idx="11">
                  <c:v>2392</c:v>
                </c:pt>
                <c:pt idx="12">
                  <c:v>2657</c:v>
                </c:pt>
                <c:pt idx="13" formatCode="0.00%">
                  <c:v>5.7191441732317362E-2</c:v>
                </c:pt>
                <c:pt idx="14" formatCode="0.00%">
                  <c:v>9.9736544975536315E-2</c:v>
                </c:pt>
              </c:numCache>
            </c:numRef>
          </c:val>
          <c:extLst>
            <c:ext xmlns:c14="http://schemas.microsoft.com/office/drawing/2007/8/2/chart" uri="{6F2FDCE9-48DA-4B69-8628-5D25D57E5C99}">
              <c14:invertSolidFillFmt>
                <c14:spPr xmlns:c14="http://schemas.microsoft.com/office/drawing/2007/8/2/chart">
                  <a:solidFill>
                    <a:srgbClr val="FFFFFF"/>
                  </a:solidFill>
                  <a:ln>
                    <a:noFill/>
                  </a:ln>
                  <a:effectLst>
                    <a:outerShdw blurRad="57150" dist="19050" dir="5400000" algn="ctr" rotWithShape="0">
                      <a:srgbClr val="000000">
                        <a:alpha val="63000"/>
                      </a:srgbClr>
                    </a:outerShdw>
                  </a:effectLst>
                </c14:spPr>
              </c14:invertSolidFillFmt>
            </c:ext>
            <c:ext xmlns:c16="http://schemas.microsoft.com/office/drawing/2014/chart" uri="{C3380CC4-5D6E-409C-BE32-E72D297353CC}">
              <c16:uniqueId val="{00000007-6CE8-4CBA-90C5-903D0A6EF467}"/>
            </c:ext>
          </c:extLst>
        </c:ser>
        <c:ser>
          <c:idx val="8"/>
          <c:order val="8"/>
          <c:tx>
            <c:strRef>
              <c:f>Summary!$I$2</c:f>
              <c:strCache>
                <c:ptCount val="1"/>
                <c:pt idx="0">
                  <c:v>Black</c:v>
                </c:pt>
              </c:strCache>
            </c:strRef>
          </c:tx>
          <c:spPr>
            <a:solidFill>
              <a:schemeClr val="tx1"/>
            </a:soli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Summary!$A$3:$A$15</c15:sqref>
                  </c15:fullRef>
                </c:ext>
              </c:extLst>
              <c:f>Summary!$A$3:$A$13</c:f>
              <c:strCache>
                <c:ptCount val="11"/>
                <c:pt idx="0">
                  <c:v>macros</c:v>
                </c:pt>
                <c:pt idx="1">
                  <c:v>feature</c:v>
                </c:pt>
                <c:pt idx="2">
                  <c:v>jugs</c:v>
                </c:pt>
                <c:pt idx="3">
                  <c:v>mini jugs</c:v>
                </c:pt>
                <c:pt idx="4">
                  <c:v>incuts</c:v>
                </c:pt>
                <c:pt idx="5">
                  <c:v>crimps</c:v>
                </c:pt>
                <c:pt idx="6">
                  <c:v>edges</c:v>
                </c:pt>
                <c:pt idx="7">
                  <c:v>slots</c:v>
                </c:pt>
                <c:pt idx="8">
                  <c:v>pinches</c:v>
                </c:pt>
                <c:pt idx="9">
                  <c:v>pockets</c:v>
                </c:pt>
                <c:pt idx="10">
                  <c:v>slopers</c:v>
                </c:pt>
              </c:strCache>
            </c:strRef>
          </c:cat>
          <c:val>
            <c:numRef>
              <c:extLst>
                <c:ext xmlns:c15="http://schemas.microsoft.com/office/drawing/2012/chart" uri="{02D57815-91ED-43cb-92C2-25804820EDAC}">
                  <c15:fullRef>
                    <c15:sqref>Summary!$I$3:$I$23</c15:sqref>
                  </c15:fullRef>
                </c:ext>
              </c:extLst>
              <c:f>(Summary!$I$3:$I$13,Summary!$I$18:$I$23)</c:f>
              <c:numCache>
                <c:formatCode>General</c:formatCode>
                <c:ptCount val="17"/>
                <c:pt idx="0">
                  <c:v>0</c:v>
                </c:pt>
                <c:pt idx="1">
                  <c:v>508</c:v>
                </c:pt>
                <c:pt idx="2">
                  <c:v>1917</c:v>
                </c:pt>
                <c:pt idx="3">
                  <c:v>222</c:v>
                </c:pt>
                <c:pt idx="4">
                  <c:v>988</c:v>
                </c:pt>
                <c:pt idx="5">
                  <c:v>648</c:v>
                </c:pt>
                <c:pt idx="6">
                  <c:v>1040</c:v>
                </c:pt>
                <c:pt idx="7">
                  <c:v>0</c:v>
                </c:pt>
                <c:pt idx="8">
                  <c:v>1034</c:v>
                </c:pt>
                <c:pt idx="9">
                  <c:v>0</c:v>
                </c:pt>
                <c:pt idx="10">
                  <c:v>1003</c:v>
                </c:pt>
                <c:pt idx="11">
                  <c:v>9313</c:v>
                </c:pt>
                <c:pt idx="12">
                  <c:v>10915</c:v>
                </c:pt>
                <c:pt idx="13" formatCode="0.00%">
                  <c:v>0.23494338972835679</c:v>
                </c:pt>
                <c:pt idx="14" formatCode="0.00%">
                  <c:v>0.1467704993128722</c:v>
                </c:pt>
              </c:numCache>
            </c:numRef>
          </c:val>
          <c:extLst>
            <c:ext xmlns:c16="http://schemas.microsoft.com/office/drawing/2014/chart" uri="{C3380CC4-5D6E-409C-BE32-E72D297353CC}">
              <c16:uniqueId val="{00000000-23DE-4DD3-854B-E3C814FF81BE}"/>
            </c:ext>
          </c:extLst>
        </c:ser>
        <c:ser>
          <c:idx val="9"/>
          <c:order val="9"/>
          <c:tx>
            <c:strRef>
              <c:f>Summary!$J$2</c:f>
              <c:strCache>
                <c:ptCount val="1"/>
                <c:pt idx="0">
                  <c:v>White</c:v>
                </c:pt>
              </c:strCache>
            </c:strRef>
          </c:tx>
          <c:spPr>
            <a:solidFill>
              <a:schemeClr val="bg1"/>
            </a:solidFill>
            <a:ln>
              <a:noFill/>
            </a:ln>
            <a:effectLst>
              <a:outerShdw blurRad="57150" dist="19050" dir="5400000" algn="ctr" rotWithShape="0">
                <a:srgbClr val="000000">
                  <a:alpha val="63000"/>
                </a:srgbClr>
              </a:outerShdw>
            </a:effectLst>
          </c:spPr>
          <c:invertIfNegative val="0"/>
          <c:cat>
            <c:strRef>
              <c:extLst>
                <c:ext xmlns:c15="http://schemas.microsoft.com/office/drawing/2012/chart" uri="{02D57815-91ED-43cb-92C2-25804820EDAC}">
                  <c15:fullRef>
                    <c15:sqref>Summary!$A$3:$A$15</c15:sqref>
                  </c15:fullRef>
                </c:ext>
              </c:extLst>
              <c:f>Summary!$A$3:$A$13</c:f>
              <c:strCache>
                <c:ptCount val="11"/>
                <c:pt idx="0">
                  <c:v>macros</c:v>
                </c:pt>
                <c:pt idx="1">
                  <c:v>feature</c:v>
                </c:pt>
                <c:pt idx="2">
                  <c:v>jugs</c:v>
                </c:pt>
                <c:pt idx="3">
                  <c:v>mini jugs</c:v>
                </c:pt>
                <c:pt idx="4">
                  <c:v>incuts</c:v>
                </c:pt>
                <c:pt idx="5">
                  <c:v>crimps</c:v>
                </c:pt>
                <c:pt idx="6">
                  <c:v>edges</c:v>
                </c:pt>
                <c:pt idx="7">
                  <c:v>slots</c:v>
                </c:pt>
                <c:pt idx="8">
                  <c:v>pinches</c:v>
                </c:pt>
                <c:pt idx="9">
                  <c:v>pockets</c:v>
                </c:pt>
                <c:pt idx="10">
                  <c:v>slopers</c:v>
                </c:pt>
              </c:strCache>
            </c:strRef>
          </c:cat>
          <c:val>
            <c:numRef>
              <c:extLst>
                <c:ext xmlns:c15="http://schemas.microsoft.com/office/drawing/2012/chart" uri="{02D57815-91ED-43cb-92C2-25804820EDAC}">
                  <c15:fullRef>
                    <c15:sqref>Summary!$J$3:$J$23</c15:sqref>
                  </c15:fullRef>
                </c:ext>
              </c:extLst>
              <c:f>(Summary!$J$3:$J$13,Summary!$J$18:$J$23)</c:f>
              <c:numCache>
                <c:formatCode>General</c:formatCode>
                <c:ptCount val="17"/>
                <c:pt idx="0">
                  <c:v>0</c:v>
                </c:pt>
                <c:pt idx="1">
                  <c:v>10</c:v>
                </c:pt>
                <c:pt idx="2">
                  <c:v>139</c:v>
                </c:pt>
                <c:pt idx="3">
                  <c:v>57</c:v>
                </c:pt>
                <c:pt idx="4">
                  <c:v>164</c:v>
                </c:pt>
                <c:pt idx="5">
                  <c:v>60</c:v>
                </c:pt>
                <c:pt idx="6">
                  <c:v>94</c:v>
                </c:pt>
                <c:pt idx="7">
                  <c:v>0</c:v>
                </c:pt>
                <c:pt idx="8">
                  <c:v>80</c:v>
                </c:pt>
                <c:pt idx="9">
                  <c:v>0</c:v>
                </c:pt>
                <c:pt idx="10">
                  <c:v>175</c:v>
                </c:pt>
                <c:pt idx="11">
                  <c:v>953</c:v>
                </c:pt>
                <c:pt idx="12">
                  <c:v>1138</c:v>
                </c:pt>
                <c:pt idx="13" formatCode="0.00%">
                  <c:v>2.4495243015196521E-2</c:v>
                </c:pt>
                <c:pt idx="14" formatCode="0.00%">
                  <c:v>0.1625659050966608</c:v>
                </c:pt>
              </c:numCache>
            </c:numRef>
          </c:val>
          <c:extLst>
            <c:ext xmlns:c16="http://schemas.microsoft.com/office/drawing/2014/chart" uri="{C3380CC4-5D6E-409C-BE32-E72D297353CC}">
              <c16:uniqueId val="{00000001-23DE-4DD3-854B-E3C814FF81BE}"/>
            </c:ext>
          </c:extLst>
        </c:ser>
        <c:dLbls>
          <c:showLegendKey val="0"/>
          <c:showVal val="0"/>
          <c:showCatName val="0"/>
          <c:showSerName val="0"/>
          <c:showPercent val="0"/>
          <c:showBubbleSize val="0"/>
        </c:dLbls>
        <c:gapWidth val="100"/>
        <c:overlap val="-24"/>
        <c:axId val="-182450592"/>
        <c:axId val="-182448272"/>
        <c:extLst>
          <c:ext xmlns:c15="http://schemas.microsoft.com/office/drawing/2012/chart" uri="{02D57815-91ED-43cb-92C2-25804820EDAC}">
            <c15:filteredBarSeries>
              <c15:ser>
                <c:idx val="0"/>
                <c:order val="0"/>
                <c:tx>
                  <c:strRef>
                    <c:extLst>
                      <c:ext uri="{02D57815-91ED-43cb-92C2-25804820EDAC}">
                        <c15:formulaRef>
                          <c15:sqref>Summary!$A$2</c15:sqref>
                        </c15:formulaRef>
                      </c:ext>
                    </c:extLst>
                    <c:strCache>
                      <c:ptCount val="1"/>
                      <c:pt idx="0">
                        <c:v>Type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1"/>
                <c:cat>
                  <c:strRef>
                    <c:extLst>
                      <c:ext uri="{02D57815-91ED-43cb-92C2-25804820EDAC}">
                        <c15:fullRef>
                          <c15:sqref>Summary!$A$3:$A$15</c15:sqref>
                        </c15:fullRef>
                        <c15:formulaRef>
                          <c15:sqref>Summary!$A$3:$A$13</c15:sqref>
                        </c15:formulaRef>
                      </c:ext>
                    </c:extLst>
                    <c:strCache>
                      <c:ptCount val="11"/>
                      <c:pt idx="0">
                        <c:v>macros</c:v>
                      </c:pt>
                      <c:pt idx="1">
                        <c:v>feature</c:v>
                      </c:pt>
                      <c:pt idx="2">
                        <c:v>jugs</c:v>
                      </c:pt>
                      <c:pt idx="3">
                        <c:v>mini jugs</c:v>
                      </c:pt>
                      <c:pt idx="4">
                        <c:v>incuts</c:v>
                      </c:pt>
                      <c:pt idx="5">
                        <c:v>crimps</c:v>
                      </c:pt>
                      <c:pt idx="6">
                        <c:v>edges</c:v>
                      </c:pt>
                      <c:pt idx="7">
                        <c:v>slots</c:v>
                      </c:pt>
                      <c:pt idx="8">
                        <c:v>pinches</c:v>
                      </c:pt>
                      <c:pt idx="9">
                        <c:v>pockets</c:v>
                      </c:pt>
                      <c:pt idx="10">
                        <c:v>slopers</c:v>
                      </c:pt>
                    </c:strCache>
                  </c:strRef>
                </c:cat>
                <c:val>
                  <c:numRef>
                    <c:extLst>
                      <c:ext uri="{02D57815-91ED-43cb-92C2-25804820EDAC}">
                        <c15:fullRef>
                          <c15:sqref>Summary!$A$3:$A$23</c15:sqref>
                        </c15:fullRef>
                        <c15:formulaRef>
                          <c15:sqref>(Summary!$A$3:$A$13,Summary!$A$18:$A$23)</c15:sqref>
                        </c15:formulaRef>
                      </c:ext>
                    </c:extLst>
                    <c:numCache>
                      <c:formatCode>General</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6CE8-4CBA-90C5-903D0A6EF467}"/>
                  </c:ext>
                </c:extLst>
              </c15:ser>
            </c15:filteredBarSeries>
          </c:ext>
        </c:extLst>
      </c:barChart>
      <c:catAx>
        <c:axId val="-18245059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182448272"/>
        <c:crosses val="autoZero"/>
        <c:auto val="1"/>
        <c:lblAlgn val="ctr"/>
        <c:lblOffset val="100"/>
        <c:noMultiLvlLbl val="1"/>
      </c:catAx>
      <c:valAx>
        <c:axId val="-182448272"/>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1824505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zero"/>
    <c:showDLblsOverMax val="1"/>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jp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jp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5</xdr:col>
      <xdr:colOff>387350</xdr:colOff>
      <xdr:row>1</xdr:row>
      <xdr:rowOff>165100</xdr:rowOff>
    </xdr:from>
    <xdr:ext cx="1263650" cy="1181100"/>
    <xdr:pic>
      <xdr:nvPicPr>
        <xdr:cNvPr id="2" name="image1.png" descr="kiliter-K-small copy.png" title="Image">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8655050" y="558800"/>
          <a:ext cx="1263650" cy="1181100"/>
        </a:xfrm>
        <a:prstGeom prst="rect">
          <a:avLst/>
        </a:prstGeom>
        <a:noFill/>
      </xdr:spPr>
    </xdr:pic>
    <xdr:clientData fLocksWithSheet="0"/>
  </xdr:oneCellAnchor>
  <xdr:oneCellAnchor>
    <xdr:from>
      <xdr:col>6</xdr:col>
      <xdr:colOff>819150</xdr:colOff>
      <xdr:row>0</xdr:row>
      <xdr:rowOff>12700</xdr:rowOff>
    </xdr:from>
    <xdr:ext cx="1695450" cy="1231900"/>
    <xdr:pic>
      <xdr:nvPicPr>
        <xdr:cNvPr id="3" name="image2.jp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xfrm>
          <a:off x="9925050" y="12700"/>
          <a:ext cx="1695450" cy="1231900"/>
        </a:xfrm>
        <a:prstGeom prst="rect">
          <a:avLst/>
        </a:prstGeom>
        <a:noFill/>
      </xdr:spPr>
    </xdr:pic>
    <xdr:clientData fLocksWithSheet="0"/>
  </xdr:oneCellAnchor>
  <xdr:twoCellAnchor editAs="oneCell">
    <xdr:from>
      <xdr:col>6</xdr:col>
      <xdr:colOff>879475</xdr:colOff>
      <xdr:row>4</xdr:row>
      <xdr:rowOff>3174</xdr:rowOff>
    </xdr:from>
    <xdr:to>
      <xdr:col>7</xdr:col>
      <xdr:colOff>801263</xdr:colOff>
      <xdr:row>10</xdr:row>
      <xdr:rowOff>53974</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9985375" y="1095374"/>
          <a:ext cx="1356888" cy="965200"/>
        </a:xfrm>
        <a:prstGeom prst="rect">
          <a:avLst/>
        </a:prstGeom>
      </xdr:spPr>
    </xdr:pic>
    <xdr:clientData/>
  </xdr:twoCellAnchor>
  <xdr:twoCellAnchor>
    <xdr:from>
      <xdr:col>3</xdr:col>
      <xdr:colOff>825500</xdr:colOff>
      <xdr:row>56</xdr:row>
      <xdr:rowOff>177800</xdr:rowOff>
    </xdr:from>
    <xdr:to>
      <xdr:col>12</xdr:col>
      <xdr:colOff>717549</xdr:colOff>
      <xdr:row>98</xdr:row>
      <xdr:rowOff>200026</xdr:rowOff>
    </xdr:to>
    <xdr:sp macro="" textlink="">
      <xdr:nvSpPr>
        <xdr:cNvPr id="6" name="Shape 3">
          <a:extLst>
            <a:ext uri="{FF2B5EF4-FFF2-40B4-BE49-F238E27FC236}">
              <a16:creationId xmlns:a16="http://schemas.microsoft.com/office/drawing/2014/main" id="{00000000-0008-0000-0000-000006000000}"/>
            </a:ext>
          </a:extLst>
        </xdr:cNvPr>
        <xdr:cNvSpPr txBox="1"/>
      </xdr:nvSpPr>
      <xdr:spPr>
        <a:xfrm>
          <a:off x="7416800" y="10550525"/>
          <a:ext cx="7873999" cy="8823326"/>
        </a:xfrm>
        <a:prstGeom prst="rect">
          <a:avLst/>
        </a:prstGeom>
        <a:solidFill>
          <a:schemeClr val="lt1"/>
        </a:solidFill>
        <a:ln w="9525" cap="flat" cmpd="sng">
          <a:solidFill>
            <a:srgbClr val="BABABA"/>
          </a:solidFill>
          <a:prstDash val="solid"/>
          <a:round/>
          <a:headEnd type="none" w="med" len="med"/>
          <a:tailEnd type="none" w="med" len="med"/>
        </a:ln>
      </xdr:spPr>
      <xdr:txBody>
        <a:bodyPr lIns="91425" tIns="45700" rIns="91425" bIns="45700" anchor="t" anchorCtr="0">
          <a:noAutofit/>
        </a:bodyPr>
        <a:lstStyle/>
        <a:p>
          <a:pPr lvl="0" indent="0" algn="ctr">
            <a:spcBef>
              <a:spcPts val="0"/>
            </a:spcBef>
            <a:buSzPct val="25000"/>
            <a:buNone/>
          </a:pPr>
          <a:r>
            <a:rPr lang="en-US" sz="1400" b="1">
              <a:solidFill>
                <a:schemeClr val="dk1"/>
              </a:solidFill>
              <a:latin typeface="Calibri"/>
              <a:ea typeface="Calibri"/>
              <a:cs typeface="Calibri"/>
              <a:sym typeface="Calibri"/>
            </a:rPr>
            <a:t>Shipping Information </a:t>
          </a:r>
        </a:p>
        <a:p>
          <a:pPr lvl="0" indent="0" algn="l">
            <a:spcBef>
              <a:spcPts val="0"/>
            </a:spcBef>
            <a:buSzPct val="25000"/>
            <a:buNone/>
          </a:pPr>
          <a:endParaRPr sz="1200" b="1"/>
        </a:p>
        <a:p>
          <a:pPr lvl="0" indent="0" algn="l">
            <a:spcBef>
              <a:spcPts val="0"/>
            </a:spcBef>
            <a:buSzPct val="25000"/>
            <a:buNone/>
          </a:pPr>
          <a:r>
            <a:rPr lang="en-US" sz="1200" b="0">
              <a:solidFill>
                <a:schemeClr val="dk1"/>
              </a:solidFill>
              <a:latin typeface="Calibri"/>
              <a:ea typeface="Calibri"/>
              <a:cs typeface="Calibri"/>
              <a:sym typeface="Calibri"/>
            </a:rPr>
            <a:t>1. </a:t>
          </a:r>
          <a:r>
            <a:rPr lang="en-US" sz="1200" b="1">
              <a:solidFill>
                <a:schemeClr val="dk1"/>
              </a:solidFill>
              <a:latin typeface="Calibri"/>
              <a:ea typeface="Calibri"/>
              <a:cs typeface="Calibri"/>
              <a:sym typeface="Calibri"/>
            </a:rPr>
            <a:t>Loading Dock</a:t>
          </a:r>
          <a:r>
            <a:rPr lang="en-US" sz="1200" b="1" baseline="0">
              <a:solidFill>
                <a:schemeClr val="dk1"/>
              </a:solidFill>
              <a:latin typeface="Calibri"/>
              <a:ea typeface="Calibri"/>
              <a:cs typeface="Calibri"/>
              <a:sym typeface="Calibri"/>
            </a:rPr>
            <a:t> or Liftgate? </a:t>
          </a:r>
          <a:r>
            <a:rPr lang="en-US" sz="1200" b="0">
              <a:solidFill>
                <a:schemeClr val="dk1"/>
              </a:solidFill>
              <a:latin typeface="Calibri"/>
              <a:ea typeface="Calibri"/>
              <a:cs typeface="Calibri"/>
              <a:sym typeface="Calibri"/>
            </a:rPr>
            <a:t>Pallet shipped orders require a liftgate service charge if you don't have a dock. Please let us know.</a:t>
          </a:r>
        </a:p>
        <a:p>
          <a:pPr lvl="0" indent="0" algn="l">
            <a:spcBef>
              <a:spcPts val="0"/>
            </a:spcBef>
            <a:buNone/>
          </a:pPr>
          <a:endParaRPr sz="1200" b="1"/>
        </a:p>
        <a:p>
          <a:pPr lvl="0" indent="0" algn="l">
            <a:spcBef>
              <a:spcPts val="0"/>
            </a:spcBef>
            <a:buSzPct val="25000"/>
            <a:buNone/>
          </a:pPr>
          <a:r>
            <a:rPr lang="en-US" sz="1200">
              <a:solidFill>
                <a:schemeClr val="dk1"/>
              </a:solidFill>
              <a:latin typeface="Calibri"/>
              <a:ea typeface="Calibri"/>
              <a:cs typeface="Calibri"/>
              <a:sym typeface="Calibri"/>
            </a:rPr>
            <a:t>2. </a:t>
          </a:r>
          <a:r>
            <a:rPr lang="en-US" sz="1200" b="1">
              <a:solidFill>
                <a:schemeClr val="dk1"/>
              </a:solidFill>
              <a:latin typeface="Calibri"/>
              <a:ea typeface="Calibri"/>
              <a:cs typeface="Calibri"/>
              <a:sym typeface="Calibri"/>
            </a:rPr>
            <a:t>Turnaround Time: </a:t>
          </a:r>
          <a:r>
            <a:rPr lang="en-US" sz="1200" b="0">
              <a:solidFill>
                <a:schemeClr val="dk1"/>
              </a:solidFill>
              <a:latin typeface="Calibri"/>
              <a:ea typeface="Calibri"/>
              <a:cs typeface="Calibri"/>
              <a:sym typeface="Calibri"/>
            </a:rPr>
            <a:t>Normally</a:t>
          </a:r>
          <a:r>
            <a:rPr lang="en-US" sz="1200">
              <a:solidFill>
                <a:schemeClr val="dk1"/>
              </a:solidFill>
              <a:latin typeface="Calibri"/>
              <a:ea typeface="Calibri"/>
              <a:cs typeface="Calibri"/>
              <a:sym typeface="Calibri"/>
            </a:rPr>
            <a:t> 30-60 days depending on size and specs of order and manufacturer’s production schedule. 	~ Small or any color orders can be faster. </a:t>
          </a:r>
        </a:p>
        <a:p>
          <a:pPr lvl="0" indent="0" algn="l">
            <a:spcBef>
              <a:spcPts val="0"/>
            </a:spcBef>
            <a:buSzPct val="25000"/>
            <a:buNone/>
          </a:pPr>
          <a:r>
            <a:rPr lang="en-US" sz="1200">
              <a:solidFill>
                <a:schemeClr val="dk1"/>
              </a:solidFill>
              <a:latin typeface="Calibri"/>
              <a:ea typeface="Calibri"/>
              <a:cs typeface="Calibri"/>
              <a:sym typeface="Calibri"/>
            </a:rPr>
            <a:t>	~</a:t>
          </a:r>
          <a:r>
            <a:rPr lang="en-US" sz="1200" baseline="0">
              <a:solidFill>
                <a:schemeClr val="dk1"/>
              </a:solidFill>
              <a:latin typeface="Calibri"/>
              <a:ea typeface="Calibri"/>
              <a:cs typeface="Calibri"/>
              <a:sym typeface="Calibri"/>
            </a:rPr>
            <a:t> Super Bulk</a:t>
          </a:r>
          <a:r>
            <a:rPr lang="en-US" sz="1200">
              <a:solidFill>
                <a:schemeClr val="dk1"/>
              </a:solidFill>
              <a:latin typeface="Calibri"/>
              <a:ea typeface="Calibri"/>
              <a:cs typeface="Calibri"/>
              <a:sym typeface="Calibri"/>
            </a:rPr>
            <a:t> orders can be slower.</a:t>
          </a:r>
          <a:r>
            <a:rPr lang="en-US" sz="1200" baseline="0">
              <a:solidFill>
                <a:schemeClr val="dk1"/>
              </a:solidFill>
              <a:latin typeface="Calibri"/>
              <a:ea typeface="Calibri"/>
              <a:cs typeface="Calibri"/>
              <a:sym typeface="Calibri"/>
            </a:rPr>
            <a:t> </a:t>
          </a:r>
        </a:p>
        <a:p>
          <a:pPr lvl="0" indent="0" algn="l">
            <a:spcBef>
              <a:spcPts val="0"/>
            </a:spcBef>
            <a:buSzPct val="25000"/>
            <a:buNone/>
          </a:pPr>
          <a:r>
            <a:rPr lang="en-US" sz="1200" baseline="0">
              <a:solidFill>
                <a:schemeClr val="dk1"/>
              </a:solidFill>
              <a:latin typeface="Calibri"/>
              <a:ea typeface="Calibri"/>
              <a:cs typeface="Calibri"/>
              <a:sym typeface="Calibri"/>
            </a:rPr>
            <a:t>		~ We recommend placing a space saver at least 3 months in advance from need-by date for </a:t>
          </a:r>
        </a:p>
        <a:p>
          <a:pPr lvl="0" indent="0" algn="l">
            <a:spcBef>
              <a:spcPts val="0"/>
            </a:spcBef>
            <a:buSzPct val="25000"/>
            <a:buNone/>
          </a:pPr>
          <a:r>
            <a:rPr lang="en-US" sz="1200" baseline="0">
              <a:solidFill>
                <a:schemeClr val="dk1"/>
              </a:solidFill>
              <a:latin typeface="Calibri"/>
              <a:ea typeface="Calibri"/>
              <a:cs typeface="Calibri"/>
              <a:sym typeface="Calibri"/>
            </a:rPr>
            <a:t>		    Super Bulk orders.</a:t>
          </a:r>
          <a:endParaRPr lang="en-US" sz="1200">
            <a:solidFill>
              <a:schemeClr val="dk1"/>
            </a:solidFill>
            <a:latin typeface="Calibri"/>
            <a:ea typeface="Calibri"/>
            <a:cs typeface="Calibri"/>
            <a:sym typeface="Calibri"/>
          </a:endParaRPr>
        </a:p>
        <a:p>
          <a:pPr lvl="0" indent="0" algn="l">
            <a:spcBef>
              <a:spcPts val="0"/>
            </a:spcBef>
            <a:buNone/>
          </a:pPr>
          <a:endParaRPr sz="1200">
            <a:solidFill>
              <a:schemeClr val="dk1"/>
            </a:solidFill>
            <a:latin typeface="Calibri"/>
            <a:ea typeface="Calibri"/>
            <a:cs typeface="Calibri"/>
            <a:sym typeface="Calibri"/>
          </a:endParaRPr>
        </a:p>
        <a:p>
          <a:pPr lvl="0" indent="0" algn="l">
            <a:spcBef>
              <a:spcPts val="0"/>
            </a:spcBef>
            <a:buSzPct val="25000"/>
            <a:buNone/>
          </a:pPr>
          <a:r>
            <a:rPr lang="en-US" sz="1200">
              <a:solidFill>
                <a:schemeClr val="dk1"/>
              </a:solidFill>
              <a:latin typeface="Calibri"/>
              <a:ea typeface="Calibri"/>
              <a:cs typeface="Calibri"/>
              <a:sym typeface="Calibri"/>
            </a:rPr>
            <a:t>3. </a:t>
          </a:r>
          <a:r>
            <a:rPr lang="en-US" sz="1200" b="1">
              <a:solidFill>
                <a:schemeClr val="dk1"/>
              </a:solidFill>
              <a:latin typeface="Calibri"/>
              <a:ea typeface="Calibri"/>
              <a:cs typeface="Calibri"/>
              <a:sym typeface="Calibri"/>
            </a:rPr>
            <a:t>RUSH or</a:t>
          </a:r>
          <a:r>
            <a:rPr lang="en-US" sz="1200" b="1" baseline="0">
              <a:solidFill>
                <a:schemeClr val="dk1"/>
              </a:solidFill>
              <a:latin typeface="Calibri"/>
              <a:ea typeface="Calibri"/>
              <a:cs typeface="Calibri"/>
              <a:sym typeface="Calibri"/>
            </a:rPr>
            <a:t> DELAY: </a:t>
          </a:r>
          <a:r>
            <a:rPr lang="en-US" sz="1200">
              <a:solidFill>
                <a:schemeClr val="dk1"/>
              </a:solidFill>
              <a:latin typeface="Calibri"/>
              <a:ea typeface="Calibri"/>
              <a:cs typeface="Calibri"/>
              <a:sym typeface="Calibri"/>
            </a:rPr>
            <a:t>Should you have any specific ship/delivery date needs please notify your sales rep immediately so this can be arranged accordingly with the manufacturer. </a:t>
          </a:r>
        </a:p>
        <a:p>
          <a:pPr lvl="0" indent="0" algn="l">
            <a:spcBef>
              <a:spcPts val="0"/>
            </a:spcBef>
            <a:buSzPct val="25000"/>
            <a:buNone/>
          </a:pPr>
          <a:r>
            <a:rPr lang="en-US" sz="1200">
              <a:solidFill>
                <a:schemeClr val="dk1"/>
              </a:solidFill>
              <a:latin typeface="Calibri"/>
              <a:ea typeface="Calibri"/>
              <a:cs typeface="Calibri"/>
              <a:sym typeface="Calibri"/>
            </a:rPr>
            <a:t>	~ </a:t>
          </a:r>
          <a:r>
            <a:rPr lang="en-US" sz="1200" b="1" baseline="0">
              <a:solidFill>
                <a:schemeClr val="dk1"/>
              </a:solidFill>
              <a:latin typeface="Calibri"/>
              <a:ea typeface="Calibri"/>
              <a:cs typeface="Calibri"/>
              <a:sym typeface="Calibri"/>
            </a:rPr>
            <a:t>S</a:t>
          </a:r>
          <a:r>
            <a:rPr lang="en-US" sz="1200" b="1">
              <a:solidFill>
                <a:schemeClr val="dk1"/>
              </a:solidFill>
              <a:latin typeface="Calibri"/>
              <a:ea typeface="Calibri"/>
              <a:cs typeface="Calibri"/>
              <a:sym typeface="Calibri"/>
            </a:rPr>
            <a:t>helf stock</a:t>
          </a:r>
          <a:r>
            <a:rPr lang="en-US" sz="1200">
              <a:solidFill>
                <a:schemeClr val="dk1"/>
              </a:solidFill>
              <a:latin typeface="Calibri"/>
              <a:ea typeface="Calibri"/>
              <a:cs typeface="Calibri"/>
              <a:sym typeface="Calibri"/>
            </a:rPr>
            <a:t> may be available</a:t>
          </a:r>
          <a:r>
            <a:rPr lang="en-US" sz="1200" baseline="0">
              <a:solidFill>
                <a:schemeClr val="dk1"/>
              </a:solidFill>
              <a:latin typeface="Calibri"/>
              <a:ea typeface="Calibri"/>
              <a:cs typeface="Calibri"/>
              <a:sym typeface="Calibri"/>
            </a:rPr>
            <a:t> if you need a super rush and production is too slow, so please give us a chance </a:t>
          </a:r>
        </a:p>
        <a:p>
          <a:pPr lvl="0" indent="0" algn="l">
            <a:spcBef>
              <a:spcPts val="0"/>
            </a:spcBef>
            <a:buSzPct val="25000"/>
            <a:buNone/>
          </a:pPr>
          <a:r>
            <a:rPr lang="en-US" sz="1200" baseline="0">
              <a:solidFill>
                <a:schemeClr val="dk1"/>
              </a:solidFill>
              <a:latin typeface="Calibri"/>
              <a:ea typeface="Calibri"/>
              <a:cs typeface="Calibri"/>
              <a:sym typeface="Calibri"/>
            </a:rPr>
            <a:t>	    to try and make your timeline work!</a:t>
          </a:r>
          <a:endParaRPr lang="en-US" sz="1200">
            <a:solidFill>
              <a:schemeClr val="dk1"/>
            </a:solidFill>
            <a:latin typeface="Calibri"/>
            <a:ea typeface="Calibri"/>
            <a:cs typeface="Calibri"/>
            <a:sym typeface="Calibri"/>
          </a:endParaRPr>
        </a:p>
        <a:p>
          <a:pPr lvl="0" indent="0" algn="l">
            <a:spcBef>
              <a:spcPts val="0"/>
            </a:spcBef>
            <a:buNone/>
          </a:pPr>
          <a:endParaRPr sz="1200" b="1">
            <a:solidFill>
              <a:schemeClr val="dk1"/>
            </a:solidFill>
            <a:latin typeface="Calibri"/>
            <a:ea typeface="Calibri"/>
            <a:cs typeface="Calibri"/>
            <a:sym typeface="Calibri"/>
          </a:endParaRPr>
        </a:p>
        <a:p>
          <a:pPr lvl="0" indent="0" algn="l">
            <a:spcBef>
              <a:spcPts val="0"/>
            </a:spcBef>
            <a:buSzPct val="25000"/>
            <a:buNone/>
          </a:pPr>
          <a:r>
            <a:rPr lang="en-US" sz="1200" b="0">
              <a:solidFill>
                <a:schemeClr val="dk1"/>
              </a:solidFill>
              <a:latin typeface="Calibri"/>
              <a:ea typeface="Calibri"/>
              <a:cs typeface="Calibri"/>
              <a:sym typeface="Calibri"/>
            </a:rPr>
            <a:t>4. </a:t>
          </a:r>
          <a:r>
            <a:rPr lang="en-US" sz="1200" b="1">
              <a:solidFill>
                <a:schemeClr val="dk1"/>
              </a:solidFill>
              <a:latin typeface="Calibri"/>
              <a:ea typeface="Calibri"/>
              <a:cs typeface="Calibri"/>
              <a:sym typeface="Calibri"/>
            </a:rPr>
            <a:t>Ship date</a:t>
          </a:r>
          <a:r>
            <a:rPr lang="en-US" sz="1200" b="1" baseline="0">
              <a:solidFill>
                <a:schemeClr val="dk1"/>
              </a:solidFill>
              <a:latin typeface="Calibri"/>
              <a:ea typeface="Calibri"/>
              <a:cs typeface="Calibri"/>
              <a:sym typeface="Calibri"/>
            </a:rPr>
            <a:t> estimates </a:t>
          </a:r>
          <a:r>
            <a:rPr lang="en-US" sz="1200" b="0" baseline="0">
              <a:solidFill>
                <a:schemeClr val="dk1"/>
              </a:solidFill>
              <a:latin typeface="Calibri"/>
              <a:ea typeface="Calibri"/>
              <a:cs typeface="Calibri"/>
              <a:sym typeface="Calibri"/>
            </a:rPr>
            <a:t>are</a:t>
          </a:r>
          <a:r>
            <a:rPr lang="en-US" sz="1200" b="0">
              <a:solidFill>
                <a:schemeClr val="dk1"/>
              </a:solidFill>
              <a:latin typeface="Calibri"/>
              <a:ea typeface="Calibri"/>
              <a:cs typeface="Calibri"/>
              <a:sym typeface="Calibri"/>
            </a:rPr>
            <a:t> available upon request.</a:t>
          </a:r>
        </a:p>
        <a:p>
          <a:pPr lvl="0" indent="0" algn="l">
            <a:spcBef>
              <a:spcPts val="0"/>
            </a:spcBef>
            <a:buSzPct val="25000"/>
            <a:buNone/>
          </a:pPr>
          <a:endParaRPr lang="en-US" sz="1200" b="0">
            <a:solidFill>
              <a:schemeClr val="dk1"/>
            </a:solidFill>
            <a:latin typeface="Calibri"/>
            <a:ea typeface="Calibri"/>
            <a:cs typeface="Calibri"/>
            <a:sym typeface="Calibri"/>
          </a:endParaRPr>
        </a:p>
        <a:p>
          <a:pPr marL="0" marR="0" lvl="0" indent="0" algn="l" defTabSz="914400" eaLnBrk="1" fontAlgn="auto" latinLnBrk="0" hangingPunct="1">
            <a:lnSpc>
              <a:spcPct val="100000"/>
            </a:lnSpc>
            <a:spcBef>
              <a:spcPts val="0"/>
            </a:spcBef>
            <a:spcAft>
              <a:spcPts val="0"/>
            </a:spcAft>
            <a:buClrTx/>
            <a:buSzPct val="25000"/>
            <a:buFontTx/>
            <a:buNone/>
            <a:tabLst/>
            <a:defRPr/>
          </a:pPr>
          <a:r>
            <a:rPr lang="en-US" sz="1200" b="0">
              <a:solidFill>
                <a:schemeClr val="dk1"/>
              </a:solidFill>
              <a:latin typeface="+mn-lt"/>
              <a:ea typeface="Calibri"/>
              <a:cs typeface="Calibri"/>
              <a:sym typeface="Calibri"/>
            </a:rPr>
            <a:t>5. </a:t>
          </a:r>
          <a:r>
            <a:rPr lang="en-GB" sz="1200" b="1" i="0">
              <a:solidFill>
                <a:sysClr val="windowText" lastClr="000000"/>
              </a:solidFill>
              <a:effectLst/>
              <a:latin typeface="+mn-lt"/>
              <a:ea typeface="+mn-ea"/>
              <a:cs typeface="+mn-cs"/>
              <a:sym typeface="Calibri"/>
            </a:rPr>
            <a:t>International Shipments:</a:t>
          </a:r>
          <a:r>
            <a:rPr lang="en-GB" sz="1200" b="0" i="0" baseline="0">
              <a:solidFill>
                <a:sysClr val="windowText" lastClr="000000"/>
              </a:solidFill>
              <a:effectLst/>
              <a:latin typeface="+mn-lt"/>
              <a:ea typeface="+mn-ea"/>
              <a:cs typeface="+mn-cs"/>
              <a:sym typeface="Calibri"/>
            </a:rPr>
            <a:t> </a:t>
          </a:r>
          <a:r>
            <a:rPr lang="en-GB" sz="1200" b="0" i="0">
              <a:effectLst/>
              <a:latin typeface="+mn-lt"/>
              <a:ea typeface="+mn-ea"/>
              <a:cs typeface="+mn-cs"/>
            </a:rPr>
            <a:t>Kilter is not responsible for any additional customs charges or fees once your package has left our manufacturer. Customs charges and fees are the sole responsibility of the purchaser. If you are unfamiliar with customs fees and charges, please speak to your local distributor or postal/customs office for more information.</a:t>
          </a:r>
        </a:p>
        <a:p>
          <a:pPr marL="0" marR="0" lvl="0" indent="0" algn="l" defTabSz="914400" eaLnBrk="1" fontAlgn="auto" latinLnBrk="0" hangingPunct="1">
            <a:lnSpc>
              <a:spcPct val="100000"/>
            </a:lnSpc>
            <a:spcBef>
              <a:spcPts val="0"/>
            </a:spcBef>
            <a:spcAft>
              <a:spcPts val="0"/>
            </a:spcAft>
            <a:buClrTx/>
            <a:buSzPct val="25000"/>
            <a:buFontTx/>
            <a:buNone/>
            <a:tabLst/>
            <a:defRPr/>
          </a:pPr>
          <a:endParaRPr lang="en-GB" sz="1200" b="0" i="0">
            <a:solidFill>
              <a:schemeClr val="dk1"/>
            </a:solidFill>
            <a:effectLst/>
            <a:latin typeface="+mn-lt"/>
            <a:ea typeface="+mn-ea"/>
            <a:cs typeface="+mn-cs"/>
            <a:sym typeface="Calibri"/>
          </a:endParaRPr>
        </a:p>
        <a:p>
          <a:pPr marL="0" marR="0" lvl="0" indent="0" algn="l" defTabSz="914400" eaLnBrk="1" fontAlgn="auto" latinLnBrk="0" hangingPunct="1">
            <a:lnSpc>
              <a:spcPct val="100000"/>
            </a:lnSpc>
            <a:spcBef>
              <a:spcPts val="0"/>
            </a:spcBef>
            <a:spcAft>
              <a:spcPts val="0"/>
            </a:spcAft>
            <a:buClrTx/>
            <a:buSzPct val="25000"/>
            <a:buFontTx/>
            <a:buNone/>
            <a:tabLst/>
            <a:defRPr/>
          </a:pPr>
          <a:r>
            <a:rPr lang="en-GB" sz="1200" b="0" i="0">
              <a:solidFill>
                <a:schemeClr val="dk1"/>
              </a:solidFill>
              <a:effectLst/>
              <a:latin typeface="+mn-lt"/>
              <a:ea typeface="+mn-ea"/>
              <a:cs typeface="+mn-cs"/>
              <a:sym typeface="Calibri"/>
            </a:rPr>
            <a:t>6. </a:t>
          </a:r>
          <a:r>
            <a:rPr lang="en-GB" sz="1200" b="1" i="0">
              <a:solidFill>
                <a:schemeClr val="dk1"/>
              </a:solidFill>
              <a:effectLst/>
              <a:latin typeface="+mn-lt"/>
              <a:ea typeface="+mn-ea"/>
              <a:cs typeface="+mn-cs"/>
              <a:sym typeface="Calibri"/>
            </a:rPr>
            <a:t>From Composite-X to US/Canada</a:t>
          </a:r>
          <a:r>
            <a:rPr lang="en-GB" sz="1200" b="1" i="0" baseline="0">
              <a:solidFill>
                <a:schemeClr val="dk1"/>
              </a:solidFill>
              <a:effectLst/>
              <a:latin typeface="+mn-lt"/>
              <a:ea typeface="+mn-ea"/>
              <a:cs typeface="+mn-cs"/>
              <a:sym typeface="Calibri"/>
            </a:rPr>
            <a:t> Direct To You</a:t>
          </a:r>
          <a:r>
            <a:rPr lang="en-GB" sz="1200" b="1" i="0">
              <a:solidFill>
                <a:schemeClr val="dk1"/>
              </a:solidFill>
              <a:effectLst/>
              <a:latin typeface="+mn-lt"/>
              <a:ea typeface="+mn-ea"/>
              <a:cs typeface="+mn-cs"/>
              <a:sym typeface="Calibri"/>
            </a:rPr>
            <a:t>: </a:t>
          </a:r>
          <a:r>
            <a:rPr lang="en-GB" sz="1200" b="0" i="0">
              <a:solidFill>
                <a:schemeClr val="dk1"/>
              </a:solidFill>
              <a:effectLst/>
              <a:latin typeface="+mn-lt"/>
              <a:ea typeface="+mn-ea"/>
              <a:cs typeface="+mn-cs"/>
              <a:sym typeface="Calibri"/>
            </a:rPr>
            <a:t>For</a:t>
          </a:r>
          <a:r>
            <a:rPr lang="en-GB" sz="1200" b="0" i="0" baseline="0">
              <a:solidFill>
                <a:schemeClr val="dk1"/>
              </a:solidFill>
              <a:effectLst/>
              <a:latin typeface="+mn-lt"/>
              <a:ea typeface="+mn-ea"/>
              <a:cs typeface="+mn-cs"/>
              <a:sym typeface="Calibri"/>
            </a:rPr>
            <a:t> </a:t>
          </a:r>
          <a:r>
            <a:rPr lang="en-GB" sz="1200" b="0" i="0">
              <a:solidFill>
                <a:schemeClr val="dk1"/>
              </a:solidFill>
              <a:effectLst/>
              <a:latin typeface="+mn-lt"/>
              <a:ea typeface="+mn-ea"/>
              <a:cs typeface="+mn-cs"/>
              <a:sym typeface="Calibri"/>
            </a:rPr>
            <a:t>Kilter</a:t>
          </a:r>
          <a:r>
            <a:rPr lang="en-GB" sz="1200" b="0" i="0" baseline="0">
              <a:solidFill>
                <a:schemeClr val="dk1"/>
              </a:solidFill>
              <a:effectLst/>
              <a:latin typeface="+mn-lt"/>
              <a:ea typeface="+mn-ea"/>
              <a:cs typeface="+mn-cs"/>
              <a:sym typeface="Calibri"/>
            </a:rPr>
            <a:t> sets produced in Europe the ship cost direct to you can be estimated using $100 flat fee + $1.8/lb of holds (this covers holds and packaging). This price includes customs fees so you should not have any additional charges. Turnaround time is similar to Aragon orders for direct shipments from Composite-X to you.</a:t>
          </a:r>
        </a:p>
        <a:p>
          <a:pPr marL="0" marR="0" lvl="0" indent="0" algn="l" defTabSz="914400" eaLnBrk="1" fontAlgn="auto" latinLnBrk="0" hangingPunct="1">
            <a:lnSpc>
              <a:spcPct val="100000"/>
            </a:lnSpc>
            <a:spcBef>
              <a:spcPts val="0"/>
            </a:spcBef>
            <a:spcAft>
              <a:spcPts val="0"/>
            </a:spcAft>
            <a:buClrTx/>
            <a:buSzPct val="25000"/>
            <a:buFontTx/>
            <a:buNone/>
            <a:tabLst/>
            <a:defRPr/>
          </a:pPr>
          <a:endParaRPr lang="en-GB" sz="1200" b="0" i="0" baseline="0">
            <a:solidFill>
              <a:schemeClr val="dk1"/>
            </a:solidFill>
            <a:effectLst/>
            <a:latin typeface="+mn-lt"/>
            <a:ea typeface="+mn-ea"/>
            <a:cs typeface="+mn-cs"/>
            <a:sym typeface="Calibri"/>
          </a:endParaRPr>
        </a:p>
        <a:p>
          <a:pPr marL="0" marR="0" lvl="0" indent="0" algn="l" defTabSz="914400" eaLnBrk="1" fontAlgn="auto" latinLnBrk="0" hangingPunct="1">
            <a:lnSpc>
              <a:spcPct val="100000"/>
            </a:lnSpc>
            <a:spcBef>
              <a:spcPts val="0"/>
            </a:spcBef>
            <a:spcAft>
              <a:spcPts val="0"/>
            </a:spcAft>
            <a:buClrTx/>
            <a:buSzPct val="25000"/>
            <a:buFontTx/>
            <a:buNone/>
            <a:tabLst/>
            <a:defRPr/>
          </a:pPr>
          <a:r>
            <a:rPr lang="en-GB" sz="1200" b="0" i="0" baseline="0">
              <a:solidFill>
                <a:schemeClr val="dk1"/>
              </a:solidFill>
              <a:effectLst/>
              <a:latin typeface="+mn-lt"/>
              <a:ea typeface="+mn-ea"/>
              <a:cs typeface="+mn-cs"/>
              <a:sym typeface="Calibri"/>
            </a:rPr>
            <a:t>7. </a:t>
          </a:r>
          <a:r>
            <a:rPr lang="en-GB" sz="1200" b="1" i="0" baseline="0">
              <a:solidFill>
                <a:schemeClr val="dk1"/>
              </a:solidFill>
              <a:effectLst/>
              <a:latin typeface="+mn-lt"/>
              <a:ea typeface="+mn-ea"/>
              <a:cs typeface="+mn-cs"/>
              <a:sym typeface="Calibri"/>
            </a:rPr>
            <a:t>From Composite-X to US/Canada As Part of a Group Order (ships to us first):</a:t>
          </a:r>
          <a:r>
            <a:rPr lang="en-GB" sz="1200" b="0" i="0" baseline="0">
              <a:solidFill>
                <a:schemeClr val="dk1"/>
              </a:solidFill>
              <a:effectLst/>
              <a:latin typeface="+mn-lt"/>
              <a:ea typeface="+mn-ea"/>
              <a:cs typeface="+mn-cs"/>
              <a:sym typeface="Calibri"/>
            </a:rPr>
            <a:t> If you only have a few sets it's cheaper to have them sent to us as part of a group order then have us send them to you BUT it will take a while longer. Call us to find out when our next group order is scheduled and that'll give you a better idea if it fits your timeline before you confirm the order.</a:t>
          </a:r>
          <a:endParaRPr lang="en-US" sz="1200" b="0">
            <a:solidFill>
              <a:schemeClr val="dk1"/>
            </a:solidFill>
            <a:latin typeface="+mn-lt"/>
            <a:ea typeface="Calibri"/>
            <a:cs typeface="Calibri"/>
            <a:sym typeface="Calibri"/>
          </a:endParaRPr>
        </a:p>
        <a:p>
          <a:pPr lvl="0" indent="0" algn="l">
            <a:spcBef>
              <a:spcPts val="0"/>
            </a:spcBef>
            <a:buSzPct val="25000"/>
            <a:buNone/>
          </a:pPr>
          <a:endParaRPr lang="en-US" sz="1200" b="0">
            <a:solidFill>
              <a:schemeClr val="dk1"/>
            </a:solidFill>
            <a:latin typeface="Calibri"/>
            <a:ea typeface="Calibri"/>
            <a:cs typeface="Calibri"/>
            <a:sym typeface="Calibri"/>
          </a:endParaRPr>
        </a:p>
        <a:p>
          <a:pPr lvl="0" indent="0" algn="l">
            <a:spcBef>
              <a:spcPts val="0"/>
            </a:spcBef>
            <a:buSzPct val="25000"/>
            <a:buNone/>
          </a:pPr>
          <a:r>
            <a:rPr lang="en-US" sz="1200" b="0">
              <a:solidFill>
                <a:schemeClr val="dk1"/>
              </a:solidFill>
              <a:latin typeface="Calibri"/>
              <a:ea typeface="Calibri"/>
              <a:cs typeface="Calibri"/>
              <a:sym typeface="Calibri"/>
            </a:rPr>
            <a:t>8. </a:t>
          </a:r>
          <a:r>
            <a:rPr lang="en-US" sz="1200" b="1">
              <a:solidFill>
                <a:schemeClr val="dk1"/>
              </a:solidFill>
              <a:latin typeface="Calibri"/>
              <a:ea typeface="Calibri"/>
              <a:cs typeface="Calibri"/>
              <a:sym typeface="Calibri"/>
            </a:rPr>
            <a:t>Coshipping Setter Closet Brands: </a:t>
          </a:r>
          <a:r>
            <a:rPr lang="en-US" sz="1200" b="0">
              <a:solidFill>
                <a:schemeClr val="dk1"/>
              </a:solidFill>
              <a:latin typeface="Calibri"/>
              <a:ea typeface="Calibri"/>
              <a:cs typeface="Calibri"/>
              <a:sym typeface="Calibri"/>
            </a:rPr>
            <a:t>Kilter, UP,</a:t>
          </a:r>
          <a:r>
            <a:rPr lang="en-US" sz="1200" b="0" baseline="0">
              <a:solidFill>
                <a:schemeClr val="dk1"/>
              </a:solidFill>
              <a:latin typeface="Calibri"/>
              <a:ea typeface="Calibri"/>
              <a:cs typeface="Calibri"/>
              <a:sym typeface="Calibri"/>
            </a:rPr>
            <a:t> Haptic and F-Bloc can coship from the US or Europe Production Facilities to anywhere in the world. </a:t>
          </a:r>
        </a:p>
        <a:p>
          <a:pPr lvl="0" indent="0" algn="l">
            <a:spcBef>
              <a:spcPts val="0"/>
            </a:spcBef>
            <a:buSzPct val="25000"/>
            <a:buNone/>
          </a:pPr>
          <a:endParaRPr lang="en-US" sz="1200" b="0" baseline="0">
            <a:solidFill>
              <a:schemeClr val="dk1"/>
            </a:solidFill>
            <a:latin typeface="Calibri"/>
            <a:ea typeface="Calibri"/>
            <a:cs typeface="Calibri"/>
            <a:sym typeface="Calibri"/>
          </a:endParaRPr>
        </a:p>
        <a:p>
          <a:pPr lvl="0" indent="0" algn="l">
            <a:spcBef>
              <a:spcPts val="0"/>
            </a:spcBef>
            <a:buSzPct val="25000"/>
            <a:buNone/>
          </a:pPr>
          <a:r>
            <a:rPr lang="en-US" sz="1200" b="0" baseline="0">
              <a:solidFill>
                <a:schemeClr val="dk1"/>
              </a:solidFill>
              <a:latin typeface="Calibri"/>
              <a:ea typeface="Calibri"/>
              <a:cs typeface="Calibri"/>
              <a:sym typeface="Calibri"/>
            </a:rPr>
            <a:t>9. </a:t>
          </a:r>
          <a:r>
            <a:rPr lang="en-US" sz="1200" b="1" baseline="0">
              <a:solidFill>
                <a:schemeClr val="dk1"/>
              </a:solidFill>
              <a:latin typeface="Calibri"/>
              <a:ea typeface="Calibri"/>
              <a:cs typeface="Calibri"/>
              <a:sym typeface="Calibri"/>
            </a:rPr>
            <a:t>Coshipping w/other brands:</a:t>
          </a:r>
          <a:r>
            <a:rPr lang="en-US" sz="1200" b="0" baseline="0">
              <a:solidFill>
                <a:schemeClr val="dk1"/>
              </a:solidFill>
              <a:latin typeface="Calibri"/>
              <a:ea typeface="Calibri"/>
              <a:cs typeface="Calibri"/>
              <a:sym typeface="Calibri"/>
            </a:rPr>
            <a:t> If you'd like us to coship with other brands it can be done on a case-by-case basis if the other brand also agrees. Sometimes we can accept shipments to Aragon from smaller brands and have them palleted or shipped Internationally with your order from us. Call or email us with requests.</a:t>
          </a:r>
        </a:p>
        <a:p>
          <a:pPr lvl="0" indent="0" algn="l">
            <a:spcBef>
              <a:spcPts val="0"/>
            </a:spcBef>
            <a:buSzPct val="25000"/>
            <a:buNone/>
          </a:pPr>
          <a:endParaRPr lang="en-US" sz="1200" b="0" baseline="0">
            <a:solidFill>
              <a:schemeClr val="dk1"/>
            </a:solidFill>
            <a:latin typeface="Calibri"/>
            <a:ea typeface="Calibri"/>
            <a:cs typeface="Calibri"/>
            <a:sym typeface="Calibri"/>
          </a:endParaRPr>
        </a:p>
        <a:p>
          <a:pPr lvl="0" indent="0" algn="l">
            <a:spcBef>
              <a:spcPts val="0"/>
            </a:spcBef>
            <a:buSzPct val="25000"/>
            <a:buNone/>
          </a:pPr>
          <a:r>
            <a:rPr lang="en-US" sz="1200" b="0" baseline="0">
              <a:solidFill>
                <a:schemeClr val="dk1"/>
              </a:solidFill>
              <a:latin typeface="Calibri"/>
              <a:ea typeface="Calibri"/>
              <a:cs typeface="Calibri"/>
              <a:sym typeface="Calibri"/>
            </a:rPr>
            <a:t>10. </a:t>
          </a:r>
          <a:r>
            <a:rPr lang="en-US" sz="1200" b="1" baseline="0">
              <a:solidFill>
                <a:schemeClr val="dk1"/>
              </a:solidFill>
              <a:latin typeface="Calibri"/>
              <a:ea typeface="Calibri"/>
              <a:cs typeface="Calibri"/>
              <a:sym typeface="Calibri"/>
            </a:rPr>
            <a:t>Walltopia Customers:</a:t>
          </a:r>
          <a:r>
            <a:rPr lang="en-US" sz="1200" b="0" baseline="0">
              <a:solidFill>
                <a:schemeClr val="dk1"/>
              </a:solidFill>
              <a:latin typeface="Calibri"/>
              <a:ea typeface="Calibri"/>
              <a:cs typeface="Calibri"/>
              <a:sym typeface="Calibri"/>
            </a:rPr>
            <a:t> If you are buying a new Walltopia wall and want holds shipped in your container with your wall you must order them through Holdtopia USA. They should have all the same holds available from Composite-X as we have available from Composite-X. These holds are subject to Walltopia/Holdtopia's discount structure and are not included in our normal discount structure. We are happy to quote you so you can see if it's a better deal to ship free with your wall or ship separately through us at our discount rate.</a:t>
          </a:r>
        </a:p>
        <a:p>
          <a:pPr lvl="0" indent="0" algn="l">
            <a:spcBef>
              <a:spcPts val="0"/>
            </a:spcBef>
            <a:buSzPct val="25000"/>
            <a:buNone/>
          </a:pPr>
          <a:endParaRPr lang="en-US" sz="1200" b="0" baseline="0">
            <a:solidFill>
              <a:schemeClr val="dk1"/>
            </a:solidFill>
            <a:latin typeface="Calibri"/>
            <a:ea typeface="Calibri"/>
            <a:cs typeface="Calibri"/>
            <a:sym typeface="Calibri"/>
          </a:endParaRPr>
        </a:p>
        <a:p>
          <a:pPr lvl="0" indent="0" algn="l">
            <a:spcBef>
              <a:spcPts val="0"/>
            </a:spcBef>
            <a:buSzPct val="25000"/>
            <a:buNone/>
          </a:pPr>
          <a:r>
            <a:rPr lang="en-US" sz="1200" b="0" baseline="0">
              <a:solidFill>
                <a:schemeClr val="dk1"/>
              </a:solidFill>
              <a:latin typeface="Calibri"/>
              <a:ea typeface="Calibri"/>
              <a:cs typeface="Calibri"/>
              <a:sym typeface="Calibri"/>
            </a:rPr>
            <a:t>11. </a:t>
          </a:r>
          <a:r>
            <a:rPr lang="en-US" sz="1200" b="1" baseline="0">
              <a:solidFill>
                <a:schemeClr val="dk1"/>
              </a:solidFill>
              <a:latin typeface="Calibri"/>
              <a:ea typeface="Calibri"/>
              <a:cs typeface="Calibri"/>
              <a:sym typeface="Calibri"/>
            </a:rPr>
            <a:t>Kilter Board </a:t>
          </a:r>
          <a:r>
            <a:rPr lang="en-US" sz="1200" b="0" baseline="0">
              <a:solidFill>
                <a:schemeClr val="dk1"/>
              </a:solidFill>
              <a:latin typeface="Calibri"/>
              <a:ea typeface="Calibri"/>
              <a:cs typeface="Calibri"/>
              <a:sym typeface="Calibri"/>
            </a:rPr>
            <a:t>holds and lights can be coshipped from Aragon with your other holds or shipped separately.</a:t>
          </a:r>
          <a:endParaRPr lang="en-US" sz="1200" b="0">
            <a:solidFill>
              <a:schemeClr val="dk1"/>
            </a:solidFill>
            <a:latin typeface="Calibri"/>
            <a:ea typeface="Calibri"/>
            <a:cs typeface="Calibri"/>
            <a:sym typeface="Calibri"/>
          </a:endParaRPr>
        </a:p>
      </xdr:txBody>
    </xdr:sp>
    <xdr:clientData fLocksWithSheet="0"/>
  </xdr:twoCellAnchor>
  <xdr:twoCellAnchor>
    <xdr:from>
      <xdr:col>0</xdr:col>
      <xdr:colOff>38100</xdr:colOff>
      <xdr:row>3</xdr:row>
      <xdr:rowOff>1</xdr:rowOff>
    </xdr:from>
    <xdr:to>
      <xdr:col>5</xdr:col>
      <xdr:colOff>85725</xdr:colOff>
      <xdr:row>29</xdr:row>
      <xdr:rowOff>133350</xdr:rowOff>
    </xdr:to>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38100" y="933451"/>
          <a:ext cx="8315325" cy="43148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1"/>
            <a:t>Order Form Directions</a:t>
          </a:r>
        </a:p>
        <a:p>
          <a:endParaRPr lang="en-US" sz="1100" b="1" baseline="0"/>
        </a:p>
        <a:p>
          <a:r>
            <a:rPr lang="en-US" sz="1100" b="1" baseline="0"/>
            <a:t>1) Enter shipping and billing addresses on at least one hold sheet</a:t>
          </a:r>
        </a:p>
        <a:p>
          <a:r>
            <a:rPr lang="en-US" sz="1100" b="1" baseline="0"/>
            <a:t>2) Confirm color codes on hold sheet with color options below</a:t>
          </a:r>
        </a:p>
        <a:p>
          <a:r>
            <a:rPr lang="en-US" sz="1100" b="1" baseline="0"/>
            <a:t>	a) Color codes vary between Aragon and Composite X, see below</a:t>
          </a:r>
        </a:p>
        <a:p>
          <a:r>
            <a:rPr lang="en-US" sz="1100" b="1" baseline="0"/>
            <a:t>	b) A Setter Closet sales rep can assist with color selections</a:t>
          </a:r>
        </a:p>
        <a:p>
          <a:r>
            <a:rPr lang="en-US" sz="1100" b="1" baseline="0"/>
            <a:t>3) Hardware</a:t>
          </a:r>
        </a:p>
        <a:p>
          <a:r>
            <a:rPr lang="en-US" sz="1100" b="1" baseline="0"/>
            <a:t>	a) Bolt and screw lists calculate on "Bolts" sheet with your order</a:t>
          </a:r>
        </a:p>
        <a:p>
          <a:r>
            <a:rPr lang="en-US" sz="1100" b="1" baseline="0"/>
            <a:t>	b) Extra bolts and screws can be ordered, use "Additional Bolts" line at the bottom of the "Bolts" sheet</a:t>
          </a:r>
        </a:p>
        <a:p>
          <a:r>
            <a:rPr lang="en-US" sz="1100" b="1" baseline="0"/>
            <a:t>	c) Select "Yes" at top of each hold sheet if bolts are requested; otherwise, no bolts will be sent or billed</a:t>
          </a:r>
        </a:p>
        <a:p>
          <a:r>
            <a:rPr lang="en-US" sz="1100" b="1" baseline="0"/>
            <a:t>4) Shipping/Handling</a:t>
          </a:r>
        </a:p>
        <a:p>
          <a:r>
            <a:rPr lang="en-US" sz="1100" b="1" baseline="0"/>
            <a:t>	a) Aragon orders require ship quotes to be calculated per order through a Setter Closet sales rep</a:t>
          </a:r>
        </a:p>
        <a:p>
          <a:r>
            <a:rPr lang="en-US" sz="1100" b="1" baseline="0"/>
            <a:t>	b) Composite X orders can ship anywhere in the US or Canada, shipping is calculated automatically</a:t>
          </a:r>
        </a:p>
        <a:p>
          <a:r>
            <a:rPr lang="en-US" sz="1100" b="1" baseline="0"/>
            <a:t>	c) Handling charges are assessed by all manufacturers for materials and labor to prepare your orders, charges are calculated 	automatically</a:t>
          </a:r>
        </a:p>
        <a:p>
          <a:r>
            <a:rPr lang="en-US" sz="1100" b="1" baseline="0"/>
            <a:t>5) Summary</a:t>
          </a:r>
        </a:p>
        <a:p>
          <a:r>
            <a:rPr lang="en-US" sz="1100" b="1" baseline="0"/>
            <a:t>	a) The "Summary" sheet can be used to guide or check your current orders for adequate distribution</a:t>
          </a:r>
        </a:p>
        <a:p>
          <a:r>
            <a:rPr lang="en-US" sz="1100" b="1" baseline="0"/>
            <a:t>	b) Hold types, difficulty, texture, and size all calculate per color</a:t>
          </a:r>
        </a:p>
        <a:p>
          <a:r>
            <a:rPr lang="en-US" sz="1100" b="1" baseline="0"/>
            <a:t>6) Financial</a:t>
          </a:r>
        </a:p>
        <a:p>
          <a:r>
            <a:rPr lang="en-US" sz="1100" b="1" baseline="0"/>
            <a:t>	a) A brief order calculation is included at the top of this "Cover Page" for your review</a:t>
          </a:r>
        </a:p>
        <a:p>
          <a:r>
            <a:rPr lang="en-US" sz="1100" b="1" baseline="0"/>
            <a:t>	b) Hold, hardware, color charge, and shipping/handling totals are included</a:t>
          </a:r>
        </a:p>
        <a:p>
          <a:r>
            <a:rPr lang="en-US" sz="1100" b="1" baseline="0"/>
            <a:t>	c) Basic cost per hold analysis is included</a:t>
          </a:r>
        </a:p>
        <a:p>
          <a:r>
            <a:rPr lang="en-US" sz="1100" b="1" baseline="0"/>
            <a:t>	d) Setter Closet will only charge sales tax for orders in Colorado (customer or pickup location), consult a CPA for sales/use 	tax information on out-of-state orders	</a:t>
          </a:r>
        </a:p>
        <a:p>
          <a:endParaRPr lang="en-US" sz="1100" b="1" baseline="0"/>
        </a:p>
        <a:p>
          <a:endParaRPr lang="en-US" sz="1100" b="0" baseline="0"/>
        </a:p>
      </xdr:txBody>
    </xdr:sp>
    <xdr:clientData/>
  </xdr:twoCellAnchor>
  <xdr:twoCellAnchor editAs="oneCell">
    <xdr:from>
      <xdr:col>8</xdr:col>
      <xdr:colOff>12700</xdr:colOff>
      <xdr:row>0</xdr:row>
      <xdr:rowOff>342900</xdr:rowOff>
    </xdr:from>
    <xdr:to>
      <xdr:col>9</xdr:col>
      <xdr:colOff>596900</xdr:colOff>
      <xdr:row>8</xdr:row>
      <xdr:rowOff>63500</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4"/>
        <a:stretch>
          <a:fillRect/>
        </a:stretch>
      </xdr:blipFill>
      <xdr:spPr>
        <a:xfrm>
          <a:off x="11239500" y="342900"/>
          <a:ext cx="1422400" cy="1422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14</xdr:col>
      <xdr:colOff>76200</xdr:colOff>
      <xdr:row>2</xdr:row>
      <xdr:rowOff>38100</xdr:rowOff>
    </xdr:from>
    <xdr:ext cx="8743950" cy="6496050"/>
    <xdr:graphicFrame macro="">
      <xdr:nvGraphicFramePr>
        <xdr:cNvPr id="2" name="Chart 1" title="Chart">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3.xml><?xml version="1.0" encoding="utf-8"?>
<xdr:wsDr xmlns:xdr="http://schemas.openxmlformats.org/drawingml/2006/spreadsheetDrawing" xmlns:a="http://schemas.openxmlformats.org/drawingml/2006/main">
  <xdr:oneCellAnchor>
    <xdr:from>
      <xdr:col>23</xdr:col>
      <xdr:colOff>419100</xdr:colOff>
      <xdr:row>3</xdr:row>
      <xdr:rowOff>28575</xdr:rowOff>
    </xdr:from>
    <xdr:ext cx="1123950" cy="1057275"/>
    <xdr:pic>
      <xdr:nvPicPr>
        <xdr:cNvPr id="2" name="image1.png" descr="kiliter-K-small copy.png" title="Image">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xfrm>
          <a:off x="14909800" y="625475"/>
          <a:ext cx="1123950" cy="1057275"/>
        </a:xfrm>
        <a:prstGeom prst="rect">
          <a:avLst/>
        </a:prstGeom>
        <a:noFill/>
      </xdr:spPr>
    </xdr:pic>
    <xdr:clientData fLocksWithSheet="0"/>
  </xdr:oneCellAnchor>
  <xdr:oneCellAnchor>
    <xdr:from>
      <xdr:col>26</xdr:col>
      <xdr:colOff>133350</xdr:colOff>
      <xdr:row>0</xdr:row>
      <xdr:rowOff>0</xdr:rowOff>
    </xdr:from>
    <xdr:ext cx="1524000" cy="1181100"/>
    <xdr:pic>
      <xdr:nvPicPr>
        <xdr:cNvPr id="5" name="image2.jpg">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2" cstate="print"/>
        <a:stretch>
          <a:fillRect/>
        </a:stretch>
      </xdr:blipFill>
      <xdr:spPr>
        <a:xfrm>
          <a:off x="16516350" y="0"/>
          <a:ext cx="1524000" cy="1181100"/>
        </a:xfrm>
        <a:prstGeom prst="rect">
          <a:avLst/>
        </a:prstGeom>
        <a:noFill/>
      </xdr:spPr>
    </xdr:pic>
    <xdr:clientData fLocksWithSheet="0"/>
  </xdr:oneCellAnchor>
  <xdr:twoCellAnchor editAs="oneCell">
    <xdr:from>
      <xdr:col>26</xdr:col>
      <xdr:colOff>228600</xdr:colOff>
      <xdr:row>4</xdr:row>
      <xdr:rowOff>104775</xdr:rowOff>
    </xdr:from>
    <xdr:to>
      <xdr:col>28</xdr:col>
      <xdr:colOff>168532</xdr:colOff>
      <xdr:row>10</xdr:row>
      <xdr:rowOff>60667</xdr:rowOff>
    </xdr:to>
    <xdr:pic>
      <xdr:nvPicPr>
        <xdr:cNvPr id="8" name="Picture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3"/>
        <a:stretch>
          <a:fillRect/>
        </a:stretch>
      </xdr:blipFill>
      <xdr:spPr>
        <a:xfrm>
          <a:off x="16611600" y="854075"/>
          <a:ext cx="1222632" cy="9083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16</xdr:col>
      <xdr:colOff>428625</xdr:colOff>
      <xdr:row>0</xdr:row>
      <xdr:rowOff>180975</xdr:rowOff>
    </xdr:from>
    <xdr:to>
      <xdr:col>19</xdr:col>
      <xdr:colOff>98425</xdr:colOff>
      <xdr:row>9</xdr:row>
      <xdr:rowOff>53975</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258925" y="180975"/>
          <a:ext cx="1562100" cy="14160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0</xdr:colOff>
          <xdr:row>1161</xdr:row>
          <xdr:rowOff>0</xdr:rowOff>
        </xdr:from>
        <xdr:to>
          <xdr:col>6</xdr:col>
          <xdr:colOff>0</xdr:colOff>
          <xdr:row>1165</xdr:row>
          <xdr:rowOff>0</xdr:rowOff>
        </xdr:to>
        <xdr:sp macro="" textlink="">
          <xdr:nvSpPr>
            <xdr:cNvPr id="11265" name="Button 1" hidden="1">
              <a:extLst>
                <a:ext uri="{63B3BB69-23CF-44E3-9099-C40C66FF867C}">
                  <a14:compatExt spid="_x0000_s11265"/>
                </a:ext>
                <a:ext uri="{FF2B5EF4-FFF2-40B4-BE49-F238E27FC236}">
                  <a16:creationId xmlns:a16="http://schemas.microsoft.com/office/drawing/2014/main" id="{00000000-0008-0000-0500-0000012C0000}"/>
                </a:ext>
              </a:extLst>
            </xdr:cNvPr>
            <xdr:cNvSpPr/>
          </xdr:nvSpPr>
          <xdr:spPr bwMode="auto">
            <a:xfrm>
              <a:off x="0" y="0"/>
              <a:ext cx="0" cy="0"/>
            </a:xfrm>
            <a:prstGeom prst="rect">
              <a:avLst/>
            </a:prstGeom>
            <a:noFill/>
            <a:ln w="9525">
              <a:miter lim="800000"/>
              <a:headEnd/>
              <a:tailEnd/>
            </a:ln>
          </xdr:spPr>
          <xdr:txBody>
            <a:bodyPr vertOverflow="clip" wrap="square" lIns="45720" tIns="32004" rIns="45720" bIns="32004" anchor="ctr" upright="1"/>
            <a:lstStyle/>
            <a:p>
              <a:pPr algn="ctr" rtl="0">
                <a:defRPr sz="1000"/>
              </a:pPr>
              <a:r>
                <a:rPr lang="en-US" sz="1000" b="0" i="0" u="none" strike="noStrike" baseline="0">
                  <a:solidFill>
                    <a:srgbClr val="000000"/>
                  </a:solidFill>
                  <a:latin typeface="Verdana"/>
                  <a:ea typeface="Verdana"/>
                </a:rPr>
                <a:t>Discount Fix</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14</xdr:col>
          <xdr:colOff>1009650</xdr:colOff>
          <xdr:row>9</xdr:row>
          <xdr:rowOff>12700</xdr:rowOff>
        </xdr:from>
        <xdr:to>
          <xdr:col>18</xdr:col>
          <xdr:colOff>0</xdr:colOff>
          <xdr:row>13</xdr:row>
          <xdr:rowOff>152400</xdr:rowOff>
        </xdr:to>
        <xdr:sp macro="" textlink="">
          <xdr:nvSpPr>
            <xdr:cNvPr id="4097" name="Button 1" hidden="1">
              <a:extLst>
                <a:ext uri="{63B3BB69-23CF-44E3-9099-C40C66FF867C}">
                  <a14:compatExt spid="_x0000_s4097"/>
                </a:ext>
                <a:ext uri="{FF2B5EF4-FFF2-40B4-BE49-F238E27FC236}">
                  <a16:creationId xmlns:a16="http://schemas.microsoft.com/office/drawing/2014/main" id="{00000000-0008-0000-0600-000001100000}"/>
                </a:ext>
              </a:extLst>
            </xdr:cNvPr>
            <xdr:cNvSpPr/>
          </xdr:nvSpPr>
          <xdr:spPr bwMode="auto">
            <a:xfrm>
              <a:off x="0" y="0"/>
              <a:ext cx="0" cy="0"/>
            </a:xfrm>
            <a:prstGeom prst="rect">
              <a:avLst/>
            </a:prstGeom>
            <a:noFill/>
            <a:ln w="9525">
              <a:miter lim="800000"/>
              <a:headEnd/>
              <a:tailEnd/>
            </a:ln>
          </xdr:spPr>
          <xdr:txBody>
            <a:bodyPr vertOverflow="clip" wrap="square" lIns="73152" tIns="45720" rIns="73152" bIns="45720" anchor="ctr" upright="1"/>
            <a:lstStyle/>
            <a:p>
              <a:pPr algn="ctr" rtl="0">
                <a:defRPr sz="1000"/>
              </a:pPr>
              <a:r>
                <a:rPr lang="en-US" sz="2000" b="0" i="0" u="none" strike="noStrike" baseline="0">
                  <a:solidFill>
                    <a:srgbClr val="000000"/>
                  </a:solidFill>
                  <a:latin typeface="Verdana"/>
                  <a:ea typeface="Verdana"/>
                </a:rPr>
                <a:t>Paste Values</a:t>
              </a:r>
            </a:p>
            <a:p>
              <a:pPr algn="ctr" rtl="0">
                <a:defRPr sz="1000"/>
              </a:pPr>
              <a:endParaRPr lang="en-US" sz="2000" b="0" i="0" u="none" strike="noStrike" baseline="0">
                <a:solidFill>
                  <a:srgbClr val="000000"/>
                </a:solidFill>
                <a:latin typeface="Verdana"/>
                <a:ea typeface="Verdana"/>
              </a:endParaRP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190500</xdr:colOff>
          <xdr:row>14</xdr:row>
          <xdr:rowOff>76200</xdr:rowOff>
        </xdr:from>
        <xdr:to>
          <xdr:col>6</xdr:col>
          <xdr:colOff>1117600</xdr:colOff>
          <xdr:row>16</xdr:row>
          <xdr:rowOff>146050</xdr:rowOff>
        </xdr:to>
        <xdr:sp macro="" textlink="">
          <xdr:nvSpPr>
            <xdr:cNvPr id="18433" name="Button 1" hidden="1">
              <a:extLst>
                <a:ext uri="{63B3BB69-23CF-44E3-9099-C40C66FF867C}">
                  <a14:compatExt spid="_x0000_s18433"/>
                </a:ext>
                <a:ext uri="{FF2B5EF4-FFF2-40B4-BE49-F238E27FC236}">
                  <a16:creationId xmlns:a16="http://schemas.microsoft.com/office/drawing/2014/main" id="{00000000-0008-0000-0800-000001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cs typeface="Calibri"/>
                </a:rPr>
                <a:t>Build Work Order*</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11</xdr:col>
          <xdr:colOff>1009650</xdr:colOff>
          <xdr:row>9</xdr:row>
          <xdr:rowOff>0</xdr:rowOff>
        </xdr:from>
        <xdr:to>
          <xdr:col>15</xdr:col>
          <xdr:colOff>0</xdr:colOff>
          <xdr:row>13</xdr:row>
          <xdr:rowOff>146050</xdr:rowOff>
        </xdr:to>
        <xdr:sp macro="" textlink="">
          <xdr:nvSpPr>
            <xdr:cNvPr id="8193" name="Button 1" hidden="1">
              <a:extLst>
                <a:ext uri="{63B3BB69-23CF-44E3-9099-C40C66FF867C}">
                  <a14:compatExt spid="_x0000_s8193"/>
                </a:ext>
                <a:ext uri="{FF2B5EF4-FFF2-40B4-BE49-F238E27FC236}">
                  <a16:creationId xmlns:a16="http://schemas.microsoft.com/office/drawing/2014/main" id="{00000000-0008-0000-0900-000001200000}"/>
                </a:ext>
              </a:extLst>
            </xdr:cNvPr>
            <xdr:cNvSpPr/>
          </xdr:nvSpPr>
          <xdr:spPr bwMode="auto">
            <a:xfrm>
              <a:off x="0" y="0"/>
              <a:ext cx="0" cy="0"/>
            </a:xfrm>
            <a:prstGeom prst="rect">
              <a:avLst/>
            </a:prstGeom>
            <a:noFill/>
            <a:ln w="9525">
              <a:miter lim="800000"/>
              <a:headEnd/>
              <a:tailEnd/>
            </a:ln>
          </xdr:spPr>
          <xdr:txBody>
            <a:bodyPr vertOverflow="clip" wrap="square" lIns="73152" tIns="45720" rIns="73152" bIns="45720" anchor="ctr" upright="1"/>
            <a:lstStyle/>
            <a:p>
              <a:pPr algn="ctr" rtl="0">
                <a:defRPr sz="1000"/>
              </a:pPr>
              <a:r>
                <a:rPr lang="en-US" sz="2000" b="0" i="0" u="none" strike="noStrike" baseline="0">
                  <a:solidFill>
                    <a:srgbClr val="000000"/>
                  </a:solidFill>
                  <a:latin typeface="Verdana"/>
                  <a:ea typeface="Verdana"/>
                </a:rPr>
                <a:t>Paste Values</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Users\griff\AppData\Local\Packages\Microsoft.MicrosoftEdge_8wekyb3d8bbwe\TempState\Downloads\Kilter_SalesOrder_flat_file_generator%20(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griff\AppData\Local\Packages\Microsoft.MicrosoftEdge_8wekyb3d8bbwe\TempState\Downloads\Kilter_SalesOrder_flat_file_generator%20(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er Sales Order"/>
      <sheetName val="QBE SO Upload"/>
      <sheetName val="Directions"/>
      <sheetName val="History Of Orders"/>
      <sheetName val="Lists"/>
      <sheetName val="Item Code Revision"/>
      <sheetName val="Color Customer Cases"/>
      <sheetName val="QBe Item"/>
      <sheetName val="Color Chart"/>
      <sheetName val="Hardware"/>
      <sheetName val="Kits"/>
      <sheetName val="Kilter_SalesOrder_flat_file_gen"/>
    </sheetNames>
    <sheetDataSet>
      <sheetData sheetId="0"/>
      <sheetData sheetId="1"/>
      <sheetData sheetId="2">
        <row r="1">
          <cell r="AB1">
            <v>100</v>
          </cell>
        </row>
        <row r="3">
          <cell r="AB3">
            <v>11</v>
          </cell>
        </row>
        <row r="5">
          <cell r="AB5">
            <v>40</v>
          </cell>
        </row>
        <row r="6">
          <cell r="AB6">
            <v>40</v>
          </cell>
        </row>
        <row r="8">
          <cell r="AB8">
            <v>100</v>
          </cell>
        </row>
        <row r="9">
          <cell r="AB9">
            <v>21</v>
          </cell>
        </row>
        <row r="10">
          <cell r="AB10">
            <v>100</v>
          </cell>
        </row>
        <row r="11">
          <cell r="AB11">
            <v>100</v>
          </cell>
        </row>
      </sheetData>
      <sheetData sheetId="3"/>
      <sheetData sheetId="4">
        <row r="3">
          <cell r="A3" t="str">
            <v>Kilter</v>
          </cell>
        </row>
      </sheetData>
      <sheetData sheetId="5"/>
      <sheetData sheetId="6"/>
      <sheetData sheetId="7"/>
      <sheetData sheetId="8"/>
      <sheetData sheetId="9"/>
      <sheetData sheetId="10"/>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er Sales Order"/>
      <sheetName val="QBE SO Upload"/>
      <sheetName val="Directions"/>
      <sheetName val="History Of Orders"/>
      <sheetName val="Lists"/>
      <sheetName val="Item Code Revision"/>
      <sheetName val="Color Customer Cases"/>
      <sheetName val="QBe Item"/>
      <sheetName val="Color Chart"/>
      <sheetName val="Hardware"/>
      <sheetName val="Kits"/>
      <sheetName val="Kilter_SalesOrder_flat_file_gen"/>
    </sheetNames>
    <sheetDataSet>
      <sheetData sheetId="0"/>
      <sheetData sheetId="1"/>
      <sheetData sheetId="2">
        <row r="1">
          <cell r="AB1">
            <v>100</v>
          </cell>
        </row>
        <row r="3">
          <cell r="AB3">
            <v>11</v>
          </cell>
        </row>
        <row r="5">
          <cell r="AB5">
            <v>40</v>
          </cell>
        </row>
        <row r="6">
          <cell r="AB6">
            <v>40</v>
          </cell>
        </row>
        <row r="8">
          <cell r="AB8">
            <v>100</v>
          </cell>
        </row>
        <row r="9">
          <cell r="AB9">
            <v>21</v>
          </cell>
        </row>
        <row r="10">
          <cell r="AB10">
            <v>100</v>
          </cell>
        </row>
        <row r="11">
          <cell r="AB11">
            <v>100</v>
          </cell>
        </row>
      </sheetData>
      <sheetData sheetId="3"/>
      <sheetData sheetId="4">
        <row r="3">
          <cell r="A3" t="str">
            <v>Kilter</v>
          </cell>
        </row>
      </sheetData>
      <sheetData sheetId="5"/>
      <sheetData sheetId="6"/>
      <sheetData sheetId="7"/>
      <sheetData sheetId="8"/>
      <sheetData sheetId="9"/>
      <sheetData sheetId="10"/>
      <sheetData sheetId="11"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3:V1132" totalsRowShown="0" headerRowDxfId="50" dataDxfId="49" tableBorderDxfId="48" headerRowCellStyle="Normal 2" dataCellStyle="Normal 2">
  <tableColumns count="22">
    <tableColumn id="1" xr3:uid="{00000000-0010-0000-0000-000001000000}" name="SKU" dataDxfId="47" totalsRowDxfId="46"/>
    <tableColumn id="18" xr3:uid="{00000000-0010-0000-0000-000012000000}" name="Quantity of Sets" dataDxfId="45" totalsRowDxfId="44" dataCellStyle="Normal 2"/>
    <tableColumn id="3" xr3:uid="{00000000-0010-0000-0000-000003000000}" name="Holds per Set" dataDxfId="43" totalsRowDxfId="42" dataCellStyle="Normal 2"/>
    <tableColumn id="4" xr3:uid="{00000000-0010-0000-0000-000004000000}" name="1.5&quot;" dataDxfId="41" totalsRowDxfId="40" dataCellStyle="Comma"/>
    <tableColumn id="5" xr3:uid="{00000000-0010-0000-0000-000005000000}" name="2&quot;" dataDxfId="39" totalsRowDxfId="38" dataCellStyle="Comma"/>
    <tableColumn id="6" xr3:uid="{00000000-0010-0000-0000-000006000000}" name="2.5&quot;" dataDxfId="37" totalsRowDxfId="36" dataCellStyle="Comma"/>
    <tableColumn id="7" xr3:uid="{00000000-0010-0000-0000-000007000000}" name="3&quot;" dataDxfId="35" totalsRowDxfId="34" dataCellStyle="Comma"/>
    <tableColumn id="8" xr3:uid="{00000000-0010-0000-0000-000008000000}" name="3.5&quot;" dataDxfId="33" totalsRowDxfId="32" dataCellStyle="Comma"/>
    <tableColumn id="9" xr3:uid="{00000000-0010-0000-0000-000009000000}" name="4&quot;" dataDxfId="31" totalsRowDxfId="30" dataCellStyle="Comma"/>
    <tableColumn id="10" xr3:uid="{00000000-0010-0000-0000-00000A000000}" name="4.5&quot;" dataDxfId="29" totalsRowDxfId="28" dataCellStyle="Comma"/>
    <tableColumn id="11" xr3:uid="{00000000-0010-0000-0000-00000B000000}" name="5&quot;" dataDxfId="27" totalsRowDxfId="26" dataCellStyle="Comma"/>
    <tableColumn id="22" xr3:uid="{9C9279BF-9D64-4487-9174-FB3EC99AF5CC}" name="5.5&quot;" dataDxfId="25" totalsRowDxfId="24" dataCellStyle="Comma 2"/>
    <tableColumn id="12" xr3:uid="{00000000-0010-0000-0000-00000C000000}" name="6&quot;" dataDxfId="23" totalsRowDxfId="22" dataCellStyle="Comma"/>
    <tableColumn id="13" xr3:uid="{00000000-0010-0000-0000-00000D000000}" name="6.5&quot;" dataDxfId="21" totalsRowDxfId="20" dataCellStyle="Comma"/>
    <tableColumn id="14" xr3:uid="{00000000-0010-0000-0000-00000E000000}" name="7&quot;" dataDxfId="19" totalsRowDxfId="18" dataCellStyle="Comma"/>
    <tableColumn id="15" xr3:uid="{00000000-0010-0000-0000-00000F000000}" name="8&quot;" dataDxfId="17" totalsRowDxfId="16" dataCellStyle="Comma"/>
    <tableColumn id="16" xr3:uid="{00000000-0010-0000-0000-000010000000}" name="2&quot; T20-WS" dataDxfId="15" totalsRowDxfId="14" dataCellStyle="Comma"/>
    <tableColumn id="20" xr3:uid="{00000000-0010-0000-0000-000014000000}" name="3&quot; T20-WS" dataDxfId="13" totalsRowDxfId="12" dataCellStyle="Comma"/>
    <tableColumn id="2" xr3:uid="{00000000-0010-0000-0000-000002000000}" name="3.5&quot;SDS" dataDxfId="11" totalsRowDxfId="10" dataCellStyle="Comma 2"/>
    <tableColumn id="21" xr3:uid="{EC79F1A4-6784-4D89-88BA-8083686F0516}" name="4&quot;SDS" dataDxfId="9" totalsRowDxfId="8" dataCellStyle="Comma 2">
      <calculatedColumnFormula>IFERROR(1*B4,0)</calculatedColumnFormula>
    </tableColumn>
    <tableColumn id="19" xr3:uid="{E3D21295-134E-43BF-886F-E0B2CC208255}" name="5&quot;SDS" dataDxfId="7" totalsRowDxfId="6" dataCellStyle="Comma 2">
      <calculatedColumnFormula>IFERROR(2*B4,0)</calculatedColumnFormula>
    </tableColumn>
    <tableColumn id="17" xr3:uid="{00000000-0010-0000-0000-000011000000}" name="Added" dataDxfId="5" totalsRowDxfId="4" dataCellStyle="Comma">
      <calculatedColumnFormula>IF(B4&gt;0,"Added"," ")</calculatedColumnFormula>
    </tableColumn>
  </tableColumns>
  <tableStyleInfo name="TableStyleMedium1" showFirstColumn="0" showLastColumn="0" showRowStripes="1" showColumnStripes="0"/>
</table>
</file>

<file path=xl/theme/theme1.xml><?xml version="1.0" encoding="utf-8"?>
<a:theme xmlns:a="http://schemas.openxmlformats.org/drawingml/2006/main" name="Office Theme">
  <a:themeElements>
    <a:clrScheme name="Custom 3">
      <a:dk1>
        <a:sysClr val="windowText" lastClr="000000"/>
      </a:dk1>
      <a:lt1>
        <a:sysClr val="window" lastClr="FFFFFF"/>
      </a:lt1>
      <a:dk2>
        <a:srgbClr val="44546A"/>
      </a:dk2>
      <a:lt2>
        <a:srgbClr val="E7E6E6"/>
      </a:lt2>
      <a:accent1>
        <a:srgbClr val="FFC000"/>
      </a:accent1>
      <a:accent2>
        <a:srgbClr val="FFFF00"/>
      </a:accent2>
      <a:accent3>
        <a:srgbClr val="00B050"/>
      </a:accent3>
      <a:accent4>
        <a:srgbClr val="0070C0"/>
      </a:accent4>
      <a:accent5>
        <a:srgbClr val="7030A0"/>
      </a:accent5>
      <a:accent6>
        <a:srgbClr val="ED66E7"/>
      </a:accent6>
      <a:hlink>
        <a:srgbClr val="000000"/>
      </a:hlink>
      <a:folHlink>
        <a:srgbClr val="7F7F7F"/>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holds@kiltergrips.com" TargetMode="External"/></Relationships>
</file>

<file path=xl/worksheets/_rels/sheet10.xml.rels><?xml version="1.0" encoding="UTF-8" standalone="yes"?>
<Relationships xmlns="http://schemas.openxmlformats.org/package/2006/relationships"><Relationship Id="rId3" Type="http://schemas.openxmlformats.org/officeDocument/2006/relationships/ctrlProp" Target="../ctrlProps/ctrlProp4.xml"/><Relationship Id="rId2" Type="http://schemas.openxmlformats.org/officeDocument/2006/relationships/vmlDrawing" Target="../drawings/vmlDrawing4.vml"/><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17" Type="http://schemas.openxmlformats.org/officeDocument/2006/relationships/hyperlink" Target="https://settercloset.com/products/smooth-tufa-53-center-slopey-jug-kxst053?_pos=1&amp;_sid=66aaad338&amp;_ss=r&amp;variant=30181160026165" TargetMode="External"/><Relationship Id="rId21" Type="http://schemas.openxmlformats.org/officeDocument/2006/relationships/hyperlink" Target="https://settercloset.com/collections/jeremy-ho/products/kilter-europe-jeremy-ho-lo-riders-kaiju-7-8-crescents-kxjh003?variant=14127815622709" TargetMode="External"/><Relationship Id="rId42" Type="http://schemas.openxmlformats.org/officeDocument/2006/relationships/hyperlink" Target="https://settercloset.com/collections/europe/products/kilter-europe-brushed-sandstone-jibs-set-2-kx002?variant=14127244410933" TargetMode="External"/><Relationship Id="rId63" Type="http://schemas.openxmlformats.org/officeDocument/2006/relationships/hyperlink" Target="https://settercloset.com/collections/europe/products/kilter-europe-sandstone-xl-5-jugs-kx044?variant=14126627455029" TargetMode="External"/><Relationship Id="rId84" Type="http://schemas.openxmlformats.org/officeDocument/2006/relationships/hyperlink" Target="https://settercloset.com/collections/europe/products/kilter-europe-granite-teagan-2xl-set-1-mixed-set-kx021?variant=14127590080565" TargetMode="External"/><Relationship Id="rId138" Type="http://schemas.openxmlformats.org/officeDocument/2006/relationships/hyperlink" Target="https://settercloset.com/products/smooth-tufa-22-companion-incut-teagan-knob-kxst022?_pos=1&amp;_sid=4d7052578&amp;_ss=r&amp;variant=28732876619829" TargetMode="External"/><Relationship Id="rId159" Type="http://schemas.openxmlformats.org/officeDocument/2006/relationships/hyperlink" Target="https://settercloset.com/collections/winter/composite-x" TargetMode="External"/><Relationship Id="rId170" Type="http://schemas.openxmlformats.org/officeDocument/2006/relationships/hyperlink" Target="https://settercloset.com/products/smooth-tufa-20-end-incut-teagan-knob-kxst020?variant=28732869017653" TargetMode="External"/><Relationship Id="rId191" Type="http://schemas.openxmlformats.org/officeDocument/2006/relationships/hyperlink" Target="https://settercloset.com/products/fiberglass-kit-20-winter-2xl-8-9-10-complex-rounded-ledges-kwf020?_pos=1&amp;_sid=e5547d90d&amp;_ss=r&amp;variant=32260712661045" TargetMode="External"/><Relationship Id="rId205" Type="http://schemas.openxmlformats.org/officeDocument/2006/relationships/hyperlink" Target="https://settercloset.com/collections/newest-shapes/products/peter-juhl-flo-kaiju-1-3-fins-kxpj004?variant=33418983309365" TargetMode="External"/><Relationship Id="rId226" Type="http://schemas.openxmlformats.org/officeDocument/2006/relationships/hyperlink" Target="https://settercloset.com/products/noah-xl-12-pinches-kx129?variant=40303131099189" TargetMode="External"/><Relationship Id="rId247" Type="http://schemas.openxmlformats.org/officeDocument/2006/relationships/hyperlink" Target="https://settercloset.com/collections/all-grips/products/noah-l6-jugs-kx175?variant=42167720771637" TargetMode="External"/><Relationship Id="rId107" Type="http://schemas.openxmlformats.org/officeDocument/2006/relationships/hyperlink" Target="https://settercloset.com/products/winter-kaiju-1-4-huecos-kx073?variant=30119021346869" TargetMode="External"/><Relationship Id="rId11" Type="http://schemas.openxmlformats.org/officeDocument/2006/relationships/hyperlink" Target="https://settercloset.com/products/smooth-tufa-9-center-y-slopey-kxst009?_pos=11&amp;_sid=d56015731&amp;_ss=r&amp;variant=28732550447157" TargetMode="External"/><Relationship Id="rId32" Type="http://schemas.openxmlformats.org/officeDocument/2006/relationships/hyperlink" Target="https://settercloset.com/collections/europe/products/kilter-europe-brushed-sandstone-medium-1-slopey-edges-kx054?variant=14126773239861" TargetMode="External"/><Relationship Id="rId53" Type="http://schemas.openxmlformats.org/officeDocument/2006/relationships/hyperlink" Target="https://settercloset.com/collections/europe/products/kilter-europe-sandstone-kaiju-4-5-huecos-kx049?variant=14126729887797" TargetMode="External"/><Relationship Id="rId74" Type="http://schemas.openxmlformats.org/officeDocument/2006/relationships/hyperlink" Target="https://settercloset.com/products/kilter-europe-font-jib-plates-large-set-2-kx006?variant=14127251685429" TargetMode="External"/><Relationship Id="rId128" Type="http://schemas.openxmlformats.org/officeDocument/2006/relationships/hyperlink" Target="https://settercloset.com/products/smooth-tufa-35-end-ball-jug-kxst035?variant=28733044064309" TargetMode="External"/><Relationship Id="rId149" Type="http://schemas.openxmlformats.org/officeDocument/2006/relationships/hyperlink" Target="https://settercloset.com/products/noah-fiberglass-kaiju-1-big-rail-pinch-kwf001-1?variant=31528631795765" TargetMode="External"/><Relationship Id="rId5" Type="http://schemas.openxmlformats.org/officeDocument/2006/relationships/hyperlink" Target="https://settercloset.com/products/smooth-tufa-6-center-slopey-kxst006?variant=28732324479029" TargetMode="External"/><Relationship Id="rId95" Type="http://schemas.openxmlformats.org/officeDocument/2006/relationships/hyperlink" Target="https://settercloset.com/collections/europe/products/kilter-europe-noah-xl-2-ledges-kx038?variant=14111430541365" TargetMode="External"/><Relationship Id="rId160" Type="http://schemas.openxmlformats.org/officeDocument/2006/relationships/hyperlink" Target="https://settercloset.com/collections/smooth-tufa" TargetMode="External"/><Relationship Id="rId181" Type="http://schemas.openxmlformats.org/officeDocument/2006/relationships/hyperlink" Target="https://settercloset.com/products/noah-fiberglass-daikaiju-2-fat-lip-rounded-dish-kwf036?_pos=1&amp;_sid=93d6a2ccb&amp;_ss=r&amp;variant=32260763779125" TargetMode="External"/><Relationship Id="rId216" Type="http://schemas.openxmlformats.org/officeDocument/2006/relationships/hyperlink" Target="https://settercloset.com/products/brushed-sandstone-mega-jibs-set-6-slopers-blockers-kx113?_pos=1&amp;_sid=c6b7a2ed0&amp;_ss=r&amp;variant=39538381226037" TargetMode="External"/><Relationship Id="rId237" Type="http://schemas.openxmlformats.org/officeDocument/2006/relationships/hyperlink" Target="https://settercloset.com/products/brushed-sandstone-xs-2-small-slopers-feet-kx124?variant=40748805980213" TargetMode="External"/><Relationship Id="rId22" Type="http://schemas.openxmlformats.org/officeDocument/2006/relationships/hyperlink" Target="https://settercloset.com/collections/jeremy-ho/products/kilter-europe-jeremy-ho-lo-riders-xl-1-crescents-kxjh004?variant=14127822045237" TargetMode="External"/><Relationship Id="rId43" Type="http://schemas.openxmlformats.org/officeDocument/2006/relationships/hyperlink" Target="https://settercloset.com/collections/europe/products/composite-x-brushed-sandstone-l2-plate-slopers-kx084?variant=28738492858421" TargetMode="External"/><Relationship Id="rId64" Type="http://schemas.openxmlformats.org/officeDocument/2006/relationships/hyperlink" Target="https://settercloset.com/collections/europe/products/kilter-europe-sandstone-xl-4-jugs-kx025?variant=14127749627957" TargetMode="External"/><Relationship Id="rId118" Type="http://schemas.openxmlformats.org/officeDocument/2006/relationships/hyperlink" Target="https://settercloset.com/collections/europe/products/smooth-tufa-39-end-slopey-pinch-kxst039?variant=28733091741749" TargetMode="External"/><Relationship Id="rId139" Type="http://schemas.openxmlformats.org/officeDocument/2006/relationships/hyperlink" Target="https://settercloset.com/products/brushed-sandstone-daikaiju-1-hueco-kx095?_pos=1&amp;_sid=dcc330b3b&amp;_ss=r&amp;variant=31458281652277" TargetMode="External"/><Relationship Id="rId85" Type="http://schemas.openxmlformats.org/officeDocument/2006/relationships/hyperlink" Target="https://settercloset.com/collections/europe/products/kilter-europe-granite-teagan-xl-1-pinches-kx020?variant=14127587164213" TargetMode="External"/><Relationship Id="rId150" Type="http://schemas.openxmlformats.org/officeDocument/2006/relationships/hyperlink" Target="https://settercloset.com/products/noah-fiberglass-kaiju-2-big-rail-pinch-kwf001-2?variant=31717411029045" TargetMode="External"/><Relationship Id="rId171" Type="http://schemas.openxmlformats.org/officeDocument/2006/relationships/hyperlink" Target="https://settercloset.com/products/smooth-tufa-29-end-flat-directional-hueco-kxst029?variant=28732984786997" TargetMode="External"/><Relationship Id="rId192" Type="http://schemas.openxmlformats.org/officeDocument/2006/relationships/hyperlink" Target="https://settercloset.com/collections/fiberglass" TargetMode="External"/><Relationship Id="rId206" Type="http://schemas.openxmlformats.org/officeDocument/2006/relationships/hyperlink" Target="https://settercloset.com/products/smooth-tufa-51-end-incut-directional-hueco-kxst051?variant=33426888720437" TargetMode="External"/><Relationship Id="rId227" Type="http://schemas.openxmlformats.org/officeDocument/2006/relationships/hyperlink" Target="https://settercloset.com/products/winter-l2-90-stacks-kx135?variant=40302873280565" TargetMode="External"/><Relationship Id="rId248" Type="http://schemas.openxmlformats.org/officeDocument/2006/relationships/hyperlink" Target="https://settercloset.com/collections/all-grips/products/noah-s6-incut-edges-kx146?variant=42168853692469" TargetMode="External"/><Relationship Id="rId12" Type="http://schemas.openxmlformats.org/officeDocument/2006/relationships/hyperlink" Target="https://settercloset.com/products/smooth-tufa-10-center-incut-directional-kxst010?_pos=4&amp;_sid=d56015731&amp;_ss=r&amp;variant=28732562440245" TargetMode="External"/><Relationship Id="rId33" Type="http://schemas.openxmlformats.org/officeDocument/2006/relationships/hyperlink" Target="https://settercloset.com/collections/europe/products/kilter-europe-brushed-sandstone-jibs-set-10-slopers-kx033?variant=14100773797941" TargetMode="External"/><Relationship Id="rId108" Type="http://schemas.openxmlformats.org/officeDocument/2006/relationships/hyperlink" Target="https://settercloset.com/products/kx094-brushed-sandstone-kaiju-12-14-ribs?_pos=1&amp;_sid=db0d5b8e3&amp;_ss=r&amp;variant=31038585307189" TargetMode="External"/><Relationship Id="rId129" Type="http://schemas.openxmlformats.org/officeDocument/2006/relationships/hyperlink" Target="https://settercloset.com/products/smooth-tufa-47-end-slopey-directional-hueco-kxst047?variant=30181185683509" TargetMode="External"/><Relationship Id="rId54" Type="http://schemas.openxmlformats.org/officeDocument/2006/relationships/hyperlink" Target="https://settercloset.com/collections/europe/products/kilter-europe-sandstone-kaiju-1-2-ledges-kx018?variant=14127540142133" TargetMode="External"/><Relationship Id="rId75" Type="http://schemas.openxmlformats.org/officeDocument/2006/relationships/hyperlink" Target="https://settercloset.com/collections/moses-sandstone/products/kilter-europe-moses-sandstone-xl-1-huecos-kxkd001-1?variant=14140512960565" TargetMode="External"/><Relationship Id="rId96" Type="http://schemas.openxmlformats.org/officeDocument/2006/relationships/hyperlink" Target="https://settercloset.com/collections/europe/products/kilter-europe-noah-xl-1-ledges-kx037?variant=14100789362741" TargetMode="External"/><Relationship Id="rId140" Type="http://schemas.openxmlformats.org/officeDocument/2006/relationships/hyperlink" Target="https://settercloset.com/products/granite-kaiju-4-6-huecos-kx060?_pos=1&amp;_sid=935287a6f&amp;_ss=r&amp;variant=30212724228149" TargetMode="External"/><Relationship Id="rId161" Type="http://schemas.openxmlformats.org/officeDocument/2006/relationships/hyperlink" Target="https://settercloset.com/collections/flo/composite-x" TargetMode="External"/><Relationship Id="rId182" Type="http://schemas.openxmlformats.org/officeDocument/2006/relationships/hyperlink" Target="https://settercloset.com/products/fiberglass-kit-5-wingate-sandstone-kaiju-1-2-slopey-crescent-ledges-kwf005?_pos=1&amp;_sid=34412ad49&amp;_ss=r&amp;variant=32253050159157" TargetMode="External"/><Relationship Id="rId217" Type="http://schemas.openxmlformats.org/officeDocument/2006/relationships/hyperlink" Target="https://settercloset.com/collections/newest-shapes/products/peter-juhl-flo-xs-4-slopey-disc-feet-kxpj009?variant=39538328371253" TargetMode="External"/><Relationship Id="rId6" Type="http://schemas.openxmlformats.org/officeDocument/2006/relationships/hyperlink" Target="https://settercloset.com/products/kilter-europe-peter-juhl-flo-mega-jibs-set-1-casper-huecos-kxpj001?_pos=1&amp;_sid=b61bb2587&amp;_ss=r&amp;variant=29386866556981" TargetMode="External"/><Relationship Id="rId238" Type="http://schemas.openxmlformats.org/officeDocument/2006/relationships/hyperlink" Target="https://settercloset.com/products/brushed-sandstone-l5-pinches-kx130?variant=40748826951733" TargetMode="External"/><Relationship Id="rId23" Type="http://schemas.openxmlformats.org/officeDocument/2006/relationships/hyperlink" Target="https://settercloset.com/collections/jeremy-ho/products/kilter-europe-jeremy-ho-lo-riders-xl-2-crescents-kxjh005?variant=14127828697141" TargetMode="External"/><Relationship Id="rId119" Type="http://schemas.openxmlformats.org/officeDocument/2006/relationships/hyperlink" Target="https://settercloset.com/products/smooth-tufa-18-end-flat-directional-hueco-fat-lobster-claw-kxst018?variant=28732853911605" TargetMode="External"/><Relationship Id="rId44" Type="http://schemas.openxmlformats.org/officeDocument/2006/relationships/hyperlink" Target="https://settercloset.com/collections/europe/products/composite-x-brushed-sandstone-2xl-2-ledges-kx083?variant=28738441248821" TargetMode="External"/><Relationship Id="rId65" Type="http://schemas.openxmlformats.org/officeDocument/2006/relationships/hyperlink" Target="https://settercloset.com/collections/europe/products/kilter-europe-sandstone-xl-2-jugs-kx016?variant=14127537979445" TargetMode="External"/><Relationship Id="rId86" Type="http://schemas.openxmlformats.org/officeDocument/2006/relationships/hyperlink" Target="https://settercloset.com/collections/europe/products/kilter-europe-noah-small-1-incut-ears-kx053?variant=14288293396533" TargetMode="External"/><Relationship Id="rId130" Type="http://schemas.openxmlformats.org/officeDocument/2006/relationships/hyperlink" Target="https://settercloset.com/products/smooth-tufa-46-end-caps-cut-offs-and-mini-domes-kxst046?_pos=1&amp;_sid=b1cbd2af4&amp;_ss=r&amp;variant=28733254369333" TargetMode="External"/><Relationship Id="rId151" Type="http://schemas.openxmlformats.org/officeDocument/2006/relationships/hyperlink" Target="https://settercloset.com/products/noah-fiberglass-kaiju-1-2-big-rail-pinches-kwf001-kit?variant=31717654003765" TargetMode="External"/><Relationship Id="rId172" Type="http://schemas.openxmlformats.org/officeDocument/2006/relationships/hyperlink" Target="https://settercloset.com/products/fiberglass-kit-29-noah-kaiju-13-2xl-9-60-complex-rounded-ledges-kwf029?_pos=1&amp;_sid=71ef7990b&amp;_ss=r&amp;variant=32260734025781" TargetMode="External"/><Relationship Id="rId193" Type="http://schemas.openxmlformats.org/officeDocument/2006/relationships/hyperlink" Target="https://settercloset.com/products/composite-x-peter-juhl-flo-xl-set-1-smooth-horns-kxpj003?_pos=2&amp;_sid=b61bb2587&amp;_ss=r&amp;variant=29410144944181" TargetMode="External"/><Relationship Id="rId207" Type="http://schemas.openxmlformats.org/officeDocument/2006/relationships/hyperlink" Target="https://settercloset.com/products/smooth-tufa-54-end-slopey-incut-fin-kxst054?variant=33426891702325" TargetMode="External"/><Relationship Id="rId228" Type="http://schemas.openxmlformats.org/officeDocument/2006/relationships/hyperlink" Target="https://settercloset.com/products/winter-l3-slopey-stacks-kx136?_pos=1&amp;_sid=6333c109e&amp;_ss=r&amp;variant=40302895530037" TargetMode="External"/><Relationship Id="rId249" Type="http://schemas.openxmlformats.org/officeDocument/2006/relationships/hyperlink" Target="https://settercloset.com/collections/all-grips/products/noah-s5-incut-ears-kx145?variant=42168860737589" TargetMode="External"/><Relationship Id="rId13" Type="http://schemas.openxmlformats.org/officeDocument/2006/relationships/hyperlink" Target="https://settercloset.com/products/smooth-tufa-13-center-slopey-flat-directional-kxst013?_pos=1&amp;_sid=7dea34162&amp;_ss=r&amp;variant=28732593406005" TargetMode="External"/><Relationship Id="rId109" Type="http://schemas.openxmlformats.org/officeDocument/2006/relationships/hyperlink" Target="https://settercloset.com/products/smooth-tufa-16-end-incut-c-hueco-kxst016?variant=28732835823669" TargetMode="External"/><Relationship Id="rId34" Type="http://schemas.openxmlformats.org/officeDocument/2006/relationships/hyperlink" Target="https://settercloset.com/collections/europe/products/kilter-europe-brushed-sandstone-jibs-set-9-rails-kx032?variant=14100757545013" TargetMode="External"/><Relationship Id="rId55" Type="http://schemas.openxmlformats.org/officeDocument/2006/relationships/hyperlink" Target="https://settercloset.com/collections/europe/products/kilter-europe-sandstone-2xl-set-6-mixed-set-kx030?variant=14100459192373" TargetMode="External"/><Relationship Id="rId76" Type="http://schemas.openxmlformats.org/officeDocument/2006/relationships/hyperlink" Target="https://settercloset.com/collections/europe/products/kilter-europe-granite-mega-jibs-set-3-granite-sloper-plates-kx069?variant=14100873609269" TargetMode="External"/><Relationship Id="rId97" Type="http://schemas.openxmlformats.org/officeDocument/2006/relationships/hyperlink" Target="https://settercloset.com/collections/europe/products/kilter-europe-noah-2xl-3-ledges-kx036?variant=14111422185525" TargetMode="External"/><Relationship Id="rId120" Type="http://schemas.openxmlformats.org/officeDocument/2006/relationships/hyperlink" Target="https://settercloset.com/products/smooth-tufa-24-junction-teagan-knob-kxst024?variant=28732914696245" TargetMode="External"/><Relationship Id="rId141" Type="http://schemas.openxmlformats.org/officeDocument/2006/relationships/hyperlink" Target="mailto:holds@kiltergrips.com" TargetMode="External"/><Relationship Id="rId7" Type="http://schemas.openxmlformats.org/officeDocument/2006/relationships/hyperlink" Target="https://settercloset.com/products/kilter-europe-peter-juhl-flo-mega-jibs-set-2-casper-huecos-kxpj002?_pos=3&amp;_sid=b61bb2587&amp;_ss=r&amp;variant=29386900373557" TargetMode="External"/><Relationship Id="rId162" Type="http://schemas.openxmlformats.org/officeDocument/2006/relationships/hyperlink" Target="https://settercloset.com/products/winter-xl-1-90-stacks-kx098?variant=32238921121845" TargetMode="External"/><Relationship Id="rId183" Type="http://schemas.openxmlformats.org/officeDocument/2006/relationships/hyperlink" Target="https://settercloset.com/products/noah-fiberglass-kaiju-8-90-rounded-ledge-kwf018-2?_pos=1&amp;_sid=869a3bd5b&amp;_ss=r&amp;variant=32260705943605" TargetMode="External"/><Relationship Id="rId218" Type="http://schemas.openxmlformats.org/officeDocument/2006/relationships/hyperlink" Target="https://settercloset.com/collections/newest-shapes/products/peter-juhl-flo-xs-3-cobbles-feet-kxpj008?variant=39538304548917" TargetMode="External"/><Relationship Id="rId239" Type="http://schemas.openxmlformats.org/officeDocument/2006/relationships/hyperlink" Target="https://settercloset.com/products/brushed-sandstone-xs-1-crimps-and-edges-kx123?variant=41430716088373" TargetMode="External"/><Relationship Id="rId250" Type="http://schemas.openxmlformats.org/officeDocument/2006/relationships/hyperlink" Target="https://settercloset.com/collections/all-grips/products/noah-xs5-xs-incut-ears-kx140?variant=42168867782709" TargetMode="External"/><Relationship Id="rId24" Type="http://schemas.openxmlformats.org/officeDocument/2006/relationships/hyperlink" Target="https://settercloset.com/collections/jeremy-ho/products/kilter-europe-jeremy-ho-lo-riders-xl-3-pinches-kxjh006?variant=14127836528693" TargetMode="External"/><Relationship Id="rId45" Type="http://schemas.openxmlformats.org/officeDocument/2006/relationships/hyperlink" Target="https://settercloset.com/products/composite-x-brushed-sandstone-xl-4-slopers-kx082?variant=28738479947829" TargetMode="External"/><Relationship Id="rId66" Type="http://schemas.openxmlformats.org/officeDocument/2006/relationships/hyperlink" Target="https://settercloset.com/collections/europe/products/kilter-europe-sandstone-xl-1-fins-kx007?variant=14127266857013" TargetMode="External"/><Relationship Id="rId87" Type="http://schemas.openxmlformats.org/officeDocument/2006/relationships/hyperlink" Target="https://settercloset.com/collections/europe/products/kilter-europe-noah-small-4-slopey-dishes-kx057?variant=13744461414453" TargetMode="External"/><Relationship Id="rId110" Type="http://schemas.openxmlformats.org/officeDocument/2006/relationships/hyperlink" Target="https://settercloset.com/collections/europe/products/smooth-tufa-37-center-y-big-flat-directional-kxst037?variant=28733062250549" TargetMode="External"/><Relationship Id="rId131" Type="http://schemas.openxmlformats.org/officeDocument/2006/relationships/hyperlink" Target="https://settercloset.com/products/smooth-tufa-48-center-slopey-ledge-kxst048?variant=31458673229877" TargetMode="External"/><Relationship Id="rId152" Type="http://schemas.openxmlformats.org/officeDocument/2006/relationships/hyperlink" Target="https://settercloset.com/collections/sandstone/composite-x" TargetMode="External"/><Relationship Id="rId173" Type="http://schemas.openxmlformats.org/officeDocument/2006/relationships/hyperlink" Target="https://settercloset.com/products/fiberglass-kit-45-wingate-sandstone-kaiju-12-2xl4-crescent-sloper-kwf045?_pos=1&amp;_sid=3b40fee0f&amp;_ss=r&amp;variant=32260775772213" TargetMode="External"/><Relationship Id="rId194" Type="http://schemas.openxmlformats.org/officeDocument/2006/relationships/hyperlink" Target="https://settercloset.com/products/smooth-tufa-55-end-slopey-directional-hueco-kxst055?_pos=1&amp;_sid=5982f77e8&amp;_ss=r&amp;variant=31458529509429" TargetMode="External"/><Relationship Id="rId208" Type="http://schemas.openxmlformats.org/officeDocument/2006/relationships/hyperlink" Target="https://settercloset.com/products/smooth-tufa-60-end-incut-directional-hueco-kxst060?variant=33426894225461" TargetMode="External"/><Relationship Id="rId229" Type="http://schemas.openxmlformats.org/officeDocument/2006/relationships/hyperlink" Target="https://settercloset.com/products/smooth-tufa-34-center-jug-kxst034?_pos=1&amp;_sid=88c86eeb4&amp;_ss=r&amp;variant=28733040656437" TargetMode="External"/><Relationship Id="rId240" Type="http://schemas.openxmlformats.org/officeDocument/2006/relationships/hyperlink" Target="https://settercloset.com/products/brushed-sandstone-xs-3-blocky-slopey-edges-and-feet-kx125?variant=41430723002421" TargetMode="External"/><Relationship Id="rId14" Type="http://schemas.openxmlformats.org/officeDocument/2006/relationships/hyperlink" Target="https://settercloset.com/products/smooth-tufa-23-center-big-incut-kxst023?_pos=1&amp;_sid=17809c76e&amp;_ss=r&amp;variant=28732887334965" TargetMode="External"/><Relationship Id="rId35" Type="http://schemas.openxmlformats.org/officeDocument/2006/relationships/hyperlink" Target="https://settercloset.com/collections/europe/products/kilter-europe-brushed-sandstone-jibs-set-8-kx028?variant=14127779577909" TargetMode="External"/><Relationship Id="rId56" Type="http://schemas.openxmlformats.org/officeDocument/2006/relationships/hyperlink" Target="https://settercloset.com/collections/europe/products/kilter-europe-sandstone-2xl-set-5-super-jugs-kx017?variant=38647472961" TargetMode="External"/><Relationship Id="rId77" Type="http://schemas.openxmlformats.org/officeDocument/2006/relationships/hyperlink" Target="https://settercloset.com/collections/europe/products/granite-xl-1-over-jugs-kx058?variant=14127211708469" TargetMode="External"/><Relationship Id="rId100" Type="http://schemas.openxmlformats.org/officeDocument/2006/relationships/hyperlink" Target="https://settercloset.com/collections/europe/products/kilter-europe-noah-xl-9-over-jugs-kx048?variant=14126722056245" TargetMode="External"/><Relationship Id="rId8" Type="http://schemas.openxmlformats.org/officeDocument/2006/relationships/hyperlink" Target="https://settercloset.com/products/smooth-tufa-1-center-slopey-kxst001?_pos=1&amp;_sid=d56015731&amp;_ss=r&amp;variant=28732049391669" TargetMode="External"/><Relationship Id="rId98" Type="http://schemas.openxmlformats.org/officeDocument/2006/relationships/hyperlink" Target="https://settercloset.com/collections/europe/products/kilter-europe-noah-2xl-2-ledges-kx035?variant=14111419269173" TargetMode="External"/><Relationship Id="rId121" Type="http://schemas.openxmlformats.org/officeDocument/2006/relationships/hyperlink" Target="https://settercloset.com/products/smooth-tufa-31-end-slopey-incut-directional-kxst031?variant=28733013393461" TargetMode="External"/><Relationship Id="rId142" Type="http://schemas.openxmlformats.org/officeDocument/2006/relationships/hyperlink" Target="https://settercloset.com/products/stella-granite-large-1-puffy-junction-balls-kxkd002?_pos=1&amp;_sid=8483851bd&amp;_ss=r&amp;variant=14140529737781" TargetMode="External"/><Relationship Id="rId163" Type="http://schemas.openxmlformats.org/officeDocument/2006/relationships/hyperlink" Target="https://settercloset.com/products/winter-xl-2-60-30-stacks-kx100?_pos=1&amp;_sid=9b5976b95&amp;_ss=r&amp;variant=32238848180277" TargetMode="External"/><Relationship Id="rId184" Type="http://schemas.openxmlformats.org/officeDocument/2006/relationships/hyperlink" Target="https://settercloset.com/products/bs-fiberglass-2xl-1-flat-to-slopey-ledges-kwf008?variant=31717680578613" TargetMode="External"/><Relationship Id="rId219" Type="http://schemas.openxmlformats.org/officeDocument/2006/relationships/hyperlink" Target="https://settercloset.com/collections/newest-shapes/products/peter-juhl-flo-xs-2-slash-feet-kxpj007?variant=39538258116661" TargetMode="External"/><Relationship Id="rId230" Type="http://schemas.openxmlformats.org/officeDocument/2006/relationships/hyperlink" Target="https://settercloset.com/products/smooth-tufa-56-end-slopey-directional-hueco-kxst056?_pos=1&amp;_sid=9f8575838&amp;_ss=r&amp;variant=31458556805173" TargetMode="External"/><Relationship Id="rId251" Type="http://schemas.openxmlformats.org/officeDocument/2006/relationships/hyperlink" Target="https://settercloset.com/collections/all-grips/products/noah-xs6-xs-incut-ears-kx141?variant=42168873156661" TargetMode="External"/><Relationship Id="rId25" Type="http://schemas.openxmlformats.org/officeDocument/2006/relationships/hyperlink" Target="https://settercloset.com/collections/jeremy-ho/products/kilter-europe-jeremy-ho-lo-riders-xl-4-pinches-kxjh007?variant=14127843311669" TargetMode="External"/><Relationship Id="rId46" Type="http://schemas.openxmlformats.org/officeDocument/2006/relationships/hyperlink" Target="https://settercloset.com/products/kilter-europe-brushed-sandstone-kaiju-1-2-huecos-kx074?_pos=1&amp;_sid=b285dcdf9&amp;_ss=r&amp;variant=29410462367797" TargetMode="External"/><Relationship Id="rId67" Type="http://schemas.openxmlformats.org/officeDocument/2006/relationships/hyperlink" Target="https://settercloset.com/collections/europe/products/kilter-europe-sandstone-l-3-jugs-kx061?variant=14127218982965" TargetMode="External"/><Relationship Id="rId88" Type="http://schemas.openxmlformats.org/officeDocument/2006/relationships/hyperlink" Target="https://settercloset.com/collections/europe/products/kilter-europe-noah-small-3-incut-ears-kx056?variant=14126788771893" TargetMode="External"/><Relationship Id="rId111" Type="http://schemas.openxmlformats.org/officeDocument/2006/relationships/hyperlink" Target="https://settercloset.com/collections/europe/products/smooth-tufa-17-end-flat-directional-hueco-lobster-claw-kxst017?variant=28732846735413" TargetMode="External"/><Relationship Id="rId132" Type="http://schemas.openxmlformats.org/officeDocument/2006/relationships/hyperlink" Target="https://settercloset.com/products/kxst049-smooth-tufa-center-junctions?_pos=2&amp;_sid=be7d628e3&amp;_ss=r&amp;variant=31039346409525" TargetMode="External"/><Relationship Id="rId153" Type="http://schemas.openxmlformats.org/officeDocument/2006/relationships/hyperlink" Target="https://settercloset.com/collections/all-grips/products/font-volume-corner-stacks-xl-set-1-kx091?variant=32212623196213" TargetMode="External"/><Relationship Id="rId174" Type="http://schemas.openxmlformats.org/officeDocument/2006/relationships/hyperlink" Target="https://settercloset.com/products/flo-fiberglass-daikaiju-1-mega-casper-hueco-kwf013?_pos=1&amp;_sid=729a968c1&amp;_ss=r&amp;variant=32260689068085" TargetMode="External"/><Relationship Id="rId195" Type="http://schemas.openxmlformats.org/officeDocument/2006/relationships/hyperlink" Target="https://settercloset.com/collections/newest-shapes/products/smooth-tufa-52-center-incut-directional-kxst052?variant=33357177356341" TargetMode="External"/><Relationship Id="rId209" Type="http://schemas.openxmlformats.org/officeDocument/2006/relationships/hyperlink" Target="https://settercloset.com/collections/all-grips/products/peter-juhl-rok-xl-set-1-plates-kxpj005?variant=33464840323125" TargetMode="External"/><Relationship Id="rId220" Type="http://schemas.openxmlformats.org/officeDocument/2006/relationships/hyperlink" Target="https://settercloset.com/collections/newest-shapes/products/peter-juhl-flo-xs-1-smooth-horn-feet-kxpj006?variant=39515230502965" TargetMode="External"/><Relationship Id="rId241" Type="http://schemas.openxmlformats.org/officeDocument/2006/relationships/hyperlink" Target="https://settercloset.com/products/brushed-sandstone-small-2-crimps-and-edges-kx121?variant=41938676809781" TargetMode="External"/><Relationship Id="rId15" Type="http://schemas.openxmlformats.org/officeDocument/2006/relationships/hyperlink" Target="https://settercloset.com/products/smooth-tufa-27-center-slopey-incut-directional-kxst027?_pos=6&amp;_sid=17809c76e&amp;_ss=r&amp;variant=28732951625781" TargetMode="External"/><Relationship Id="rId36" Type="http://schemas.openxmlformats.org/officeDocument/2006/relationships/hyperlink" Target="https://settercloset.com/collections/europe/products/kilter-europe-brushed-sandstone-jibs-set-7-kx010?variant=14127287664693" TargetMode="External"/><Relationship Id="rId57" Type="http://schemas.openxmlformats.org/officeDocument/2006/relationships/hyperlink" Target="https://settercloset.com/collections/europe/products/kilter-europe-sandstone-2xl-set-4-jugs-kx014?variant=14127533948981" TargetMode="External"/><Relationship Id="rId78" Type="http://schemas.openxmlformats.org/officeDocument/2006/relationships/hyperlink" Target="https://settercloset.com/collections/europe/products/kilter-europe-granite-mega-jibs-set-1-granite-plates-kx029?variant=38674997889" TargetMode="External"/><Relationship Id="rId99" Type="http://schemas.openxmlformats.org/officeDocument/2006/relationships/hyperlink" Target="https://settercloset.com/collections/europe/products/kilter-europe-noah-2xl-1-rails-kx034?variant=14111412977717" TargetMode="External"/><Relationship Id="rId101" Type="http://schemas.openxmlformats.org/officeDocument/2006/relationships/hyperlink" Target="https://settercloset.com/collections/europe/products/kilter-europe-noah-xl-5-over-jugs-kx043?variant=14126593605685" TargetMode="External"/><Relationship Id="rId122" Type="http://schemas.openxmlformats.org/officeDocument/2006/relationships/hyperlink" Target="https://settercloset.com/products/smooth-tufa-40-end-caps-teagan-kxst040?variant=28733111369781" TargetMode="External"/><Relationship Id="rId143" Type="http://schemas.openxmlformats.org/officeDocument/2006/relationships/hyperlink" Target="https://settercloset.com/products/brushed-sandstone-complex-kaiju-ledges-6-8-kx078-1-3?_pos=1&amp;_sid=9e503c8cc&amp;_ss=r&amp;variant=31646996496437" TargetMode="External"/><Relationship Id="rId164" Type="http://schemas.openxmlformats.org/officeDocument/2006/relationships/hyperlink" Target="https://settercloset.com/products/noah-2xl-5-huecos-kx072?variant=32219858337845" TargetMode="External"/><Relationship Id="rId185" Type="http://schemas.openxmlformats.org/officeDocument/2006/relationships/hyperlink" Target="https://settercloset.com/products/fiberglass-kit-12-wingate-sandstone-kaiju-5-xl-4-6-pinches-kwf012?_pos=1&amp;_sid=eab4661d1&amp;_ss=r&amp;variant=32260682874933" TargetMode="External"/><Relationship Id="rId9" Type="http://schemas.openxmlformats.org/officeDocument/2006/relationships/hyperlink" Target="https://settercloset.com/products/smooth-tufa-3-center-y-slopey-kxst003?_pos=7&amp;_sid=d56015731&amp;_ss=r&amp;variant=28732166111285" TargetMode="External"/><Relationship Id="rId210" Type="http://schemas.openxmlformats.org/officeDocument/2006/relationships/hyperlink" Target="https://settercloset.com/collections/newest-shapes/products/brushed-sandstone-2xl-3-ribs-kx105?variant=39712730578997" TargetMode="External"/><Relationship Id="rId26" Type="http://schemas.openxmlformats.org/officeDocument/2006/relationships/hyperlink" Target="https://settercloset.com/collections/jeremy-ho/products/kilter-europe-jeremy-ho-lo-riders-l-1-crescents-kxjh008?variant=14127849013301" TargetMode="External"/><Relationship Id="rId231" Type="http://schemas.openxmlformats.org/officeDocument/2006/relationships/hyperlink" Target="https://settercloset.com/products/kxst049-smooth-tufa-center-junctions?_pos=1&amp;_sid=c5bc3bc9f&amp;_ss=r&amp;variant=31039346409525" TargetMode="External"/><Relationship Id="rId252" Type="http://schemas.openxmlformats.org/officeDocument/2006/relationships/printerSettings" Target="../printerSettings/printerSettings2.bin"/><Relationship Id="rId47" Type="http://schemas.openxmlformats.org/officeDocument/2006/relationships/hyperlink" Target="https://settercloset.com/products/brushed-sandstone-2xl-1-slopey-and-flat-pinches-kx080?_pos=1&amp;_sid=4f406dfb6&amp;_ss=r&amp;variant=29410548973621" TargetMode="External"/><Relationship Id="rId68" Type="http://schemas.openxmlformats.org/officeDocument/2006/relationships/hyperlink" Target="https://settercloset.com/collections/europe/products/kilter-europe-sandstone-l-2-mini-jugs-and-incuts-kx045?variant=14126686404661" TargetMode="External"/><Relationship Id="rId89" Type="http://schemas.openxmlformats.org/officeDocument/2006/relationships/hyperlink" Target="https://settercloset.com/collections/europe/products/kilter-europe-noah-small-2-incut-ears-kx055?variant=13743824273461" TargetMode="External"/><Relationship Id="rId112" Type="http://schemas.openxmlformats.org/officeDocument/2006/relationships/hyperlink" Target="https://settercloset.com/products/smooth-tufa-7-end-incut-pinch-kxst007?variant=28732380184629" TargetMode="External"/><Relationship Id="rId133" Type="http://schemas.openxmlformats.org/officeDocument/2006/relationships/hyperlink" Target="https://settercloset.com/products/kxst066-smooth-tufa-companion-puffy-jug?_pos=1&amp;_sid=7b6b31ada&amp;_ss=r&amp;variant=31038824808501" TargetMode="External"/><Relationship Id="rId154" Type="http://schemas.openxmlformats.org/officeDocument/2006/relationships/hyperlink" Target="https://settercloset.com/collections/sandstone/composite-x" TargetMode="External"/><Relationship Id="rId175" Type="http://schemas.openxmlformats.org/officeDocument/2006/relationships/hyperlink" Target="https://settercloset.com/products/fiberglass-kit-22-winter-kaiju-1-2-2xl-10-11-20-complex-rounded-ledges-kwf022?_pos=1&amp;_sid=6fe9b9f68&amp;_ss=r&amp;variant=32260721115189" TargetMode="External"/><Relationship Id="rId196" Type="http://schemas.openxmlformats.org/officeDocument/2006/relationships/hyperlink" Target="https://settercloset.com/collections/newest-shapes/products/smooth-tufa-61-end-incut-directional-hueco-kxst061?variant=33357166772277" TargetMode="External"/><Relationship Id="rId200" Type="http://schemas.openxmlformats.org/officeDocument/2006/relationships/hyperlink" Target="https://settercloset.com/collections/newest-shapes/products/brushed-sandstone-complex-2xl-4-blocky-edges-kx107-1?variant=33418963025973" TargetMode="External"/><Relationship Id="rId16" Type="http://schemas.openxmlformats.org/officeDocument/2006/relationships/hyperlink" Target="https://settercloset.com/products/smooth-tufa-28-center-y-slopey-directional-kxst028?_pos=7&amp;_sid=17809c76e&amp;_ss=r&amp;variant=28732966404149" TargetMode="External"/><Relationship Id="rId221" Type="http://schemas.openxmlformats.org/officeDocument/2006/relationships/hyperlink" Target="https://settercloset.com/products/winter-2xl-1-60-30-stacks-kx101-kit?variant=39932969975861" TargetMode="External"/><Relationship Id="rId242" Type="http://schemas.openxmlformats.org/officeDocument/2006/relationships/hyperlink" Target="https://settercloset.com/products/brushed-sandstone-medium-3-mini-jugs-kx120?variant=41943610097717" TargetMode="External"/><Relationship Id="rId37" Type="http://schemas.openxmlformats.org/officeDocument/2006/relationships/hyperlink" Target="https://settercloset.com/collections/europe/products/kilter-europe-brushed-sandstone-jibs-set-6-kx009?variant=14127283339317" TargetMode="External"/><Relationship Id="rId58" Type="http://schemas.openxmlformats.org/officeDocument/2006/relationships/hyperlink" Target="https://settercloset.com/collections/europe/products/kilter-europe-sandstone-2xl-set-3-jugs-kx013?variant=14127321415733" TargetMode="External"/><Relationship Id="rId79" Type="http://schemas.openxmlformats.org/officeDocument/2006/relationships/hyperlink" Target="https://settercloset.com/collections/europe/products/kilter-europe-granite-kaiju-1-3-roof-slopers-kx022?variant=14127731638325" TargetMode="External"/><Relationship Id="rId102" Type="http://schemas.openxmlformats.org/officeDocument/2006/relationships/hyperlink" Target="https://settercloset.com/collections/europe/products/kilter-europe-noah-xl-4-over-jugs-kx042?variant=14126545764405" TargetMode="External"/><Relationship Id="rId123" Type="http://schemas.openxmlformats.org/officeDocument/2006/relationships/hyperlink" Target="https://settercloset.com/products/smooth-tufa-42-end-caps-pointy-badges-and-2-mini-domes-kxst042?variant=28733200203829" TargetMode="External"/><Relationship Id="rId144" Type="http://schemas.openxmlformats.org/officeDocument/2006/relationships/hyperlink" Target="https://settercloset.com/products/brushed-sandstone-kaiju-3-5-complex-stalactites-kx077-1-3?_pos=1&amp;_sid=f269079e0&amp;_ss=r&amp;variant=29410532098101" TargetMode="External"/><Relationship Id="rId90" Type="http://schemas.openxmlformats.org/officeDocument/2006/relationships/hyperlink" Target="https://settercloset.com/collections/europe/products/kilter-europe-noah-xl-7-over-jugs-kx047?variant=14126719238197" TargetMode="External"/><Relationship Id="rId165" Type="http://schemas.openxmlformats.org/officeDocument/2006/relationships/hyperlink" Target="https://settercloset.com/products/sandstone-l4-mixed-edges-kx090?variant=32238928724021" TargetMode="External"/><Relationship Id="rId186" Type="http://schemas.openxmlformats.org/officeDocument/2006/relationships/hyperlink" Target="https://settercloset.com/products/fiberglass-kit-31-wingate-sandstone-kaiju-6-7-slopey-crescent-ledges-kwf031?_pos=1&amp;_sid=e219eec41&amp;_ss=r&amp;variant=32260736188469" TargetMode="External"/><Relationship Id="rId211" Type="http://schemas.openxmlformats.org/officeDocument/2006/relationships/hyperlink" Target="https://settercloset.com/collections/newest-shapes/products/winter-m1-60-30-incuts-and-jib-stacks-kx102-kit?variant=39712697352245" TargetMode="External"/><Relationship Id="rId232" Type="http://schemas.openxmlformats.org/officeDocument/2006/relationships/hyperlink" Target="https://settercloset.com/collections/newest-shapes/products/noah-l4-pinches-kx127?variant=40486363693109" TargetMode="External"/><Relationship Id="rId253" Type="http://schemas.openxmlformats.org/officeDocument/2006/relationships/drawing" Target="../drawings/drawing3.xml"/><Relationship Id="rId27" Type="http://schemas.openxmlformats.org/officeDocument/2006/relationships/hyperlink" Target="https://settercloset.com/collections/jeremy-ho/products/kilter-europe-jeremy-ho-lo-riders-l-2-crescents-kxjh009?variant=14127858548789" TargetMode="External"/><Relationship Id="rId48" Type="http://schemas.openxmlformats.org/officeDocument/2006/relationships/hyperlink" Target="https://settercloset.com/products/brushed-sandstone-xl-2-slopey-and-flat-pinches-kx075?_pos=1&amp;_sid=1704eb51d&amp;_ss=r&amp;variant=29410556182581" TargetMode="External"/><Relationship Id="rId69" Type="http://schemas.openxmlformats.org/officeDocument/2006/relationships/hyperlink" Target="https://settercloset.com/collections/europe/products/kilter-europe-sandstone-l-1-jugs-kx015?variant=13743281995829" TargetMode="External"/><Relationship Id="rId113" Type="http://schemas.openxmlformats.org/officeDocument/2006/relationships/hyperlink" Target="https://settercloset.com/products/smooth-tufa-38-center-slopey-pinch-kxst038?_pos=1&amp;_sid=3dfa89a52&amp;_ss=r&amp;variant=28733076176949" TargetMode="External"/><Relationship Id="rId134" Type="http://schemas.openxmlformats.org/officeDocument/2006/relationships/hyperlink" Target="https://settercloset.com/products/smooth-tufa-41-end-caps-irregular-badges-kxst041?_pos=1&amp;_sid=b1e919663&amp;_ss=r&amp;variant=28733176545333" TargetMode="External"/><Relationship Id="rId80" Type="http://schemas.openxmlformats.org/officeDocument/2006/relationships/hyperlink" Target="https://settercloset.com/collections/europe/products/kilter-europe-granite-2xl-set-1-super-jugs-kx019?variant=14127568093237" TargetMode="External"/><Relationship Id="rId155" Type="http://schemas.openxmlformats.org/officeDocument/2006/relationships/hyperlink" Target="https://settercloset.com/collections/moses-sandstone/composite-x" TargetMode="External"/><Relationship Id="rId176" Type="http://schemas.openxmlformats.org/officeDocument/2006/relationships/hyperlink" Target="https://settercloset.com/products/fiberglass-kit-26-noah-kaiju-9-2xl-7-30-complex-rounded-ledges-kwf026?_pos=1&amp;_sid=b17d40c1b&amp;_ss=r&amp;variant=32260726620213" TargetMode="External"/><Relationship Id="rId197" Type="http://schemas.openxmlformats.org/officeDocument/2006/relationships/hyperlink" Target="https://settercloset.com/collections/newest-shapes/products/brushed-sandstone-l4-incuts-kx103?variant=33353970090037" TargetMode="External"/><Relationship Id="rId201" Type="http://schemas.openxmlformats.org/officeDocument/2006/relationships/hyperlink" Target="https://settercloset.com/collections/newest-shapes/products/brushed-sandstone-mega-jibs-set-7-complex-edges-and-slopers-kx114?variant=33418971611189" TargetMode="External"/><Relationship Id="rId222" Type="http://schemas.openxmlformats.org/officeDocument/2006/relationships/hyperlink" Target="https://settercloset.com/products/winter-2xl-1-60-30-stacks-kx101-1?variant=39932969484341" TargetMode="External"/><Relationship Id="rId243" Type="http://schemas.openxmlformats.org/officeDocument/2006/relationships/hyperlink" Target="https://settercloset.com/products/winter-m2-jugs-kx118?variant=41943656824885" TargetMode="External"/><Relationship Id="rId17" Type="http://schemas.openxmlformats.org/officeDocument/2006/relationships/hyperlink" Target="https://settercloset.com/products/smooth-tufa-30-center-slopey-directional-kxst030?_pos=1&amp;_sid=c8b1e21e2&amp;_ss=r&amp;variant=28733001957429" TargetMode="External"/><Relationship Id="rId38" Type="http://schemas.openxmlformats.org/officeDocument/2006/relationships/hyperlink" Target="https://settercloset.com/collections/europe/products/kilter-europe-brushed-sandstone-jibs-set-5-kx008?variant=14127276130357" TargetMode="External"/><Relationship Id="rId59" Type="http://schemas.openxmlformats.org/officeDocument/2006/relationships/hyperlink" Target="https://settercloset.com/collections/europe/products/kilter-europe-sandstone-2xl-set-2-jugs-kx012?variant=14127317418037" TargetMode="External"/><Relationship Id="rId103" Type="http://schemas.openxmlformats.org/officeDocument/2006/relationships/hyperlink" Target="https://settercloset.com/products/composite-x-noah-medium-1-incut-edges-kx052?variant=28738543714357" TargetMode="External"/><Relationship Id="rId124" Type="http://schemas.openxmlformats.org/officeDocument/2006/relationships/hyperlink" Target="https://settercloset.com/products/smooth-tufa-25-end-big-ball-kxst025?_pos=1&amp;_sid=c8c04bd52&amp;_ss=r&amp;variant=28732926722101" TargetMode="External"/><Relationship Id="rId70" Type="http://schemas.openxmlformats.org/officeDocument/2006/relationships/hyperlink" Target="https://settercloset.com/collections/europe/products/kilter-europe-sandstone-m-2-crimps-kx051?variant=14126765080629" TargetMode="External"/><Relationship Id="rId91" Type="http://schemas.openxmlformats.org/officeDocument/2006/relationships/hyperlink" Target="https://settercloset.com/collections/europe/products/kilter-europe-noah-xl-6-over-jugs-kx046?variant=14126704295989" TargetMode="External"/><Relationship Id="rId145" Type="http://schemas.openxmlformats.org/officeDocument/2006/relationships/hyperlink" Target="https://settercloset.com/products/brushed-sandstone-mega-jibs-set-3-sloper-kaiju-blockers-kx077-4-6?_pos=2&amp;_sid=697e581d7&amp;_ss=r&amp;variant=29410523512885" TargetMode="External"/><Relationship Id="rId166" Type="http://schemas.openxmlformats.org/officeDocument/2006/relationships/hyperlink" Target="https://settercloset.com/products/noah-2xl-6-fins-kx081?variant=32238936883253" TargetMode="External"/><Relationship Id="rId187" Type="http://schemas.openxmlformats.org/officeDocument/2006/relationships/hyperlink" Target="https://settercloset.com/products/fiberglass-kit-32-wingate-sandstone-kaiju-8-9-flat-ledges-kwf032?_pos=1&amp;_sid=e182f1d02&amp;_ss=r&amp;variant=32260757323829" TargetMode="External"/><Relationship Id="rId1" Type="http://schemas.openxmlformats.org/officeDocument/2006/relationships/hyperlink" Target="https://settercloset.com/collections/europe/products/smooth-tufa-12-center-y-incut-directional-kxst012?variant=28732587016245" TargetMode="External"/><Relationship Id="rId212" Type="http://schemas.openxmlformats.org/officeDocument/2006/relationships/hyperlink" Target="https://settercloset.com/collections/newest-shapes/products/winter-m1-60-30-incut-stacks-kx102-1?variant=39712687489077" TargetMode="External"/><Relationship Id="rId233" Type="http://schemas.openxmlformats.org/officeDocument/2006/relationships/hyperlink" Target="https://settercloset.com/collections/newest-shapes/products/noah-xl-11-pinches-kx128?variant=40486358908981" TargetMode="External"/><Relationship Id="rId28" Type="http://schemas.openxmlformats.org/officeDocument/2006/relationships/hyperlink" Target="https://settercloset.com/collections/europe/products/kilter-europe-brushed-sandstone-xl-3-flat-and-incut-pinches-kx076?variant=14287887532085" TargetMode="External"/><Relationship Id="rId49" Type="http://schemas.openxmlformats.org/officeDocument/2006/relationships/hyperlink" Target="https://settercloset.com/products/brushed-sandstone-l1-mixed-incuts-kx079?_pos=2&amp;_sid=1704eb51d&amp;_ss=r&amp;variant=29410594095157" TargetMode="External"/><Relationship Id="rId114" Type="http://schemas.openxmlformats.org/officeDocument/2006/relationships/hyperlink" Target="https://settercloset.com/products/smooth-tufa-8-end-incut-pinch-kxst008?_pos=1&amp;_sid=c61d1bc37&amp;_ss=r&amp;variant=28732416753717" TargetMode="External"/><Relationship Id="rId60" Type="http://schemas.openxmlformats.org/officeDocument/2006/relationships/hyperlink" Target="https://settercloset.com/collections/europe/products/kilter-europe-sandstone-2xl-set-1-super-jugs-kx011?variant=14127313485877" TargetMode="External"/><Relationship Id="rId81" Type="http://schemas.openxmlformats.org/officeDocument/2006/relationships/hyperlink" Target="https://settercloset.com/collections/europe/products/kilter-europe-granite-jibs-set-1-kx031?variant=34852759489" TargetMode="External"/><Relationship Id="rId135" Type="http://schemas.openxmlformats.org/officeDocument/2006/relationships/hyperlink" Target="https://settercloset.com/products/smooth-tufa-59-center-slopey-rib-pinch-kxst059?_pos=1&amp;_sid=d38ffb57a&amp;_ss=r&amp;variant=31458621718581" TargetMode="External"/><Relationship Id="rId156" Type="http://schemas.openxmlformats.org/officeDocument/2006/relationships/hyperlink" Target="https://settercloset.com/collections/granite/composite-x" TargetMode="External"/><Relationship Id="rId177" Type="http://schemas.openxmlformats.org/officeDocument/2006/relationships/hyperlink" Target="https://settercloset.com/products/noah-fiberglass-xl-1-big-edges-kwf003?variant=31717498355765" TargetMode="External"/><Relationship Id="rId198" Type="http://schemas.openxmlformats.org/officeDocument/2006/relationships/hyperlink" Target="https://settercloset.com/products/brushed-sandstone-2xl-5-rounded-incuts-kx109?_pos=1&amp;_sid=a979c95bf&amp;_ss=r&amp;variant=33353971040309" TargetMode="External"/><Relationship Id="rId202" Type="http://schemas.openxmlformats.org/officeDocument/2006/relationships/hyperlink" Target="https://settercloset.com/collections/newest-shapes/products/sandstone-2xl-7-plated-sandstone-hueco-kx104?variant=33418966663221" TargetMode="External"/><Relationship Id="rId223" Type="http://schemas.openxmlformats.org/officeDocument/2006/relationships/hyperlink" Target="https://settercloset.com/products/brushed-sandstone-jibs-set-11-pods-and-slopers-kx085?variant=29410619129909" TargetMode="External"/><Relationship Id="rId244" Type="http://schemas.openxmlformats.org/officeDocument/2006/relationships/hyperlink" Target="https://settercloset.com/products/brushed-sandstone-2xl-7-incut-ledges-kx131" TargetMode="External"/><Relationship Id="rId18" Type="http://schemas.openxmlformats.org/officeDocument/2006/relationships/hyperlink" Target="https://settercloset.com/products/smooth-tufa-14-center-slopey-flat-directional-kxst014?variant=28732749381685" TargetMode="External"/><Relationship Id="rId39" Type="http://schemas.openxmlformats.org/officeDocument/2006/relationships/hyperlink" Target="https://settercloset.com/collections/europe/products/kilter-europe-brushed-sandstone-jibs-set-4-kx004?variant=33638488065" TargetMode="External"/><Relationship Id="rId50" Type="http://schemas.openxmlformats.org/officeDocument/2006/relationships/hyperlink" Target="https://settercloset.com/products/kx086-brushed-sandstone-small-1-slopey-edges?_pos=1&amp;_sid=56af04227&amp;_ss=r&amp;variant=29366590832693" TargetMode="External"/><Relationship Id="rId104" Type="http://schemas.openxmlformats.org/officeDocument/2006/relationships/hyperlink" Target="https://settercloset.com/products/noah-2xl-4-slopey-pinches-kx071?variant=28845527302197" TargetMode="External"/><Relationship Id="rId125" Type="http://schemas.openxmlformats.org/officeDocument/2006/relationships/hyperlink" Target="https://settercloset.com/products/smooth-tufa-32-end-incut-directional-hueco-kxst032?_pos=1&amp;_sid=dd007e77b&amp;_ss=r&amp;variant=28733028794421" TargetMode="External"/><Relationship Id="rId146" Type="http://schemas.openxmlformats.org/officeDocument/2006/relationships/hyperlink" Target="https://settercloset.com/products/kilter-europe-brushed-sandstone-mega-jibs-set-4-sloper-kaiju-blockers-kx078-4-6?variant=28738611183669" TargetMode="External"/><Relationship Id="rId167" Type="http://schemas.openxmlformats.org/officeDocument/2006/relationships/hyperlink" Target="https://settercloset.com/products/jimmys-southern-sandstone-kaiju-1-slots-kxjw001?_pos=1&amp;_sid=9f141a7e5&amp;_ss=r&amp;variant=32238763343925" TargetMode="External"/><Relationship Id="rId188" Type="http://schemas.openxmlformats.org/officeDocument/2006/relationships/hyperlink" Target="https://settercloset.com/products/fiberglass-kit-34-wingate-sandstone-xl-7-10-l2-4-slopey-crescent-ledges-kwf034?_pos=1&amp;_sid=03c611473&amp;_ss=r&amp;variant=32260757979189" TargetMode="External"/><Relationship Id="rId71" Type="http://schemas.openxmlformats.org/officeDocument/2006/relationships/hyperlink" Target="https://settercloset.com/collections/europe/products/kilter-europe-sandstone-m-1-crimps-kx050?variant=14126758264885" TargetMode="External"/><Relationship Id="rId92" Type="http://schemas.openxmlformats.org/officeDocument/2006/relationships/hyperlink" Target="https://settercloset.com/collections/europe/products/kilter-europe-noah-l-2-ledges-kx041?variant=14111444959285" TargetMode="External"/><Relationship Id="rId213" Type="http://schemas.openxmlformats.org/officeDocument/2006/relationships/hyperlink" Target="https://settercloset.com/collections/newest-shapes/products/winter-m1-60-30-jib-stacks-kx102-2?variant=39712694042677" TargetMode="External"/><Relationship Id="rId234" Type="http://schemas.openxmlformats.org/officeDocument/2006/relationships/hyperlink" Target="https://settercloset.com/products/noah-m3-jugs-kx119?_pos=1&amp;_sid=8f481ede5&amp;_ss=r&amp;variant=40486193725493" TargetMode="External"/><Relationship Id="rId2" Type="http://schemas.openxmlformats.org/officeDocument/2006/relationships/hyperlink" Target="https://settercloset.com/collections/europe/products/smooth-tufa-11-center-incut-directional-kxst011?variant=28732567355445" TargetMode="External"/><Relationship Id="rId29" Type="http://schemas.openxmlformats.org/officeDocument/2006/relationships/hyperlink" Target="https://settercloset.com/collections/europe/products/kilter-europe-brushed-sandstone-medium-2-incut-edges-kx087?variant=14129993285685" TargetMode="External"/><Relationship Id="rId40" Type="http://schemas.openxmlformats.org/officeDocument/2006/relationships/hyperlink" Target="https://settercloset.com/collections/europe/products/kilter-europe-brushed-sandstone-jibs-set-3-kx003?variant=14127247228981" TargetMode="External"/><Relationship Id="rId115" Type="http://schemas.openxmlformats.org/officeDocument/2006/relationships/hyperlink" Target="https://settercloset.com/products/smooth-tufa-15-end-slopey-incut-hueco-kxst015?_pos=1&amp;_sid=36d71d0dd&amp;_ss=r&amp;variant=28732823109685" TargetMode="External"/><Relationship Id="rId136" Type="http://schemas.openxmlformats.org/officeDocument/2006/relationships/hyperlink" Target="https://settercloset.com/products/smooth-tufa-63-center-slopey-incut-kxst063?_pos=1&amp;_sid=5e85bf712&amp;_ss=r&amp;variant=31458580103221" TargetMode="External"/><Relationship Id="rId157" Type="http://schemas.openxmlformats.org/officeDocument/2006/relationships/hyperlink" Target="https://settercloset.com/collections/jeremy-ho/composite-x" TargetMode="External"/><Relationship Id="rId178" Type="http://schemas.openxmlformats.org/officeDocument/2006/relationships/hyperlink" Target="https://settercloset.com/products/fiberglass-kit-7-noah-kaiju-3-4-big-scoops-kwf007?_pos=1&amp;_sid=7b369fc5d&amp;_ss=r&amp;variant=32260660985909" TargetMode="External"/><Relationship Id="rId61" Type="http://schemas.openxmlformats.org/officeDocument/2006/relationships/hyperlink" Target="https://settercloset.com/collections/europe/products/kilter-europe-sandstone-xl-7-over-jugs-kx065?variant=14127229960245" TargetMode="External"/><Relationship Id="rId82" Type="http://schemas.openxmlformats.org/officeDocument/2006/relationships/hyperlink" Target="https://settercloset.com/products/composite-x-granite-2xl-set-2-huecos-kx063?variant=28738588901429" TargetMode="External"/><Relationship Id="rId199" Type="http://schemas.openxmlformats.org/officeDocument/2006/relationships/hyperlink" Target="https://settercloset.com/collections/newest-shapes/products/brushed-sandstone-complex-kaiju-9-and-blocker-jibs-kx097?variant=33418945691701" TargetMode="External"/><Relationship Id="rId203" Type="http://schemas.openxmlformats.org/officeDocument/2006/relationships/hyperlink" Target="https://settercloset.com/collections/newest-shapes/products/winter-l1-60-30-stacks-kx099?variant=33418998743093" TargetMode="External"/><Relationship Id="rId19" Type="http://schemas.openxmlformats.org/officeDocument/2006/relationships/hyperlink" Target="https://settercloset.com/collections/jeremy-ho/products/kilter-europe-jeremy-ho-lo-riders-kaiju-1-3-crescents-kxjh001?variant=14127783673909" TargetMode="External"/><Relationship Id="rId224" Type="http://schemas.openxmlformats.org/officeDocument/2006/relationships/hyperlink" Target="https://settercloset.com/products/smooth-tufa-36-end-rounded-horn-jug-kxst036?_pos=1&amp;_sid=998f7c743&amp;_ss=r&amp;variant=32219836678197" TargetMode="External"/><Relationship Id="rId245" Type="http://schemas.openxmlformats.org/officeDocument/2006/relationships/hyperlink" Target="https://settercloset.com/products/brushed-sandstone-xl-7-jugs-kx138?variant=41982759141429" TargetMode="External"/><Relationship Id="rId30" Type="http://schemas.openxmlformats.org/officeDocument/2006/relationships/hyperlink" Target="https://settercloset.com/collections/europe/products/kilter-europe-brushed-sandstone-kaiju-9-11-ribs-kx089?variant=14129649352757" TargetMode="External"/><Relationship Id="rId105" Type="http://schemas.openxmlformats.org/officeDocument/2006/relationships/hyperlink" Target="https://settercloset.com/products/noah-xl-10-pinches-kx066?_pos=2&amp;_sid=4ca531895&amp;_ss=r&amp;variant=29366462840885" TargetMode="External"/><Relationship Id="rId126" Type="http://schemas.openxmlformats.org/officeDocument/2006/relationships/hyperlink" Target="https://settercloset.com/products/smooth-tufa-45-angled-spacers-set-1-kxst045?_pos=1&amp;_sid=fbf2aa447&amp;_ss=r&amp;variant=28733243457589" TargetMode="External"/><Relationship Id="rId147" Type="http://schemas.openxmlformats.org/officeDocument/2006/relationships/hyperlink" Target="https://settercloset.com/products/brushed-sandstone-complex-kaiju-stalactites-3-5-and-mega-jibs-set-3-kx077-1-6-kit?_pos=3&amp;_sid=8c2c1ed67&amp;_ss=r&amp;variant=31647014748213" TargetMode="External"/><Relationship Id="rId168" Type="http://schemas.openxmlformats.org/officeDocument/2006/relationships/hyperlink" Target="https://settercloset.com/products/smooth-tufa-62-center-pinch-kxst062?_pos=1&amp;_sid=86ee7e41a&amp;_ss=r&amp;variant=32238843363381" TargetMode="External"/><Relationship Id="rId51" Type="http://schemas.openxmlformats.org/officeDocument/2006/relationships/hyperlink" Target="https://settercloset.com/products/kx070-brushed-sandstone-mega-jibs-set-2-brushed-plate-slopers?_pos=1&amp;_sid=e9c43e4b0&amp;_ss=r&amp;variant=29366571860021" TargetMode="External"/><Relationship Id="rId72" Type="http://schemas.openxmlformats.org/officeDocument/2006/relationships/hyperlink" Target="https://settercloset.com/collections/europe/products/kilter-europe-sandstone-mega-jibs-set-1-big-flat-hueco-kx026?variant=14127773024309" TargetMode="External"/><Relationship Id="rId93" Type="http://schemas.openxmlformats.org/officeDocument/2006/relationships/hyperlink" Target="https://settercloset.com/collections/europe/products/kilter-europe-noah-l-1-ledges-kx040?variant=14111437652021" TargetMode="External"/><Relationship Id="rId189" Type="http://schemas.openxmlformats.org/officeDocument/2006/relationships/hyperlink" Target="https://settercloset.com/products/fiberglass-kit-38-wingate-sandstone-2xl-1-3-slopey-pinches-kwf038?_pos=1&amp;_sid=c247ce308&amp;_ss=r&amp;variant=32260767055925" TargetMode="External"/><Relationship Id="rId3" Type="http://schemas.openxmlformats.org/officeDocument/2006/relationships/hyperlink" Target="https://settercloset.com/products/smooth-tufa-2-center-y-slopey-kxst002?variant=28732115386421" TargetMode="External"/><Relationship Id="rId214" Type="http://schemas.openxmlformats.org/officeDocument/2006/relationships/hyperlink" Target="https://settercloset.com/collections/newest-shapes/products/brushed-sandstone-2xl-6-rounded-incuts-kx110?variant=39710149771317" TargetMode="External"/><Relationship Id="rId235" Type="http://schemas.openxmlformats.org/officeDocument/2006/relationships/hyperlink" Target="https://settercloset.com/products/winter-l4-slopier-stacks-kx137?_pos=1&amp;_sid=d2b4deb9e&amp;_ss=r&amp;variant=40486365921333" TargetMode="External"/><Relationship Id="rId116" Type="http://schemas.openxmlformats.org/officeDocument/2006/relationships/hyperlink" Target="https://settercloset.com/products/smooth-tufa-33-center-jug-kxst033?variant=28733034004533" TargetMode="External"/><Relationship Id="rId137" Type="http://schemas.openxmlformats.org/officeDocument/2006/relationships/hyperlink" Target="https://settercloset.com/products/smooth-tufa-44-end-caps-cut-offs-kxst044?_pos=1&amp;_sid=fe1f2b6e1&amp;_ss=r&amp;variant=28733215866933" TargetMode="External"/><Relationship Id="rId158" Type="http://schemas.openxmlformats.org/officeDocument/2006/relationships/hyperlink" Target="https://settercloset.com/collections/noah/composite-x" TargetMode="External"/><Relationship Id="rId20" Type="http://schemas.openxmlformats.org/officeDocument/2006/relationships/hyperlink" Target="https://settercloset.com/collections/jeremy-ho/products/kilter-europe-jeremy-ho-lo-riders-kaiju-4-6-crescents-kxjh002?variant=14127807037493" TargetMode="External"/><Relationship Id="rId41" Type="http://schemas.openxmlformats.org/officeDocument/2006/relationships/hyperlink" Target="https://settercloset.com/collections/europe/products/kilter-europe-brushed-sandstone-jibs-set-1-kx001?variant=14127243165749" TargetMode="External"/><Relationship Id="rId62" Type="http://schemas.openxmlformats.org/officeDocument/2006/relationships/hyperlink" Target="https://settercloset.com/collections/europe/products/kilter-europe-sandstone-xl-6-over-jugs-kx059?variant=13646038958133" TargetMode="External"/><Relationship Id="rId83" Type="http://schemas.openxmlformats.org/officeDocument/2006/relationships/hyperlink" Target="https://settercloset.com/products/granite-xl2-over-jugs-kx067?_pos=1&amp;_sid=14461e480&amp;_ss=r&amp;variant=29366552723509" TargetMode="External"/><Relationship Id="rId179" Type="http://schemas.openxmlformats.org/officeDocument/2006/relationships/hyperlink" Target="https://settercloset.com/products/fiberglass-kit-15-noah-kaiju-5-2xl-6-xl6-raised-plate-slopers-kwf015?_pos=1&amp;_sid=a7ed5c636&amp;_ss=r&amp;variant=32260694966325" TargetMode="External"/><Relationship Id="rId190" Type="http://schemas.openxmlformats.org/officeDocument/2006/relationships/hyperlink" Target="https://settercloset.com/products/winter-fiberglass-xl-1-pinches-kwf002?variant=31717434163253" TargetMode="External"/><Relationship Id="rId204" Type="http://schemas.openxmlformats.org/officeDocument/2006/relationships/hyperlink" Target="https://settercloset.com/products/winter-2xl-1-60-30-stacks-kx101-2?variant=33418992582709" TargetMode="External"/><Relationship Id="rId225" Type="http://schemas.openxmlformats.org/officeDocument/2006/relationships/hyperlink" Target="https://settercloset.com/products/smooth-tufa-58-end-rounded-ball-sloper-kxst058?_pos=1&amp;_sid=ff6db24a9&amp;_ss=r&amp;variant=32219794571317" TargetMode="External"/><Relationship Id="rId246" Type="http://schemas.openxmlformats.org/officeDocument/2006/relationships/hyperlink" Target="https://settercloset.com/collections/all-grips/products/noah-s7-incut-edges-kx147?variant=42129898471477" TargetMode="External"/><Relationship Id="rId106" Type="http://schemas.openxmlformats.org/officeDocument/2006/relationships/hyperlink" Target="https://settercloset.com/products/noah-kaiju-1-3-huecos-kx068?variant=30212676091957" TargetMode="External"/><Relationship Id="rId127" Type="http://schemas.openxmlformats.org/officeDocument/2006/relationships/hyperlink" Target="https://settercloset.com/products/smooth-tufa-43-end-caps-badgy-badges-and-2-mini-domes-kxst043?_pos=1&amp;_sid=340e1c90d&amp;_ss=r&amp;variant=28733208789045" TargetMode="External"/><Relationship Id="rId10" Type="http://schemas.openxmlformats.org/officeDocument/2006/relationships/hyperlink" Target="https://settercloset.com/products/smooth-tufa-4-center-slopey-kxst004?_pos=2&amp;_sid=d56015731&amp;_ss=r&amp;variant=28732300722229" TargetMode="External"/><Relationship Id="rId31" Type="http://schemas.openxmlformats.org/officeDocument/2006/relationships/hyperlink" Target="https://settercloset.com/collections/europe/products/kilter-europe-brushed-sandstone-xl-1-ledges-kx064?variant=14127227273269" TargetMode="External"/><Relationship Id="rId52" Type="http://schemas.openxmlformats.org/officeDocument/2006/relationships/hyperlink" Target="https://settercloset.com/collections/europe/products/kilter-europe-sandstone-jibs-set-1-edges-and-incuts-kx027?variant=14127775252533" TargetMode="External"/><Relationship Id="rId73" Type="http://schemas.openxmlformats.org/officeDocument/2006/relationships/hyperlink" Target="https://settercloset.com/products/kilter-europe-font-jib-plates-large-set-1-kx005?variant=33638579201" TargetMode="External"/><Relationship Id="rId94" Type="http://schemas.openxmlformats.org/officeDocument/2006/relationships/hyperlink" Target="https://settercloset.com/collections/europe/products/kilter-europe-noah-xl-3-ledges-kx039?variant=14111434801205" TargetMode="External"/><Relationship Id="rId148" Type="http://schemas.openxmlformats.org/officeDocument/2006/relationships/hyperlink" Target="https://settercloset.com/products/brushed-sandstone-complex-kaiju-6-8-and-mega-jibs-set-4-kx078-1-6-kit?_pos=3&amp;_sid=7b4c50f6b&amp;_ss=r&amp;variant=31646986797109" TargetMode="External"/><Relationship Id="rId169" Type="http://schemas.openxmlformats.org/officeDocument/2006/relationships/hyperlink" Target="https://settercloset.com/products/smooth-tufa-19-end-incut-teagan-knob-kxst019?variant=28732858564661" TargetMode="External"/><Relationship Id="rId4" Type="http://schemas.openxmlformats.org/officeDocument/2006/relationships/hyperlink" Target="https://settercloset.com/products/smooth-tufa-5-center-y-slopey-kxst005?variant=28732319367221" TargetMode="External"/><Relationship Id="rId180" Type="http://schemas.openxmlformats.org/officeDocument/2006/relationships/hyperlink" Target="https://settercloset.com/products/fiberglass-kit-16-noah-daikaiju-1-kaju-6-incut-raised-rails-kwf016?_pos=1&amp;_sid=0b9b17e88&amp;_ss=r&amp;variant=32260701487157" TargetMode="External"/><Relationship Id="rId215" Type="http://schemas.openxmlformats.org/officeDocument/2006/relationships/hyperlink" Target="https://settercloset.com/products/brushed-sandstone-xl-5-incut-ledges-kx108?_pos=1&amp;_sid=0921e4ccb&amp;_ss=r&amp;variant=39538422054965" TargetMode="External"/><Relationship Id="rId236" Type="http://schemas.openxmlformats.org/officeDocument/2006/relationships/hyperlink" Target="https://settercloset.com/products/brushed-sandstone-kaiju-15-16-dishes-kx133?variant=40748658458677"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s://settercloset.com/collections/regs/products/regs-xl-1-jugs-upx001?variant=13218302165045" TargetMode="External"/><Relationship Id="rId21" Type="http://schemas.openxmlformats.org/officeDocument/2006/relationships/hyperlink" Target="https://settercloset.com/collections/not-font/products/not-font-kaiju-2-sloper-upx024?variant=13218939568181" TargetMode="External"/><Relationship Id="rId42" Type="http://schemas.openxmlformats.org/officeDocument/2006/relationships/hyperlink" Target="https://settercloset.com/collections/tremors/products/tremors-s1-pinches-upx011?variant=13218641313845" TargetMode="External"/><Relationship Id="rId47" Type="http://schemas.openxmlformats.org/officeDocument/2006/relationships/hyperlink" Target="https://settercloset.com/collections/tremors/products/tremors-2xl-1-jugs-upx005?variant=13218558378037" TargetMode="External"/><Relationship Id="rId63" Type="http://schemas.openxmlformats.org/officeDocument/2006/relationships/hyperlink" Target="https://settercloset.com/collections/fiberglass" TargetMode="External"/><Relationship Id="rId68" Type="http://schemas.openxmlformats.org/officeDocument/2006/relationships/hyperlink" Target="https://settercloset.com/products/stratos-s-3-pinches-upx60?variant=39346287706165" TargetMode="External"/><Relationship Id="rId84" Type="http://schemas.openxmlformats.org/officeDocument/2006/relationships/hyperlink" Target="https://settercloset.com/products/regs-m12-1-25-pad-edges-upx69?_pos=1&amp;_sid=2f3626ed5&amp;_ss=r&amp;variant=40908537102389" TargetMode="External"/><Relationship Id="rId89" Type="http://schemas.openxmlformats.org/officeDocument/2006/relationships/drawing" Target="../drawings/drawing4.xml"/><Relationship Id="rId16" Type="http://schemas.openxmlformats.org/officeDocument/2006/relationships/hyperlink" Target="https://settercloset.com/collections/not-font/products/not-font-xl-1-hooded-pinches-upx029?variant=13219027746869" TargetMode="External"/><Relationship Id="rId11" Type="http://schemas.openxmlformats.org/officeDocument/2006/relationships/hyperlink" Target="https://settercloset.com/collections/not-font/products/not-font-xs-1-feet-upx034?variant=13219115991093" TargetMode="External"/><Relationship Id="rId32" Type="http://schemas.openxmlformats.org/officeDocument/2006/relationships/hyperlink" Target="https://settercloset.com/collections/speed-bumps/products/speed-bumps-m2-crimps-upx043?variant=13219279765557" TargetMode="External"/><Relationship Id="rId37" Type="http://schemas.openxmlformats.org/officeDocument/2006/relationships/hyperlink" Target="https://settercloset.com/collections/speed-bumps/products/speed-bumps-xl-2-crimps-upx037?variant=13219162882101" TargetMode="External"/><Relationship Id="rId53" Type="http://schemas.openxmlformats.org/officeDocument/2006/relationships/hyperlink" Target="https://settercloset.com/collections/trim/products/trim-xl-3-edges-upx051?variant=13219422044213" TargetMode="External"/><Relationship Id="rId58" Type="http://schemas.openxmlformats.org/officeDocument/2006/relationships/hyperlink" Target="https://settercloset.com/collections/bricks/composite-x" TargetMode="External"/><Relationship Id="rId74" Type="http://schemas.openxmlformats.org/officeDocument/2006/relationships/hyperlink" Target="https://settercloset.com/products/reg-xs-6-scoop-feet-upx066?variant=40306974752821" TargetMode="External"/><Relationship Id="rId79" Type="http://schemas.openxmlformats.org/officeDocument/2006/relationships/hyperlink" Target="https://settercloset.com/products/regs-l4-puffy-incuts-upx081?variant=40748599050293" TargetMode="External"/><Relationship Id="rId5" Type="http://schemas.openxmlformats.org/officeDocument/2006/relationships/hyperlink" Target="https://settercloset.com/collections/bricks/products/big-brick-l1-2-piece-upx019?variant=13218847424565" TargetMode="External"/><Relationship Id="rId14" Type="http://schemas.openxmlformats.org/officeDocument/2006/relationships/hyperlink" Target="https://settercloset.com/collections/not-font/products/not-font-l2-crimps-upx031?variant=13219066806325" TargetMode="External"/><Relationship Id="rId22" Type="http://schemas.openxmlformats.org/officeDocument/2006/relationships/hyperlink" Target="https://settercloset.com/collections/not-font/products/not-font-kaiju-1-stalactite-upx023?variant=13218911518773" TargetMode="External"/><Relationship Id="rId27" Type="http://schemas.openxmlformats.org/officeDocument/2006/relationships/hyperlink" Target="https://settercloset.com/collections/speed-bumps/products/speed-bumps-xs-2-feet-upx048?variant=13219358441525" TargetMode="External"/><Relationship Id="rId30" Type="http://schemas.openxmlformats.org/officeDocument/2006/relationships/hyperlink" Target="https://settercloset.com/collections/speed-bumps/products/speed-bumps-m4-pinches-upx045?variant=13219310600245" TargetMode="External"/><Relationship Id="rId35" Type="http://schemas.openxmlformats.org/officeDocument/2006/relationships/hyperlink" Target="https://settercloset.com/collections/speed-bumps/products/speed-bumps-l2-incuts-upx039?variant=13219192012853" TargetMode="External"/><Relationship Id="rId43" Type="http://schemas.openxmlformats.org/officeDocument/2006/relationships/hyperlink" Target="https://settercloset.com/collections/tremors/products/tremors-m1-waves-upx010?variant=13218629255221" TargetMode="External"/><Relationship Id="rId48" Type="http://schemas.openxmlformats.org/officeDocument/2006/relationships/hyperlink" Target="https://settercloset.com/collections/tremors/products/tremors-2xl-2-plates-upx006?variant=13218535440437" TargetMode="External"/><Relationship Id="rId56" Type="http://schemas.openxmlformats.org/officeDocument/2006/relationships/hyperlink" Target="https://settercloset.com/collections/trim/products/trim-xs-1-feet-upx056?variant=13219537879093" TargetMode="External"/><Relationship Id="rId64" Type="http://schemas.openxmlformats.org/officeDocument/2006/relationships/hyperlink" Target="https://settercloset.com/products/up-fiberglass-kit-2-speed-bumps-xl-1-4-uwf002?_pos=1&amp;_sid=f55dbd337&amp;_ss=r&amp;variant=32260788617269" TargetMode="External"/><Relationship Id="rId69" Type="http://schemas.openxmlformats.org/officeDocument/2006/relationships/hyperlink" Target="https://settercloset.com/products/reg-xs-4-feet-upx65?variant=39346297307189" TargetMode="External"/><Relationship Id="rId77" Type="http://schemas.openxmlformats.org/officeDocument/2006/relationships/hyperlink" Target="https://settercloset.com/collections/speed-bumps/products/speed-bumps-m1-crimps-upx042?variant=13219263217717" TargetMode="External"/><Relationship Id="rId8" Type="http://schemas.openxmlformats.org/officeDocument/2006/relationships/hyperlink" Target="https://settercloset.com/collections/bricks/products/big-brick-2xl-2-3-piece-upx016?variant=13218812723253" TargetMode="External"/><Relationship Id="rId51" Type="http://schemas.openxmlformats.org/officeDocument/2006/relationships/hyperlink" Target="https://settercloset.com/collections/trim/products/trim-l2-pinches-upx053?variant=13219467657269" TargetMode="External"/><Relationship Id="rId72" Type="http://schemas.openxmlformats.org/officeDocument/2006/relationships/hyperlink" Target="https://settercloset.com/products/stratos-xl-1-over-jugs-upx063?variant=39732041252917" TargetMode="External"/><Relationship Id="rId80" Type="http://schemas.openxmlformats.org/officeDocument/2006/relationships/hyperlink" Target="https://settercloset.com/products/reg-xs-7-incut-feet-upx071?variant=40748639518773" TargetMode="External"/><Relationship Id="rId85" Type="http://schemas.openxmlformats.org/officeDocument/2006/relationships/hyperlink" Target="https://settercloset.com/products/stratos-2xl-3-2-piece-plate-edges-upx067?variant=41204982513717" TargetMode="External"/><Relationship Id="rId3" Type="http://schemas.openxmlformats.org/officeDocument/2006/relationships/hyperlink" Target="https://settercloset.com/collections/bricks/products/big-brick-s1-crimps-upx021?variant=13218878390325" TargetMode="External"/><Relationship Id="rId12" Type="http://schemas.openxmlformats.org/officeDocument/2006/relationships/hyperlink" Target="https://settercloset.com/collections/not-font/products/not-font-m2-pinches-upx033?variant=13219100491829" TargetMode="External"/><Relationship Id="rId17" Type="http://schemas.openxmlformats.org/officeDocument/2006/relationships/hyperlink" Target="https://settercloset.com/collections/not-font/products/not-font-2xl-3-jugs-upx028?variant=13219001892917" TargetMode="External"/><Relationship Id="rId25" Type="http://schemas.openxmlformats.org/officeDocument/2006/relationships/hyperlink" Target="https://settercloset.com/collections/regs/products/regs-l1-roof-jugs-upx002?variant=13218456698933" TargetMode="External"/><Relationship Id="rId33" Type="http://schemas.openxmlformats.org/officeDocument/2006/relationships/hyperlink" Target="https://settercloset.com/collections/speed-bumps/products/speed-bumps-l4-pinches-upx041?variant=13219247128629" TargetMode="External"/><Relationship Id="rId38" Type="http://schemas.openxmlformats.org/officeDocument/2006/relationships/hyperlink" Target="https://settercloset.com/collections/speed-bumps/products/speed-bumps-xl-1-doubles-upx036?variant=13219146006581" TargetMode="External"/><Relationship Id="rId46" Type="http://schemas.openxmlformats.org/officeDocument/2006/relationships/hyperlink" Target="https://settercloset.com/collections/tremors/products/tremors-2xl-3-bow-ties-upx007?variant=13218579054645" TargetMode="External"/><Relationship Id="rId59" Type="http://schemas.openxmlformats.org/officeDocument/2006/relationships/hyperlink" Target="https://settercloset.com/collections/regs/composite-x" TargetMode="External"/><Relationship Id="rId67" Type="http://schemas.openxmlformats.org/officeDocument/2006/relationships/hyperlink" Target="https://settercloset.com/products/stratos-s-2-mini-jugs-upx59?variant=39346218827829" TargetMode="External"/><Relationship Id="rId20" Type="http://schemas.openxmlformats.org/officeDocument/2006/relationships/hyperlink" Target="https://settercloset.com/collections/not-font/products/not-font-kaiju-3-sloper-upx025?variant=13218953789493" TargetMode="External"/><Relationship Id="rId41" Type="http://schemas.openxmlformats.org/officeDocument/2006/relationships/hyperlink" Target="https://settercloset.com/collections/tremors/products/tremors-xs-1-feet-upx012?variant=13218659827765" TargetMode="External"/><Relationship Id="rId54" Type="http://schemas.openxmlformats.org/officeDocument/2006/relationships/hyperlink" Target="https://settercloset.com/collections/trim/products/trim-xl-2-pinches-upx050?variant=13219404677173" TargetMode="External"/><Relationship Id="rId62" Type="http://schemas.openxmlformats.org/officeDocument/2006/relationships/hyperlink" Target="https://settercloset.com/collections/trim/composite-x" TargetMode="External"/><Relationship Id="rId70" Type="http://schemas.openxmlformats.org/officeDocument/2006/relationships/hyperlink" Target="https://settercloset.com/products/stratos-m-2-plate-edges-upx061?variant=39732036599861" TargetMode="External"/><Relationship Id="rId75" Type="http://schemas.openxmlformats.org/officeDocument/2006/relationships/hyperlink" Target="https://settercloset.com/products/reg-xl-5-puffy-incuts-upx087?variant=40307008536629" TargetMode="External"/><Relationship Id="rId83" Type="http://schemas.openxmlformats.org/officeDocument/2006/relationships/hyperlink" Target="https://settercloset.com/products/regs-m4-mini-jugs-upx82?_pos=1&amp;_sid=349611ec8&amp;_ss=r&amp;variant=40908532809781" TargetMode="External"/><Relationship Id="rId88" Type="http://schemas.openxmlformats.org/officeDocument/2006/relationships/printerSettings" Target="../printerSettings/printerSettings3.bin"/><Relationship Id="rId1" Type="http://schemas.openxmlformats.org/officeDocument/2006/relationships/hyperlink" Target="mailto:holds@kiltergrips.com" TargetMode="External"/><Relationship Id="rId6" Type="http://schemas.openxmlformats.org/officeDocument/2006/relationships/hyperlink" Target="https://settercloset.com/collections/bricks/products/big-brick-xl-2-slopers-upx018?variant=13218834055221" TargetMode="External"/><Relationship Id="rId15" Type="http://schemas.openxmlformats.org/officeDocument/2006/relationships/hyperlink" Target="https://settercloset.com/collections/not-font/products/not-font-l1-mini-jugs-upx030?variant=13219044196405" TargetMode="External"/><Relationship Id="rId23" Type="http://schemas.openxmlformats.org/officeDocument/2006/relationships/hyperlink" Target="https://settercloset.com/collections/regs/products/regs-m1-jugs-upx004?variant=13218498510901" TargetMode="External"/><Relationship Id="rId28" Type="http://schemas.openxmlformats.org/officeDocument/2006/relationships/hyperlink" Target="https://settercloset.com/collections/speed-bumps/products/speed-bumps-xs-1-crimps-upx047?variant=13219344678965" TargetMode="External"/><Relationship Id="rId36" Type="http://schemas.openxmlformats.org/officeDocument/2006/relationships/hyperlink" Target="https://settercloset.com/collections/speed-bumps/products/speed-bumps-l1-crimps-upx038?variant=13219176415285" TargetMode="External"/><Relationship Id="rId49" Type="http://schemas.openxmlformats.org/officeDocument/2006/relationships/hyperlink" Target="https://settercloset.com/collections/trim/products/trim-s1-crimps-upx055?variant=13219510976565" TargetMode="External"/><Relationship Id="rId57" Type="http://schemas.openxmlformats.org/officeDocument/2006/relationships/hyperlink" Target="https://settercloset.com/collections/tremors/composite-x" TargetMode="External"/><Relationship Id="rId10" Type="http://schemas.openxmlformats.org/officeDocument/2006/relationships/hyperlink" Target="https://settercloset.com/collections/not-font/products/not-font-xs-2-feet-upx035?variant=13219135291445" TargetMode="External"/><Relationship Id="rId31" Type="http://schemas.openxmlformats.org/officeDocument/2006/relationships/hyperlink" Target="https://settercloset.com/collections/speed-bumps/products/speed-bumps-m3-pinches-upx044?variant=13219295789109" TargetMode="External"/><Relationship Id="rId44" Type="http://schemas.openxmlformats.org/officeDocument/2006/relationships/hyperlink" Target="https://settercloset.com/collections/tremors/products/tremors-l2-jugs-upx009?variant=13218618507317" TargetMode="External"/><Relationship Id="rId52" Type="http://schemas.openxmlformats.org/officeDocument/2006/relationships/hyperlink" Target="https://settercloset.com/collections/trim/products/trim-l1-jugs-upx052?variant=13219437412405" TargetMode="External"/><Relationship Id="rId60" Type="http://schemas.openxmlformats.org/officeDocument/2006/relationships/hyperlink" Target="https://settercloset.com/collections/not-font/composite-x" TargetMode="External"/><Relationship Id="rId65" Type="http://schemas.openxmlformats.org/officeDocument/2006/relationships/hyperlink" Target="https://settercloset.com/products/stratos-xs-1-feet-upx57?_pos=1&amp;_sid=8ed9194a7&amp;_ss=r&amp;variant=39345515888693" TargetMode="External"/><Relationship Id="rId73" Type="http://schemas.openxmlformats.org/officeDocument/2006/relationships/hyperlink" Target="https://settercloset.com/collections/newest-shapes/products/reg-xl-2-jugs-upx064?variant=39854770061365" TargetMode="External"/><Relationship Id="rId78" Type="http://schemas.openxmlformats.org/officeDocument/2006/relationships/hyperlink" Target="https://settercloset.com/products/reg-xl-6-puffy-incuts-upx088?variant=40748474761269" TargetMode="External"/><Relationship Id="rId81" Type="http://schemas.openxmlformats.org/officeDocument/2006/relationships/hyperlink" Target="https://settercloset.com/products/stratos-xl-5-pinches-upx078?variant=40748735299637" TargetMode="External"/><Relationship Id="rId86" Type="http://schemas.openxmlformats.org/officeDocument/2006/relationships/hyperlink" Target="https://settercloset.com/products/reg-xl-3-puffy-incut-edges-upx076?variant=41204953874485" TargetMode="External"/><Relationship Id="rId4" Type="http://schemas.openxmlformats.org/officeDocument/2006/relationships/hyperlink" Target="https://settercloset.com/collections/bricks/products/big-brick-l2-incuts-upx020?variant=13218861023285" TargetMode="External"/><Relationship Id="rId9" Type="http://schemas.openxmlformats.org/officeDocument/2006/relationships/hyperlink" Target="https://settercloset.com/collections/bricks/products/big-brick-2xl-1-2-piece-upx015?variant=13218801811509" TargetMode="External"/><Relationship Id="rId13" Type="http://schemas.openxmlformats.org/officeDocument/2006/relationships/hyperlink" Target="https://settercloset.com/collections/not-font/products/not-font-m1-crimps-upx032?variant=13219083649077" TargetMode="External"/><Relationship Id="rId18" Type="http://schemas.openxmlformats.org/officeDocument/2006/relationships/hyperlink" Target="https://settercloset.com/collections/not-font/products/not-font-2xl-2-plate-slopers-upx027?variant=13218989211701" TargetMode="External"/><Relationship Id="rId39" Type="http://schemas.openxmlformats.org/officeDocument/2006/relationships/hyperlink" Target="https://settercloset.com/collections/tremors/products/tremors-jibs-1-upx014?variant=13218746335285" TargetMode="External"/><Relationship Id="rId34" Type="http://schemas.openxmlformats.org/officeDocument/2006/relationships/hyperlink" Target="https://settercloset.com/collections/speed-bumps/products/speed-bumps-l3-lo-pro-upx040?variant=13219208233013" TargetMode="External"/><Relationship Id="rId50" Type="http://schemas.openxmlformats.org/officeDocument/2006/relationships/hyperlink" Target="https://settercloset.com/collections/trim/products/trim-m1-crimps-upx054?variant=13219490725941" TargetMode="External"/><Relationship Id="rId55" Type="http://schemas.openxmlformats.org/officeDocument/2006/relationships/hyperlink" Target="https://settercloset.com/collections/trim/products/trim-xl-1-jugs-upx049?variant=13219387211829" TargetMode="External"/><Relationship Id="rId76" Type="http://schemas.openxmlformats.org/officeDocument/2006/relationships/hyperlink" Target="https://settercloset.com/products/stratos-l5-edges-upx080?variant=40306993299509" TargetMode="External"/><Relationship Id="rId7" Type="http://schemas.openxmlformats.org/officeDocument/2006/relationships/hyperlink" Target="https://settercloset.com/collections/bricks/products/big-brick-xl-1-2-piece-upx017?variant=13218824454197" TargetMode="External"/><Relationship Id="rId71" Type="http://schemas.openxmlformats.org/officeDocument/2006/relationships/hyperlink" Target="https://settercloset.com/products/stratos-m-3-pinches-upx062?variant=39732039450677" TargetMode="External"/><Relationship Id="rId2" Type="http://schemas.openxmlformats.org/officeDocument/2006/relationships/hyperlink" Target="https://settercloset.com/collections/bricks/products/big-brick-xs-1-feet-upx022?variant=13218892152885" TargetMode="External"/><Relationship Id="rId29" Type="http://schemas.openxmlformats.org/officeDocument/2006/relationships/hyperlink" Target="https://settercloset.com/collections/speed-bumps/products/speed-bumps-s1-pinches-upx046?variant=13219320725557" TargetMode="External"/><Relationship Id="rId24" Type="http://schemas.openxmlformats.org/officeDocument/2006/relationships/hyperlink" Target="https://settercloset.com/collections/regs/products/regs-l2-jugs-upx003?variant=13218465579061" TargetMode="External"/><Relationship Id="rId40" Type="http://schemas.openxmlformats.org/officeDocument/2006/relationships/hyperlink" Target="https://settercloset.com/collections/tremors/products/tremors-xs-2-feet-upx013?variant=13218725429301" TargetMode="External"/><Relationship Id="rId45" Type="http://schemas.openxmlformats.org/officeDocument/2006/relationships/hyperlink" Target="https://settercloset.com/collections/tremors/products/tremors-l1-jugs-upx008?variant=13218596814901" TargetMode="External"/><Relationship Id="rId66" Type="http://schemas.openxmlformats.org/officeDocument/2006/relationships/hyperlink" Target="https://settercloset.com/products/stratos-s-1-feet-upx58?variant=39346209194037" TargetMode="External"/><Relationship Id="rId87" Type="http://schemas.openxmlformats.org/officeDocument/2006/relationships/hyperlink" Target="https://settercloset.com/products/reg-xl-4-puffy-incut-edges-upx077?variant=41204969963573" TargetMode="External"/><Relationship Id="rId61" Type="http://schemas.openxmlformats.org/officeDocument/2006/relationships/hyperlink" Target="https://settercloset.com/collections/speed-bumps/composite-x" TargetMode="External"/><Relationship Id="rId82" Type="http://schemas.openxmlformats.org/officeDocument/2006/relationships/hyperlink" Target="https://settercloset.com/products/stratos-xl-6-edges-upx079?variant=40748794380341" TargetMode="External"/><Relationship Id="rId19" Type="http://schemas.openxmlformats.org/officeDocument/2006/relationships/hyperlink" Target="https://settercloset.com/collections/not-font/products/not-font-2xl-1-plate-slopers-upx026?variant=13218969780277"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4.bin"/><Relationship Id="rId5" Type="http://schemas.openxmlformats.org/officeDocument/2006/relationships/table" Target="../tables/table1.xml"/><Relationship Id="rId4" Type="http://schemas.openxmlformats.org/officeDocument/2006/relationships/ctrlProp" Target="../ctrlProps/ctrlProp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trlProp" Target="../ctrlProps/ctrlProp2.xml"/></Relationships>
</file>

<file path=xl/worksheets/_rels/sheet9.xml.rels><?xml version="1.0" encoding="UTF-8" standalone="yes"?>
<Relationships xmlns="http://schemas.openxmlformats.org/package/2006/relationships"><Relationship Id="rId3" Type="http://schemas.openxmlformats.org/officeDocument/2006/relationships/ctrlProp" Target="../ctrlProps/ctrlProp3.xml"/><Relationship Id="rId2" Type="http://schemas.openxmlformats.org/officeDocument/2006/relationships/vmlDrawing" Target="../drawings/vmlDrawing3.vml"/><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AE115"/>
  <sheetViews>
    <sheetView showGridLines="0" tabSelected="1" workbookViewId="0">
      <selection sqref="A1:H1"/>
    </sheetView>
  </sheetViews>
  <sheetFormatPr defaultColWidth="11" defaultRowHeight="13.5"/>
  <cols>
    <col min="1" max="1" width="28.61328125" customWidth="1"/>
    <col min="2" max="2" width="12.3828125" customWidth="1"/>
    <col min="3" max="3" width="45.4609375" customWidth="1"/>
    <col min="7" max="7" width="18.765625" bestFit="1" customWidth="1"/>
    <col min="8" max="8" width="16.3046875" customWidth="1"/>
  </cols>
  <sheetData>
    <row r="1" spans="1:31" s="33" customFormat="1" ht="31" customHeight="1">
      <c r="A1" s="769" t="s">
        <v>1714</v>
      </c>
      <c r="B1" s="769"/>
      <c r="C1" s="769"/>
      <c r="D1" s="769"/>
      <c r="E1" s="769"/>
      <c r="F1" s="769"/>
      <c r="G1" s="769"/>
      <c r="H1" s="769"/>
      <c r="T1" s="31"/>
      <c r="U1" s="31"/>
      <c r="V1" s="32"/>
      <c r="W1"/>
      <c r="X1"/>
      <c r="Y1"/>
      <c r="Z1"/>
      <c r="AA1"/>
      <c r="AB1"/>
      <c r="AC1"/>
      <c r="AD1"/>
      <c r="AE1"/>
    </row>
    <row r="2" spans="1:31" s="33" customFormat="1" ht="31" customHeight="1">
      <c r="A2" s="772" t="s">
        <v>1578</v>
      </c>
      <c r="B2" s="773"/>
      <c r="C2" s="773"/>
      <c r="D2" s="773"/>
      <c r="E2" s="773"/>
      <c r="F2" s="773"/>
      <c r="G2" s="773"/>
      <c r="H2" s="773"/>
      <c r="T2" s="31"/>
      <c r="U2" s="31"/>
      <c r="V2" s="32"/>
      <c r="W2"/>
      <c r="X2"/>
      <c r="Y2"/>
      <c r="Z2"/>
      <c r="AA2"/>
      <c r="AB2"/>
      <c r="AC2"/>
      <c r="AD2"/>
      <c r="AE2"/>
    </row>
    <row r="3" spans="1:31" s="33" customFormat="1" ht="12" customHeight="1">
      <c r="A3" s="402"/>
      <c r="B3" s="225"/>
      <c r="C3" s="401"/>
      <c r="E3" s="35"/>
      <c r="F3" s="35"/>
      <c r="G3" s="35"/>
      <c r="H3" s="35"/>
      <c r="I3" s="35"/>
      <c r="J3" s="35"/>
      <c r="K3" s="36"/>
      <c r="L3" s="36"/>
      <c r="M3" s="37"/>
      <c r="N3"/>
      <c r="O3"/>
      <c r="P3"/>
      <c r="Q3"/>
      <c r="R3"/>
      <c r="S3"/>
      <c r="T3"/>
      <c r="U3"/>
      <c r="V3"/>
    </row>
    <row r="4" spans="1:31" s="33" customFormat="1" ht="12" customHeight="1">
      <c r="A4" s="225"/>
      <c r="B4" s="225"/>
      <c r="E4" s="35"/>
      <c r="F4" s="35"/>
      <c r="G4" s="35"/>
      <c r="H4" s="35"/>
      <c r="I4" s="35"/>
      <c r="J4" s="35"/>
      <c r="K4" s="36"/>
      <c r="L4" s="36"/>
      <c r="M4" s="37"/>
      <c r="N4"/>
      <c r="O4"/>
      <c r="P4"/>
      <c r="Q4"/>
      <c r="R4"/>
      <c r="S4"/>
      <c r="T4"/>
      <c r="U4"/>
      <c r="V4"/>
    </row>
    <row r="5" spans="1:31" s="33" customFormat="1" ht="12" customHeight="1">
      <c r="C5" s="35"/>
      <c r="D5" s="35"/>
      <c r="E5" s="35"/>
      <c r="F5" s="35"/>
      <c r="G5" s="35"/>
      <c r="H5" s="35"/>
      <c r="I5" s="36"/>
      <c r="J5" s="36"/>
      <c r="K5" s="37"/>
      <c r="L5"/>
      <c r="M5"/>
      <c r="N5"/>
      <c r="O5"/>
      <c r="P5"/>
      <c r="Q5"/>
      <c r="R5"/>
      <c r="S5"/>
      <c r="T5"/>
    </row>
    <row r="6" spans="1:31" s="33" customFormat="1" ht="12" customHeight="1">
      <c r="A6"/>
      <c r="B6"/>
      <c r="C6" s="30"/>
      <c r="D6" s="30"/>
      <c r="E6" s="30"/>
      <c r="F6" s="30"/>
      <c r="G6" s="30"/>
      <c r="H6" s="30"/>
      <c r="I6" s="30"/>
      <c r="J6" s="40"/>
      <c r="K6"/>
      <c r="L6"/>
      <c r="M6"/>
      <c r="N6"/>
      <c r="O6"/>
      <c r="P6"/>
      <c r="Q6"/>
      <c r="R6"/>
      <c r="S6"/>
    </row>
    <row r="7" spans="1:31" s="33" customFormat="1" ht="12.75" customHeight="1">
      <c r="A7"/>
      <c r="B7"/>
      <c r="C7" s="41"/>
      <c r="D7" s="34"/>
      <c r="E7" s="34"/>
      <c r="F7" s="30"/>
      <c r="G7" s="30"/>
      <c r="H7" s="30"/>
      <c r="I7" s="30"/>
      <c r="J7" s="40"/>
      <c r="K7"/>
      <c r="L7"/>
      <c r="M7"/>
      <c r="N7"/>
      <c r="O7"/>
      <c r="P7"/>
      <c r="Q7"/>
      <c r="R7"/>
      <c r="S7"/>
    </row>
    <row r="8" spans="1:31" s="33" customFormat="1" ht="12.75" customHeight="1">
      <c r="A8"/>
      <c r="B8"/>
      <c r="C8" s="43"/>
      <c r="D8" s="30"/>
      <c r="E8" s="30"/>
      <c r="F8" s="30"/>
      <c r="G8" s="30"/>
      <c r="H8" s="30"/>
      <c r="I8" s="30"/>
      <c r="J8" s="40"/>
      <c r="K8"/>
      <c r="L8"/>
      <c r="M8"/>
      <c r="N8"/>
      <c r="O8"/>
      <c r="P8"/>
      <c r="Q8"/>
      <c r="R8"/>
      <c r="S8"/>
    </row>
    <row r="9" spans="1:31" s="33" customFormat="1" ht="12.75" customHeight="1">
      <c r="A9"/>
      <c r="B9"/>
      <c r="C9" s="44"/>
      <c r="D9" s="44"/>
      <c r="E9" s="44"/>
      <c r="F9" s="44"/>
      <c r="G9" s="44"/>
      <c r="H9" s="44"/>
      <c r="I9" s="44"/>
      <c r="J9" s="40"/>
      <c r="K9"/>
      <c r="L9"/>
      <c r="M9"/>
      <c r="N9"/>
      <c r="O9"/>
      <c r="P9"/>
      <c r="Q9"/>
      <c r="R9"/>
      <c r="S9"/>
    </row>
    <row r="10" spans="1:31" s="33" customFormat="1" ht="12.75" customHeight="1">
      <c r="A10"/>
      <c r="B10"/>
      <c r="C10" s="44"/>
      <c r="D10" s="44"/>
      <c r="E10" s="44"/>
      <c r="F10" s="44"/>
      <c r="G10" s="44"/>
      <c r="H10" s="44"/>
      <c r="I10" s="44"/>
      <c r="J10" s="40"/>
      <c r="K10"/>
      <c r="L10"/>
      <c r="M10"/>
      <c r="N10"/>
      <c r="O10"/>
      <c r="P10"/>
      <c r="Q10"/>
      <c r="R10"/>
      <c r="S10"/>
    </row>
    <row r="11" spans="1:31" s="33" customFormat="1" ht="12.75" customHeight="1">
      <c r="A11"/>
      <c r="B11"/>
      <c r="C11" s="44"/>
      <c r="D11" s="44"/>
      <c r="E11" s="44"/>
      <c r="F11" s="30"/>
      <c r="G11" s="30"/>
      <c r="H11" s="30"/>
      <c r="I11" s="30"/>
      <c r="J11" s="40"/>
      <c r="K11"/>
      <c r="L11"/>
      <c r="M11"/>
      <c r="N11"/>
      <c r="O11"/>
      <c r="P11"/>
      <c r="Q11"/>
      <c r="R11"/>
      <c r="S11"/>
    </row>
    <row r="12" spans="1:31" s="33" customFormat="1" ht="12.75" customHeight="1">
      <c r="A12" s="30"/>
      <c r="B12" s="30"/>
      <c r="C12" s="44"/>
      <c r="D12" s="44"/>
      <c r="E12" s="44"/>
      <c r="F12" s="44"/>
      <c r="G12" s="44"/>
      <c r="H12" s="30"/>
      <c r="I12" s="30"/>
      <c r="J12" s="40"/>
      <c r="K12"/>
      <c r="L12"/>
      <c r="M12"/>
      <c r="N12"/>
      <c r="O12"/>
      <c r="P12"/>
      <c r="Q12"/>
      <c r="R12"/>
      <c r="S12"/>
    </row>
    <row r="13" spans="1:31" s="33" customFormat="1" ht="12.75" customHeight="1">
      <c r="B13" s="30"/>
      <c r="C13" s="34"/>
      <c r="D13" s="34"/>
      <c r="E13" s="34"/>
      <c r="F13" s="30"/>
      <c r="G13" s="30"/>
      <c r="H13" s="30"/>
      <c r="I13" s="30"/>
      <c r="J13" s="40"/>
      <c r="K13"/>
      <c r="L13"/>
      <c r="M13"/>
      <c r="N13"/>
      <c r="O13"/>
      <c r="P13"/>
      <c r="Q13"/>
      <c r="R13"/>
      <c r="S13"/>
    </row>
    <row r="14" spans="1:31" s="33" customFormat="1" ht="12.75" customHeight="1" thickBot="1">
      <c r="A14" s="30"/>
      <c r="B14" s="30"/>
      <c r="C14"/>
      <c r="D14"/>
      <c r="E14"/>
      <c r="F14"/>
      <c r="G14"/>
      <c r="H14" s="30"/>
      <c r="I14" s="30"/>
      <c r="J14" s="40"/>
      <c r="K14"/>
      <c r="L14"/>
      <c r="M14"/>
      <c r="N14"/>
      <c r="O14"/>
      <c r="P14"/>
      <c r="Q14"/>
      <c r="R14"/>
      <c r="S14"/>
    </row>
    <row r="15" spans="1:31" s="33" customFormat="1" ht="12.75" customHeight="1" thickBot="1">
      <c r="A15"/>
      <c r="B15"/>
      <c r="C15"/>
      <c r="D15"/>
      <c r="E15"/>
      <c r="F15"/>
      <c r="G15"/>
      <c r="H15" s="85"/>
      <c r="I15" s="30"/>
      <c r="J15" s="529" t="s">
        <v>2042</v>
      </c>
      <c r="K15" s="530"/>
      <c r="L15"/>
      <c r="M15"/>
      <c r="N15"/>
      <c r="O15"/>
      <c r="P15"/>
      <c r="Q15"/>
      <c r="R15"/>
      <c r="S15"/>
    </row>
    <row r="16" spans="1:31" s="33" customFormat="1" ht="12.75" customHeight="1" thickBot="1">
      <c r="A16"/>
      <c r="B16"/>
      <c r="C16"/>
      <c r="D16"/>
      <c r="E16"/>
      <c r="F16"/>
      <c r="G16" s="770" t="s">
        <v>1430</v>
      </c>
      <c r="H16" s="771"/>
      <c r="I16" s="30"/>
      <c r="J16" s="531" t="s">
        <v>2043</v>
      </c>
      <c r="K16" s="532"/>
      <c r="L16"/>
      <c r="M16"/>
      <c r="N16"/>
      <c r="O16"/>
      <c r="P16"/>
      <c r="Q16"/>
      <c r="R16"/>
      <c r="S16"/>
    </row>
    <row r="17" spans="1:19" s="33" customFormat="1" ht="12.75" customHeight="1">
      <c r="A17"/>
      <c r="B17"/>
      <c r="C17"/>
      <c r="D17"/>
      <c r="E17"/>
      <c r="F17"/>
      <c r="G17" s="17" t="s">
        <v>2273</v>
      </c>
      <c r="H17" s="749">
        <f>Bolts!I1155</f>
        <v>1651113.9210526308</v>
      </c>
      <c r="I17" s="30"/>
      <c r="J17" s="533" t="s">
        <v>2044</v>
      </c>
      <c r="K17" s="534"/>
      <c r="L17"/>
      <c r="M17"/>
      <c r="N17"/>
      <c r="O17"/>
      <c r="P17"/>
      <c r="Q17"/>
      <c r="R17"/>
      <c r="S17"/>
    </row>
    <row r="18" spans="1:19" s="33" customFormat="1" ht="12.75" customHeight="1">
      <c r="A18"/>
      <c r="B18"/>
      <c r="C18"/>
      <c r="D18"/>
      <c r="E18"/>
      <c r="F18"/>
      <c r="G18" s="17" t="s">
        <v>2214</v>
      </c>
      <c r="H18" s="749">
        <f>'Kilter Holds'!AC377+'Kilter Holds'!AC392+'Kilter Holds'!AC406+'Urban Plastix Holds'!V155+'Urban Plastix Holds'!V170+'Urban Plastix Holds'!V184+SUM(Bolts!J1136:J1145)</f>
        <v>0</v>
      </c>
      <c r="I18" s="30"/>
      <c r="J18" s="533"/>
      <c r="K18" s="534"/>
      <c r="L18"/>
      <c r="M18"/>
      <c r="N18"/>
      <c r="O18"/>
      <c r="P18"/>
      <c r="Q18"/>
      <c r="R18"/>
      <c r="S18"/>
    </row>
    <row r="19" spans="1:19" s="33" customFormat="1" ht="12.75" customHeight="1">
      <c r="A19"/>
      <c r="B19"/>
      <c r="C19"/>
      <c r="D19"/>
      <c r="E19"/>
      <c r="F19"/>
      <c r="G19" s="17" t="s">
        <v>485</v>
      </c>
      <c r="H19" s="749">
        <v>0</v>
      </c>
      <c r="I19" s="30"/>
      <c r="J19" s="531" t="s">
        <v>2045</v>
      </c>
      <c r="K19" s="532"/>
      <c r="L19"/>
      <c r="M19"/>
      <c r="N19"/>
      <c r="O19"/>
      <c r="P19"/>
      <c r="Q19"/>
      <c r="R19"/>
      <c r="S19"/>
    </row>
    <row r="20" spans="1:19" s="33" customFormat="1" ht="12.75" customHeight="1">
      <c r="A20"/>
      <c r="B20"/>
      <c r="C20"/>
      <c r="D20"/>
      <c r="E20"/>
      <c r="F20"/>
      <c r="G20" s="17" t="s">
        <v>2297</v>
      </c>
      <c r="H20" s="749">
        <f>'Kilter Holds'!AC383+'Urban Plastix Holds'!V161</f>
        <v>0</v>
      </c>
      <c r="I20" s="30"/>
      <c r="J20" s="531" t="s">
        <v>2046</v>
      </c>
      <c r="K20" s="532"/>
      <c r="L20"/>
      <c r="M20"/>
      <c r="N20"/>
      <c r="O20"/>
      <c r="P20"/>
      <c r="Q20"/>
      <c r="R20"/>
      <c r="S20"/>
    </row>
    <row r="21" spans="1:19" s="33" customFormat="1" ht="12.75" customHeight="1">
      <c r="A21"/>
      <c r="B21"/>
      <c r="C21"/>
      <c r="D21"/>
      <c r="E21"/>
      <c r="F21"/>
      <c r="G21" s="17" t="s">
        <v>2298</v>
      </c>
      <c r="H21" s="749">
        <v>0</v>
      </c>
      <c r="I21" s="30"/>
      <c r="J21" s="531"/>
      <c r="K21" s="532"/>
      <c r="L21"/>
      <c r="M21"/>
      <c r="N21"/>
      <c r="O21"/>
    </row>
    <row r="22" spans="1:19" s="33" customFormat="1" ht="12.75" customHeight="1">
      <c r="A22"/>
      <c r="B22"/>
      <c r="C22"/>
      <c r="D22"/>
      <c r="E22"/>
      <c r="F22"/>
      <c r="G22" s="17" t="s">
        <v>2299</v>
      </c>
      <c r="H22" s="749">
        <f>'Kilter Holds'!AC411+'Urban Plastix Holds'!V189</f>
        <v>0</v>
      </c>
      <c r="I22" s="30"/>
      <c r="J22" s="535" t="s">
        <v>2047</v>
      </c>
      <c r="K22" s="536"/>
      <c r="L22"/>
      <c r="M22"/>
      <c r="N22"/>
      <c r="O22"/>
    </row>
    <row r="23" spans="1:19" s="33" customFormat="1" ht="12.75" customHeight="1">
      <c r="A23" s="43"/>
      <c r="B23" s="43"/>
      <c r="C23"/>
      <c r="D23"/>
      <c r="E23"/>
      <c r="F23"/>
      <c r="G23" s="17" t="s">
        <v>2272</v>
      </c>
      <c r="H23" s="749">
        <f>'Kilter Holds'!AC418+'Urban Plastix Holds'!V196</f>
        <v>0</v>
      </c>
      <c r="J23" s="537" t="s">
        <v>2048</v>
      </c>
      <c r="K23" s="536"/>
      <c r="L23" s="30"/>
      <c r="M23" s="40"/>
      <c r="N23" s="216"/>
      <c r="O23"/>
      <c r="P23"/>
      <c r="Q23"/>
      <c r="R23"/>
    </row>
    <row r="24" spans="1:19" s="33" customFormat="1" ht="12.75" customHeight="1" thickBot="1">
      <c r="A24" s="43"/>
      <c r="B24" s="43"/>
      <c r="C24"/>
      <c r="D24"/>
      <c r="E24"/>
      <c r="F24"/>
      <c r="G24" s="540" t="s">
        <v>79</v>
      </c>
      <c r="H24" s="750">
        <f>SUM(H17:H23)</f>
        <v>1651113.9210526308</v>
      </c>
      <c r="I24" s="30"/>
      <c r="J24" s="537"/>
      <c r="K24" s="536"/>
      <c r="L24" s="30"/>
      <c r="M24" s="40"/>
      <c r="N24" s="216"/>
      <c r="O24"/>
      <c r="P24"/>
      <c r="Q24"/>
      <c r="R24"/>
    </row>
    <row r="25" spans="1:19" s="33" customFormat="1" ht="12.75" customHeight="1" thickBot="1">
      <c r="A25" s="356"/>
      <c r="B25" s="30"/>
      <c r="C25"/>
      <c r="D25"/>
      <c r="E25"/>
      <c r="F25"/>
      <c r="G25" s="598" t="s">
        <v>1431</v>
      </c>
      <c r="H25" s="599"/>
      <c r="I25" s="30"/>
      <c r="J25" s="537" t="s">
        <v>2049</v>
      </c>
      <c r="K25" s="536"/>
      <c r="L25" s="30"/>
      <c r="M25" s="40"/>
      <c r="N25" s="216"/>
      <c r="O25"/>
      <c r="P25"/>
      <c r="Q25"/>
      <c r="R25"/>
    </row>
    <row r="26" spans="1:19" s="33" customFormat="1" ht="12.75" customHeight="1" thickBot="1">
      <c r="A26" s="356"/>
      <c r="B26" s="30"/>
      <c r="C26" s="30"/>
      <c r="D26" s="30"/>
      <c r="E26" s="30"/>
      <c r="F26" s="30"/>
      <c r="G26" s="17" t="s">
        <v>1433</v>
      </c>
      <c r="H26" s="358">
        <f>Bolts!E1157</f>
        <v>0</v>
      </c>
      <c r="I26" s="30"/>
      <c r="J26" s="538" t="s">
        <v>2050</v>
      </c>
      <c r="K26" s="539"/>
      <c r="L26" s="30"/>
      <c r="M26" s="40"/>
      <c r="N26" s="216"/>
      <c r="O26"/>
      <c r="P26"/>
      <c r="Q26"/>
      <c r="R26"/>
    </row>
    <row r="27" spans="1:19" s="33" customFormat="1" ht="12.75" customHeight="1">
      <c r="A27" s="30"/>
      <c r="B27" s="30"/>
      <c r="C27" s="30"/>
      <c r="D27" s="30"/>
      <c r="E27" s="30"/>
      <c r="F27" s="30"/>
      <c r="G27" s="17" t="s">
        <v>1434</v>
      </c>
      <c r="H27" s="749">
        <f>Bolts!H1155-Bolts!I1155</f>
        <v>0</v>
      </c>
      <c r="I27" s="30"/>
      <c r="J27" s="30"/>
      <c r="K27" s="30"/>
      <c r="L27" s="30"/>
      <c r="M27" s="40"/>
      <c r="N27" s="216"/>
      <c r="O27"/>
      <c r="P27"/>
      <c r="Q27"/>
      <c r="R27"/>
    </row>
    <row r="28" spans="1:19" s="33" customFormat="1" ht="12.75" customHeight="1" thickBot="1">
      <c r="A28" s="30"/>
      <c r="B28" s="30"/>
      <c r="C28" s="355"/>
      <c r="D28" s="355"/>
      <c r="E28" s="355"/>
      <c r="F28" s="355"/>
      <c r="G28" s="19" t="s">
        <v>1432</v>
      </c>
      <c r="H28" s="751">
        <f>IFERROR(H17/Summary!K19,0)</f>
        <v>35.539926838276095</v>
      </c>
      <c r="I28" s="355"/>
      <c r="J28" s="355"/>
      <c r="K28" s="355"/>
      <c r="L28" s="30"/>
      <c r="M28" s="40"/>
      <c r="N28" s="216"/>
      <c r="O28"/>
      <c r="P28"/>
      <c r="Q28"/>
      <c r="R28"/>
    </row>
    <row r="29" spans="1:19">
      <c r="A29" s="355"/>
      <c r="B29" s="355"/>
    </row>
    <row r="31" spans="1:19" s="234" customFormat="1" ht="30" customHeight="1">
      <c r="A31" s="767" t="s">
        <v>1161</v>
      </c>
      <c r="B31" s="768"/>
      <c r="C31" s="768"/>
      <c r="D31" s="238"/>
      <c r="I31"/>
      <c r="J31"/>
      <c r="K31"/>
    </row>
    <row r="32" spans="1:19">
      <c r="A32" s="240" t="s">
        <v>1154</v>
      </c>
      <c r="B32" s="240"/>
      <c r="C32" s="240"/>
      <c r="D32" s="241"/>
      <c r="I32" s="234"/>
      <c r="J32" s="234"/>
      <c r="K32" s="234"/>
    </row>
    <row r="33" spans="1:4">
      <c r="A33" s="254"/>
      <c r="B33" s="254"/>
      <c r="C33" s="255"/>
      <c r="D33" s="241"/>
    </row>
    <row r="34" spans="1:4" ht="17.149999999999999" customHeight="1">
      <c r="A34" s="239" t="s">
        <v>1192</v>
      </c>
      <c r="B34" s="239" t="s">
        <v>1156</v>
      </c>
      <c r="C34" s="240" t="s">
        <v>1017</v>
      </c>
      <c r="D34" s="241"/>
    </row>
    <row r="35" spans="1:4">
      <c r="A35" s="278" t="s">
        <v>467</v>
      </c>
      <c r="B35" s="279" t="s">
        <v>474</v>
      </c>
      <c r="C35" s="280"/>
      <c r="D35" s="241"/>
    </row>
    <row r="36" spans="1:4">
      <c r="A36" s="281" t="s">
        <v>468</v>
      </c>
      <c r="B36" s="282" t="s">
        <v>475</v>
      </c>
      <c r="C36" s="283"/>
      <c r="D36" s="241"/>
    </row>
    <row r="37" spans="1:4">
      <c r="A37" s="284" t="s">
        <v>469</v>
      </c>
      <c r="B37" s="285" t="s">
        <v>476</v>
      </c>
      <c r="C37" s="286"/>
      <c r="D37" s="241"/>
    </row>
    <row r="38" spans="1:4">
      <c r="A38" s="287" t="s">
        <v>482</v>
      </c>
      <c r="B38" s="288" t="s">
        <v>477</v>
      </c>
      <c r="C38" s="289"/>
      <c r="D38" s="241"/>
    </row>
    <row r="39" spans="1:4">
      <c r="A39" s="290" t="s">
        <v>470</v>
      </c>
      <c r="B39" s="291" t="s">
        <v>478</v>
      </c>
      <c r="C39" s="292"/>
      <c r="D39" s="241"/>
    </row>
    <row r="40" spans="1:4">
      <c r="A40" s="293" t="s">
        <v>471</v>
      </c>
      <c r="B40" s="294" t="s">
        <v>479</v>
      </c>
      <c r="C40" s="295"/>
      <c r="D40" s="241"/>
    </row>
    <row r="41" spans="1:4">
      <c r="A41" s="296" t="s">
        <v>472</v>
      </c>
      <c r="B41" s="297" t="s">
        <v>480</v>
      </c>
      <c r="C41" s="298"/>
      <c r="D41" s="241"/>
    </row>
    <row r="42" spans="1:4">
      <c r="A42" s="299" t="s">
        <v>473</v>
      </c>
      <c r="B42" s="300" t="s">
        <v>481</v>
      </c>
      <c r="C42" s="301"/>
      <c r="D42" s="241"/>
    </row>
    <row r="43" spans="1:4">
      <c r="A43" s="254"/>
      <c r="B43" s="254"/>
      <c r="C43" s="255"/>
      <c r="D43" s="241"/>
    </row>
    <row r="44" spans="1:4" ht="17.149999999999999" customHeight="1">
      <c r="A44" s="239" t="s">
        <v>1157</v>
      </c>
      <c r="B44" s="256" t="s">
        <v>1156</v>
      </c>
      <c r="C44" s="218" t="s">
        <v>1017</v>
      </c>
      <c r="D44" s="241"/>
    </row>
    <row r="45" spans="1:4" ht="17.149999999999999" customHeight="1">
      <c r="A45" s="257" t="s">
        <v>1185</v>
      </c>
      <c r="B45" s="302" t="s">
        <v>1162</v>
      </c>
      <c r="C45" s="313" t="s">
        <v>968</v>
      </c>
      <c r="D45" s="241"/>
    </row>
    <row r="46" spans="1:4" ht="17.149999999999999" customHeight="1">
      <c r="A46" s="263" t="s">
        <v>1184</v>
      </c>
      <c r="B46" s="263" t="s">
        <v>1163</v>
      </c>
      <c r="C46" s="314" t="s">
        <v>1576</v>
      </c>
      <c r="D46" s="241"/>
    </row>
    <row r="47" spans="1:4" ht="17.149999999999999" customHeight="1">
      <c r="A47" s="242" t="s">
        <v>1183</v>
      </c>
      <c r="B47" s="303" t="s">
        <v>1164</v>
      </c>
      <c r="C47" s="315" t="s">
        <v>966</v>
      </c>
      <c r="D47" s="241"/>
    </row>
    <row r="48" spans="1:4" ht="17.149999999999999" customHeight="1">
      <c r="A48" s="267" t="s">
        <v>1182</v>
      </c>
      <c r="B48" s="304" t="s">
        <v>1170</v>
      </c>
      <c r="C48" s="316" t="s">
        <v>1575</v>
      </c>
      <c r="D48" s="241"/>
    </row>
    <row r="49" spans="1:4" ht="17.149999999999999" customHeight="1">
      <c r="A49" s="258" t="s">
        <v>1181</v>
      </c>
      <c r="B49" s="305" t="s">
        <v>1165</v>
      </c>
      <c r="C49" s="217" t="s">
        <v>1574</v>
      </c>
      <c r="D49" s="241"/>
    </row>
    <row r="50" spans="1:4" ht="17.149999999999999" customHeight="1">
      <c r="A50" s="243" t="s">
        <v>1180</v>
      </c>
      <c r="B50" s="306" t="s">
        <v>1166</v>
      </c>
      <c r="C50" s="317" t="s">
        <v>1018</v>
      </c>
      <c r="D50" s="241"/>
    </row>
    <row r="51" spans="1:4" ht="17.149999999999999" customHeight="1">
      <c r="A51" s="259" t="s">
        <v>1179</v>
      </c>
      <c r="B51" s="307" t="s">
        <v>1171</v>
      </c>
      <c r="C51" s="318" t="s">
        <v>1019</v>
      </c>
      <c r="D51" s="241"/>
    </row>
    <row r="52" spans="1:4" ht="17.149999999999999" customHeight="1">
      <c r="A52" s="260" t="s">
        <v>1178</v>
      </c>
      <c r="B52" s="260" t="s">
        <v>1160</v>
      </c>
      <c r="C52" s="261" t="s">
        <v>1191</v>
      </c>
      <c r="D52" s="241"/>
    </row>
    <row r="53" spans="1:4" ht="17.149999999999999" customHeight="1">
      <c r="A53" s="262" t="s">
        <v>1177</v>
      </c>
      <c r="B53" s="308" t="s">
        <v>1169</v>
      </c>
      <c r="C53" s="319" t="s">
        <v>1020</v>
      </c>
      <c r="D53" s="241"/>
    </row>
    <row r="54" spans="1:4" ht="17.149999999999999" customHeight="1">
      <c r="A54" s="264" t="s">
        <v>1176</v>
      </c>
      <c r="B54" s="309" t="s">
        <v>1158</v>
      </c>
      <c r="C54" s="320" t="s">
        <v>1020</v>
      </c>
      <c r="D54" s="241"/>
    </row>
    <row r="55" spans="1:4" ht="17.149999999999999" customHeight="1">
      <c r="A55" s="265" t="s">
        <v>1175</v>
      </c>
      <c r="B55" s="310" t="s">
        <v>1168</v>
      </c>
      <c r="C55" s="321" t="s">
        <v>1021</v>
      </c>
      <c r="D55" s="241"/>
    </row>
    <row r="56" spans="1:4" ht="17.149999999999999" customHeight="1">
      <c r="A56" s="244" t="s">
        <v>1173</v>
      </c>
      <c r="B56" s="311" t="s">
        <v>1172</v>
      </c>
      <c r="C56" s="322" t="s">
        <v>967</v>
      </c>
      <c r="D56" s="241"/>
    </row>
    <row r="57" spans="1:4" ht="17.149999999999999" customHeight="1">
      <c r="A57" s="266" t="s">
        <v>1174</v>
      </c>
      <c r="B57" s="312" t="s">
        <v>1167</v>
      </c>
      <c r="C57" s="323" t="s">
        <v>1022</v>
      </c>
      <c r="D57" s="241"/>
    </row>
    <row r="58" spans="1:4" ht="17.149999999999999" customHeight="1">
      <c r="A58" s="268" t="s">
        <v>1190</v>
      </c>
      <c r="B58" s="331" t="s">
        <v>1186</v>
      </c>
      <c r="C58" s="245" t="s">
        <v>960</v>
      </c>
      <c r="D58" s="241"/>
    </row>
    <row r="59" spans="1:4" ht="17.149999999999999" customHeight="1">
      <c r="A59" s="269" t="s">
        <v>1189</v>
      </c>
      <c r="B59" s="332" t="s">
        <v>1188</v>
      </c>
      <c r="C59" s="184" t="s">
        <v>969</v>
      </c>
      <c r="D59" s="241"/>
    </row>
    <row r="60" spans="1:4" ht="17.149999999999999" customHeight="1">
      <c r="A60" s="270" t="s">
        <v>961</v>
      </c>
      <c r="B60" s="333" t="s">
        <v>1187</v>
      </c>
      <c r="C60" s="246" t="s">
        <v>986</v>
      </c>
      <c r="D60" s="241"/>
    </row>
    <row r="61" spans="1:4" ht="17.149999999999999" customHeight="1">
      <c r="A61" s="271" t="s">
        <v>962</v>
      </c>
      <c r="B61" s="334" t="s">
        <v>1193</v>
      </c>
      <c r="C61" s="324" t="s">
        <v>965</v>
      </c>
      <c r="D61" s="241"/>
    </row>
    <row r="62" spans="1:4" ht="17.149999999999999" customHeight="1">
      <c r="A62" s="272" t="s">
        <v>963</v>
      </c>
      <c r="B62" s="335" t="s">
        <v>1194</v>
      </c>
      <c r="C62" s="325" t="s">
        <v>964</v>
      </c>
      <c r="D62" s="241"/>
    </row>
    <row r="63" spans="1:4" ht="17.149999999999999" customHeight="1">
      <c r="A63" s="273" t="s">
        <v>970</v>
      </c>
      <c r="B63" s="336" t="s">
        <v>1195</v>
      </c>
      <c r="C63" s="326" t="s">
        <v>971</v>
      </c>
      <c r="D63" s="241"/>
    </row>
    <row r="64" spans="1:4" ht="17.149999999999999" customHeight="1">
      <c r="A64" s="274" t="s">
        <v>985</v>
      </c>
      <c r="B64" s="337" t="s">
        <v>1196</v>
      </c>
      <c r="C64" s="327" t="s">
        <v>1573</v>
      </c>
      <c r="D64" s="241"/>
    </row>
    <row r="65" spans="1:4" ht="17.149999999999999" customHeight="1">
      <c r="A65" s="275" t="s">
        <v>972</v>
      </c>
      <c r="B65" s="338" t="s">
        <v>1197</v>
      </c>
      <c r="C65" s="328" t="s">
        <v>973</v>
      </c>
      <c r="D65" s="241"/>
    </row>
    <row r="66" spans="1:4" ht="17.149999999999999" customHeight="1">
      <c r="A66" s="276" t="s">
        <v>974</v>
      </c>
      <c r="B66" s="339" t="s">
        <v>1198</v>
      </c>
      <c r="C66" s="329" t="s">
        <v>984</v>
      </c>
      <c r="D66" s="241"/>
    </row>
    <row r="67" spans="1:4" ht="17.149999999999999" customHeight="1">
      <c r="A67" s="277" t="s">
        <v>975</v>
      </c>
      <c r="B67" s="340" t="s">
        <v>1199</v>
      </c>
      <c r="C67" s="330" t="s">
        <v>976</v>
      </c>
      <c r="D67" s="241"/>
    </row>
    <row r="68" spans="1:4" ht="17.149999999999999" customHeight="1">
      <c r="A68" s="247" t="s">
        <v>977</v>
      </c>
      <c r="B68" s="343" t="s">
        <v>1200</v>
      </c>
      <c r="C68" s="348" t="s">
        <v>978</v>
      </c>
      <c r="D68" s="241"/>
    </row>
    <row r="69" spans="1:4" ht="17.149999999999999" customHeight="1">
      <c r="A69" s="248" t="s">
        <v>982</v>
      </c>
      <c r="B69" s="344" t="s">
        <v>1201</v>
      </c>
      <c r="C69" s="349" t="s">
        <v>979</v>
      </c>
      <c r="D69" s="241"/>
    </row>
    <row r="70" spans="1:4" ht="17.149999999999999" customHeight="1">
      <c r="A70" s="249" t="s">
        <v>981</v>
      </c>
      <c r="B70" s="345" t="s">
        <v>1159</v>
      </c>
      <c r="C70" s="350" t="s">
        <v>979</v>
      </c>
      <c r="D70" s="241"/>
    </row>
    <row r="71" spans="1:4" ht="17.149999999999999" customHeight="1">
      <c r="A71" s="250" t="s">
        <v>980</v>
      </c>
      <c r="B71" s="346" t="s">
        <v>1202</v>
      </c>
      <c r="C71" s="351" t="s">
        <v>979</v>
      </c>
      <c r="D71" s="241"/>
    </row>
    <row r="72" spans="1:4" ht="17.149999999999999" customHeight="1">
      <c r="A72" s="251" t="s">
        <v>983</v>
      </c>
      <c r="B72" s="347" t="s">
        <v>1203</v>
      </c>
      <c r="C72" s="352" t="s">
        <v>1572</v>
      </c>
      <c r="D72" s="241"/>
    </row>
    <row r="73" spans="1:4" ht="17.149999999999999" customHeight="1">
      <c r="A73" s="252" t="s">
        <v>992</v>
      </c>
      <c r="B73" s="341" t="s">
        <v>1204</v>
      </c>
      <c r="C73" s="353" t="s">
        <v>995</v>
      </c>
      <c r="D73" s="241"/>
    </row>
    <row r="74" spans="1:4" ht="17.149999999999999" customHeight="1">
      <c r="A74" s="253" t="s">
        <v>994</v>
      </c>
      <c r="B74" s="342" t="s">
        <v>1205</v>
      </c>
      <c r="C74" s="354" t="s">
        <v>993</v>
      </c>
      <c r="D74" s="241"/>
    </row>
    <row r="75" spans="1:4" ht="17.149999999999999" customHeight="1">
      <c r="A75" s="184"/>
      <c r="B75" s="184"/>
      <c r="C75" s="184"/>
      <c r="D75" s="241"/>
    </row>
    <row r="76" spans="1:4" ht="17.149999999999999" customHeight="1">
      <c r="D76" s="241"/>
    </row>
    <row r="77" spans="1:4" ht="17.149999999999999" customHeight="1">
      <c r="A77" s="235" t="s">
        <v>1155</v>
      </c>
      <c r="B77" s="219"/>
      <c r="C77" s="237"/>
      <c r="D77" s="241"/>
    </row>
    <row r="78" spans="1:4" ht="17.149999999999999" customHeight="1">
      <c r="A78" s="235"/>
      <c r="B78" s="219"/>
      <c r="C78" s="237"/>
      <c r="D78" s="241"/>
    </row>
    <row r="79" spans="1:4" ht="17.149999999999999" customHeight="1">
      <c r="A79" s="220"/>
      <c r="B79" s="219"/>
      <c r="C79" s="237"/>
      <c r="D79" s="241"/>
    </row>
    <row r="80" spans="1:4" ht="17.149999999999999" customHeight="1">
      <c r="A80" s="236" t="s">
        <v>988</v>
      </c>
      <c r="B80" s="219"/>
      <c r="C80" s="237"/>
    </row>
    <row r="81" spans="1:3" ht="17.149999999999999" customHeight="1">
      <c r="A81" s="236" t="s">
        <v>1004</v>
      </c>
      <c r="B81" s="360" t="s">
        <v>997</v>
      </c>
      <c r="C81" s="361"/>
    </row>
    <row r="82" spans="1:3" ht="17.149999999999999" customHeight="1">
      <c r="A82" s="362" t="s">
        <v>1003</v>
      </c>
      <c r="B82" s="363" t="s">
        <v>998</v>
      </c>
      <c r="C82" s="364"/>
    </row>
    <row r="83" spans="1:3" ht="17.149999999999999" customHeight="1">
      <c r="A83" s="365" t="s">
        <v>1005</v>
      </c>
      <c r="B83" s="366" t="s">
        <v>999</v>
      </c>
      <c r="C83" s="367"/>
    </row>
    <row r="84" spans="1:3" ht="17.149999999999999" customHeight="1">
      <c r="A84" s="368" t="s">
        <v>1006</v>
      </c>
      <c r="B84" s="369" t="s">
        <v>1000</v>
      </c>
      <c r="C84" s="370"/>
    </row>
    <row r="85" spans="1:3" ht="17.149999999999999" customHeight="1">
      <c r="A85" s="371" t="s">
        <v>1008</v>
      </c>
      <c r="B85" s="372" t="s">
        <v>1001</v>
      </c>
      <c r="C85" s="373"/>
    </row>
    <row r="86" spans="1:3" ht="17.149999999999999" customHeight="1">
      <c r="A86" s="374" t="s">
        <v>1007</v>
      </c>
      <c r="B86" s="375" t="s">
        <v>1002</v>
      </c>
      <c r="C86" s="376"/>
    </row>
    <row r="87" spans="1:3" ht="17.149999999999999" customHeight="1">
      <c r="A87" s="377" t="s">
        <v>1009</v>
      </c>
      <c r="B87" s="184" t="s">
        <v>996</v>
      </c>
      <c r="C87" s="184"/>
    </row>
    <row r="88" spans="1:3" ht="17.149999999999999" customHeight="1">
      <c r="A88" s="377"/>
      <c r="B88" s="184"/>
      <c r="C88" s="184"/>
    </row>
    <row r="89" spans="1:3" ht="17.149999999999999" customHeight="1">
      <c r="A89" s="378"/>
      <c r="B89" s="379"/>
      <c r="C89" s="379"/>
    </row>
    <row r="90" spans="1:3" ht="17.149999999999999" customHeight="1">
      <c r="A90" s="236" t="s">
        <v>991</v>
      </c>
      <c r="B90" s="360"/>
      <c r="C90" s="361"/>
    </row>
    <row r="91" spans="1:3" ht="17.149999999999999" customHeight="1">
      <c r="A91" s="380" t="s">
        <v>1010</v>
      </c>
      <c r="B91" s="381" t="s">
        <v>989</v>
      </c>
      <c r="C91" s="382"/>
    </row>
    <row r="92" spans="1:3" ht="17.149999999999999" customHeight="1">
      <c r="A92" s="383" t="s">
        <v>1011</v>
      </c>
      <c r="B92" s="384" t="s">
        <v>1571</v>
      </c>
      <c r="C92" s="385"/>
    </row>
    <row r="93" spans="1:3" ht="17.149999999999999" customHeight="1">
      <c r="A93" s="386" t="s">
        <v>1012</v>
      </c>
      <c r="B93" s="387" t="s">
        <v>1570</v>
      </c>
      <c r="C93" s="388"/>
    </row>
    <row r="94" spans="1:3" ht="17.149999999999999" customHeight="1">
      <c r="A94" s="389" t="s">
        <v>1013</v>
      </c>
      <c r="B94" s="390" t="s">
        <v>1569</v>
      </c>
      <c r="C94" s="391"/>
    </row>
    <row r="95" spans="1:3" ht="17.149999999999999" customHeight="1">
      <c r="A95" s="392" t="s">
        <v>1015</v>
      </c>
      <c r="B95" s="393" t="s">
        <v>1577</v>
      </c>
      <c r="C95" s="394"/>
    </row>
    <row r="96" spans="1:3" ht="17.149999999999999" customHeight="1">
      <c r="A96" s="395"/>
      <c r="B96" s="396"/>
      <c r="C96" s="396"/>
    </row>
    <row r="97" spans="1:3" ht="17.149999999999999" customHeight="1">
      <c r="A97" s="397"/>
      <c r="B97" s="397"/>
      <c r="C97" s="379"/>
    </row>
    <row r="98" spans="1:3" ht="17.149999999999999" customHeight="1">
      <c r="A98" s="236" t="s">
        <v>990</v>
      </c>
      <c r="B98" s="360"/>
      <c r="C98" s="361"/>
    </row>
    <row r="99" spans="1:3" ht="17.149999999999999" customHeight="1">
      <c r="A99" s="398" t="s">
        <v>1014</v>
      </c>
      <c r="B99" s="399" t="s">
        <v>2162</v>
      </c>
      <c r="C99" s="400"/>
    </row>
    <row r="100" spans="1:3" ht="17.149999999999999" customHeight="1"/>
    <row r="101" spans="1:3" ht="17.149999999999999" customHeight="1">
      <c r="A101" s="235" t="s">
        <v>2160</v>
      </c>
      <c r="B101" s="219"/>
      <c r="C101" s="237"/>
    </row>
    <row r="102" spans="1:3" ht="17.149999999999999" customHeight="1">
      <c r="A102" s="235"/>
      <c r="B102" s="219"/>
      <c r="C102" s="237"/>
    </row>
    <row r="103" spans="1:3" ht="17.149999999999999" customHeight="1">
      <c r="A103" s="220"/>
      <c r="B103" s="219"/>
      <c r="C103" s="237"/>
    </row>
    <row r="104" spans="1:3">
      <c r="A104" s="236" t="s">
        <v>2161</v>
      </c>
      <c r="B104" s="219"/>
      <c r="C104" s="237"/>
    </row>
    <row r="105" spans="1:3">
      <c r="A105" s="383" t="s">
        <v>1011</v>
      </c>
      <c r="B105" s="384" t="s">
        <v>1571</v>
      </c>
      <c r="C105" s="385"/>
    </row>
    <row r="106" spans="1:3">
      <c r="A106" s="386" t="s">
        <v>1012</v>
      </c>
      <c r="B106" s="387" t="s">
        <v>1570</v>
      </c>
      <c r="C106" s="388"/>
    </row>
    <row r="107" spans="1:3">
      <c r="A107" s="380" t="s">
        <v>1010</v>
      </c>
      <c r="B107" s="381" t="s">
        <v>989</v>
      </c>
      <c r="C107" s="382"/>
    </row>
    <row r="108" spans="1:3">
      <c r="A108" s="236" t="s">
        <v>1004</v>
      </c>
      <c r="B108" s="360" t="s">
        <v>997</v>
      </c>
      <c r="C108" s="361"/>
    </row>
    <row r="109" spans="1:3">
      <c r="A109" s="398" t="s">
        <v>1014</v>
      </c>
      <c r="B109" s="399" t="s">
        <v>2162</v>
      </c>
      <c r="C109" s="400"/>
    </row>
    <row r="110" spans="1:3">
      <c r="A110" s="377" t="s">
        <v>1009</v>
      </c>
      <c r="B110" s="184" t="s">
        <v>996</v>
      </c>
      <c r="C110" s="184"/>
    </row>
    <row r="111" spans="1:3">
      <c r="A111" s="362" t="s">
        <v>1003</v>
      </c>
      <c r="B111" s="363" t="s">
        <v>998</v>
      </c>
      <c r="C111" s="364"/>
    </row>
    <row r="112" spans="1:3">
      <c r="A112" s="368" t="s">
        <v>1006</v>
      </c>
      <c r="B112" s="369" t="s">
        <v>1000</v>
      </c>
      <c r="C112" s="370"/>
    </row>
    <row r="113" spans="1:3">
      <c r="A113" s="371" t="s">
        <v>1008</v>
      </c>
      <c r="B113" s="372" t="s">
        <v>1001</v>
      </c>
      <c r="C113" s="373"/>
    </row>
    <row r="114" spans="1:3">
      <c r="A114" s="392" t="s">
        <v>1015</v>
      </c>
      <c r="B114" s="393" t="s">
        <v>1577</v>
      </c>
      <c r="C114" s="394"/>
    </row>
    <row r="115" spans="1:3">
      <c r="A115" s="374" t="s">
        <v>1007</v>
      </c>
      <c r="B115" s="375" t="s">
        <v>1002</v>
      </c>
      <c r="C115" s="376"/>
    </row>
  </sheetData>
  <mergeCells count="4">
    <mergeCell ref="A31:C31"/>
    <mergeCell ref="A1:H1"/>
    <mergeCell ref="G16:H16"/>
    <mergeCell ref="A2:H2"/>
  </mergeCells>
  <hyperlinks>
    <hyperlink ref="J26" r:id="rId1" xr:uid="{DCE9EF98-77E1-47A0-9850-A25FA65F8490}"/>
  </hyperlinks>
  <pageMargins left="0.7" right="0.7" top="0.75" bottom="0.75" header="0.3" footer="0.3"/>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2314"/>
  <sheetViews>
    <sheetView zoomScaleNormal="100" workbookViewId="0">
      <pane xSplit="2" topLeftCell="C1" activePane="topRight" state="frozen"/>
      <selection activeCell="B3341" sqref="B3341:B4312"/>
      <selection pane="topRight" activeCell="B1" sqref="B1"/>
    </sheetView>
  </sheetViews>
  <sheetFormatPr defaultColWidth="8.84375" defaultRowHeight="13.5"/>
  <cols>
    <col min="1" max="1" width="10.23046875" hidden="1" customWidth="1"/>
    <col min="2" max="2" width="13.84375" customWidth="1"/>
    <col min="3" max="3" width="44" bestFit="1" customWidth="1"/>
    <col min="4" max="4" width="10.15234375" bestFit="1" customWidth="1"/>
    <col min="5" max="5" width="8" style="1" bestFit="1" customWidth="1"/>
    <col min="6" max="7" width="9" style="2" bestFit="1" customWidth="1"/>
    <col min="8" max="8" width="12.15234375" style="2" bestFit="1" customWidth="1"/>
    <col min="9" max="9" width="8.61328125" bestFit="1" customWidth="1"/>
    <col min="10" max="10" width="6.61328125" bestFit="1" customWidth="1"/>
    <col min="11" max="11" width="8.84375" style="2"/>
    <col min="12" max="13" width="13.3828125" bestFit="1" customWidth="1"/>
    <col min="14" max="14" width="11.61328125" bestFit="1" customWidth="1"/>
    <col min="18" max="18" width="11.3828125" bestFit="1" customWidth="1"/>
  </cols>
  <sheetData>
    <row r="1" spans="2:19">
      <c r="B1" s="3" t="s">
        <v>31</v>
      </c>
      <c r="C1" s="3" t="s">
        <v>522</v>
      </c>
      <c r="D1" s="3" t="s">
        <v>483</v>
      </c>
      <c r="E1" s="14" t="s">
        <v>484</v>
      </c>
      <c r="F1" s="4" t="s">
        <v>523</v>
      </c>
      <c r="G1" s="4" t="s">
        <v>524</v>
      </c>
      <c r="H1" s="4" t="s">
        <v>1145</v>
      </c>
      <c r="I1" s="3" t="s">
        <v>525</v>
      </c>
      <c r="J1" s="3" t="s">
        <v>526</v>
      </c>
      <c r="K1" s="410" t="s">
        <v>1538</v>
      </c>
      <c r="M1" s="15" t="s">
        <v>532</v>
      </c>
      <c r="N1" s="16">
        <f>SUM(G2:G1639)</f>
        <v>0</v>
      </c>
      <c r="R1" s="3" t="s">
        <v>527</v>
      </c>
      <c r="S1" s="3" t="s">
        <v>447</v>
      </c>
    </row>
    <row r="2" spans="2:19">
      <c r="B2" t="s">
        <v>395</v>
      </c>
      <c r="C2" t="s">
        <v>1085</v>
      </c>
      <c r="D2" s="5" t="str">
        <f>'Kilter Holds'!T35</f>
        <v>11-12</v>
      </c>
      <c r="E2" s="1">
        <f>_xlfn.IFNA(VLOOKUP('Comp X - Kilter'!B2,'Kilter Holds'!$P$36:$AB$370,5,0),0)</f>
        <v>10</v>
      </c>
      <c r="G2" s="2">
        <f>E2*F2</f>
        <v>0</v>
      </c>
      <c r="H2" s="2">
        <f>IF($S$11="Y",G2*0.15,0)</f>
        <v>0</v>
      </c>
      <c r="M2" s="17" t="s">
        <v>351</v>
      </c>
      <c r="N2" s="18">
        <v>0</v>
      </c>
      <c r="R2" s="22" t="str">
        <f>'Kilter Holds'!T35</f>
        <v>11-12</v>
      </c>
      <c r="S2" s="3" t="s">
        <v>531</v>
      </c>
    </row>
    <row r="3" spans="2:19">
      <c r="B3" t="s">
        <v>395</v>
      </c>
      <c r="C3" t="s">
        <v>1085</v>
      </c>
      <c r="D3" s="6" t="str">
        <f>'Kilter Holds'!U35</f>
        <v>14-01</v>
      </c>
      <c r="E3" s="1">
        <f>_xlfn.IFNA(VLOOKUP('Comp X - Kilter'!B3,'Kilter Holds'!$P$36:$AB$370,6,0),0)</f>
        <v>0</v>
      </c>
      <c r="G3" s="2">
        <f t="shared" ref="G3:G66" si="0">E3*F3</f>
        <v>0</v>
      </c>
      <c r="H3" s="2">
        <f t="shared" ref="H3:H66" si="1">IF($S$11="Y",G3*0.15,0)</f>
        <v>0</v>
      </c>
      <c r="M3" s="17" t="s">
        <v>1145</v>
      </c>
      <c r="N3" s="18">
        <f>SUM(H2:H1639)</f>
        <v>0</v>
      </c>
      <c r="R3" s="23" t="str">
        <f>'Kilter Holds'!U35</f>
        <v>14-01</v>
      </c>
      <c r="S3" s="3" t="s">
        <v>531</v>
      </c>
    </row>
    <row r="4" spans="2:19">
      <c r="B4" t="s">
        <v>395</v>
      </c>
      <c r="C4" t="s">
        <v>1085</v>
      </c>
      <c r="D4" s="7" t="str">
        <f>'Kilter Holds'!V35</f>
        <v>15-12</v>
      </c>
      <c r="E4" s="1">
        <f>_xlfn.IFNA(VLOOKUP('Comp X - Kilter'!B4,'Kilter Holds'!$P$36:$AB$370,7,0),0)</f>
        <v>3</v>
      </c>
      <c r="G4" s="2">
        <f t="shared" si="0"/>
        <v>0</v>
      </c>
      <c r="H4" s="2">
        <f t="shared" si="1"/>
        <v>0</v>
      </c>
      <c r="M4" s="17" t="s">
        <v>534</v>
      </c>
      <c r="N4" s="21">
        <v>0</v>
      </c>
      <c r="R4" s="24" t="str">
        <f>'Kilter Holds'!V35</f>
        <v>15-12</v>
      </c>
      <c r="S4" s="3" t="s">
        <v>531</v>
      </c>
    </row>
    <row r="5" spans="2:19">
      <c r="B5" t="s">
        <v>395</v>
      </c>
      <c r="C5" t="s">
        <v>1085</v>
      </c>
      <c r="D5" s="8" t="str">
        <f>'Kilter Holds'!W35</f>
        <v>16-16</v>
      </c>
      <c r="E5" s="1">
        <f>_xlfn.IFNA(VLOOKUP('Comp X - Kilter'!B5,'Kilter Holds'!$P$36:$AB$370,8,0),0)</f>
        <v>5</v>
      </c>
      <c r="G5" s="2">
        <f t="shared" si="0"/>
        <v>0</v>
      </c>
      <c r="H5" s="2">
        <f t="shared" si="1"/>
        <v>0</v>
      </c>
      <c r="M5" s="17" t="s">
        <v>485</v>
      </c>
      <c r="N5" s="18">
        <f>'Kilter Holds'!AC396</f>
        <v>90.838671289999439</v>
      </c>
      <c r="R5" s="25" t="str">
        <f>'Kilter Holds'!W35</f>
        <v>16-16</v>
      </c>
      <c r="S5" s="3" t="s">
        <v>531</v>
      </c>
    </row>
    <row r="6" spans="2:19">
      <c r="B6" t="s">
        <v>395</v>
      </c>
      <c r="C6" t="s">
        <v>1085</v>
      </c>
      <c r="D6" s="9" t="str">
        <f>'Kilter Holds'!X35</f>
        <v>13-01</v>
      </c>
      <c r="E6" s="1">
        <f>_xlfn.IFNA(VLOOKUP('Comp X - Kilter'!B6,'Kilter Holds'!$P$36:$AB$370,9,0),0)</f>
        <v>3</v>
      </c>
      <c r="G6" s="2">
        <f t="shared" si="0"/>
        <v>0</v>
      </c>
      <c r="H6" s="2">
        <f t="shared" si="1"/>
        <v>0</v>
      </c>
      <c r="M6" s="17" t="s">
        <v>533</v>
      </c>
      <c r="N6" s="18">
        <f>'Kilter Holds'!AC397</f>
        <v>49149.740205298061</v>
      </c>
      <c r="R6" s="26" t="str">
        <f>'Kilter Holds'!X35</f>
        <v>13-01</v>
      </c>
      <c r="S6" s="3" t="s">
        <v>531</v>
      </c>
    </row>
    <row r="7" spans="2:19" ht="14" thickBot="1">
      <c r="B7" t="s">
        <v>395</v>
      </c>
      <c r="C7" t="s">
        <v>1085</v>
      </c>
      <c r="D7" s="10" t="str">
        <f>'Kilter Holds'!Y35</f>
        <v>07-13</v>
      </c>
      <c r="E7" s="1">
        <f>_xlfn.IFNA(VLOOKUP('Comp X - Kilter'!B7,'Kilter Holds'!$P$36:$AB$370,10,0),0)</f>
        <v>0</v>
      </c>
      <c r="G7" s="2">
        <f t="shared" si="0"/>
        <v>0</v>
      </c>
      <c r="H7" s="2">
        <f t="shared" si="1"/>
        <v>0</v>
      </c>
      <c r="M7" s="19" t="s">
        <v>79</v>
      </c>
      <c r="N7" s="20">
        <f>SUM(N1:N6)</f>
        <v>49240.578876588064</v>
      </c>
      <c r="R7" s="27" t="str">
        <f>'Kilter Holds'!Y35</f>
        <v>07-13</v>
      </c>
      <c r="S7" s="3" t="s">
        <v>531</v>
      </c>
    </row>
    <row r="8" spans="2:19">
      <c r="B8" t="s">
        <v>395</v>
      </c>
      <c r="C8" t="s">
        <v>1085</v>
      </c>
      <c r="D8" s="11" t="str">
        <f>'Kilter Holds'!Z35</f>
        <v>11-25</v>
      </c>
      <c r="E8" s="1">
        <f>_xlfn.IFNA(VLOOKUP('Comp X - Kilter'!B8,'Kilter Holds'!$P$36:$AB$370,11,0),0)</f>
        <v>5</v>
      </c>
      <c r="G8" s="2">
        <f t="shared" si="0"/>
        <v>0</v>
      </c>
      <c r="H8" s="2">
        <f t="shared" si="1"/>
        <v>0</v>
      </c>
      <c r="R8" s="28" t="str">
        <f>'Kilter Holds'!Z35</f>
        <v>11-25</v>
      </c>
      <c r="S8" s="3" t="s">
        <v>531</v>
      </c>
    </row>
    <row r="9" spans="2:19">
      <c r="B9" t="s">
        <v>395</v>
      </c>
      <c r="C9" t="s">
        <v>1085</v>
      </c>
      <c r="D9" s="13" t="str">
        <f>'Kilter Holds'!AA35</f>
        <v>18-01</v>
      </c>
      <c r="E9" s="1">
        <f>_xlfn.IFNA(VLOOKUP('Comp X - Kilter'!B9,'Kilter Holds'!$P$36:$AB$370,12,0),0)</f>
        <v>5</v>
      </c>
      <c r="G9" s="2">
        <f t="shared" si="0"/>
        <v>0</v>
      </c>
      <c r="H9" s="2">
        <f t="shared" si="1"/>
        <v>0</v>
      </c>
      <c r="R9" s="29" t="str">
        <f>'Kilter Holds'!AA35</f>
        <v>18-01</v>
      </c>
      <c r="S9" s="3" t="s">
        <v>531</v>
      </c>
    </row>
    <row r="10" spans="2:19">
      <c r="B10" t="s">
        <v>395</v>
      </c>
      <c r="C10" t="s">
        <v>1085</v>
      </c>
      <c r="D10" s="12" t="str">
        <f>'Kilter Holds'!AB35</f>
        <v>12-01</v>
      </c>
      <c r="E10" s="1">
        <f>_xlfn.IFNA(VLOOKUP('Comp X - Kilter'!B10,'Kilter Holds'!$P$36:$AB$370,13,0),0)</f>
        <v>0</v>
      </c>
      <c r="G10" s="2">
        <f t="shared" si="0"/>
        <v>0</v>
      </c>
      <c r="H10" s="2">
        <f t="shared" si="1"/>
        <v>0</v>
      </c>
      <c r="R10" s="12" t="str">
        <f>'Kilter Holds'!AB35</f>
        <v>12-01</v>
      </c>
      <c r="S10" s="3" t="s">
        <v>530</v>
      </c>
    </row>
    <row r="11" spans="2:19">
      <c r="B11" t="s">
        <v>539</v>
      </c>
      <c r="C11" t="s">
        <v>1086</v>
      </c>
      <c r="D11" s="5" t="str">
        <f t="shared" ref="D11:D19" si="2">D2</f>
        <v>11-12</v>
      </c>
      <c r="E11" s="1">
        <f>_xlfn.IFNA(VLOOKUP('Comp X - Kilter'!B11,'Kilter Holds'!$P$36:$AB$370,5,0),0)</f>
        <v>3</v>
      </c>
      <c r="G11" s="2">
        <f t="shared" si="0"/>
        <v>0</v>
      </c>
      <c r="H11" s="2">
        <f t="shared" si="1"/>
        <v>0</v>
      </c>
      <c r="R11" s="3" t="s">
        <v>1145</v>
      </c>
      <c r="S11" s="3" t="s">
        <v>531</v>
      </c>
    </row>
    <row r="12" spans="2:19">
      <c r="B12" t="s">
        <v>539</v>
      </c>
      <c r="C12" t="s">
        <v>1086</v>
      </c>
      <c r="D12" s="6" t="str">
        <f t="shared" si="2"/>
        <v>14-01</v>
      </c>
      <c r="E12" s="1">
        <f>_xlfn.IFNA(VLOOKUP('Comp X - Kilter'!B12,'Kilter Holds'!$P$36:$AB$370,6,0),0)</f>
        <v>0</v>
      </c>
      <c r="G12" s="2">
        <f t="shared" si="0"/>
        <v>0</v>
      </c>
      <c r="H12" s="2">
        <f t="shared" si="1"/>
        <v>0</v>
      </c>
      <c r="S12" s="3"/>
    </row>
    <row r="13" spans="2:19">
      <c r="B13" t="s">
        <v>539</v>
      </c>
      <c r="C13" t="s">
        <v>1086</v>
      </c>
      <c r="D13" s="7" t="str">
        <f t="shared" si="2"/>
        <v>15-12</v>
      </c>
      <c r="E13" s="1">
        <f>_xlfn.IFNA(VLOOKUP('Comp X - Kilter'!B13,'Kilter Holds'!$P$36:$AB$370,7,0),0)</f>
        <v>6</v>
      </c>
      <c r="G13" s="2">
        <f t="shared" si="0"/>
        <v>0</v>
      </c>
      <c r="H13" s="2">
        <f t="shared" si="1"/>
        <v>0</v>
      </c>
    </row>
    <row r="14" spans="2:19">
      <c r="B14" t="s">
        <v>539</v>
      </c>
      <c r="C14" t="s">
        <v>1086</v>
      </c>
      <c r="D14" s="8" t="str">
        <f t="shared" si="2"/>
        <v>16-16</v>
      </c>
      <c r="E14" s="1">
        <f>_xlfn.IFNA(VLOOKUP('Comp X - Kilter'!B14,'Kilter Holds'!$P$36:$AB$370,8,0),0)</f>
        <v>5</v>
      </c>
      <c r="G14" s="2">
        <f t="shared" si="0"/>
        <v>0</v>
      </c>
      <c r="H14" s="2">
        <f t="shared" si="1"/>
        <v>0</v>
      </c>
    </row>
    <row r="15" spans="2:19">
      <c r="B15" t="s">
        <v>539</v>
      </c>
      <c r="C15" t="s">
        <v>1086</v>
      </c>
      <c r="D15" s="9" t="str">
        <f t="shared" si="2"/>
        <v>13-01</v>
      </c>
      <c r="E15" s="1">
        <f>_xlfn.IFNA(VLOOKUP('Comp X - Kilter'!B15,'Kilter Holds'!$P$36:$AB$370,9,0),0)</f>
        <v>4</v>
      </c>
      <c r="G15" s="2">
        <f t="shared" si="0"/>
        <v>0</v>
      </c>
      <c r="H15" s="2">
        <f t="shared" si="1"/>
        <v>0</v>
      </c>
    </row>
    <row r="16" spans="2:19">
      <c r="B16" t="s">
        <v>539</v>
      </c>
      <c r="C16" t="s">
        <v>1086</v>
      </c>
      <c r="D16" s="10" t="str">
        <f t="shared" si="2"/>
        <v>07-13</v>
      </c>
      <c r="E16" s="1">
        <f>_xlfn.IFNA(VLOOKUP('Comp X - Kilter'!B16,'Kilter Holds'!$P$36:$AB$370,10,0),0)</f>
        <v>0</v>
      </c>
      <c r="G16" s="2">
        <f t="shared" si="0"/>
        <v>0</v>
      </c>
      <c r="H16" s="2">
        <f t="shared" si="1"/>
        <v>0</v>
      </c>
    </row>
    <row r="17" spans="2:12">
      <c r="B17" t="s">
        <v>539</v>
      </c>
      <c r="C17" t="s">
        <v>1086</v>
      </c>
      <c r="D17" s="11" t="str">
        <f t="shared" si="2"/>
        <v>11-25</v>
      </c>
      <c r="E17" s="1">
        <f>_xlfn.IFNA(VLOOKUP('Comp X - Kilter'!B17,'Kilter Holds'!$P$36:$AB$370,11,0),0)</f>
        <v>4</v>
      </c>
      <c r="G17" s="2">
        <f t="shared" si="0"/>
        <v>0</v>
      </c>
      <c r="H17" s="2">
        <f t="shared" si="1"/>
        <v>0</v>
      </c>
    </row>
    <row r="18" spans="2:12">
      <c r="B18" t="s">
        <v>539</v>
      </c>
      <c r="C18" t="s">
        <v>1086</v>
      </c>
      <c r="D18" s="13" t="str">
        <f t="shared" si="2"/>
        <v>18-01</v>
      </c>
      <c r="E18" s="1">
        <f>_xlfn.IFNA(VLOOKUP('Comp X - Kilter'!B18,'Kilter Holds'!$P$36:$AB$370,12,0),0)</f>
        <v>5</v>
      </c>
      <c r="G18" s="2">
        <f t="shared" si="0"/>
        <v>0</v>
      </c>
      <c r="H18" s="2">
        <f t="shared" si="1"/>
        <v>0</v>
      </c>
    </row>
    <row r="19" spans="2:12">
      <c r="B19" t="s">
        <v>539</v>
      </c>
      <c r="C19" t="s">
        <v>1086</v>
      </c>
      <c r="D19" s="12" t="str">
        <f t="shared" si="2"/>
        <v>12-01</v>
      </c>
      <c r="E19" s="1">
        <f>_xlfn.IFNA(VLOOKUP('Comp X - Kilter'!B19,'Kilter Holds'!$P$36:$AB$370,13,0),0)</f>
        <v>0</v>
      </c>
      <c r="G19" s="2">
        <f t="shared" si="0"/>
        <v>0</v>
      </c>
      <c r="H19" s="2">
        <f t="shared" si="1"/>
        <v>0</v>
      </c>
    </row>
    <row r="20" spans="2:12">
      <c r="B20" t="s">
        <v>396</v>
      </c>
      <c r="C20" t="s">
        <v>1087</v>
      </c>
      <c r="D20" s="5" t="str">
        <f t="shared" ref="D20:D83" si="3">D11</f>
        <v>11-12</v>
      </c>
      <c r="E20" s="1">
        <f>_xlfn.IFNA(VLOOKUP('Comp X - Kilter'!B20,'Kilter Holds'!$P$36:$AB$370,5,0),0)</f>
        <v>0</v>
      </c>
      <c r="G20" s="2">
        <f t="shared" si="0"/>
        <v>0</v>
      </c>
      <c r="H20" s="2">
        <f t="shared" si="1"/>
        <v>0</v>
      </c>
    </row>
    <row r="21" spans="2:12">
      <c r="B21" t="s">
        <v>396</v>
      </c>
      <c r="C21" t="s">
        <v>1087</v>
      </c>
      <c r="D21" s="6" t="str">
        <f t="shared" si="3"/>
        <v>14-01</v>
      </c>
      <c r="E21" s="1">
        <f>_xlfn.IFNA(VLOOKUP('Comp X - Kilter'!B21,'Kilter Holds'!$P$36:$AB$370,6,0),0)</f>
        <v>0</v>
      </c>
      <c r="G21" s="2">
        <f t="shared" si="0"/>
        <v>0</v>
      </c>
      <c r="H21" s="2">
        <f t="shared" si="1"/>
        <v>0</v>
      </c>
    </row>
    <row r="22" spans="2:12">
      <c r="B22" t="s">
        <v>396</v>
      </c>
      <c r="C22" t="s">
        <v>1087</v>
      </c>
      <c r="D22" s="7" t="str">
        <f t="shared" si="3"/>
        <v>15-12</v>
      </c>
      <c r="E22" s="1">
        <f>_xlfn.IFNA(VLOOKUP('Comp X - Kilter'!B22,'Kilter Holds'!$P$36:$AB$370,7,0),0)</f>
        <v>5</v>
      </c>
      <c r="G22" s="2">
        <f t="shared" si="0"/>
        <v>0</v>
      </c>
      <c r="H22" s="2">
        <f t="shared" si="1"/>
        <v>0</v>
      </c>
    </row>
    <row r="23" spans="2:12">
      <c r="B23" t="s">
        <v>396</v>
      </c>
      <c r="C23" t="s">
        <v>1087</v>
      </c>
      <c r="D23" s="8" t="str">
        <f t="shared" si="3"/>
        <v>16-16</v>
      </c>
      <c r="E23" s="1">
        <f>_xlfn.IFNA(VLOOKUP('Comp X - Kilter'!B23,'Kilter Holds'!$P$36:$AB$370,8,0),0)</f>
        <v>4</v>
      </c>
      <c r="G23" s="2">
        <f t="shared" si="0"/>
        <v>0</v>
      </c>
      <c r="H23" s="2">
        <f t="shared" si="1"/>
        <v>0</v>
      </c>
    </row>
    <row r="24" spans="2:12">
      <c r="B24" t="s">
        <v>396</v>
      </c>
      <c r="C24" t="s">
        <v>1087</v>
      </c>
      <c r="D24" s="9" t="str">
        <f t="shared" si="3"/>
        <v>13-01</v>
      </c>
      <c r="E24" s="1">
        <f>_xlfn.IFNA(VLOOKUP('Comp X - Kilter'!B24,'Kilter Holds'!$P$36:$AB$370,9,0),0)</f>
        <v>4</v>
      </c>
      <c r="G24" s="2">
        <f t="shared" si="0"/>
        <v>0</v>
      </c>
      <c r="H24" s="2">
        <f t="shared" si="1"/>
        <v>0</v>
      </c>
    </row>
    <row r="25" spans="2:12">
      <c r="B25" t="s">
        <v>396</v>
      </c>
      <c r="C25" t="s">
        <v>1087</v>
      </c>
      <c r="D25" s="10" t="str">
        <f t="shared" si="3"/>
        <v>07-13</v>
      </c>
      <c r="E25" s="1">
        <f>_xlfn.IFNA(VLOOKUP('Comp X - Kilter'!B25,'Kilter Holds'!$P$36:$AB$370,10,0),0)</f>
        <v>0</v>
      </c>
      <c r="G25" s="2">
        <f t="shared" si="0"/>
        <v>0</v>
      </c>
      <c r="H25" s="2">
        <f t="shared" si="1"/>
        <v>0</v>
      </c>
    </row>
    <row r="26" spans="2:12">
      <c r="B26" t="s">
        <v>396</v>
      </c>
      <c r="C26" t="s">
        <v>1087</v>
      </c>
      <c r="D26" s="11" t="str">
        <f t="shared" si="3"/>
        <v>11-25</v>
      </c>
      <c r="E26" s="1">
        <f>_xlfn.IFNA(VLOOKUP('Comp X - Kilter'!B26,'Kilter Holds'!$P$36:$AB$370,11,0),0)</f>
        <v>2</v>
      </c>
      <c r="G26" s="2">
        <f t="shared" si="0"/>
        <v>0</v>
      </c>
      <c r="H26" s="2">
        <f t="shared" si="1"/>
        <v>0</v>
      </c>
      <c r="K26" s="410"/>
      <c r="L26" s="3"/>
    </row>
    <row r="27" spans="2:12">
      <c r="B27" t="s">
        <v>396</v>
      </c>
      <c r="C27" t="s">
        <v>1087</v>
      </c>
      <c r="D27" s="13" t="str">
        <f t="shared" si="3"/>
        <v>18-01</v>
      </c>
      <c r="E27" s="1">
        <f>_xlfn.IFNA(VLOOKUP('Comp X - Kilter'!B27,'Kilter Holds'!$P$36:$AB$370,12,0),0)</f>
        <v>5</v>
      </c>
      <c r="G27" s="2">
        <f t="shared" si="0"/>
        <v>0</v>
      </c>
      <c r="H27" s="2">
        <f t="shared" si="1"/>
        <v>0</v>
      </c>
    </row>
    <row r="28" spans="2:12">
      <c r="B28" t="s">
        <v>396</v>
      </c>
      <c r="C28" t="s">
        <v>1087</v>
      </c>
      <c r="D28" s="12" t="str">
        <f t="shared" si="3"/>
        <v>12-01</v>
      </c>
      <c r="E28" s="1">
        <f>_xlfn.IFNA(VLOOKUP('Comp X - Kilter'!B28,'Kilter Holds'!$P$36:$AB$370,13,0),0)</f>
        <v>0</v>
      </c>
      <c r="G28" s="2">
        <f t="shared" si="0"/>
        <v>0</v>
      </c>
      <c r="H28" s="2">
        <f t="shared" si="1"/>
        <v>0</v>
      </c>
    </row>
    <row r="29" spans="2:12">
      <c r="B29" t="s">
        <v>541</v>
      </c>
      <c r="C29" t="s">
        <v>1088</v>
      </c>
      <c r="D29" s="5" t="str">
        <f t="shared" si="3"/>
        <v>11-12</v>
      </c>
      <c r="E29" s="1">
        <f>_xlfn.IFNA(VLOOKUP('Comp X - Kilter'!B29,'Kilter Holds'!$P$36:$AB$370,5,0),0)</f>
        <v>0</v>
      </c>
      <c r="G29" s="2">
        <f t="shared" si="0"/>
        <v>0</v>
      </c>
      <c r="H29" s="2">
        <f t="shared" si="1"/>
        <v>0</v>
      </c>
    </row>
    <row r="30" spans="2:12">
      <c r="B30" t="s">
        <v>541</v>
      </c>
      <c r="C30" t="s">
        <v>1088</v>
      </c>
      <c r="D30" s="6" t="str">
        <f t="shared" si="3"/>
        <v>14-01</v>
      </c>
      <c r="E30" s="1">
        <f>_xlfn.IFNA(VLOOKUP('Comp X - Kilter'!B30,'Kilter Holds'!$P$36:$AB$370,6,0),0)</f>
        <v>0</v>
      </c>
      <c r="G30" s="2">
        <f t="shared" si="0"/>
        <v>0</v>
      </c>
      <c r="H30" s="2">
        <f t="shared" si="1"/>
        <v>0</v>
      </c>
    </row>
    <row r="31" spans="2:12">
      <c r="B31" t="s">
        <v>541</v>
      </c>
      <c r="C31" t="s">
        <v>1088</v>
      </c>
      <c r="D31" s="7" t="str">
        <f t="shared" si="3"/>
        <v>15-12</v>
      </c>
      <c r="E31" s="1">
        <f>_xlfn.IFNA(VLOOKUP('Comp X - Kilter'!B31,'Kilter Holds'!$P$36:$AB$370,7,0),0)</f>
        <v>5</v>
      </c>
      <c r="G31" s="2">
        <f t="shared" si="0"/>
        <v>0</v>
      </c>
      <c r="H31" s="2">
        <f t="shared" si="1"/>
        <v>0</v>
      </c>
    </row>
    <row r="32" spans="2:12">
      <c r="B32" t="s">
        <v>541</v>
      </c>
      <c r="C32" t="s">
        <v>1088</v>
      </c>
      <c r="D32" s="8" t="str">
        <f t="shared" si="3"/>
        <v>16-16</v>
      </c>
      <c r="E32" s="1">
        <f>_xlfn.IFNA(VLOOKUP('Comp X - Kilter'!B32,'Kilter Holds'!$P$36:$AB$370,8,0),0)</f>
        <v>0</v>
      </c>
      <c r="G32" s="2">
        <f t="shared" si="0"/>
        <v>0</v>
      </c>
      <c r="H32" s="2">
        <f t="shared" si="1"/>
        <v>0</v>
      </c>
    </row>
    <row r="33" spans="2:8">
      <c r="B33" t="s">
        <v>541</v>
      </c>
      <c r="C33" t="s">
        <v>1088</v>
      </c>
      <c r="D33" s="9" t="str">
        <f t="shared" si="3"/>
        <v>13-01</v>
      </c>
      <c r="E33" s="1">
        <f>_xlfn.IFNA(VLOOKUP('Comp X - Kilter'!B33,'Kilter Holds'!$P$36:$AB$370,9,0),0)</f>
        <v>5</v>
      </c>
      <c r="G33" s="2">
        <f t="shared" si="0"/>
        <v>0</v>
      </c>
      <c r="H33" s="2">
        <f t="shared" si="1"/>
        <v>0</v>
      </c>
    </row>
    <row r="34" spans="2:8">
      <c r="B34" t="s">
        <v>541</v>
      </c>
      <c r="C34" t="s">
        <v>1088</v>
      </c>
      <c r="D34" s="10" t="str">
        <f t="shared" si="3"/>
        <v>07-13</v>
      </c>
      <c r="E34" s="1">
        <f>_xlfn.IFNA(VLOOKUP('Comp X - Kilter'!B34,'Kilter Holds'!$P$36:$AB$370,10,0),0)</f>
        <v>7</v>
      </c>
      <c r="G34" s="2">
        <f t="shared" si="0"/>
        <v>0</v>
      </c>
      <c r="H34" s="2">
        <f t="shared" si="1"/>
        <v>0</v>
      </c>
    </row>
    <row r="35" spans="2:8">
      <c r="B35" t="s">
        <v>541</v>
      </c>
      <c r="C35" t="s">
        <v>1088</v>
      </c>
      <c r="D35" s="11" t="str">
        <f t="shared" si="3"/>
        <v>11-25</v>
      </c>
      <c r="E35" s="1">
        <f>_xlfn.IFNA(VLOOKUP('Comp X - Kilter'!B35,'Kilter Holds'!$P$36:$AB$370,11,0),0)</f>
        <v>4</v>
      </c>
      <c r="G35" s="2">
        <f t="shared" si="0"/>
        <v>0</v>
      </c>
      <c r="H35" s="2">
        <f t="shared" si="1"/>
        <v>0</v>
      </c>
    </row>
    <row r="36" spans="2:8">
      <c r="B36" t="s">
        <v>541</v>
      </c>
      <c r="C36" t="s">
        <v>1088</v>
      </c>
      <c r="D36" s="13" t="str">
        <f t="shared" si="3"/>
        <v>18-01</v>
      </c>
      <c r="E36" s="1">
        <f>_xlfn.IFNA(VLOOKUP('Comp X - Kilter'!B36,'Kilter Holds'!$P$36:$AB$370,12,0),0)</f>
        <v>5</v>
      </c>
      <c r="G36" s="2">
        <f t="shared" si="0"/>
        <v>0</v>
      </c>
      <c r="H36" s="2">
        <f t="shared" si="1"/>
        <v>0</v>
      </c>
    </row>
    <row r="37" spans="2:8">
      <c r="B37" t="s">
        <v>541</v>
      </c>
      <c r="C37" t="s">
        <v>1088</v>
      </c>
      <c r="D37" s="12" t="str">
        <f t="shared" si="3"/>
        <v>12-01</v>
      </c>
      <c r="E37" s="1">
        <f>_xlfn.IFNA(VLOOKUP('Comp X - Kilter'!B37,'Kilter Holds'!$P$36:$AB$370,13,0),0)</f>
        <v>0</v>
      </c>
      <c r="G37" s="2">
        <f t="shared" si="0"/>
        <v>0</v>
      </c>
      <c r="H37" s="2">
        <f t="shared" si="1"/>
        <v>0</v>
      </c>
    </row>
    <row r="38" spans="2:8">
      <c r="B38" t="s">
        <v>542</v>
      </c>
      <c r="C38" t="s">
        <v>1089</v>
      </c>
      <c r="D38" s="5" t="str">
        <f t="shared" si="3"/>
        <v>11-12</v>
      </c>
      <c r="E38" s="1">
        <f>_xlfn.IFNA(VLOOKUP('Comp X - Kilter'!B38,'Kilter Holds'!$P$36:$AB$370,5,0),0)</f>
        <v>1</v>
      </c>
      <c r="G38" s="2">
        <f t="shared" si="0"/>
        <v>0</v>
      </c>
      <c r="H38" s="2">
        <f t="shared" si="1"/>
        <v>0</v>
      </c>
    </row>
    <row r="39" spans="2:8">
      <c r="B39" t="s">
        <v>542</v>
      </c>
      <c r="C39" t="s">
        <v>1089</v>
      </c>
      <c r="D39" s="6" t="str">
        <f t="shared" si="3"/>
        <v>14-01</v>
      </c>
      <c r="E39" s="1">
        <f>_xlfn.IFNA(VLOOKUP('Comp X - Kilter'!B39,'Kilter Holds'!$P$36:$AB$370,6,0),0)</f>
        <v>1</v>
      </c>
      <c r="G39" s="2">
        <f t="shared" si="0"/>
        <v>0</v>
      </c>
      <c r="H39" s="2">
        <f t="shared" si="1"/>
        <v>0</v>
      </c>
    </row>
    <row r="40" spans="2:8">
      <c r="B40" t="s">
        <v>542</v>
      </c>
      <c r="C40" t="s">
        <v>1089</v>
      </c>
      <c r="D40" s="7" t="str">
        <f t="shared" si="3"/>
        <v>15-12</v>
      </c>
      <c r="E40" s="1">
        <f>_xlfn.IFNA(VLOOKUP('Comp X - Kilter'!B40,'Kilter Holds'!$P$36:$AB$370,7,0),0)</f>
        <v>5</v>
      </c>
      <c r="G40" s="2">
        <f t="shared" si="0"/>
        <v>0</v>
      </c>
      <c r="H40" s="2">
        <f t="shared" si="1"/>
        <v>0</v>
      </c>
    </row>
    <row r="41" spans="2:8">
      <c r="B41" t="s">
        <v>542</v>
      </c>
      <c r="C41" t="s">
        <v>1089</v>
      </c>
      <c r="D41" s="8" t="str">
        <f t="shared" si="3"/>
        <v>16-16</v>
      </c>
      <c r="E41" s="1">
        <f>_xlfn.IFNA(VLOOKUP('Comp X - Kilter'!B41,'Kilter Holds'!$P$36:$AB$370,8,0),0)</f>
        <v>0</v>
      </c>
      <c r="G41" s="2">
        <f t="shared" si="0"/>
        <v>0</v>
      </c>
      <c r="H41" s="2">
        <f t="shared" si="1"/>
        <v>0</v>
      </c>
    </row>
    <row r="42" spans="2:8">
      <c r="B42" t="s">
        <v>542</v>
      </c>
      <c r="C42" t="s">
        <v>1089</v>
      </c>
      <c r="D42" s="9" t="str">
        <f t="shared" si="3"/>
        <v>13-01</v>
      </c>
      <c r="E42" s="1">
        <f>_xlfn.IFNA(VLOOKUP('Comp X - Kilter'!B42,'Kilter Holds'!$P$36:$AB$370,9,0),0)</f>
        <v>5</v>
      </c>
      <c r="G42" s="2">
        <f t="shared" si="0"/>
        <v>0</v>
      </c>
      <c r="H42" s="2">
        <f t="shared" si="1"/>
        <v>0</v>
      </c>
    </row>
    <row r="43" spans="2:8">
      <c r="B43" t="s">
        <v>542</v>
      </c>
      <c r="C43" t="s">
        <v>1089</v>
      </c>
      <c r="D43" s="10" t="str">
        <f t="shared" si="3"/>
        <v>07-13</v>
      </c>
      <c r="E43" s="1">
        <f>_xlfn.IFNA(VLOOKUP('Comp X - Kilter'!B43,'Kilter Holds'!$P$36:$AB$370,10,0),0)</f>
        <v>0</v>
      </c>
      <c r="G43" s="2">
        <f t="shared" si="0"/>
        <v>0</v>
      </c>
      <c r="H43" s="2">
        <f t="shared" si="1"/>
        <v>0</v>
      </c>
    </row>
    <row r="44" spans="2:8">
      <c r="B44" t="s">
        <v>542</v>
      </c>
      <c r="C44" t="s">
        <v>1089</v>
      </c>
      <c r="D44" s="11" t="str">
        <f t="shared" si="3"/>
        <v>11-25</v>
      </c>
      <c r="E44" s="1">
        <f>_xlfn.IFNA(VLOOKUP('Comp X - Kilter'!B44,'Kilter Holds'!$P$36:$AB$370,11,0),0)</f>
        <v>0</v>
      </c>
      <c r="G44" s="2">
        <f t="shared" si="0"/>
        <v>0</v>
      </c>
      <c r="H44" s="2">
        <f t="shared" si="1"/>
        <v>0</v>
      </c>
    </row>
    <row r="45" spans="2:8">
      <c r="B45" t="s">
        <v>542</v>
      </c>
      <c r="C45" t="s">
        <v>1089</v>
      </c>
      <c r="D45" s="13" t="str">
        <f t="shared" si="3"/>
        <v>18-01</v>
      </c>
      <c r="E45" s="1">
        <f>_xlfn.IFNA(VLOOKUP('Comp X - Kilter'!B45,'Kilter Holds'!$P$36:$AB$370,12,0),0)</f>
        <v>9</v>
      </c>
      <c r="G45" s="2">
        <f t="shared" si="0"/>
        <v>0</v>
      </c>
      <c r="H45" s="2">
        <f t="shared" si="1"/>
        <v>0</v>
      </c>
    </row>
    <row r="46" spans="2:8">
      <c r="B46" t="s">
        <v>542</v>
      </c>
      <c r="C46" t="s">
        <v>1089</v>
      </c>
      <c r="D46" s="12" t="str">
        <f t="shared" si="3"/>
        <v>12-01</v>
      </c>
      <c r="E46" s="1">
        <f>_xlfn.IFNA(VLOOKUP('Comp X - Kilter'!B46,'Kilter Holds'!$P$36:$AB$370,13,0),0)</f>
        <v>3</v>
      </c>
      <c r="G46" s="2">
        <f t="shared" si="0"/>
        <v>0</v>
      </c>
      <c r="H46" s="2">
        <f t="shared" si="1"/>
        <v>0</v>
      </c>
    </row>
    <row r="47" spans="2:8">
      <c r="B47" t="s">
        <v>543</v>
      </c>
      <c r="C47" t="s">
        <v>1090</v>
      </c>
      <c r="D47" s="5" t="str">
        <f t="shared" si="3"/>
        <v>11-12</v>
      </c>
      <c r="E47" s="1">
        <f>_xlfn.IFNA(VLOOKUP('Comp X - Kilter'!B47,'Kilter Holds'!$P$36:$AB$370,5,0),0)</f>
        <v>5</v>
      </c>
      <c r="G47" s="2">
        <f t="shared" si="0"/>
        <v>0</v>
      </c>
      <c r="H47" s="2">
        <f t="shared" si="1"/>
        <v>0</v>
      </c>
    </row>
    <row r="48" spans="2:8">
      <c r="B48" t="s">
        <v>543</v>
      </c>
      <c r="C48" t="s">
        <v>1090</v>
      </c>
      <c r="D48" s="6" t="str">
        <f t="shared" si="3"/>
        <v>14-01</v>
      </c>
      <c r="E48" s="1">
        <f>_xlfn.IFNA(VLOOKUP('Comp X - Kilter'!B48,'Kilter Holds'!$P$36:$AB$370,6,0),0)</f>
        <v>1</v>
      </c>
      <c r="G48" s="2">
        <f t="shared" si="0"/>
        <v>0</v>
      </c>
      <c r="H48" s="2">
        <f t="shared" si="1"/>
        <v>0</v>
      </c>
    </row>
    <row r="49" spans="2:8">
      <c r="B49" t="s">
        <v>543</v>
      </c>
      <c r="C49" t="s">
        <v>1090</v>
      </c>
      <c r="D49" s="7" t="str">
        <f t="shared" si="3"/>
        <v>15-12</v>
      </c>
      <c r="E49" s="1">
        <f>_xlfn.IFNA(VLOOKUP('Comp X - Kilter'!B49,'Kilter Holds'!$P$36:$AB$370,7,0),0)</f>
        <v>5</v>
      </c>
      <c r="G49" s="2">
        <f t="shared" si="0"/>
        <v>0</v>
      </c>
      <c r="H49" s="2">
        <f t="shared" si="1"/>
        <v>0</v>
      </c>
    </row>
    <row r="50" spans="2:8">
      <c r="B50" t="s">
        <v>543</v>
      </c>
      <c r="C50" t="s">
        <v>1090</v>
      </c>
      <c r="D50" s="8" t="str">
        <f t="shared" si="3"/>
        <v>16-16</v>
      </c>
      <c r="E50" s="1">
        <f>_xlfn.IFNA(VLOOKUP('Comp X - Kilter'!B50,'Kilter Holds'!$P$36:$AB$370,8,0),0)</f>
        <v>0</v>
      </c>
      <c r="G50" s="2">
        <f t="shared" si="0"/>
        <v>0</v>
      </c>
      <c r="H50" s="2">
        <f t="shared" si="1"/>
        <v>0</v>
      </c>
    </row>
    <row r="51" spans="2:8">
      <c r="B51" t="s">
        <v>543</v>
      </c>
      <c r="C51" t="s">
        <v>1090</v>
      </c>
      <c r="D51" s="9" t="str">
        <f t="shared" si="3"/>
        <v>13-01</v>
      </c>
      <c r="E51" s="1">
        <f>_xlfn.IFNA(VLOOKUP('Comp X - Kilter'!B51,'Kilter Holds'!$P$36:$AB$370,9,0),0)</f>
        <v>0</v>
      </c>
      <c r="G51" s="2">
        <f t="shared" si="0"/>
        <v>0</v>
      </c>
      <c r="H51" s="2">
        <f t="shared" si="1"/>
        <v>0</v>
      </c>
    </row>
    <row r="52" spans="2:8">
      <c r="B52" t="s">
        <v>543</v>
      </c>
      <c r="C52" t="s">
        <v>1090</v>
      </c>
      <c r="D52" s="10" t="str">
        <f t="shared" si="3"/>
        <v>07-13</v>
      </c>
      <c r="E52" s="1">
        <f>_xlfn.IFNA(VLOOKUP('Comp X - Kilter'!B52,'Kilter Holds'!$P$36:$AB$370,10,0),0)</f>
        <v>0</v>
      </c>
      <c r="G52" s="2">
        <f t="shared" si="0"/>
        <v>0</v>
      </c>
      <c r="H52" s="2">
        <f t="shared" si="1"/>
        <v>0</v>
      </c>
    </row>
    <row r="53" spans="2:8">
      <c r="B53" t="s">
        <v>543</v>
      </c>
      <c r="C53" t="s">
        <v>1090</v>
      </c>
      <c r="D53" s="11" t="str">
        <f t="shared" si="3"/>
        <v>11-25</v>
      </c>
      <c r="E53" s="1">
        <f>_xlfn.IFNA(VLOOKUP('Comp X - Kilter'!B53,'Kilter Holds'!$P$36:$AB$370,11,0),0)</f>
        <v>0</v>
      </c>
      <c r="G53" s="2">
        <f t="shared" si="0"/>
        <v>0</v>
      </c>
      <c r="H53" s="2">
        <f t="shared" si="1"/>
        <v>0</v>
      </c>
    </row>
    <row r="54" spans="2:8">
      <c r="B54" t="s">
        <v>543</v>
      </c>
      <c r="C54" t="s">
        <v>1090</v>
      </c>
      <c r="D54" s="13" t="str">
        <f t="shared" si="3"/>
        <v>18-01</v>
      </c>
      <c r="E54" s="1">
        <f>_xlfn.IFNA(VLOOKUP('Comp X - Kilter'!B54,'Kilter Holds'!$P$36:$AB$370,12,0),0)</f>
        <v>6</v>
      </c>
      <c r="G54" s="2">
        <f t="shared" si="0"/>
        <v>0</v>
      </c>
      <c r="H54" s="2">
        <f t="shared" si="1"/>
        <v>0</v>
      </c>
    </row>
    <row r="55" spans="2:8">
      <c r="B55" t="s">
        <v>543</v>
      </c>
      <c r="C55" t="s">
        <v>1090</v>
      </c>
      <c r="D55" s="12" t="str">
        <f t="shared" si="3"/>
        <v>12-01</v>
      </c>
      <c r="E55" s="1">
        <f>_xlfn.IFNA(VLOOKUP('Comp X - Kilter'!B55,'Kilter Holds'!$P$36:$AB$370,13,0),0)</f>
        <v>3</v>
      </c>
      <c r="G55" s="2">
        <f t="shared" si="0"/>
        <v>0</v>
      </c>
      <c r="H55" s="2">
        <f t="shared" si="1"/>
        <v>0</v>
      </c>
    </row>
    <row r="56" spans="2:8">
      <c r="B56" t="s">
        <v>423</v>
      </c>
      <c r="C56" t="s">
        <v>1091</v>
      </c>
      <c r="D56" s="5" t="str">
        <f t="shared" si="3"/>
        <v>11-12</v>
      </c>
      <c r="E56" s="1">
        <f>_xlfn.IFNA(VLOOKUP('Comp X - Kilter'!B56,'Kilter Holds'!$P$36:$AB$370,5,0),0)</f>
        <v>4</v>
      </c>
      <c r="G56" s="2">
        <f t="shared" si="0"/>
        <v>0</v>
      </c>
      <c r="H56" s="2">
        <f t="shared" si="1"/>
        <v>0</v>
      </c>
    </row>
    <row r="57" spans="2:8">
      <c r="B57" t="s">
        <v>423</v>
      </c>
      <c r="C57" t="s">
        <v>1091</v>
      </c>
      <c r="D57" s="6" t="str">
        <f t="shared" si="3"/>
        <v>14-01</v>
      </c>
      <c r="E57" s="1">
        <f>_xlfn.IFNA(VLOOKUP('Comp X - Kilter'!B57,'Kilter Holds'!$P$36:$AB$370,6,0),0)</f>
        <v>0</v>
      </c>
      <c r="G57" s="2">
        <f t="shared" si="0"/>
        <v>0</v>
      </c>
      <c r="H57" s="2">
        <f t="shared" si="1"/>
        <v>0</v>
      </c>
    </row>
    <row r="58" spans="2:8">
      <c r="B58" t="s">
        <v>423</v>
      </c>
      <c r="C58" t="s">
        <v>1091</v>
      </c>
      <c r="D58" s="7" t="str">
        <f t="shared" si="3"/>
        <v>15-12</v>
      </c>
      <c r="E58" s="1">
        <f>_xlfn.IFNA(VLOOKUP('Comp X - Kilter'!B58,'Kilter Holds'!$P$36:$AB$370,7,0),0)</f>
        <v>3</v>
      </c>
      <c r="G58" s="2">
        <f t="shared" si="0"/>
        <v>0</v>
      </c>
      <c r="H58" s="2">
        <f t="shared" si="1"/>
        <v>0</v>
      </c>
    </row>
    <row r="59" spans="2:8">
      <c r="B59" t="s">
        <v>423</v>
      </c>
      <c r="C59" t="s">
        <v>1091</v>
      </c>
      <c r="D59" s="8" t="str">
        <f t="shared" si="3"/>
        <v>16-16</v>
      </c>
      <c r="E59" s="1">
        <f>_xlfn.IFNA(VLOOKUP('Comp X - Kilter'!B59,'Kilter Holds'!$P$36:$AB$370,8,0),0)</f>
        <v>5</v>
      </c>
      <c r="G59" s="2">
        <f t="shared" si="0"/>
        <v>0</v>
      </c>
      <c r="H59" s="2">
        <f t="shared" si="1"/>
        <v>0</v>
      </c>
    </row>
    <row r="60" spans="2:8">
      <c r="B60" t="s">
        <v>423</v>
      </c>
      <c r="C60" t="s">
        <v>1091</v>
      </c>
      <c r="D60" s="9" t="str">
        <f t="shared" si="3"/>
        <v>13-01</v>
      </c>
      <c r="E60" s="1">
        <f>_xlfn.IFNA(VLOOKUP('Comp X - Kilter'!B60,'Kilter Holds'!$P$36:$AB$370,9,0),0)</f>
        <v>1</v>
      </c>
      <c r="G60" s="2">
        <f t="shared" si="0"/>
        <v>0</v>
      </c>
      <c r="H60" s="2">
        <f t="shared" si="1"/>
        <v>0</v>
      </c>
    </row>
    <row r="61" spans="2:8">
      <c r="B61" t="s">
        <v>423</v>
      </c>
      <c r="C61" t="s">
        <v>1091</v>
      </c>
      <c r="D61" s="10" t="str">
        <f t="shared" si="3"/>
        <v>07-13</v>
      </c>
      <c r="E61" s="1">
        <f>_xlfn.IFNA(VLOOKUP('Comp X - Kilter'!B61,'Kilter Holds'!$P$36:$AB$370,10,0),0)</f>
        <v>4</v>
      </c>
      <c r="G61" s="2">
        <f t="shared" si="0"/>
        <v>0</v>
      </c>
      <c r="H61" s="2">
        <f t="shared" si="1"/>
        <v>0</v>
      </c>
    </row>
    <row r="62" spans="2:8">
      <c r="B62" t="s">
        <v>423</v>
      </c>
      <c r="C62" t="s">
        <v>1091</v>
      </c>
      <c r="D62" s="11" t="str">
        <f t="shared" si="3"/>
        <v>11-25</v>
      </c>
      <c r="E62" s="1">
        <f>_xlfn.IFNA(VLOOKUP('Comp X - Kilter'!B62,'Kilter Holds'!$P$36:$AB$370,11,0),0)</f>
        <v>0</v>
      </c>
      <c r="G62" s="2">
        <f t="shared" si="0"/>
        <v>0</v>
      </c>
      <c r="H62" s="2">
        <f t="shared" si="1"/>
        <v>0</v>
      </c>
    </row>
    <row r="63" spans="2:8">
      <c r="B63" t="s">
        <v>423</v>
      </c>
      <c r="C63" t="s">
        <v>1091</v>
      </c>
      <c r="D63" s="13" t="str">
        <f t="shared" si="3"/>
        <v>18-01</v>
      </c>
      <c r="E63" s="1">
        <f>_xlfn.IFNA(VLOOKUP('Comp X - Kilter'!B63,'Kilter Holds'!$P$36:$AB$370,12,0),0)</f>
        <v>11</v>
      </c>
      <c r="G63" s="2">
        <f t="shared" si="0"/>
        <v>0</v>
      </c>
      <c r="H63" s="2">
        <f t="shared" si="1"/>
        <v>0</v>
      </c>
    </row>
    <row r="64" spans="2:8">
      <c r="B64" t="s">
        <v>423</v>
      </c>
      <c r="C64" t="s">
        <v>1091</v>
      </c>
      <c r="D64" s="12" t="str">
        <f t="shared" si="3"/>
        <v>12-01</v>
      </c>
      <c r="E64" s="1">
        <f>_xlfn.IFNA(VLOOKUP('Comp X - Kilter'!B64,'Kilter Holds'!$P$36:$AB$370,13,0),0)</f>
        <v>0</v>
      </c>
      <c r="G64" s="2">
        <f t="shared" si="0"/>
        <v>0</v>
      </c>
      <c r="H64" s="2">
        <f t="shared" si="1"/>
        <v>0</v>
      </c>
    </row>
    <row r="65" spans="2:8">
      <c r="B65" t="s">
        <v>544</v>
      </c>
      <c r="C65" t="s">
        <v>1092</v>
      </c>
      <c r="D65" s="5" t="str">
        <f t="shared" si="3"/>
        <v>11-12</v>
      </c>
      <c r="E65" s="1">
        <f>_xlfn.IFNA(VLOOKUP('Comp X - Kilter'!B65,'Kilter Holds'!$P$36:$AB$370,5,0),0)</f>
        <v>4</v>
      </c>
      <c r="G65" s="2">
        <f t="shared" si="0"/>
        <v>0</v>
      </c>
      <c r="H65" s="2">
        <f t="shared" si="1"/>
        <v>0</v>
      </c>
    </row>
    <row r="66" spans="2:8">
      <c r="B66" t="s">
        <v>544</v>
      </c>
      <c r="C66" t="s">
        <v>1092</v>
      </c>
      <c r="D66" s="6" t="str">
        <f t="shared" si="3"/>
        <v>14-01</v>
      </c>
      <c r="E66" s="1">
        <f>_xlfn.IFNA(VLOOKUP('Comp X - Kilter'!B66,'Kilter Holds'!$P$36:$AB$370,6,0),0)</f>
        <v>0</v>
      </c>
      <c r="G66" s="2">
        <f t="shared" si="0"/>
        <v>0</v>
      </c>
      <c r="H66" s="2">
        <f t="shared" si="1"/>
        <v>0</v>
      </c>
    </row>
    <row r="67" spans="2:8">
      <c r="B67" t="s">
        <v>544</v>
      </c>
      <c r="C67" t="s">
        <v>1092</v>
      </c>
      <c r="D67" s="7" t="str">
        <f t="shared" si="3"/>
        <v>15-12</v>
      </c>
      <c r="E67" s="1">
        <f>_xlfn.IFNA(VLOOKUP('Comp X - Kilter'!B67,'Kilter Holds'!$P$36:$AB$370,7,0),0)</f>
        <v>5</v>
      </c>
      <c r="G67" s="2">
        <f t="shared" ref="G67:G130" si="4">E67*F67</f>
        <v>0</v>
      </c>
      <c r="H67" s="2">
        <f t="shared" ref="H67:H130" si="5">IF($S$11="Y",G67*0.15,0)</f>
        <v>0</v>
      </c>
    </row>
    <row r="68" spans="2:8">
      <c r="B68" t="s">
        <v>544</v>
      </c>
      <c r="C68" t="s">
        <v>1092</v>
      </c>
      <c r="D68" s="8" t="str">
        <f t="shared" si="3"/>
        <v>16-16</v>
      </c>
      <c r="E68" s="1">
        <f>_xlfn.IFNA(VLOOKUP('Comp X - Kilter'!B68,'Kilter Holds'!$P$36:$AB$370,8,0),0)</f>
        <v>5</v>
      </c>
      <c r="G68" s="2">
        <f t="shared" si="4"/>
        <v>0</v>
      </c>
      <c r="H68" s="2">
        <f t="shared" si="5"/>
        <v>0</v>
      </c>
    </row>
    <row r="69" spans="2:8">
      <c r="B69" t="s">
        <v>544</v>
      </c>
      <c r="C69" t="s">
        <v>1092</v>
      </c>
      <c r="D69" s="9" t="str">
        <f t="shared" si="3"/>
        <v>13-01</v>
      </c>
      <c r="E69" s="1">
        <f>_xlfn.IFNA(VLOOKUP('Comp X - Kilter'!B69,'Kilter Holds'!$P$36:$AB$370,9,0),0)</f>
        <v>5</v>
      </c>
      <c r="G69" s="2">
        <f t="shared" si="4"/>
        <v>0</v>
      </c>
      <c r="H69" s="2">
        <f t="shared" si="5"/>
        <v>0</v>
      </c>
    </row>
    <row r="70" spans="2:8">
      <c r="B70" t="s">
        <v>544</v>
      </c>
      <c r="C70" t="s">
        <v>1092</v>
      </c>
      <c r="D70" s="10" t="str">
        <f t="shared" si="3"/>
        <v>07-13</v>
      </c>
      <c r="E70" s="1">
        <f>_xlfn.IFNA(VLOOKUP('Comp X - Kilter'!B70,'Kilter Holds'!$P$36:$AB$370,10,0),0)</f>
        <v>0</v>
      </c>
      <c r="G70" s="2">
        <f t="shared" si="4"/>
        <v>0</v>
      </c>
      <c r="H70" s="2">
        <f t="shared" si="5"/>
        <v>0</v>
      </c>
    </row>
    <row r="71" spans="2:8">
      <c r="B71" t="s">
        <v>544</v>
      </c>
      <c r="C71" t="s">
        <v>1092</v>
      </c>
      <c r="D71" s="11" t="str">
        <f t="shared" si="3"/>
        <v>11-25</v>
      </c>
      <c r="E71" s="1">
        <f>_xlfn.IFNA(VLOOKUP('Comp X - Kilter'!B71,'Kilter Holds'!$P$36:$AB$370,11,0),0)</f>
        <v>2</v>
      </c>
      <c r="G71" s="2">
        <f t="shared" si="4"/>
        <v>0</v>
      </c>
      <c r="H71" s="2">
        <f t="shared" si="5"/>
        <v>0</v>
      </c>
    </row>
    <row r="72" spans="2:8">
      <c r="B72" t="s">
        <v>544</v>
      </c>
      <c r="C72" t="s">
        <v>1092</v>
      </c>
      <c r="D72" s="13" t="str">
        <f t="shared" si="3"/>
        <v>18-01</v>
      </c>
      <c r="E72" s="1">
        <f>_xlfn.IFNA(VLOOKUP('Comp X - Kilter'!B72,'Kilter Holds'!$P$36:$AB$370,12,0),0)</f>
        <v>5</v>
      </c>
      <c r="G72" s="2">
        <f t="shared" si="4"/>
        <v>0</v>
      </c>
      <c r="H72" s="2">
        <f t="shared" si="5"/>
        <v>0</v>
      </c>
    </row>
    <row r="73" spans="2:8">
      <c r="B73" t="s">
        <v>544</v>
      </c>
      <c r="C73" t="s">
        <v>1092</v>
      </c>
      <c r="D73" s="12" t="str">
        <f t="shared" si="3"/>
        <v>12-01</v>
      </c>
      <c r="E73" s="1">
        <f>_xlfn.IFNA(VLOOKUP('Comp X - Kilter'!B73,'Kilter Holds'!$P$36:$AB$370,13,0),0)</f>
        <v>0</v>
      </c>
      <c r="G73" s="2">
        <f t="shared" si="4"/>
        <v>0</v>
      </c>
      <c r="H73" s="2">
        <f t="shared" si="5"/>
        <v>0</v>
      </c>
    </row>
    <row r="74" spans="2:8">
      <c r="B74" t="s">
        <v>397</v>
      </c>
      <c r="C74" t="s">
        <v>1093</v>
      </c>
      <c r="D74" s="5" t="str">
        <f t="shared" si="3"/>
        <v>11-12</v>
      </c>
      <c r="E74" s="1">
        <f>_xlfn.IFNA(VLOOKUP('Comp X - Kilter'!B74,'Kilter Holds'!$P$36:$AB$370,5,0),0)</f>
        <v>4</v>
      </c>
      <c r="G74" s="2">
        <f t="shared" si="4"/>
        <v>0</v>
      </c>
      <c r="H74" s="2">
        <f t="shared" si="5"/>
        <v>0</v>
      </c>
    </row>
    <row r="75" spans="2:8">
      <c r="B75" t="s">
        <v>397</v>
      </c>
      <c r="C75" t="s">
        <v>1093</v>
      </c>
      <c r="D75" s="6" t="str">
        <f t="shared" si="3"/>
        <v>14-01</v>
      </c>
      <c r="E75" s="1">
        <f>_xlfn.IFNA(VLOOKUP('Comp X - Kilter'!B75,'Kilter Holds'!$P$36:$AB$370,6,0),0)</f>
        <v>0</v>
      </c>
      <c r="G75" s="2">
        <f t="shared" si="4"/>
        <v>0</v>
      </c>
      <c r="H75" s="2">
        <f t="shared" si="5"/>
        <v>0</v>
      </c>
    </row>
    <row r="76" spans="2:8">
      <c r="B76" t="s">
        <v>397</v>
      </c>
      <c r="C76" t="s">
        <v>1093</v>
      </c>
      <c r="D76" s="7" t="str">
        <f t="shared" si="3"/>
        <v>15-12</v>
      </c>
      <c r="E76" s="1">
        <f>_xlfn.IFNA(VLOOKUP('Comp X - Kilter'!B76,'Kilter Holds'!$P$36:$AB$370,7,0),0)</f>
        <v>5</v>
      </c>
      <c r="G76" s="2">
        <f t="shared" si="4"/>
        <v>0</v>
      </c>
      <c r="H76" s="2">
        <f t="shared" si="5"/>
        <v>0</v>
      </c>
    </row>
    <row r="77" spans="2:8">
      <c r="B77" t="s">
        <v>397</v>
      </c>
      <c r="C77" t="s">
        <v>1093</v>
      </c>
      <c r="D77" s="8" t="str">
        <f t="shared" si="3"/>
        <v>16-16</v>
      </c>
      <c r="E77" s="1">
        <f>_xlfn.IFNA(VLOOKUP('Comp X - Kilter'!B77,'Kilter Holds'!$P$36:$AB$370,8,0),0)</f>
        <v>5</v>
      </c>
      <c r="G77" s="2">
        <f t="shared" si="4"/>
        <v>0</v>
      </c>
      <c r="H77" s="2">
        <f t="shared" si="5"/>
        <v>0</v>
      </c>
    </row>
    <row r="78" spans="2:8">
      <c r="B78" t="s">
        <v>397</v>
      </c>
      <c r="C78" t="s">
        <v>1093</v>
      </c>
      <c r="D78" s="9" t="str">
        <f t="shared" si="3"/>
        <v>13-01</v>
      </c>
      <c r="E78" s="1">
        <f>_xlfn.IFNA(VLOOKUP('Comp X - Kilter'!B78,'Kilter Holds'!$P$36:$AB$370,9,0),0)</f>
        <v>4</v>
      </c>
      <c r="G78" s="2">
        <f t="shared" si="4"/>
        <v>0</v>
      </c>
      <c r="H78" s="2">
        <f t="shared" si="5"/>
        <v>0</v>
      </c>
    </row>
    <row r="79" spans="2:8">
      <c r="B79" t="s">
        <v>397</v>
      </c>
      <c r="C79" t="s">
        <v>1093</v>
      </c>
      <c r="D79" s="10" t="str">
        <f t="shared" si="3"/>
        <v>07-13</v>
      </c>
      <c r="E79" s="1">
        <f>_xlfn.IFNA(VLOOKUP('Comp X - Kilter'!B79,'Kilter Holds'!$P$36:$AB$370,10,0),0)</f>
        <v>5</v>
      </c>
      <c r="G79" s="2">
        <f t="shared" si="4"/>
        <v>0</v>
      </c>
      <c r="H79" s="2">
        <f t="shared" si="5"/>
        <v>0</v>
      </c>
    </row>
    <row r="80" spans="2:8">
      <c r="B80" t="s">
        <v>397</v>
      </c>
      <c r="C80" t="s">
        <v>1093</v>
      </c>
      <c r="D80" s="11" t="str">
        <f t="shared" si="3"/>
        <v>11-25</v>
      </c>
      <c r="E80" s="1">
        <f>_xlfn.IFNA(VLOOKUP('Comp X - Kilter'!B80,'Kilter Holds'!$P$36:$AB$370,11,0),0)</f>
        <v>0</v>
      </c>
      <c r="G80" s="2">
        <f t="shared" si="4"/>
        <v>0</v>
      </c>
      <c r="H80" s="2">
        <f t="shared" si="5"/>
        <v>0</v>
      </c>
    </row>
    <row r="81" spans="2:8">
      <c r="B81" t="s">
        <v>397</v>
      </c>
      <c r="C81" t="s">
        <v>1093</v>
      </c>
      <c r="D81" s="13" t="str">
        <f t="shared" si="3"/>
        <v>18-01</v>
      </c>
      <c r="E81" s="1">
        <f>_xlfn.IFNA(VLOOKUP('Comp X - Kilter'!B81,'Kilter Holds'!$P$36:$AB$370,12,0),0)</f>
        <v>6</v>
      </c>
      <c r="G81" s="2">
        <f t="shared" si="4"/>
        <v>0</v>
      </c>
      <c r="H81" s="2">
        <f t="shared" si="5"/>
        <v>0</v>
      </c>
    </row>
    <row r="82" spans="2:8">
      <c r="B82" t="s">
        <v>397</v>
      </c>
      <c r="C82" t="s">
        <v>1093</v>
      </c>
      <c r="D82" s="12" t="str">
        <f t="shared" si="3"/>
        <v>12-01</v>
      </c>
      <c r="E82" s="1">
        <f>_xlfn.IFNA(VLOOKUP('Comp X - Kilter'!B82,'Kilter Holds'!$P$36:$AB$370,13,0),0)</f>
        <v>0</v>
      </c>
      <c r="G82" s="2">
        <f t="shared" si="4"/>
        <v>0</v>
      </c>
      <c r="H82" s="2">
        <f t="shared" si="5"/>
        <v>0</v>
      </c>
    </row>
    <row r="83" spans="2:8">
      <c r="B83" t="s">
        <v>398</v>
      </c>
      <c r="C83" t="s">
        <v>1094</v>
      </c>
      <c r="D83" s="5" t="str">
        <f t="shared" si="3"/>
        <v>11-12</v>
      </c>
      <c r="E83" s="1">
        <f>_xlfn.IFNA(VLOOKUP('Comp X - Kilter'!B83,'Kilter Holds'!$P$36:$AB$370,5,0),0)</f>
        <v>5</v>
      </c>
      <c r="G83" s="2">
        <f t="shared" si="4"/>
        <v>0</v>
      </c>
      <c r="H83" s="2">
        <f t="shared" si="5"/>
        <v>0</v>
      </c>
    </row>
    <row r="84" spans="2:8">
      <c r="B84" t="s">
        <v>398</v>
      </c>
      <c r="C84" t="s">
        <v>1094</v>
      </c>
      <c r="D84" s="6" t="str">
        <f t="shared" ref="D84:D147" si="6">D75</f>
        <v>14-01</v>
      </c>
      <c r="E84" s="1">
        <f>_xlfn.IFNA(VLOOKUP('Comp X - Kilter'!B84,'Kilter Holds'!$P$36:$AB$370,6,0),0)</f>
        <v>0</v>
      </c>
      <c r="G84" s="2">
        <f t="shared" si="4"/>
        <v>0</v>
      </c>
      <c r="H84" s="2">
        <f t="shared" si="5"/>
        <v>0</v>
      </c>
    </row>
    <row r="85" spans="2:8">
      <c r="B85" t="s">
        <v>398</v>
      </c>
      <c r="C85" t="s">
        <v>1094</v>
      </c>
      <c r="D85" s="7" t="str">
        <f t="shared" si="6"/>
        <v>15-12</v>
      </c>
      <c r="E85" s="1">
        <f>_xlfn.IFNA(VLOOKUP('Comp X - Kilter'!B85,'Kilter Holds'!$P$36:$AB$370,7,0),0)</f>
        <v>5</v>
      </c>
      <c r="G85" s="2">
        <f t="shared" si="4"/>
        <v>0</v>
      </c>
      <c r="H85" s="2">
        <f t="shared" si="5"/>
        <v>0</v>
      </c>
    </row>
    <row r="86" spans="2:8">
      <c r="B86" t="s">
        <v>398</v>
      </c>
      <c r="C86" t="s">
        <v>1094</v>
      </c>
      <c r="D86" s="8" t="str">
        <f t="shared" si="6"/>
        <v>16-16</v>
      </c>
      <c r="E86" s="1">
        <f>_xlfn.IFNA(VLOOKUP('Comp X - Kilter'!B86,'Kilter Holds'!$P$36:$AB$370,8,0),0)</f>
        <v>5</v>
      </c>
      <c r="G86" s="2">
        <f t="shared" si="4"/>
        <v>0</v>
      </c>
      <c r="H86" s="2">
        <f t="shared" si="5"/>
        <v>0</v>
      </c>
    </row>
    <row r="87" spans="2:8">
      <c r="B87" t="s">
        <v>398</v>
      </c>
      <c r="C87" t="s">
        <v>1094</v>
      </c>
      <c r="D87" s="9" t="str">
        <f t="shared" si="6"/>
        <v>13-01</v>
      </c>
      <c r="E87" s="1">
        <f>_xlfn.IFNA(VLOOKUP('Comp X - Kilter'!B87,'Kilter Holds'!$P$36:$AB$370,9,0),0)</f>
        <v>3</v>
      </c>
      <c r="G87" s="2">
        <f t="shared" si="4"/>
        <v>0</v>
      </c>
      <c r="H87" s="2">
        <f t="shared" si="5"/>
        <v>0</v>
      </c>
    </row>
    <row r="88" spans="2:8">
      <c r="B88" t="s">
        <v>398</v>
      </c>
      <c r="C88" t="s">
        <v>1094</v>
      </c>
      <c r="D88" s="10" t="str">
        <f t="shared" si="6"/>
        <v>07-13</v>
      </c>
      <c r="E88" s="1">
        <f>_xlfn.IFNA(VLOOKUP('Comp X - Kilter'!B88,'Kilter Holds'!$P$36:$AB$370,10,0),0)</f>
        <v>5</v>
      </c>
      <c r="G88" s="2">
        <f t="shared" si="4"/>
        <v>0</v>
      </c>
      <c r="H88" s="2">
        <f t="shared" si="5"/>
        <v>0</v>
      </c>
    </row>
    <row r="89" spans="2:8">
      <c r="B89" t="s">
        <v>398</v>
      </c>
      <c r="C89" t="s">
        <v>1094</v>
      </c>
      <c r="D89" s="11" t="str">
        <f t="shared" si="6"/>
        <v>11-25</v>
      </c>
      <c r="E89" s="1">
        <f>_xlfn.IFNA(VLOOKUP('Comp X - Kilter'!B89,'Kilter Holds'!$P$36:$AB$370,11,0),0)</f>
        <v>4</v>
      </c>
      <c r="G89" s="2">
        <f t="shared" si="4"/>
        <v>0</v>
      </c>
      <c r="H89" s="2">
        <f t="shared" si="5"/>
        <v>0</v>
      </c>
    </row>
    <row r="90" spans="2:8">
      <c r="B90" t="s">
        <v>398</v>
      </c>
      <c r="C90" t="s">
        <v>1094</v>
      </c>
      <c r="D90" s="13" t="str">
        <f t="shared" si="6"/>
        <v>18-01</v>
      </c>
      <c r="E90" s="1">
        <f>_xlfn.IFNA(VLOOKUP('Comp X - Kilter'!B90,'Kilter Holds'!$P$36:$AB$370,12,0),0)</f>
        <v>6</v>
      </c>
      <c r="G90" s="2">
        <f t="shared" si="4"/>
        <v>0</v>
      </c>
      <c r="H90" s="2">
        <f t="shared" si="5"/>
        <v>0</v>
      </c>
    </row>
    <row r="91" spans="2:8">
      <c r="B91" t="s">
        <v>398</v>
      </c>
      <c r="C91" t="s">
        <v>1094</v>
      </c>
      <c r="D91" s="12" t="str">
        <f t="shared" si="6"/>
        <v>12-01</v>
      </c>
      <c r="E91" s="1">
        <f>_xlfn.IFNA(VLOOKUP('Comp X - Kilter'!B91,'Kilter Holds'!$P$36:$AB$370,13,0),0)</f>
        <v>1</v>
      </c>
      <c r="G91" s="2">
        <f t="shared" si="4"/>
        <v>0</v>
      </c>
      <c r="H91" s="2">
        <f t="shared" si="5"/>
        <v>0</v>
      </c>
    </row>
    <row r="92" spans="2:8">
      <c r="B92" t="s">
        <v>417</v>
      </c>
      <c r="C92" t="s">
        <v>1095</v>
      </c>
      <c r="D92" s="5" t="str">
        <f t="shared" si="6"/>
        <v>11-12</v>
      </c>
      <c r="E92" s="1">
        <f>_xlfn.IFNA(VLOOKUP('Comp X - Kilter'!B92,'Kilter Holds'!$P$36:$AB$370,5,0),0)</f>
        <v>5</v>
      </c>
      <c r="G92" s="2">
        <f t="shared" si="4"/>
        <v>0</v>
      </c>
      <c r="H92" s="2">
        <f t="shared" si="5"/>
        <v>0</v>
      </c>
    </row>
    <row r="93" spans="2:8">
      <c r="B93" t="s">
        <v>417</v>
      </c>
      <c r="C93" t="s">
        <v>1095</v>
      </c>
      <c r="D93" s="6" t="str">
        <f t="shared" si="6"/>
        <v>14-01</v>
      </c>
      <c r="E93" s="1">
        <f>_xlfn.IFNA(VLOOKUP('Comp X - Kilter'!B93,'Kilter Holds'!$P$36:$AB$370,6,0),0)</f>
        <v>0</v>
      </c>
      <c r="G93" s="2">
        <f t="shared" si="4"/>
        <v>0</v>
      </c>
      <c r="H93" s="2">
        <f t="shared" si="5"/>
        <v>0</v>
      </c>
    </row>
    <row r="94" spans="2:8">
      <c r="B94" t="s">
        <v>417</v>
      </c>
      <c r="C94" t="s">
        <v>1095</v>
      </c>
      <c r="D94" s="7" t="str">
        <f t="shared" si="6"/>
        <v>15-12</v>
      </c>
      <c r="E94" s="1">
        <f>_xlfn.IFNA(VLOOKUP('Comp X - Kilter'!B94,'Kilter Holds'!$P$36:$AB$370,7,0),0)</f>
        <v>3</v>
      </c>
      <c r="G94" s="2">
        <f t="shared" si="4"/>
        <v>0</v>
      </c>
      <c r="H94" s="2">
        <f t="shared" si="5"/>
        <v>0</v>
      </c>
    </row>
    <row r="95" spans="2:8">
      <c r="B95" t="s">
        <v>417</v>
      </c>
      <c r="C95" t="s">
        <v>1095</v>
      </c>
      <c r="D95" s="8" t="str">
        <f t="shared" si="6"/>
        <v>16-16</v>
      </c>
      <c r="E95" s="1">
        <f>_xlfn.IFNA(VLOOKUP('Comp X - Kilter'!B95,'Kilter Holds'!$P$36:$AB$370,8,0),0)</f>
        <v>6</v>
      </c>
      <c r="G95" s="2">
        <f t="shared" si="4"/>
        <v>0</v>
      </c>
      <c r="H95" s="2">
        <f t="shared" si="5"/>
        <v>0</v>
      </c>
    </row>
    <row r="96" spans="2:8">
      <c r="B96" t="s">
        <v>417</v>
      </c>
      <c r="C96" t="s">
        <v>1095</v>
      </c>
      <c r="D96" s="9" t="str">
        <f t="shared" si="6"/>
        <v>13-01</v>
      </c>
      <c r="E96" s="1">
        <f>_xlfn.IFNA(VLOOKUP('Comp X - Kilter'!B96,'Kilter Holds'!$P$36:$AB$370,9,0),0)</f>
        <v>8</v>
      </c>
      <c r="G96" s="2">
        <f t="shared" si="4"/>
        <v>0</v>
      </c>
      <c r="H96" s="2">
        <f t="shared" si="5"/>
        <v>0</v>
      </c>
    </row>
    <row r="97" spans="2:8">
      <c r="B97" t="s">
        <v>417</v>
      </c>
      <c r="C97" t="s">
        <v>1095</v>
      </c>
      <c r="D97" s="10" t="str">
        <f t="shared" si="6"/>
        <v>07-13</v>
      </c>
      <c r="E97" s="1">
        <f>_xlfn.IFNA(VLOOKUP('Comp X - Kilter'!B97,'Kilter Holds'!$P$36:$AB$370,10,0),0)</f>
        <v>0</v>
      </c>
      <c r="G97" s="2">
        <f t="shared" si="4"/>
        <v>0</v>
      </c>
      <c r="H97" s="2">
        <f t="shared" si="5"/>
        <v>0</v>
      </c>
    </row>
    <row r="98" spans="2:8">
      <c r="B98" t="s">
        <v>417</v>
      </c>
      <c r="C98" t="s">
        <v>1095</v>
      </c>
      <c r="D98" s="11" t="str">
        <f t="shared" si="6"/>
        <v>11-25</v>
      </c>
      <c r="E98" s="1">
        <f>_xlfn.IFNA(VLOOKUP('Comp X - Kilter'!B98,'Kilter Holds'!$P$36:$AB$370,11,0),0)</f>
        <v>0</v>
      </c>
      <c r="G98" s="2">
        <f t="shared" si="4"/>
        <v>0</v>
      </c>
      <c r="H98" s="2">
        <f t="shared" si="5"/>
        <v>0</v>
      </c>
    </row>
    <row r="99" spans="2:8">
      <c r="B99" t="s">
        <v>417</v>
      </c>
      <c r="C99" t="s">
        <v>1095</v>
      </c>
      <c r="D99" s="13" t="str">
        <f t="shared" si="6"/>
        <v>18-01</v>
      </c>
      <c r="E99" s="1">
        <f>_xlfn.IFNA(VLOOKUP('Comp X - Kilter'!B99,'Kilter Holds'!$P$36:$AB$370,12,0),0)</f>
        <v>12</v>
      </c>
      <c r="G99" s="2">
        <f t="shared" si="4"/>
        <v>0</v>
      </c>
      <c r="H99" s="2">
        <f t="shared" si="5"/>
        <v>0</v>
      </c>
    </row>
    <row r="100" spans="2:8">
      <c r="B100" t="s">
        <v>417</v>
      </c>
      <c r="C100" t="s">
        <v>1095</v>
      </c>
      <c r="D100" s="12" t="str">
        <f t="shared" si="6"/>
        <v>12-01</v>
      </c>
      <c r="E100" s="1">
        <f>_xlfn.IFNA(VLOOKUP('Comp X - Kilter'!B100,'Kilter Holds'!$P$36:$AB$370,13,0),0)</f>
        <v>0</v>
      </c>
      <c r="G100" s="2">
        <f t="shared" si="4"/>
        <v>0</v>
      </c>
      <c r="H100" s="2">
        <f t="shared" si="5"/>
        <v>0</v>
      </c>
    </row>
    <row r="101" spans="2:8">
      <c r="B101" t="s">
        <v>418</v>
      </c>
      <c r="C101" t="s">
        <v>1096</v>
      </c>
      <c r="D101" s="5" t="str">
        <f t="shared" si="6"/>
        <v>11-12</v>
      </c>
      <c r="E101" s="1">
        <f>_xlfn.IFNA(VLOOKUP('Comp X - Kilter'!B101,'Kilter Holds'!$P$36:$AB$370,5,0),0)</f>
        <v>3</v>
      </c>
      <c r="G101" s="2">
        <f t="shared" si="4"/>
        <v>0</v>
      </c>
      <c r="H101" s="2">
        <f t="shared" si="5"/>
        <v>0</v>
      </c>
    </row>
    <row r="102" spans="2:8">
      <c r="B102" t="s">
        <v>418</v>
      </c>
      <c r="C102" t="s">
        <v>1096</v>
      </c>
      <c r="D102" s="6" t="str">
        <f t="shared" si="6"/>
        <v>14-01</v>
      </c>
      <c r="E102" s="1">
        <f>_xlfn.IFNA(VLOOKUP('Comp X - Kilter'!B102,'Kilter Holds'!$P$36:$AB$370,6,0),0)</f>
        <v>0</v>
      </c>
      <c r="G102" s="2">
        <f t="shared" si="4"/>
        <v>0</v>
      </c>
      <c r="H102" s="2">
        <f t="shared" si="5"/>
        <v>0</v>
      </c>
    </row>
    <row r="103" spans="2:8">
      <c r="B103" t="s">
        <v>418</v>
      </c>
      <c r="C103" t="s">
        <v>1096</v>
      </c>
      <c r="D103" s="7" t="str">
        <f t="shared" si="6"/>
        <v>15-12</v>
      </c>
      <c r="E103" s="1">
        <f>_xlfn.IFNA(VLOOKUP('Comp X - Kilter'!B103,'Kilter Holds'!$P$36:$AB$370,7,0),0)</f>
        <v>6</v>
      </c>
      <c r="G103" s="2">
        <f t="shared" si="4"/>
        <v>0</v>
      </c>
      <c r="H103" s="2">
        <f t="shared" si="5"/>
        <v>0</v>
      </c>
    </row>
    <row r="104" spans="2:8">
      <c r="B104" t="s">
        <v>418</v>
      </c>
      <c r="C104" t="s">
        <v>1096</v>
      </c>
      <c r="D104" s="8" t="str">
        <f t="shared" si="6"/>
        <v>16-16</v>
      </c>
      <c r="E104" s="1">
        <f>_xlfn.IFNA(VLOOKUP('Comp X - Kilter'!B104,'Kilter Holds'!$P$36:$AB$370,8,0),0)</f>
        <v>5</v>
      </c>
      <c r="G104" s="2">
        <f t="shared" si="4"/>
        <v>0</v>
      </c>
      <c r="H104" s="2">
        <f t="shared" si="5"/>
        <v>0</v>
      </c>
    </row>
    <row r="105" spans="2:8">
      <c r="B105" t="s">
        <v>418</v>
      </c>
      <c r="C105" t="s">
        <v>1096</v>
      </c>
      <c r="D105" s="9" t="str">
        <f t="shared" si="6"/>
        <v>13-01</v>
      </c>
      <c r="E105" s="1">
        <f>_xlfn.IFNA(VLOOKUP('Comp X - Kilter'!B105,'Kilter Holds'!$P$36:$AB$370,9,0),0)</f>
        <v>7</v>
      </c>
      <c r="G105" s="2">
        <f t="shared" si="4"/>
        <v>0</v>
      </c>
      <c r="H105" s="2">
        <f t="shared" si="5"/>
        <v>0</v>
      </c>
    </row>
    <row r="106" spans="2:8">
      <c r="B106" t="s">
        <v>418</v>
      </c>
      <c r="C106" t="s">
        <v>1096</v>
      </c>
      <c r="D106" s="10" t="str">
        <f t="shared" si="6"/>
        <v>07-13</v>
      </c>
      <c r="E106" s="1">
        <f>_xlfn.IFNA(VLOOKUP('Comp X - Kilter'!B106,'Kilter Holds'!$P$36:$AB$370,10,0),0)</f>
        <v>2</v>
      </c>
      <c r="G106" s="2">
        <f t="shared" si="4"/>
        <v>0</v>
      </c>
      <c r="H106" s="2">
        <f t="shared" si="5"/>
        <v>0</v>
      </c>
    </row>
    <row r="107" spans="2:8">
      <c r="B107" t="s">
        <v>418</v>
      </c>
      <c r="C107" t="s">
        <v>1096</v>
      </c>
      <c r="D107" s="11" t="str">
        <f t="shared" si="6"/>
        <v>11-25</v>
      </c>
      <c r="E107" s="1">
        <f>_xlfn.IFNA(VLOOKUP('Comp X - Kilter'!B107,'Kilter Holds'!$P$36:$AB$370,11,0),0)</f>
        <v>0</v>
      </c>
      <c r="G107" s="2">
        <f t="shared" si="4"/>
        <v>0</v>
      </c>
      <c r="H107" s="2">
        <f t="shared" si="5"/>
        <v>0</v>
      </c>
    </row>
    <row r="108" spans="2:8">
      <c r="B108" t="s">
        <v>418</v>
      </c>
      <c r="C108" t="s">
        <v>1096</v>
      </c>
      <c r="D108" s="13" t="str">
        <f t="shared" si="6"/>
        <v>18-01</v>
      </c>
      <c r="E108" s="1">
        <f>_xlfn.IFNA(VLOOKUP('Comp X - Kilter'!B108,'Kilter Holds'!$P$36:$AB$370,12,0),0)</f>
        <v>11</v>
      </c>
      <c r="G108" s="2">
        <f t="shared" si="4"/>
        <v>0</v>
      </c>
      <c r="H108" s="2">
        <f t="shared" si="5"/>
        <v>0</v>
      </c>
    </row>
    <row r="109" spans="2:8">
      <c r="B109" t="s">
        <v>418</v>
      </c>
      <c r="C109" t="s">
        <v>1096</v>
      </c>
      <c r="D109" s="12" t="str">
        <f t="shared" si="6"/>
        <v>12-01</v>
      </c>
      <c r="E109" s="1">
        <f>_xlfn.IFNA(VLOOKUP('Comp X - Kilter'!B109,'Kilter Holds'!$P$36:$AB$370,13,0),0)</f>
        <v>0</v>
      </c>
      <c r="G109" s="2">
        <f t="shared" si="4"/>
        <v>0</v>
      </c>
      <c r="H109" s="2">
        <f t="shared" si="5"/>
        <v>0</v>
      </c>
    </row>
    <row r="110" spans="2:8">
      <c r="B110" t="s">
        <v>419</v>
      </c>
      <c r="C110" t="s">
        <v>1097</v>
      </c>
      <c r="D110" s="5" t="str">
        <f t="shared" si="6"/>
        <v>11-12</v>
      </c>
      <c r="E110" s="1">
        <f>_xlfn.IFNA(VLOOKUP('Comp X - Kilter'!B110,'Kilter Holds'!$P$36:$AB$370,5,0),0)</f>
        <v>3</v>
      </c>
      <c r="G110" s="2">
        <f t="shared" si="4"/>
        <v>0</v>
      </c>
      <c r="H110" s="2">
        <f t="shared" si="5"/>
        <v>0</v>
      </c>
    </row>
    <row r="111" spans="2:8">
      <c r="B111" t="s">
        <v>419</v>
      </c>
      <c r="C111" t="s">
        <v>1097</v>
      </c>
      <c r="D111" s="6" t="str">
        <f t="shared" si="6"/>
        <v>14-01</v>
      </c>
      <c r="E111" s="1">
        <f>_xlfn.IFNA(VLOOKUP('Comp X - Kilter'!B111,'Kilter Holds'!$P$36:$AB$370,6,0),0)</f>
        <v>0</v>
      </c>
      <c r="G111" s="2">
        <f t="shared" si="4"/>
        <v>0</v>
      </c>
      <c r="H111" s="2">
        <f t="shared" si="5"/>
        <v>0</v>
      </c>
    </row>
    <row r="112" spans="2:8">
      <c r="B112" t="s">
        <v>419</v>
      </c>
      <c r="C112" t="s">
        <v>1097</v>
      </c>
      <c r="D112" s="7" t="str">
        <f t="shared" si="6"/>
        <v>15-12</v>
      </c>
      <c r="E112" s="1">
        <f>_xlfn.IFNA(VLOOKUP('Comp X - Kilter'!B112,'Kilter Holds'!$P$36:$AB$370,7,0),0)</f>
        <v>7</v>
      </c>
      <c r="G112" s="2">
        <f t="shared" si="4"/>
        <v>0</v>
      </c>
      <c r="H112" s="2">
        <f t="shared" si="5"/>
        <v>0</v>
      </c>
    </row>
    <row r="113" spans="2:8">
      <c r="B113" t="s">
        <v>419</v>
      </c>
      <c r="C113" t="s">
        <v>1097</v>
      </c>
      <c r="D113" s="8" t="str">
        <f t="shared" si="6"/>
        <v>16-16</v>
      </c>
      <c r="E113" s="1">
        <f>_xlfn.IFNA(VLOOKUP('Comp X - Kilter'!B113,'Kilter Holds'!$P$36:$AB$370,8,0),0)</f>
        <v>4</v>
      </c>
      <c r="G113" s="2">
        <f t="shared" si="4"/>
        <v>0</v>
      </c>
      <c r="H113" s="2">
        <f t="shared" si="5"/>
        <v>0</v>
      </c>
    </row>
    <row r="114" spans="2:8">
      <c r="B114" t="s">
        <v>419</v>
      </c>
      <c r="C114" t="s">
        <v>1097</v>
      </c>
      <c r="D114" s="9" t="str">
        <f t="shared" si="6"/>
        <v>13-01</v>
      </c>
      <c r="E114" s="1">
        <f>_xlfn.IFNA(VLOOKUP('Comp X - Kilter'!B114,'Kilter Holds'!$P$36:$AB$370,9,0),0)</f>
        <v>8</v>
      </c>
      <c r="G114" s="2">
        <f t="shared" si="4"/>
        <v>0</v>
      </c>
      <c r="H114" s="2">
        <f t="shared" si="5"/>
        <v>0</v>
      </c>
    </row>
    <row r="115" spans="2:8">
      <c r="B115" t="s">
        <v>419</v>
      </c>
      <c r="C115" t="s">
        <v>1097</v>
      </c>
      <c r="D115" s="10" t="str">
        <f t="shared" si="6"/>
        <v>07-13</v>
      </c>
      <c r="E115" s="1">
        <f>_xlfn.IFNA(VLOOKUP('Comp X - Kilter'!B115,'Kilter Holds'!$P$36:$AB$370,10,0),0)</f>
        <v>5</v>
      </c>
      <c r="G115" s="2">
        <f t="shared" si="4"/>
        <v>0</v>
      </c>
      <c r="H115" s="2">
        <f t="shared" si="5"/>
        <v>0</v>
      </c>
    </row>
    <row r="116" spans="2:8">
      <c r="B116" t="s">
        <v>419</v>
      </c>
      <c r="C116" t="s">
        <v>1097</v>
      </c>
      <c r="D116" s="11" t="str">
        <f t="shared" si="6"/>
        <v>11-25</v>
      </c>
      <c r="E116" s="1">
        <f>_xlfn.IFNA(VLOOKUP('Comp X - Kilter'!B116,'Kilter Holds'!$P$36:$AB$370,11,0),0)</f>
        <v>0</v>
      </c>
      <c r="G116" s="2">
        <f t="shared" si="4"/>
        <v>0</v>
      </c>
      <c r="H116" s="2">
        <f t="shared" si="5"/>
        <v>0</v>
      </c>
    </row>
    <row r="117" spans="2:8">
      <c r="B117" t="s">
        <v>419</v>
      </c>
      <c r="C117" t="s">
        <v>1097</v>
      </c>
      <c r="D117" s="13" t="str">
        <f t="shared" si="6"/>
        <v>18-01</v>
      </c>
      <c r="E117" s="1">
        <f>_xlfn.IFNA(VLOOKUP('Comp X - Kilter'!B117,'Kilter Holds'!$P$36:$AB$370,12,0),0)</f>
        <v>13</v>
      </c>
      <c r="G117" s="2">
        <f t="shared" si="4"/>
        <v>0</v>
      </c>
      <c r="H117" s="2">
        <f t="shared" si="5"/>
        <v>0</v>
      </c>
    </row>
    <row r="118" spans="2:8">
      <c r="B118" t="s">
        <v>419</v>
      </c>
      <c r="C118" t="s">
        <v>1097</v>
      </c>
      <c r="D118" s="12" t="str">
        <f t="shared" si="6"/>
        <v>12-01</v>
      </c>
      <c r="E118" s="1">
        <f>_xlfn.IFNA(VLOOKUP('Comp X - Kilter'!B118,'Kilter Holds'!$P$36:$AB$370,13,0),0)</f>
        <v>0</v>
      </c>
      <c r="G118" s="2">
        <f t="shared" si="4"/>
        <v>0</v>
      </c>
      <c r="H118" s="2">
        <f t="shared" si="5"/>
        <v>0</v>
      </c>
    </row>
    <row r="119" spans="2:8">
      <c r="B119" t="s">
        <v>420</v>
      </c>
      <c r="C119" t="s">
        <v>1098</v>
      </c>
      <c r="D119" s="5" t="str">
        <f t="shared" si="6"/>
        <v>11-12</v>
      </c>
      <c r="E119" s="1">
        <f>_xlfn.IFNA(VLOOKUP('Comp X - Kilter'!B119,'Kilter Holds'!$P$36:$AB$370,5,0),0)</f>
        <v>2</v>
      </c>
      <c r="G119" s="2">
        <f t="shared" si="4"/>
        <v>0</v>
      </c>
      <c r="H119" s="2">
        <f t="shared" si="5"/>
        <v>0</v>
      </c>
    </row>
    <row r="120" spans="2:8">
      <c r="B120" t="s">
        <v>420</v>
      </c>
      <c r="C120" t="s">
        <v>1098</v>
      </c>
      <c r="D120" s="6" t="str">
        <f t="shared" si="6"/>
        <v>14-01</v>
      </c>
      <c r="E120" s="1">
        <f>_xlfn.IFNA(VLOOKUP('Comp X - Kilter'!B120,'Kilter Holds'!$P$36:$AB$370,6,0),0)</f>
        <v>0</v>
      </c>
      <c r="G120" s="2">
        <f t="shared" si="4"/>
        <v>0</v>
      </c>
      <c r="H120" s="2">
        <f t="shared" si="5"/>
        <v>0</v>
      </c>
    </row>
    <row r="121" spans="2:8">
      <c r="B121" t="s">
        <v>420</v>
      </c>
      <c r="C121" t="s">
        <v>1098</v>
      </c>
      <c r="D121" s="7" t="str">
        <f t="shared" si="6"/>
        <v>15-12</v>
      </c>
      <c r="E121" s="1">
        <f>_xlfn.IFNA(VLOOKUP('Comp X - Kilter'!B121,'Kilter Holds'!$P$36:$AB$370,7,0),0)</f>
        <v>5</v>
      </c>
      <c r="G121" s="2">
        <f t="shared" si="4"/>
        <v>0</v>
      </c>
      <c r="H121" s="2">
        <f t="shared" si="5"/>
        <v>0</v>
      </c>
    </row>
    <row r="122" spans="2:8">
      <c r="B122" t="s">
        <v>420</v>
      </c>
      <c r="C122" t="s">
        <v>1098</v>
      </c>
      <c r="D122" s="8" t="str">
        <f t="shared" si="6"/>
        <v>16-16</v>
      </c>
      <c r="E122" s="1">
        <f>_xlfn.IFNA(VLOOKUP('Comp X - Kilter'!B122,'Kilter Holds'!$P$36:$AB$370,8,0),0)</f>
        <v>9</v>
      </c>
      <c r="G122" s="2">
        <f t="shared" si="4"/>
        <v>0</v>
      </c>
      <c r="H122" s="2">
        <f t="shared" si="5"/>
        <v>0</v>
      </c>
    </row>
    <row r="123" spans="2:8">
      <c r="B123" t="s">
        <v>420</v>
      </c>
      <c r="C123" t="s">
        <v>1098</v>
      </c>
      <c r="D123" s="9" t="str">
        <f t="shared" si="6"/>
        <v>13-01</v>
      </c>
      <c r="E123" s="1">
        <f>_xlfn.IFNA(VLOOKUP('Comp X - Kilter'!B123,'Kilter Holds'!$P$36:$AB$370,9,0),0)</f>
        <v>6</v>
      </c>
      <c r="G123" s="2">
        <f t="shared" si="4"/>
        <v>0</v>
      </c>
      <c r="H123" s="2">
        <f t="shared" si="5"/>
        <v>0</v>
      </c>
    </row>
    <row r="124" spans="2:8">
      <c r="B124" t="s">
        <v>420</v>
      </c>
      <c r="C124" t="s">
        <v>1098</v>
      </c>
      <c r="D124" s="10" t="str">
        <f t="shared" si="6"/>
        <v>07-13</v>
      </c>
      <c r="E124" s="1">
        <f>_xlfn.IFNA(VLOOKUP('Comp X - Kilter'!B124,'Kilter Holds'!$P$36:$AB$370,10,0),0)</f>
        <v>0</v>
      </c>
      <c r="G124" s="2">
        <f t="shared" si="4"/>
        <v>0</v>
      </c>
      <c r="H124" s="2">
        <f t="shared" si="5"/>
        <v>0</v>
      </c>
    </row>
    <row r="125" spans="2:8">
      <c r="B125" t="s">
        <v>420</v>
      </c>
      <c r="C125" t="s">
        <v>1098</v>
      </c>
      <c r="D125" s="11" t="str">
        <f t="shared" si="6"/>
        <v>11-25</v>
      </c>
      <c r="E125" s="1">
        <f>_xlfn.IFNA(VLOOKUP('Comp X - Kilter'!B125,'Kilter Holds'!$P$36:$AB$370,11,0),0)</f>
        <v>0</v>
      </c>
      <c r="G125" s="2">
        <f t="shared" si="4"/>
        <v>0</v>
      </c>
      <c r="H125" s="2">
        <f t="shared" si="5"/>
        <v>0</v>
      </c>
    </row>
    <row r="126" spans="2:8">
      <c r="B126" t="s">
        <v>420</v>
      </c>
      <c r="C126" t="s">
        <v>1098</v>
      </c>
      <c r="D126" s="13" t="str">
        <f t="shared" si="6"/>
        <v>18-01</v>
      </c>
      <c r="E126" s="1">
        <f>_xlfn.IFNA(VLOOKUP('Comp X - Kilter'!B126,'Kilter Holds'!$P$36:$AB$370,12,0),0)</f>
        <v>15</v>
      </c>
      <c r="G126" s="2">
        <f t="shared" si="4"/>
        <v>0</v>
      </c>
      <c r="H126" s="2">
        <f t="shared" si="5"/>
        <v>0</v>
      </c>
    </row>
    <row r="127" spans="2:8">
      <c r="B127" t="s">
        <v>420</v>
      </c>
      <c r="C127" t="s">
        <v>1098</v>
      </c>
      <c r="D127" s="12" t="str">
        <f t="shared" si="6"/>
        <v>12-01</v>
      </c>
      <c r="E127" s="1">
        <f>_xlfn.IFNA(VLOOKUP('Comp X - Kilter'!B127,'Kilter Holds'!$P$36:$AB$370,13,0),0)</f>
        <v>0</v>
      </c>
      <c r="G127" s="2">
        <f t="shared" si="4"/>
        <v>0</v>
      </c>
      <c r="H127" s="2">
        <f t="shared" si="5"/>
        <v>0</v>
      </c>
    </row>
    <row r="128" spans="2:8">
      <c r="B128" t="s">
        <v>427</v>
      </c>
      <c r="C128" t="s">
        <v>1099</v>
      </c>
      <c r="D128" s="5" t="str">
        <f t="shared" si="6"/>
        <v>11-12</v>
      </c>
      <c r="E128" s="1">
        <f>_xlfn.IFNA(VLOOKUP('Comp X - Kilter'!B128,'Kilter Holds'!$P$36:$AB$370,5,0),0)</f>
        <v>4</v>
      </c>
      <c r="G128" s="2">
        <f t="shared" si="4"/>
        <v>0</v>
      </c>
      <c r="H128" s="2">
        <f t="shared" si="5"/>
        <v>0</v>
      </c>
    </row>
    <row r="129" spans="2:8">
      <c r="B129" t="s">
        <v>427</v>
      </c>
      <c r="C129" t="s">
        <v>1099</v>
      </c>
      <c r="D129" s="6" t="str">
        <f t="shared" si="6"/>
        <v>14-01</v>
      </c>
      <c r="E129" s="1">
        <f>_xlfn.IFNA(VLOOKUP('Comp X - Kilter'!B129,'Kilter Holds'!$P$36:$AB$370,6,0),0)</f>
        <v>0</v>
      </c>
      <c r="G129" s="2">
        <f t="shared" si="4"/>
        <v>0</v>
      </c>
      <c r="H129" s="2">
        <f t="shared" si="5"/>
        <v>0</v>
      </c>
    </row>
    <row r="130" spans="2:8">
      <c r="B130" t="s">
        <v>427</v>
      </c>
      <c r="C130" t="s">
        <v>1099</v>
      </c>
      <c r="D130" s="7" t="str">
        <f t="shared" si="6"/>
        <v>15-12</v>
      </c>
      <c r="E130" s="1">
        <f>_xlfn.IFNA(VLOOKUP('Comp X - Kilter'!B130,'Kilter Holds'!$P$36:$AB$370,7,0),0)</f>
        <v>5</v>
      </c>
      <c r="G130" s="2">
        <f t="shared" si="4"/>
        <v>0</v>
      </c>
      <c r="H130" s="2">
        <f t="shared" si="5"/>
        <v>0</v>
      </c>
    </row>
    <row r="131" spans="2:8">
      <c r="B131" t="s">
        <v>427</v>
      </c>
      <c r="C131" t="s">
        <v>1099</v>
      </c>
      <c r="D131" s="8" t="str">
        <f t="shared" si="6"/>
        <v>16-16</v>
      </c>
      <c r="E131" s="1">
        <f>_xlfn.IFNA(VLOOKUP('Comp X - Kilter'!B131,'Kilter Holds'!$P$36:$AB$370,8,0),0)</f>
        <v>4</v>
      </c>
      <c r="G131" s="2">
        <f t="shared" ref="G131:G194" si="7">E131*F131</f>
        <v>0</v>
      </c>
      <c r="H131" s="2">
        <f t="shared" ref="H131:H194" si="8">IF($S$11="Y",G131*0.15,0)</f>
        <v>0</v>
      </c>
    </row>
    <row r="132" spans="2:8">
      <c r="B132" t="s">
        <v>427</v>
      </c>
      <c r="C132" t="s">
        <v>1099</v>
      </c>
      <c r="D132" s="9" t="str">
        <f t="shared" si="6"/>
        <v>13-01</v>
      </c>
      <c r="E132" s="1">
        <f>_xlfn.IFNA(VLOOKUP('Comp X - Kilter'!B132,'Kilter Holds'!$P$36:$AB$370,9,0),0)</f>
        <v>6</v>
      </c>
      <c r="G132" s="2">
        <f t="shared" si="7"/>
        <v>0</v>
      </c>
      <c r="H132" s="2">
        <f t="shared" si="8"/>
        <v>0</v>
      </c>
    </row>
    <row r="133" spans="2:8">
      <c r="B133" t="s">
        <v>427</v>
      </c>
      <c r="C133" t="s">
        <v>1099</v>
      </c>
      <c r="D133" s="10" t="str">
        <f t="shared" si="6"/>
        <v>07-13</v>
      </c>
      <c r="E133" s="1">
        <f>_xlfn.IFNA(VLOOKUP('Comp X - Kilter'!B133,'Kilter Holds'!$P$36:$AB$370,10,0),0)</f>
        <v>4</v>
      </c>
      <c r="G133" s="2">
        <f t="shared" si="7"/>
        <v>0</v>
      </c>
      <c r="H133" s="2">
        <f t="shared" si="8"/>
        <v>0</v>
      </c>
    </row>
    <row r="134" spans="2:8">
      <c r="B134" t="s">
        <v>427</v>
      </c>
      <c r="C134" t="s">
        <v>1099</v>
      </c>
      <c r="D134" s="11" t="str">
        <f t="shared" si="6"/>
        <v>11-25</v>
      </c>
      <c r="E134" s="1">
        <f>_xlfn.IFNA(VLOOKUP('Comp X - Kilter'!B134,'Kilter Holds'!$P$36:$AB$370,11,0),0)</f>
        <v>1</v>
      </c>
      <c r="G134" s="2">
        <f t="shared" si="7"/>
        <v>0</v>
      </c>
      <c r="H134" s="2">
        <f t="shared" si="8"/>
        <v>0</v>
      </c>
    </row>
    <row r="135" spans="2:8">
      <c r="B135" t="s">
        <v>427</v>
      </c>
      <c r="C135" t="s">
        <v>1099</v>
      </c>
      <c r="D135" s="13" t="str">
        <f t="shared" si="6"/>
        <v>18-01</v>
      </c>
      <c r="E135" s="1">
        <f>_xlfn.IFNA(VLOOKUP('Comp X - Kilter'!B135,'Kilter Holds'!$P$36:$AB$370,12,0),0)</f>
        <v>7</v>
      </c>
      <c r="G135" s="2">
        <f t="shared" si="7"/>
        <v>0</v>
      </c>
      <c r="H135" s="2">
        <f t="shared" si="8"/>
        <v>0</v>
      </c>
    </row>
    <row r="136" spans="2:8">
      <c r="B136" t="s">
        <v>427</v>
      </c>
      <c r="C136" t="s">
        <v>1099</v>
      </c>
      <c r="D136" s="12" t="str">
        <f t="shared" si="6"/>
        <v>12-01</v>
      </c>
      <c r="E136" s="1">
        <f>_xlfn.IFNA(VLOOKUP('Comp X - Kilter'!B136,'Kilter Holds'!$P$36:$AB$370,13,0),0)</f>
        <v>0</v>
      </c>
      <c r="G136" s="2">
        <f t="shared" si="7"/>
        <v>0</v>
      </c>
      <c r="H136" s="2">
        <f t="shared" si="8"/>
        <v>0</v>
      </c>
    </row>
    <row r="137" spans="2:8">
      <c r="B137" t="s">
        <v>424</v>
      </c>
      <c r="C137" t="s">
        <v>1100</v>
      </c>
      <c r="D137" s="5" t="str">
        <f t="shared" si="6"/>
        <v>11-12</v>
      </c>
      <c r="E137" s="1">
        <f>_xlfn.IFNA(VLOOKUP('Comp X - Kilter'!B137,'Kilter Holds'!$P$36:$AB$370,5,0),0)</f>
        <v>1</v>
      </c>
      <c r="G137" s="2">
        <f t="shared" si="7"/>
        <v>0</v>
      </c>
      <c r="H137" s="2">
        <f t="shared" si="8"/>
        <v>0</v>
      </c>
    </row>
    <row r="138" spans="2:8">
      <c r="B138" t="s">
        <v>424</v>
      </c>
      <c r="C138" t="s">
        <v>1100</v>
      </c>
      <c r="D138" s="6" t="str">
        <f t="shared" si="6"/>
        <v>14-01</v>
      </c>
      <c r="E138" s="1">
        <f>_xlfn.IFNA(VLOOKUP('Comp X - Kilter'!B138,'Kilter Holds'!$P$36:$AB$370,6,0),0)</f>
        <v>0</v>
      </c>
      <c r="G138" s="2">
        <f t="shared" si="7"/>
        <v>0</v>
      </c>
      <c r="H138" s="2">
        <f t="shared" si="8"/>
        <v>0</v>
      </c>
    </row>
    <row r="139" spans="2:8">
      <c r="B139" t="s">
        <v>424</v>
      </c>
      <c r="C139" t="s">
        <v>1100</v>
      </c>
      <c r="D139" s="7" t="str">
        <f t="shared" si="6"/>
        <v>15-12</v>
      </c>
      <c r="E139" s="1">
        <f>_xlfn.IFNA(VLOOKUP('Comp X - Kilter'!B139,'Kilter Holds'!$P$36:$AB$370,7,0),0)</f>
        <v>7</v>
      </c>
      <c r="G139" s="2">
        <f t="shared" si="7"/>
        <v>0</v>
      </c>
      <c r="H139" s="2">
        <f t="shared" si="8"/>
        <v>0</v>
      </c>
    </row>
    <row r="140" spans="2:8">
      <c r="B140" t="s">
        <v>424</v>
      </c>
      <c r="C140" t="s">
        <v>1100</v>
      </c>
      <c r="D140" s="8" t="str">
        <f t="shared" si="6"/>
        <v>16-16</v>
      </c>
      <c r="E140" s="1">
        <f>_xlfn.IFNA(VLOOKUP('Comp X - Kilter'!B140,'Kilter Holds'!$P$36:$AB$370,8,0),0)</f>
        <v>4</v>
      </c>
      <c r="G140" s="2">
        <f t="shared" si="7"/>
        <v>0</v>
      </c>
      <c r="H140" s="2">
        <f t="shared" si="8"/>
        <v>0</v>
      </c>
    </row>
    <row r="141" spans="2:8">
      <c r="B141" t="s">
        <v>424</v>
      </c>
      <c r="C141" t="s">
        <v>1100</v>
      </c>
      <c r="D141" s="9" t="str">
        <f t="shared" si="6"/>
        <v>13-01</v>
      </c>
      <c r="E141" s="1">
        <f>_xlfn.IFNA(VLOOKUP('Comp X - Kilter'!B141,'Kilter Holds'!$P$36:$AB$370,9,0),0)</f>
        <v>5</v>
      </c>
      <c r="G141" s="2">
        <f t="shared" si="7"/>
        <v>0</v>
      </c>
      <c r="H141" s="2">
        <f t="shared" si="8"/>
        <v>0</v>
      </c>
    </row>
    <row r="142" spans="2:8">
      <c r="B142" t="s">
        <v>424</v>
      </c>
      <c r="C142" t="s">
        <v>1100</v>
      </c>
      <c r="D142" s="10" t="str">
        <f t="shared" si="6"/>
        <v>07-13</v>
      </c>
      <c r="E142" s="1">
        <f>_xlfn.IFNA(VLOOKUP('Comp X - Kilter'!B142,'Kilter Holds'!$P$36:$AB$370,10,0),0)</f>
        <v>4</v>
      </c>
      <c r="G142" s="2">
        <f t="shared" si="7"/>
        <v>0</v>
      </c>
      <c r="H142" s="2">
        <f t="shared" si="8"/>
        <v>0</v>
      </c>
    </row>
    <row r="143" spans="2:8">
      <c r="B143" t="s">
        <v>424</v>
      </c>
      <c r="C143" t="s">
        <v>1100</v>
      </c>
      <c r="D143" s="11" t="str">
        <f t="shared" si="6"/>
        <v>11-25</v>
      </c>
      <c r="E143" s="1">
        <f>_xlfn.IFNA(VLOOKUP('Comp X - Kilter'!B143,'Kilter Holds'!$P$36:$AB$370,11,0),0)</f>
        <v>3</v>
      </c>
      <c r="G143" s="2">
        <f t="shared" si="7"/>
        <v>0</v>
      </c>
      <c r="H143" s="2">
        <f t="shared" si="8"/>
        <v>0</v>
      </c>
    </row>
    <row r="144" spans="2:8">
      <c r="B144" t="s">
        <v>424</v>
      </c>
      <c r="C144" t="s">
        <v>1100</v>
      </c>
      <c r="D144" s="13" t="str">
        <f t="shared" si="6"/>
        <v>18-01</v>
      </c>
      <c r="E144" s="1">
        <f>_xlfn.IFNA(VLOOKUP('Comp X - Kilter'!B144,'Kilter Holds'!$P$36:$AB$370,12,0),0)</f>
        <v>12</v>
      </c>
      <c r="G144" s="2">
        <f t="shared" si="7"/>
        <v>0</v>
      </c>
      <c r="H144" s="2">
        <f t="shared" si="8"/>
        <v>0</v>
      </c>
    </row>
    <row r="145" spans="2:8">
      <c r="B145" t="s">
        <v>424</v>
      </c>
      <c r="C145" t="s">
        <v>1100</v>
      </c>
      <c r="D145" s="12" t="str">
        <f t="shared" si="6"/>
        <v>12-01</v>
      </c>
      <c r="E145" s="1">
        <f>_xlfn.IFNA(VLOOKUP('Comp X - Kilter'!B145,'Kilter Holds'!$P$36:$AB$370,13,0),0)</f>
        <v>0</v>
      </c>
      <c r="G145" s="2">
        <f t="shared" si="7"/>
        <v>0</v>
      </c>
      <c r="H145" s="2">
        <f t="shared" si="8"/>
        <v>0</v>
      </c>
    </row>
    <row r="146" spans="2:8">
      <c r="B146" t="s">
        <v>421</v>
      </c>
      <c r="C146" t="s">
        <v>1101</v>
      </c>
      <c r="D146" s="5" t="str">
        <f t="shared" si="6"/>
        <v>11-12</v>
      </c>
      <c r="E146" s="1">
        <f>_xlfn.IFNA(VLOOKUP('Comp X - Kilter'!B146,'Kilter Holds'!$P$36:$AB$370,5,0),0)</f>
        <v>2</v>
      </c>
      <c r="G146" s="2">
        <f t="shared" si="7"/>
        <v>0</v>
      </c>
      <c r="H146" s="2">
        <f t="shared" si="8"/>
        <v>0</v>
      </c>
    </row>
    <row r="147" spans="2:8">
      <c r="B147" t="s">
        <v>421</v>
      </c>
      <c r="C147" t="s">
        <v>1101</v>
      </c>
      <c r="D147" s="6" t="str">
        <f t="shared" si="6"/>
        <v>14-01</v>
      </c>
      <c r="E147" s="1">
        <f>_xlfn.IFNA(VLOOKUP('Comp X - Kilter'!B147,'Kilter Holds'!$P$36:$AB$370,6,0),0)</f>
        <v>0</v>
      </c>
      <c r="G147" s="2">
        <f t="shared" si="7"/>
        <v>0</v>
      </c>
      <c r="H147" s="2">
        <f t="shared" si="8"/>
        <v>0</v>
      </c>
    </row>
    <row r="148" spans="2:8">
      <c r="B148" t="s">
        <v>421</v>
      </c>
      <c r="C148" t="s">
        <v>1101</v>
      </c>
      <c r="D148" s="7" t="str">
        <f t="shared" ref="D148:D211" si="9">D139</f>
        <v>15-12</v>
      </c>
      <c r="E148" s="1">
        <f>_xlfn.IFNA(VLOOKUP('Comp X - Kilter'!B148,'Kilter Holds'!$P$36:$AB$370,7,0),0)</f>
        <v>7</v>
      </c>
      <c r="G148" s="2">
        <f t="shared" si="7"/>
        <v>0</v>
      </c>
      <c r="H148" s="2">
        <f t="shared" si="8"/>
        <v>0</v>
      </c>
    </row>
    <row r="149" spans="2:8">
      <c r="B149" t="s">
        <v>421</v>
      </c>
      <c r="C149" t="s">
        <v>1101</v>
      </c>
      <c r="D149" s="8" t="str">
        <f t="shared" si="9"/>
        <v>16-16</v>
      </c>
      <c r="E149" s="1">
        <f>_xlfn.IFNA(VLOOKUP('Comp X - Kilter'!B149,'Kilter Holds'!$P$36:$AB$370,8,0),0)</f>
        <v>9</v>
      </c>
      <c r="G149" s="2">
        <f t="shared" si="7"/>
        <v>0</v>
      </c>
      <c r="H149" s="2">
        <f t="shared" si="8"/>
        <v>0</v>
      </c>
    </row>
    <row r="150" spans="2:8">
      <c r="B150" t="s">
        <v>421</v>
      </c>
      <c r="C150" t="s">
        <v>1101</v>
      </c>
      <c r="D150" s="9" t="str">
        <f t="shared" si="9"/>
        <v>13-01</v>
      </c>
      <c r="E150" s="1">
        <f>_xlfn.IFNA(VLOOKUP('Comp X - Kilter'!B150,'Kilter Holds'!$P$36:$AB$370,9,0),0)</f>
        <v>6</v>
      </c>
      <c r="G150" s="2">
        <f t="shared" si="7"/>
        <v>0</v>
      </c>
      <c r="H150" s="2">
        <f t="shared" si="8"/>
        <v>0</v>
      </c>
    </row>
    <row r="151" spans="2:8">
      <c r="B151" t="s">
        <v>421</v>
      </c>
      <c r="C151" t="s">
        <v>1101</v>
      </c>
      <c r="D151" s="10" t="str">
        <f t="shared" si="9"/>
        <v>07-13</v>
      </c>
      <c r="E151" s="1">
        <f>_xlfn.IFNA(VLOOKUP('Comp X - Kilter'!B151,'Kilter Holds'!$P$36:$AB$370,10,0),0)</f>
        <v>0</v>
      </c>
      <c r="G151" s="2">
        <f t="shared" si="7"/>
        <v>0</v>
      </c>
      <c r="H151" s="2">
        <f t="shared" si="8"/>
        <v>0</v>
      </c>
    </row>
    <row r="152" spans="2:8">
      <c r="B152" t="s">
        <v>421</v>
      </c>
      <c r="C152" t="s">
        <v>1101</v>
      </c>
      <c r="D152" s="11" t="str">
        <f t="shared" si="9"/>
        <v>11-25</v>
      </c>
      <c r="E152" s="1">
        <f>_xlfn.IFNA(VLOOKUP('Comp X - Kilter'!B152,'Kilter Holds'!$P$36:$AB$370,11,0),0)</f>
        <v>0</v>
      </c>
      <c r="G152" s="2">
        <f t="shared" si="7"/>
        <v>0</v>
      </c>
      <c r="H152" s="2">
        <f t="shared" si="8"/>
        <v>0</v>
      </c>
    </row>
    <row r="153" spans="2:8">
      <c r="B153" t="s">
        <v>421</v>
      </c>
      <c r="C153" t="s">
        <v>1101</v>
      </c>
      <c r="D153" s="13" t="str">
        <f t="shared" si="9"/>
        <v>18-01</v>
      </c>
      <c r="E153" s="1">
        <f>_xlfn.IFNA(VLOOKUP('Comp X - Kilter'!B153,'Kilter Holds'!$P$36:$AB$370,12,0),0)</f>
        <v>13</v>
      </c>
      <c r="G153" s="2">
        <f t="shared" si="7"/>
        <v>0</v>
      </c>
      <c r="H153" s="2">
        <f t="shared" si="8"/>
        <v>0</v>
      </c>
    </row>
    <row r="154" spans="2:8">
      <c r="B154" t="s">
        <v>421</v>
      </c>
      <c r="C154" t="s">
        <v>1101</v>
      </c>
      <c r="D154" s="12" t="str">
        <f t="shared" si="9"/>
        <v>12-01</v>
      </c>
      <c r="E154" s="1">
        <f>_xlfn.IFNA(VLOOKUP('Comp X - Kilter'!B154,'Kilter Holds'!$P$36:$AB$370,13,0),0)</f>
        <v>0</v>
      </c>
      <c r="G154" s="2">
        <f t="shared" si="7"/>
        <v>0</v>
      </c>
      <c r="H154" s="2">
        <f t="shared" si="8"/>
        <v>0</v>
      </c>
    </row>
    <row r="155" spans="2:8">
      <c r="B155" t="s">
        <v>415</v>
      </c>
      <c r="C155" t="s">
        <v>1102</v>
      </c>
      <c r="D155" s="5" t="str">
        <f t="shared" si="9"/>
        <v>11-12</v>
      </c>
      <c r="E155" s="1">
        <f>_xlfn.IFNA(VLOOKUP('Comp X - Kilter'!B155,'Kilter Holds'!$P$36:$AB$370,5,0),0)</f>
        <v>4</v>
      </c>
      <c r="G155" s="2">
        <f t="shared" si="7"/>
        <v>0</v>
      </c>
      <c r="H155" s="2">
        <f t="shared" si="8"/>
        <v>0</v>
      </c>
    </row>
    <row r="156" spans="2:8">
      <c r="B156" t="s">
        <v>415</v>
      </c>
      <c r="C156" t="s">
        <v>1102</v>
      </c>
      <c r="D156" s="6" t="str">
        <f t="shared" si="9"/>
        <v>14-01</v>
      </c>
      <c r="E156" s="1">
        <f>_xlfn.IFNA(VLOOKUP('Comp X - Kilter'!B156,'Kilter Holds'!$P$36:$AB$370,6,0),0)</f>
        <v>0</v>
      </c>
      <c r="G156" s="2">
        <f t="shared" si="7"/>
        <v>0</v>
      </c>
      <c r="H156" s="2">
        <f t="shared" si="8"/>
        <v>0</v>
      </c>
    </row>
    <row r="157" spans="2:8">
      <c r="B157" t="s">
        <v>415</v>
      </c>
      <c r="C157" t="s">
        <v>1102</v>
      </c>
      <c r="D157" s="7" t="str">
        <f t="shared" si="9"/>
        <v>15-12</v>
      </c>
      <c r="E157" s="1">
        <f>_xlfn.IFNA(VLOOKUP('Comp X - Kilter'!B157,'Kilter Holds'!$P$36:$AB$370,7,0),0)</f>
        <v>5</v>
      </c>
      <c r="G157" s="2">
        <f t="shared" si="7"/>
        <v>0</v>
      </c>
      <c r="H157" s="2">
        <f t="shared" si="8"/>
        <v>0</v>
      </c>
    </row>
    <row r="158" spans="2:8">
      <c r="B158" t="s">
        <v>415</v>
      </c>
      <c r="C158" t="s">
        <v>1102</v>
      </c>
      <c r="D158" s="8" t="str">
        <f t="shared" si="9"/>
        <v>16-16</v>
      </c>
      <c r="E158" s="1">
        <f>_xlfn.IFNA(VLOOKUP('Comp X - Kilter'!B158,'Kilter Holds'!$P$36:$AB$370,8,0),0)</f>
        <v>3</v>
      </c>
      <c r="G158" s="2">
        <f t="shared" si="7"/>
        <v>0</v>
      </c>
      <c r="H158" s="2">
        <f t="shared" si="8"/>
        <v>0</v>
      </c>
    </row>
    <row r="159" spans="2:8">
      <c r="B159" t="s">
        <v>415</v>
      </c>
      <c r="C159" t="s">
        <v>1102</v>
      </c>
      <c r="D159" s="9" t="str">
        <f t="shared" si="9"/>
        <v>13-01</v>
      </c>
      <c r="E159" s="1">
        <f>_xlfn.IFNA(VLOOKUP('Comp X - Kilter'!B159,'Kilter Holds'!$P$36:$AB$370,9,0),0)</f>
        <v>2</v>
      </c>
      <c r="G159" s="2">
        <f t="shared" si="7"/>
        <v>0</v>
      </c>
      <c r="H159" s="2">
        <f t="shared" si="8"/>
        <v>0</v>
      </c>
    </row>
    <row r="160" spans="2:8">
      <c r="B160" t="s">
        <v>415</v>
      </c>
      <c r="C160" t="s">
        <v>1102</v>
      </c>
      <c r="D160" s="10" t="str">
        <f t="shared" si="9"/>
        <v>07-13</v>
      </c>
      <c r="E160" s="1">
        <f>_xlfn.IFNA(VLOOKUP('Comp X - Kilter'!B160,'Kilter Holds'!$P$36:$AB$370,10,0),0)</f>
        <v>6</v>
      </c>
      <c r="G160" s="2">
        <f t="shared" si="7"/>
        <v>0</v>
      </c>
      <c r="H160" s="2">
        <f t="shared" si="8"/>
        <v>0</v>
      </c>
    </row>
    <row r="161" spans="2:8">
      <c r="B161" t="s">
        <v>415</v>
      </c>
      <c r="C161" t="s">
        <v>1102</v>
      </c>
      <c r="D161" s="11" t="str">
        <f t="shared" si="9"/>
        <v>11-25</v>
      </c>
      <c r="E161" s="1">
        <f>_xlfn.IFNA(VLOOKUP('Comp X - Kilter'!B161,'Kilter Holds'!$P$36:$AB$370,11,0),0)</f>
        <v>0</v>
      </c>
      <c r="G161" s="2">
        <f t="shared" si="7"/>
        <v>0</v>
      </c>
      <c r="H161" s="2">
        <f t="shared" si="8"/>
        <v>0</v>
      </c>
    </row>
    <row r="162" spans="2:8">
      <c r="B162" t="s">
        <v>415</v>
      </c>
      <c r="C162" t="s">
        <v>1102</v>
      </c>
      <c r="D162" s="13" t="str">
        <f t="shared" si="9"/>
        <v>18-01</v>
      </c>
      <c r="E162" s="1">
        <f>_xlfn.IFNA(VLOOKUP('Comp X - Kilter'!B162,'Kilter Holds'!$P$36:$AB$370,12,0),0)</f>
        <v>13</v>
      </c>
      <c r="G162" s="2">
        <f t="shared" si="7"/>
        <v>0</v>
      </c>
      <c r="H162" s="2">
        <f t="shared" si="8"/>
        <v>0</v>
      </c>
    </row>
    <row r="163" spans="2:8">
      <c r="B163" t="s">
        <v>415</v>
      </c>
      <c r="C163" t="s">
        <v>1102</v>
      </c>
      <c r="D163" s="12" t="str">
        <f t="shared" si="9"/>
        <v>12-01</v>
      </c>
      <c r="E163" s="1">
        <f>_xlfn.IFNA(VLOOKUP('Comp X - Kilter'!B163,'Kilter Holds'!$P$36:$AB$370,13,0),0)</f>
        <v>0</v>
      </c>
      <c r="G163" s="2">
        <f t="shared" si="7"/>
        <v>0</v>
      </c>
      <c r="H163" s="2">
        <f t="shared" si="8"/>
        <v>0</v>
      </c>
    </row>
    <row r="164" spans="2:8">
      <c r="B164" t="s">
        <v>432</v>
      </c>
      <c r="C164" t="s">
        <v>1103</v>
      </c>
      <c r="D164" s="5" t="str">
        <f t="shared" si="9"/>
        <v>11-12</v>
      </c>
      <c r="E164" s="1">
        <f>_xlfn.IFNA(VLOOKUP('Comp X - Kilter'!B164,'Kilter Holds'!$P$36:$AB$370,5,0),0)</f>
        <v>3</v>
      </c>
      <c r="G164" s="2">
        <f t="shared" si="7"/>
        <v>0</v>
      </c>
      <c r="H164" s="2">
        <f t="shared" si="8"/>
        <v>0</v>
      </c>
    </row>
    <row r="165" spans="2:8">
      <c r="B165" t="s">
        <v>432</v>
      </c>
      <c r="C165" t="s">
        <v>1103</v>
      </c>
      <c r="D165" s="6" t="str">
        <f t="shared" si="9"/>
        <v>14-01</v>
      </c>
      <c r="E165" s="1">
        <f>_xlfn.IFNA(VLOOKUP('Comp X - Kilter'!B165,'Kilter Holds'!$P$36:$AB$370,6,0),0)</f>
        <v>0</v>
      </c>
      <c r="G165" s="2">
        <f t="shared" si="7"/>
        <v>0</v>
      </c>
      <c r="H165" s="2">
        <f t="shared" si="8"/>
        <v>0</v>
      </c>
    </row>
    <row r="166" spans="2:8">
      <c r="B166" t="s">
        <v>432</v>
      </c>
      <c r="C166" t="s">
        <v>1103</v>
      </c>
      <c r="D166" s="7" t="str">
        <f t="shared" si="9"/>
        <v>15-12</v>
      </c>
      <c r="E166" s="1">
        <f>_xlfn.IFNA(VLOOKUP('Comp X - Kilter'!B166,'Kilter Holds'!$P$36:$AB$370,7,0),0)</f>
        <v>1</v>
      </c>
      <c r="G166" s="2">
        <f t="shared" si="7"/>
        <v>0</v>
      </c>
      <c r="H166" s="2">
        <f t="shared" si="8"/>
        <v>0</v>
      </c>
    </row>
    <row r="167" spans="2:8">
      <c r="B167" t="s">
        <v>432</v>
      </c>
      <c r="C167" t="s">
        <v>1103</v>
      </c>
      <c r="D167" s="8" t="str">
        <f t="shared" si="9"/>
        <v>16-16</v>
      </c>
      <c r="E167" s="1">
        <f>_xlfn.IFNA(VLOOKUP('Comp X - Kilter'!B167,'Kilter Holds'!$P$36:$AB$370,8,0),0)</f>
        <v>0</v>
      </c>
      <c r="G167" s="2">
        <f t="shared" si="7"/>
        <v>0</v>
      </c>
      <c r="H167" s="2">
        <f t="shared" si="8"/>
        <v>0</v>
      </c>
    </row>
    <row r="168" spans="2:8">
      <c r="B168" t="s">
        <v>432</v>
      </c>
      <c r="C168" t="s">
        <v>1103</v>
      </c>
      <c r="D168" s="9" t="str">
        <f t="shared" si="9"/>
        <v>13-01</v>
      </c>
      <c r="E168" s="1">
        <f>_xlfn.IFNA(VLOOKUP('Comp X - Kilter'!B168,'Kilter Holds'!$P$36:$AB$370,9,0),0)</f>
        <v>4</v>
      </c>
      <c r="G168" s="2">
        <f t="shared" si="7"/>
        <v>0</v>
      </c>
      <c r="H168" s="2">
        <f t="shared" si="8"/>
        <v>0</v>
      </c>
    </row>
    <row r="169" spans="2:8">
      <c r="B169" t="s">
        <v>432</v>
      </c>
      <c r="C169" t="s">
        <v>1103</v>
      </c>
      <c r="D169" s="10" t="str">
        <f t="shared" si="9"/>
        <v>07-13</v>
      </c>
      <c r="E169" s="1">
        <f>_xlfn.IFNA(VLOOKUP('Comp X - Kilter'!B169,'Kilter Holds'!$P$36:$AB$370,10,0),0)</f>
        <v>4</v>
      </c>
      <c r="G169" s="2">
        <f t="shared" si="7"/>
        <v>0</v>
      </c>
      <c r="H169" s="2">
        <f t="shared" si="8"/>
        <v>0</v>
      </c>
    </row>
    <row r="170" spans="2:8">
      <c r="B170" t="s">
        <v>432</v>
      </c>
      <c r="C170" t="s">
        <v>1103</v>
      </c>
      <c r="D170" s="11" t="str">
        <f t="shared" si="9"/>
        <v>11-25</v>
      </c>
      <c r="E170" s="1">
        <f>_xlfn.IFNA(VLOOKUP('Comp X - Kilter'!B170,'Kilter Holds'!$P$36:$AB$370,11,0),0)</f>
        <v>0</v>
      </c>
      <c r="G170" s="2">
        <f t="shared" si="7"/>
        <v>0</v>
      </c>
      <c r="H170" s="2">
        <f t="shared" si="8"/>
        <v>0</v>
      </c>
    </row>
    <row r="171" spans="2:8">
      <c r="B171" t="s">
        <v>432</v>
      </c>
      <c r="C171" t="s">
        <v>1103</v>
      </c>
      <c r="D171" s="13" t="str">
        <f t="shared" si="9"/>
        <v>18-01</v>
      </c>
      <c r="E171" s="1">
        <f>_xlfn.IFNA(VLOOKUP('Comp X - Kilter'!B171,'Kilter Holds'!$P$36:$AB$370,12,0),0)</f>
        <v>10</v>
      </c>
      <c r="G171" s="2">
        <f t="shared" si="7"/>
        <v>0</v>
      </c>
      <c r="H171" s="2">
        <f t="shared" si="8"/>
        <v>0</v>
      </c>
    </row>
    <row r="172" spans="2:8">
      <c r="B172" t="s">
        <v>432</v>
      </c>
      <c r="C172" t="s">
        <v>1103</v>
      </c>
      <c r="D172" s="12" t="str">
        <f t="shared" si="9"/>
        <v>12-01</v>
      </c>
      <c r="E172" s="1">
        <f>_xlfn.IFNA(VLOOKUP('Comp X - Kilter'!B172,'Kilter Holds'!$P$36:$AB$370,13,0),0)</f>
        <v>0</v>
      </c>
      <c r="G172" s="2">
        <f t="shared" si="7"/>
        <v>0</v>
      </c>
      <c r="H172" s="2">
        <f t="shared" si="8"/>
        <v>0</v>
      </c>
    </row>
    <row r="173" spans="2:8">
      <c r="B173" t="s">
        <v>435</v>
      </c>
      <c r="C173" t="s">
        <v>1104</v>
      </c>
      <c r="D173" s="5" t="str">
        <f t="shared" si="9"/>
        <v>11-12</v>
      </c>
      <c r="E173" s="1">
        <f>_xlfn.IFNA(VLOOKUP('Comp X - Kilter'!B173,'Kilter Holds'!$P$36:$AB$370,5,0),0)</f>
        <v>4</v>
      </c>
      <c r="G173" s="2">
        <f t="shared" si="7"/>
        <v>0</v>
      </c>
      <c r="H173" s="2">
        <f t="shared" si="8"/>
        <v>0</v>
      </c>
    </row>
    <row r="174" spans="2:8">
      <c r="B174" t="s">
        <v>435</v>
      </c>
      <c r="C174" t="s">
        <v>1104</v>
      </c>
      <c r="D174" s="6" t="str">
        <f t="shared" si="9"/>
        <v>14-01</v>
      </c>
      <c r="E174" s="1">
        <f>_xlfn.IFNA(VLOOKUP('Comp X - Kilter'!B174,'Kilter Holds'!$P$36:$AB$370,6,0),0)</f>
        <v>0</v>
      </c>
      <c r="G174" s="2">
        <f t="shared" si="7"/>
        <v>0</v>
      </c>
      <c r="H174" s="2">
        <f t="shared" si="8"/>
        <v>0</v>
      </c>
    </row>
    <row r="175" spans="2:8">
      <c r="B175" t="s">
        <v>435</v>
      </c>
      <c r="C175" t="s">
        <v>1104</v>
      </c>
      <c r="D175" s="7" t="str">
        <f t="shared" si="9"/>
        <v>15-12</v>
      </c>
      <c r="E175" s="1">
        <f>_xlfn.IFNA(VLOOKUP('Comp X - Kilter'!B175,'Kilter Holds'!$P$36:$AB$370,7,0),0)</f>
        <v>4</v>
      </c>
      <c r="G175" s="2">
        <f t="shared" si="7"/>
        <v>0</v>
      </c>
      <c r="H175" s="2">
        <f t="shared" si="8"/>
        <v>0</v>
      </c>
    </row>
    <row r="176" spans="2:8">
      <c r="B176" t="s">
        <v>435</v>
      </c>
      <c r="C176" t="s">
        <v>1104</v>
      </c>
      <c r="D176" s="8" t="str">
        <f t="shared" si="9"/>
        <v>16-16</v>
      </c>
      <c r="E176" s="1">
        <f>_xlfn.IFNA(VLOOKUP('Comp X - Kilter'!B176,'Kilter Holds'!$P$36:$AB$370,8,0),0)</f>
        <v>10</v>
      </c>
      <c r="G176" s="2">
        <f t="shared" si="7"/>
        <v>0</v>
      </c>
      <c r="H176" s="2">
        <f t="shared" si="8"/>
        <v>0</v>
      </c>
    </row>
    <row r="177" spans="2:8">
      <c r="B177" t="s">
        <v>435</v>
      </c>
      <c r="C177" t="s">
        <v>1104</v>
      </c>
      <c r="D177" s="9" t="str">
        <f t="shared" si="9"/>
        <v>13-01</v>
      </c>
      <c r="E177" s="1">
        <f>_xlfn.IFNA(VLOOKUP('Comp X - Kilter'!B177,'Kilter Holds'!$P$36:$AB$370,9,0),0)</f>
        <v>6</v>
      </c>
      <c r="G177" s="2">
        <f t="shared" si="7"/>
        <v>0</v>
      </c>
      <c r="H177" s="2">
        <f t="shared" si="8"/>
        <v>0</v>
      </c>
    </row>
    <row r="178" spans="2:8">
      <c r="B178" t="s">
        <v>435</v>
      </c>
      <c r="C178" t="s">
        <v>1104</v>
      </c>
      <c r="D178" s="10" t="str">
        <f t="shared" si="9"/>
        <v>07-13</v>
      </c>
      <c r="E178" s="1">
        <f>_xlfn.IFNA(VLOOKUP('Comp X - Kilter'!B178,'Kilter Holds'!$P$36:$AB$370,10,0),0)</f>
        <v>4</v>
      </c>
      <c r="G178" s="2">
        <f t="shared" si="7"/>
        <v>0</v>
      </c>
      <c r="H178" s="2">
        <f t="shared" si="8"/>
        <v>0</v>
      </c>
    </row>
    <row r="179" spans="2:8">
      <c r="B179" t="s">
        <v>435</v>
      </c>
      <c r="C179" t="s">
        <v>1104</v>
      </c>
      <c r="D179" s="11" t="str">
        <f t="shared" si="9"/>
        <v>11-25</v>
      </c>
      <c r="E179" s="1">
        <f>_xlfn.IFNA(VLOOKUP('Comp X - Kilter'!B179,'Kilter Holds'!$P$36:$AB$370,11,0),0)</f>
        <v>0</v>
      </c>
      <c r="G179" s="2">
        <f t="shared" si="7"/>
        <v>0</v>
      </c>
      <c r="H179" s="2">
        <f t="shared" si="8"/>
        <v>0</v>
      </c>
    </row>
    <row r="180" spans="2:8">
      <c r="B180" t="s">
        <v>435</v>
      </c>
      <c r="C180" t="s">
        <v>1104</v>
      </c>
      <c r="D180" s="13" t="str">
        <f t="shared" si="9"/>
        <v>18-01</v>
      </c>
      <c r="E180" s="1">
        <f>_xlfn.IFNA(VLOOKUP('Comp X - Kilter'!B180,'Kilter Holds'!$P$36:$AB$370,12,0),0)</f>
        <v>7</v>
      </c>
      <c r="G180" s="2">
        <f t="shared" si="7"/>
        <v>0</v>
      </c>
      <c r="H180" s="2">
        <f t="shared" si="8"/>
        <v>0</v>
      </c>
    </row>
    <row r="181" spans="2:8">
      <c r="B181" t="s">
        <v>435</v>
      </c>
      <c r="C181" t="s">
        <v>1104</v>
      </c>
      <c r="D181" s="12" t="str">
        <f t="shared" si="9"/>
        <v>12-01</v>
      </c>
      <c r="E181" s="1">
        <f>_xlfn.IFNA(VLOOKUP('Comp X - Kilter'!B181,'Kilter Holds'!$P$36:$AB$370,13,0),0)</f>
        <v>0</v>
      </c>
      <c r="G181" s="2">
        <f t="shared" si="7"/>
        <v>0</v>
      </c>
      <c r="H181" s="2">
        <f t="shared" si="8"/>
        <v>0</v>
      </c>
    </row>
    <row r="182" spans="2:8">
      <c r="B182" t="s">
        <v>434</v>
      </c>
      <c r="C182" t="s">
        <v>1105</v>
      </c>
      <c r="D182" s="5" t="str">
        <f t="shared" si="9"/>
        <v>11-12</v>
      </c>
      <c r="E182" s="1">
        <f>_xlfn.IFNA(VLOOKUP('Comp X - Kilter'!B182,'Kilter Holds'!$P$36:$AB$370,5,0),0)</f>
        <v>4</v>
      </c>
      <c r="G182" s="2">
        <f t="shared" si="7"/>
        <v>0</v>
      </c>
      <c r="H182" s="2">
        <f t="shared" si="8"/>
        <v>0</v>
      </c>
    </row>
    <row r="183" spans="2:8">
      <c r="B183" t="s">
        <v>434</v>
      </c>
      <c r="C183" t="s">
        <v>1105</v>
      </c>
      <c r="D183" s="6" t="str">
        <f t="shared" si="9"/>
        <v>14-01</v>
      </c>
      <c r="E183" s="1">
        <f>_xlfn.IFNA(VLOOKUP('Comp X - Kilter'!B183,'Kilter Holds'!$P$36:$AB$370,6,0),0)</f>
        <v>0</v>
      </c>
      <c r="G183" s="2">
        <f t="shared" si="7"/>
        <v>0</v>
      </c>
      <c r="H183" s="2">
        <f t="shared" si="8"/>
        <v>0</v>
      </c>
    </row>
    <row r="184" spans="2:8">
      <c r="B184" t="s">
        <v>434</v>
      </c>
      <c r="C184" t="s">
        <v>1105</v>
      </c>
      <c r="D184" s="7" t="str">
        <f t="shared" si="9"/>
        <v>15-12</v>
      </c>
      <c r="E184" s="1">
        <f>_xlfn.IFNA(VLOOKUP('Comp X - Kilter'!B184,'Kilter Holds'!$P$36:$AB$370,7,0),0)</f>
        <v>9</v>
      </c>
      <c r="G184" s="2">
        <f t="shared" si="7"/>
        <v>0</v>
      </c>
      <c r="H184" s="2">
        <f t="shared" si="8"/>
        <v>0</v>
      </c>
    </row>
    <row r="185" spans="2:8">
      <c r="B185" t="s">
        <v>434</v>
      </c>
      <c r="C185" t="s">
        <v>1105</v>
      </c>
      <c r="D185" s="8" t="str">
        <f t="shared" si="9"/>
        <v>16-16</v>
      </c>
      <c r="E185" s="1">
        <f>_xlfn.IFNA(VLOOKUP('Comp X - Kilter'!B185,'Kilter Holds'!$P$36:$AB$370,8,0),0)</f>
        <v>9</v>
      </c>
      <c r="G185" s="2">
        <f t="shared" si="7"/>
        <v>0</v>
      </c>
      <c r="H185" s="2">
        <f t="shared" si="8"/>
        <v>0</v>
      </c>
    </row>
    <row r="186" spans="2:8">
      <c r="B186" t="s">
        <v>434</v>
      </c>
      <c r="C186" t="s">
        <v>1105</v>
      </c>
      <c r="D186" s="9" t="str">
        <f t="shared" si="9"/>
        <v>13-01</v>
      </c>
      <c r="E186" s="1">
        <f>_xlfn.IFNA(VLOOKUP('Comp X - Kilter'!B186,'Kilter Holds'!$P$36:$AB$370,9,0),0)</f>
        <v>4</v>
      </c>
      <c r="G186" s="2">
        <f t="shared" si="7"/>
        <v>0</v>
      </c>
      <c r="H186" s="2">
        <f t="shared" si="8"/>
        <v>0</v>
      </c>
    </row>
    <row r="187" spans="2:8">
      <c r="B187" t="s">
        <v>434</v>
      </c>
      <c r="C187" t="s">
        <v>1105</v>
      </c>
      <c r="D187" s="10" t="str">
        <f t="shared" si="9"/>
        <v>07-13</v>
      </c>
      <c r="E187" s="1">
        <f>_xlfn.IFNA(VLOOKUP('Comp X - Kilter'!B187,'Kilter Holds'!$P$36:$AB$370,10,0),0)</f>
        <v>5</v>
      </c>
      <c r="G187" s="2">
        <f t="shared" si="7"/>
        <v>0</v>
      </c>
      <c r="H187" s="2">
        <f t="shared" si="8"/>
        <v>0</v>
      </c>
    </row>
    <row r="188" spans="2:8">
      <c r="B188" t="s">
        <v>434</v>
      </c>
      <c r="C188" t="s">
        <v>1105</v>
      </c>
      <c r="D188" s="11" t="str">
        <f t="shared" si="9"/>
        <v>11-25</v>
      </c>
      <c r="E188" s="1">
        <f>_xlfn.IFNA(VLOOKUP('Comp X - Kilter'!B188,'Kilter Holds'!$P$36:$AB$370,11,0),0)</f>
        <v>0</v>
      </c>
      <c r="G188" s="2">
        <f t="shared" si="7"/>
        <v>0</v>
      </c>
      <c r="H188" s="2">
        <f t="shared" si="8"/>
        <v>0</v>
      </c>
    </row>
    <row r="189" spans="2:8">
      <c r="B189" t="s">
        <v>434</v>
      </c>
      <c r="C189" t="s">
        <v>1105</v>
      </c>
      <c r="D189" s="13" t="str">
        <f t="shared" si="9"/>
        <v>18-01</v>
      </c>
      <c r="E189" s="1">
        <f>_xlfn.IFNA(VLOOKUP('Comp X - Kilter'!B189,'Kilter Holds'!$P$36:$AB$370,12,0),0)</f>
        <v>8</v>
      </c>
      <c r="G189" s="2">
        <f t="shared" si="7"/>
        <v>0</v>
      </c>
      <c r="H189" s="2">
        <f t="shared" si="8"/>
        <v>0</v>
      </c>
    </row>
    <row r="190" spans="2:8">
      <c r="B190" t="s">
        <v>434</v>
      </c>
      <c r="C190" t="s">
        <v>1105</v>
      </c>
      <c r="D190" s="12" t="str">
        <f t="shared" si="9"/>
        <v>12-01</v>
      </c>
      <c r="E190" s="1">
        <f>_xlfn.IFNA(VLOOKUP('Comp X - Kilter'!B190,'Kilter Holds'!$P$36:$AB$370,13,0),0)</f>
        <v>0</v>
      </c>
      <c r="G190" s="2">
        <f t="shared" si="7"/>
        <v>0</v>
      </c>
      <c r="H190" s="2">
        <f t="shared" si="8"/>
        <v>0</v>
      </c>
    </row>
    <row r="191" spans="2:8">
      <c r="B191" t="s">
        <v>431</v>
      </c>
      <c r="C191" t="s">
        <v>1106</v>
      </c>
      <c r="D191" s="5" t="str">
        <f t="shared" si="9"/>
        <v>11-12</v>
      </c>
      <c r="E191" s="1">
        <f>_xlfn.IFNA(VLOOKUP('Comp X - Kilter'!B191,'Kilter Holds'!$P$36:$AB$370,5,0),0)</f>
        <v>4</v>
      </c>
      <c r="G191" s="2">
        <f t="shared" si="7"/>
        <v>0</v>
      </c>
      <c r="H191" s="2">
        <f t="shared" si="8"/>
        <v>0</v>
      </c>
    </row>
    <row r="192" spans="2:8">
      <c r="B192" t="s">
        <v>431</v>
      </c>
      <c r="C192" t="s">
        <v>1106</v>
      </c>
      <c r="D192" s="6" t="str">
        <f t="shared" si="9"/>
        <v>14-01</v>
      </c>
      <c r="E192" s="1">
        <f>_xlfn.IFNA(VLOOKUP('Comp X - Kilter'!B192,'Kilter Holds'!$P$36:$AB$370,6,0),0)</f>
        <v>0</v>
      </c>
      <c r="G192" s="2">
        <f t="shared" si="7"/>
        <v>0</v>
      </c>
      <c r="H192" s="2">
        <f t="shared" si="8"/>
        <v>0</v>
      </c>
    </row>
    <row r="193" spans="2:8">
      <c r="B193" t="s">
        <v>431</v>
      </c>
      <c r="C193" t="s">
        <v>1106</v>
      </c>
      <c r="D193" s="7" t="str">
        <f t="shared" si="9"/>
        <v>15-12</v>
      </c>
      <c r="E193" s="1">
        <f>_xlfn.IFNA(VLOOKUP('Comp X - Kilter'!B193,'Kilter Holds'!$P$36:$AB$370,7,0),0)</f>
        <v>7</v>
      </c>
      <c r="G193" s="2">
        <f t="shared" si="7"/>
        <v>0</v>
      </c>
      <c r="H193" s="2">
        <f t="shared" si="8"/>
        <v>0</v>
      </c>
    </row>
    <row r="194" spans="2:8">
      <c r="B194" t="s">
        <v>431</v>
      </c>
      <c r="C194" t="s">
        <v>1106</v>
      </c>
      <c r="D194" s="8" t="str">
        <f t="shared" si="9"/>
        <v>16-16</v>
      </c>
      <c r="E194" s="1">
        <f>_xlfn.IFNA(VLOOKUP('Comp X - Kilter'!B194,'Kilter Holds'!$P$36:$AB$370,8,0),0)</f>
        <v>10</v>
      </c>
      <c r="G194" s="2">
        <f t="shared" si="7"/>
        <v>0</v>
      </c>
      <c r="H194" s="2">
        <f t="shared" si="8"/>
        <v>0</v>
      </c>
    </row>
    <row r="195" spans="2:8">
      <c r="B195" t="s">
        <v>431</v>
      </c>
      <c r="C195" t="s">
        <v>1106</v>
      </c>
      <c r="D195" s="9" t="str">
        <f t="shared" si="9"/>
        <v>13-01</v>
      </c>
      <c r="E195" s="1">
        <f>_xlfn.IFNA(VLOOKUP('Comp X - Kilter'!B195,'Kilter Holds'!$P$36:$AB$370,9,0),0)</f>
        <v>9</v>
      </c>
      <c r="G195" s="2">
        <f t="shared" ref="G195:G258" si="10">E195*F195</f>
        <v>0</v>
      </c>
      <c r="H195" s="2">
        <f t="shared" ref="H195:H258" si="11">IF($S$11="Y",G195*0.15,0)</f>
        <v>0</v>
      </c>
    </row>
    <row r="196" spans="2:8">
      <c r="B196" t="s">
        <v>431</v>
      </c>
      <c r="C196" t="s">
        <v>1106</v>
      </c>
      <c r="D196" s="10" t="str">
        <f t="shared" si="9"/>
        <v>07-13</v>
      </c>
      <c r="E196" s="1">
        <f>_xlfn.IFNA(VLOOKUP('Comp X - Kilter'!B196,'Kilter Holds'!$P$36:$AB$370,10,0),0)</f>
        <v>5</v>
      </c>
      <c r="G196" s="2">
        <f t="shared" si="10"/>
        <v>0</v>
      </c>
      <c r="H196" s="2">
        <f t="shared" si="11"/>
        <v>0</v>
      </c>
    </row>
    <row r="197" spans="2:8">
      <c r="B197" t="s">
        <v>431</v>
      </c>
      <c r="C197" t="s">
        <v>1106</v>
      </c>
      <c r="D197" s="11" t="str">
        <f t="shared" si="9"/>
        <v>11-25</v>
      </c>
      <c r="E197" s="1">
        <f>_xlfn.IFNA(VLOOKUP('Comp X - Kilter'!B197,'Kilter Holds'!$P$36:$AB$370,11,0),0)</f>
        <v>0</v>
      </c>
      <c r="G197" s="2">
        <f t="shared" si="10"/>
        <v>0</v>
      </c>
      <c r="H197" s="2">
        <f t="shared" si="11"/>
        <v>0</v>
      </c>
    </row>
    <row r="198" spans="2:8">
      <c r="B198" t="s">
        <v>431</v>
      </c>
      <c r="C198" t="s">
        <v>1106</v>
      </c>
      <c r="D198" s="13" t="str">
        <f t="shared" si="9"/>
        <v>18-01</v>
      </c>
      <c r="E198" s="1">
        <f>_xlfn.IFNA(VLOOKUP('Comp X - Kilter'!B198,'Kilter Holds'!$P$36:$AB$370,12,0),0)</f>
        <v>7</v>
      </c>
      <c r="G198" s="2">
        <f t="shared" si="10"/>
        <v>0</v>
      </c>
      <c r="H198" s="2">
        <f t="shared" si="11"/>
        <v>0</v>
      </c>
    </row>
    <row r="199" spans="2:8">
      <c r="B199" t="s">
        <v>431</v>
      </c>
      <c r="C199" t="s">
        <v>1106</v>
      </c>
      <c r="D199" s="12" t="str">
        <f t="shared" si="9"/>
        <v>12-01</v>
      </c>
      <c r="E199" s="1">
        <f>_xlfn.IFNA(VLOOKUP('Comp X - Kilter'!B199,'Kilter Holds'!$P$36:$AB$370,13,0),0)</f>
        <v>0</v>
      </c>
      <c r="G199" s="2">
        <f t="shared" si="10"/>
        <v>0</v>
      </c>
      <c r="H199" s="2">
        <f t="shared" si="11"/>
        <v>0</v>
      </c>
    </row>
    <row r="200" spans="2:8">
      <c r="B200" t="s">
        <v>425</v>
      </c>
      <c r="C200" t="s">
        <v>1107</v>
      </c>
      <c r="D200" s="5" t="str">
        <f t="shared" si="9"/>
        <v>11-12</v>
      </c>
      <c r="E200" s="1">
        <f>_xlfn.IFNA(VLOOKUP('Comp X - Kilter'!B200,'Kilter Holds'!$P$36:$AB$370,5,0),0)</f>
        <v>2</v>
      </c>
      <c r="G200" s="2">
        <f t="shared" si="10"/>
        <v>0</v>
      </c>
      <c r="H200" s="2">
        <f t="shared" si="11"/>
        <v>0</v>
      </c>
    </row>
    <row r="201" spans="2:8">
      <c r="B201" t="s">
        <v>425</v>
      </c>
      <c r="C201" t="s">
        <v>1107</v>
      </c>
      <c r="D201" s="6" t="str">
        <f t="shared" si="9"/>
        <v>14-01</v>
      </c>
      <c r="E201" s="1">
        <f>_xlfn.IFNA(VLOOKUP('Comp X - Kilter'!B201,'Kilter Holds'!$P$36:$AB$370,6,0),0)</f>
        <v>0</v>
      </c>
      <c r="G201" s="2">
        <f t="shared" si="10"/>
        <v>0</v>
      </c>
      <c r="H201" s="2">
        <f t="shared" si="11"/>
        <v>0</v>
      </c>
    </row>
    <row r="202" spans="2:8">
      <c r="B202" t="s">
        <v>425</v>
      </c>
      <c r="C202" t="s">
        <v>1107</v>
      </c>
      <c r="D202" s="7" t="str">
        <f t="shared" si="9"/>
        <v>15-12</v>
      </c>
      <c r="E202" s="1">
        <f>_xlfn.IFNA(VLOOKUP('Comp X - Kilter'!B202,'Kilter Holds'!$P$36:$AB$370,7,0),0)</f>
        <v>5</v>
      </c>
      <c r="G202" s="2">
        <f t="shared" si="10"/>
        <v>0</v>
      </c>
      <c r="H202" s="2">
        <f t="shared" si="11"/>
        <v>0</v>
      </c>
    </row>
    <row r="203" spans="2:8">
      <c r="B203" t="s">
        <v>425</v>
      </c>
      <c r="C203" t="s">
        <v>1107</v>
      </c>
      <c r="D203" s="8" t="str">
        <f t="shared" si="9"/>
        <v>16-16</v>
      </c>
      <c r="E203" s="1">
        <f>_xlfn.IFNA(VLOOKUP('Comp X - Kilter'!B203,'Kilter Holds'!$P$36:$AB$370,8,0),0)</f>
        <v>8</v>
      </c>
      <c r="G203" s="2">
        <f t="shared" si="10"/>
        <v>0</v>
      </c>
      <c r="H203" s="2">
        <f t="shared" si="11"/>
        <v>0</v>
      </c>
    </row>
    <row r="204" spans="2:8">
      <c r="B204" t="s">
        <v>425</v>
      </c>
      <c r="C204" t="s">
        <v>1107</v>
      </c>
      <c r="D204" s="9" t="str">
        <f t="shared" si="9"/>
        <v>13-01</v>
      </c>
      <c r="E204" s="1">
        <f>_xlfn.IFNA(VLOOKUP('Comp X - Kilter'!B204,'Kilter Holds'!$P$36:$AB$370,9,0),0)</f>
        <v>6</v>
      </c>
      <c r="G204" s="2">
        <f t="shared" si="10"/>
        <v>0</v>
      </c>
      <c r="H204" s="2">
        <f t="shared" si="11"/>
        <v>0</v>
      </c>
    </row>
    <row r="205" spans="2:8">
      <c r="B205" t="s">
        <v>425</v>
      </c>
      <c r="C205" t="s">
        <v>1107</v>
      </c>
      <c r="D205" s="10" t="str">
        <f t="shared" si="9"/>
        <v>07-13</v>
      </c>
      <c r="E205" s="1">
        <f>_xlfn.IFNA(VLOOKUP('Comp X - Kilter'!B205,'Kilter Holds'!$P$36:$AB$370,10,0),0)</f>
        <v>0</v>
      </c>
      <c r="G205" s="2">
        <f t="shared" si="10"/>
        <v>0</v>
      </c>
      <c r="H205" s="2">
        <f t="shared" si="11"/>
        <v>0</v>
      </c>
    </row>
    <row r="206" spans="2:8">
      <c r="B206" t="s">
        <v>425</v>
      </c>
      <c r="C206" t="s">
        <v>1107</v>
      </c>
      <c r="D206" s="11" t="str">
        <f t="shared" si="9"/>
        <v>11-25</v>
      </c>
      <c r="E206" s="1">
        <f>_xlfn.IFNA(VLOOKUP('Comp X - Kilter'!B206,'Kilter Holds'!$P$36:$AB$370,11,0),0)</f>
        <v>5</v>
      </c>
      <c r="G206" s="2">
        <f t="shared" si="10"/>
        <v>0</v>
      </c>
      <c r="H206" s="2">
        <f t="shared" si="11"/>
        <v>0</v>
      </c>
    </row>
    <row r="207" spans="2:8">
      <c r="B207" t="s">
        <v>425</v>
      </c>
      <c r="C207" t="s">
        <v>1107</v>
      </c>
      <c r="D207" s="13" t="str">
        <f t="shared" si="9"/>
        <v>18-01</v>
      </c>
      <c r="E207" s="1">
        <f>_xlfn.IFNA(VLOOKUP('Comp X - Kilter'!B207,'Kilter Holds'!$P$36:$AB$370,12,0),0)</f>
        <v>13</v>
      </c>
      <c r="G207" s="2">
        <f t="shared" si="10"/>
        <v>0</v>
      </c>
      <c r="H207" s="2">
        <f t="shared" si="11"/>
        <v>0</v>
      </c>
    </row>
    <row r="208" spans="2:8">
      <c r="B208" t="s">
        <v>425</v>
      </c>
      <c r="C208" t="s">
        <v>1107</v>
      </c>
      <c r="D208" s="12" t="str">
        <f t="shared" si="9"/>
        <v>12-01</v>
      </c>
      <c r="E208" s="1">
        <f>_xlfn.IFNA(VLOOKUP('Comp X - Kilter'!B208,'Kilter Holds'!$P$36:$AB$370,13,0),0)</f>
        <v>0</v>
      </c>
      <c r="G208" s="2">
        <f t="shared" si="10"/>
        <v>0</v>
      </c>
      <c r="H208" s="2">
        <f t="shared" si="11"/>
        <v>0</v>
      </c>
    </row>
    <row r="209" spans="2:8">
      <c r="B209" t="s">
        <v>429</v>
      </c>
      <c r="C209" t="s">
        <v>1108</v>
      </c>
      <c r="D209" s="5" t="str">
        <f t="shared" si="9"/>
        <v>11-12</v>
      </c>
      <c r="E209" s="1">
        <f>_xlfn.IFNA(VLOOKUP('Comp X - Kilter'!B209,'Kilter Holds'!$P$36:$AB$370,5,0),0)</f>
        <v>3</v>
      </c>
      <c r="G209" s="2">
        <f t="shared" si="10"/>
        <v>0</v>
      </c>
      <c r="H209" s="2">
        <f t="shared" si="11"/>
        <v>0</v>
      </c>
    </row>
    <row r="210" spans="2:8">
      <c r="B210" t="s">
        <v>429</v>
      </c>
      <c r="C210" t="s">
        <v>1108</v>
      </c>
      <c r="D210" s="6" t="str">
        <f t="shared" si="9"/>
        <v>14-01</v>
      </c>
      <c r="E210" s="1">
        <f>_xlfn.IFNA(VLOOKUP('Comp X - Kilter'!B210,'Kilter Holds'!$P$36:$AB$370,6,0),0)</f>
        <v>0</v>
      </c>
      <c r="G210" s="2">
        <f t="shared" si="10"/>
        <v>0</v>
      </c>
      <c r="H210" s="2">
        <f t="shared" si="11"/>
        <v>0</v>
      </c>
    </row>
    <row r="211" spans="2:8">
      <c r="B211" t="s">
        <v>429</v>
      </c>
      <c r="C211" t="s">
        <v>1108</v>
      </c>
      <c r="D211" s="7" t="str">
        <f t="shared" si="9"/>
        <v>15-12</v>
      </c>
      <c r="E211" s="1">
        <f>_xlfn.IFNA(VLOOKUP('Comp X - Kilter'!B211,'Kilter Holds'!$P$36:$AB$370,7,0),0)</f>
        <v>3</v>
      </c>
      <c r="G211" s="2">
        <f t="shared" si="10"/>
        <v>0</v>
      </c>
      <c r="H211" s="2">
        <f t="shared" si="11"/>
        <v>0</v>
      </c>
    </row>
    <row r="212" spans="2:8">
      <c r="B212" t="s">
        <v>429</v>
      </c>
      <c r="C212" t="s">
        <v>1108</v>
      </c>
      <c r="D212" s="8" t="str">
        <f t="shared" ref="D212:D275" si="12">D203</f>
        <v>16-16</v>
      </c>
      <c r="E212" s="1">
        <f>_xlfn.IFNA(VLOOKUP('Comp X - Kilter'!B212,'Kilter Holds'!$P$36:$AB$370,8,0),0)</f>
        <v>5</v>
      </c>
      <c r="G212" s="2">
        <f t="shared" si="10"/>
        <v>0</v>
      </c>
      <c r="H212" s="2">
        <f t="shared" si="11"/>
        <v>0</v>
      </c>
    </row>
    <row r="213" spans="2:8">
      <c r="B213" t="s">
        <v>429</v>
      </c>
      <c r="C213" t="s">
        <v>1108</v>
      </c>
      <c r="D213" s="9" t="str">
        <f t="shared" si="12"/>
        <v>13-01</v>
      </c>
      <c r="E213" s="1">
        <f>_xlfn.IFNA(VLOOKUP('Comp X - Kilter'!B213,'Kilter Holds'!$P$36:$AB$370,9,0),0)</f>
        <v>10</v>
      </c>
      <c r="G213" s="2">
        <f t="shared" si="10"/>
        <v>0</v>
      </c>
      <c r="H213" s="2">
        <f t="shared" si="11"/>
        <v>0</v>
      </c>
    </row>
    <row r="214" spans="2:8">
      <c r="B214" t="s">
        <v>429</v>
      </c>
      <c r="C214" t="s">
        <v>1108</v>
      </c>
      <c r="D214" s="10" t="str">
        <f t="shared" si="12"/>
        <v>07-13</v>
      </c>
      <c r="E214" s="1">
        <f>_xlfn.IFNA(VLOOKUP('Comp X - Kilter'!B214,'Kilter Holds'!$P$36:$AB$370,10,0),0)</f>
        <v>5</v>
      </c>
      <c r="G214" s="2">
        <f t="shared" si="10"/>
        <v>0</v>
      </c>
      <c r="H214" s="2">
        <f t="shared" si="11"/>
        <v>0</v>
      </c>
    </row>
    <row r="215" spans="2:8">
      <c r="B215" t="s">
        <v>429</v>
      </c>
      <c r="C215" t="s">
        <v>1108</v>
      </c>
      <c r="D215" s="11" t="str">
        <f t="shared" si="12"/>
        <v>11-25</v>
      </c>
      <c r="E215" s="1">
        <f>_xlfn.IFNA(VLOOKUP('Comp X - Kilter'!B215,'Kilter Holds'!$P$36:$AB$370,11,0),0)</f>
        <v>0</v>
      </c>
      <c r="G215" s="2">
        <f t="shared" si="10"/>
        <v>0</v>
      </c>
      <c r="H215" s="2">
        <f t="shared" si="11"/>
        <v>0</v>
      </c>
    </row>
    <row r="216" spans="2:8">
      <c r="B216" t="s">
        <v>429</v>
      </c>
      <c r="C216" t="s">
        <v>1108</v>
      </c>
      <c r="D216" s="13" t="str">
        <f t="shared" si="12"/>
        <v>18-01</v>
      </c>
      <c r="E216" s="1">
        <f>_xlfn.IFNA(VLOOKUP('Comp X - Kilter'!B216,'Kilter Holds'!$P$36:$AB$370,12,0),0)</f>
        <v>13</v>
      </c>
      <c r="G216" s="2">
        <f t="shared" si="10"/>
        <v>0</v>
      </c>
      <c r="H216" s="2">
        <f t="shared" si="11"/>
        <v>0</v>
      </c>
    </row>
    <row r="217" spans="2:8">
      <c r="B217" t="s">
        <v>429</v>
      </c>
      <c r="C217" t="s">
        <v>1108</v>
      </c>
      <c r="D217" s="12" t="str">
        <f t="shared" si="12"/>
        <v>12-01</v>
      </c>
      <c r="E217" s="1">
        <f>_xlfn.IFNA(VLOOKUP('Comp X - Kilter'!B217,'Kilter Holds'!$P$36:$AB$370,13,0),0)</f>
        <v>0</v>
      </c>
      <c r="G217" s="2">
        <f t="shared" si="10"/>
        <v>0</v>
      </c>
      <c r="H217" s="2">
        <f t="shared" si="11"/>
        <v>0</v>
      </c>
    </row>
    <row r="218" spans="2:8">
      <c r="B218" t="s">
        <v>430</v>
      </c>
      <c r="C218" t="s">
        <v>1109</v>
      </c>
      <c r="D218" s="5" t="str">
        <f t="shared" si="12"/>
        <v>11-12</v>
      </c>
      <c r="E218" s="1">
        <f>_xlfn.IFNA(VLOOKUP('Comp X - Kilter'!B218,'Kilter Holds'!$P$36:$AB$370,5,0),0)</f>
        <v>3</v>
      </c>
      <c r="G218" s="2">
        <f t="shared" si="10"/>
        <v>0</v>
      </c>
      <c r="H218" s="2">
        <f t="shared" si="11"/>
        <v>0</v>
      </c>
    </row>
    <row r="219" spans="2:8">
      <c r="B219" t="s">
        <v>430</v>
      </c>
      <c r="C219" t="s">
        <v>1109</v>
      </c>
      <c r="D219" s="6" t="str">
        <f t="shared" si="12"/>
        <v>14-01</v>
      </c>
      <c r="E219" s="1">
        <f>_xlfn.IFNA(VLOOKUP('Comp X - Kilter'!B219,'Kilter Holds'!$P$36:$AB$370,6,0),0)</f>
        <v>0</v>
      </c>
      <c r="G219" s="2">
        <f t="shared" si="10"/>
        <v>0</v>
      </c>
      <c r="H219" s="2">
        <f t="shared" si="11"/>
        <v>0</v>
      </c>
    </row>
    <row r="220" spans="2:8">
      <c r="B220" t="s">
        <v>430</v>
      </c>
      <c r="C220" t="s">
        <v>1109</v>
      </c>
      <c r="D220" s="7" t="str">
        <f t="shared" si="12"/>
        <v>15-12</v>
      </c>
      <c r="E220" s="1">
        <f>_xlfn.IFNA(VLOOKUP('Comp X - Kilter'!B220,'Kilter Holds'!$P$36:$AB$370,7,0),0)</f>
        <v>3</v>
      </c>
      <c r="G220" s="2">
        <f t="shared" si="10"/>
        <v>0</v>
      </c>
      <c r="H220" s="2">
        <f t="shared" si="11"/>
        <v>0</v>
      </c>
    </row>
    <row r="221" spans="2:8">
      <c r="B221" t="s">
        <v>430</v>
      </c>
      <c r="C221" t="s">
        <v>1109</v>
      </c>
      <c r="D221" s="8" t="str">
        <f t="shared" si="12"/>
        <v>16-16</v>
      </c>
      <c r="E221" s="1">
        <f>_xlfn.IFNA(VLOOKUP('Comp X - Kilter'!B221,'Kilter Holds'!$P$36:$AB$370,8,0),0)</f>
        <v>5</v>
      </c>
      <c r="G221" s="2">
        <f t="shared" si="10"/>
        <v>0</v>
      </c>
      <c r="H221" s="2">
        <f t="shared" si="11"/>
        <v>0</v>
      </c>
    </row>
    <row r="222" spans="2:8">
      <c r="B222" t="s">
        <v>430</v>
      </c>
      <c r="C222" t="s">
        <v>1109</v>
      </c>
      <c r="D222" s="9" t="str">
        <f t="shared" si="12"/>
        <v>13-01</v>
      </c>
      <c r="E222" s="1">
        <f>_xlfn.IFNA(VLOOKUP('Comp X - Kilter'!B222,'Kilter Holds'!$P$36:$AB$370,9,0),0)</f>
        <v>5</v>
      </c>
      <c r="G222" s="2">
        <f t="shared" si="10"/>
        <v>0</v>
      </c>
      <c r="H222" s="2">
        <f t="shared" si="11"/>
        <v>0</v>
      </c>
    </row>
    <row r="223" spans="2:8">
      <c r="B223" t="s">
        <v>430</v>
      </c>
      <c r="C223" t="s">
        <v>1109</v>
      </c>
      <c r="D223" s="10" t="str">
        <f t="shared" si="12"/>
        <v>07-13</v>
      </c>
      <c r="E223" s="1">
        <f>_xlfn.IFNA(VLOOKUP('Comp X - Kilter'!B223,'Kilter Holds'!$P$36:$AB$370,10,0),0)</f>
        <v>4</v>
      </c>
      <c r="G223" s="2">
        <f t="shared" si="10"/>
        <v>0</v>
      </c>
      <c r="H223" s="2">
        <f t="shared" si="11"/>
        <v>0</v>
      </c>
    </row>
    <row r="224" spans="2:8">
      <c r="B224" t="s">
        <v>430</v>
      </c>
      <c r="C224" t="s">
        <v>1109</v>
      </c>
      <c r="D224" s="11" t="str">
        <f t="shared" si="12"/>
        <v>11-25</v>
      </c>
      <c r="E224" s="1">
        <f>_xlfn.IFNA(VLOOKUP('Comp X - Kilter'!B224,'Kilter Holds'!$P$36:$AB$370,11,0),0)</f>
        <v>5</v>
      </c>
      <c r="G224" s="2">
        <f t="shared" si="10"/>
        <v>0</v>
      </c>
      <c r="H224" s="2">
        <f t="shared" si="11"/>
        <v>0</v>
      </c>
    </row>
    <row r="225" spans="2:8">
      <c r="B225" t="s">
        <v>430</v>
      </c>
      <c r="C225" t="s">
        <v>1109</v>
      </c>
      <c r="D225" s="13" t="str">
        <f t="shared" si="12"/>
        <v>18-01</v>
      </c>
      <c r="E225" s="1">
        <f>_xlfn.IFNA(VLOOKUP('Comp X - Kilter'!B225,'Kilter Holds'!$P$36:$AB$370,12,0),0)</f>
        <v>11</v>
      </c>
      <c r="G225" s="2">
        <f t="shared" si="10"/>
        <v>0</v>
      </c>
      <c r="H225" s="2">
        <f t="shared" si="11"/>
        <v>0</v>
      </c>
    </row>
    <row r="226" spans="2:8">
      <c r="B226" t="s">
        <v>430</v>
      </c>
      <c r="C226" t="s">
        <v>1109</v>
      </c>
      <c r="D226" s="12" t="str">
        <f t="shared" si="12"/>
        <v>12-01</v>
      </c>
      <c r="E226" s="1">
        <f>_xlfn.IFNA(VLOOKUP('Comp X - Kilter'!B226,'Kilter Holds'!$P$36:$AB$370,13,0),0)</f>
        <v>0</v>
      </c>
      <c r="G226" s="2">
        <f t="shared" si="10"/>
        <v>0</v>
      </c>
      <c r="H226" s="2">
        <f t="shared" si="11"/>
        <v>0</v>
      </c>
    </row>
    <row r="227" spans="2:8">
      <c r="B227" t="s">
        <v>399</v>
      </c>
      <c r="C227" t="s">
        <v>1110</v>
      </c>
      <c r="D227" s="5" t="str">
        <f t="shared" si="12"/>
        <v>11-12</v>
      </c>
      <c r="E227" s="1">
        <f>_xlfn.IFNA(VLOOKUP('Comp X - Kilter'!B227,'Kilter Holds'!$P$36:$AB$370,5,0),0)</f>
        <v>4</v>
      </c>
      <c r="G227" s="2">
        <f t="shared" si="10"/>
        <v>0</v>
      </c>
      <c r="H227" s="2">
        <f t="shared" si="11"/>
        <v>0</v>
      </c>
    </row>
    <row r="228" spans="2:8">
      <c r="B228" t="s">
        <v>399</v>
      </c>
      <c r="C228" t="s">
        <v>1110</v>
      </c>
      <c r="D228" s="6" t="str">
        <f t="shared" si="12"/>
        <v>14-01</v>
      </c>
      <c r="E228" s="1">
        <f>_xlfn.IFNA(VLOOKUP('Comp X - Kilter'!B228,'Kilter Holds'!$P$36:$AB$370,6,0),0)</f>
        <v>0</v>
      </c>
      <c r="G228" s="2">
        <f t="shared" si="10"/>
        <v>0</v>
      </c>
      <c r="H228" s="2">
        <f t="shared" si="11"/>
        <v>0</v>
      </c>
    </row>
    <row r="229" spans="2:8">
      <c r="B229" t="s">
        <v>399</v>
      </c>
      <c r="C229" t="s">
        <v>1110</v>
      </c>
      <c r="D229" s="7" t="str">
        <f t="shared" si="12"/>
        <v>15-12</v>
      </c>
      <c r="E229" s="1">
        <f>_xlfn.IFNA(VLOOKUP('Comp X - Kilter'!B229,'Kilter Holds'!$P$36:$AB$370,7,0),0)</f>
        <v>5</v>
      </c>
      <c r="G229" s="2">
        <f t="shared" si="10"/>
        <v>0</v>
      </c>
      <c r="H229" s="2">
        <f t="shared" si="11"/>
        <v>0</v>
      </c>
    </row>
    <row r="230" spans="2:8">
      <c r="B230" t="s">
        <v>399</v>
      </c>
      <c r="C230" t="s">
        <v>1110</v>
      </c>
      <c r="D230" s="8" t="str">
        <f t="shared" si="12"/>
        <v>16-16</v>
      </c>
      <c r="E230" s="1">
        <f>_xlfn.IFNA(VLOOKUP('Comp X - Kilter'!B230,'Kilter Holds'!$P$36:$AB$370,8,0),0)</f>
        <v>5</v>
      </c>
      <c r="G230" s="2">
        <f t="shared" si="10"/>
        <v>0</v>
      </c>
      <c r="H230" s="2">
        <f t="shared" si="11"/>
        <v>0</v>
      </c>
    </row>
    <row r="231" spans="2:8">
      <c r="B231" t="s">
        <v>399</v>
      </c>
      <c r="C231" t="s">
        <v>1110</v>
      </c>
      <c r="D231" s="9" t="str">
        <f t="shared" si="12"/>
        <v>13-01</v>
      </c>
      <c r="E231" s="1">
        <f>_xlfn.IFNA(VLOOKUP('Comp X - Kilter'!B231,'Kilter Holds'!$P$36:$AB$370,9,0),0)</f>
        <v>5</v>
      </c>
      <c r="G231" s="2">
        <f t="shared" si="10"/>
        <v>0</v>
      </c>
      <c r="H231" s="2">
        <f t="shared" si="11"/>
        <v>0</v>
      </c>
    </row>
    <row r="232" spans="2:8">
      <c r="B232" t="s">
        <v>399</v>
      </c>
      <c r="C232" t="s">
        <v>1110</v>
      </c>
      <c r="D232" s="10" t="str">
        <f t="shared" si="12"/>
        <v>07-13</v>
      </c>
      <c r="E232" s="1">
        <f>_xlfn.IFNA(VLOOKUP('Comp X - Kilter'!B232,'Kilter Holds'!$P$36:$AB$370,10,0),0)</f>
        <v>3</v>
      </c>
      <c r="G232" s="2">
        <f t="shared" si="10"/>
        <v>0</v>
      </c>
      <c r="H232" s="2">
        <f t="shared" si="11"/>
        <v>0</v>
      </c>
    </row>
    <row r="233" spans="2:8">
      <c r="B233" t="s">
        <v>399</v>
      </c>
      <c r="C233" t="s">
        <v>1110</v>
      </c>
      <c r="D233" s="11" t="str">
        <f t="shared" si="12"/>
        <v>11-25</v>
      </c>
      <c r="E233" s="1">
        <f>_xlfn.IFNA(VLOOKUP('Comp X - Kilter'!B233,'Kilter Holds'!$P$36:$AB$370,11,0),0)</f>
        <v>5</v>
      </c>
      <c r="G233" s="2">
        <f t="shared" si="10"/>
        <v>0</v>
      </c>
      <c r="H233" s="2">
        <f t="shared" si="11"/>
        <v>0</v>
      </c>
    </row>
    <row r="234" spans="2:8">
      <c r="B234" t="s">
        <v>399</v>
      </c>
      <c r="C234" t="s">
        <v>1110</v>
      </c>
      <c r="D234" s="13" t="str">
        <f t="shared" si="12"/>
        <v>18-01</v>
      </c>
      <c r="E234" s="1">
        <f>_xlfn.IFNA(VLOOKUP('Comp X - Kilter'!B234,'Kilter Holds'!$P$36:$AB$370,12,0),0)</f>
        <v>4</v>
      </c>
      <c r="G234" s="2">
        <f t="shared" si="10"/>
        <v>0</v>
      </c>
      <c r="H234" s="2">
        <f t="shared" si="11"/>
        <v>0</v>
      </c>
    </row>
    <row r="235" spans="2:8">
      <c r="B235" t="s">
        <v>399</v>
      </c>
      <c r="C235" t="s">
        <v>1110</v>
      </c>
      <c r="D235" s="12" t="str">
        <f t="shared" si="12"/>
        <v>12-01</v>
      </c>
      <c r="E235" s="1">
        <f>_xlfn.IFNA(VLOOKUP('Comp X - Kilter'!B235,'Kilter Holds'!$P$36:$AB$370,13,0),0)</f>
        <v>0</v>
      </c>
      <c r="G235" s="2">
        <f t="shared" si="10"/>
        <v>0</v>
      </c>
      <c r="H235" s="2">
        <f t="shared" si="11"/>
        <v>0</v>
      </c>
    </row>
    <row r="236" spans="2:8">
      <c r="B236" t="s">
        <v>433</v>
      </c>
      <c r="C236" t="s">
        <v>1111</v>
      </c>
      <c r="D236" s="5" t="str">
        <f t="shared" si="12"/>
        <v>11-12</v>
      </c>
      <c r="E236" s="1">
        <f>_xlfn.IFNA(VLOOKUP('Comp X - Kilter'!B236,'Kilter Holds'!$P$36:$AB$370,5,0),0)</f>
        <v>0</v>
      </c>
      <c r="G236" s="2">
        <f t="shared" si="10"/>
        <v>0</v>
      </c>
      <c r="H236" s="2">
        <f t="shared" si="11"/>
        <v>0</v>
      </c>
    </row>
    <row r="237" spans="2:8">
      <c r="B237" t="s">
        <v>433</v>
      </c>
      <c r="C237" t="s">
        <v>1111</v>
      </c>
      <c r="D237" s="6" t="str">
        <f t="shared" si="12"/>
        <v>14-01</v>
      </c>
      <c r="E237" s="1">
        <f>_xlfn.IFNA(VLOOKUP('Comp X - Kilter'!B237,'Kilter Holds'!$P$36:$AB$370,6,0),0)</f>
        <v>2</v>
      </c>
      <c r="G237" s="2">
        <f t="shared" si="10"/>
        <v>0</v>
      </c>
      <c r="H237" s="2">
        <f t="shared" si="11"/>
        <v>0</v>
      </c>
    </row>
    <row r="238" spans="2:8">
      <c r="B238" t="s">
        <v>433</v>
      </c>
      <c r="C238" t="s">
        <v>1111</v>
      </c>
      <c r="D238" s="7" t="str">
        <f t="shared" si="12"/>
        <v>15-12</v>
      </c>
      <c r="E238" s="1">
        <f>_xlfn.IFNA(VLOOKUP('Comp X - Kilter'!B238,'Kilter Holds'!$P$36:$AB$370,7,0),0)</f>
        <v>0</v>
      </c>
      <c r="G238" s="2">
        <f t="shared" si="10"/>
        <v>0</v>
      </c>
      <c r="H238" s="2">
        <f t="shared" si="11"/>
        <v>0</v>
      </c>
    </row>
    <row r="239" spans="2:8">
      <c r="B239" t="s">
        <v>433</v>
      </c>
      <c r="C239" t="s">
        <v>1111</v>
      </c>
      <c r="D239" s="8" t="str">
        <f t="shared" si="12"/>
        <v>16-16</v>
      </c>
      <c r="E239" s="1">
        <f>_xlfn.IFNA(VLOOKUP('Comp X - Kilter'!B239,'Kilter Holds'!$P$36:$AB$370,8,0),0)</f>
        <v>1</v>
      </c>
      <c r="G239" s="2">
        <f t="shared" si="10"/>
        <v>0</v>
      </c>
      <c r="H239" s="2">
        <f t="shared" si="11"/>
        <v>0</v>
      </c>
    </row>
    <row r="240" spans="2:8">
      <c r="B240" t="s">
        <v>433</v>
      </c>
      <c r="C240" t="s">
        <v>1111</v>
      </c>
      <c r="D240" s="9" t="str">
        <f t="shared" si="12"/>
        <v>13-01</v>
      </c>
      <c r="E240" s="1">
        <f>_xlfn.IFNA(VLOOKUP('Comp X - Kilter'!B240,'Kilter Holds'!$P$36:$AB$370,9,0),0)</f>
        <v>0</v>
      </c>
      <c r="G240" s="2">
        <f t="shared" si="10"/>
        <v>0</v>
      </c>
      <c r="H240" s="2">
        <f t="shared" si="11"/>
        <v>0</v>
      </c>
    </row>
    <row r="241" spans="2:8">
      <c r="B241" t="s">
        <v>433</v>
      </c>
      <c r="C241" t="s">
        <v>1111</v>
      </c>
      <c r="D241" s="10" t="str">
        <f t="shared" si="12"/>
        <v>07-13</v>
      </c>
      <c r="E241" s="1">
        <f>_xlfn.IFNA(VLOOKUP('Comp X - Kilter'!B241,'Kilter Holds'!$P$36:$AB$370,10,0),0)</f>
        <v>0</v>
      </c>
      <c r="G241" s="2">
        <f t="shared" si="10"/>
        <v>0</v>
      </c>
      <c r="H241" s="2">
        <f t="shared" si="11"/>
        <v>0</v>
      </c>
    </row>
    <row r="242" spans="2:8">
      <c r="B242" t="s">
        <v>433</v>
      </c>
      <c r="C242" t="s">
        <v>1111</v>
      </c>
      <c r="D242" s="11" t="str">
        <f t="shared" si="12"/>
        <v>11-25</v>
      </c>
      <c r="E242" s="1">
        <f>_xlfn.IFNA(VLOOKUP('Comp X - Kilter'!B242,'Kilter Holds'!$P$36:$AB$370,11,0),0)</f>
        <v>0</v>
      </c>
      <c r="G242" s="2">
        <f t="shared" si="10"/>
        <v>0</v>
      </c>
      <c r="H242" s="2">
        <f t="shared" si="11"/>
        <v>0</v>
      </c>
    </row>
    <row r="243" spans="2:8">
      <c r="B243" t="s">
        <v>433</v>
      </c>
      <c r="C243" t="s">
        <v>1111</v>
      </c>
      <c r="D243" s="13" t="str">
        <f t="shared" si="12"/>
        <v>18-01</v>
      </c>
      <c r="E243" s="1">
        <f>_xlfn.IFNA(VLOOKUP('Comp X - Kilter'!B243,'Kilter Holds'!$P$36:$AB$370,12,0),0)</f>
        <v>7</v>
      </c>
      <c r="G243" s="2">
        <f t="shared" si="10"/>
        <v>0</v>
      </c>
      <c r="H243" s="2">
        <f t="shared" si="11"/>
        <v>0</v>
      </c>
    </row>
    <row r="244" spans="2:8">
      <c r="B244" t="s">
        <v>433</v>
      </c>
      <c r="C244" t="s">
        <v>1111</v>
      </c>
      <c r="D244" s="12" t="str">
        <f t="shared" si="12"/>
        <v>12-01</v>
      </c>
      <c r="E244" s="1">
        <f>_xlfn.IFNA(VLOOKUP('Comp X - Kilter'!B244,'Kilter Holds'!$P$36:$AB$370,13,0),0)</f>
        <v>2</v>
      </c>
      <c r="G244" s="2">
        <f t="shared" si="10"/>
        <v>0</v>
      </c>
      <c r="H244" s="2">
        <f t="shared" si="11"/>
        <v>0</v>
      </c>
    </row>
    <row r="245" spans="2:8">
      <c r="B245" t="s">
        <v>422</v>
      </c>
      <c r="C245" t="s">
        <v>1112</v>
      </c>
      <c r="D245" s="5" t="str">
        <f t="shared" si="12"/>
        <v>11-12</v>
      </c>
      <c r="E245" s="1">
        <f>_xlfn.IFNA(VLOOKUP('Comp X - Kilter'!B245,'Kilter Holds'!$P$36:$AB$370,5,0),0)</f>
        <v>4</v>
      </c>
      <c r="G245" s="2">
        <f t="shared" si="10"/>
        <v>0</v>
      </c>
      <c r="H245" s="2">
        <f t="shared" si="11"/>
        <v>0</v>
      </c>
    </row>
    <row r="246" spans="2:8">
      <c r="B246" t="s">
        <v>422</v>
      </c>
      <c r="C246" t="s">
        <v>1112</v>
      </c>
      <c r="D246" s="6" t="str">
        <f t="shared" si="12"/>
        <v>14-01</v>
      </c>
      <c r="E246" s="1">
        <f>_xlfn.IFNA(VLOOKUP('Comp X - Kilter'!B246,'Kilter Holds'!$P$36:$AB$370,6,0),0)</f>
        <v>0</v>
      </c>
      <c r="G246" s="2">
        <f t="shared" si="10"/>
        <v>0</v>
      </c>
      <c r="H246" s="2">
        <f t="shared" si="11"/>
        <v>0</v>
      </c>
    </row>
    <row r="247" spans="2:8">
      <c r="B247" t="s">
        <v>422</v>
      </c>
      <c r="C247" t="s">
        <v>1112</v>
      </c>
      <c r="D247" s="7" t="str">
        <f t="shared" si="12"/>
        <v>15-12</v>
      </c>
      <c r="E247" s="1">
        <f>_xlfn.IFNA(VLOOKUP('Comp X - Kilter'!B247,'Kilter Holds'!$P$36:$AB$370,7,0),0)</f>
        <v>4</v>
      </c>
      <c r="G247" s="2">
        <f t="shared" si="10"/>
        <v>0</v>
      </c>
      <c r="H247" s="2">
        <f t="shared" si="11"/>
        <v>0</v>
      </c>
    </row>
    <row r="248" spans="2:8">
      <c r="B248" t="s">
        <v>422</v>
      </c>
      <c r="C248" t="s">
        <v>1112</v>
      </c>
      <c r="D248" s="8" t="str">
        <f t="shared" si="12"/>
        <v>16-16</v>
      </c>
      <c r="E248" s="1">
        <f>_xlfn.IFNA(VLOOKUP('Comp X - Kilter'!B248,'Kilter Holds'!$P$36:$AB$370,8,0),0)</f>
        <v>9</v>
      </c>
      <c r="G248" s="2">
        <f t="shared" si="10"/>
        <v>0</v>
      </c>
      <c r="H248" s="2">
        <f t="shared" si="11"/>
        <v>0</v>
      </c>
    </row>
    <row r="249" spans="2:8">
      <c r="B249" t="s">
        <v>422</v>
      </c>
      <c r="C249" t="s">
        <v>1112</v>
      </c>
      <c r="D249" s="9" t="str">
        <f t="shared" si="12"/>
        <v>13-01</v>
      </c>
      <c r="E249" s="1">
        <f>_xlfn.IFNA(VLOOKUP('Comp X - Kilter'!B249,'Kilter Holds'!$P$36:$AB$370,9,0),0)</f>
        <v>1</v>
      </c>
      <c r="G249" s="2">
        <f t="shared" si="10"/>
        <v>0</v>
      </c>
      <c r="H249" s="2">
        <f t="shared" si="11"/>
        <v>0</v>
      </c>
    </row>
    <row r="250" spans="2:8">
      <c r="B250" t="s">
        <v>422</v>
      </c>
      <c r="C250" t="s">
        <v>1112</v>
      </c>
      <c r="D250" s="10" t="str">
        <f t="shared" si="12"/>
        <v>07-13</v>
      </c>
      <c r="E250" s="1">
        <f>_xlfn.IFNA(VLOOKUP('Comp X - Kilter'!B250,'Kilter Holds'!$P$36:$AB$370,10,0),0)</f>
        <v>0</v>
      </c>
      <c r="G250" s="2">
        <f t="shared" si="10"/>
        <v>0</v>
      </c>
      <c r="H250" s="2">
        <f t="shared" si="11"/>
        <v>0</v>
      </c>
    </row>
    <row r="251" spans="2:8">
      <c r="B251" t="s">
        <v>422</v>
      </c>
      <c r="C251" t="s">
        <v>1112</v>
      </c>
      <c r="D251" s="11" t="str">
        <f t="shared" si="12"/>
        <v>11-25</v>
      </c>
      <c r="E251" s="1">
        <f>_xlfn.IFNA(VLOOKUP('Comp X - Kilter'!B251,'Kilter Holds'!$P$36:$AB$370,11,0),0)</f>
        <v>0</v>
      </c>
      <c r="G251" s="2">
        <f t="shared" si="10"/>
        <v>0</v>
      </c>
      <c r="H251" s="2">
        <f t="shared" si="11"/>
        <v>0</v>
      </c>
    </row>
    <row r="252" spans="2:8">
      <c r="B252" t="s">
        <v>422</v>
      </c>
      <c r="C252" t="s">
        <v>1112</v>
      </c>
      <c r="D252" s="13" t="str">
        <f t="shared" si="12"/>
        <v>18-01</v>
      </c>
      <c r="E252" s="1">
        <f>_xlfn.IFNA(VLOOKUP('Comp X - Kilter'!B252,'Kilter Holds'!$P$36:$AB$370,12,0),0)</f>
        <v>13</v>
      </c>
      <c r="G252" s="2">
        <f t="shared" si="10"/>
        <v>0</v>
      </c>
      <c r="H252" s="2">
        <f t="shared" si="11"/>
        <v>0</v>
      </c>
    </row>
    <row r="253" spans="2:8">
      <c r="B253" t="s">
        <v>422</v>
      </c>
      <c r="C253" t="s">
        <v>1112</v>
      </c>
      <c r="D253" s="12" t="str">
        <f t="shared" si="12"/>
        <v>12-01</v>
      </c>
      <c r="E253" s="1">
        <f>_xlfn.IFNA(VLOOKUP('Comp X - Kilter'!B253,'Kilter Holds'!$P$36:$AB$370,13,0),0)</f>
        <v>0</v>
      </c>
      <c r="G253" s="2">
        <f t="shared" si="10"/>
        <v>0</v>
      </c>
      <c r="H253" s="2">
        <f t="shared" si="11"/>
        <v>0</v>
      </c>
    </row>
    <row r="254" spans="2:8">
      <c r="B254" t="s">
        <v>545</v>
      </c>
      <c r="C254" t="s">
        <v>1113</v>
      </c>
      <c r="D254" s="5" t="str">
        <f t="shared" si="12"/>
        <v>11-12</v>
      </c>
      <c r="E254" s="1">
        <f>_xlfn.IFNA(VLOOKUP('Comp X - Kilter'!B254,'Kilter Holds'!$P$36:$AB$370,5,0),0)</f>
        <v>5</v>
      </c>
      <c r="G254" s="2">
        <f t="shared" si="10"/>
        <v>0</v>
      </c>
      <c r="H254" s="2">
        <f t="shared" si="11"/>
        <v>0</v>
      </c>
    </row>
    <row r="255" spans="2:8">
      <c r="B255" t="s">
        <v>545</v>
      </c>
      <c r="C255" t="s">
        <v>1113</v>
      </c>
      <c r="D255" s="6" t="str">
        <f t="shared" si="12"/>
        <v>14-01</v>
      </c>
      <c r="E255" s="1">
        <f>_xlfn.IFNA(VLOOKUP('Comp X - Kilter'!B255,'Kilter Holds'!$P$36:$AB$370,6,0),0)</f>
        <v>0</v>
      </c>
      <c r="G255" s="2">
        <f t="shared" si="10"/>
        <v>0</v>
      </c>
      <c r="H255" s="2">
        <f t="shared" si="11"/>
        <v>0</v>
      </c>
    </row>
    <row r="256" spans="2:8">
      <c r="B256" t="s">
        <v>545</v>
      </c>
      <c r="C256" t="s">
        <v>1113</v>
      </c>
      <c r="D256" s="7" t="str">
        <f t="shared" si="12"/>
        <v>15-12</v>
      </c>
      <c r="E256" s="1">
        <f>_xlfn.IFNA(VLOOKUP('Comp X - Kilter'!B256,'Kilter Holds'!$P$36:$AB$370,7,0),0)</f>
        <v>1</v>
      </c>
      <c r="G256" s="2">
        <f t="shared" si="10"/>
        <v>0</v>
      </c>
      <c r="H256" s="2">
        <f t="shared" si="11"/>
        <v>0</v>
      </c>
    </row>
    <row r="257" spans="2:8">
      <c r="B257" t="s">
        <v>545</v>
      </c>
      <c r="C257" t="s">
        <v>1113</v>
      </c>
      <c r="D257" s="8" t="str">
        <f t="shared" si="12"/>
        <v>16-16</v>
      </c>
      <c r="E257" s="1">
        <f>_xlfn.IFNA(VLOOKUP('Comp X - Kilter'!B257,'Kilter Holds'!$P$36:$AB$370,8,0),0)</f>
        <v>5</v>
      </c>
      <c r="G257" s="2">
        <f t="shared" si="10"/>
        <v>0</v>
      </c>
      <c r="H257" s="2">
        <f t="shared" si="11"/>
        <v>0</v>
      </c>
    </row>
    <row r="258" spans="2:8">
      <c r="B258" t="s">
        <v>545</v>
      </c>
      <c r="C258" t="s">
        <v>1113</v>
      </c>
      <c r="D258" s="9" t="str">
        <f t="shared" si="12"/>
        <v>13-01</v>
      </c>
      <c r="E258" s="1">
        <f>_xlfn.IFNA(VLOOKUP('Comp X - Kilter'!B258,'Kilter Holds'!$P$36:$AB$370,9,0),0)</f>
        <v>4</v>
      </c>
      <c r="G258" s="2">
        <f t="shared" si="10"/>
        <v>0</v>
      </c>
      <c r="H258" s="2">
        <f t="shared" si="11"/>
        <v>0</v>
      </c>
    </row>
    <row r="259" spans="2:8">
      <c r="B259" t="s">
        <v>545</v>
      </c>
      <c r="C259" t="s">
        <v>1113</v>
      </c>
      <c r="D259" s="10" t="str">
        <f t="shared" si="12"/>
        <v>07-13</v>
      </c>
      <c r="E259" s="1">
        <f>_xlfn.IFNA(VLOOKUP('Comp X - Kilter'!B259,'Kilter Holds'!$P$36:$AB$370,10,0),0)</f>
        <v>5</v>
      </c>
      <c r="G259" s="2">
        <f t="shared" ref="G259:G322" si="13">E259*F259</f>
        <v>0</v>
      </c>
      <c r="H259" s="2">
        <f t="shared" ref="H259:H322" si="14">IF($S$11="Y",G259*0.15,0)</f>
        <v>0</v>
      </c>
    </row>
    <row r="260" spans="2:8">
      <c r="B260" t="s">
        <v>545</v>
      </c>
      <c r="C260" t="s">
        <v>1113</v>
      </c>
      <c r="D260" s="11" t="str">
        <f t="shared" si="12"/>
        <v>11-25</v>
      </c>
      <c r="E260" s="1">
        <f>_xlfn.IFNA(VLOOKUP('Comp X - Kilter'!B260,'Kilter Holds'!$P$36:$AB$370,11,0),0)</f>
        <v>0</v>
      </c>
      <c r="G260" s="2">
        <f t="shared" si="13"/>
        <v>0</v>
      </c>
      <c r="H260" s="2">
        <f t="shared" si="14"/>
        <v>0</v>
      </c>
    </row>
    <row r="261" spans="2:8">
      <c r="B261" t="s">
        <v>545</v>
      </c>
      <c r="C261" t="s">
        <v>1113</v>
      </c>
      <c r="D261" s="13" t="str">
        <f t="shared" si="12"/>
        <v>18-01</v>
      </c>
      <c r="E261" s="1">
        <f>_xlfn.IFNA(VLOOKUP('Comp X - Kilter'!B261,'Kilter Holds'!$P$36:$AB$370,12,0),0)</f>
        <v>8</v>
      </c>
      <c r="G261" s="2">
        <f t="shared" si="13"/>
        <v>0</v>
      </c>
      <c r="H261" s="2">
        <f t="shared" si="14"/>
        <v>0</v>
      </c>
    </row>
    <row r="262" spans="2:8">
      <c r="B262" t="s">
        <v>545</v>
      </c>
      <c r="C262" t="s">
        <v>1113</v>
      </c>
      <c r="D262" s="12" t="str">
        <f t="shared" si="12"/>
        <v>12-01</v>
      </c>
      <c r="E262" s="1">
        <f>_xlfn.IFNA(VLOOKUP('Comp X - Kilter'!B262,'Kilter Holds'!$P$36:$AB$370,13,0),0)</f>
        <v>0</v>
      </c>
      <c r="G262" s="2">
        <f t="shared" si="13"/>
        <v>0</v>
      </c>
      <c r="H262" s="2">
        <f t="shared" si="14"/>
        <v>0</v>
      </c>
    </row>
    <row r="263" spans="2:8">
      <c r="B263" t="s">
        <v>400</v>
      </c>
      <c r="C263" t="s">
        <v>1114</v>
      </c>
      <c r="D263" s="5" t="str">
        <f t="shared" si="12"/>
        <v>11-12</v>
      </c>
      <c r="E263" s="1">
        <f>_xlfn.IFNA(VLOOKUP('Comp X - Kilter'!B263,'Kilter Holds'!$P$36:$AB$370,5,0),0)</f>
        <v>5</v>
      </c>
      <c r="G263" s="2">
        <f t="shared" si="13"/>
        <v>0</v>
      </c>
      <c r="H263" s="2">
        <f t="shared" si="14"/>
        <v>0</v>
      </c>
    </row>
    <row r="264" spans="2:8">
      <c r="B264" t="s">
        <v>400</v>
      </c>
      <c r="C264" t="s">
        <v>1114</v>
      </c>
      <c r="D264" s="6" t="str">
        <f t="shared" si="12"/>
        <v>14-01</v>
      </c>
      <c r="E264" s="1">
        <f>_xlfn.IFNA(VLOOKUP('Comp X - Kilter'!B264,'Kilter Holds'!$P$36:$AB$370,6,0),0)</f>
        <v>2</v>
      </c>
      <c r="G264" s="2">
        <f t="shared" si="13"/>
        <v>0</v>
      </c>
      <c r="H264" s="2">
        <f t="shared" si="14"/>
        <v>0</v>
      </c>
    </row>
    <row r="265" spans="2:8">
      <c r="B265" t="s">
        <v>400</v>
      </c>
      <c r="C265" t="s">
        <v>1114</v>
      </c>
      <c r="D265" s="7" t="str">
        <f t="shared" si="12"/>
        <v>15-12</v>
      </c>
      <c r="E265" s="1">
        <f>_xlfn.IFNA(VLOOKUP('Comp X - Kilter'!B265,'Kilter Holds'!$P$36:$AB$370,7,0),0)</f>
        <v>5</v>
      </c>
      <c r="G265" s="2">
        <f t="shared" si="13"/>
        <v>0</v>
      </c>
      <c r="H265" s="2">
        <f t="shared" si="14"/>
        <v>0</v>
      </c>
    </row>
    <row r="266" spans="2:8">
      <c r="B266" t="s">
        <v>400</v>
      </c>
      <c r="C266" t="s">
        <v>1114</v>
      </c>
      <c r="D266" s="8" t="str">
        <f t="shared" si="12"/>
        <v>16-16</v>
      </c>
      <c r="E266" s="1">
        <f>_xlfn.IFNA(VLOOKUP('Comp X - Kilter'!B266,'Kilter Holds'!$P$36:$AB$370,8,0),0)</f>
        <v>0</v>
      </c>
      <c r="G266" s="2">
        <f t="shared" si="13"/>
        <v>0</v>
      </c>
      <c r="H266" s="2">
        <f t="shared" si="14"/>
        <v>0</v>
      </c>
    </row>
    <row r="267" spans="2:8">
      <c r="B267" t="s">
        <v>400</v>
      </c>
      <c r="C267" t="s">
        <v>1114</v>
      </c>
      <c r="D267" s="9" t="str">
        <f t="shared" si="12"/>
        <v>13-01</v>
      </c>
      <c r="E267" s="1">
        <f>_xlfn.IFNA(VLOOKUP('Comp X - Kilter'!B267,'Kilter Holds'!$P$36:$AB$370,9,0),0)</f>
        <v>5</v>
      </c>
      <c r="G267" s="2">
        <f t="shared" si="13"/>
        <v>0</v>
      </c>
      <c r="H267" s="2">
        <f t="shared" si="14"/>
        <v>0</v>
      </c>
    </row>
    <row r="268" spans="2:8">
      <c r="B268" t="s">
        <v>400</v>
      </c>
      <c r="C268" t="s">
        <v>1114</v>
      </c>
      <c r="D268" s="10" t="str">
        <f t="shared" si="12"/>
        <v>07-13</v>
      </c>
      <c r="E268" s="1">
        <f>_xlfn.IFNA(VLOOKUP('Comp X - Kilter'!B268,'Kilter Holds'!$P$36:$AB$370,10,0),0)</f>
        <v>0</v>
      </c>
      <c r="G268" s="2">
        <f t="shared" si="13"/>
        <v>0</v>
      </c>
      <c r="H268" s="2">
        <f t="shared" si="14"/>
        <v>0</v>
      </c>
    </row>
    <row r="269" spans="2:8">
      <c r="B269" t="s">
        <v>400</v>
      </c>
      <c r="C269" t="s">
        <v>1114</v>
      </c>
      <c r="D269" s="11" t="str">
        <f t="shared" si="12"/>
        <v>11-25</v>
      </c>
      <c r="E269" s="1">
        <f>_xlfn.IFNA(VLOOKUP('Comp X - Kilter'!B269,'Kilter Holds'!$P$36:$AB$370,11,0),0)</f>
        <v>5</v>
      </c>
      <c r="G269" s="2">
        <f t="shared" si="13"/>
        <v>0</v>
      </c>
      <c r="H269" s="2">
        <f t="shared" si="14"/>
        <v>0</v>
      </c>
    </row>
    <row r="270" spans="2:8">
      <c r="B270" t="s">
        <v>400</v>
      </c>
      <c r="C270" t="s">
        <v>1114</v>
      </c>
      <c r="D270" s="13" t="str">
        <f t="shared" si="12"/>
        <v>18-01</v>
      </c>
      <c r="E270" s="1">
        <f>_xlfn.IFNA(VLOOKUP('Comp X - Kilter'!B270,'Kilter Holds'!$P$36:$AB$370,12,0),0)</f>
        <v>3</v>
      </c>
      <c r="G270" s="2">
        <f t="shared" si="13"/>
        <v>0</v>
      </c>
      <c r="H270" s="2">
        <f t="shared" si="14"/>
        <v>0</v>
      </c>
    </row>
    <row r="271" spans="2:8">
      <c r="B271" t="s">
        <v>400</v>
      </c>
      <c r="C271" t="s">
        <v>1114</v>
      </c>
      <c r="D271" s="12" t="str">
        <f t="shared" si="12"/>
        <v>12-01</v>
      </c>
      <c r="E271" s="1">
        <f>_xlfn.IFNA(VLOOKUP('Comp X - Kilter'!B271,'Kilter Holds'!$P$36:$AB$370,13,0),0)</f>
        <v>0</v>
      </c>
      <c r="G271" s="2">
        <f t="shared" si="13"/>
        <v>0</v>
      </c>
      <c r="H271" s="2">
        <f t="shared" si="14"/>
        <v>0</v>
      </c>
    </row>
    <row r="272" spans="2:8">
      <c r="B272" t="s">
        <v>401</v>
      </c>
      <c r="C272" t="s">
        <v>1115</v>
      </c>
      <c r="D272" s="5" t="str">
        <f t="shared" si="12"/>
        <v>11-12</v>
      </c>
      <c r="E272" s="1">
        <f>_xlfn.IFNA(VLOOKUP('Comp X - Kilter'!B272,'Kilter Holds'!$P$36:$AB$370,5,0),0)</f>
        <v>5</v>
      </c>
      <c r="G272" s="2">
        <f t="shared" si="13"/>
        <v>0</v>
      </c>
      <c r="H272" s="2">
        <f t="shared" si="14"/>
        <v>0</v>
      </c>
    </row>
    <row r="273" spans="2:8">
      <c r="B273" t="s">
        <v>401</v>
      </c>
      <c r="C273" t="s">
        <v>1115</v>
      </c>
      <c r="D273" s="6" t="str">
        <f t="shared" si="12"/>
        <v>14-01</v>
      </c>
      <c r="E273" s="1">
        <f>_xlfn.IFNA(VLOOKUP('Comp X - Kilter'!B273,'Kilter Holds'!$P$36:$AB$370,6,0),0)</f>
        <v>0</v>
      </c>
      <c r="G273" s="2">
        <f t="shared" si="13"/>
        <v>0</v>
      </c>
      <c r="H273" s="2">
        <f t="shared" si="14"/>
        <v>0</v>
      </c>
    </row>
    <row r="274" spans="2:8">
      <c r="B274" t="s">
        <v>401</v>
      </c>
      <c r="C274" t="s">
        <v>1115</v>
      </c>
      <c r="D274" s="7" t="str">
        <f t="shared" si="12"/>
        <v>15-12</v>
      </c>
      <c r="E274" s="1">
        <f>_xlfn.IFNA(VLOOKUP('Comp X - Kilter'!B274,'Kilter Holds'!$P$36:$AB$370,7,0),0)</f>
        <v>8</v>
      </c>
      <c r="G274" s="2">
        <f t="shared" si="13"/>
        <v>0</v>
      </c>
      <c r="H274" s="2">
        <f t="shared" si="14"/>
        <v>0</v>
      </c>
    </row>
    <row r="275" spans="2:8">
      <c r="B275" t="s">
        <v>401</v>
      </c>
      <c r="C275" t="s">
        <v>1115</v>
      </c>
      <c r="D275" s="8" t="str">
        <f t="shared" si="12"/>
        <v>16-16</v>
      </c>
      <c r="E275" s="1">
        <f>_xlfn.IFNA(VLOOKUP('Comp X - Kilter'!B275,'Kilter Holds'!$P$36:$AB$370,8,0),0)</f>
        <v>5</v>
      </c>
      <c r="G275" s="2">
        <f t="shared" si="13"/>
        <v>0</v>
      </c>
      <c r="H275" s="2">
        <f t="shared" si="14"/>
        <v>0</v>
      </c>
    </row>
    <row r="276" spans="2:8">
      <c r="B276" t="s">
        <v>401</v>
      </c>
      <c r="C276" t="s">
        <v>1115</v>
      </c>
      <c r="D276" s="9" t="str">
        <f t="shared" ref="D276:D339" si="15">D267</f>
        <v>13-01</v>
      </c>
      <c r="E276" s="1">
        <f>_xlfn.IFNA(VLOOKUP('Comp X - Kilter'!B276,'Kilter Holds'!$P$36:$AB$370,9,0),0)</f>
        <v>8</v>
      </c>
      <c r="G276" s="2">
        <f t="shared" si="13"/>
        <v>0</v>
      </c>
      <c r="H276" s="2">
        <f t="shared" si="14"/>
        <v>0</v>
      </c>
    </row>
    <row r="277" spans="2:8">
      <c r="B277" t="s">
        <v>401</v>
      </c>
      <c r="C277" t="s">
        <v>1115</v>
      </c>
      <c r="D277" s="10" t="str">
        <f t="shared" si="15"/>
        <v>07-13</v>
      </c>
      <c r="E277" s="1">
        <f>_xlfn.IFNA(VLOOKUP('Comp X - Kilter'!B277,'Kilter Holds'!$P$36:$AB$370,10,0),0)</f>
        <v>5</v>
      </c>
      <c r="G277" s="2">
        <f t="shared" si="13"/>
        <v>0</v>
      </c>
      <c r="H277" s="2">
        <f t="shared" si="14"/>
        <v>0</v>
      </c>
    </row>
    <row r="278" spans="2:8">
      <c r="B278" t="s">
        <v>401</v>
      </c>
      <c r="C278" t="s">
        <v>1115</v>
      </c>
      <c r="D278" s="11" t="str">
        <f t="shared" si="15"/>
        <v>11-25</v>
      </c>
      <c r="E278" s="1">
        <f>_xlfn.IFNA(VLOOKUP('Comp X - Kilter'!B278,'Kilter Holds'!$P$36:$AB$370,11,0),0)</f>
        <v>5</v>
      </c>
      <c r="G278" s="2">
        <f t="shared" si="13"/>
        <v>0</v>
      </c>
      <c r="H278" s="2">
        <f t="shared" si="14"/>
        <v>0</v>
      </c>
    </row>
    <row r="279" spans="2:8">
      <c r="B279" t="s">
        <v>401</v>
      </c>
      <c r="C279" t="s">
        <v>1115</v>
      </c>
      <c r="D279" s="13" t="str">
        <f t="shared" si="15"/>
        <v>18-01</v>
      </c>
      <c r="E279" s="1">
        <f>_xlfn.IFNA(VLOOKUP('Comp X - Kilter'!B279,'Kilter Holds'!$P$36:$AB$370,12,0),0)</f>
        <v>4</v>
      </c>
      <c r="G279" s="2">
        <f t="shared" si="13"/>
        <v>0</v>
      </c>
      <c r="H279" s="2">
        <f t="shared" si="14"/>
        <v>0</v>
      </c>
    </row>
    <row r="280" spans="2:8">
      <c r="B280" t="s">
        <v>401</v>
      </c>
      <c r="C280" t="s">
        <v>1115</v>
      </c>
      <c r="D280" s="12" t="str">
        <f t="shared" si="15"/>
        <v>12-01</v>
      </c>
      <c r="E280" s="1">
        <f>_xlfn.IFNA(VLOOKUP('Comp X - Kilter'!B280,'Kilter Holds'!$P$36:$AB$370,13,0),0)</f>
        <v>0</v>
      </c>
      <c r="G280" s="2">
        <f t="shared" si="13"/>
        <v>0</v>
      </c>
      <c r="H280" s="2">
        <f t="shared" si="14"/>
        <v>0</v>
      </c>
    </row>
    <row r="281" spans="2:8">
      <c r="B281" t="s">
        <v>402</v>
      </c>
      <c r="C281" t="s">
        <v>1116</v>
      </c>
      <c r="D281" s="5" t="str">
        <f t="shared" si="15"/>
        <v>11-12</v>
      </c>
      <c r="E281" s="1">
        <f>_xlfn.IFNA(VLOOKUP('Comp X - Kilter'!B281,'Kilter Holds'!$P$36:$AB$370,5,0),0)</f>
        <v>7</v>
      </c>
      <c r="G281" s="2">
        <f t="shared" si="13"/>
        <v>0</v>
      </c>
      <c r="H281" s="2">
        <f t="shared" si="14"/>
        <v>0</v>
      </c>
    </row>
    <row r="282" spans="2:8">
      <c r="B282" t="s">
        <v>402</v>
      </c>
      <c r="C282" t="s">
        <v>1116</v>
      </c>
      <c r="D282" s="6" t="str">
        <f t="shared" si="15"/>
        <v>14-01</v>
      </c>
      <c r="E282" s="1">
        <f>_xlfn.IFNA(VLOOKUP('Comp X - Kilter'!B282,'Kilter Holds'!$P$36:$AB$370,6,0),0)</f>
        <v>0</v>
      </c>
      <c r="G282" s="2">
        <f t="shared" si="13"/>
        <v>0</v>
      </c>
      <c r="H282" s="2">
        <f t="shared" si="14"/>
        <v>0</v>
      </c>
    </row>
    <row r="283" spans="2:8">
      <c r="B283" t="s">
        <v>402</v>
      </c>
      <c r="C283" t="s">
        <v>1116</v>
      </c>
      <c r="D283" s="7" t="str">
        <f t="shared" si="15"/>
        <v>15-12</v>
      </c>
      <c r="E283" s="1">
        <f>_xlfn.IFNA(VLOOKUP('Comp X - Kilter'!B283,'Kilter Holds'!$P$36:$AB$370,7,0),0)</f>
        <v>8</v>
      </c>
      <c r="G283" s="2">
        <f t="shared" si="13"/>
        <v>0</v>
      </c>
      <c r="H283" s="2">
        <f t="shared" si="14"/>
        <v>0</v>
      </c>
    </row>
    <row r="284" spans="2:8">
      <c r="B284" t="s">
        <v>402</v>
      </c>
      <c r="C284" t="s">
        <v>1116</v>
      </c>
      <c r="D284" s="8" t="str">
        <f t="shared" si="15"/>
        <v>16-16</v>
      </c>
      <c r="E284" s="1">
        <f>_xlfn.IFNA(VLOOKUP('Comp X - Kilter'!B284,'Kilter Holds'!$P$36:$AB$370,8,0),0)</f>
        <v>9</v>
      </c>
      <c r="G284" s="2">
        <f t="shared" si="13"/>
        <v>0</v>
      </c>
      <c r="H284" s="2">
        <f t="shared" si="14"/>
        <v>0</v>
      </c>
    </row>
    <row r="285" spans="2:8">
      <c r="B285" t="s">
        <v>402</v>
      </c>
      <c r="C285" t="s">
        <v>1116</v>
      </c>
      <c r="D285" s="9" t="str">
        <f t="shared" si="15"/>
        <v>13-01</v>
      </c>
      <c r="E285" s="1">
        <f>_xlfn.IFNA(VLOOKUP('Comp X - Kilter'!B285,'Kilter Holds'!$P$36:$AB$370,9,0),0)</f>
        <v>5</v>
      </c>
      <c r="G285" s="2">
        <f t="shared" si="13"/>
        <v>0</v>
      </c>
      <c r="H285" s="2">
        <f t="shared" si="14"/>
        <v>0</v>
      </c>
    </row>
    <row r="286" spans="2:8">
      <c r="B286" t="s">
        <v>402</v>
      </c>
      <c r="C286" t="s">
        <v>1116</v>
      </c>
      <c r="D286" s="10" t="str">
        <f t="shared" si="15"/>
        <v>07-13</v>
      </c>
      <c r="E286" s="1">
        <f>_xlfn.IFNA(VLOOKUP('Comp X - Kilter'!B286,'Kilter Holds'!$P$36:$AB$370,10,0),0)</f>
        <v>5</v>
      </c>
      <c r="G286" s="2">
        <f t="shared" si="13"/>
        <v>0</v>
      </c>
      <c r="H286" s="2">
        <f t="shared" si="14"/>
        <v>0</v>
      </c>
    </row>
    <row r="287" spans="2:8">
      <c r="B287" t="s">
        <v>402</v>
      </c>
      <c r="C287" t="s">
        <v>1116</v>
      </c>
      <c r="D287" s="11" t="str">
        <f t="shared" si="15"/>
        <v>11-25</v>
      </c>
      <c r="E287" s="1">
        <f>_xlfn.IFNA(VLOOKUP('Comp X - Kilter'!B287,'Kilter Holds'!$P$36:$AB$370,11,0),0)</f>
        <v>4</v>
      </c>
      <c r="G287" s="2">
        <f t="shared" si="13"/>
        <v>0</v>
      </c>
      <c r="H287" s="2">
        <f t="shared" si="14"/>
        <v>0</v>
      </c>
    </row>
    <row r="288" spans="2:8">
      <c r="B288" t="s">
        <v>402</v>
      </c>
      <c r="C288" t="s">
        <v>1116</v>
      </c>
      <c r="D288" s="13" t="str">
        <f t="shared" si="15"/>
        <v>18-01</v>
      </c>
      <c r="E288" s="1">
        <f>_xlfn.IFNA(VLOOKUP('Comp X - Kilter'!B288,'Kilter Holds'!$P$36:$AB$370,12,0),0)</f>
        <v>8</v>
      </c>
      <c r="G288" s="2">
        <f t="shared" si="13"/>
        <v>0</v>
      </c>
      <c r="H288" s="2">
        <f t="shared" si="14"/>
        <v>0</v>
      </c>
    </row>
    <row r="289" spans="2:8">
      <c r="B289" t="s">
        <v>402</v>
      </c>
      <c r="C289" t="s">
        <v>1116</v>
      </c>
      <c r="D289" s="12" t="str">
        <f t="shared" si="15"/>
        <v>12-01</v>
      </c>
      <c r="E289" s="1">
        <f>_xlfn.IFNA(VLOOKUP('Comp X - Kilter'!B289,'Kilter Holds'!$P$36:$AB$370,13,0),0)</f>
        <v>0</v>
      </c>
      <c r="G289" s="2">
        <f t="shared" si="13"/>
        <v>0</v>
      </c>
      <c r="H289" s="2">
        <f t="shared" si="14"/>
        <v>0</v>
      </c>
    </row>
    <row r="290" spans="2:8">
      <c r="B290" t="s">
        <v>403</v>
      </c>
      <c r="C290" t="s">
        <v>1117</v>
      </c>
      <c r="D290" s="5" t="str">
        <f t="shared" si="15"/>
        <v>11-12</v>
      </c>
      <c r="E290" s="1">
        <f>_xlfn.IFNA(VLOOKUP('Comp X - Kilter'!B290,'Kilter Holds'!$P$36:$AB$370,5,0),0)</f>
        <v>2</v>
      </c>
      <c r="G290" s="2">
        <f t="shared" si="13"/>
        <v>0</v>
      </c>
      <c r="H290" s="2">
        <f t="shared" si="14"/>
        <v>0</v>
      </c>
    </row>
    <row r="291" spans="2:8">
      <c r="B291" t="s">
        <v>403</v>
      </c>
      <c r="C291" t="s">
        <v>1117</v>
      </c>
      <c r="D291" s="6" t="str">
        <f t="shared" si="15"/>
        <v>14-01</v>
      </c>
      <c r="E291" s="1">
        <f>_xlfn.IFNA(VLOOKUP('Comp X - Kilter'!B291,'Kilter Holds'!$P$36:$AB$370,6,0),0)</f>
        <v>0</v>
      </c>
      <c r="G291" s="2">
        <f t="shared" si="13"/>
        <v>0</v>
      </c>
      <c r="H291" s="2">
        <f t="shared" si="14"/>
        <v>0</v>
      </c>
    </row>
    <row r="292" spans="2:8">
      <c r="B292" t="s">
        <v>403</v>
      </c>
      <c r="C292" t="s">
        <v>1117</v>
      </c>
      <c r="D292" s="7" t="str">
        <f t="shared" si="15"/>
        <v>15-12</v>
      </c>
      <c r="E292" s="1">
        <f>_xlfn.IFNA(VLOOKUP('Comp X - Kilter'!B292,'Kilter Holds'!$P$36:$AB$370,7,0),0)</f>
        <v>5</v>
      </c>
      <c r="G292" s="2">
        <f t="shared" si="13"/>
        <v>0</v>
      </c>
      <c r="H292" s="2">
        <f t="shared" si="14"/>
        <v>0</v>
      </c>
    </row>
    <row r="293" spans="2:8">
      <c r="B293" t="s">
        <v>403</v>
      </c>
      <c r="C293" t="s">
        <v>1117</v>
      </c>
      <c r="D293" s="8" t="str">
        <f t="shared" si="15"/>
        <v>16-16</v>
      </c>
      <c r="E293" s="1">
        <f>_xlfn.IFNA(VLOOKUP('Comp X - Kilter'!B293,'Kilter Holds'!$P$36:$AB$370,8,0),0)</f>
        <v>6</v>
      </c>
      <c r="G293" s="2">
        <f t="shared" si="13"/>
        <v>0</v>
      </c>
      <c r="H293" s="2">
        <f t="shared" si="14"/>
        <v>0</v>
      </c>
    </row>
    <row r="294" spans="2:8">
      <c r="B294" t="s">
        <v>403</v>
      </c>
      <c r="C294" t="s">
        <v>1117</v>
      </c>
      <c r="D294" s="9" t="str">
        <f t="shared" si="15"/>
        <v>13-01</v>
      </c>
      <c r="E294" s="1">
        <f>_xlfn.IFNA(VLOOKUP('Comp X - Kilter'!B294,'Kilter Holds'!$P$36:$AB$370,9,0),0)</f>
        <v>1</v>
      </c>
      <c r="G294" s="2">
        <f t="shared" si="13"/>
        <v>0</v>
      </c>
      <c r="H294" s="2">
        <f t="shared" si="14"/>
        <v>0</v>
      </c>
    </row>
    <row r="295" spans="2:8">
      <c r="B295" t="s">
        <v>403</v>
      </c>
      <c r="C295" t="s">
        <v>1117</v>
      </c>
      <c r="D295" s="10" t="str">
        <f t="shared" si="15"/>
        <v>07-13</v>
      </c>
      <c r="E295" s="1">
        <f>_xlfn.IFNA(VLOOKUP('Comp X - Kilter'!B295,'Kilter Holds'!$P$36:$AB$370,10,0),0)</f>
        <v>5</v>
      </c>
      <c r="G295" s="2">
        <f t="shared" si="13"/>
        <v>0</v>
      </c>
      <c r="H295" s="2">
        <f t="shared" si="14"/>
        <v>0</v>
      </c>
    </row>
    <row r="296" spans="2:8">
      <c r="B296" t="s">
        <v>403</v>
      </c>
      <c r="C296" t="s">
        <v>1117</v>
      </c>
      <c r="D296" s="11" t="str">
        <f t="shared" si="15"/>
        <v>11-25</v>
      </c>
      <c r="E296" s="1">
        <f>_xlfn.IFNA(VLOOKUP('Comp X - Kilter'!B296,'Kilter Holds'!$P$36:$AB$370,11,0),0)</f>
        <v>5</v>
      </c>
      <c r="G296" s="2">
        <f t="shared" si="13"/>
        <v>0</v>
      </c>
      <c r="H296" s="2">
        <f t="shared" si="14"/>
        <v>0</v>
      </c>
    </row>
    <row r="297" spans="2:8">
      <c r="B297" t="s">
        <v>403</v>
      </c>
      <c r="C297" t="s">
        <v>1117</v>
      </c>
      <c r="D297" s="13" t="str">
        <f t="shared" si="15"/>
        <v>18-01</v>
      </c>
      <c r="E297" s="1">
        <f>_xlfn.IFNA(VLOOKUP('Comp X - Kilter'!B297,'Kilter Holds'!$P$36:$AB$370,12,0),0)</f>
        <v>5</v>
      </c>
      <c r="G297" s="2">
        <f t="shared" si="13"/>
        <v>0</v>
      </c>
      <c r="H297" s="2">
        <f t="shared" si="14"/>
        <v>0</v>
      </c>
    </row>
    <row r="298" spans="2:8">
      <c r="B298" t="s">
        <v>403</v>
      </c>
      <c r="C298" t="s">
        <v>1117</v>
      </c>
      <c r="D298" s="12" t="str">
        <f t="shared" si="15"/>
        <v>12-01</v>
      </c>
      <c r="E298" s="1">
        <f>_xlfn.IFNA(VLOOKUP('Comp X - Kilter'!B298,'Kilter Holds'!$P$36:$AB$370,13,0),0)</f>
        <v>0</v>
      </c>
      <c r="G298" s="2">
        <f t="shared" si="13"/>
        <v>0</v>
      </c>
      <c r="H298" s="2">
        <f t="shared" si="14"/>
        <v>0</v>
      </c>
    </row>
    <row r="299" spans="2:8">
      <c r="B299" t="s">
        <v>404</v>
      </c>
      <c r="C299" t="s">
        <v>1118</v>
      </c>
      <c r="D299" s="5" t="str">
        <f t="shared" si="15"/>
        <v>11-12</v>
      </c>
      <c r="E299" s="1">
        <f>_xlfn.IFNA(VLOOKUP('Comp X - Kilter'!B299,'Kilter Holds'!$P$36:$AB$370,5,0),0)</f>
        <v>3</v>
      </c>
      <c r="G299" s="2">
        <f t="shared" si="13"/>
        <v>0</v>
      </c>
      <c r="H299" s="2">
        <f t="shared" si="14"/>
        <v>0</v>
      </c>
    </row>
    <row r="300" spans="2:8">
      <c r="B300" t="s">
        <v>404</v>
      </c>
      <c r="C300" t="s">
        <v>1118</v>
      </c>
      <c r="D300" s="6" t="str">
        <f t="shared" si="15"/>
        <v>14-01</v>
      </c>
      <c r="E300" s="1">
        <f>_xlfn.IFNA(VLOOKUP('Comp X - Kilter'!B300,'Kilter Holds'!$P$36:$AB$370,6,0),0)</f>
        <v>0</v>
      </c>
      <c r="G300" s="2">
        <f t="shared" si="13"/>
        <v>0</v>
      </c>
      <c r="H300" s="2">
        <f t="shared" si="14"/>
        <v>0</v>
      </c>
    </row>
    <row r="301" spans="2:8">
      <c r="B301" t="s">
        <v>404</v>
      </c>
      <c r="C301" t="s">
        <v>1118</v>
      </c>
      <c r="D301" s="7" t="str">
        <f t="shared" si="15"/>
        <v>15-12</v>
      </c>
      <c r="E301" s="1">
        <f>_xlfn.IFNA(VLOOKUP('Comp X - Kilter'!B301,'Kilter Holds'!$P$36:$AB$370,7,0),0)</f>
        <v>5</v>
      </c>
      <c r="G301" s="2">
        <f t="shared" si="13"/>
        <v>0</v>
      </c>
      <c r="H301" s="2">
        <f t="shared" si="14"/>
        <v>0</v>
      </c>
    </row>
    <row r="302" spans="2:8">
      <c r="B302" t="s">
        <v>404</v>
      </c>
      <c r="C302" t="s">
        <v>1118</v>
      </c>
      <c r="D302" s="8" t="str">
        <f t="shared" si="15"/>
        <v>16-16</v>
      </c>
      <c r="E302" s="1">
        <f>_xlfn.IFNA(VLOOKUP('Comp X - Kilter'!B302,'Kilter Holds'!$P$36:$AB$370,8,0),0)</f>
        <v>8</v>
      </c>
      <c r="G302" s="2">
        <f t="shared" si="13"/>
        <v>0</v>
      </c>
      <c r="H302" s="2">
        <f t="shared" si="14"/>
        <v>0</v>
      </c>
    </row>
    <row r="303" spans="2:8">
      <c r="B303" t="s">
        <v>404</v>
      </c>
      <c r="C303" t="s">
        <v>1118</v>
      </c>
      <c r="D303" s="9" t="str">
        <f t="shared" si="15"/>
        <v>13-01</v>
      </c>
      <c r="E303" s="1">
        <f>_xlfn.IFNA(VLOOKUP('Comp X - Kilter'!B303,'Kilter Holds'!$P$36:$AB$370,9,0),0)</f>
        <v>4</v>
      </c>
      <c r="G303" s="2">
        <f t="shared" si="13"/>
        <v>0</v>
      </c>
      <c r="H303" s="2">
        <f t="shared" si="14"/>
        <v>0</v>
      </c>
    </row>
    <row r="304" spans="2:8">
      <c r="B304" t="s">
        <v>404</v>
      </c>
      <c r="C304" t="s">
        <v>1118</v>
      </c>
      <c r="D304" s="10" t="str">
        <f t="shared" si="15"/>
        <v>07-13</v>
      </c>
      <c r="E304" s="1">
        <f>_xlfn.IFNA(VLOOKUP('Comp X - Kilter'!B304,'Kilter Holds'!$P$36:$AB$370,10,0),0)</f>
        <v>5</v>
      </c>
      <c r="G304" s="2">
        <f t="shared" si="13"/>
        <v>0</v>
      </c>
      <c r="H304" s="2">
        <f t="shared" si="14"/>
        <v>0</v>
      </c>
    </row>
    <row r="305" spans="2:8">
      <c r="B305" t="s">
        <v>404</v>
      </c>
      <c r="C305" t="s">
        <v>1118</v>
      </c>
      <c r="D305" s="11" t="str">
        <f t="shared" si="15"/>
        <v>11-25</v>
      </c>
      <c r="E305" s="1">
        <f>_xlfn.IFNA(VLOOKUP('Comp X - Kilter'!B305,'Kilter Holds'!$P$36:$AB$370,11,0),0)</f>
        <v>4</v>
      </c>
      <c r="G305" s="2">
        <f t="shared" si="13"/>
        <v>0</v>
      </c>
      <c r="H305" s="2">
        <f t="shared" si="14"/>
        <v>0</v>
      </c>
    </row>
    <row r="306" spans="2:8">
      <c r="B306" t="s">
        <v>404</v>
      </c>
      <c r="C306" t="s">
        <v>1118</v>
      </c>
      <c r="D306" s="13" t="str">
        <f t="shared" si="15"/>
        <v>18-01</v>
      </c>
      <c r="E306" s="1">
        <f>_xlfn.IFNA(VLOOKUP('Comp X - Kilter'!B306,'Kilter Holds'!$P$36:$AB$370,12,0),0)</f>
        <v>9</v>
      </c>
      <c r="G306" s="2">
        <f t="shared" si="13"/>
        <v>0</v>
      </c>
      <c r="H306" s="2">
        <f t="shared" si="14"/>
        <v>0</v>
      </c>
    </row>
    <row r="307" spans="2:8">
      <c r="B307" t="s">
        <v>404</v>
      </c>
      <c r="C307" t="s">
        <v>1118</v>
      </c>
      <c r="D307" s="12" t="str">
        <f t="shared" si="15"/>
        <v>12-01</v>
      </c>
      <c r="E307" s="1">
        <f>_xlfn.IFNA(VLOOKUP('Comp X - Kilter'!B307,'Kilter Holds'!$P$36:$AB$370,13,0),0)</f>
        <v>0</v>
      </c>
      <c r="G307" s="2">
        <f t="shared" si="13"/>
        <v>0</v>
      </c>
      <c r="H307" s="2">
        <f t="shared" si="14"/>
        <v>0</v>
      </c>
    </row>
    <row r="308" spans="2:8">
      <c r="B308" t="s">
        <v>405</v>
      </c>
      <c r="C308" t="s">
        <v>1119</v>
      </c>
      <c r="D308" s="5" t="str">
        <f t="shared" si="15"/>
        <v>11-12</v>
      </c>
      <c r="E308" s="1">
        <f>_xlfn.IFNA(VLOOKUP('Comp X - Kilter'!B308,'Kilter Holds'!$P$36:$AB$370,5,0),0)</f>
        <v>6</v>
      </c>
      <c r="G308" s="2">
        <f t="shared" si="13"/>
        <v>0</v>
      </c>
      <c r="H308" s="2">
        <f t="shared" si="14"/>
        <v>0</v>
      </c>
    </row>
    <row r="309" spans="2:8">
      <c r="B309" t="s">
        <v>405</v>
      </c>
      <c r="C309" t="s">
        <v>1119</v>
      </c>
      <c r="D309" s="6" t="str">
        <f t="shared" si="15"/>
        <v>14-01</v>
      </c>
      <c r="E309" s="1">
        <f>_xlfn.IFNA(VLOOKUP('Comp X - Kilter'!B309,'Kilter Holds'!$P$36:$AB$370,6,0),0)</f>
        <v>0</v>
      </c>
      <c r="G309" s="2">
        <f t="shared" si="13"/>
        <v>0</v>
      </c>
      <c r="H309" s="2">
        <f t="shared" si="14"/>
        <v>0</v>
      </c>
    </row>
    <row r="310" spans="2:8">
      <c r="B310" t="s">
        <v>405</v>
      </c>
      <c r="C310" t="s">
        <v>1119</v>
      </c>
      <c r="D310" s="7" t="str">
        <f t="shared" si="15"/>
        <v>15-12</v>
      </c>
      <c r="E310" s="1">
        <f>_xlfn.IFNA(VLOOKUP('Comp X - Kilter'!B310,'Kilter Holds'!$P$36:$AB$370,7,0),0)</f>
        <v>7</v>
      </c>
      <c r="G310" s="2">
        <f t="shared" si="13"/>
        <v>0</v>
      </c>
      <c r="H310" s="2">
        <f t="shared" si="14"/>
        <v>0</v>
      </c>
    </row>
    <row r="311" spans="2:8">
      <c r="B311" t="s">
        <v>405</v>
      </c>
      <c r="C311" t="s">
        <v>1119</v>
      </c>
      <c r="D311" s="8" t="str">
        <f t="shared" si="15"/>
        <v>16-16</v>
      </c>
      <c r="E311" s="1">
        <f>_xlfn.IFNA(VLOOKUP('Comp X - Kilter'!B311,'Kilter Holds'!$P$36:$AB$370,8,0),0)</f>
        <v>4</v>
      </c>
      <c r="G311" s="2">
        <f t="shared" si="13"/>
        <v>0</v>
      </c>
      <c r="H311" s="2">
        <f t="shared" si="14"/>
        <v>0</v>
      </c>
    </row>
    <row r="312" spans="2:8">
      <c r="B312" t="s">
        <v>405</v>
      </c>
      <c r="C312" t="s">
        <v>1119</v>
      </c>
      <c r="D312" s="9" t="str">
        <f t="shared" si="15"/>
        <v>13-01</v>
      </c>
      <c r="E312" s="1">
        <f>_xlfn.IFNA(VLOOKUP('Comp X - Kilter'!B312,'Kilter Holds'!$P$36:$AB$370,9,0),0)</f>
        <v>5</v>
      </c>
      <c r="G312" s="2">
        <f t="shared" si="13"/>
        <v>0</v>
      </c>
      <c r="H312" s="2">
        <f t="shared" si="14"/>
        <v>0</v>
      </c>
    </row>
    <row r="313" spans="2:8">
      <c r="B313" t="s">
        <v>405</v>
      </c>
      <c r="C313" t="s">
        <v>1119</v>
      </c>
      <c r="D313" s="10" t="str">
        <f t="shared" si="15"/>
        <v>07-13</v>
      </c>
      <c r="E313" s="1">
        <f>_xlfn.IFNA(VLOOKUP('Comp X - Kilter'!B313,'Kilter Holds'!$P$36:$AB$370,10,0),0)</f>
        <v>5</v>
      </c>
      <c r="G313" s="2">
        <f t="shared" si="13"/>
        <v>0</v>
      </c>
      <c r="H313" s="2">
        <f t="shared" si="14"/>
        <v>0</v>
      </c>
    </row>
    <row r="314" spans="2:8">
      <c r="B314" t="s">
        <v>405</v>
      </c>
      <c r="C314" t="s">
        <v>1119</v>
      </c>
      <c r="D314" s="11" t="str">
        <f t="shared" si="15"/>
        <v>11-25</v>
      </c>
      <c r="E314" s="1">
        <f>_xlfn.IFNA(VLOOKUP('Comp X - Kilter'!B314,'Kilter Holds'!$P$36:$AB$370,11,0),0)</f>
        <v>5</v>
      </c>
      <c r="G314" s="2">
        <f t="shared" si="13"/>
        <v>0</v>
      </c>
      <c r="H314" s="2">
        <f t="shared" si="14"/>
        <v>0</v>
      </c>
    </row>
    <row r="315" spans="2:8">
      <c r="B315" t="s">
        <v>405</v>
      </c>
      <c r="C315" t="s">
        <v>1119</v>
      </c>
      <c r="D315" s="13" t="str">
        <f t="shared" si="15"/>
        <v>18-01</v>
      </c>
      <c r="E315" s="1">
        <f>_xlfn.IFNA(VLOOKUP('Comp X - Kilter'!B315,'Kilter Holds'!$P$36:$AB$370,12,0),0)</f>
        <v>10</v>
      </c>
      <c r="G315" s="2">
        <f t="shared" si="13"/>
        <v>0</v>
      </c>
      <c r="H315" s="2">
        <f t="shared" si="14"/>
        <v>0</v>
      </c>
    </row>
    <row r="316" spans="2:8">
      <c r="B316" t="s">
        <v>405</v>
      </c>
      <c r="C316" t="s">
        <v>1119</v>
      </c>
      <c r="D316" s="12" t="str">
        <f t="shared" si="15"/>
        <v>12-01</v>
      </c>
      <c r="E316" s="1">
        <f>_xlfn.IFNA(VLOOKUP('Comp X - Kilter'!B316,'Kilter Holds'!$P$36:$AB$370,13,0),0)</f>
        <v>0</v>
      </c>
      <c r="G316" s="2">
        <f t="shared" si="13"/>
        <v>0</v>
      </c>
      <c r="H316" s="2">
        <f t="shared" si="14"/>
        <v>0</v>
      </c>
    </row>
    <row r="317" spans="2:8">
      <c r="B317" t="s">
        <v>406</v>
      </c>
      <c r="C317" t="s">
        <v>1120</v>
      </c>
      <c r="D317" s="5" t="str">
        <f t="shared" si="15"/>
        <v>11-12</v>
      </c>
      <c r="E317" s="1">
        <f>_xlfn.IFNA(VLOOKUP('Comp X - Kilter'!B317,'Kilter Holds'!$P$36:$AB$370,5,0),0)</f>
        <v>7</v>
      </c>
      <c r="G317" s="2">
        <f t="shared" si="13"/>
        <v>0</v>
      </c>
      <c r="H317" s="2">
        <f t="shared" si="14"/>
        <v>0</v>
      </c>
    </row>
    <row r="318" spans="2:8">
      <c r="B318" t="s">
        <v>406</v>
      </c>
      <c r="C318" t="s">
        <v>1120</v>
      </c>
      <c r="D318" s="6" t="str">
        <f t="shared" si="15"/>
        <v>14-01</v>
      </c>
      <c r="E318" s="1">
        <f>_xlfn.IFNA(VLOOKUP('Comp X - Kilter'!B318,'Kilter Holds'!$P$36:$AB$370,6,0),0)</f>
        <v>0</v>
      </c>
      <c r="G318" s="2">
        <f t="shared" si="13"/>
        <v>0</v>
      </c>
      <c r="H318" s="2">
        <f t="shared" si="14"/>
        <v>0</v>
      </c>
    </row>
    <row r="319" spans="2:8">
      <c r="B319" t="s">
        <v>406</v>
      </c>
      <c r="C319" t="s">
        <v>1120</v>
      </c>
      <c r="D319" s="7" t="str">
        <f t="shared" si="15"/>
        <v>15-12</v>
      </c>
      <c r="E319" s="1">
        <f>_xlfn.IFNA(VLOOKUP('Comp X - Kilter'!B319,'Kilter Holds'!$P$36:$AB$370,7,0),0)</f>
        <v>6</v>
      </c>
      <c r="G319" s="2">
        <f t="shared" si="13"/>
        <v>0</v>
      </c>
      <c r="H319" s="2">
        <f t="shared" si="14"/>
        <v>0</v>
      </c>
    </row>
    <row r="320" spans="2:8">
      <c r="B320" t="s">
        <v>406</v>
      </c>
      <c r="C320" t="s">
        <v>1120</v>
      </c>
      <c r="D320" s="8" t="str">
        <f t="shared" si="15"/>
        <v>16-16</v>
      </c>
      <c r="E320" s="1">
        <f>_xlfn.IFNA(VLOOKUP('Comp X - Kilter'!B320,'Kilter Holds'!$P$36:$AB$370,8,0),0)</f>
        <v>9</v>
      </c>
      <c r="G320" s="2">
        <f t="shared" si="13"/>
        <v>0</v>
      </c>
      <c r="H320" s="2">
        <f t="shared" si="14"/>
        <v>0</v>
      </c>
    </row>
    <row r="321" spans="2:8">
      <c r="B321" t="s">
        <v>406</v>
      </c>
      <c r="C321" t="s">
        <v>1120</v>
      </c>
      <c r="D321" s="9" t="str">
        <f t="shared" si="15"/>
        <v>13-01</v>
      </c>
      <c r="E321" s="1">
        <f>_xlfn.IFNA(VLOOKUP('Comp X - Kilter'!B321,'Kilter Holds'!$P$36:$AB$370,9,0),0)</f>
        <v>4</v>
      </c>
      <c r="G321" s="2">
        <f t="shared" si="13"/>
        <v>0</v>
      </c>
      <c r="H321" s="2">
        <f t="shared" si="14"/>
        <v>0</v>
      </c>
    </row>
    <row r="322" spans="2:8">
      <c r="B322" t="s">
        <v>406</v>
      </c>
      <c r="C322" t="s">
        <v>1120</v>
      </c>
      <c r="D322" s="10" t="str">
        <f t="shared" si="15"/>
        <v>07-13</v>
      </c>
      <c r="E322" s="1">
        <f>_xlfn.IFNA(VLOOKUP('Comp X - Kilter'!B322,'Kilter Holds'!$P$36:$AB$370,10,0),0)</f>
        <v>5</v>
      </c>
      <c r="G322" s="2">
        <f t="shared" si="13"/>
        <v>0</v>
      </c>
      <c r="H322" s="2">
        <f t="shared" si="14"/>
        <v>0</v>
      </c>
    </row>
    <row r="323" spans="2:8">
      <c r="B323" t="s">
        <v>406</v>
      </c>
      <c r="C323" t="s">
        <v>1120</v>
      </c>
      <c r="D323" s="11" t="str">
        <f t="shared" si="15"/>
        <v>11-25</v>
      </c>
      <c r="E323" s="1">
        <f>_xlfn.IFNA(VLOOKUP('Comp X - Kilter'!B323,'Kilter Holds'!$P$36:$AB$370,11,0),0)</f>
        <v>4</v>
      </c>
      <c r="G323" s="2">
        <f t="shared" ref="G323:G386" si="16">E323*F323</f>
        <v>0</v>
      </c>
      <c r="H323" s="2">
        <f t="shared" ref="H323:H386" si="17">IF($S$11="Y",G323*0.15,0)</f>
        <v>0</v>
      </c>
    </row>
    <row r="324" spans="2:8">
      <c r="B324" t="s">
        <v>406</v>
      </c>
      <c r="C324" t="s">
        <v>1120</v>
      </c>
      <c r="D324" s="13" t="str">
        <f t="shared" si="15"/>
        <v>18-01</v>
      </c>
      <c r="E324" s="1">
        <f>_xlfn.IFNA(VLOOKUP('Comp X - Kilter'!B324,'Kilter Holds'!$P$36:$AB$370,12,0),0)</f>
        <v>6</v>
      </c>
      <c r="G324" s="2">
        <f t="shared" si="16"/>
        <v>0</v>
      </c>
      <c r="H324" s="2">
        <f t="shared" si="17"/>
        <v>0</v>
      </c>
    </row>
    <row r="325" spans="2:8">
      <c r="B325" t="s">
        <v>406</v>
      </c>
      <c r="C325" t="s">
        <v>1120</v>
      </c>
      <c r="D325" s="12" t="str">
        <f t="shared" si="15"/>
        <v>12-01</v>
      </c>
      <c r="E325" s="1">
        <f>_xlfn.IFNA(VLOOKUP('Comp X - Kilter'!B325,'Kilter Holds'!$P$36:$AB$370,13,0),0)</f>
        <v>0</v>
      </c>
      <c r="G325" s="2">
        <f t="shared" si="16"/>
        <v>0</v>
      </c>
      <c r="H325" s="2">
        <f t="shared" si="17"/>
        <v>0</v>
      </c>
    </row>
    <row r="326" spans="2:8">
      <c r="B326" t="s">
        <v>407</v>
      </c>
      <c r="C326" t="s">
        <v>1121</v>
      </c>
      <c r="D326" s="5" t="str">
        <f t="shared" si="15"/>
        <v>11-12</v>
      </c>
      <c r="E326" s="1">
        <f>_xlfn.IFNA(VLOOKUP('Comp X - Kilter'!B326,'Kilter Holds'!$P$36:$AB$370,5,0),0)</f>
        <v>2</v>
      </c>
      <c r="G326" s="2">
        <f t="shared" si="16"/>
        <v>0</v>
      </c>
      <c r="H326" s="2">
        <f t="shared" si="17"/>
        <v>0</v>
      </c>
    </row>
    <row r="327" spans="2:8">
      <c r="B327" t="s">
        <v>407</v>
      </c>
      <c r="C327" t="s">
        <v>1121</v>
      </c>
      <c r="D327" s="6" t="str">
        <f t="shared" si="15"/>
        <v>14-01</v>
      </c>
      <c r="E327" s="1">
        <f>_xlfn.IFNA(VLOOKUP('Comp X - Kilter'!B327,'Kilter Holds'!$P$36:$AB$370,6,0),0)</f>
        <v>0</v>
      </c>
      <c r="G327" s="2">
        <f t="shared" si="16"/>
        <v>0</v>
      </c>
      <c r="H327" s="2">
        <f t="shared" si="17"/>
        <v>0</v>
      </c>
    </row>
    <row r="328" spans="2:8">
      <c r="B328" t="s">
        <v>407</v>
      </c>
      <c r="C328" t="s">
        <v>1121</v>
      </c>
      <c r="D328" s="7" t="str">
        <f t="shared" si="15"/>
        <v>15-12</v>
      </c>
      <c r="E328" s="1">
        <f>_xlfn.IFNA(VLOOKUP('Comp X - Kilter'!B328,'Kilter Holds'!$P$36:$AB$370,7,0),0)</f>
        <v>8</v>
      </c>
      <c r="G328" s="2">
        <f t="shared" si="16"/>
        <v>0</v>
      </c>
      <c r="H328" s="2">
        <f t="shared" si="17"/>
        <v>0</v>
      </c>
    </row>
    <row r="329" spans="2:8">
      <c r="B329" t="s">
        <v>407</v>
      </c>
      <c r="C329" t="s">
        <v>1121</v>
      </c>
      <c r="D329" s="8" t="str">
        <f t="shared" si="15"/>
        <v>16-16</v>
      </c>
      <c r="E329" s="1">
        <f>_xlfn.IFNA(VLOOKUP('Comp X - Kilter'!B329,'Kilter Holds'!$P$36:$AB$370,8,0),0)</f>
        <v>3</v>
      </c>
      <c r="G329" s="2">
        <f t="shared" si="16"/>
        <v>0</v>
      </c>
      <c r="H329" s="2">
        <f t="shared" si="17"/>
        <v>0</v>
      </c>
    </row>
    <row r="330" spans="2:8">
      <c r="B330" t="s">
        <v>407</v>
      </c>
      <c r="C330" t="s">
        <v>1121</v>
      </c>
      <c r="D330" s="9" t="str">
        <f t="shared" si="15"/>
        <v>13-01</v>
      </c>
      <c r="E330" s="1">
        <f>_xlfn.IFNA(VLOOKUP('Comp X - Kilter'!B330,'Kilter Holds'!$P$36:$AB$370,9,0),0)</f>
        <v>4</v>
      </c>
      <c r="G330" s="2">
        <f t="shared" si="16"/>
        <v>0</v>
      </c>
      <c r="H330" s="2">
        <f t="shared" si="17"/>
        <v>0</v>
      </c>
    </row>
    <row r="331" spans="2:8">
      <c r="B331" t="s">
        <v>407</v>
      </c>
      <c r="C331" t="s">
        <v>1121</v>
      </c>
      <c r="D331" s="10" t="str">
        <f t="shared" si="15"/>
        <v>07-13</v>
      </c>
      <c r="E331" s="1">
        <f>_xlfn.IFNA(VLOOKUP('Comp X - Kilter'!B331,'Kilter Holds'!$P$36:$AB$370,10,0),0)</f>
        <v>5</v>
      </c>
      <c r="G331" s="2">
        <f t="shared" si="16"/>
        <v>0</v>
      </c>
      <c r="H331" s="2">
        <f t="shared" si="17"/>
        <v>0</v>
      </c>
    </row>
    <row r="332" spans="2:8">
      <c r="B332" t="s">
        <v>407</v>
      </c>
      <c r="C332" t="s">
        <v>1121</v>
      </c>
      <c r="D332" s="11" t="str">
        <f t="shared" si="15"/>
        <v>11-25</v>
      </c>
      <c r="E332" s="1">
        <f>_xlfn.IFNA(VLOOKUP('Comp X - Kilter'!B332,'Kilter Holds'!$P$36:$AB$370,11,0),0)</f>
        <v>4</v>
      </c>
      <c r="G332" s="2">
        <f t="shared" si="16"/>
        <v>0</v>
      </c>
      <c r="H332" s="2">
        <f t="shared" si="17"/>
        <v>0</v>
      </c>
    </row>
    <row r="333" spans="2:8">
      <c r="B333" t="s">
        <v>407</v>
      </c>
      <c r="C333" t="s">
        <v>1121</v>
      </c>
      <c r="D333" s="13" t="str">
        <f t="shared" si="15"/>
        <v>18-01</v>
      </c>
      <c r="E333" s="1">
        <f>_xlfn.IFNA(VLOOKUP('Comp X - Kilter'!B333,'Kilter Holds'!$P$36:$AB$370,12,0),0)</f>
        <v>10</v>
      </c>
      <c r="G333" s="2">
        <f t="shared" si="16"/>
        <v>0</v>
      </c>
      <c r="H333" s="2">
        <f t="shared" si="17"/>
        <v>0</v>
      </c>
    </row>
    <row r="334" spans="2:8">
      <c r="B334" t="s">
        <v>407</v>
      </c>
      <c r="C334" t="s">
        <v>1121</v>
      </c>
      <c r="D334" s="12" t="str">
        <f t="shared" si="15"/>
        <v>12-01</v>
      </c>
      <c r="E334" s="1">
        <f>_xlfn.IFNA(VLOOKUP('Comp X - Kilter'!B334,'Kilter Holds'!$P$36:$AB$370,13,0),0)</f>
        <v>0</v>
      </c>
      <c r="G334" s="2">
        <f t="shared" si="16"/>
        <v>0</v>
      </c>
      <c r="H334" s="2">
        <f t="shared" si="17"/>
        <v>0</v>
      </c>
    </row>
    <row r="335" spans="2:8">
      <c r="B335" t="s">
        <v>413</v>
      </c>
      <c r="C335" t="s">
        <v>1122</v>
      </c>
      <c r="D335" s="5" t="str">
        <f t="shared" si="15"/>
        <v>11-12</v>
      </c>
      <c r="E335" s="1">
        <f>_xlfn.IFNA(VLOOKUP('Comp X - Kilter'!B335,'Kilter Holds'!$P$36:$AB$370,5,0),0)</f>
        <v>3</v>
      </c>
      <c r="G335" s="2">
        <f t="shared" si="16"/>
        <v>0</v>
      </c>
      <c r="H335" s="2">
        <f t="shared" si="17"/>
        <v>0</v>
      </c>
    </row>
    <row r="336" spans="2:8">
      <c r="B336" t="s">
        <v>413</v>
      </c>
      <c r="C336" t="s">
        <v>1122</v>
      </c>
      <c r="D336" s="6" t="str">
        <f t="shared" si="15"/>
        <v>14-01</v>
      </c>
      <c r="E336" s="1">
        <f>_xlfn.IFNA(VLOOKUP('Comp X - Kilter'!B336,'Kilter Holds'!$P$36:$AB$370,6,0),0)</f>
        <v>0</v>
      </c>
      <c r="G336" s="2">
        <f t="shared" si="16"/>
        <v>0</v>
      </c>
      <c r="H336" s="2">
        <f t="shared" si="17"/>
        <v>0</v>
      </c>
    </row>
    <row r="337" spans="2:8">
      <c r="B337" t="s">
        <v>413</v>
      </c>
      <c r="C337" t="s">
        <v>1122</v>
      </c>
      <c r="D337" s="7" t="str">
        <f t="shared" si="15"/>
        <v>15-12</v>
      </c>
      <c r="E337" s="1">
        <f>_xlfn.IFNA(VLOOKUP('Comp X - Kilter'!B337,'Kilter Holds'!$P$36:$AB$370,7,0),0)</f>
        <v>6</v>
      </c>
      <c r="G337" s="2">
        <f t="shared" si="16"/>
        <v>0</v>
      </c>
      <c r="H337" s="2">
        <f t="shared" si="17"/>
        <v>0</v>
      </c>
    </row>
    <row r="338" spans="2:8">
      <c r="B338" t="s">
        <v>413</v>
      </c>
      <c r="C338" t="s">
        <v>1122</v>
      </c>
      <c r="D338" s="8" t="str">
        <f t="shared" si="15"/>
        <v>16-16</v>
      </c>
      <c r="E338" s="1">
        <f>_xlfn.IFNA(VLOOKUP('Comp X - Kilter'!B338,'Kilter Holds'!$P$36:$AB$370,8,0),0)</f>
        <v>2</v>
      </c>
      <c r="G338" s="2">
        <f t="shared" si="16"/>
        <v>0</v>
      </c>
      <c r="H338" s="2">
        <f t="shared" si="17"/>
        <v>0</v>
      </c>
    </row>
    <row r="339" spans="2:8">
      <c r="B339" t="s">
        <v>413</v>
      </c>
      <c r="C339" t="s">
        <v>1122</v>
      </c>
      <c r="D339" s="9" t="str">
        <f t="shared" si="15"/>
        <v>13-01</v>
      </c>
      <c r="E339" s="1">
        <f>_xlfn.IFNA(VLOOKUP('Comp X - Kilter'!B339,'Kilter Holds'!$P$36:$AB$370,9,0),0)</f>
        <v>3</v>
      </c>
      <c r="G339" s="2">
        <f t="shared" si="16"/>
        <v>0</v>
      </c>
      <c r="H339" s="2">
        <f t="shared" si="17"/>
        <v>0</v>
      </c>
    </row>
    <row r="340" spans="2:8">
      <c r="B340" t="s">
        <v>413</v>
      </c>
      <c r="C340" t="s">
        <v>1122</v>
      </c>
      <c r="D340" s="10" t="str">
        <f t="shared" ref="D340:D403" si="18">D331</f>
        <v>07-13</v>
      </c>
      <c r="E340" s="1">
        <f>_xlfn.IFNA(VLOOKUP('Comp X - Kilter'!B340,'Kilter Holds'!$P$36:$AB$370,10,0),0)</f>
        <v>7</v>
      </c>
      <c r="G340" s="2">
        <f t="shared" si="16"/>
        <v>0</v>
      </c>
      <c r="H340" s="2">
        <f t="shared" si="17"/>
        <v>0</v>
      </c>
    </row>
    <row r="341" spans="2:8">
      <c r="B341" t="s">
        <v>413</v>
      </c>
      <c r="C341" t="s">
        <v>1122</v>
      </c>
      <c r="D341" s="11" t="str">
        <f t="shared" si="18"/>
        <v>11-25</v>
      </c>
      <c r="E341" s="1">
        <f>_xlfn.IFNA(VLOOKUP('Comp X - Kilter'!B341,'Kilter Holds'!$P$36:$AB$370,11,0),0)</f>
        <v>4</v>
      </c>
      <c r="G341" s="2">
        <f t="shared" si="16"/>
        <v>0</v>
      </c>
      <c r="H341" s="2">
        <f t="shared" si="17"/>
        <v>0</v>
      </c>
    </row>
    <row r="342" spans="2:8">
      <c r="B342" t="s">
        <v>413</v>
      </c>
      <c r="C342" t="s">
        <v>1122</v>
      </c>
      <c r="D342" s="13" t="str">
        <f t="shared" si="18"/>
        <v>18-01</v>
      </c>
      <c r="E342" s="1">
        <f>_xlfn.IFNA(VLOOKUP('Comp X - Kilter'!B342,'Kilter Holds'!$P$36:$AB$370,12,0),0)</f>
        <v>10</v>
      </c>
      <c r="G342" s="2">
        <f t="shared" si="16"/>
        <v>0</v>
      </c>
      <c r="H342" s="2">
        <f t="shared" si="17"/>
        <v>0</v>
      </c>
    </row>
    <row r="343" spans="2:8">
      <c r="B343" t="s">
        <v>413</v>
      </c>
      <c r="C343" t="s">
        <v>1122</v>
      </c>
      <c r="D343" s="12" t="str">
        <f t="shared" si="18"/>
        <v>12-01</v>
      </c>
      <c r="E343" s="1">
        <f>_xlfn.IFNA(VLOOKUP('Comp X - Kilter'!B343,'Kilter Holds'!$P$36:$AB$370,13,0),0)</f>
        <v>0</v>
      </c>
      <c r="G343" s="2">
        <f t="shared" si="16"/>
        <v>0</v>
      </c>
      <c r="H343" s="2">
        <f t="shared" si="17"/>
        <v>0</v>
      </c>
    </row>
    <row r="344" spans="2:8">
      <c r="B344" t="s">
        <v>414</v>
      </c>
      <c r="C344" t="s">
        <v>1123</v>
      </c>
      <c r="D344" s="5" t="str">
        <f t="shared" si="18"/>
        <v>11-12</v>
      </c>
      <c r="E344" s="1">
        <f>_xlfn.IFNA(VLOOKUP('Comp X - Kilter'!B344,'Kilter Holds'!$P$36:$AB$370,5,0),0)</f>
        <v>5</v>
      </c>
      <c r="G344" s="2">
        <f t="shared" si="16"/>
        <v>0</v>
      </c>
      <c r="H344" s="2">
        <f t="shared" si="17"/>
        <v>0</v>
      </c>
    </row>
    <row r="345" spans="2:8">
      <c r="B345" t="s">
        <v>414</v>
      </c>
      <c r="C345" t="s">
        <v>1123</v>
      </c>
      <c r="D345" s="6" t="str">
        <f t="shared" si="18"/>
        <v>14-01</v>
      </c>
      <c r="E345" s="1">
        <f>_xlfn.IFNA(VLOOKUP('Comp X - Kilter'!B345,'Kilter Holds'!$P$36:$AB$370,6,0),0)</f>
        <v>0</v>
      </c>
      <c r="G345" s="2">
        <f t="shared" si="16"/>
        <v>0</v>
      </c>
      <c r="H345" s="2">
        <f t="shared" si="17"/>
        <v>0</v>
      </c>
    </row>
    <row r="346" spans="2:8">
      <c r="B346" t="s">
        <v>414</v>
      </c>
      <c r="C346" t="s">
        <v>1123</v>
      </c>
      <c r="D346" s="7" t="str">
        <f t="shared" si="18"/>
        <v>15-12</v>
      </c>
      <c r="E346" s="1">
        <f>_xlfn.IFNA(VLOOKUP('Comp X - Kilter'!B346,'Kilter Holds'!$P$36:$AB$370,7,0),0)</f>
        <v>10</v>
      </c>
      <c r="G346" s="2">
        <f t="shared" si="16"/>
        <v>0</v>
      </c>
      <c r="H346" s="2">
        <f t="shared" si="17"/>
        <v>0</v>
      </c>
    </row>
    <row r="347" spans="2:8">
      <c r="B347" t="s">
        <v>414</v>
      </c>
      <c r="C347" t="s">
        <v>1123</v>
      </c>
      <c r="D347" s="8" t="str">
        <f t="shared" si="18"/>
        <v>16-16</v>
      </c>
      <c r="E347" s="1">
        <f>_xlfn.IFNA(VLOOKUP('Comp X - Kilter'!B347,'Kilter Holds'!$P$36:$AB$370,8,0),0)</f>
        <v>8</v>
      </c>
      <c r="G347" s="2">
        <f t="shared" si="16"/>
        <v>0</v>
      </c>
      <c r="H347" s="2">
        <f t="shared" si="17"/>
        <v>0</v>
      </c>
    </row>
    <row r="348" spans="2:8">
      <c r="B348" t="s">
        <v>414</v>
      </c>
      <c r="C348" t="s">
        <v>1123</v>
      </c>
      <c r="D348" s="9" t="str">
        <f t="shared" si="18"/>
        <v>13-01</v>
      </c>
      <c r="E348" s="1">
        <f>_xlfn.IFNA(VLOOKUP('Comp X - Kilter'!B348,'Kilter Holds'!$P$36:$AB$370,9,0),0)</f>
        <v>8</v>
      </c>
      <c r="G348" s="2">
        <f t="shared" si="16"/>
        <v>0</v>
      </c>
      <c r="H348" s="2">
        <f t="shared" si="17"/>
        <v>0</v>
      </c>
    </row>
    <row r="349" spans="2:8">
      <c r="B349" t="s">
        <v>414</v>
      </c>
      <c r="C349" t="s">
        <v>1123</v>
      </c>
      <c r="D349" s="10" t="str">
        <f t="shared" si="18"/>
        <v>07-13</v>
      </c>
      <c r="E349" s="1">
        <f>_xlfn.IFNA(VLOOKUP('Comp X - Kilter'!B349,'Kilter Holds'!$P$36:$AB$370,10,0),0)</f>
        <v>7</v>
      </c>
      <c r="G349" s="2">
        <f t="shared" si="16"/>
        <v>0</v>
      </c>
      <c r="H349" s="2">
        <f t="shared" si="17"/>
        <v>0</v>
      </c>
    </row>
    <row r="350" spans="2:8">
      <c r="B350" t="s">
        <v>414</v>
      </c>
      <c r="C350" t="s">
        <v>1123</v>
      </c>
      <c r="D350" s="11" t="str">
        <f t="shared" si="18"/>
        <v>11-25</v>
      </c>
      <c r="E350" s="1">
        <f>_xlfn.IFNA(VLOOKUP('Comp X - Kilter'!B350,'Kilter Holds'!$P$36:$AB$370,11,0),0)</f>
        <v>5</v>
      </c>
      <c r="G350" s="2">
        <f t="shared" si="16"/>
        <v>0</v>
      </c>
      <c r="H350" s="2">
        <f t="shared" si="17"/>
        <v>0</v>
      </c>
    </row>
    <row r="351" spans="2:8">
      <c r="B351" t="s">
        <v>414</v>
      </c>
      <c r="C351" t="s">
        <v>1123</v>
      </c>
      <c r="D351" s="13" t="str">
        <f t="shared" si="18"/>
        <v>18-01</v>
      </c>
      <c r="E351" s="1">
        <f>_xlfn.IFNA(VLOOKUP('Comp X - Kilter'!B351,'Kilter Holds'!$P$36:$AB$370,12,0),0)</f>
        <v>10</v>
      </c>
      <c r="G351" s="2">
        <f t="shared" si="16"/>
        <v>0</v>
      </c>
      <c r="H351" s="2">
        <f t="shared" si="17"/>
        <v>0</v>
      </c>
    </row>
    <row r="352" spans="2:8">
      <c r="B352" t="s">
        <v>414</v>
      </c>
      <c r="C352" t="s">
        <v>1123</v>
      </c>
      <c r="D352" s="12" t="str">
        <f t="shared" si="18"/>
        <v>12-01</v>
      </c>
      <c r="E352" s="1">
        <f>_xlfn.IFNA(VLOOKUP('Comp X - Kilter'!B352,'Kilter Holds'!$P$36:$AB$370,13,0),0)</f>
        <v>0</v>
      </c>
      <c r="G352" s="2">
        <f t="shared" si="16"/>
        <v>0</v>
      </c>
      <c r="H352" s="2">
        <f t="shared" si="17"/>
        <v>0</v>
      </c>
    </row>
    <row r="353" spans="2:8">
      <c r="B353" t="s">
        <v>408</v>
      </c>
      <c r="C353" t="s">
        <v>1124</v>
      </c>
      <c r="D353" s="5" t="str">
        <f t="shared" si="18"/>
        <v>11-12</v>
      </c>
      <c r="E353" s="1">
        <f>_xlfn.IFNA(VLOOKUP('Comp X - Kilter'!B353,'Kilter Holds'!$P$36:$AB$370,5,0),0)</f>
        <v>6</v>
      </c>
      <c r="G353" s="2">
        <f t="shared" si="16"/>
        <v>0</v>
      </c>
      <c r="H353" s="2">
        <f t="shared" si="17"/>
        <v>0</v>
      </c>
    </row>
    <row r="354" spans="2:8">
      <c r="B354" t="s">
        <v>408</v>
      </c>
      <c r="C354" t="s">
        <v>1124</v>
      </c>
      <c r="D354" s="6" t="str">
        <f t="shared" si="18"/>
        <v>14-01</v>
      </c>
      <c r="E354" s="1">
        <f>_xlfn.IFNA(VLOOKUP('Comp X - Kilter'!B354,'Kilter Holds'!$P$36:$AB$370,6,0),0)</f>
        <v>0</v>
      </c>
      <c r="G354" s="2">
        <f t="shared" si="16"/>
        <v>0</v>
      </c>
      <c r="H354" s="2">
        <f t="shared" si="17"/>
        <v>0</v>
      </c>
    </row>
    <row r="355" spans="2:8">
      <c r="B355" t="s">
        <v>408</v>
      </c>
      <c r="C355" t="s">
        <v>1124</v>
      </c>
      <c r="D355" s="7" t="str">
        <f t="shared" si="18"/>
        <v>15-12</v>
      </c>
      <c r="E355" s="1">
        <f>_xlfn.IFNA(VLOOKUP('Comp X - Kilter'!B355,'Kilter Holds'!$P$36:$AB$370,7,0),0)</f>
        <v>4</v>
      </c>
      <c r="G355" s="2">
        <f t="shared" si="16"/>
        <v>0</v>
      </c>
      <c r="H355" s="2">
        <f t="shared" si="17"/>
        <v>0</v>
      </c>
    </row>
    <row r="356" spans="2:8">
      <c r="B356" t="s">
        <v>408</v>
      </c>
      <c r="C356" t="s">
        <v>1124</v>
      </c>
      <c r="D356" s="8" t="str">
        <f t="shared" si="18"/>
        <v>16-16</v>
      </c>
      <c r="E356" s="1">
        <f>_xlfn.IFNA(VLOOKUP('Comp X - Kilter'!B356,'Kilter Holds'!$P$36:$AB$370,8,0),0)</f>
        <v>5</v>
      </c>
      <c r="G356" s="2">
        <f t="shared" si="16"/>
        <v>0</v>
      </c>
      <c r="H356" s="2">
        <f t="shared" si="17"/>
        <v>0</v>
      </c>
    </row>
    <row r="357" spans="2:8">
      <c r="B357" t="s">
        <v>408</v>
      </c>
      <c r="C357" t="s">
        <v>1124</v>
      </c>
      <c r="D357" s="9" t="str">
        <f t="shared" si="18"/>
        <v>13-01</v>
      </c>
      <c r="E357" s="1">
        <f>_xlfn.IFNA(VLOOKUP('Comp X - Kilter'!B357,'Kilter Holds'!$P$36:$AB$370,9,0),0)</f>
        <v>9</v>
      </c>
      <c r="G357" s="2">
        <f t="shared" si="16"/>
        <v>0</v>
      </c>
      <c r="H357" s="2">
        <f t="shared" si="17"/>
        <v>0</v>
      </c>
    </row>
    <row r="358" spans="2:8">
      <c r="B358" t="s">
        <v>408</v>
      </c>
      <c r="C358" t="s">
        <v>1124</v>
      </c>
      <c r="D358" s="10" t="str">
        <f t="shared" si="18"/>
        <v>07-13</v>
      </c>
      <c r="E358" s="1">
        <f>_xlfn.IFNA(VLOOKUP('Comp X - Kilter'!B358,'Kilter Holds'!$P$36:$AB$370,10,0),0)</f>
        <v>4</v>
      </c>
      <c r="G358" s="2">
        <f t="shared" si="16"/>
        <v>0</v>
      </c>
      <c r="H358" s="2">
        <f t="shared" si="17"/>
        <v>0</v>
      </c>
    </row>
    <row r="359" spans="2:8">
      <c r="B359" t="s">
        <v>408</v>
      </c>
      <c r="C359" t="s">
        <v>1124</v>
      </c>
      <c r="D359" s="11" t="str">
        <f t="shared" si="18"/>
        <v>11-25</v>
      </c>
      <c r="E359" s="1">
        <f>_xlfn.IFNA(VLOOKUP('Comp X - Kilter'!B359,'Kilter Holds'!$P$36:$AB$370,11,0),0)</f>
        <v>4</v>
      </c>
      <c r="G359" s="2">
        <f t="shared" si="16"/>
        <v>0</v>
      </c>
      <c r="H359" s="2">
        <f t="shared" si="17"/>
        <v>0</v>
      </c>
    </row>
    <row r="360" spans="2:8">
      <c r="B360" t="s">
        <v>408</v>
      </c>
      <c r="C360" t="s">
        <v>1124</v>
      </c>
      <c r="D360" s="13" t="str">
        <f t="shared" si="18"/>
        <v>18-01</v>
      </c>
      <c r="E360" s="1">
        <f>_xlfn.IFNA(VLOOKUP('Comp X - Kilter'!B360,'Kilter Holds'!$P$36:$AB$370,12,0),0)</f>
        <v>5</v>
      </c>
      <c r="G360" s="2">
        <f t="shared" si="16"/>
        <v>0</v>
      </c>
      <c r="H360" s="2">
        <f t="shared" si="17"/>
        <v>0</v>
      </c>
    </row>
    <row r="361" spans="2:8">
      <c r="B361" t="s">
        <v>408</v>
      </c>
      <c r="C361" t="s">
        <v>1124</v>
      </c>
      <c r="D361" s="12" t="str">
        <f t="shared" si="18"/>
        <v>12-01</v>
      </c>
      <c r="E361" s="1">
        <f>_xlfn.IFNA(VLOOKUP('Comp X - Kilter'!B361,'Kilter Holds'!$P$36:$AB$370,13,0),0)</f>
        <v>0</v>
      </c>
      <c r="G361" s="2">
        <f t="shared" si="16"/>
        <v>0</v>
      </c>
      <c r="H361" s="2">
        <f t="shared" si="17"/>
        <v>0</v>
      </c>
    </row>
    <row r="362" spans="2:8">
      <c r="B362" t="s">
        <v>409</v>
      </c>
      <c r="C362" t="s">
        <v>1125</v>
      </c>
      <c r="D362" s="5" t="str">
        <f t="shared" si="18"/>
        <v>11-12</v>
      </c>
      <c r="E362" s="1">
        <f>_xlfn.IFNA(VLOOKUP('Comp X - Kilter'!B362,'Kilter Holds'!$P$36:$AB$370,5,0),0)</f>
        <v>8</v>
      </c>
      <c r="G362" s="2">
        <f t="shared" si="16"/>
        <v>0</v>
      </c>
      <c r="H362" s="2">
        <f t="shared" si="17"/>
        <v>0</v>
      </c>
    </row>
    <row r="363" spans="2:8">
      <c r="B363" t="s">
        <v>409</v>
      </c>
      <c r="C363" t="s">
        <v>1125</v>
      </c>
      <c r="D363" s="6" t="str">
        <f t="shared" si="18"/>
        <v>14-01</v>
      </c>
      <c r="E363" s="1">
        <f>_xlfn.IFNA(VLOOKUP('Comp X - Kilter'!B363,'Kilter Holds'!$P$36:$AB$370,6,0),0)</f>
        <v>0</v>
      </c>
      <c r="G363" s="2">
        <f t="shared" si="16"/>
        <v>0</v>
      </c>
      <c r="H363" s="2">
        <f t="shared" si="17"/>
        <v>0</v>
      </c>
    </row>
    <row r="364" spans="2:8">
      <c r="B364" t="s">
        <v>409</v>
      </c>
      <c r="C364" t="s">
        <v>1125</v>
      </c>
      <c r="D364" s="7" t="str">
        <f t="shared" si="18"/>
        <v>15-12</v>
      </c>
      <c r="E364" s="1">
        <f>_xlfn.IFNA(VLOOKUP('Comp X - Kilter'!B364,'Kilter Holds'!$P$36:$AB$370,7,0),0)</f>
        <v>6</v>
      </c>
      <c r="G364" s="2">
        <f t="shared" si="16"/>
        <v>0</v>
      </c>
      <c r="H364" s="2">
        <f t="shared" si="17"/>
        <v>0</v>
      </c>
    </row>
    <row r="365" spans="2:8">
      <c r="B365" t="s">
        <v>409</v>
      </c>
      <c r="C365" t="s">
        <v>1125</v>
      </c>
      <c r="D365" s="8" t="str">
        <f t="shared" si="18"/>
        <v>16-16</v>
      </c>
      <c r="E365" s="1">
        <f>_xlfn.IFNA(VLOOKUP('Comp X - Kilter'!B365,'Kilter Holds'!$P$36:$AB$370,8,0),0)</f>
        <v>6</v>
      </c>
      <c r="G365" s="2">
        <f t="shared" si="16"/>
        <v>0</v>
      </c>
      <c r="H365" s="2">
        <f t="shared" si="17"/>
        <v>0</v>
      </c>
    </row>
    <row r="366" spans="2:8">
      <c r="B366" t="s">
        <v>409</v>
      </c>
      <c r="C366" t="s">
        <v>1125</v>
      </c>
      <c r="D366" s="9" t="str">
        <f t="shared" si="18"/>
        <v>13-01</v>
      </c>
      <c r="E366" s="1">
        <f>_xlfn.IFNA(VLOOKUP('Comp X - Kilter'!B366,'Kilter Holds'!$P$36:$AB$370,9,0),0)</f>
        <v>6</v>
      </c>
      <c r="G366" s="2">
        <f t="shared" si="16"/>
        <v>0</v>
      </c>
      <c r="H366" s="2">
        <f t="shared" si="17"/>
        <v>0</v>
      </c>
    </row>
    <row r="367" spans="2:8">
      <c r="B367" t="s">
        <v>409</v>
      </c>
      <c r="C367" t="s">
        <v>1125</v>
      </c>
      <c r="D367" s="10" t="str">
        <f t="shared" si="18"/>
        <v>07-13</v>
      </c>
      <c r="E367" s="1">
        <f>_xlfn.IFNA(VLOOKUP('Comp X - Kilter'!B367,'Kilter Holds'!$P$36:$AB$370,10,0),0)</f>
        <v>5</v>
      </c>
      <c r="G367" s="2">
        <f t="shared" si="16"/>
        <v>0</v>
      </c>
      <c r="H367" s="2">
        <f t="shared" si="17"/>
        <v>0</v>
      </c>
    </row>
    <row r="368" spans="2:8">
      <c r="B368" t="s">
        <v>409</v>
      </c>
      <c r="C368" t="s">
        <v>1125</v>
      </c>
      <c r="D368" s="11" t="str">
        <f t="shared" si="18"/>
        <v>11-25</v>
      </c>
      <c r="E368" s="1">
        <f>_xlfn.IFNA(VLOOKUP('Comp X - Kilter'!B368,'Kilter Holds'!$P$36:$AB$370,11,0),0)</f>
        <v>4</v>
      </c>
      <c r="G368" s="2">
        <f t="shared" si="16"/>
        <v>0</v>
      </c>
      <c r="H368" s="2">
        <f t="shared" si="17"/>
        <v>0</v>
      </c>
    </row>
    <row r="369" spans="2:8">
      <c r="B369" t="s">
        <v>409</v>
      </c>
      <c r="C369" t="s">
        <v>1125</v>
      </c>
      <c r="D369" s="13" t="str">
        <f t="shared" si="18"/>
        <v>18-01</v>
      </c>
      <c r="E369" s="1">
        <f>_xlfn.IFNA(VLOOKUP('Comp X - Kilter'!B369,'Kilter Holds'!$P$36:$AB$370,12,0),0)</f>
        <v>5</v>
      </c>
      <c r="G369" s="2">
        <f t="shared" si="16"/>
        <v>0</v>
      </c>
      <c r="H369" s="2">
        <f t="shared" si="17"/>
        <v>0</v>
      </c>
    </row>
    <row r="370" spans="2:8">
      <c r="B370" t="s">
        <v>409</v>
      </c>
      <c r="C370" t="s">
        <v>1125</v>
      </c>
      <c r="D370" s="12" t="str">
        <f t="shared" si="18"/>
        <v>12-01</v>
      </c>
      <c r="E370" s="1">
        <f>_xlfn.IFNA(VLOOKUP('Comp X - Kilter'!B370,'Kilter Holds'!$P$36:$AB$370,13,0),0)</f>
        <v>0</v>
      </c>
      <c r="G370" s="2">
        <f t="shared" si="16"/>
        <v>0</v>
      </c>
      <c r="H370" s="2">
        <f t="shared" si="17"/>
        <v>0</v>
      </c>
    </row>
    <row r="371" spans="2:8">
      <c r="B371" t="s">
        <v>426</v>
      </c>
      <c r="C371" t="s">
        <v>1126</v>
      </c>
      <c r="D371" s="5" t="str">
        <f t="shared" si="18"/>
        <v>11-12</v>
      </c>
      <c r="E371" s="1">
        <f>_xlfn.IFNA(VLOOKUP('Comp X - Kilter'!B371,'Kilter Holds'!$P$36:$AB$370,5,0),0)</f>
        <v>1</v>
      </c>
      <c r="G371" s="2">
        <f t="shared" si="16"/>
        <v>0</v>
      </c>
      <c r="H371" s="2">
        <f t="shared" si="17"/>
        <v>0</v>
      </c>
    </row>
    <row r="372" spans="2:8">
      <c r="B372" t="s">
        <v>426</v>
      </c>
      <c r="C372" t="s">
        <v>1126</v>
      </c>
      <c r="D372" s="6" t="str">
        <f t="shared" si="18"/>
        <v>14-01</v>
      </c>
      <c r="E372" s="1">
        <f>_xlfn.IFNA(VLOOKUP('Comp X - Kilter'!B372,'Kilter Holds'!$P$36:$AB$370,6,0),0)</f>
        <v>0</v>
      </c>
      <c r="G372" s="2">
        <f t="shared" si="16"/>
        <v>0</v>
      </c>
      <c r="H372" s="2">
        <f t="shared" si="17"/>
        <v>0</v>
      </c>
    </row>
    <row r="373" spans="2:8">
      <c r="B373" t="s">
        <v>426</v>
      </c>
      <c r="C373" t="s">
        <v>1126</v>
      </c>
      <c r="D373" s="7" t="str">
        <f t="shared" si="18"/>
        <v>15-12</v>
      </c>
      <c r="E373" s="1">
        <f>_xlfn.IFNA(VLOOKUP('Comp X - Kilter'!B373,'Kilter Holds'!$P$36:$AB$370,7,0),0)</f>
        <v>8</v>
      </c>
      <c r="G373" s="2">
        <f t="shared" si="16"/>
        <v>0</v>
      </c>
      <c r="H373" s="2">
        <f t="shared" si="17"/>
        <v>0</v>
      </c>
    </row>
    <row r="374" spans="2:8">
      <c r="B374" t="s">
        <v>426</v>
      </c>
      <c r="C374" t="s">
        <v>1126</v>
      </c>
      <c r="D374" s="8" t="str">
        <f t="shared" si="18"/>
        <v>16-16</v>
      </c>
      <c r="E374" s="1">
        <f>_xlfn.IFNA(VLOOKUP('Comp X - Kilter'!B374,'Kilter Holds'!$P$36:$AB$370,8,0),0)</f>
        <v>1</v>
      </c>
      <c r="G374" s="2">
        <f t="shared" si="16"/>
        <v>0</v>
      </c>
      <c r="H374" s="2">
        <f t="shared" si="17"/>
        <v>0</v>
      </c>
    </row>
    <row r="375" spans="2:8">
      <c r="B375" t="s">
        <v>426</v>
      </c>
      <c r="C375" t="s">
        <v>1126</v>
      </c>
      <c r="D375" s="9" t="str">
        <f t="shared" si="18"/>
        <v>13-01</v>
      </c>
      <c r="E375" s="1">
        <f>_xlfn.IFNA(VLOOKUP('Comp X - Kilter'!B375,'Kilter Holds'!$P$36:$AB$370,9,0),0)</f>
        <v>5</v>
      </c>
      <c r="G375" s="2">
        <f t="shared" si="16"/>
        <v>0</v>
      </c>
      <c r="H375" s="2">
        <f t="shared" si="17"/>
        <v>0</v>
      </c>
    </row>
    <row r="376" spans="2:8">
      <c r="B376" t="s">
        <v>426</v>
      </c>
      <c r="C376" t="s">
        <v>1126</v>
      </c>
      <c r="D376" s="10" t="str">
        <f t="shared" si="18"/>
        <v>07-13</v>
      </c>
      <c r="E376" s="1">
        <f>_xlfn.IFNA(VLOOKUP('Comp X - Kilter'!B376,'Kilter Holds'!$P$36:$AB$370,10,0),0)</f>
        <v>0</v>
      </c>
      <c r="G376" s="2">
        <f t="shared" si="16"/>
        <v>0</v>
      </c>
      <c r="H376" s="2">
        <f t="shared" si="17"/>
        <v>0</v>
      </c>
    </row>
    <row r="377" spans="2:8">
      <c r="B377" t="s">
        <v>426</v>
      </c>
      <c r="C377" t="s">
        <v>1126</v>
      </c>
      <c r="D377" s="11" t="str">
        <f t="shared" si="18"/>
        <v>11-25</v>
      </c>
      <c r="E377" s="1">
        <f>_xlfn.IFNA(VLOOKUP('Comp X - Kilter'!B377,'Kilter Holds'!$P$36:$AB$370,11,0),0)</f>
        <v>4</v>
      </c>
      <c r="G377" s="2">
        <f t="shared" si="16"/>
        <v>0</v>
      </c>
      <c r="H377" s="2">
        <f t="shared" si="17"/>
        <v>0</v>
      </c>
    </row>
    <row r="378" spans="2:8">
      <c r="B378" t="s">
        <v>426</v>
      </c>
      <c r="C378" t="s">
        <v>1126</v>
      </c>
      <c r="D378" s="13" t="str">
        <f t="shared" si="18"/>
        <v>18-01</v>
      </c>
      <c r="E378" s="1">
        <f>_xlfn.IFNA(VLOOKUP('Comp X - Kilter'!B378,'Kilter Holds'!$P$36:$AB$370,12,0),0)</f>
        <v>9</v>
      </c>
      <c r="G378" s="2">
        <f t="shared" si="16"/>
        <v>0</v>
      </c>
      <c r="H378" s="2">
        <f t="shared" si="17"/>
        <v>0</v>
      </c>
    </row>
    <row r="379" spans="2:8">
      <c r="B379" t="s">
        <v>426</v>
      </c>
      <c r="C379" t="s">
        <v>1126</v>
      </c>
      <c r="D379" s="12" t="str">
        <f t="shared" si="18"/>
        <v>12-01</v>
      </c>
      <c r="E379" s="1">
        <f>_xlfn.IFNA(VLOOKUP('Comp X - Kilter'!B379,'Kilter Holds'!$P$36:$AB$370,13,0),0)</f>
        <v>0</v>
      </c>
      <c r="G379" s="2">
        <f t="shared" si="16"/>
        <v>0</v>
      </c>
      <c r="H379" s="2">
        <f t="shared" si="17"/>
        <v>0</v>
      </c>
    </row>
    <row r="380" spans="2:8">
      <c r="B380" t="s">
        <v>428</v>
      </c>
      <c r="C380" t="s">
        <v>1127</v>
      </c>
      <c r="D380" s="5" t="str">
        <f t="shared" si="18"/>
        <v>11-12</v>
      </c>
      <c r="E380" s="1">
        <f>_xlfn.IFNA(VLOOKUP('Comp X - Kilter'!B380,'Kilter Holds'!$P$36:$AB$370,5,0),0)</f>
        <v>3</v>
      </c>
      <c r="G380" s="2">
        <f t="shared" si="16"/>
        <v>0</v>
      </c>
      <c r="H380" s="2">
        <f t="shared" si="17"/>
        <v>0</v>
      </c>
    </row>
    <row r="381" spans="2:8">
      <c r="B381" t="s">
        <v>428</v>
      </c>
      <c r="C381" t="s">
        <v>1127</v>
      </c>
      <c r="D381" s="6" t="str">
        <f t="shared" si="18"/>
        <v>14-01</v>
      </c>
      <c r="E381" s="1">
        <f>_xlfn.IFNA(VLOOKUP('Comp X - Kilter'!B381,'Kilter Holds'!$P$36:$AB$370,6,0),0)</f>
        <v>0</v>
      </c>
      <c r="G381" s="2">
        <f t="shared" si="16"/>
        <v>0</v>
      </c>
      <c r="H381" s="2">
        <f t="shared" si="17"/>
        <v>0</v>
      </c>
    </row>
    <row r="382" spans="2:8">
      <c r="B382" t="s">
        <v>428</v>
      </c>
      <c r="C382" t="s">
        <v>1127</v>
      </c>
      <c r="D382" s="7" t="str">
        <f t="shared" si="18"/>
        <v>15-12</v>
      </c>
      <c r="E382" s="1">
        <f>_xlfn.IFNA(VLOOKUP('Comp X - Kilter'!B382,'Kilter Holds'!$P$36:$AB$370,7,0),0)</f>
        <v>3</v>
      </c>
      <c r="G382" s="2">
        <f t="shared" si="16"/>
        <v>0</v>
      </c>
      <c r="H382" s="2">
        <f t="shared" si="17"/>
        <v>0</v>
      </c>
    </row>
    <row r="383" spans="2:8">
      <c r="B383" t="s">
        <v>428</v>
      </c>
      <c r="C383" t="s">
        <v>1127</v>
      </c>
      <c r="D383" s="8" t="str">
        <f t="shared" si="18"/>
        <v>16-16</v>
      </c>
      <c r="E383" s="1">
        <f>_xlfn.IFNA(VLOOKUP('Comp X - Kilter'!B383,'Kilter Holds'!$P$36:$AB$370,8,0),0)</f>
        <v>5</v>
      </c>
      <c r="G383" s="2">
        <f t="shared" si="16"/>
        <v>0</v>
      </c>
      <c r="H383" s="2">
        <f t="shared" si="17"/>
        <v>0</v>
      </c>
    </row>
    <row r="384" spans="2:8">
      <c r="B384" t="s">
        <v>428</v>
      </c>
      <c r="C384" t="s">
        <v>1127</v>
      </c>
      <c r="D384" s="9" t="str">
        <f t="shared" si="18"/>
        <v>13-01</v>
      </c>
      <c r="E384" s="1">
        <f>_xlfn.IFNA(VLOOKUP('Comp X - Kilter'!B384,'Kilter Holds'!$P$36:$AB$370,9,0),0)</f>
        <v>6</v>
      </c>
      <c r="G384" s="2">
        <f t="shared" si="16"/>
        <v>0</v>
      </c>
      <c r="H384" s="2">
        <f t="shared" si="17"/>
        <v>0</v>
      </c>
    </row>
    <row r="385" spans="2:8">
      <c r="B385" t="s">
        <v>428</v>
      </c>
      <c r="C385" t="s">
        <v>1127</v>
      </c>
      <c r="D385" s="10" t="str">
        <f t="shared" si="18"/>
        <v>07-13</v>
      </c>
      <c r="E385" s="1">
        <f>_xlfn.IFNA(VLOOKUP('Comp X - Kilter'!B385,'Kilter Holds'!$P$36:$AB$370,10,0),0)</f>
        <v>4</v>
      </c>
      <c r="G385" s="2">
        <f t="shared" si="16"/>
        <v>0</v>
      </c>
      <c r="H385" s="2">
        <f t="shared" si="17"/>
        <v>0</v>
      </c>
    </row>
    <row r="386" spans="2:8">
      <c r="B386" t="s">
        <v>428</v>
      </c>
      <c r="C386" t="s">
        <v>1127</v>
      </c>
      <c r="D386" s="11" t="str">
        <f t="shared" si="18"/>
        <v>11-25</v>
      </c>
      <c r="E386" s="1">
        <f>_xlfn.IFNA(VLOOKUP('Comp X - Kilter'!B386,'Kilter Holds'!$P$36:$AB$370,11,0),0)</f>
        <v>4</v>
      </c>
      <c r="G386" s="2">
        <f t="shared" si="16"/>
        <v>0</v>
      </c>
      <c r="H386" s="2">
        <f t="shared" si="17"/>
        <v>0</v>
      </c>
    </row>
    <row r="387" spans="2:8">
      <c r="B387" t="s">
        <v>428</v>
      </c>
      <c r="C387" t="s">
        <v>1127</v>
      </c>
      <c r="D387" s="13" t="str">
        <f t="shared" si="18"/>
        <v>18-01</v>
      </c>
      <c r="E387" s="1">
        <f>_xlfn.IFNA(VLOOKUP('Comp X - Kilter'!B387,'Kilter Holds'!$P$36:$AB$370,12,0),0)</f>
        <v>7</v>
      </c>
      <c r="G387" s="2">
        <f t="shared" ref="G387:G468" si="19">E387*F387</f>
        <v>0</v>
      </c>
      <c r="H387" s="2">
        <f t="shared" ref="H387:H468" si="20">IF($S$11="Y",G387*0.15,0)</f>
        <v>0</v>
      </c>
    </row>
    <row r="388" spans="2:8">
      <c r="B388" t="s">
        <v>428</v>
      </c>
      <c r="C388" t="s">
        <v>1127</v>
      </c>
      <c r="D388" s="12" t="str">
        <f t="shared" si="18"/>
        <v>12-01</v>
      </c>
      <c r="E388" s="1">
        <f>_xlfn.IFNA(VLOOKUP('Comp X - Kilter'!B388,'Kilter Holds'!$P$36:$AB$370,13,0),0)</f>
        <v>5</v>
      </c>
      <c r="G388" s="2">
        <f t="shared" si="19"/>
        <v>0</v>
      </c>
      <c r="H388" s="2">
        <f t="shared" si="20"/>
        <v>0</v>
      </c>
    </row>
    <row r="389" spans="2:8">
      <c r="B389" t="s">
        <v>410</v>
      </c>
      <c r="C389" t="s">
        <v>1128</v>
      </c>
      <c r="D389" s="5" t="str">
        <f t="shared" si="18"/>
        <v>11-12</v>
      </c>
      <c r="E389" s="1">
        <f>_xlfn.IFNA(VLOOKUP('Comp X - Kilter'!B389,'Kilter Holds'!$P$36:$AB$370,5,0),0)</f>
        <v>3</v>
      </c>
      <c r="G389" s="2">
        <f t="shared" si="19"/>
        <v>0</v>
      </c>
      <c r="H389" s="2">
        <f t="shared" si="20"/>
        <v>0</v>
      </c>
    </row>
    <row r="390" spans="2:8">
      <c r="B390" t="s">
        <v>410</v>
      </c>
      <c r="C390" t="s">
        <v>1128</v>
      </c>
      <c r="D390" s="6" t="str">
        <f t="shared" si="18"/>
        <v>14-01</v>
      </c>
      <c r="E390" s="1">
        <f>_xlfn.IFNA(VLOOKUP('Comp X - Kilter'!B390,'Kilter Holds'!$P$36:$AB$370,6,0),0)</f>
        <v>0</v>
      </c>
      <c r="G390" s="2">
        <f t="shared" si="19"/>
        <v>0</v>
      </c>
      <c r="H390" s="2">
        <f t="shared" si="20"/>
        <v>0</v>
      </c>
    </row>
    <row r="391" spans="2:8">
      <c r="B391" t="s">
        <v>410</v>
      </c>
      <c r="C391" t="s">
        <v>1128</v>
      </c>
      <c r="D391" s="7" t="str">
        <f t="shared" si="18"/>
        <v>15-12</v>
      </c>
      <c r="E391" s="1">
        <f>_xlfn.IFNA(VLOOKUP('Comp X - Kilter'!B391,'Kilter Holds'!$P$36:$AB$370,7,0),0)</f>
        <v>6</v>
      </c>
      <c r="G391" s="2">
        <f t="shared" si="19"/>
        <v>0</v>
      </c>
      <c r="H391" s="2">
        <f t="shared" si="20"/>
        <v>0</v>
      </c>
    </row>
    <row r="392" spans="2:8">
      <c r="B392" t="s">
        <v>410</v>
      </c>
      <c r="C392" t="s">
        <v>1128</v>
      </c>
      <c r="D392" s="8" t="str">
        <f t="shared" si="18"/>
        <v>16-16</v>
      </c>
      <c r="E392" s="1">
        <f>_xlfn.IFNA(VLOOKUP('Comp X - Kilter'!B392,'Kilter Holds'!$P$36:$AB$370,8,0),0)</f>
        <v>7</v>
      </c>
      <c r="G392" s="2">
        <f t="shared" si="19"/>
        <v>0</v>
      </c>
      <c r="H392" s="2">
        <f t="shared" si="20"/>
        <v>0</v>
      </c>
    </row>
    <row r="393" spans="2:8">
      <c r="B393" t="s">
        <v>410</v>
      </c>
      <c r="C393" t="s">
        <v>1128</v>
      </c>
      <c r="D393" s="9" t="str">
        <f t="shared" si="18"/>
        <v>13-01</v>
      </c>
      <c r="E393" s="1">
        <f>_xlfn.IFNA(VLOOKUP('Comp X - Kilter'!B393,'Kilter Holds'!$P$36:$AB$370,9,0),0)</f>
        <v>2</v>
      </c>
      <c r="G393" s="2">
        <f t="shared" si="19"/>
        <v>0</v>
      </c>
      <c r="H393" s="2">
        <f t="shared" si="20"/>
        <v>0</v>
      </c>
    </row>
    <row r="394" spans="2:8">
      <c r="B394" t="s">
        <v>410</v>
      </c>
      <c r="C394" t="s">
        <v>1128</v>
      </c>
      <c r="D394" s="10" t="str">
        <f t="shared" si="18"/>
        <v>07-13</v>
      </c>
      <c r="E394" s="1">
        <f>_xlfn.IFNA(VLOOKUP('Comp X - Kilter'!B394,'Kilter Holds'!$P$36:$AB$370,10,0),0)</f>
        <v>3</v>
      </c>
      <c r="G394" s="2">
        <f t="shared" si="19"/>
        <v>0</v>
      </c>
      <c r="H394" s="2">
        <f t="shared" si="20"/>
        <v>0</v>
      </c>
    </row>
    <row r="395" spans="2:8">
      <c r="B395" t="s">
        <v>410</v>
      </c>
      <c r="C395" t="s">
        <v>1128</v>
      </c>
      <c r="D395" s="11" t="str">
        <f t="shared" si="18"/>
        <v>11-25</v>
      </c>
      <c r="E395" s="1">
        <f>_xlfn.IFNA(VLOOKUP('Comp X - Kilter'!B395,'Kilter Holds'!$P$36:$AB$370,11,0),0)</f>
        <v>4</v>
      </c>
      <c r="G395" s="2">
        <f t="shared" si="19"/>
        <v>0</v>
      </c>
      <c r="H395" s="2">
        <f t="shared" si="20"/>
        <v>0</v>
      </c>
    </row>
    <row r="396" spans="2:8">
      <c r="B396" t="s">
        <v>410</v>
      </c>
      <c r="C396" t="s">
        <v>1128</v>
      </c>
      <c r="D396" s="13" t="str">
        <f t="shared" si="18"/>
        <v>18-01</v>
      </c>
      <c r="E396" s="1">
        <f>_xlfn.IFNA(VLOOKUP('Comp X - Kilter'!B396,'Kilter Holds'!$P$36:$AB$370,12,0),0)</f>
        <v>7</v>
      </c>
      <c r="G396" s="2">
        <f t="shared" si="19"/>
        <v>0</v>
      </c>
      <c r="H396" s="2">
        <f t="shared" si="20"/>
        <v>0</v>
      </c>
    </row>
    <row r="397" spans="2:8">
      <c r="B397" t="s">
        <v>410</v>
      </c>
      <c r="C397" t="s">
        <v>1128</v>
      </c>
      <c r="D397" s="12" t="str">
        <f t="shared" si="18"/>
        <v>12-01</v>
      </c>
      <c r="E397" s="1">
        <f>_xlfn.IFNA(VLOOKUP('Comp X - Kilter'!B397,'Kilter Holds'!$P$36:$AB$370,13,0),0)</f>
        <v>0</v>
      </c>
      <c r="G397" s="2">
        <f t="shared" si="19"/>
        <v>0</v>
      </c>
      <c r="H397" s="2">
        <f t="shared" si="20"/>
        <v>0</v>
      </c>
    </row>
    <row r="398" spans="2:8">
      <c r="B398" t="s">
        <v>411</v>
      </c>
      <c r="C398" t="s">
        <v>1129</v>
      </c>
      <c r="D398" s="5" t="str">
        <f t="shared" si="18"/>
        <v>11-12</v>
      </c>
      <c r="E398" s="1">
        <f>_xlfn.IFNA(VLOOKUP('Comp X - Kilter'!B398,'Kilter Holds'!$P$36:$AB$370,5,0),0)</f>
        <v>5</v>
      </c>
      <c r="G398" s="2">
        <f t="shared" si="19"/>
        <v>0</v>
      </c>
      <c r="H398" s="2">
        <f t="shared" si="20"/>
        <v>0</v>
      </c>
    </row>
    <row r="399" spans="2:8">
      <c r="B399" t="s">
        <v>411</v>
      </c>
      <c r="C399" t="s">
        <v>1129</v>
      </c>
      <c r="D399" s="6" t="str">
        <f t="shared" si="18"/>
        <v>14-01</v>
      </c>
      <c r="E399" s="1">
        <f>_xlfn.IFNA(VLOOKUP('Comp X - Kilter'!B399,'Kilter Holds'!$P$36:$AB$370,6,0),0)</f>
        <v>0</v>
      </c>
      <c r="G399" s="2">
        <f t="shared" si="19"/>
        <v>0</v>
      </c>
      <c r="H399" s="2">
        <f t="shared" si="20"/>
        <v>0</v>
      </c>
    </row>
    <row r="400" spans="2:8">
      <c r="B400" t="s">
        <v>411</v>
      </c>
      <c r="C400" t="s">
        <v>1129</v>
      </c>
      <c r="D400" s="7" t="str">
        <f t="shared" si="18"/>
        <v>15-12</v>
      </c>
      <c r="E400" s="1">
        <f>_xlfn.IFNA(VLOOKUP('Comp X - Kilter'!B400,'Kilter Holds'!$P$36:$AB$370,7,0),0)</f>
        <v>5</v>
      </c>
      <c r="G400" s="2">
        <f t="shared" si="19"/>
        <v>0</v>
      </c>
      <c r="H400" s="2">
        <f t="shared" si="20"/>
        <v>0</v>
      </c>
    </row>
    <row r="401" spans="2:8">
      <c r="B401" t="s">
        <v>411</v>
      </c>
      <c r="C401" t="s">
        <v>1129</v>
      </c>
      <c r="D401" s="8" t="str">
        <f t="shared" si="18"/>
        <v>16-16</v>
      </c>
      <c r="E401" s="1">
        <f>_xlfn.IFNA(VLOOKUP('Comp X - Kilter'!B401,'Kilter Holds'!$P$36:$AB$370,8,0),0)</f>
        <v>4</v>
      </c>
      <c r="G401" s="2">
        <f t="shared" si="19"/>
        <v>0</v>
      </c>
      <c r="H401" s="2">
        <f t="shared" si="20"/>
        <v>0</v>
      </c>
    </row>
    <row r="402" spans="2:8">
      <c r="B402" t="s">
        <v>411</v>
      </c>
      <c r="C402" t="s">
        <v>1129</v>
      </c>
      <c r="D402" s="9" t="str">
        <f t="shared" si="18"/>
        <v>13-01</v>
      </c>
      <c r="E402" s="1">
        <f>_xlfn.IFNA(VLOOKUP('Comp X - Kilter'!B402,'Kilter Holds'!$P$36:$AB$370,9,0),0)</f>
        <v>6</v>
      </c>
      <c r="G402" s="2">
        <f t="shared" si="19"/>
        <v>0</v>
      </c>
      <c r="H402" s="2">
        <f t="shared" si="20"/>
        <v>0</v>
      </c>
    </row>
    <row r="403" spans="2:8">
      <c r="B403" t="s">
        <v>411</v>
      </c>
      <c r="C403" t="s">
        <v>1129</v>
      </c>
      <c r="D403" s="10" t="str">
        <f t="shared" si="18"/>
        <v>07-13</v>
      </c>
      <c r="E403" s="1">
        <f>_xlfn.IFNA(VLOOKUP('Comp X - Kilter'!B403,'Kilter Holds'!$P$36:$AB$370,10,0),0)</f>
        <v>4</v>
      </c>
      <c r="G403" s="2">
        <f t="shared" si="19"/>
        <v>0</v>
      </c>
      <c r="H403" s="2">
        <f t="shared" si="20"/>
        <v>0</v>
      </c>
    </row>
    <row r="404" spans="2:8">
      <c r="B404" t="s">
        <v>411</v>
      </c>
      <c r="C404" t="s">
        <v>1129</v>
      </c>
      <c r="D404" s="11" t="str">
        <f t="shared" ref="D404:D485" si="21">D395</f>
        <v>11-25</v>
      </c>
      <c r="E404" s="1">
        <f>_xlfn.IFNA(VLOOKUP('Comp X - Kilter'!B404,'Kilter Holds'!$P$36:$AB$370,11,0),0)</f>
        <v>5</v>
      </c>
      <c r="G404" s="2">
        <f t="shared" si="19"/>
        <v>0</v>
      </c>
      <c r="H404" s="2">
        <f t="shared" si="20"/>
        <v>0</v>
      </c>
    </row>
    <row r="405" spans="2:8">
      <c r="B405" t="s">
        <v>411</v>
      </c>
      <c r="C405" t="s">
        <v>1129</v>
      </c>
      <c r="D405" s="13" t="str">
        <f t="shared" si="21"/>
        <v>18-01</v>
      </c>
      <c r="E405" s="1">
        <f>_xlfn.IFNA(VLOOKUP('Comp X - Kilter'!B405,'Kilter Holds'!$P$36:$AB$370,12,0),0)</f>
        <v>8</v>
      </c>
      <c r="G405" s="2">
        <f t="shared" si="19"/>
        <v>0</v>
      </c>
      <c r="H405" s="2">
        <f t="shared" si="20"/>
        <v>0</v>
      </c>
    </row>
    <row r="406" spans="2:8">
      <c r="B406" t="s">
        <v>411</v>
      </c>
      <c r="C406" t="s">
        <v>1129</v>
      </c>
      <c r="D406" s="12" t="str">
        <f t="shared" si="21"/>
        <v>12-01</v>
      </c>
      <c r="E406" s="1">
        <f>_xlfn.IFNA(VLOOKUP('Comp X - Kilter'!B406,'Kilter Holds'!$P$36:$AB$370,13,0),0)</f>
        <v>0</v>
      </c>
      <c r="G406" s="2">
        <f t="shared" si="19"/>
        <v>0</v>
      </c>
      <c r="H406" s="2">
        <f t="shared" si="20"/>
        <v>0</v>
      </c>
    </row>
    <row r="407" spans="2:8">
      <c r="B407" t="s">
        <v>412</v>
      </c>
      <c r="C407" t="s">
        <v>1130</v>
      </c>
      <c r="D407" s="5" t="str">
        <f t="shared" si="21"/>
        <v>11-12</v>
      </c>
      <c r="E407" s="1">
        <f>_xlfn.IFNA(VLOOKUP('Comp X - Kilter'!B407,'Kilter Holds'!$P$36:$AB$370,5,0),0)</f>
        <v>5</v>
      </c>
      <c r="G407" s="2">
        <f t="shared" si="19"/>
        <v>0</v>
      </c>
      <c r="H407" s="2">
        <f t="shared" si="20"/>
        <v>0</v>
      </c>
    </row>
    <row r="408" spans="2:8">
      <c r="B408" t="s">
        <v>412</v>
      </c>
      <c r="C408" t="s">
        <v>1130</v>
      </c>
      <c r="D408" s="6" t="str">
        <f t="shared" si="21"/>
        <v>14-01</v>
      </c>
      <c r="E408" s="1">
        <f>_xlfn.IFNA(VLOOKUP('Comp X - Kilter'!B408,'Kilter Holds'!$P$36:$AB$370,6,0),0)</f>
        <v>0</v>
      </c>
      <c r="G408" s="2">
        <f t="shared" si="19"/>
        <v>0</v>
      </c>
      <c r="H408" s="2">
        <f t="shared" si="20"/>
        <v>0</v>
      </c>
    </row>
    <row r="409" spans="2:8">
      <c r="B409" t="s">
        <v>412</v>
      </c>
      <c r="C409" t="s">
        <v>1130</v>
      </c>
      <c r="D409" s="7" t="str">
        <f t="shared" si="21"/>
        <v>15-12</v>
      </c>
      <c r="E409" s="1">
        <f>_xlfn.IFNA(VLOOKUP('Comp X - Kilter'!B409,'Kilter Holds'!$P$36:$AB$370,7,0),0)</f>
        <v>3</v>
      </c>
      <c r="G409" s="2">
        <f t="shared" si="19"/>
        <v>0</v>
      </c>
      <c r="H409" s="2">
        <f t="shared" si="20"/>
        <v>0</v>
      </c>
    </row>
    <row r="410" spans="2:8">
      <c r="B410" t="s">
        <v>412</v>
      </c>
      <c r="C410" t="s">
        <v>1130</v>
      </c>
      <c r="D410" s="8" t="str">
        <f t="shared" si="21"/>
        <v>16-16</v>
      </c>
      <c r="E410" s="1">
        <f>_xlfn.IFNA(VLOOKUP('Comp X - Kilter'!B410,'Kilter Holds'!$P$36:$AB$370,8,0),0)</f>
        <v>8</v>
      </c>
      <c r="G410" s="2">
        <f t="shared" si="19"/>
        <v>0</v>
      </c>
      <c r="H410" s="2">
        <f t="shared" si="20"/>
        <v>0</v>
      </c>
    </row>
    <row r="411" spans="2:8">
      <c r="B411" t="s">
        <v>412</v>
      </c>
      <c r="C411" t="s">
        <v>1130</v>
      </c>
      <c r="D411" s="9" t="str">
        <f t="shared" si="21"/>
        <v>13-01</v>
      </c>
      <c r="E411" s="1">
        <f>_xlfn.IFNA(VLOOKUP('Comp X - Kilter'!B411,'Kilter Holds'!$P$36:$AB$370,9,0),0)</f>
        <v>3</v>
      </c>
      <c r="G411" s="2">
        <f t="shared" si="19"/>
        <v>0</v>
      </c>
      <c r="H411" s="2">
        <f t="shared" si="20"/>
        <v>0</v>
      </c>
    </row>
    <row r="412" spans="2:8">
      <c r="B412" t="s">
        <v>412</v>
      </c>
      <c r="C412" t="s">
        <v>1130</v>
      </c>
      <c r="D412" s="10" t="str">
        <f t="shared" si="21"/>
        <v>07-13</v>
      </c>
      <c r="E412" s="1">
        <f>_xlfn.IFNA(VLOOKUP('Comp X - Kilter'!B412,'Kilter Holds'!$P$36:$AB$370,10,0),0)</f>
        <v>4</v>
      </c>
      <c r="G412" s="2">
        <f t="shared" si="19"/>
        <v>0</v>
      </c>
      <c r="H412" s="2">
        <f t="shared" si="20"/>
        <v>0</v>
      </c>
    </row>
    <row r="413" spans="2:8">
      <c r="B413" t="s">
        <v>412</v>
      </c>
      <c r="C413" t="s">
        <v>1130</v>
      </c>
      <c r="D413" s="11" t="str">
        <f t="shared" si="21"/>
        <v>11-25</v>
      </c>
      <c r="E413" s="1">
        <f>_xlfn.IFNA(VLOOKUP('Comp X - Kilter'!B413,'Kilter Holds'!$P$36:$AB$370,11,0),0)</f>
        <v>5</v>
      </c>
      <c r="G413" s="2">
        <f t="shared" si="19"/>
        <v>0</v>
      </c>
      <c r="H413" s="2">
        <f t="shared" si="20"/>
        <v>0</v>
      </c>
    </row>
    <row r="414" spans="2:8">
      <c r="B414" t="s">
        <v>412</v>
      </c>
      <c r="C414" t="s">
        <v>1130</v>
      </c>
      <c r="D414" s="13" t="str">
        <f t="shared" si="21"/>
        <v>18-01</v>
      </c>
      <c r="E414" s="1">
        <f>_xlfn.IFNA(VLOOKUP('Comp X - Kilter'!B414,'Kilter Holds'!$P$36:$AB$370,12,0),0)</f>
        <v>7</v>
      </c>
      <c r="G414" s="2">
        <f t="shared" si="19"/>
        <v>0</v>
      </c>
      <c r="H414" s="2">
        <f t="shared" si="20"/>
        <v>0</v>
      </c>
    </row>
    <row r="415" spans="2:8">
      <c r="B415" t="s">
        <v>412</v>
      </c>
      <c r="C415" t="s">
        <v>1130</v>
      </c>
      <c r="D415" s="12" t="str">
        <f t="shared" si="21"/>
        <v>12-01</v>
      </c>
      <c r="E415" s="1">
        <f>_xlfn.IFNA(VLOOKUP('Comp X - Kilter'!B415,'Kilter Holds'!$P$36:$AB$370,13,0),0)</f>
        <v>0</v>
      </c>
      <c r="G415" s="2">
        <f t="shared" si="19"/>
        <v>0</v>
      </c>
      <c r="H415" s="2">
        <f t="shared" si="20"/>
        <v>0</v>
      </c>
    </row>
    <row r="416" spans="2:8">
      <c r="B416" t="s">
        <v>416</v>
      </c>
      <c r="C416" t="s">
        <v>1131</v>
      </c>
      <c r="D416" s="5" t="str">
        <f t="shared" si="21"/>
        <v>11-12</v>
      </c>
      <c r="E416" s="1">
        <f>_xlfn.IFNA(VLOOKUP('Comp X - Kilter'!B416,'Kilter Holds'!$P$36:$AB$370,5,0),0)</f>
        <v>7</v>
      </c>
      <c r="G416" s="2">
        <f t="shared" si="19"/>
        <v>0</v>
      </c>
      <c r="H416" s="2">
        <f t="shared" si="20"/>
        <v>0</v>
      </c>
    </row>
    <row r="417" spans="2:8">
      <c r="B417" t="s">
        <v>416</v>
      </c>
      <c r="C417" t="s">
        <v>1131</v>
      </c>
      <c r="D417" s="6" t="str">
        <f t="shared" si="21"/>
        <v>14-01</v>
      </c>
      <c r="E417" s="1">
        <f>_xlfn.IFNA(VLOOKUP('Comp X - Kilter'!B417,'Kilter Holds'!$P$36:$AB$370,6,0),0)</f>
        <v>0</v>
      </c>
      <c r="G417" s="2">
        <f t="shared" si="19"/>
        <v>0</v>
      </c>
      <c r="H417" s="2">
        <f t="shared" si="20"/>
        <v>0</v>
      </c>
    </row>
    <row r="418" spans="2:8">
      <c r="B418" t="s">
        <v>416</v>
      </c>
      <c r="C418" t="s">
        <v>1131</v>
      </c>
      <c r="D418" s="7" t="str">
        <f t="shared" si="21"/>
        <v>15-12</v>
      </c>
      <c r="E418" s="1">
        <f>_xlfn.IFNA(VLOOKUP('Comp X - Kilter'!B418,'Kilter Holds'!$P$36:$AB$370,7,0),0)</f>
        <v>5</v>
      </c>
      <c r="G418" s="2">
        <f t="shared" si="19"/>
        <v>0</v>
      </c>
      <c r="H418" s="2">
        <f t="shared" si="20"/>
        <v>0</v>
      </c>
    </row>
    <row r="419" spans="2:8">
      <c r="B419" t="s">
        <v>416</v>
      </c>
      <c r="C419" t="s">
        <v>1131</v>
      </c>
      <c r="D419" s="8" t="str">
        <f t="shared" si="21"/>
        <v>16-16</v>
      </c>
      <c r="E419" s="1">
        <f>_xlfn.IFNA(VLOOKUP('Comp X - Kilter'!B419,'Kilter Holds'!$P$36:$AB$370,8,0),0)</f>
        <v>3</v>
      </c>
      <c r="G419" s="2">
        <f t="shared" si="19"/>
        <v>0</v>
      </c>
      <c r="H419" s="2">
        <f t="shared" si="20"/>
        <v>0</v>
      </c>
    </row>
    <row r="420" spans="2:8">
      <c r="B420" t="s">
        <v>416</v>
      </c>
      <c r="C420" t="s">
        <v>1131</v>
      </c>
      <c r="D420" s="9" t="str">
        <f t="shared" si="21"/>
        <v>13-01</v>
      </c>
      <c r="E420" s="1">
        <f>_xlfn.IFNA(VLOOKUP('Comp X - Kilter'!B420,'Kilter Holds'!$P$36:$AB$370,9,0),0)</f>
        <v>5</v>
      </c>
      <c r="G420" s="2">
        <f t="shared" si="19"/>
        <v>0</v>
      </c>
      <c r="H420" s="2">
        <f t="shared" si="20"/>
        <v>0</v>
      </c>
    </row>
    <row r="421" spans="2:8">
      <c r="B421" t="s">
        <v>416</v>
      </c>
      <c r="C421" t="s">
        <v>1131</v>
      </c>
      <c r="D421" s="10" t="str">
        <f t="shared" si="21"/>
        <v>07-13</v>
      </c>
      <c r="E421" s="1">
        <f>_xlfn.IFNA(VLOOKUP('Comp X - Kilter'!B421,'Kilter Holds'!$P$36:$AB$370,10,0),0)</f>
        <v>5</v>
      </c>
      <c r="G421" s="2">
        <f t="shared" si="19"/>
        <v>0</v>
      </c>
      <c r="H421" s="2">
        <f t="shared" si="20"/>
        <v>0</v>
      </c>
    </row>
    <row r="422" spans="2:8">
      <c r="B422" t="s">
        <v>416</v>
      </c>
      <c r="C422" t="s">
        <v>1131</v>
      </c>
      <c r="D422" s="11" t="str">
        <f t="shared" si="21"/>
        <v>11-25</v>
      </c>
      <c r="E422" s="1">
        <f>_xlfn.IFNA(VLOOKUP('Comp X - Kilter'!B422,'Kilter Holds'!$P$36:$AB$370,11,0),0)</f>
        <v>0</v>
      </c>
      <c r="G422" s="2">
        <f t="shared" si="19"/>
        <v>0</v>
      </c>
      <c r="H422" s="2">
        <f t="shared" si="20"/>
        <v>0</v>
      </c>
    </row>
    <row r="423" spans="2:8">
      <c r="B423" t="s">
        <v>416</v>
      </c>
      <c r="C423" t="s">
        <v>1131</v>
      </c>
      <c r="D423" s="13" t="str">
        <f t="shared" si="21"/>
        <v>18-01</v>
      </c>
      <c r="E423" s="1">
        <f>_xlfn.IFNA(VLOOKUP('Comp X - Kilter'!B423,'Kilter Holds'!$P$36:$AB$370,12,0),0)</f>
        <v>11</v>
      </c>
      <c r="G423" s="2">
        <f t="shared" si="19"/>
        <v>0</v>
      </c>
      <c r="H423" s="2">
        <f t="shared" si="20"/>
        <v>0</v>
      </c>
    </row>
    <row r="424" spans="2:8">
      <c r="B424" t="s">
        <v>416</v>
      </c>
      <c r="C424" t="s">
        <v>1131</v>
      </c>
      <c r="D424" s="12" t="str">
        <f t="shared" si="21"/>
        <v>12-01</v>
      </c>
      <c r="E424" s="1">
        <f>_xlfn.IFNA(VLOOKUP('Comp X - Kilter'!B424,'Kilter Holds'!$P$36:$AB$370,13,0),0)</f>
        <v>0</v>
      </c>
      <c r="G424" s="2">
        <f t="shared" si="19"/>
        <v>0</v>
      </c>
      <c r="H424" s="2">
        <f t="shared" si="20"/>
        <v>0</v>
      </c>
    </row>
    <row r="425" spans="2:8">
      <c r="B425" t="s">
        <v>1023</v>
      </c>
      <c r="C425" t="s">
        <v>1132</v>
      </c>
      <c r="D425" s="5" t="str">
        <f t="shared" si="21"/>
        <v>11-12</v>
      </c>
      <c r="E425" s="1">
        <f>_xlfn.IFNA(VLOOKUP('Comp X - Kilter'!B425,'Kilter Holds'!$P$36:$AB$370,5,0),0)</f>
        <v>3</v>
      </c>
      <c r="G425" s="2">
        <f t="shared" si="19"/>
        <v>0</v>
      </c>
      <c r="H425" s="2">
        <f t="shared" si="20"/>
        <v>0</v>
      </c>
    </row>
    <row r="426" spans="2:8">
      <c r="B426" t="s">
        <v>1023</v>
      </c>
      <c r="C426" t="s">
        <v>1132</v>
      </c>
      <c r="D426" s="6" t="str">
        <f t="shared" si="21"/>
        <v>14-01</v>
      </c>
      <c r="E426" s="1">
        <f>_xlfn.IFNA(VLOOKUP('Comp X - Kilter'!B426,'Kilter Holds'!$P$36:$AB$370,6,0),0)</f>
        <v>1</v>
      </c>
      <c r="G426" s="2">
        <f t="shared" si="19"/>
        <v>0</v>
      </c>
      <c r="H426" s="2">
        <f t="shared" si="20"/>
        <v>0</v>
      </c>
    </row>
    <row r="427" spans="2:8">
      <c r="B427" t="s">
        <v>1023</v>
      </c>
      <c r="C427" t="s">
        <v>1132</v>
      </c>
      <c r="D427" s="7" t="str">
        <f t="shared" si="21"/>
        <v>15-12</v>
      </c>
      <c r="E427" s="1">
        <f>_xlfn.IFNA(VLOOKUP('Comp X - Kilter'!B427,'Kilter Holds'!$P$36:$AB$370,7,0),0)</f>
        <v>3</v>
      </c>
      <c r="G427" s="2">
        <f t="shared" si="19"/>
        <v>0</v>
      </c>
      <c r="H427" s="2">
        <f t="shared" si="20"/>
        <v>0</v>
      </c>
    </row>
    <row r="428" spans="2:8">
      <c r="B428" t="s">
        <v>1023</v>
      </c>
      <c r="C428" t="s">
        <v>1132</v>
      </c>
      <c r="D428" s="8" t="str">
        <f t="shared" si="21"/>
        <v>16-16</v>
      </c>
      <c r="E428" s="1">
        <f>_xlfn.IFNA(VLOOKUP('Comp X - Kilter'!B428,'Kilter Holds'!$P$36:$AB$370,8,0),0)</f>
        <v>3</v>
      </c>
      <c r="G428" s="2">
        <f t="shared" si="19"/>
        <v>0</v>
      </c>
      <c r="H428" s="2">
        <f t="shared" si="20"/>
        <v>0</v>
      </c>
    </row>
    <row r="429" spans="2:8">
      <c r="B429" t="s">
        <v>1023</v>
      </c>
      <c r="C429" t="s">
        <v>1132</v>
      </c>
      <c r="D429" s="9" t="str">
        <f t="shared" si="21"/>
        <v>13-01</v>
      </c>
      <c r="E429" s="1">
        <f>_xlfn.IFNA(VLOOKUP('Comp X - Kilter'!B429,'Kilter Holds'!$P$36:$AB$370,9,0),0)</f>
        <v>4</v>
      </c>
      <c r="G429" s="2">
        <f t="shared" si="19"/>
        <v>0</v>
      </c>
      <c r="H429" s="2">
        <f t="shared" si="20"/>
        <v>0</v>
      </c>
    </row>
    <row r="430" spans="2:8">
      <c r="B430" t="s">
        <v>1023</v>
      </c>
      <c r="C430" t="s">
        <v>1132</v>
      </c>
      <c r="D430" s="10" t="str">
        <f t="shared" si="21"/>
        <v>07-13</v>
      </c>
      <c r="E430" s="1">
        <f>_xlfn.IFNA(VLOOKUP('Comp X - Kilter'!B430,'Kilter Holds'!$P$36:$AB$370,10,0),0)</f>
        <v>3</v>
      </c>
      <c r="G430" s="2">
        <f t="shared" si="19"/>
        <v>0</v>
      </c>
      <c r="H430" s="2">
        <f t="shared" si="20"/>
        <v>0</v>
      </c>
    </row>
    <row r="431" spans="2:8">
      <c r="B431" t="s">
        <v>1023</v>
      </c>
      <c r="C431" t="s">
        <v>1132</v>
      </c>
      <c r="D431" s="11" t="str">
        <f t="shared" si="21"/>
        <v>11-25</v>
      </c>
      <c r="E431" s="1">
        <f>_xlfn.IFNA(VLOOKUP('Comp X - Kilter'!B431,'Kilter Holds'!$P$36:$AB$370,11,0),0)</f>
        <v>0</v>
      </c>
      <c r="G431" s="2">
        <f t="shared" si="19"/>
        <v>0</v>
      </c>
      <c r="H431" s="2">
        <f t="shared" si="20"/>
        <v>0</v>
      </c>
    </row>
    <row r="432" spans="2:8">
      <c r="B432" t="s">
        <v>1023</v>
      </c>
      <c r="C432" t="s">
        <v>1132</v>
      </c>
      <c r="D432" s="13" t="str">
        <f t="shared" si="21"/>
        <v>18-01</v>
      </c>
      <c r="E432" s="1">
        <f>_xlfn.IFNA(VLOOKUP('Comp X - Kilter'!B432,'Kilter Holds'!$P$36:$AB$370,12,0),0)</f>
        <v>11</v>
      </c>
      <c r="G432" s="2">
        <f t="shared" si="19"/>
        <v>0</v>
      </c>
      <c r="H432" s="2">
        <f t="shared" si="20"/>
        <v>0</v>
      </c>
    </row>
    <row r="433" spans="2:8">
      <c r="B433" t="s">
        <v>1023</v>
      </c>
      <c r="C433" t="s">
        <v>1132</v>
      </c>
      <c r="D433" s="12" t="str">
        <f t="shared" si="21"/>
        <v>12-01</v>
      </c>
      <c r="E433" s="1">
        <f>_xlfn.IFNA(VLOOKUP('Comp X - Kilter'!B433,'Kilter Holds'!$P$36:$AB$370,13,0),0)</f>
        <v>3</v>
      </c>
      <c r="G433" s="2">
        <f t="shared" si="19"/>
        <v>0</v>
      </c>
      <c r="H433" s="2">
        <f t="shared" si="20"/>
        <v>0</v>
      </c>
    </row>
    <row r="434" spans="2:8">
      <c r="B434" t="s">
        <v>1024</v>
      </c>
      <c r="C434" t="s">
        <v>1133</v>
      </c>
      <c r="D434" s="5" t="str">
        <f t="shared" si="21"/>
        <v>11-12</v>
      </c>
      <c r="E434" s="1">
        <f>_xlfn.IFNA(VLOOKUP('Comp X - Kilter'!B434,'Kilter Holds'!$P$36:$AB$370,5,0),0)</f>
        <v>6</v>
      </c>
      <c r="G434" s="2">
        <f t="shared" si="19"/>
        <v>0</v>
      </c>
      <c r="H434" s="2">
        <f t="shared" si="20"/>
        <v>0</v>
      </c>
    </row>
    <row r="435" spans="2:8">
      <c r="B435" t="s">
        <v>1024</v>
      </c>
      <c r="C435" t="s">
        <v>1133</v>
      </c>
      <c r="D435" s="6" t="str">
        <f t="shared" si="21"/>
        <v>14-01</v>
      </c>
      <c r="E435" s="1">
        <f>_xlfn.IFNA(VLOOKUP('Comp X - Kilter'!B435,'Kilter Holds'!$P$36:$AB$370,6,0),0)</f>
        <v>0</v>
      </c>
      <c r="G435" s="2">
        <f t="shared" si="19"/>
        <v>0</v>
      </c>
      <c r="H435" s="2">
        <f t="shared" si="20"/>
        <v>0</v>
      </c>
    </row>
    <row r="436" spans="2:8">
      <c r="B436" t="s">
        <v>1024</v>
      </c>
      <c r="C436" t="s">
        <v>1133</v>
      </c>
      <c r="D436" s="7" t="str">
        <f t="shared" si="21"/>
        <v>15-12</v>
      </c>
      <c r="E436" s="1">
        <f>_xlfn.IFNA(VLOOKUP('Comp X - Kilter'!B436,'Kilter Holds'!$P$36:$AB$370,7,0),0)</f>
        <v>4</v>
      </c>
      <c r="G436" s="2">
        <f t="shared" si="19"/>
        <v>0</v>
      </c>
      <c r="H436" s="2">
        <f t="shared" si="20"/>
        <v>0</v>
      </c>
    </row>
    <row r="437" spans="2:8">
      <c r="B437" t="s">
        <v>1024</v>
      </c>
      <c r="C437" t="s">
        <v>1133</v>
      </c>
      <c r="D437" s="8" t="str">
        <f t="shared" si="21"/>
        <v>16-16</v>
      </c>
      <c r="E437" s="1">
        <f>_xlfn.IFNA(VLOOKUP('Comp X - Kilter'!B437,'Kilter Holds'!$P$36:$AB$370,8,0),0)</f>
        <v>5</v>
      </c>
      <c r="G437" s="2">
        <f t="shared" si="19"/>
        <v>0</v>
      </c>
      <c r="H437" s="2">
        <f t="shared" si="20"/>
        <v>0</v>
      </c>
    </row>
    <row r="438" spans="2:8">
      <c r="B438" t="s">
        <v>1024</v>
      </c>
      <c r="C438" t="s">
        <v>1133</v>
      </c>
      <c r="D438" s="9" t="str">
        <f t="shared" si="21"/>
        <v>13-01</v>
      </c>
      <c r="E438" s="1">
        <f>_xlfn.IFNA(VLOOKUP('Comp X - Kilter'!B438,'Kilter Holds'!$P$36:$AB$370,9,0),0)</f>
        <v>5</v>
      </c>
      <c r="G438" s="2">
        <f t="shared" si="19"/>
        <v>0</v>
      </c>
      <c r="H438" s="2">
        <f t="shared" si="20"/>
        <v>0</v>
      </c>
    </row>
    <row r="439" spans="2:8">
      <c r="B439" t="s">
        <v>1024</v>
      </c>
      <c r="C439" t="s">
        <v>1133</v>
      </c>
      <c r="D439" s="10" t="str">
        <f t="shared" si="21"/>
        <v>07-13</v>
      </c>
      <c r="E439" s="1">
        <f>_xlfn.IFNA(VLOOKUP('Comp X - Kilter'!B439,'Kilter Holds'!$P$36:$AB$370,10,0),0)</f>
        <v>3</v>
      </c>
      <c r="G439" s="2">
        <f t="shared" si="19"/>
        <v>0</v>
      </c>
      <c r="H439" s="2">
        <f t="shared" si="20"/>
        <v>0</v>
      </c>
    </row>
    <row r="440" spans="2:8">
      <c r="B440" t="s">
        <v>1024</v>
      </c>
      <c r="C440" t="s">
        <v>1133</v>
      </c>
      <c r="D440" s="11" t="str">
        <f t="shared" si="21"/>
        <v>11-25</v>
      </c>
      <c r="E440" s="1">
        <f>_xlfn.IFNA(VLOOKUP('Comp X - Kilter'!B440,'Kilter Holds'!$P$36:$AB$370,11,0),0)</f>
        <v>1</v>
      </c>
      <c r="G440" s="2">
        <f t="shared" si="19"/>
        <v>0</v>
      </c>
      <c r="H440" s="2">
        <f t="shared" si="20"/>
        <v>0</v>
      </c>
    </row>
    <row r="441" spans="2:8">
      <c r="B441" t="s">
        <v>1024</v>
      </c>
      <c r="C441" t="s">
        <v>1133</v>
      </c>
      <c r="D441" s="13" t="str">
        <f t="shared" si="21"/>
        <v>18-01</v>
      </c>
      <c r="E441" s="1">
        <f>_xlfn.IFNA(VLOOKUP('Comp X - Kilter'!B441,'Kilter Holds'!$P$36:$AB$370,12,0),0)</f>
        <v>12</v>
      </c>
      <c r="G441" s="2">
        <f t="shared" si="19"/>
        <v>0</v>
      </c>
      <c r="H441" s="2">
        <f t="shared" si="20"/>
        <v>0</v>
      </c>
    </row>
    <row r="442" spans="2:8">
      <c r="B442" t="s">
        <v>1024</v>
      </c>
      <c r="C442" t="s">
        <v>1133</v>
      </c>
      <c r="D442" s="12" t="str">
        <f t="shared" si="21"/>
        <v>12-01</v>
      </c>
      <c r="E442" s="1">
        <f>_xlfn.IFNA(VLOOKUP('Comp X - Kilter'!B442,'Kilter Holds'!$P$36:$AB$370,13,0),0)</f>
        <v>3</v>
      </c>
      <c r="G442" s="2">
        <f t="shared" si="19"/>
        <v>0</v>
      </c>
      <c r="H442" s="2">
        <f t="shared" si="20"/>
        <v>0</v>
      </c>
    </row>
    <row r="443" spans="2:8">
      <c r="B443" t="s">
        <v>1693</v>
      </c>
      <c r="C443" t="s">
        <v>1694</v>
      </c>
      <c r="D443" s="5" t="str">
        <f t="shared" si="21"/>
        <v>11-12</v>
      </c>
      <c r="E443" s="1">
        <f>_xlfn.IFNA(VLOOKUP('Comp X - Kilter'!B443,'Kilter Holds'!$P$36:$AB$370,5,0),0)</f>
        <v>7</v>
      </c>
      <c r="G443" s="2">
        <f t="shared" ref="G443:G460" si="22">E443*F443</f>
        <v>0</v>
      </c>
      <c r="H443" s="2">
        <f t="shared" ref="H443:H460" si="23">IF($S$11="Y",G443*0.15,0)</f>
        <v>0</v>
      </c>
    </row>
    <row r="444" spans="2:8">
      <c r="B444" t="s">
        <v>1693</v>
      </c>
      <c r="C444" t="s">
        <v>1694</v>
      </c>
      <c r="D444" s="6" t="str">
        <f t="shared" si="21"/>
        <v>14-01</v>
      </c>
      <c r="E444" s="1">
        <f>_xlfn.IFNA(VLOOKUP('Comp X - Kilter'!B444,'Kilter Holds'!$P$36:$AB$370,6,0),0)</f>
        <v>0</v>
      </c>
      <c r="G444" s="2">
        <f t="shared" si="22"/>
        <v>0</v>
      </c>
      <c r="H444" s="2">
        <f t="shared" si="23"/>
        <v>0</v>
      </c>
    </row>
    <row r="445" spans="2:8">
      <c r="B445" t="s">
        <v>1693</v>
      </c>
      <c r="C445" t="s">
        <v>1694</v>
      </c>
      <c r="D445" s="7" t="str">
        <f t="shared" si="21"/>
        <v>15-12</v>
      </c>
      <c r="E445" s="1">
        <f>_xlfn.IFNA(VLOOKUP('Comp X - Kilter'!B445,'Kilter Holds'!$P$36:$AB$370,7,0),0)</f>
        <v>7</v>
      </c>
      <c r="G445" s="2">
        <f t="shared" si="22"/>
        <v>0</v>
      </c>
      <c r="H445" s="2">
        <f t="shared" si="23"/>
        <v>0</v>
      </c>
    </row>
    <row r="446" spans="2:8">
      <c r="B446" t="s">
        <v>1693</v>
      </c>
      <c r="C446" t="s">
        <v>1694</v>
      </c>
      <c r="D446" s="8" t="str">
        <f t="shared" si="21"/>
        <v>16-16</v>
      </c>
      <c r="E446" s="1">
        <f>_xlfn.IFNA(VLOOKUP('Comp X - Kilter'!B446,'Kilter Holds'!$P$36:$AB$370,8,0),0)</f>
        <v>5</v>
      </c>
      <c r="G446" s="2">
        <f t="shared" si="22"/>
        <v>0</v>
      </c>
      <c r="H446" s="2">
        <f t="shared" si="23"/>
        <v>0</v>
      </c>
    </row>
    <row r="447" spans="2:8">
      <c r="B447" t="s">
        <v>1693</v>
      </c>
      <c r="C447" t="s">
        <v>1694</v>
      </c>
      <c r="D447" s="9" t="str">
        <f t="shared" si="21"/>
        <v>13-01</v>
      </c>
      <c r="E447" s="1">
        <f>_xlfn.IFNA(VLOOKUP('Comp X - Kilter'!B447,'Kilter Holds'!$P$36:$AB$370,9,0),0)</f>
        <v>5</v>
      </c>
      <c r="G447" s="2">
        <f t="shared" si="22"/>
        <v>0</v>
      </c>
      <c r="H447" s="2">
        <f t="shared" si="23"/>
        <v>0</v>
      </c>
    </row>
    <row r="448" spans="2:8">
      <c r="B448" t="s">
        <v>1693</v>
      </c>
      <c r="C448" t="s">
        <v>1694</v>
      </c>
      <c r="D448" s="10" t="str">
        <f t="shared" si="21"/>
        <v>07-13</v>
      </c>
      <c r="E448" s="1">
        <f>_xlfn.IFNA(VLOOKUP('Comp X - Kilter'!B448,'Kilter Holds'!$P$36:$AB$370,10,0),0)</f>
        <v>5</v>
      </c>
      <c r="G448" s="2">
        <f t="shared" si="22"/>
        <v>0</v>
      </c>
      <c r="H448" s="2">
        <f t="shared" si="23"/>
        <v>0</v>
      </c>
    </row>
    <row r="449" spans="2:8">
      <c r="B449" t="s">
        <v>1693</v>
      </c>
      <c r="C449" t="s">
        <v>1694</v>
      </c>
      <c r="D449" s="11" t="str">
        <f t="shared" si="21"/>
        <v>11-25</v>
      </c>
      <c r="E449" s="1">
        <f>_xlfn.IFNA(VLOOKUP('Comp X - Kilter'!B449,'Kilter Holds'!$P$36:$AB$370,11,0),0)</f>
        <v>0</v>
      </c>
      <c r="G449" s="2">
        <f t="shared" si="22"/>
        <v>0</v>
      </c>
      <c r="H449" s="2">
        <f t="shared" si="23"/>
        <v>0</v>
      </c>
    </row>
    <row r="450" spans="2:8">
      <c r="B450" t="s">
        <v>1693</v>
      </c>
      <c r="C450" t="s">
        <v>1694</v>
      </c>
      <c r="D450" s="13" t="str">
        <f t="shared" si="21"/>
        <v>18-01</v>
      </c>
      <c r="E450" s="1">
        <f>_xlfn.IFNA(VLOOKUP('Comp X - Kilter'!B450,'Kilter Holds'!$P$36:$AB$370,12,0),0)</f>
        <v>10</v>
      </c>
      <c r="G450" s="2">
        <f t="shared" si="22"/>
        <v>0</v>
      </c>
      <c r="H450" s="2">
        <f t="shared" si="23"/>
        <v>0</v>
      </c>
    </row>
    <row r="451" spans="2:8">
      <c r="B451" t="s">
        <v>1693</v>
      </c>
      <c r="C451" t="s">
        <v>1694</v>
      </c>
      <c r="D451" s="12" t="str">
        <f t="shared" si="21"/>
        <v>12-01</v>
      </c>
      <c r="E451" s="1">
        <f>_xlfn.IFNA(VLOOKUP('Comp X - Kilter'!B451,'Kilter Holds'!$P$36:$AB$370,13,0),0)</f>
        <v>2</v>
      </c>
      <c r="G451" s="2">
        <f t="shared" si="22"/>
        <v>0</v>
      </c>
      <c r="H451" s="2">
        <f t="shared" si="23"/>
        <v>0</v>
      </c>
    </row>
    <row r="452" spans="2:8">
      <c r="B452" t="s">
        <v>1695</v>
      </c>
      <c r="C452" t="s">
        <v>1696</v>
      </c>
      <c r="D452" s="5" t="str">
        <f t="shared" si="21"/>
        <v>11-12</v>
      </c>
      <c r="E452" s="1">
        <f>_xlfn.IFNA(VLOOKUP('Comp X - Kilter'!B452,'Kilter Holds'!$P$36:$AB$370,5,0),0)</f>
        <v>6</v>
      </c>
      <c r="G452" s="2">
        <f t="shared" si="22"/>
        <v>0</v>
      </c>
      <c r="H452" s="2">
        <f t="shared" si="23"/>
        <v>0</v>
      </c>
    </row>
    <row r="453" spans="2:8">
      <c r="B453" t="s">
        <v>1695</v>
      </c>
      <c r="C453" t="s">
        <v>1696</v>
      </c>
      <c r="D453" s="6" t="str">
        <f t="shared" si="21"/>
        <v>14-01</v>
      </c>
      <c r="E453" s="1">
        <f>_xlfn.IFNA(VLOOKUP('Comp X - Kilter'!B453,'Kilter Holds'!$P$36:$AB$370,6,0),0)</f>
        <v>0</v>
      </c>
      <c r="G453" s="2">
        <f t="shared" si="22"/>
        <v>0</v>
      </c>
      <c r="H453" s="2">
        <f t="shared" si="23"/>
        <v>0</v>
      </c>
    </row>
    <row r="454" spans="2:8">
      <c r="B454" t="s">
        <v>1695</v>
      </c>
      <c r="C454" t="s">
        <v>1696</v>
      </c>
      <c r="D454" s="7" t="str">
        <f t="shared" si="21"/>
        <v>15-12</v>
      </c>
      <c r="E454" s="1">
        <f>_xlfn.IFNA(VLOOKUP('Comp X - Kilter'!B454,'Kilter Holds'!$P$36:$AB$370,7,0),0)</f>
        <v>5</v>
      </c>
      <c r="G454" s="2">
        <f t="shared" si="22"/>
        <v>0</v>
      </c>
      <c r="H454" s="2">
        <f t="shared" si="23"/>
        <v>0</v>
      </c>
    </row>
    <row r="455" spans="2:8">
      <c r="B455" t="s">
        <v>1695</v>
      </c>
      <c r="C455" t="s">
        <v>1696</v>
      </c>
      <c r="D455" s="8" t="str">
        <f t="shared" si="21"/>
        <v>16-16</v>
      </c>
      <c r="E455" s="1">
        <f>_xlfn.IFNA(VLOOKUP('Comp X - Kilter'!B455,'Kilter Holds'!$P$36:$AB$370,8,0),0)</f>
        <v>0</v>
      </c>
      <c r="G455" s="2">
        <f t="shared" si="22"/>
        <v>0</v>
      </c>
      <c r="H455" s="2">
        <f t="shared" si="23"/>
        <v>0</v>
      </c>
    </row>
    <row r="456" spans="2:8">
      <c r="B456" t="s">
        <v>1695</v>
      </c>
      <c r="C456" t="s">
        <v>1696</v>
      </c>
      <c r="D456" s="9" t="str">
        <f t="shared" si="21"/>
        <v>13-01</v>
      </c>
      <c r="E456" s="1">
        <f>_xlfn.IFNA(VLOOKUP('Comp X - Kilter'!B456,'Kilter Holds'!$P$36:$AB$370,9,0),0)</f>
        <v>8</v>
      </c>
      <c r="G456" s="2">
        <f t="shared" si="22"/>
        <v>0</v>
      </c>
      <c r="H456" s="2">
        <f t="shared" si="23"/>
        <v>0</v>
      </c>
    </row>
    <row r="457" spans="2:8">
      <c r="B457" t="s">
        <v>1695</v>
      </c>
      <c r="C457" t="s">
        <v>1696</v>
      </c>
      <c r="D457" s="10" t="str">
        <f t="shared" si="21"/>
        <v>07-13</v>
      </c>
      <c r="E457" s="1">
        <f>_xlfn.IFNA(VLOOKUP('Comp X - Kilter'!B457,'Kilter Holds'!$P$36:$AB$370,10,0),0)</f>
        <v>5</v>
      </c>
      <c r="G457" s="2">
        <f t="shared" si="22"/>
        <v>0</v>
      </c>
      <c r="H457" s="2">
        <f t="shared" si="23"/>
        <v>0</v>
      </c>
    </row>
    <row r="458" spans="2:8">
      <c r="B458" t="s">
        <v>1695</v>
      </c>
      <c r="C458" t="s">
        <v>1696</v>
      </c>
      <c r="D458" s="11" t="str">
        <f t="shared" si="21"/>
        <v>11-25</v>
      </c>
      <c r="E458" s="1">
        <f>_xlfn.IFNA(VLOOKUP('Comp X - Kilter'!B458,'Kilter Holds'!$P$36:$AB$370,11,0),0)</f>
        <v>0</v>
      </c>
      <c r="G458" s="2">
        <f t="shared" si="22"/>
        <v>0</v>
      </c>
      <c r="H458" s="2">
        <f t="shared" si="23"/>
        <v>0</v>
      </c>
    </row>
    <row r="459" spans="2:8">
      <c r="B459" t="s">
        <v>1695</v>
      </c>
      <c r="C459" t="s">
        <v>1696</v>
      </c>
      <c r="D459" s="13" t="str">
        <f t="shared" si="21"/>
        <v>18-01</v>
      </c>
      <c r="E459" s="1">
        <f>_xlfn.IFNA(VLOOKUP('Comp X - Kilter'!B459,'Kilter Holds'!$P$36:$AB$370,12,0),0)</f>
        <v>9</v>
      </c>
      <c r="G459" s="2">
        <f t="shared" si="22"/>
        <v>0</v>
      </c>
      <c r="H459" s="2">
        <f t="shared" si="23"/>
        <v>0</v>
      </c>
    </row>
    <row r="460" spans="2:8">
      <c r="B460" t="s">
        <v>1695</v>
      </c>
      <c r="C460" t="s">
        <v>1696</v>
      </c>
      <c r="D460" s="12" t="str">
        <f t="shared" si="21"/>
        <v>12-01</v>
      </c>
      <c r="E460" s="1">
        <f>_xlfn.IFNA(VLOOKUP('Comp X - Kilter'!B460,'Kilter Holds'!$P$36:$AB$370,13,0),0)</f>
        <v>2</v>
      </c>
      <c r="G460" s="2">
        <f t="shared" si="22"/>
        <v>0</v>
      </c>
      <c r="H460" s="2">
        <f t="shared" si="23"/>
        <v>0</v>
      </c>
    </row>
    <row r="461" spans="2:8">
      <c r="B461" t="s">
        <v>1026</v>
      </c>
      <c r="C461" t="s">
        <v>1134</v>
      </c>
      <c r="D461" s="5" t="str">
        <f t="shared" ref="D461:D469" si="24">D434</f>
        <v>11-12</v>
      </c>
      <c r="E461" s="1">
        <f>_xlfn.IFNA(VLOOKUP('Comp X - Kilter'!B461,'Kilter Holds'!$P$36:$AB$370,5,0),0)</f>
        <v>2</v>
      </c>
      <c r="G461" s="2">
        <f t="shared" si="19"/>
        <v>0</v>
      </c>
      <c r="H461" s="2">
        <f t="shared" si="20"/>
        <v>0</v>
      </c>
    </row>
    <row r="462" spans="2:8">
      <c r="B462" t="s">
        <v>1026</v>
      </c>
      <c r="C462" t="s">
        <v>1134</v>
      </c>
      <c r="D462" s="6" t="str">
        <f t="shared" si="24"/>
        <v>14-01</v>
      </c>
      <c r="E462" s="1">
        <f>_xlfn.IFNA(VLOOKUP('Comp X - Kilter'!B462,'Kilter Holds'!$P$36:$AB$370,6,0),0)</f>
        <v>0</v>
      </c>
      <c r="G462" s="2">
        <f t="shared" si="19"/>
        <v>0</v>
      </c>
      <c r="H462" s="2">
        <f t="shared" si="20"/>
        <v>0</v>
      </c>
    </row>
    <row r="463" spans="2:8">
      <c r="B463" t="s">
        <v>1026</v>
      </c>
      <c r="C463" t="s">
        <v>1134</v>
      </c>
      <c r="D463" s="7" t="str">
        <f t="shared" si="24"/>
        <v>15-12</v>
      </c>
      <c r="E463" s="1">
        <f>_xlfn.IFNA(VLOOKUP('Comp X - Kilter'!B463,'Kilter Holds'!$P$36:$AB$370,7,0),0)</f>
        <v>7</v>
      </c>
      <c r="G463" s="2">
        <f t="shared" si="19"/>
        <v>0</v>
      </c>
      <c r="H463" s="2">
        <f t="shared" si="20"/>
        <v>0</v>
      </c>
    </row>
    <row r="464" spans="2:8">
      <c r="B464" t="s">
        <v>1026</v>
      </c>
      <c r="C464" t="s">
        <v>1134</v>
      </c>
      <c r="D464" s="8" t="str">
        <f t="shared" si="24"/>
        <v>16-16</v>
      </c>
      <c r="E464" s="1">
        <f>_xlfn.IFNA(VLOOKUP('Comp X - Kilter'!B464,'Kilter Holds'!$P$36:$AB$370,8,0),0)</f>
        <v>3</v>
      </c>
      <c r="G464" s="2">
        <f t="shared" si="19"/>
        <v>0</v>
      </c>
      <c r="H464" s="2">
        <f t="shared" si="20"/>
        <v>0</v>
      </c>
    </row>
    <row r="465" spans="2:8">
      <c r="B465" t="s">
        <v>1026</v>
      </c>
      <c r="C465" t="s">
        <v>1134</v>
      </c>
      <c r="D465" s="9" t="str">
        <f t="shared" si="24"/>
        <v>13-01</v>
      </c>
      <c r="E465" s="1">
        <f>_xlfn.IFNA(VLOOKUP('Comp X - Kilter'!B465,'Kilter Holds'!$P$36:$AB$370,9,0),0)</f>
        <v>4</v>
      </c>
      <c r="G465" s="2">
        <f t="shared" si="19"/>
        <v>0</v>
      </c>
      <c r="H465" s="2">
        <f t="shared" si="20"/>
        <v>0</v>
      </c>
    </row>
    <row r="466" spans="2:8">
      <c r="B466" t="s">
        <v>1026</v>
      </c>
      <c r="C466" t="s">
        <v>1134</v>
      </c>
      <c r="D466" s="10" t="str">
        <f t="shared" si="24"/>
        <v>07-13</v>
      </c>
      <c r="E466" s="1">
        <f>_xlfn.IFNA(VLOOKUP('Comp X - Kilter'!B466,'Kilter Holds'!$P$36:$AB$370,10,0),0)</f>
        <v>0</v>
      </c>
      <c r="G466" s="2">
        <f t="shared" si="19"/>
        <v>0</v>
      </c>
      <c r="H466" s="2">
        <f t="shared" si="20"/>
        <v>0</v>
      </c>
    </row>
    <row r="467" spans="2:8">
      <c r="B467" t="s">
        <v>1026</v>
      </c>
      <c r="C467" t="s">
        <v>1134</v>
      </c>
      <c r="D467" s="11" t="str">
        <f t="shared" si="24"/>
        <v>11-25</v>
      </c>
      <c r="E467" s="1">
        <f>_xlfn.IFNA(VLOOKUP('Comp X - Kilter'!B467,'Kilter Holds'!$P$36:$AB$370,11,0),0)</f>
        <v>5</v>
      </c>
      <c r="G467" s="2">
        <f t="shared" si="19"/>
        <v>0</v>
      </c>
      <c r="H467" s="2">
        <f t="shared" si="20"/>
        <v>0</v>
      </c>
    </row>
    <row r="468" spans="2:8">
      <c r="B468" t="s">
        <v>1026</v>
      </c>
      <c r="C468" t="s">
        <v>1134</v>
      </c>
      <c r="D468" s="13" t="str">
        <f t="shared" si="24"/>
        <v>18-01</v>
      </c>
      <c r="E468" s="1">
        <f>_xlfn.IFNA(VLOOKUP('Comp X - Kilter'!B468,'Kilter Holds'!$P$36:$AB$370,12,0),0)</f>
        <v>11</v>
      </c>
      <c r="G468" s="2">
        <f t="shared" si="19"/>
        <v>0</v>
      </c>
      <c r="H468" s="2">
        <f t="shared" si="20"/>
        <v>0</v>
      </c>
    </row>
    <row r="469" spans="2:8">
      <c r="B469" t="s">
        <v>1026</v>
      </c>
      <c r="C469" t="s">
        <v>1134</v>
      </c>
      <c r="D469" s="12" t="str">
        <f t="shared" si="24"/>
        <v>12-01</v>
      </c>
      <c r="E469" s="1">
        <f>_xlfn.IFNA(VLOOKUP('Comp X - Kilter'!B469,'Kilter Holds'!$P$36:$AB$370,13,0),0)</f>
        <v>0</v>
      </c>
      <c r="G469" s="2">
        <f t="shared" ref="G469:G532" si="25">E469*F469</f>
        <v>0</v>
      </c>
      <c r="H469" s="2">
        <f t="shared" ref="H469:H532" si="26">IF($S$11="Y",G469*0.15,0)</f>
        <v>0</v>
      </c>
    </row>
    <row r="470" spans="2:8">
      <c r="B470" t="s">
        <v>1030</v>
      </c>
      <c r="C470" t="s">
        <v>1135</v>
      </c>
      <c r="D470" s="5" t="str">
        <f t="shared" si="21"/>
        <v>11-12</v>
      </c>
      <c r="E470" s="1">
        <f>_xlfn.IFNA(VLOOKUP('Comp X - Kilter'!B470,'Kilter Holds'!$P$36:$AB$370,5,0),0)</f>
        <v>7</v>
      </c>
      <c r="G470" s="2">
        <f t="shared" si="25"/>
        <v>0</v>
      </c>
      <c r="H470" s="2">
        <f t="shared" si="26"/>
        <v>0</v>
      </c>
    </row>
    <row r="471" spans="2:8">
      <c r="B471" t="s">
        <v>1030</v>
      </c>
      <c r="C471" t="s">
        <v>1135</v>
      </c>
      <c r="D471" s="6" t="str">
        <f t="shared" si="21"/>
        <v>14-01</v>
      </c>
      <c r="E471" s="1">
        <f>_xlfn.IFNA(VLOOKUP('Comp X - Kilter'!B471,'Kilter Holds'!$P$36:$AB$370,6,0),0)</f>
        <v>5</v>
      </c>
      <c r="G471" s="2">
        <f t="shared" si="25"/>
        <v>0</v>
      </c>
      <c r="H471" s="2">
        <f t="shared" si="26"/>
        <v>0</v>
      </c>
    </row>
    <row r="472" spans="2:8">
      <c r="B472" t="s">
        <v>1030</v>
      </c>
      <c r="C472" t="s">
        <v>1135</v>
      </c>
      <c r="D472" s="7" t="str">
        <f t="shared" si="21"/>
        <v>15-12</v>
      </c>
      <c r="E472" s="1">
        <f>_xlfn.IFNA(VLOOKUP('Comp X - Kilter'!B472,'Kilter Holds'!$P$36:$AB$370,7,0),0)</f>
        <v>5</v>
      </c>
      <c r="G472" s="2">
        <f t="shared" si="25"/>
        <v>0</v>
      </c>
      <c r="H472" s="2">
        <f t="shared" si="26"/>
        <v>0</v>
      </c>
    </row>
    <row r="473" spans="2:8">
      <c r="B473" t="s">
        <v>1030</v>
      </c>
      <c r="C473" t="s">
        <v>1135</v>
      </c>
      <c r="D473" s="8" t="str">
        <f t="shared" si="21"/>
        <v>16-16</v>
      </c>
      <c r="E473" s="1">
        <f>_xlfn.IFNA(VLOOKUP('Comp X - Kilter'!B473,'Kilter Holds'!$P$36:$AB$370,8,0),0)</f>
        <v>5</v>
      </c>
      <c r="G473" s="2">
        <f t="shared" si="25"/>
        <v>0</v>
      </c>
      <c r="H473" s="2">
        <f t="shared" si="26"/>
        <v>0</v>
      </c>
    </row>
    <row r="474" spans="2:8">
      <c r="B474" t="s">
        <v>1030</v>
      </c>
      <c r="C474" t="s">
        <v>1135</v>
      </c>
      <c r="D474" s="9" t="str">
        <f t="shared" si="21"/>
        <v>13-01</v>
      </c>
      <c r="E474" s="1">
        <f>_xlfn.IFNA(VLOOKUP('Comp X - Kilter'!B474,'Kilter Holds'!$P$36:$AB$370,9,0),0)</f>
        <v>8</v>
      </c>
      <c r="G474" s="2">
        <f t="shared" si="25"/>
        <v>0</v>
      </c>
      <c r="H474" s="2">
        <f t="shared" si="26"/>
        <v>0</v>
      </c>
    </row>
    <row r="475" spans="2:8">
      <c r="B475" t="s">
        <v>1030</v>
      </c>
      <c r="C475" t="s">
        <v>1135</v>
      </c>
      <c r="D475" s="10" t="str">
        <f t="shared" si="21"/>
        <v>07-13</v>
      </c>
      <c r="E475" s="1">
        <f>_xlfn.IFNA(VLOOKUP('Comp X - Kilter'!B475,'Kilter Holds'!$P$36:$AB$370,10,0),0)</f>
        <v>5</v>
      </c>
      <c r="G475" s="2">
        <f t="shared" si="25"/>
        <v>0</v>
      </c>
      <c r="H475" s="2">
        <f t="shared" si="26"/>
        <v>0</v>
      </c>
    </row>
    <row r="476" spans="2:8">
      <c r="B476" t="s">
        <v>1030</v>
      </c>
      <c r="C476" t="s">
        <v>1135</v>
      </c>
      <c r="D476" s="11" t="str">
        <f t="shared" si="21"/>
        <v>11-25</v>
      </c>
      <c r="E476" s="1">
        <f>_xlfn.IFNA(VLOOKUP('Comp X - Kilter'!B476,'Kilter Holds'!$P$36:$AB$370,11,0),0)</f>
        <v>4</v>
      </c>
      <c r="G476" s="2">
        <f t="shared" si="25"/>
        <v>0</v>
      </c>
      <c r="H476" s="2">
        <f t="shared" si="26"/>
        <v>0</v>
      </c>
    </row>
    <row r="477" spans="2:8">
      <c r="B477" t="s">
        <v>1030</v>
      </c>
      <c r="C477" t="s">
        <v>1135</v>
      </c>
      <c r="D477" s="13" t="str">
        <f t="shared" si="21"/>
        <v>18-01</v>
      </c>
      <c r="E477" s="1">
        <f>_xlfn.IFNA(VLOOKUP('Comp X - Kilter'!B477,'Kilter Holds'!$P$36:$AB$370,12,0),0)</f>
        <v>10</v>
      </c>
      <c r="G477" s="2">
        <f t="shared" si="25"/>
        <v>0</v>
      </c>
      <c r="H477" s="2">
        <f t="shared" si="26"/>
        <v>0</v>
      </c>
    </row>
    <row r="478" spans="2:8">
      <c r="B478" t="s">
        <v>1030</v>
      </c>
      <c r="C478" t="s">
        <v>1135</v>
      </c>
      <c r="D478" s="12" t="str">
        <f t="shared" si="21"/>
        <v>12-01</v>
      </c>
      <c r="E478" s="1">
        <f>_xlfn.IFNA(VLOOKUP('Comp X - Kilter'!B478,'Kilter Holds'!$P$36:$AB$370,13,0),0)</f>
        <v>3</v>
      </c>
      <c r="G478" s="2">
        <f t="shared" si="25"/>
        <v>0</v>
      </c>
      <c r="H478" s="2">
        <f t="shared" si="26"/>
        <v>0</v>
      </c>
    </row>
    <row r="479" spans="2:8">
      <c r="B479" t="s">
        <v>1031</v>
      </c>
      <c r="C479" t="s">
        <v>1136</v>
      </c>
      <c r="D479" s="5" t="str">
        <f t="shared" si="21"/>
        <v>11-12</v>
      </c>
      <c r="E479" s="1">
        <f>_xlfn.IFNA(VLOOKUP('Comp X - Kilter'!B479,'Kilter Holds'!$P$36:$AB$370,5,0),0)</f>
        <v>4</v>
      </c>
      <c r="G479" s="2">
        <f t="shared" si="25"/>
        <v>0</v>
      </c>
      <c r="H479" s="2">
        <f t="shared" si="26"/>
        <v>0</v>
      </c>
    </row>
    <row r="480" spans="2:8">
      <c r="B480" t="s">
        <v>1031</v>
      </c>
      <c r="C480" t="s">
        <v>1136</v>
      </c>
      <c r="D480" s="6" t="str">
        <f t="shared" si="21"/>
        <v>14-01</v>
      </c>
      <c r="E480" s="1">
        <f>_xlfn.IFNA(VLOOKUP('Comp X - Kilter'!B480,'Kilter Holds'!$P$36:$AB$370,6,0),0)</f>
        <v>1</v>
      </c>
      <c r="G480" s="2">
        <f t="shared" si="25"/>
        <v>0</v>
      </c>
      <c r="H480" s="2">
        <f t="shared" si="26"/>
        <v>0</v>
      </c>
    </row>
    <row r="481" spans="2:8">
      <c r="B481" t="s">
        <v>1031</v>
      </c>
      <c r="C481" t="s">
        <v>1136</v>
      </c>
      <c r="D481" s="7" t="str">
        <f t="shared" si="21"/>
        <v>15-12</v>
      </c>
      <c r="E481" s="1">
        <f>_xlfn.IFNA(VLOOKUP('Comp X - Kilter'!B481,'Kilter Holds'!$P$36:$AB$370,7,0),0)</f>
        <v>0</v>
      </c>
      <c r="G481" s="2">
        <f t="shared" si="25"/>
        <v>0</v>
      </c>
      <c r="H481" s="2">
        <f t="shared" si="26"/>
        <v>0</v>
      </c>
    </row>
    <row r="482" spans="2:8">
      <c r="B482" t="s">
        <v>1031</v>
      </c>
      <c r="C482" t="s">
        <v>1136</v>
      </c>
      <c r="D482" s="8" t="str">
        <f t="shared" si="21"/>
        <v>16-16</v>
      </c>
      <c r="E482" s="1">
        <f>_xlfn.IFNA(VLOOKUP('Comp X - Kilter'!B482,'Kilter Holds'!$P$36:$AB$370,8,0),0)</f>
        <v>5</v>
      </c>
      <c r="G482" s="2">
        <f t="shared" si="25"/>
        <v>0</v>
      </c>
      <c r="H482" s="2">
        <f t="shared" si="26"/>
        <v>0</v>
      </c>
    </row>
    <row r="483" spans="2:8">
      <c r="B483" t="s">
        <v>1031</v>
      </c>
      <c r="C483" t="s">
        <v>1136</v>
      </c>
      <c r="D483" s="9" t="str">
        <f t="shared" si="21"/>
        <v>13-01</v>
      </c>
      <c r="E483" s="1">
        <f>_xlfn.IFNA(VLOOKUP('Comp X - Kilter'!B483,'Kilter Holds'!$P$36:$AB$370,9,0),0)</f>
        <v>7</v>
      </c>
      <c r="G483" s="2">
        <f t="shared" si="25"/>
        <v>0</v>
      </c>
      <c r="H483" s="2">
        <f t="shared" si="26"/>
        <v>0</v>
      </c>
    </row>
    <row r="484" spans="2:8">
      <c r="B484" t="s">
        <v>1031</v>
      </c>
      <c r="C484" t="s">
        <v>1136</v>
      </c>
      <c r="D484" s="10" t="str">
        <f t="shared" si="21"/>
        <v>07-13</v>
      </c>
      <c r="E484" s="1">
        <f>_xlfn.IFNA(VLOOKUP('Comp X - Kilter'!B484,'Kilter Holds'!$P$36:$AB$370,10,0),0)</f>
        <v>5</v>
      </c>
      <c r="G484" s="2">
        <f t="shared" si="25"/>
        <v>0</v>
      </c>
      <c r="H484" s="2">
        <f t="shared" si="26"/>
        <v>0</v>
      </c>
    </row>
    <row r="485" spans="2:8">
      <c r="B485" t="s">
        <v>1031</v>
      </c>
      <c r="C485" t="s">
        <v>1136</v>
      </c>
      <c r="D485" s="11" t="str">
        <f t="shared" si="21"/>
        <v>11-25</v>
      </c>
      <c r="E485" s="1">
        <f>_xlfn.IFNA(VLOOKUP('Comp X - Kilter'!B485,'Kilter Holds'!$P$36:$AB$370,11,0),0)</f>
        <v>0</v>
      </c>
      <c r="G485" s="2">
        <f t="shared" si="25"/>
        <v>0</v>
      </c>
      <c r="H485" s="2">
        <f t="shared" si="26"/>
        <v>0</v>
      </c>
    </row>
    <row r="486" spans="2:8">
      <c r="B486" t="s">
        <v>1031</v>
      </c>
      <c r="C486" t="s">
        <v>1136</v>
      </c>
      <c r="D486" s="13" t="str">
        <f t="shared" ref="D486:D549" si="27">D477</f>
        <v>18-01</v>
      </c>
      <c r="E486" s="1">
        <f>_xlfn.IFNA(VLOOKUP('Comp X - Kilter'!B486,'Kilter Holds'!$P$36:$AB$370,12,0),0)</f>
        <v>6</v>
      </c>
      <c r="G486" s="2">
        <f t="shared" si="25"/>
        <v>0</v>
      </c>
      <c r="H486" s="2">
        <f t="shared" si="26"/>
        <v>0</v>
      </c>
    </row>
    <row r="487" spans="2:8">
      <c r="B487" t="s">
        <v>1031</v>
      </c>
      <c r="C487" t="s">
        <v>1136</v>
      </c>
      <c r="D487" s="12" t="str">
        <f t="shared" si="27"/>
        <v>12-01</v>
      </c>
      <c r="E487" s="1">
        <f>_xlfn.IFNA(VLOOKUP('Comp X - Kilter'!B487,'Kilter Holds'!$P$36:$AB$370,13,0),0)</f>
        <v>1</v>
      </c>
      <c r="G487" s="2">
        <f t="shared" si="25"/>
        <v>0</v>
      </c>
      <c r="H487" s="2">
        <f t="shared" si="26"/>
        <v>0</v>
      </c>
    </row>
    <row r="488" spans="2:8">
      <c r="B488" t="s">
        <v>1032</v>
      </c>
      <c r="C488" t="s">
        <v>1137</v>
      </c>
      <c r="D488" s="5" t="str">
        <f t="shared" si="27"/>
        <v>11-12</v>
      </c>
      <c r="E488" s="1">
        <f>_xlfn.IFNA(VLOOKUP('Comp X - Kilter'!B488,'Kilter Holds'!$P$36:$AB$370,5,0),0)</f>
        <v>5</v>
      </c>
      <c r="G488" s="2">
        <f t="shared" si="25"/>
        <v>0</v>
      </c>
      <c r="H488" s="2">
        <f t="shared" si="26"/>
        <v>0</v>
      </c>
    </row>
    <row r="489" spans="2:8">
      <c r="B489" t="s">
        <v>1032</v>
      </c>
      <c r="C489" t="s">
        <v>1137</v>
      </c>
      <c r="D489" s="6" t="str">
        <f t="shared" si="27"/>
        <v>14-01</v>
      </c>
      <c r="E489" s="1">
        <f>_xlfn.IFNA(VLOOKUP('Comp X - Kilter'!B489,'Kilter Holds'!$P$36:$AB$370,6,0),0)</f>
        <v>3</v>
      </c>
      <c r="G489" s="2">
        <f t="shared" si="25"/>
        <v>0</v>
      </c>
      <c r="H489" s="2">
        <f t="shared" si="26"/>
        <v>0</v>
      </c>
    </row>
    <row r="490" spans="2:8">
      <c r="B490" t="s">
        <v>1032</v>
      </c>
      <c r="C490" t="s">
        <v>1137</v>
      </c>
      <c r="D490" s="7" t="str">
        <f t="shared" si="27"/>
        <v>15-12</v>
      </c>
      <c r="E490" s="1">
        <f>_xlfn.IFNA(VLOOKUP('Comp X - Kilter'!B490,'Kilter Holds'!$P$36:$AB$370,7,0),0)</f>
        <v>1</v>
      </c>
      <c r="G490" s="2">
        <f t="shared" si="25"/>
        <v>0</v>
      </c>
      <c r="H490" s="2">
        <f t="shared" si="26"/>
        <v>0</v>
      </c>
    </row>
    <row r="491" spans="2:8">
      <c r="B491" t="s">
        <v>1032</v>
      </c>
      <c r="C491" t="s">
        <v>1137</v>
      </c>
      <c r="D491" s="8" t="str">
        <f t="shared" si="27"/>
        <v>16-16</v>
      </c>
      <c r="E491" s="1">
        <f>_xlfn.IFNA(VLOOKUP('Comp X - Kilter'!B491,'Kilter Holds'!$P$36:$AB$370,8,0),0)</f>
        <v>7</v>
      </c>
      <c r="G491" s="2">
        <f t="shared" si="25"/>
        <v>0</v>
      </c>
      <c r="H491" s="2">
        <f t="shared" si="26"/>
        <v>0</v>
      </c>
    </row>
    <row r="492" spans="2:8">
      <c r="B492" t="s">
        <v>1032</v>
      </c>
      <c r="C492" t="s">
        <v>1137</v>
      </c>
      <c r="D492" s="9" t="str">
        <f t="shared" si="27"/>
        <v>13-01</v>
      </c>
      <c r="E492" s="1">
        <f>_xlfn.IFNA(VLOOKUP('Comp X - Kilter'!B492,'Kilter Holds'!$P$36:$AB$370,9,0),0)</f>
        <v>6</v>
      </c>
      <c r="G492" s="2">
        <f t="shared" si="25"/>
        <v>0</v>
      </c>
      <c r="H492" s="2">
        <f t="shared" si="26"/>
        <v>0</v>
      </c>
    </row>
    <row r="493" spans="2:8">
      <c r="B493" t="s">
        <v>1032</v>
      </c>
      <c r="C493" t="s">
        <v>1137</v>
      </c>
      <c r="D493" s="10" t="str">
        <f t="shared" si="27"/>
        <v>07-13</v>
      </c>
      <c r="E493" s="1">
        <f>_xlfn.IFNA(VLOOKUP('Comp X - Kilter'!B493,'Kilter Holds'!$P$36:$AB$370,10,0),0)</f>
        <v>5</v>
      </c>
      <c r="G493" s="2">
        <f t="shared" si="25"/>
        <v>0</v>
      </c>
      <c r="H493" s="2">
        <f t="shared" si="26"/>
        <v>0</v>
      </c>
    </row>
    <row r="494" spans="2:8">
      <c r="B494" t="s">
        <v>1032</v>
      </c>
      <c r="C494" t="s">
        <v>1137</v>
      </c>
      <c r="D494" s="11" t="str">
        <f t="shared" si="27"/>
        <v>11-25</v>
      </c>
      <c r="E494" s="1">
        <f>_xlfn.IFNA(VLOOKUP('Comp X - Kilter'!B494,'Kilter Holds'!$P$36:$AB$370,11,0),0)</f>
        <v>5</v>
      </c>
      <c r="G494" s="2">
        <f t="shared" si="25"/>
        <v>0</v>
      </c>
      <c r="H494" s="2">
        <f t="shared" si="26"/>
        <v>0</v>
      </c>
    </row>
    <row r="495" spans="2:8">
      <c r="B495" t="s">
        <v>1032</v>
      </c>
      <c r="C495" t="s">
        <v>1137</v>
      </c>
      <c r="D495" s="13" t="str">
        <f t="shared" si="27"/>
        <v>18-01</v>
      </c>
      <c r="E495" s="1">
        <f>_xlfn.IFNA(VLOOKUP('Comp X - Kilter'!B495,'Kilter Holds'!$P$36:$AB$370,12,0),0)</f>
        <v>5</v>
      </c>
      <c r="G495" s="2">
        <f t="shared" si="25"/>
        <v>0</v>
      </c>
      <c r="H495" s="2">
        <f t="shared" si="26"/>
        <v>0</v>
      </c>
    </row>
    <row r="496" spans="2:8">
      <c r="B496" t="s">
        <v>1032</v>
      </c>
      <c r="C496" t="s">
        <v>1137</v>
      </c>
      <c r="D496" s="12" t="str">
        <f t="shared" si="27"/>
        <v>12-01</v>
      </c>
      <c r="E496" s="1">
        <f>_xlfn.IFNA(VLOOKUP('Comp X - Kilter'!B496,'Kilter Holds'!$P$36:$AB$370,13,0),0)</f>
        <v>4</v>
      </c>
      <c r="G496" s="2">
        <f t="shared" si="25"/>
        <v>0</v>
      </c>
      <c r="H496" s="2">
        <f t="shared" si="26"/>
        <v>0</v>
      </c>
    </row>
    <row r="497" spans="2:8">
      <c r="B497" t="s">
        <v>1058</v>
      </c>
      <c r="C497" t="s">
        <v>1138</v>
      </c>
      <c r="D497" s="5" t="str">
        <f t="shared" si="27"/>
        <v>11-12</v>
      </c>
      <c r="E497" s="1">
        <f>_xlfn.IFNA(VLOOKUP('Comp X - Kilter'!B497,'Kilter Holds'!$P$36:$AB$370,5,0),0)</f>
        <v>1</v>
      </c>
      <c r="G497" s="2">
        <f t="shared" si="25"/>
        <v>0</v>
      </c>
      <c r="H497" s="2">
        <f t="shared" si="26"/>
        <v>0</v>
      </c>
    </row>
    <row r="498" spans="2:8">
      <c r="B498" t="s">
        <v>1058</v>
      </c>
      <c r="C498" t="s">
        <v>1138</v>
      </c>
      <c r="D498" s="6" t="str">
        <f t="shared" si="27"/>
        <v>14-01</v>
      </c>
      <c r="E498" s="1">
        <f>_xlfn.IFNA(VLOOKUP('Comp X - Kilter'!B498,'Kilter Holds'!$P$36:$AB$370,6,0),0)</f>
        <v>0</v>
      </c>
      <c r="G498" s="2">
        <f t="shared" si="25"/>
        <v>0</v>
      </c>
      <c r="H498" s="2">
        <f t="shared" si="26"/>
        <v>0</v>
      </c>
    </row>
    <row r="499" spans="2:8">
      <c r="B499" t="s">
        <v>1058</v>
      </c>
      <c r="C499" t="s">
        <v>1138</v>
      </c>
      <c r="D499" s="7" t="str">
        <f t="shared" si="27"/>
        <v>15-12</v>
      </c>
      <c r="E499" s="1">
        <f>_xlfn.IFNA(VLOOKUP('Comp X - Kilter'!B499,'Kilter Holds'!$P$36:$AB$370,7,0),0)</f>
        <v>4</v>
      </c>
      <c r="G499" s="2">
        <f t="shared" si="25"/>
        <v>0</v>
      </c>
      <c r="H499" s="2">
        <f t="shared" si="26"/>
        <v>0</v>
      </c>
    </row>
    <row r="500" spans="2:8">
      <c r="B500" t="s">
        <v>1058</v>
      </c>
      <c r="C500" t="s">
        <v>1138</v>
      </c>
      <c r="D500" s="8" t="str">
        <f t="shared" si="27"/>
        <v>16-16</v>
      </c>
      <c r="E500" s="1">
        <f>_xlfn.IFNA(VLOOKUP('Comp X - Kilter'!B500,'Kilter Holds'!$P$36:$AB$370,8,0),0)</f>
        <v>3</v>
      </c>
      <c r="G500" s="2">
        <f t="shared" si="25"/>
        <v>0</v>
      </c>
      <c r="H500" s="2">
        <f t="shared" si="26"/>
        <v>0</v>
      </c>
    </row>
    <row r="501" spans="2:8">
      <c r="B501" t="s">
        <v>1058</v>
      </c>
      <c r="C501" t="s">
        <v>1138</v>
      </c>
      <c r="D501" s="9" t="str">
        <f t="shared" si="27"/>
        <v>13-01</v>
      </c>
      <c r="E501" s="1">
        <f>_xlfn.IFNA(VLOOKUP('Comp X - Kilter'!B501,'Kilter Holds'!$P$36:$AB$370,9,0),0)</f>
        <v>6</v>
      </c>
      <c r="G501" s="2">
        <f t="shared" si="25"/>
        <v>0</v>
      </c>
      <c r="H501" s="2">
        <f t="shared" si="26"/>
        <v>0</v>
      </c>
    </row>
    <row r="502" spans="2:8">
      <c r="B502" t="s">
        <v>1058</v>
      </c>
      <c r="C502" t="s">
        <v>1138</v>
      </c>
      <c r="D502" s="10" t="str">
        <f t="shared" si="27"/>
        <v>07-13</v>
      </c>
      <c r="E502" s="1">
        <f>_xlfn.IFNA(VLOOKUP('Comp X - Kilter'!B502,'Kilter Holds'!$P$36:$AB$370,10,0),0)</f>
        <v>0</v>
      </c>
      <c r="G502" s="2">
        <f t="shared" si="25"/>
        <v>0</v>
      </c>
      <c r="H502" s="2">
        <f t="shared" si="26"/>
        <v>0</v>
      </c>
    </row>
    <row r="503" spans="2:8">
      <c r="B503" t="s">
        <v>1058</v>
      </c>
      <c r="C503" t="s">
        <v>1138</v>
      </c>
      <c r="D503" s="11" t="str">
        <f t="shared" si="27"/>
        <v>11-25</v>
      </c>
      <c r="E503" s="1">
        <f>_xlfn.IFNA(VLOOKUP('Comp X - Kilter'!B503,'Kilter Holds'!$P$36:$AB$370,11,0),0)</f>
        <v>3</v>
      </c>
      <c r="G503" s="2">
        <f t="shared" si="25"/>
        <v>0</v>
      </c>
      <c r="H503" s="2">
        <f t="shared" si="26"/>
        <v>0</v>
      </c>
    </row>
    <row r="504" spans="2:8">
      <c r="B504" t="s">
        <v>1058</v>
      </c>
      <c r="C504" t="s">
        <v>1138</v>
      </c>
      <c r="D504" s="13" t="str">
        <f t="shared" si="27"/>
        <v>18-01</v>
      </c>
      <c r="E504" s="1">
        <f>_xlfn.IFNA(VLOOKUP('Comp X - Kilter'!B504,'Kilter Holds'!$P$36:$AB$370,12,0),0)</f>
        <v>5</v>
      </c>
      <c r="G504" s="2">
        <f t="shared" si="25"/>
        <v>0</v>
      </c>
      <c r="H504" s="2">
        <f t="shared" si="26"/>
        <v>0</v>
      </c>
    </row>
    <row r="505" spans="2:8">
      <c r="B505" t="s">
        <v>1058</v>
      </c>
      <c r="C505" t="s">
        <v>1138</v>
      </c>
      <c r="D505" s="12" t="str">
        <f t="shared" si="27"/>
        <v>12-01</v>
      </c>
      <c r="E505" s="1">
        <f>_xlfn.IFNA(VLOOKUP('Comp X - Kilter'!B505,'Kilter Holds'!$P$36:$AB$370,13,0),0)</f>
        <v>0</v>
      </c>
      <c r="G505" s="2">
        <f t="shared" si="25"/>
        <v>0</v>
      </c>
      <c r="H505" s="2">
        <f t="shared" si="26"/>
        <v>0</v>
      </c>
    </row>
    <row r="506" spans="2:8">
      <c r="B506" t="s">
        <v>1049</v>
      </c>
      <c r="C506" t="s">
        <v>1139</v>
      </c>
      <c r="D506" s="5" t="str">
        <f t="shared" si="27"/>
        <v>11-12</v>
      </c>
      <c r="E506" s="1">
        <f>_xlfn.IFNA(VLOOKUP('Comp X - Kilter'!B506,'Kilter Holds'!$P$36:$AB$370,5,0),0)</f>
        <v>1</v>
      </c>
      <c r="G506" s="2">
        <f t="shared" si="25"/>
        <v>0</v>
      </c>
      <c r="H506" s="2">
        <f t="shared" si="26"/>
        <v>0</v>
      </c>
    </row>
    <row r="507" spans="2:8">
      <c r="B507" t="s">
        <v>1049</v>
      </c>
      <c r="C507" t="s">
        <v>1139</v>
      </c>
      <c r="D507" s="6" t="str">
        <f t="shared" si="27"/>
        <v>14-01</v>
      </c>
      <c r="E507" s="1">
        <f>_xlfn.IFNA(VLOOKUP('Comp X - Kilter'!B507,'Kilter Holds'!$P$36:$AB$370,6,0),0)</f>
        <v>0</v>
      </c>
      <c r="G507" s="2">
        <f t="shared" si="25"/>
        <v>0</v>
      </c>
      <c r="H507" s="2">
        <f t="shared" si="26"/>
        <v>0</v>
      </c>
    </row>
    <row r="508" spans="2:8">
      <c r="B508" t="s">
        <v>1049</v>
      </c>
      <c r="C508" t="s">
        <v>1139</v>
      </c>
      <c r="D508" s="7" t="str">
        <f t="shared" si="27"/>
        <v>15-12</v>
      </c>
      <c r="E508" s="1">
        <f>_xlfn.IFNA(VLOOKUP('Comp X - Kilter'!B508,'Kilter Holds'!$P$36:$AB$370,7,0),0)</f>
        <v>4</v>
      </c>
      <c r="G508" s="2">
        <f t="shared" si="25"/>
        <v>0</v>
      </c>
      <c r="H508" s="2">
        <f t="shared" si="26"/>
        <v>0</v>
      </c>
    </row>
    <row r="509" spans="2:8">
      <c r="B509" t="s">
        <v>1049</v>
      </c>
      <c r="C509" t="s">
        <v>1139</v>
      </c>
      <c r="D509" s="8" t="str">
        <f t="shared" si="27"/>
        <v>16-16</v>
      </c>
      <c r="E509" s="1">
        <f>_xlfn.IFNA(VLOOKUP('Comp X - Kilter'!B509,'Kilter Holds'!$P$36:$AB$370,8,0),0)</f>
        <v>6</v>
      </c>
      <c r="G509" s="2">
        <f t="shared" si="25"/>
        <v>0</v>
      </c>
      <c r="H509" s="2">
        <f t="shared" si="26"/>
        <v>0</v>
      </c>
    </row>
    <row r="510" spans="2:8">
      <c r="B510" t="s">
        <v>1049</v>
      </c>
      <c r="C510" t="s">
        <v>1139</v>
      </c>
      <c r="D510" s="9" t="str">
        <f t="shared" si="27"/>
        <v>13-01</v>
      </c>
      <c r="E510" s="1">
        <f>_xlfn.IFNA(VLOOKUP('Comp X - Kilter'!B510,'Kilter Holds'!$P$36:$AB$370,9,0),0)</f>
        <v>5</v>
      </c>
      <c r="G510" s="2">
        <f t="shared" si="25"/>
        <v>0</v>
      </c>
      <c r="H510" s="2">
        <f t="shared" si="26"/>
        <v>0</v>
      </c>
    </row>
    <row r="511" spans="2:8">
      <c r="B511" t="s">
        <v>1049</v>
      </c>
      <c r="C511" t="s">
        <v>1139</v>
      </c>
      <c r="D511" s="10" t="str">
        <f t="shared" si="27"/>
        <v>07-13</v>
      </c>
      <c r="E511" s="1">
        <f>_xlfn.IFNA(VLOOKUP('Comp X - Kilter'!B511,'Kilter Holds'!$P$36:$AB$370,10,0),0)</f>
        <v>4</v>
      </c>
      <c r="G511" s="2">
        <f t="shared" si="25"/>
        <v>0</v>
      </c>
      <c r="H511" s="2">
        <f t="shared" si="26"/>
        <v>0</v>
      </c>
    </row>
    <row r="512" spans="2:8">
      <c r="B512" t="s">
        <v>1049</v>
      </c>
      <c r="C512" t="s">
        <v>1139</v>
      </c>
      <c r="D512" s="11" t="str">
        <f t="shared" si="27"/>
        <v>11-25</v>
      </c>
      <c r="E512" s="1">
        <f>_xlfn.IFNA(VLOOKUP('Comp X - Kilter'!B512,'Kilter Holds'!$P$36:$AB$370,11,0),0)</f>
        <v>5</v>
      </c>
      <c r="G512" s="2">
        <f t="shared" si="25"/>
        <v>0</v>
      </c>
      <c r="H512" s="2">
        <f t="shared" si="26"/>
        <v>0</v>
      </c>
    </row>
    <row r="513" spans="2:8">
      <c r="B513" t="s">
        <v>1049</v>
      </c>
      <c r="C513" t="s">
        <v>1139</v>
      </c>
      <c r="D513" s="13" t="str">
        <f t="shared" si="27"/>
        <v>18-01</v>
      </c>
      <c r="E513" s="1">
        <f>_xlfn.IFNA(VLOOKUP('Comp X - Kilter'!B513,'Kilter Holds'!$P$36:$AB$370,12,0),0)</f>
        <v>12</v>
      </c>
      <c r="G513" s="2">
        <f t="shared" si="25"/>
        <v>0</v>
      </c>
      <c r="H513" s="2">
        <f t="shared" si="26"/>
        <v>0</v>
      </c>
    </row>
    <row r="514" spans="2:8">
      <c r="B514" t="s">
        <v>1049</v>
      </c>
      <c r="C514" t="s">
        <v>1139</v>
      </c>
      <c r="D514" s="12" t="str">
        <f t="shared" si="27"/>
        <v>12-01</v>
      </c>
      <c r="E514" s="1">
        <f>_xlfn.IFNA(VLOOKUP('Comp X - Kilter'!B514,'Kilter Holds'!$P$36:$AB$370,13,0),0)</f>
        <v>0</v>
      </c>
      <c r="G514" s="2">
        <f t="shared" si="25"/>
        <v>0</v>
      </c>
      <c r="H514" s="2">
        <f t="shared" si="26"/>
        <v>0</v>
      </c>
    </row>
    <row r="515" spans="2:8">
      <c r="B515" t="s">
        <v>1084</v>
      </c>
      <c r="C515" t="s">
        <v>1140</v>
      </c>
      <c r="D515" s="5" t="str">
        <f t="shared" si="27"/>
        <v>11-12</v>
      </c>
      <c r="E515" s="1">
        <f>_xlfn.IFNA(VLOOKUP('Comp X - Kilter'!B515,'Kilter Holds'!$P$36:$AB$370,5,0),0)</f>
        <v>10</v>
      </c>
      <c r="G515" s="2">
        <f t="shared" si="25"/>
        <v>0</v>
      </c>
      <c r="H515" s="2">
        <f t="shared" si="26"/>
        <v>0</v>
      </c>
    </row>
    <row r="516" spans="2:8">
      <c r="B516" t="s">
        <v>1084</v>
      </c>
      <c r="C516" t="s">
        <v>1140</v>
      </c>
      <c r="D516" s="6" t="str">
        <f t="shared" si="27"/>
        <v>14-01</v>
      </c>
      <c r="E516" s="1">
        <f>_xlfn.IFNA(VLOOKUP('Comp X - Kilter'!B516,'Kilter Holds'!$P$36:$AB$370,6,0),0)</f>
        <v>0</v>
      </c>
      <c r="G516" s="2">
        <f t="shared" si="25"/>
        <v>0</v>
      </c>
      <c r="H516" s="2">
        <f t="shared" si="26"/>
        <v>0</v>
      </c>
    </row>
    <row r="517" spans="2:8">
      <c r="B517" t="s">
        <v>1084</v>
      </c>
      <c r="C517" t="s">
        <v>1140</v>
      </c>
      <c r="D517" s="7" t="str">
        <f t="shared" si="27"/>
        <v>15-12</v>
      </c>
      <c r="E517" s="1">
        <f>_xlfn.IFNA(VLOOKUP('Comp X - Kilter'!B517,'Kilter Holds'!$P$36:$AB$370,7,0),0)</f>
        <v>5</v>
      </c>
      <c r="G517" s="2">
        <f t="shared" si="25"/>
        <v>0</v>
      </c>
      <c r="H517" s="2">
        <f t="shared" si="26"/>
        <v>0</v>
      </c>
    </row>
    <row r="518" spans="2:8">
      <c r="B518" t="s">
        <v>1084</v>
      </c>
      <c r="C518" t="s">
        <v>1140</v>
      </c>
      <c r="D518" s="8" t="str">
        <f t="shared" si="27"/>
        <v>16-16</v>
      </c>
      <c r="E518" s="1">
        <f>_xlfn.IFNA(VLOOKUP('Comp X - Kilter'!B518,'Kilter Holds'!$P$36:$AB$370,8,0),0)</f>
        <v>10</v>
      </c>
      <c r="G518" s="2">
        <f t="shared" si="25"/>
        <v>0</v>
      </c>
      <c r="H518" s="2">
        <f t="shared" si="26"/>
        <v>0</v>
      </c>
    </row>
    <row r="519" spans="2:8">
      <c r="B519" t="s">
        <v>1084</v>
      </c>
      <c r="C519" t="s">
        <v>1140</v>
      </c>
      <c r="D519" s="9" t="str">
        <f t="shared" si="27"/>
        <v>13-01</v>
      </c>
      <c r="E519" s="1">
        <f>_xlfn.IFNA(VLOOKUP('Comp X - Kilter'!B519,'Kilter Holds'!$P$36:$AB$370,9,0),0)</f>
        <v>5</v>
      </c>
      <c r="G519" s="2">
        <f t="shared" si="25"/>
        <v>0</v>
      </c>
      <c r="H519" s="2">
        <f t="shared" si="26"/>
        <v>0</v>
      </c>
    </row>
    <row r="520" spans="2:8">
      <c r="B520" t="s">
        <v>1084</v>
      </c>
      <c r="C520" t="s">
        <v>1140</v>
      </c>
      <c r="D520" s="10" t="str">
        <f t="shared" si="27"/>
        <v>07-13</v>
      </c>
      <c r="E520" s="1">
        <f>_xlfn.IFNA(VLOOKUP('Comp X - Kilter'!B520,'Kilter Holds'!$P$36:$AB$370,10,0),0)</f>
        <v>5</v>
      </c>
      <c r="G520" s="2">
        <f t="shared" si="25"/>
        <v>0</v>
      </c>
      <c r="H520" s="2">
        <f t="shared" si="26"/>
        <v>0</v>
      </c>
    </row>
    <row r="521" spans="2:8">
      <c r="B521" t="s">
        <v>1084</v>
      </c>
      <c r="C521" t="s">
        <v>1140</v>
      </c>
      <c r="D521" s="11" t="str">
        <f t="shared" si="27"/>
        <v>11-25</v>
      </c>
      <c r="E521" s="1">
        <f>_xlfn.IFNA(VLOOKUP('Comp X - Kilter'!B521,'Kilter Holds'!$P$36:$AB$370,11,0),0)</f>
        <v>0</v>
      </c>
      <c r="G521" s="2">
        <f t="shared" si="25"/>
        <v>0</v>
      </c>
      <c r="H521" s="2">
        <f t="shared" si="26"/>
        <v>0</v>
      </c>
    </row>
    <row r="522" spans="2:8">
      <c r="B522" t="s">
        <v>1084</v>
      </c>
      <c r="C522" t="s">
        <v>1140</v>
      </c>
      <c r="D522" s="13" t="str">
        <f t="shared" si="27"/>
        <v>18-01</v>
      </c>
      <c r="E522" s="1">
        <f>_xlfn.IFNA(VLOOKUP('Comp X - Kilter'!B522,'Kilter Holds'!$P$36:$AB$370,12,0),0)</f>
        <v>8</v>
      </c>
      <c r="G522" s="2">
        <f t="shared" si="25"/>
        <v>0</v>
      </c>
      <c r="H522" s="2">
        <f t="shared" si="26"/>
        <v>0</v>
      </c>
    </row>
    <row r="523" spans="2:8">
      <c r="B523" t="s">
        <v>1084</v>
      </c>
      <c r="C523" t="s">
        <v>1140</v>
      </c>
      <c r="D523" s="12" t="str">
        <f t="shared" si="27"/>
        <v>12-01</v>
      </c>
      <c r="E523" s="1">
        <f>_xlfn.IFNA(VLOOKUP('Comp X - Kilter'!B523,'Kilter Holds'!$P$36:$AB$370,13,0),0)</f>
        <v>0</v>
      </c>
      <c r="G523" s="2">
        <f t="shared" si="25"/>
        <v>0</v>
      </c>
      <c r="H523" s="2">
        <f t="shared" si="26"/>
        <v>0</v>
      </c>
    </row>
    <row r="524" spans="2:8">
      <c r="B524" t="s">
        <v>1035</v>
      </c>
      <c r="C524" t="s">
        <v>1141</v>
      </c>
      <c r="D524" s="5" t="str">
        <f t="shared" si="27"/>
        <v>11-12</v>
      </c>
      <c r="E524" s="1">
        <f>_xlfn.IFNA(VLOOKUP('Comp X - Kilter'!B524,'Kilter Holds'!$P$36:$AB$370,5,0),0)</f>
        <v>5</v>
      </c>
      <c r="G524" s="2">
        <f t="shared" si="25"/>
        <v>0</v>
      </c>
      <c r="H524" s="2">
        <f t="shared" si="26"/>
        <v>0</v>
      </c>
    </row>
    <row r="525" spans="2:8">
      <c r="B525" t="s">
        <v>1035</v>
      </c>
      <c r="C525" t="s">
        <v>1141</v>
      </c>
      <c r="D525" s="6" t="str">
        <f t="shared" si="27"/>
        <v>14-01</v>
      </c>
      <c r="E525" s="1">
        <f>_xlfn.IFNA(VLOOKUP('Comp X - Kilter'!B525,'Kilter Holds'!$P$36:$AB$370,6,0),0)</f>
        <v>0</v>
      </c>
      <c r="G525" s="2">
        <f t="shared" si="25"/>
        <v>0</v>
      </c>
      <c r="H525" s="2">
        <f t="shared" si="26"/>
        <v>0</v>
      </c>
    </row>
    <row r="526" spans="2:8">
      <c r="B526" t="s">
        <v>1035</v>
      </c>
      <c r="C526" t="s">
        <v>1141</v>
      </c>
      <c r="D526" s="7" t="str">
        <f t="shared" si="27"/>
        <v>15-12</v>
      </c>
      <c r="E526" s="1">
        <f>_xlfn.IFNA(VLOOKUP('Comp X - Kilter'!B526,'Kilter Holds'!$P$36:$AB$370,7,0),0)</f>
        <v>4</v>
      </c>
      <c r="G526" s="2">
        <f t="shared" si="25"/>
        <v>0</v>
      </c>
      <c r="H526" s="2">
        <f t="shared" si="26"/>
        <v>0</v>
      </c>
    </row>
    <row r="527" spans="2:8">
      <c r="B527" t="s">
        <v>1035</v>
      </c>
      <c r="C527" t="s">
        <v>1141</v>
      </c>
      <c r="D527" s="8" t="str">
        <f t="shared" si="27"/>
        <v>16-16</v>
      </c>
      <c r="E527" s="1">
        <f>_xlfn.IFNA(VLOOKUP('Comp X - Kilter'!B527,'Kilter Holds'!$P$36:$AB$370,8,0),0)</f>
        <v>5</v>
      </c>
      <c r="G527" s="2">
        <f t="shared" si="25"/>
        <v>0</v>
      </c>
      <c r="H527" s="2">
        <f t="shared" si="26"/>
        <v>0</v>
      </c>
    </row>
    <row r="528" spans="2:8">
      <c r="B528" t="s">
        <v>1035</v>
      </c>
      <c r="C528" t="s">
        <v>1141</v>
      </c>
      <c r="D528" s="9" t="str">
        <f t="shared" si="27"/>
        <v>13-01</v>
      </c>
      <c r="E528" s="1">
        <f>_xlfn.IFNA(VLOOKUP('Comp X - Kilter'!B528,'Kilter Holds'!$P$36:$AB$370,9,0),0)</f>
        <v>5</v>
      </c>
      <c r="G528" s="2">
        <f t="shared" si="25"/>
        <v>0</v>
      </c>
      <c r="H528" s="2">
        <f t="shared" si="26"/>
        <v>0</v>
      </c>
    </row>
    <row r="529" spans="2:8">
      <c r="B529" t="s">
        <v>1035</v>
      </c>
      <c r="C529" t="s">
        <v>1141</v>
      </c>
      <c r="D529" s="10" t="str">
        <f t="shared" si="27"/>
        <v>07-13</v>
      </c>
      <c r="E529" s="1">
        <f>_xlfn.IFNA(VLOOKUP('Comp X - Kilter'!B529,'Kilter Holds'!$P$36:$AB$370,10,0),0)</f>
        <v>5</v>
      </c>
      <c r="G529" s="2">
        <f t="shared" si="25"/>
        <v>0</v>
      </c>
      <c r="H529" s="2">
        <f t="shared" si="26"/>
        <v>0</v>
      </c>
    </row>
    <row r="530" spans="2:8">
      <c r="B530" t="s">
        <v>1035</v>
      </c>
      <c r="C530" t="s">
        <v>1141</v>
      </c>
      <c r="D530" s="11" t="str">
        <f t="shared" si="27"/>
        <v>11-25</v>
      </c>
      <c r="E530" s="1">
        <f>_xlfn.IFNA(VLOOKUP('Comp X - Kilter'!B530,'Kilter Holds'!$P$36:$AB$370,11,0),0)</f>
        <v>5</v>
      </c>
      <c r="G530" s="2">
        <f t="shared" si="25"/>
        <v>0</v>
      </c>
      <c r="H530" s="2">
        <f t="shared" si="26"/>
        <v>0</v>
      </c>
    </row>
    <row r="531" spans="2:8">
      <c r="B531" t="s">
        <v>1035</v>
      </c>
      <c r="C531" t="s">
        <v>1141</v>
      </c>
      <c r="D531" s="13" t="str">
        <f t="shared" si="27"/>
        <v>18-01</v>
      </c>
      <c r="E531" s="1">
        <f>_xlfn.IFNA(VLOOKUP('Comp X - Kilter'!B531,'Kilter Holds'!$P$36:$AB$370,12,0),0)</f>
        <v>8</v>
      </c>
      <c r="G531" s="2">
        <f t="shared" si="25"/>
        <v>0</v>
      </c>
      <c r="H531" s="2">
        <f t="shared" si="26"/>
        <v>0</v>
      </c>
    </row>
    <row r="532" spans="2:8">
      <c r="B532" t="s">
        <v>1035</v>
      </c>
      <c r="C532" t="s">
        <v>1141</v>
      </c>
      <c r="D532" s="12" t="str">
        <f t="shared" si="27"/>
        <v>12-01</v>
      </c>
      <c r="E532" s="1">
        <f>_xlfn.IFNA(VLOOKUP('Comp X - Kilter'!B532,'Kilter Holds'!$P$36:$AB$370,13,0),0)</f>
        <v>0</v>
      </c>
      <c r="G532" s="2">
        <f t="shared" si="25"/>
        <v>0</v>
      </c>
      <c r="H532" s="2">
        <f t="shared" si="26"/>
        <v>0</v>
      </c>
    </row>
    <row r="533" spans="2:8">
      <c r="B533" t="s">
        <v>1052</v>
      </c>
      <c r="C533" t="s">
        <v>1142</v>
      </c>
      <c r="D533" s="5" t="str">
        <f t="shared" si="27"/>
        <v>11-12</v>
      </c>
      <c r="E533" s="1">
        <f>_xlfn.IFNA(VLOOKUP('Comp X - Kilter'!B533,'Kilter Holds'!$P$36:$AB$370,5,0),0)</f>
        <v>0</v>
      </c>
      <c r="G533" s="2">
        <f t="shared" ref="G533:G1577" si="28">E533*F533</f>
        <v>0</v>
      </c>
      <c r="H533" s="2">
        <f t="shared" ref="H533:H1577" si="29">IF($S$11="Y",G533*0.15,0)</f>
        <v>0</v>
      </c>
    </row>
    <row r="534" spans="2:8">
      <c r="B534" t="s">
        <v>1052</v>
      </c>
      <c r="C534" t="s">
        <v>1142</v>
      </c>
      <c r="D534" s="6" t="str">
        <f t="shared" si="27"/>
        <v>14-01</v>
      </c>
      <c r="E534" s="1">
        <f>_xlfn.IFNA(VLOOKUP('Comp X - Kilter'!B534,'Kilter Holds'!$P$36:$AB$370,6,0),0)</f>
        <v>0</v>
      </c>
      <c r="G534" s="2">
        <f t="shared" si="28"/>
        <v>0</v>
      </c>
      <c r="H534" s="2">
        <f t="shared" si="29"/>
        <v>0</v>
      </c>
    </row>
    <row r="535" spans="2:8">
      <c r="B535" t="s">
        <v>1052</v>
      </c>
      <c r="C535" t="s">
        <v>1142</v>
      </c>
      <c r="D535" s="7" t="str">
        <f t="shared" si="27"/>
        <v>15-12</v>
      </c>
      <c r="E535" s="1">
        <f>_xlfn.IFNA(VLOOKUP('Comp X - Kilter'!B535,'Kilter Holds'!$P$36:$AB$370,7,0),0)</f>
        <v>0</v>
      </c>
      <c r="G535" s="2">
        <f t="shared" si="28"/>
        <v>0</v>
      </c>
      <c r="H535" s="2">
        <f t="shared" si="29"/>
        <v>0</v>
      </c>
    </row>
    <row r="536" spans="2:8">
      <c r="B536" t="s">
        <v>1052</v>
      </c>
      <c r="C536" t="s">
        <v>1142</v>
      </c>
      <c r="D536" s="8" t="str">
        <f t="shared" si="27"/>
        <v>16-16</v>
      </c>
      <c r="E536" s="1">
        <f>_xlfn.IFNA(VLOOKUP('Comp X - Kilter'!B536,'Kilter Holds'!$P$36:$AB$370,8,0),0)</f>
        <v>0</v>
      </c>
      <c r="G536" s="2">
        <f t="shared" si="28"/>
        <v>0</v>
      </c>
      <c r="H536" s="2">
        <f t="shared" si="29"/>
        <v>0</v>
      </c>
    </row>
    <row r="537" spans="2:8">
      <c r="B537" t="s">
        <v>1052</v>
      </c>
      <c r="C537" t="s">
        <v>1142</v>
      </c>
      <c r="D537" s="9" t="str">
        <f t="shared" si="27"/>
        <v>13-01</v>
      </c>
      <c r="E537" s="1">
        <f>_xlfn.IFNA(VLOOKUP('Comp X - Kilter'!B537,'Kilter Holds'!$P$36:$AB$370,9,0),0)</f>
        <v>0</v>
      </c>
      <c r="G537" s="2">
        <f t="shared" si="28"/>
        <v>0</v>
      </c>
      <c r="H537" s="2">
        <f t="shared" si="29"/>
        <v>0</v>
      </c>
    </row>
    <row r="538" spans="2:8">
      <c r="B538" t="s">
        <v>1052</v>
      </c>
      <c r="C538" t="s">
        <v>1142</v>
      </c>
      <c r="D538" s="10" t="str">
        <f t="shared" si="27"/>
        <v>07-13</v>
      </c>
      <c r="E538" s="1">
        <f>_xlfn.IFNA(VLOOKUP('Comp X - Kilter'!B538,'Kilter Holds'!$P$36:$AB$370,10,0),0)</f>
        <v>0</v>
      </c>
      <c r="G538" s="2">
        <f t="shared" si="28"/>
        <v>0</v>
      </c>
      <c r="H538" s="2">
        <f t="shared" si="29"/>
        <v>0</v>
      </c>
    </row>
    <row r="539" spans="2:8">
      <c r="B539" t="s">
        <v>1052</v>
      </c>
      <c r="C539" t="s">
        <v>1142</v>
      </c>
      <c r="D539" s="11" t="str">
        <f t="shared" si="27"/>
        <v>11-25</v>
      </c>
      <c r="E539" s="1">
        <f>_xlfn.IFNA(VLOOKUP('Comp X - Kilter'!B539,'Kilter Holds'!$P$36:$AB$370,11,0),0)</f>
        <v>0</v>
      </c>
      <c r="G539" s="2">
        <f t="shared" si="28"/>
        <v>0</v>
      </c>
      <c r="H539" s="2">
        <f t="shared" si="29"/>
        <v>0</v>
      </c>
    </row>
    <row r="540" spans="2:8">
      <c r="B540" t="s">
        <v>1052</v>
      </c>
      <c r="C540" t="s">
        <v>1142</v>
      </c>
      <c r="D540" s="13" t="str">
        <f t="shared" si="27"/>
        <v>18-01</v>
      </c>
      <c r="E540" s="1">
        <f>_xlfn.IFNA(VLOOKUP('Comp X - Kilter'!B540,'Kilter Holds'!$P$36:$AB$370,12,0),0)</f>
        <v>5</v>
      </c>
      <c r="G540" s="2">
        <f t="shared" si="28"/>
        <v>0</v>
      </c>
      <c r="H540" s="2">
        <f t="shared" si="29"/>
        <v>0</v>
      </c>
    </row>
    <row r="541" spans="2:8">
      <c r="B541" t="s">
        <v>1052</v>
      </c>
      <c r="C541" t="s">
        <v>1142</v>
      </c>
      <c r="D541" s="12" t="str">
        <f t="shared" si="27"/>
        <v>12-01</v>
      </c>
      <c r="E541" s="1">
        <f>_xlfn.IFNA(VLOOKUP('Comp X - Kilter'!B541,'Kilter Holds'!$P$36:$AB$370,13,0),0)</f>
        <v>0</v>
      </c>
      <c r="G541" s="2">
        <f t="shared" si="28"/>
        <v>0</v>
      </c>
      <c r="H541" s="2">
        <f t="shared" si="29"/>
        <v>0</v>
      </c>
    </row>
    <row r="542" spans="2:8">
      <c r="B542" t="s">
        <v>1701</v>
      </c>
      <c r="C542" t="s">
        <v>1702</v>
      </c>
      <c r="D542" s="5" t="str">
        <f t="shared" si="27"/>
        <v>11-12</v>
      </c>
      <c r="E542" s="1">
        <f>_xlfn.IFNA(VLOOKUP('Comp X - Kilter'!B542,'Kilter Holds'!$P$36:$AB$370,5,0),0)</f>
        <v>4</v>
      </c>
      <c r="G542" s="2">
        <f t="shared" ref="G542:G550" si="30">E542*F542</f>
        <v>0</v>
      </c>
      <c r="H542" s="2">
        <f t="shared" ref="H542:H550" si="31">IF($S$11="Y",G542*0.15,0)</f>
        <v>0</v>
      </c>
    </row>
    <row r="543" spans="2:8">
      <c r="B543" t="s">
        <v>1701</v>
      </c>
      <c r="C543" t="s">
        <v>1702</v>
      </c>
      <c r="D543" s="6" t="str">
        <f t="shared" si="27"/>
        <v>14-01</v>
      </c>
      <c r="E543" s="1">
        <f>_xlfn.IFNA(VLOOKUP('Comp X - Kilter'!B543,'Kilter Holds'!$P$36:$AB$370,6,0),0)</f>
        <v>0</v>
      </c>
      <c r="G543" s="2">
        <f t="shared" si="30"/>
        <v>0</v>
      </c>
      <c r="H543" s="2">
        <f t="shared" si="31"/>
        <v>0</v>
      </c>
    </row>
    <row r="544" spans="2:8">
      <c r="B544" t="s">
        <v>1701</v>
      </c>
      <c r="C544" t="s">
        <v>1702</v>
      </c>
      <c r="D544" s="7" t="str">
        <f t="shared" si="27"/>
        <v>15-12</v>
      </c>
      <c r="E544" s="1">
        <f>_xlfn.IFNA(VLOOKUP('Comp X - Kilter'!B544,'Kilter Holds'!$P$36:$AB$370,7,0),0)</f>
        <v>10</v>
      </c>
      <c r="G544" s="2">
        <f t="shared" si="30"/>
        <v>0</v>
      </c>
      <c r="H544" s="2">
        <f t="shared" si="31"/>
        <v>0</v>
      </c>
    </row>
    <row r="545" spans="2:8">
      <c r="B545" t="s">
        <v>1701</v>
      </c>
      <c r="C545" t="s">
        <v>1702</v>
      </c>
      <c r="D545" s="8" t="str">
        <f t="shared" si="27"/>
        <v>16-16</v>
      </c>
      <c r="E545" s="1">
        <f>_xlfn.IFNA(VLOOKUP('Comp X - Kilter'!B545,'Kilter Holds'!$P$36:$AB$370,8,0),0)</f>
        <v>5</v>
      </c>
      <c r="G545" s="2">
        <f t="shared" si="30"/>
        <v>0</v>
      </c>
      <c r="H545" s="2">
        <f t="shared" si="31"/>
        <v>0</v>
      </c>
    </row>
    <row r="546" spans="2:8">
      <c r="B546" t="s">
        <v>1701</v>
      </c>
      <c r="C546" t="s">
        <v>1702</v>
      </c>
      <c r="D546" s="9" t="str">
        <f t="shared" si="27"/>
        <v>13-01</v>
      </c>
      <c r="E546" s="1">
        <f>_xlfn.IFNA(VLOOKUP('Comp X - Kilter'!B546,'Kilter Holds'!$P$36:$AB$370,9,0),0)</f>
        <v>10</v>
      </c>
      <c r="G546" s="2">
        <f t="shared" si="30"/>
        <v>0</v>
      </c>
      <c r="H546" s="2">
        <f t="shared" si="31"/>
        <v>0</v>
      </c>
    </row>
    <row r="547" spans="2:8">
      <c r="B547" t="s">
        <v>1701</v>
      </c>
      <c r="C547" t="s">
        <v>1702</v>
      </c>
      <c r="D547" s="10" t="str">
        <f t="shared" si="27"/>
        <v>07-13</v>
      </c>
      <c r="E547" s="1">
        <f>_xlfn.IFNA(VLOOKUP('Comp X - Kilter'!B547,'Kilter Holds'!$P$36:$AB$370,10,0),0)</f>
        <v>3</v>
      </c>
      <c r="G547" s="2">
        <f t="shared" si="30"/>
        <v>0</v>
      </c>
      <c r="H547" s="2">
        <f t="shared" si="31"/>
        <v>0</v>
      </c>
    </row>
    <row r="548" spans="2:8">
      <c r="B548" t="s">
        <v>1701</v>
      </c>
      <c r="C548" t="s">
        <v>1702</v>
      </c>
      <c r="D548" s="11" t="str">
        <f t="shared" si="27"/>
        <v>11-25</v>
      </c>
      <c r="E548" s="1">
        <f>_xlfn.IFNA(VLOOKUP('Comp X - Kilter'!B548,'Kilter Holds'!$P$36:$AB$370,11,0),0)</f>
        <v>0</v>
      </c>
      <c r="G548" s="2">
        <f t="shared" si="30"/>
        <v>0</v>
      </c>
      <c r="H548" s="2">
        <f t="shared" si="31"/>
        <v>0</v>
      </c>
    </row>
    <row r="549" spans="2:8">
      <c r="B549" t="s">
        <v>1701</v>
      </c>
      <c r="C549" t="s">
        <v>1702</v>
      </c>
      <c r="D549" s="13" t="str">
        <f t="shared" si="27"/>
        <v>18-01</v>
      </c>
      <c r="E549" s="1">
        <f>_xlfn.IFNA(VLOOKUP('Comp X - Kilter'!B549,'Kilter Holds'!$P$36:$AB$370,12,0),0)</f>
        <v>10</v>
      </c>
      <c r="G549" s="2">
        <f t="shared" si="30"/>
        <v>0</v>
      </c>
      <c r="H549" s="2">
        <f t="shared" si="31"/>
        <v>0</v>
      </c>
    </row>
    <row r="550" spans="2:8">
      <c r="B550" t="s">
        <v>1701</v>
      </c>
      <c r="C550" t="s">
        <v>1702</v>
      </c>
      <c r="D550" s="12" t="str">
        <f t="shared" ref="D550" si="32">D541</f>
        <v>12-01</v>
      </c>
      <c r="E550" s="1">
        <f>_xlfn.IFNA(VLOOKUP('Comp X - Kilter'!B550,'Kilter Holds'!$P$36:$AB$370,13,0),0)</f>
        <v>0</v>
      </c>
      <c r="G550" s="2">
        <f t="shared" si="30"/>
        <v>0</v>
      </c>
      <c r="H550" s="2">
        <f t="shared" si="31"/>
        <v>0</v>
      </c>
    </row>
    <row r="551" spans="2:8">
      <c r="B551" t="s">
        <v>1056</v>
      </c>
      <c r="C551" t="s">
        <v>1143</v>
      </c>
      <c r="D551" s="5" t="str">
        <f t="shared" ref="D551:D559" si="33">D533</f>
        <v>11-12</v>
      </c>
      <c r="E551" s="1">
        <f>_xlfn.IFNA(VLOOKUP('Comp X - Kilter'!B551,'Kilter Holds'!$P$36:$AB$370,5,0),0)</f>
        <v>4</v>
      </c>
      <c r="G551" s="2">
        <f t="shared" si="28"/>
        <v>0</v>
      </c>
      <c r="H551" s="2">
        <f t="shared" si="29"/>
        <v>0</v>
      </c>
    </row>
    <row r="552" spans="2:8">
      <c r="B552" t="s">
        <v>1056</v>
      </c>
      <c r="C552" t="s">
        <v>1143</v>
      </c>
      <c r="D552" s="6" t="str">
        <f t="shared" si="33"/>
        <v>14-01</v>
      </c>
      <c r="E552" s="1">
        <f>_xlfn.IFNA(VLOOKUP('Comp X - Kilter'!B552,'Kilter Holds'!$P$36:$AB$370,6,0),0)</f>
        <v>0</v>
      </c>
      <c r="G552" s="2">
        <f t="shared" si="28"/>
        <v>0</v>
      </c>
      <c r="H552" s="2">
        <f t="shared" si="29"/>
        <v>0</v>
      </c>
    </row>
    <row r="553" spans="2:8">
      <c r="B553" t="s">
        <v>1056</v>
      </c>
      <c r="C553" t="s">
        <v>1143</v>
      </c>
      <c r="D553" s="7" t="str">
        <f t="shared" si="33"/>
        <v>15-12</v>
      </c>
      <c r="E553" s="1">
        <f>_xlfn.IFNA(VLOOKUP('Comp X - Kilter'!B553,'Kilter Holds'!$P$36:$AB$370,7,0),0)</f>
        <v>4</v>
      </c>
      <c r="G553" s="2">
        <f t="shared" si="28"/>
        <v>0</v>
      </c>
      <c r="H553" s="2">
        <f t="shared" si="29"/>
        <v>0</v>
      </c>
    </row>
    <row r="554" spans="2:8">
      <c r="B554" t="s">
        <v>1056</v>
      </c>
      <c r="C554" t="s">
        <v>1143</v>
      </c>
      <c r="D554" s="8" t="str">
        <f t="shared" si="33"/>
        <v>16-16</v>
      </c>
      <c r="E554" s="1">
        <f>_xlfn.IFNA(VLOOKUP('Comp X - Kilter'!B554,'Kilter Holds'!$P$36:$AB$370,8,0),0)</f>
        <v>9</v>
      </c>
      <c r="G554" s="2">
        <f t="shared" si="28"/>
        <v>0</v>
      </c>
      <c r="H554" s="2">
        <f t="shared" si="29"/>
        <v>0</v>
      </c>
    </row>
    <row r="555" spans="2:8">
      <c r="B555" t="s">
        <v>1056</v>
      </c>
      <c r="C555" t="s">
        <v>1143</v>
      </c>
      <c r="D555" s="9" t="str">
        <f t="shared" si="33"/>
        <v>13-01</v>
      </c>
      <c r="E555" s="1">
        <f>_xlfn.IFNA(VLOOKUP('Comp X - Kilter'!B555,'Kilter Holds'!$P$36:$AB$370,9,0),0)</f>
        <v>5</v>
      </c>
      <c r="G555" s="2">
        <f t="shared" si="28"/>
        <v>0</v>
      </c>
      <c r="H555" s="2">
        <f t="shared" si="29"/>
        <v>0</v>
      </c>
    </row>
    <row r="556" spans="2:8">
      <c r="B556" t="s">
        <v>1056</v>
      </c>
      <c r="C556" t="s">
        <v>1143</v>
      </c>
      <c r="D556" s="10" t="str">
        <f t="shared" si="33"/>
        <v>07-13</v>
      </c>
      <c r="E556" s="1">
        <f>_xlfn.IFNA(VLOOKUP('Comp X - Kilter'!B556,'Kilter Holds'!$P$36:$AB$370,10,0),0)</f>
        <v>5</v>
      </c>
      <c r="G556" s="2">
        <f t="shared" si="28"/>
        <v>0</v>
      </c>
      <c r="H556" s="2">
        <f t="shared" si="29"/>
        <v>0</v>
      </c>
    </row>
    <row r="557" spans="2:8">
      <c r="B557" t="s">
        <v>1056</v>
      </c>
      <c r="C557" t="s">
        <v>1143</v>
      </c>
      <c r="D557" s="11" t="str">
        <f t="shared" si="33"/>
        <v>11-25</v>
      </c>
      <c r="E557" s="1">
        <f>_xlfn.IFNA(VLOOKUP('Comp X - Kilter'!B557,'Kilter Holds'!$P$36:$AB$370,11,0),0)</f>
        <v>4</v>
      </c>
      <c r="G557" s="2">
        <f t="shared" si="28"/>
        <v>0</v>
      </c>
      <c r="H557" s="2">
        <f t="shared" si="29"/>
        <v>0</v>
      </c>
    </row>
    <row r="558" spans="2:8">
      <c r="B558" t="s">
        <v>1056</v>
      </c>
      <c r="C558" t="s">
        <v>1143</v>
      </c>
      <c r="D558" s="13" t="str">
        <f t="shared" si="33"/>
        <v>18-01</v>
      </c>
      <c r="E558" s="1">
        <f>_xlfn.IFNA(VLOOKUP('Comp X - Kilter'!B558,'Kilter Holds'!$P$36:$AB$370,12,0),0)</f>
        <v>12</v>
      </c>
      <c r="G558" s="2">
        <f t="shared" si="28"/>
        <v>0</v>
      </c>
      <c r="H558" s="2">
        <f t="shared" si="29"/>
        <v>0</v>
      </c>
    </row>
    <row r="559" spans="2:8">
      <c r="B559" t="s">
        <v>1056</v>
      </c>
      <c r="C559" t="s">
        <v>1143</v>
      </c>
      <c r="D559" s="12" t="str">
        <f t="shared" si="33"/>
        <v>12-01</v>
      </c>
      <c r="E559" s="1">
        <f>_xlfn.IFNA(VLOOKUP('Comp X - Kilter'!B559,'Kilter Holds'!$P$36:$AB$370,13,0),0)</f>
        <v>0</v>
      </c>
      <c r="G559" s="2">
        <f t="shared" si="28"/>
        <v>0</v>
      </c>
      <c r="H559" s="2">
        <f t="shared" si="29"/>
        <v>0</v>
      </c>
    </row>
    <row r="560" spans="2:8">
      <c r="B560" t="s">
        <v>1050</v>
      </c>
      <c r="C560" t="s">
        <v>1144</v>
      </c>
      <c r="D560" s="5" t="str">
        <f t="shared" ref="D560:D1594" si="34">D551</f>
        <v>11-12</v>
      </c>
      <c r="E560" s="1">
        <f>_xlfn.IFNA(VLOOKUP('Comp X - Kilter'!B560,'Kilter Holds'!$P$36:$AB$370,5,0),0)</f>
        <v>3</v>
      </c>
      <c r="G560" s="2">
        <f t="shared" si="28"/>
        <v>0</v>
      </c>
      <c r="H560" s="2">
        <f t="shared" si="29"/>
        <v>0</v>
      </c>
    </row>
    <row r="561" spans="2:8">
      <c r="B561" t="s">
        <v>1050</v>
      </c>
      <c r="C561" t="s">
        <v>1144</v>
      </c>
      <c r="D561" s="6" t="str">
        <f t="shared" si="34"/>
        <v>14-01</v>
      </c>
      <c r="E561" s="1">
        <f>_xlfn.IFNA(VLOOKUP('Comp X - Kilter'!B561,'Kilter Holds'!$P$36:$AB$370,6,0),0)</f>
        <v>0</v>
      </c>
      <c r="G561" s="2">
        <f t="shared" si="28"/>
        <v>0</v>
      </c>
      <c r="H561" s="2">
        <f t="shared" si="29"/>
        <v>0</v>
      </c>
    </row>
    <row r="562" spans="2:8">
      <c r="B562" t="s">
        <v>1050</v>
      </c>
      <c r="C562" t="s">
        <v>1144</v>
      </c>
      <c r="D562" s="7" t="str">
        <f t="shared" si="34"/>
        <v>15-12</v>
      </c>
      <c r="E562" s="1">
        <f>_xlfn.IFNA(VLOOKUP('Comp X - Kilter'!B562,'Kilter Holds'!$P$36:$AB$370,7,0),0)</f>
        <v>4</v>
      </c>
      <c r="G562" s="2">
        <f t="shared" si="28"/>
        <v>0</v>
      </c>
      <c r="H562" s="2">
        <f t="shared" si="29"/>
        <v>0</v>
      </c>
    </row>
    <row r="563" spans="2:8">
      <c r="B563" t="s">
        <v>1050</v>
      </c>
      <c r="C563" t="s">
        <v>1144</v>
      </c>
      <c r="D563" s="8" t="str">
        <f t="shared" si="34"/>
        <v>16-16</v>
      </c>
      <c r="E563" s="1">
        <f>_xlfn.IFNA(VLOOKUP('Comp X - Kilter'!B563,'Kilter Holds'!$P$36:$AB$370,8,0),0)</f>
        <v>5</v>
      </c>
      <c r="G563" s="2">
        <f t="shared" si="28"/>
        <v>0</v>
      </c>
      <c r="H563" s="2">
        <f t="shared" si="29"/>
        <v>0</v>
      </c>
    </row>
    <row r="564" spans="2:8">
      <c r="B564" t="s">
        <v>1050</v>
      </c>
      <c r="C564" t="s">
        <v>1144</v>
      </c>
      <c r="D564" s="9" t="str">
        <f t="shared" si="34"/>
        <v>13-01</v>
      </c>
      <c r="E564" s="1">
        <f>_xlfn.IFNA(VLOOKUP('Comp X - Kilter'!B564,'Kilter Holds'!$P$36:$AB$370,9,0),0)</f>
        <v>6</v>
      </c>
      <c r="G564" s="2">
        <f t="shared" si="28"/>
        <v>0</v>
      </c>
      <c r="H564" s="2">
        <f t="shared" si="29"/>
        <v>0</v>
      </c>
    </row>
    <row r="565" spans="2:8">
      <c r="B565" t="s">
        <v>1050</v>
      </c>
      <c r="C565" t="s">
        <v>1144</v>
      </c>
      <c r="D565" s="10" t="str">
        <f t="shared" si="34"/>
        <v>07-13</v>
      </c>
      <c r="E565" s="1">
        <f>_xlfn.IFNA(VLOOKUP('Comp X - Kilter'!B565,'Kilter Holds'!$P$36:$AB$370,10,0),0)</f>
        <v>4</v>
      </c>
      <c r="G565" s="2">
        <f t="shared" si="28"/>
        <v>0</v>
      </c>
      <c r="H565" s="2">
        <f t="shared" si="29"/>
        <v>0</v>
      </c>
    </row>
    <row r="566" spans="2:8">
      <c r="B566" t="s">
        <v>1050</v>
      </c>
      <c r="C566" t="s">
        <v>1144</v>
      </c>
      <c r="D566" s="11" t="str">
        <f t="shared" si="34"/>
        <v>11-25</v>
      </c>
      <c r="E566" s="1">
        <f>_xlfn.IFNA(VLOOKUP('Comp X - Kilter'!B566,'Kilter Holds'!$P$36:$AB$370,11,0),0)</f>
        <v>4</v>
      </c>
      <c r="G566" s="2">
        <f t="shared" si="28"/>
        <v>0</v>
      </c>
      <c r="H566" s="2">
        <f t="shared" si="29"/>
        <v>0</v>
      </c>
    </row>
    <row r="567" spans="2:8">
      <c r="B567" t="s">
        <v>1050</v>
      </c>
      <c r="C567" t="s">
        <v>1144</v>
      </c>
      <c r="D567" s="13" t="str">
        <f t="shared" si="34"/>
        <v>18-01</v>
      </c>
      <c r="E567" s="1">
        <f>_xlfn.IFNA(VLOOKUP('Comp X - Kilter'!B567,'Kilter Holds'!$P$36:$AB$370,12,0),0)</f>
        <v>11</v>
      </c>
      <c r="G567" s="2">
        <f t="shared" si="28"/>
        <v>0</v>
      </c>
      <c r="H567" s="2">
        <f t="shared" si="29"/>
        <v>0</v>
      </c>
    </row>
    <row r="568" spans="2:8">
      <c r="B568" t="s">
        <v>1050</v>
      </c>
      <c r="C568" t="s">
        <v>1144</v>
      </c>
      <c r="D568" s="12" t="str">
        <f t="shared" si="34"/>
        <v>12-01</v>
      </c>
      <c r="E568" s="1">
        <f>_xlfn.IFNA(VLOOKUP('Comp X - Kilter'!B568,'Kilter Holds'!$P$36:$AB$370,13,0),0)</f>
        <v>0</v>
      </c>
      <c r="G568" s="2">
        <f t="shared" si="28"/>
        <v>0</v>
      </c>
      <c r="H568" s="2">
        <f t="shared" si="29"/>
        <v>0</v>
      </c>
    </row>
    <row r="569" spans="2:8">
      <c r="B569" t="s">
        <v>1839</v>
      </c>
      <c r="C569" t="s">
        <v>1840</v>
      </c>
      <c r="D569" s="5" t="str">
        <f t="shared" si="34"/>
        <v>11-12</v>
      </c>
      <c r="E569" s="1">
        <f>_xlfn.IFNA(VLOOKUP('Comp X - Kilter'!B569,'Kilter Holds'!$P$36:$AB$370,5,0),0)</f>
        <v>9</v>
      </c>
      <c r="G569" s="2">
        <f t="shared" ref="G569:G586" si="35">E569*F569</f>
        <v>0</v>
      </c>
      <c r="H569" s="2">
        <f t="shared" ref="H569:H586" si="36">IF($S$11="Y",G569*0.15,0)</f>
        <v>0</v>
      </c>
    </row>
    <row r="570" spans="2:8">
      <c r="B570" t="s">
        <v>1839</v>
      </c>
      <c r="C570" t="s">
        <v>1840</v>
      </c>
      <c r="D570" s="6" t="str">
        <f t="shared" si="34"/>
        <v>14-01</v>
      </c>
      <c r="E570" s="1">
        <f>_xlfn.IFNA(VLOOKUP('Comp X - Kilter'!B570,'Kilter Holds'!$P$36:$AB$370,6,0),0)</f>
        <v>0</v>
      </c>
      <c r="G570" s="2">
        <f t="shared" si="35"/>
        <v>0</v>
      </c>
      <c r="H570" s="2">
        <f t="shared" si="36"/>
        <v>0</v>
      </c>
    </row>
    <row r="571" spans="2:8">
      <c r="B571" t="s">
        <v>1839</v>
      </c>
      <c r="C571" t="s">
        <v>1840</v>
      </c>
      <c r="D571" s="7" t="str">
        <f t="shared" si="34"/>
        <v>15-12</v>
      </c>
      <c r="E571" s="1">
        <f>_xlfn.IFNA(VLOOKUP('Comp X - Kilter'!B571,'Kilter Holds'!$P$36:$AB$370,7,0),0)</f>
        <v>3</v>
      </c>
      <c r="G571" s="2">
        <f t="shared" si="35"/>
        <v>0</v>
      </c>
      <c r="H571" s="2">
        <f t="shared" si="36"/>
        <v>0</v>
      </c>
    </row>
    <row r="572" spans="2:8">
      <c r="B572" t="s">
        <v>1839</v>
      </c>
      <c r="C572" t="s">
        <v>1840</v>
      </c>
      <c r="D572" s="8" t="str">
        <f t="shared" si="34"/>
        <v>16-16</v>
      </c>
      <c r="E572" s="1">
        <f>_xlfn.IFNA(VLOOKUP('Comp X - Kilter'!B572,'Kilter Holds'!$P$36:$AB$370,8,0),0)</f>
        <v>10</v>
      </c>
      <c r="G572" s="2">
        <f t="shared" si="35"/>
        <v>0</v>
      </c>
      <c r="H572" s="2">
        <f t="shared" si="36"/>
        <v>0</v>
      </c>
    </row>
    <row r="573" spans="2:8">
      <c r="B573" t="s">
        <v>1839</v>
      </c>
      <c r="C573" t="s">
        <v>1840</v>
      </c>
      <c r="D573" s="9" t="str">
        <f t="shared" si="34"/>
        <v>13-01</v>
      </c>
      <c r="E573" s="1">
        <f>_xlfn.IFNA(VLOOKUP('Comp X - Kilter'!B573,'Kilter Holds'!$P$36:$AB$370,9,0),0)</f>
        <v>9</v>
      </c>
      <c r="G573" s="2">
        <f t="shared" si="35"/>
        <v>0</v>
      </c>
      <c r="H573" s="2">
        <f t="shared" si="36"/>
        <v>0</v>
      </c>
    </row>
    <row r="574" spans="2:8">
      <c r="B574" t="s">
        <v>1839</v>
      </c>
      <c r="C574" t="s">
        <v>1840</v>
      </c>
      <c r="D574" s="10" t="str">
        <f t="shared" si="34"/>
        <v>07-13</v>
      </c>
      <c r="E574" s="1">
        <f>_xlfn.IFNA(VLOOKUP('Comp X - Kilter'!B574,'Kilter Holds'!$P$36:$AB$370,10,0),0)</f>
        <v>6</v>
      </c>
      <c r="G574" s="2">
        <f t="shared" si="35"/>
        <v>0</v>
      </c>
      <c r="H574" s="2">
        <f t="shared" si="36"/>
        <v>0</v>
      </c>
    </row>
    <row r="575" spans="2:8">
      <c r="B575" t="s">
        <v>1839</v>
      </c>
      <c r="C575" t="s">
        <v>1840</v>
      </c>
      <c r="D575" s="11" t="str">
        <f t="shared" si="34"/>
        <v>11-25</v>
      </c>
      <c r="E575" s="1">
        <f>_xlfn.IFNA(VLOOKUP('Comp X - Kilter'!B575,'Kilter Holds'!$P$36:$AB$370,11,0),0)</f>
        <v>5</v>
      </c>
      <c r="G575" s="2">
        <f t="shared" si="35"/>
        <v>0</v>
      </c>
      <c r="H575" s="2">
        <f t="shared" si="36"/>
        <v>0</v>
      </c>
    </row>
    <row r="576" spans="2:8">
      <c r="B576" t="s">
        <v>1839</v>
      </c>
      <c r="C576" t="s">
        <v>1840</v>
      </c>
      <c r="D576" s="13" t="str">
        <f t="shared" si="34"/>
        <v>18-01</v>
      </c>
      <c r="E576" s="1">
        <f>_xlfn.IFNA(VLOOKUP('Comp X - Kilter'!B576,'Kilter Holds'!$P$36:$AB$370,12,0),0)</f>
        <v>8</v>
      </c>
      <c r="G576" s="2">
        <f t="shared" si="35"/>
        <v>0</v>
      </c>
      <c r="H576" s="2">
        <f t="shared" si="36"/>
        <v>0</v>
      </c>
    </row>
    <row r="577" spans="2:8">
      <c r="B577" t="s">
        <v>1839</v>
      </c>
      <c r="C577" t="s">
        <v>1840</v>
      </c>
      <c r="D577" s="12" t="str">
        <f t="shared" si="34"/>
        <v>12-01</v>
      </c>
      <c r="E577" s="1">
        <f>_xlfn.IFNA(VLOOKUP('Comp X - Kilter'!B577,'Kilter Holds'!$P$36:$AB$370,13,0),0)</f>
        <v>0</v>
      </c>
      <c r="G577" s="2">
        <f t="shared" si="35"/>
        <v>0</v>
      </c>
      <c r="H577" s="2">
        <f t="shared" si="36"/>
        <v>0</v>
      </c>
    </row>
    <row r="578" spans="2:8">
      <c r="B578" t="s">
        <v>1838</v>
      </c>
      <c r="C578" t="s">
        <v>1841</v>
      </c>
      <c r="D578" s="5" t="str">
        <f t="shared" si="34"/>
        <v>11-12</v>
      </c>
      <c r="E578" s="1">
        <f>_xlfn.IFNA(VLOOKUP('Comp X - Kilter'!B578,'Kilter Holds'!$P$36:$AB$370,5,0),0)</f>
        <v>5</v>
      </c>
      <c r="G578" s="2">
        <f t="shared" si="35"/>
        <v>0</v>
      </c>
      <c r="H578" s="2">
        <f t="shared" si="36"/>
        <v>0</v>
      </c>
    </row>
    <row r="579" spans="2:8">
      <c r="B579" t="s">
        <v>1838</v>
      </c>
      <c r="C579" t="s">
        <v>1841</v>
      </c>
      <c r="D579" s="6" t="str">
        <f t="shared" si="34"/>
        <v>14-01</v>
      </c>
      <c r="E579" s="1">
        <f>_xlfn.IFNA(VLOOKUP('Comp X - Kilter'!B579,'Kilter Holds'!$P$36:$AB$370,6,0),0)</f>
        <v>0</v>
      </c>
      <c r="G579" s="2">
        <f t="shared" si="35"/>
        <v>0</v>
      </c>
      <c r="H579" s="2">
        <f t="shared" si="36"/>
        <v>0</v>
      </c>
    </row>
    <row r="580" spans="2:8">
      <c r="B580" t="s">
        <v>1838</v>
      </c>
      <c r="C580" t="s">
        <v>1841</v>
      </c>
      <c r="D580" s="7" t="str">
        <f t="shared" si="34"/>
        <v>15-12</v>
      </c>
      <c r="E580" s="1">
        <f>_xlfn.IFNA(VLOOKUP('Comp X - Kilter'!B580,'Kilter Holds'!$P$36:$AB$370,7,0),0)</f>
        <v>7</v>
      </c>
      <c r="G580" s="2">
        <f t="shared" si="35"/>
        <v>0</v>
      </c>
      <c r="H580" s="2">
        <f t="shared" si="36"/>
        <v>0</v>
      </c>
    </row>
    <row r="581" spans="2:8">
      <c r="B581" t="s">
        <v>1838</v>
      </c>
      <c r="C581" t="s">
        <v>1841</v>
      </c>
      <c r="D581" s="8" t="str">
        <f t="shared" si="34"/>
        <v>16-16</v>
      </c>
      <c r="E581" s="1">
        <f>_xlfn.IFNA(VLOOKUP('Comp X - Kilter'!B581,'Kilter Holds'!$P$36:$AB$370,8,0),0)</f>
        <v>5</v>
      </c>
      <c r="G581" s="2">
        <f t="shared" si="35"/>
        <v>0</v>
      </c>
      <c r="H581" s="2">
        <f t="shared" si="36"/>
        <v>0</v>
      </c>
    </row>
    <row r="582" spans="2:8">
      <c r="B582" t="s">
        <v>1838</v>
      </c>
      <c r="C582" t="s">
        <v>1841</v>
      </c>
      <c r="D582" s="9" t="str">
        <f t="shared" si="34"/>
        <v>13-01</v>
      </c>
      <c r="E582" s="1">
        <f>_xlfn.IFNA(VLOOKUP('Comp X - Kilter'!B582,'Kilter Holds'!$P$36:$AB$370,9,0),0)</f>
        <v>1</v>
      </c>
      <c r="G582" s="2">
        <f t="shared" si="35"/>
        <v>0</v>
      </c>
      <c r="H582" s="2">
        <f t="shared" si="36"/>
        <v>0</v>
      </c>
    </row>
    <row r="583" spans="2:8">
      <c r="B583" t="s">
        <v>1838</v>
      </c>
      <c r="C583" t="s">
        <v>1841</v>
      </c>
      <c r="D583" s="10" t="str">
        <f t="shared" si="34"/>
        <v>07-13</v>
      </c>
      <c r="E583" s="1">
        <f>_xlfn.IFNA(VLOOKUP('Comp X - Kilter'!B583,'Kilter Holds'!$P$36:$AB$370,10,0),0)</f>
        <v>5</v>
      </c>
      <c r="G583" s="2">
        <f t="shared" si="35"/>
        <v>0</v>
      </c>
      <c r="H583" s="2">
        <f t="shared" si="36"/>
        <v>0</v>
      </c>
    </row>
    <row r="584" spans="2:8">
      <c r="B584" t="s">
        <v>1838</v>
      </c>
      <c r="C584" t="s">
        <v>1841</v>
      </c>
      <c r="D584" s="11" t="str">
        <f t="shared" si="34"/>
        <v>11-25</v>
      </c>
      <c r="E584" s="1">
        <f>_xlfn.IFNA(VLOOKUP('Comp X - Kilter'!B584,'Kilter Holds'!$P$36:$AB$370,11,0),0)</f>
        <v>4</v>
      </c>
      <c r="G584" s="2">
        <f t="shared" si="35"/>
        <v>0</v>
      </c>
      <c r="H584" s="2">
        <f t="shared" si="36"/>
        <v>0</v>
      </c>
    </row>
    <row r="585" spans="2:8">
      <c r="B585" t="s">
        <v>1838</v>
      </c>
      <c r="C585" t="s">
        <v>1841</v>
      </c>
      <c r="D585" s="13" t="str">
        <f t="shared" si="34"/>
        <v>18-01</v>
      </c>
      <c r="E585" s="1">
        <f>_xlfn.IFNA(VLOOKUP('Comp X - Kilter'!B585,'Kilter Holds'!$P$36:$AB$370,12,0),0)</f>
        <v>7</v>
      </c>
      <c r="G585" s="2">
        <f t="shared" si="35"/>
        <v>0</v>
      </c>
      <c r="H585" s="2">
        <f t="shared" si="36"/>
        <v>0</v>
      </c>
    </row>
    <row r="586" spans="2:8">
      <c r="B586" t="s">
        <v>1838</v>
      </c>
      <c r="C586" t="s">
        <v>1841</v>
      </c>
      <c r="D586" s="12" t="str">
        <f t="shared" si="34"/>
        <v>12-01</v>
      </c>
      <c r="E586" s="1">
        <f>_xlfn.IFNA(VLOOKUP('Comp X - Kilter'!B586,'Kilter Holds'!$P$36:$AB$370,13,0),0)</f>
        <v>0</v>
      </c>
      <c r="G586" s="2">
        <f t="shared" si="35"/>
        <v>0</v>
      </c>
      <c r="H586" s="2">
        <f t="shared" si="36"/>
        <v>0</v>
      </c>
    </row>
    <row r="587" spans="2:8">
      <c r="B587" t="s">
        <v>1898</v>
      </c>
      <c r="C587" t="s">
        <v>1992</v>
      </c>
      <c r="D587" s="5" t="str">
        <f t="shared" si="34"/>
        <v>11-12</v>
      </c>
      <c r="E587" s="1">
        <f>_xlfn.IFNA(VLOOKUP('Comp X - Kilter'!B587,'Kilter Holds'!$P$36:$AB$370,5,0),0)</f>
        <v>10</v>
      </c>
      <c r="G587" s="2">
        <f t="shared" ref="G587:G595" si="37">E587*F587</f>
        <v>0</v>
      </c>
      <c r="H587" s="2">
        <f t="shared" ref="H587:H595" si="38">IF($S$11="Y",G587*0.15,0)</f>
        <v>0</v>
      </c>
    </row>
    <row r="588" spans="2:8">
      <c r="B588" t="s">
        <v>1898</v>
      </c>
      <c r="C588" t="s">
        <v>1992</v>
      </c>
      <c r="D588" s="6" t="str">
        <f t="shared" si="34"/>
        <v>14-01</v>
      </c>
      <c r="E588" s="1">
        <f>_xlfn.IFNA(VLOOKUP('Comp X - Kilter'!B588,'Kilter Holds'!$P$36:$AB$370,6,0),0)</f>
        <v>0</v>
      </c>
      <c r="G588" s="2">
        <f t="shared" si="37"/>
        <v>0</v>
      </c>
      <c r="H588" s="2">
        <f t="shared" si="38"/>
        <v>0</v>
      </c>
    </row>
    <row r="589" spans="2:8">
      <c r="B589" t="s">
        <v>1898</v>
      </c>
      <c r="C589" t="s">
        <v>1992</v>
      </c>
      <c r="D589" s="7" t="str">
        <f t="shared" si="34"/>
        <v>15-12</v>
      </c>
      <c r="E589" s="1">
        <f>_xlfn.IFNA(VLOOKUP('Comp X - Kilter'!B589,'Kilter Holds'!$P$36:$AB$370,7,0),0)</f>
        <v>9</v>
      </c>
      <c r="G589" s="2">
        <f t="shared" si="37"/>
        <v>0</v>
      </c>
      <c r="H589" s="2">
        <f t="shared" si="38"/>
        <v>0</v>
      </c>
    </row>
    <row r="590" spans="2:8">
      <c r="B590" t="s">
        <v>1898</v>
      </c>
      <c r="C590" t="s">
        <v>1992</v>
      </c>
      <c r="D590" s="8" t="str">
        <f t="shared" si="34"/>
        <v>16-16</v>
      </c>
      <c r="E590" s="1">
        <f>_xlfn.IFNA(VLOOKUP('Comp X - Kilter'!B590,'Kilter Holds'!$P$36:$AB$370,8,0),0)</f>
        <v>9</v>
      </c>
      <c r="G590" s="2">
        <f t="shared" si="37"/>
        <v>0</v>
      </c>
      <c r="H590" s="2">
        <f t="shared" si="38"/>
        <v>0</v>
      </c>
    </row>
    <row r="591" spans="2:8">
      <c r="B591" t="s">
        <v>1898</v>
      </c>
      <c r="C591" t="s">
        <v>1992</v>
      </c>
      <c r="D591" s="9" t="str">
        <f t="shared" si="34"/>
        <v>13-01</v>
      </c>
      <c r="E591" s="1">
        <f>_xlfn.IFNA(VLOOKUP('Comp X - Kilter'!B591,'Kilter Holds'!$P$36:$AB$370,9,0),0)</f>
        <v>4</v>
      </c>
      <c r="G591" s="2">
        <f t="shared" si="37"/>
        <v>0</v>
      </c>
      <c r="H591" s="2">
        <f t="shared" si="38"/>
        <v>0</v>
      </c>
    </row>
    <row r="592" spans="2:8">
      <c r="B592" t="s">
        <v>1898</v>
      </c>
      <c r="C592" t="s">
        <v>1992</v>
      </c>
      <c r="D592" s="10" t="str">
        <f t="shared" si="34"/>
        <v>07-13</v>
      </c>
      <c r="E592" s="1">
        <f>_xlfn.IFNA(VLOOKUP('Comp X - Kilter'!B592,'Kilter Holds'!$P$36:$AB$370,10,0),0)</f>
        <v>7</v>
      </c>
      <c r="G592" s="2">
        <f t="shared" si="37"/>
        <v>0</v>
      </c>
      <c r="H592" s="2">
        <f t="shared" si="38"/>
        <v>0</v>
      </c>
    </row>
    <row r="593" spans="2:8">
      <c r="B593" t="s">
        <v>1898</v>
      </c>
      <c r="C593" t="s">
        <v>1992</v>
      </c>
      <c r="D593" s="11" t="str">
        <f t="shared" si="34"/>
        <v>11-25</v>
      </c>
      <c r="E593" s="1">
        <f>_xlfn.IFNA(VLOOKUP('Comp X - Kilter'!B593,'Kilter Holds'!$P$36:$AB$370,11,0),0)</f>
        <v>5</v>
      </c>
      <c r="G593" s="2">
        <f t="shared" si="37"/>
        <v>0</v>
      </c>
      <c r="H593" s="2">
        <f t="shared" si="38"/>
        <v>0</v>
      </c>
    </row>
    <row r="594" spans="2:8">
      <c r="B594" t="s">
        <v>1898</v>
      </c>
      <c r="C594" t="s">
        <v>1992</v>
      </c>
      <c r="D594" s="13" t="str">
        <f t="shared" si="34"/>
        <v>18-01</v>
      </c>
      <c r="E594" s="1">
        <f>_xlfn.IFNA(VLOOKUP('Comp X - Kilter'!B594,'Kilter Holds'!$P$36:$AB$370,12,0),0)</f>
        <v>11</v>
      </c>
      <c r="G594" s="2">
        <f t="shared" si="37"/>
        <v>0</v>
      </c>
      <c r="H594" s="2">
        <f t="shared" si="38"/>
        <v>0</v>
      </c>
    </row>
    <row r="595" spans="2:8">
      <c r="B595" t="s">
        <v>1898</v>
      </c>
      <c r="C595" t="s">
        <v>1992</v>
      </c>
      <c r="D595" s="12" t="str">
        <f t="shared" si="34"/>
        <v>12-01</v>
      </c>
      <c r="E595" s="1">
        <f>_xlfn.IFNA(VLOOKUP('Comp X - Kilter'!B595,'Kilter Holds'!$P$36:$AB$370,13,0),0)</f>
        <v>0</v>
      </c>
      <c r="G595" s="2">
        <f t="shared" si="37"/>
        <v>0</v>
      </c>
      <c r="H595" s="2">
        <f t="shared" si="38"/>
        <v>0</v>
      </c>
    </row>
    <row r="596" spans="2:8">
      <c r="B596" t="s">
        <v>1691</v>
      </c>
      <c r="C596" t="s">
        <v>1692</v>
      </c>
      <c r="D596" s="5" t="str">
        <f t="shared" ref="D596:D604" si="39">D560</f>
        <v>11-12</v>
      </c>
      <c r="E596" s="1">
        <f>_xlfn.IFNA(VLOOKUP('Comp X - Kilter'!B596,'Kilter Holds'!$P$36:$AB$370,5,0),0)</f>
        <v>0</v>
      </c>
      <c r="G596" s="2">
        <f t="shared" ref="G596:G604" si="40">E596*F596</f>
        <v>0</v>
      </c>
      <c r="H596" s="2">
        <f t="shared" ref="H596:H604" si="41">IF($S$11="Y",G596*0.15,0)</f>
        <v>0</v>
      </c>
    </row>
    <row r="597" spans="2:8">
      <c r="B597" t="s">
        <v>1691</v>
      </c>
      <c r="C597" t="s">
        <v>1692</v>
      </c>
      <c r="D597" s="6" t="str">
        <f t="shared" si="39"/>
        <v>14-01</v>
      </c>
      <c r="E597" s="1">
        <f>_xlfn.IFNA(VLOOKUP('Comp X - Kilter'!B597,'Kilter Holds'!$P$36:$AB$370,6,0),0)</f>
        <v>0</v>
      </c>
      <c r="G597" s="2">
        <f t="shared" si="40"/>
        <v>0</v>
      </c>
      <c r="H597" s="2">
        <f t="shared" si="41"/>
        <v>0</v>
      </c>
    </row>
    <row r="598" spans="2:8">
      <c r="B598" t="s">
        <v>1691</v>
      </c>
      <c r="C598" t="s">
        <v>1692</v>
      </c>
      <c r="D598" s="7" t="str">
        <f t="shared" si="39"/>
        <v>15-12</v>
      </c>
      <c r="E598" s="1">
        <f>_xlfn.IFNA(VLOOKUP('Comp X - Kilter'!B598,'Kilter Holds'!$P$36:$AB$370,7,0),0)</f>
        <v>0</v>
      </c>
      <c r="G598" s="2">
        <f t="shared" si="40"/>
        <v>0</v>
      </c>
      <c r="H598" s="2">
        <f t="shared" si="41"/>
        <v>0</v>
      </c>
    </row>
    <row r="599" spans="2:8">
      <c r="B599" t="s">
        <v>1691</v>
      </c>
      <c r="C599" t="s">
        <v>1692</v>
      </c>
      <c r="D599" s="8" t="str">
        <f t="shared" si="39"/>
        <v>16-16</v>
      </c>
      <c r="E599" s="1">
        <f>_xlfn.IFNA(VLOOKUP('Comp X - Kilter'!B599,'Kilter Holds'!$P$36:$AB$370,8,0),0)</f>
        <v>0</v>
      </c>
      <c r="G599" s="2">
        <f t="shared" si="40"/>
        <v>0</v>
      </c>
      <c r="H599" s="2">
        <f t="shared" si="41"/>
        <v>0</v>
      </c>
    </row>
    <row r="600" spans="2:8">
      <c r="B600" t="s">
        <v>1691</v>
      </c>
      <c r="C600" t="s">
        <v>1692</v>
      </c>
      <c r="D600" s="9" t="str">
        <f t="shared" si="39"/>
        <v>13-01</v>
      </c>
      <c r="E600" s="1">
        <f>_xlfn.IFNA(VLOOKUP('Comp X - Kilter'!B600,'Kilter Holds'!$P$36:$AB$370,9,0),0)</f>
        <v>0</v>
      </c>
      <c r="G600" s="2">
        <f t="shared" si="40"/>
        <v>0</v>
      </c>
      <c r="H600" s="2">
        <f t="shared" si="41"/>
        <v>0</v>
      </c>
    </row>
    <row r="601" spans="2:8">
      <c r="B601" t="s">
        <v>1691</v>
      </c>
      <c r="C601" t="s">
        <v>1692</v>
      </c>
      <c r="D601" s="10" t="str">
        <f t="shared" si="39"/>
        <v>07-13</v>
      </c>
      <c r="E601" s="1">
        <f>_xlfn.IFNA(VLOOKUP('Comp X - Kilter'!B601,'Kilter Holds'!$P$36:$AB$370,10,0),0)</f>
        <v>0</v>
      </c>
      <c r="G601" s="2">
        <f t="shared" si="40"/>
        <v>0</v>
      </c>
      <c r="H601" s="2">
        <f t="shared" si="41"/>
        <v>0</v>
      </c>
    </row>
    <row r="602" spans="2:8">
      <c r="B602" t="s">
        <v>1691</v>
      </c>
      <c r="C602" t="s">
        <v>1692</v>
      </c>
      <c r="D602" s="11" t="str">
        <f t="shared" si="39"/>
        <v>11-25</v>
      </c>
      <c r="E602" s="1">
        <f>_xlfn.IFNA(VLOOKUP('Comp X - Kilter'!B602,'Kilter Holds'!$P$36:$AB$370,11,0),0)</f>
        <v>0</v>
      </c>
      <c r="G602" s="2">
        <f t="shared" si="40"/>
        <v>0</v>
      </c>
      <c r="H602" s="2">
        <f t="shared" si="41"/>
        <v>0</v>
      </c>
    </row>
    <row r="603" spans="2:8">
      <c r="B603" t="s">
        <v>1691</v>
      </c>
      <c r="C603" t="s">
        <v>1692</v>
      </c>
      <c r="D603" s="13" t="str">
        <f t="shared" si="39"/>
        <v>18-01</v>
      </c>
      <c r="E603" s="1">
        <f>_xlfn.IFNA(VLOOKUP('Comp X - Kilter'!B603,'Kilter Holds'!$P$36:$AB$370,12,0),0)</f>
        <v>5</v>
      </c>
      <c r="G603" s="2">
        <f t="shared" si="40"/>
        <v>0</v>
      </c>
      <c r="H603" s="2">
        <f t="shared" si="41"/>
        <v>0</v>
      </c>
    </row>
    <row r="604" spans="2:8">
      <c r="B604" t="s">
        <v>1691</v>
      </c>
      <c r="C604" t="s">
        <v>1692</v>
      </c>
      <c r="D604" s="12" t="str">
        <f t="shared" si="39"/>
        <v>12-01</v>
      </c>
      <c r="E604" s="1">
        <f>_xlfn.IFNA(VLOOKUP('Comp X - Kilter'!B604,'Kilter Holds'!$P$36:$AB$370,13,0),0)</f>
        <v>0</v>
      </c>
      <c r="G604" s="2">
        <f t="shared" si="40"/>
        <v>0</v>
      </c>
      <c r="H604" s="2">
        <f t="shared" si="41"/>
        <v>0</v>
      </c>
    </row>
    <row r="605" spans="2:8">
      <c r="B605" t="s">
        <v>1789</v>
      </c>
      <c r="C605" t="s">
        <v>1790</v>
      </c>
      <c r="D605" s="5" t="str">
        <f t="shared" si="34"/>
        <v>11-12</v>
      </c>
      <c r="E605" s="1">
        <f>_xlfn.IFNA(VLOOKUP('Comp X - Kilter'!B605,'Kilter Holds'!$P$36:$AB$370,5,0),0)</f>
        <v>3</v>
      </c>
      <c r="G605" s="2">
        <f t="shared" ref="G605:G613" si="42">E605*F605</f>
        <v>0</v>
      </c>
      <c r="H605" s="2">
        <f t="shared" ref="H605:H613" si="43">IF($S$11="Y",G605*0.15,0)</f>
        <v>0</v>
      </c>
    </row>
    <row r="606" spans="2:8">
      <c r="B606" t="s">
        <v>1789</v>
      </c>
      <c r="C606" t="s">
        <v>1790</v>
      </c>
      <c r="D606" s="6" t="str">
        <f t="shared" si="34"/>
        <v>14-01</v>
      </c>
      <c r="E606" s="1">
        <f>_xlfn.IFNA(VLOOKUP('Comp X - Kilter'!B606,'Kilter Holds'!$P$36:$AB$370,6,0),0)</f>
        <v>0</v>
      </c>
      <c r="G606" s="2">
        <f t="shared" si="42"/>
        <v>0</v>
      </c>
      <c r="H606" s="2">
        <f t="shared" si="43"/>
        <v>0</v>
      </c>
    </row>
    <row r="607" spans="2:8">
      <c r="B607" t="s">
        <v>1789</v>
      </c>
      <c r="C607" t="s">
        <v>1790</v>
      </c>
      <c r="D607" s="7" t="str">
        <f t="shared" si="34"/>
        <v>15-12</v>
      </c>
      <c r="E607" s="1">
        <f>_xlfn.IFNA(VLOOKUP('Comp X - Kilter'!B607,'Kilter Holds'!$P$36:$AB$370,7,0),0)</f>
        <v>5</v>
      </c>
      <c r="G607" s="2">
        <f t="shared" si="42"/>
        <v>0</v>
      </c>
      <c r="H607" s="2">
        <f t="shared" si="43"/>
        <v>0</v>
      </c>
    </row>
    <row r="608" spans="2:8">
      <c r="B608" t="s">
        <v>1789</v>
      </c>
      <c r="C608" t="s">
        <v>1790</v>
      </c>
      <c r="D608" s="8" t="str">
        <f t="shared" si="34"/>
        <v>16-16</v>
      </c>
      <c r="E608" s="1">
        <f>_xlfn.IFNA(VLOOKUP('Comp X - Kilter'!B608,'Kilter Holds'!$P$36:$AB$370,8,0),0)</f>
        <v>5</v>
      </c>
      <c r="G608" s="2">
        <f t="shared" si="42"/>
        <v>0</v>
      </c>
      <c r="H608" s="2">
        <f t="shared" si="43"/>
        <v>0</v>
      </c>
    </row>
    <row r="609" spans="2:8">
      <c r="B609" t="s">
        <v>1789</v>
      </c>
      <c r="C609" t="s">
        <v>1790</v>
      </c>
      <c r="D609" s="9" t="str">
        <f t="shared" si="34"/>
        <v>13-01</v>
      </c>
      <c r="E609" s="1">
        <f>_xlfn.IFNA(VLOOKUP('Comp X - Kilter'!B609,'Kilter Holds'!$P$36:$AB$370,9,0),0)</f>
        <v>4</v>
      </c>
      <c r="G609" s="2">
        <f t="shared" si="42"/>
        <v>0</v>
      </c>
      <c r="H609" s="2">
        <f t="shared" si="43"/>
        <v>0</v>
      </c>
    </row>
    <row r="610" spans="2:8">
      <c r="B610" t="s">
        <v>1789</v>
      </c>
      <c r="C610" t="s">
        <v>1790</v>
      </c>
      <c r="D610" s="10" t="str">
        <f t="shared" si="34"/>
        <v>07-13</v>
      </c>
      <c r="E610" s="1">
        <f>_xlfn.IFNA(VLOOKUP('Comp X - Kilter'!B610,'Kilter Holds'!$P$36:$AB$370,10,0),0)</f>
        <v>4</v>
      </c>
      <c r="G610" s="2">
        <f t="shared" si="42"/>
        <v>0</v>
      </c>
      <c r="H610" s="2">
        <f t="shared" si="43"/>
        <v>0</v>
      </c>
    </row>
    <row r="611" spans="2:8">
      <c r="B611" t="s">
        <v>1789</v>
      </c>
      <c r="C611" t="s">
        <v>1790</v>
      </c>
      <c r="D611" s="11" t="str">
        <f t="shared" si="34"/>
        <v>11-25</v>
      </c>
      <c r="E611" s="1">
        <f>_xlfn.IFNA(VLOOKUP('Comp X - Kilter'!B611,'Kilter Holds'!$P$36:$AB$370,11,0),0)</f>
        <v>2</v>
      </c>
      <c r="G611" s="2">
        <f t="shared" si="42"/>
        <v>0</v>
      </c>
      <c r="H611" s="2">
        <f t="shared" si="43"/>
        <v>0</v>
      </c>
    </row>
    <row r="612" spans="2:8">
      <c r="B612" t="s">
        <v>1789</v>
      </c>
      <c r="C612" t="s">
        <v>1790</v>
      </c>
      <c r="D612" s="13" t="str">
        <f t="shared" si="34"/>
        <v>18-01</v>
      </c>
      <c r="E612" s="1">
        <f>_xlfn.IFNA(VLOOKUP('Comp X - Kilter'!B612,'Kilter Holds'!$P$36:$AB$370,12,0),0)</f>
        <v>11</v>
      </c>
      <c r="G612" s="2">
        <f t="shared" si="42"/>
        <v>0</v>
      </c>
      <c r="H612" s="2">
        <f t="shared" si="43"/>
        <v>0</v>
      </c>
    </row>
    <row r="613" spans="2:8">
      <c r="B613" t="s">
        <v>1789</v>
      </c>
      <c r="C613" t="s">
        <v>1790</v>
      </c>
      <c r="D613" s="12" t="str">
        <f t="shared" si="34"/>
        <v>12-01</v>
      </c>
      <c r="E613" s="1">
        <f>_xlfn.IFNA(VLOOKUP('Comp X - Kilter'!B613,'Kilter Holds'!$P$36:$AB$370,13,0),0)</f>
        <v>1</v>
      </c>
      <c r="G613" s="2">
        <f t="shared" si="42"/>
        <v>0</v>
      </c>
      <c r="H613" s="2">
        <f t="shared" si="43"/>
        <v>0</v>
      </c>
    </row>
    <row r="614" spans="2:8">
      <c r="B614" t="s">
        <v>1788</v>
      </c>
      <c r="C614" t="s">
        <v>1791</v>
      </c>
      <c r="D614" s="5" t="str">
        <f t="shared" si="34"/>
        <v>11-12</v>
      </c>
      <c r="E614" s="1">
        <f>_xlfn.IFNA(VLOOKUP('Comp X - Kilter'!B614,'Kilter Holds'!$P$36:$AB$370,5,0),0)</f>
        <v>5</v>
      </c>
      <c r="G614" s="2">
        <f t="shared" ref="G614:G622" si="44">E614*F614</f>
        <v>0</v>
      </c>
      <c r="H614" s="2">
        <f t="shared" ref="H614:H622" si="45">IF($S$11="Y",G614*0.15,0)</f>
        <v>0</v>
      </c>
    </row>
    <row r="615" spans="2:8">
      <c r="B615" t="s">
        <v>1788</v>
      </c>
      <c r="C615" t="s">
        <v>1791</v>
      </c>
      <c r="D615" s="6" t="str">
        <f t="shared" si="34"/>
        <v>14-01</v>
      </c>
      <c r="E615" s="1">
        <f>_xlfn.IFNA(VLOOKUP('Comp X - Kilter'!B615,'Kilter Holds'!$P$36:$AB$370,6,0),0)</f>
        <v>0</v>
      </c>
      <c r="G615" s="2">
        <f t="shared" si="44"/>
        <v>0</v>
      </c>
      <c r="H615" s="2">
        <f t="shared" si="45"/>
        <v>0</v>
      </c>
    </row>
    <row r="616" spans="2:8">
      <c r="B616" t="s">
        <v>1788</v>
      </c>
      <c r="C616" t="s">
        <v>1791</v>
      </c>
      <c r="D616" s="7" t="str">
        <f t="shared" si="34"/>
        <v>15-12</v>
      </c>
      <c r="E616" s="1">
        <f>_xlfn.IFNA(VLOOKUP('Comp X - Kilter'!B616,'Kilter Holds'!$P$36:$AB$370,7,0),0)</f>
        <v>8</v>
      </c>
      <c r="G616" s="2">
        <f t="shared" si="44"/>
        <v>0</v>
      </c>
      <c r="H616" s="2">
        <f t="shared" si="45"/>
        <v>0</v>
      </c>
    </row>
    <row r="617" spans="2:8">
      <c r="B617" t="s">
        <v>1788</v>
      </c>
      <c r="C617" t="s">
        <v>1791</v>
      </c>
      <c r="D617" s="8" t="str">
        <f t="shared" si="34"/>
        <v>16-16</v>
      </c>
      <c r="E617" s="1">
        <f>_xlfn.IFNA(VLOOKUP('Comp X - Kilter'!B617,'Kilter Holds'!$P$36:$AB$370,8,0),0)</f>
        <v>10</v>
      </c>
      <c r="G617" s="2">
        <f t="shared" si="44"/>
        <v>0</v>
      </c>
      <c r="H617" s="2">
        <f t="shared" si="45"/>
        <v>0</v>
      </c>
    </row>
    <row r="618" spans="2:8">
      <c r="B618" t="s">
        <v>1788</v>
      </c>
      <c r="C618" t="s">
        <v>1791</v>
      </c>
      <c r="D618" s="9" t="str">
        <f t="shared" si="34"/>
        <v>13-01</v>
      </c>
      <c r="E618" s="1">
        <f>_xlfn.IFNA(VLOOKUP('Comp X - Kilter'!B618,'Kilter Holds'!$P$36:$AB$370,9,0),0)</f>
        <v>9</v>
      </c>
      <c r="G618" s="2">
        <f t="shared" si="44"/>
        <v>0</v>
      </c>
      <c r="H618" s="2">
        <f t="shared" si="45"/>
        <v>0</v>
      </c>
    </row>
    <row r="619" spans="2:8">
      <c r="B619" t="s">
        <v>1788</v>
      </c>
      <c r="C619" t="s">
        <v>1791</v>
      </c>
      <c r="D619" s="10" t="str">
        <f t="shared" si="34"/>
        <v>07-13</v>
      </c>
      <c r="E619" s="1">
        <f>_xlfn.IFNA(VLOOKUP('Comp X - Kilter'!B619,'Kilter Holds'!$P$36:$AB$370,10,0),0)</f>
        <v>5</v>
      </c>
      <c r="G619" s="2">
        <f t="shared" si="44"/>
        <v>0</v>
      </c>
      <c r="H619" s="2">
        <f t="shared" si="45"/>
        <v>0</v>
      </c>
    </row>
    <row r="620" spans="2:8">
      <c r="B620" t="s">
        <v>1788</v>
      </c>
      <c r="C620" t="s">
        <v>1791</v>
      </c>
      <c r="D620" s="11" t="str">
        <f t="shared" si="34"/>
        <v>11-25</v>
      </c>
      <c r="E620" s="1">
        <f>_xlfn.IFNA(VLOOKUP('Comp X - Kilter'!B620,'Kilter Holds'!$P$36:$AB$370,11,0),0)</f>
        <v>5</v>
      </c>
      <c r="G620" s="2">
        <f t="shared" si="44"/>
        <v>0</v>
      </c>
      <c r="H620" s="2">
        <f t="shared" si="45"/>
        <v>0</v>
      </c>
    </row>
    <row r="621" spans="2:8">
      <c r="B621" t="s">
        <v>1788</v>
      </c>
      <c r="C621" t="s">
        <v>1791</v>
      </c>
      <c r="D621" s="13" t="str">
        <f t="shared" si="34"/>
        <v>18-01</v>
      </c>
      <c r="E621" s="1">
        <f>_xlfn.IFNA(VLOOKUP('Comp X - Kilter'!B621,'Kilter Holds'!$P$36:$AB$370,12,0),0)</f>
        <v>13</v>
      </c>
      <c r="G621" s="2">
        <f t="shared" si="44"/>
        <v>0</v>
      </c>
      <c r="H621" s="2">
        <f t="shared" si="45"/>
        <v>0</v>
      </c>
    </row>
    <row r="622" spans="2:8">
      <c r="B622" t="s">
        <v>1788</v>
      </c>
      <c r="C622" t="s">
        <v>1791</v>
      </c>
      <c r="D622" s="12" t="str">
        <f t="shared" si="34"/>
        <v>12-01</v>
      </c>
      <c r="E622" s="1">
        <f>_xlfn.IFNA(VLOOKUP('Comp X - Kilter'!B622,'Kilter Holds'!$P$36:$AB$370,13,0),0)</f>
        <v>0</v>
      </c>
      <c r="G622" s="2">
        <f t="shared" si="44"/>
        <v>0</v>
      </c>
      <c r="H622" s="2">
        <f t="shared" si="45"/>
        <v>0</v>
      </c>
    </row>
    <row r="623" spans="2:8">
      <c r="B623" t="s">
        <v>2104</v>
      </c>
      <c r="C623" t="s">
        <v>2163</v>
      </c>
      <c r="D623" s="5" t="str">
        <f t="shared" si="34"/>
        <v>11-12</v>
      </c>
      <c r="E623" s="1">
        <f>_xlfn.IFNA(VLOOKUP('Comp X - Kilter'!B623,'Kilter Holds'!$P$36:$AB$370,5,0),0)</f>
        <v>5</v>
      </c>
      <c r="G623" s="2">
        <f t="shared" ref="G623:G631" si="46">E623*F623</f>
        <v>0</v>
      </c>
      <c r="H623" s="2">
        <f t="shared" ref="H623:H631" si="47">IF($S$11="Y",G623*0.15,0)</f>
        <v>0</v>
      </c>
    </row>
    <row r="624" spans="2:8">
      <c r="B624" t="s">
        <v>2104</v>
      </c>
      <c r="C624" t="s">
        <v>2163</v>
      </c>
      <c r="D624" s="6" t="str">
        <f t="shared" si="34"/>
        <v>14-01</v>
      </c>
      <c r="E624" s="1">
        <f>_xlfn.IFNA(VLOOKUP('Comp X - Kilter'!B624,'Kilter Holds'!$P$36:$AB$370,6,0),0)</f>
        <v>0</v>
      </c>
      <c r="G624" s="2">
        <f t="shared" si="46"/>
        <v>0</v>
      </c>
      <c r="H624" s="2">
        <f t="shared" si="47"/>
        <v>0</v>
      </c>
    </row>
    <row r="625" spans="2:8">
      <c r="B625" t="s">
        <v>2104</v>
      </c>
      <c r="C625" t="s">
        <v>2163</v>
      </c>
      <c r="D625" s="7" t="str">
        <f t="shared" si="34"/>
        <v>15-12</v>
      </c>
      <c r="E625" s="1">
        <f>_xlfn.IFNA(VLOOKUP('Comp X - Kilter'!B625,'Kilter Holds'!$P$36:$AB$370,7,0),0)</f>
        <v>9</v>
      </c>
      <c r="G625" s="2">
        <f t="shared" si="46"/>
        <v>0</v>
      </c>
      <c r="H625" s="2">
        <f t="shared" si="47"/>
        <v>0</v>
      </c>
    </row>
    <row r="626" spans="2:8">
      <c r="B626" t="s">
        <v>2104</v>
      </c>
      <c r="C626" t="s">
        <v>2163</v>
      </c>
      <c r="D626" s="8" t="str">
        <f t="shared" si="34"/>
        <v>16-16</v>
      </c>
      <c r="E626" s="1">
        <f>_xlfn.IFNA(VLOOKUP('Comp X - Kilter'!B626,'Kilter Holds'!$P$36:$AB$370,8,0),0)</f>
        <v>8</v>
      </c>
      <c r="G626" s="2">
        <f t="shared" si="46"/>
        <v>0</v>
      </c>
      <c r="H626" s="2">
        <f t="shared" si="47"/>
        <v>0</v>
      </c>
    </row>
    <row r="627" spans="2:8">
      <c r="B627" t="s">
        <v>2104</v>
      </c>
      <c r="C627" t="s">
        <v>2163</v>
      </c>
      <c r="D627" s="9" t="str">
        <f t="shared" si="34"/>
        <v>13-01</v>
      </c>
      <c r="E627" s="1">
        <f>_xlfn.IFNA(VLOOKUP('Comp X - Kilter'!B627,'Kilter Holds'!$P$36:$AB$370,9,0),0)</f>
        <v>10</v>
      </c>
      <c r="G627" s="2">
        <f t="shared" si="46"/>
        <v>0</v>
      </c>
      <c r="H627" s="2">
        <f t="shared" si="47"/>
        <v>0</v>
      </c>
    </row>
    <row r="628" spans="2:8">
      <c r="B628" t="s">
        <v>2104</v>
      </c>
      <c r="C628" t="s">
        <v>2163</v>
      </c>
      <c r="D628" s="10" t="str">
        <f t="shared" si="34"/>
        <v>07-13</v>
      </c>
      <c r="E628" s="1">
        <f>_xlfn.IFNA(VLOOKUP('Comp X - Kilter'!B628,'Kilter Holds'!$P$36:$AB$370,10,0),0)</f>
        <v>5</v>
      </c>
      <c r="G628" s="2">
        <f t="shared" si="46"/>
        <v>0</v>
      </c>
      <c r="H628" s="2">
        <f t="shared" si="47"/>
        <v>0</v>
      </c>
    </row>
    <row r="629" spans="2:8">
      <c r="B629" t="s">
        <v>2104</v>
      </c>
      <c r="C629" t="s">
        <v>2163</v>
      </c>
      <c r="D629" s="11" t="str">
        <f t="shared" si="34"/>
        <v>11-25</v>
      </c>
      <c r="E629" s="1">
        <f>_xlfn.IFNA(VLOOKUP('Comp X - Kilter'!B629,'Kilter Holds'!$P$36:$AB$370,11,0),0)</f>
        <v>4</v>
      </c>
      <c r="G629" s="2">
        <f t="shared" si="46"/>
        <v>0</v>
      </c>
      <c r="H629" s="2">
        <f t="shared" si="47"/>
        <v>0</v>
      </c>
    </row>
    <row r="630" spans="2:8">
      <c r="B630" t="s">
        <v>2104</v>
      </c>
      <c r="C630" t="s">
        <v>2163</v>
      </c>
      <c r="D630" s="13" t="str">
        <f t="shared" si="34"/>
        <v>18-01</v>
      </c>
      <c r="E630" s="1">
        <f>_xlfn.IFNA(VLOOKUP('Comp X - Kilter'!B630,'Kilter Holds'!$P$36:$AB$370,12,0),0)</f>
        <v>10</v>
      </c>
      <c r="G630" s="2">
        <f t="shared" si="46"/>
        <v>0</v>
      </c>
      <c r="H630" s="2">
        <f t="shared" si="47"/>
        <v>0</v>
      </c>
    </row>
    <row r="631" spans="2:8">
      <c r="B631" t="s">
        <v>2104</v>
      </c>
      <c r="C631" t="s">
        <v>2163</v>
      </c>
      <c r="D631" s="12" t="str">
        <f t="shared" si="34"/>
        <v>12-01</v>
      </c>
      <c r="E631" s="1">
        <f>_xlfn.IFNA(VLOOKUP('Comp X - Kilter'!B631,'Kilter Holds'!$P$36:$AB$370,13,0),0)</f>
        <v>0</v>
      </c>
      <c r="G631" s="2">
        <f t="shared" si="46"/>
        <v>0</v>
      </c>
      <c r="H631" s="2">
        <f t="shared" si="47"/>
        <v>0</v>
      </c>
    </row>
    <row r="632" spans="2:8">
      <c r="B632" s="3" t="s">
        <v>1868</v>
      </c>
      <c r="C632" s="3" t="s">
        <v>1869</v>
      </c>
      <c r="D632" s="5" t="str">
        <f t="shared" ref="D632:D640" si="48">D614</f>
        <v>11-12</v>
      </c>
      <c r="E632" s="1">
        <f>_xlfn.IFNA(VLOOKUP('Comp X - Kilter'!B632,'Kilter Holds'!$P$36:$AB$370,5,0),0)</f>
        <v>4</v>
      </c>
      <c r="G632" s="2">
        <f t="shared" ref="G632:G640" si="49">E632*F632</f>
        <v>0</v>
      </c>
      <c r="H632" s="2">
        <f t="shared" ref="H632:H640" si="50">IF($S$11="Y",G632*0.15,0)</f>
        <v>0</v>
      </c>
    </row>
    <row r="633" spans="2:8">
      <c r="B633" s="3" t="s">
        <v>1868</v>
      </c>
      <c r="C633" s="3" t="s">
        <v>1869</v>
      </c>
      <c r="D633" s="6" t="str">
        <f t="shared" si="48"/>
        <v>14-01</v>
      </c>
      <c r="E633" s="1">
        <f>_xlfn.IFNA(VLOOKUP('Comp X - Kilter'!B633,'Kilter Holds'!$P$36:$AB$370,6,0),0)</f>
        <v>0</v>
      </c>
      <c r="G633" s="2">
        <f t="shared" si="49"/>
        <v>0</v>
      </c>
      <c r="H633" s="2">
        <f t="shared" si="50"/>
        <v>0</v>
      </c>
    </row>
    <row r="634" spans="2:8">
      <c r="B634" s="3" t="s">
        <v>1868</v>
      </c>
      <c r="C634" s="3" t="s">
        <v>1869</v>
      </c>
      <c r="D634" s="7" t="str">
        <f t="shared" si="48"/>
        <v>15-12</v>
      </c>
      <c r="E634" s="1">
        <f>_xlfn.IFNA(VLOOKUP('Comp X - Kilter'!B634,'Kilter Holds'!$P$36:$AB$370,7,0),0)</f>
        <v>4</v>
      </c>
      <c r="G634" s="2">
        <f t="shared" si="49"/>
        <v>0</v>
      </c>
      <c r="H634" s="2">
        <f t="shared" si="50"/>
        <v>0</v>
      </c>
    </row>
    <row r="635" spans="2:8">
      <c r="B635" s="3" t="s">
        <v>1868</v>
      </c>
      <c r="C635" s="3" t="s">
        <v>1869</v>
      </c>
      <c r="D635" s="8" t="str">
        <f t="shared" si="48"/>
        <v>16-16</v>
      </c>
      <c r="E635" s="1">
        <f>_xlfn.IFNA(VLOOKUP('Comp X - Kilter'!B635,'Kilter Holds'!$P$36:$AB$370,8,0),0)</f>
        <v>8</v>
      </c>
      <c r="G635" s="2">
        <f t="shared" si="49"/>
        <v>0</v>
      </c>
      <c r="H635" s="2">
        <f t="shared" si="50"/>
        <v>0</v>
      </c>
    </row>
    <row r="636" spans="2:8">
      <c r="B636" s="3" t="s">
        <v>1868</v>
      </c>
      <c r="C636" s="3" t="s">
        <v>1869</v>
      </c>
      <c r="D636" s="9" t="str">
        <f t="shared" si="48"/>
        <v>13-01</v>
      </c>
      <c r="E636" s="1">
        <f>_xlfn.IFNA(VLOOKUP('Comp X - Kilter'!B636,'Kilter Holds'!$P$36:$AB$370,9,0),0)</f>
        <v>8</v>
      </c>
      <c r="G636" s="2">
        <f t="shared" si="49"/>
        <v>0</v>
      </c>
      <c r="H636" s="2">
        <f t="shared" si="50"/>
        <v>0</v>
      </c>
    </row>
    <row r="637" spans="2:8">
      <c r="B637" s="3" t="s">
        <v>1868</v>
      </c>
      <c r="C637" s="3" t="s">
        <v>1869</v>
      </c>
      <c r="D637" s="10" t="str">
        <f t="shared" si="48"/>
        <v>07-13</v>
      </c>
      <c r="E637" s="1">
        <f>_xlfn.IFNA(VLOOKUP('Comp X - Kilter'!B637,'Kilter Holds'!$P$36:$AB$370,10,0),0)</f>
        <v>5</v>
      </c>
      <c r="G637" s="2">
        <f t="shared" si="49"/>
        <v>0</v>
      </c>
      <c r="H637" s="2">
        <f t="shared" si="50"/>
        <v>0</v>
      </c>
    </row>
    <row r="638" spans="2:8">
      <c r="B638" s="3" t="s">
        <v>1868</v>
      </c>
      <c r="C638" s="3" t="s">
        <v>1869</v>
      </c>
      <c r="D638" s="11" t="str">
        <f t="shared" si="48"/>
        <v>11-25</v>
      </c>
      <c r="E638" s="1">
        <f>_xlfn.IFNA(VLOOKUP('Comp X - Kilter'!B638,'Kilter Holds'!$P$36:$AB$370,11,0),0)</f>
        <v>0</v>
      </c>
      <c r="G638" s="2">
        <f t="shared" si="49"/>
        <v>0</v>
      </c>
      <c r="H638" s="2">
        <f t="shared" si="50"/>
        <v>0</v>
      </c>
    </row>
    <row r="639" spans="2:8">
      <c r="B639" s="3" t="s">
        <v>1868</v>
      </c>
      <c r="C639" s="3" t="s">
        <v>1869</v>
      </c>
      <c r="D639" s="13" t="str">
        <f t="shared" si="48"/>
        <v>18-01</v>
      </c>
      <c r="E639" s="1">
        <f>_xlfn.IFNA(VLOOKUP('Comp X - Kilter'!B639,'Kilter Holds'!$P$36:$AB$370,12,0),0)</f>
        <v>8</v>
      </c>
      <c r="G639" s="2">
        <f t="shared" si="49"/>
        <v>0</v>
      </c>
      <c r="H639" s="2">
        <f t="shared" si="50"/>
        <v>0</v>
      </c>
    </row>
    <row r="640" spans="2:8">
      <c r="B640" s="3" t="s">
        <v>1868</v>
      </c>
      <c r="C640" s="3" t="s">
        <v>1869</v>
      </c>
      <c r="D640" s="12" t="str">
        <f t="shared" si="48"/>
        <v>12-01</v>
      </c>
      <c r="E640" s="1">
        <f>_xlfn.IFNA(VLOOKUP('Comp X - Kilter'!B640,'Kilter Holds'!$P$36:$AB$370,13,0),0)</f>
        <v>0</v>
      </c>
      <c r="G640" s="2">
        <f t="shared" si="49"/>
        <v>0</v>
      </c>
      <c r="H640" s="2">
        <f t="shared" si="50"/>
        <v>0</v>
      </c>
    </row>
    <row r="641" spans="2:8">
      <c r="B641" s="3" t="s">
        <v>1817</v>
      </c>
      <c r="C641" s="3" t="s">
        <v>1820</v>
      </c>
      <c r="D641" s="5" t="str">
        <f t="shared" ref="D641:D649" si="51">D614</f>
        <v>11-12</v>
      </c>
      <c r="E641" s="1">
        <f>_xlfn.IFNA(VLOOKUP('Comp X - Kilter'!B641,'Kilter Holds'!$P$36:$AB$370,5,0),0)</f>
        <v>10</v>
      </c>
      <c r="G641" s="2">
        <f t="shared" ref="G641:G649" si="52">E641*F641</f>
        <v>0</v>
      </c>
      <c r="H641" s="2">
        <f t="shared" ref="H641:H649" si="53">IF($S$11="Y",G641*0.15,0)</f>
        <v>0</v>
      </c>
    </row>
    <row r="642" spans="2:8">
      <c r="B642" s="3" t="s">
        <v>1817</v>
      </c>
      <c r="C642" s="3" t="s">
        <v>1820</v>
      </c>
      <c r="D642" s="6" t="str">
        <f t="shared" si="51"/>
        <v>14-01</v>
      </c>
      <c r="E642" s="1">
        <f>_xlfn.IFNA(VLOOKUP('Comp X - Kilter'!B642,'Kilter Holds'!$P$36:$AB$370,6,0),0)</f>
        <v>0</v>
      </c>
      <c r="G642" s="2">
        <f t="shared" si="52"/>
        <v>0</v>
      </c>
      <c r="H642" s="2">
        <f t="shared" si="53"/>
        <v>0</v>
      </c>
    </row>
    <row r="643" spans="2:8">
      <c r="B643" s="3" t="s">
        <v>1817</v>
      </c>
      <c r="C643" s="3" t="s">
        <v>1820</v>
      </c>
      <c r="D643" s="7" t="str">
        <f t="shared" si="51"/>
        <v>15-12</v>
      </c>
      <c r="E643" s="1">
        <f>_xlfn.IFNA(VLOOKUP('Comp X - Kilter'!B643,'Kilter Holds'!$P$36:$AB$370,7,0),0)</f>
        <v>10</v>
      </c>
      <c r="G643" s="2">
        <f t="shared" si="52"/>
        <v>0</v>
      </c>
      <c r="H643" s="2">
        <f t="shared" si="53"/>
        <v>0</v>
      </c>
    </row>
    <row r="644" spans="2:8">
      <c r="B644" s="3" t="s">
        <v>1817</v>
      </c>
      <c r="C644" s="3" t="s">
        <v>1820</v>
      </c>
      <c r="D644" s="8" t="str">
        <f t="shared" si="51"/>
        <v>16-16</v>
      </c>
      <c r="E644" s="1">
        <f>_xlfn.IFNA(VLOOKUP('Comp X - Kilter'!B644,'Kilter Holds'!$P$36:$AB$370,8,0),0)</f>
        <v>8</v>
      </c>
      <c r="G644" s="2">
        <f t="shared" si="52"/>
        <v>0</v>
      </c>
      <c r="H644" s="2">
        <f t="shared" si="53"/>
        <v>0</v>
      </c>
    </row>
    <row r="645" spans="2:8">
      <c r="B645" s="3" t="s">
        <v>1817</v>
      </c>
      <c r="C645" s="3" t="s">
        <v>1820</v>
      </c>
      <c r="D645" s="9" t="str">
        <f t="shared" si="51"/>
        <v>13-01</v>
      </c>
      <c r="E645" s="1">
        <f>_xlfn.IFNA(VLOOKUP('Comp X - Kilter'!B645,'Kilter Holds'!$P$36:$AB$370,9,0),0)</f>
        <v>8</v>
      </c>
      <c r="G645" s="2">
        <f t="shared" si="52"/>
        <v>0</v>
      </c>
      <c r="H645" s="2">
        <f t="shared" si="53"/>
        <v>0</v>
      </c>
    </row>
    <row r="646" spans="2:8">
      <c r="B646" s="3" t="s">
        <v>1817</v>
      </c>
      <c r="C646" s="3" t="s">
        <v>1820</v>
      </c>
      <c r="D646" s="10" t="str">
        <f t="shared" si="51"/>
        <v>07-13</v>
      </c>
      <c r="E646" s="1">
        <f>_xlfn.IFNA(VLOOKUP('Comp X - Kilter'!B646,'Kilter Holds'!$P$36:$AB$370,10,0),0)</f>
        <v>6</v>
      </c>
      <c r="G646" s="2">
        <f t="shared" si="52"/>
        <v>0</v>
      </c>
      <c r="H646" s="2">
        <f t="shared" si="53"/>
        <v>0</v>
      </c>
    </row>
    <row r="647" spans="2:8">
      <c r="B647" s="3" t="s">
        <v>1817</v>
      </c>
      <c r="C647" s="3" t="s">
        <v>1820</v>
      </c>
      <c r="D647" s="11" t="str">
        <f t="shared" si="51"/>
        <v>11-25</v>
      </c>
      <c r="E647" s="1">
        <f>_xlfn.IFNA(VLOOKUP('Comp X - Kilter'!B647,'Kilter Holds'!$P$36:$AB$370,11,0),0)</f>
        <v>3</v>
      </c>
      <c r="G647" s="2">
        <f t="shared" si="52"/>
        <v>0</v>
      </c>
      <c r="H647" s="2">
        <f t="shared" si="53"/>
        <v>0</v>
      </c>
    </row>
    <row r="648" spans="2:8">
      <c r="B648" s="3" t="s">
        <v>1817</v>
      </c>
      <c r="C648" s="3" t="s">
        <v>1820</v>
      </c>
      <c r="D648" s="13" t="str">
        <f t="shared" si="51"/>
        <v>18-01</v>
      </c>
      <c r="E648" s="1">
        <f>_xlfn.IFNA(VLOOKUP('Comp X - Kilter'!B648,'Kilter Holds'!$P$36:$AB$370,12,0),0)</f>
        <v>12</v>
      </c>
      <c r="G648" s="2">
        <f t="shared" si="52"/>
        <v>0</v>
      </c>
      <c r="H648" s="2">
        <f t="shared" si="53"/>
        <v>0</v>
      </c>
    </row>
    <row r="649" spans="2:8">
      <c r="B649" s="3" t="s">
        <v>1817</v>
      </c>
      <c r="C649" s="3" t="s">
        <v>1820</v>
      </c>
      <c r="D649" s="12" t="str">
        <f t="shared" si="51"/>
        <v>12-01</v>
      </c>
      <c r="E649" s="1">
        <f>_xlfn.IFNA(VLOOKUP('Comp X - Kilter'!B649,'Kilter Holds'!$P$36:$AB$370,13,0),0)</f>
        <v>0</v>
      </c>
      <c r="G649" s="2">
        <f t="shared" si="52"/>
        <v>0</v>
      </c>
      <c r="H649" s="2">
        <f t="shared" si="53"/>
        <v>0</v>
      </c>
    </row>
    <row r="650" spans="2:8">
      <c r="B650" s="3" t="s">
        <v>1831</v>
      </c>
      <c r="C650" s="3" t="s">
        <v>1832</v>
      </c>
      <c r="D650" s="5" t="str">
        <f t="shared" si="34"/>
        <v>11-12</v>
      </c>
      <c r="E650" s="1">
        <f>_xlfn.IFNA(VLOOKUP('Comp X - Kilter'!B650,'Kilter Holds'!$P$36:$AB$370,5,0),0)</f>
        <v>7</v>
      </c>
      <c r="G650" s="2">
        <f t="shared" ref="G650:G658" si="54">E650*F650</f>
        <v>0</v>
      </c>
      <c r="H650" s="2">
        <f t="shared" ref="H650:H658" si="55">IF($S$11="Y",G650*0.15,0)</f>
        <v>0</v>
      </c>
    </row>
    <row r="651" spans="2:8">
      <c r="B651" s="3" t="s">
        <v>1831</v>
      </c>
      <c r="C651" s="3" t="s">
        <v>1832</v>
      </c>
      <c r="D651" s="6" t="str">
        <f t="shared" si="34"/>
        <v>14-01</v>
      </c>
      <c r="E651" s="1">
        <f>_xlfn.IFNA(VLOOKUP('Comp X - Kilter'!B651,'Kilter Holds'!$P$36:$AB$370,6,0),0)</f>
        <v>0</v>
      </c>
      <c r="G651" s="2">
        <f t="shared" si="54"/>
        <v>0</v>
      </c>
      <c r="H651" s="2">
        <f t="shared" si="55"/>
        <v>0</v>
      </c>
    </row>
    <row r="652" spans="2:8">
      <c r="B652" s="3" t="s">
        <v>1831</v>
      </c>
      <c r="C652" s="3" t="s">
        <v>1832</v>
      </c>
      <c r="D652" s="7" t="str">
        <f t="shared" si="34"/>
        <v>15-12</v>
      </c>
      <c r="E652" s="1">
        <f>_xlfn.IFNA(VLOOKUP('Comp X - Kilter'!B652,'Kilter Holds'!$P$36:$AB$370,7,0),0)</f>
        <v>9</v>
      </c>
      <c r="G652" s="2">
        <f t="shared" si="54"/>
        <v>0</v>
      </c>
      <c r="H652" s="2">
        <f t="shared" si="55"/>
        <v>0</v>
      </c>
    </row>
    <row r="653" spans="2:8">
      <c r="B653" s="3" t="s">
        <v>1831</v>
      </c>
      <c r="C653" s="3" t="s">
        <v>1832</v>
      </c>
      <c r="D653" s="8" t="str">
        <f t="shared" si="34"/>
        <v>16-16</v>
      </c>
      <c r="E653" s="1">
        <f>_xlfn.IFNA(VLOOKUP('Comp X - Kilter'!B653,'Kilter Holds'!$P$36:$AB$370,8,0),0)</f>
        <v>4</v>
      </c>
      <c r="G653" s="2">
        <f t="shared" si="54"/>
        <v>0</v>
      </c>
      <c r="H653" s="2">
        <f t="shared" si="55"/>
        <v>0</v>
      </c>
    </row>
    <row r="654" spans="2:8">
      <c r="B654" s="3" t="s">
        <v>1831</v>
      </c>
      <c r="C654" s="3" t="s">
        <v>1832</v>
      </c>
      <c r="D654" s="9" t="str">
        <f t="shared" si="34"/>
        <v>13-01</v>
      </c>
      <c r="E654" s="1">
        <f>_xlfn.IFNA(VLOOKUP('Comp X - Kilter'!B654,'Kilter Holds'!$P$36:$AB$370,9,0),0)</f>
        <v>9</v>
      </c>
      <c r="G654" s="2">
        <f t="shared" si="54"/>
        <v>0</v>
      </c>
      <c r="H654" s="2">
        <f t="shared" si="55"/>
        <v>0</v>
      </c>
    </row>
    <row r="655" spans="2:8">
      <c r="B655" s="3" t="s">
        <v>1831</v>
      </c>
      <c r="C655" s="3" t="s">
        <v>1832</v>
      </c>
      <c r="D655" s="10" t="str">
        <f t="shared" si="34"/>
        <v>07-13</v>
      </c>
      <c r="E655" s="1">
        <f>_xlfn.IFNA(VLOOKUP('Comp X - Kilter'!B655,'Kilter Holds'!$P$36:$AB$370,10,0),0)</f>
        <v>5</v>
      </c>
      <c r="G655" s="2">
        <f t="shared" si="54"/>
        <v>0</v>
      </c>
      <c r="H655" s="2">
        <f t="shared" si="55"/>
        <v>0</v>
      </c>
    </row>
    <row r="656" spans="2:8">
      <c r="B656" s="3" t="s">
        <v>1831</v>
      </c>
      <c r="C656" s="3" t="s">
        <v>1832</v>
      </c>
      <c r="D656" s="11" t="str">
        <f t="shared" si="34"/>
        <v>11-25</v>
      </c>
      <c r="E656" s="1">
        <f>_xlfn.IFNA(VLOOKUP('Comp X - Kilter'!B656,'Kilter Holds'!$P$36:$AB$370,11,0),0)</f>
        <v>3</v>
      </c>
      <c r="G656" s="2">
        <f t="shared" si="54"/>
        <v>0</v>
      </c>
      <c r="H656" s="2">
        <f t="shared" si="55"/>
        <v>0</v>
      </c>
    </row>
    <row r="657" spans="1:8">
      <c r="B657" s="3" t="s">
        <v>1831</v>
      </c>
      <c r="C657" s="3" t="s">
        <v>1832</v>
      </c>
      <c r="D657" s="13" t="str">
        <f t="shared" si="34"/>
        <v>18-01</v>
      </c>
      <c r="E657" s="1">
        <f>_xlfn.IFNA(VLOOKUP('Comp X - Kilter'!B657,'Kilter Holds'!$P$36:$AB$370,12,0),0)</f>
        <v>12</v>
      </c>
      <c r="G657" s="2">
        <f t="shared" si="54"/>
        <v>0</v>
      </c>
      <c r="H657" s="2">
        <f t="shared" si="55"/>
        <v>0</v>
      </c>
    </row>
    <row r="658" spans="1:8">
      <c r="B658" s="3" t="s">
        <v>1831</v>
      </c>
      <c r="C658" s="3" t="s">
        <v>1832</v>
      </c>
      <c r="D658" s="12" t="str">
        <f t="shared" si="34"/>
        <v>12-01</v>
      </c>
      <c r="E658" s="1">
        <f>_xlfn.IFNA(VLOOKUP('Comp X - Kilter'!B658,'Kilter Holds'!$P$36:$AB$370,13,0),0)</f>
        <v>0</v>
      </c>
      <c r="G658" s="2">
        <f t="shared" si="54"/>
        <v>0</v>
      </c>
      <c r="H658" s="2">
        <f t="shared" si="55"/>
        <v>0</v>
      </c>
    </row>
    <row r="659" spans="1:8">
      <c r="B659" t="s">
        <v>1684</v>
      </c>
      <c r="C659" t="s">
        <v>1685</v>
      </c>
      <c r="D659" s="5" t="str">
        <f t="shared" ref="D659:D667" si="56">D560</f>
        <v>11-12</v>
      </c>
      <c r="E659" s="1">
        <f>_xlfn.IFNA(VLOOKUP('Comp X - Kilter'!B659,'Kilter Holds'!$P$36:$AB$370,5,0),0)</f>
        <v>6</v>
      </c>
      <c r="G659" s="2">
        <f t="shared" ref="G659:G793" si="57">E659*F659</f>
        <v>0</v>
      </c>
      <c r="H659" s="2">
        <f t="shared" ref="H659:H793" si="58">IF($S$11="Y",G659*0.15,0)</f>
        <v>0</v>
      </c>
    </row>
    <row r="660" spans="1:8">
      <c r="B660" t="s">
        <v>1684</v>
      </c>
      <c r="C660" t="s">
        <v>1685</v>
      </c>
      <c r="D660" s="6" t="str">
        <f t="shared" si="56"/>
        <v>14-01</v>
      </c>
      <c r="E660" s="1">
        <f>_xlfn.IFNA(VLOOKUP('Comp X - Kilter'!B660,'Kilter Holds'!$P$36:$AB$370,6,0),0)</f>
        <v>0</v>
      </c>
      <c r="G660" s="2">
        <f t="shared" si="57"/>
        <v>0</v>
      </c>
      <c r="H660" s="2">
        <f t="shared" si="58"/>
        <v>0</v>
      </c>
    </row>
    <row r="661" spans="1:8">
      <c r="B661" t="s">
        <v>1684</v>
      </c>
      <c r="C661" t="s">
        <v>1685</v>
      </c>
      <c r="D661" s="7" t="str">
        <f t="shared" si="56"/>
        <v>15-12</v>
      </c>
      <c r="E661" s="1">
        <f>_xlfn.IFNA(VLOOKUP('Comp X - Kilter'!B661,'Kilter Holds'!$P$36:$AB$370,7,0),0)</f>
        <v>4</v>
      </c>
      <c r="G661" s="2">
        <f t="shared" si="57"/>
        <v>0</v>
      </c>
      <c r="H661" s="2">
        <f t="shared" si="58"/>
        <v>0</v>
      </c>
    </row>
    <row r="662" spans="1:8">
      <c r="B662" t="s">
        <v>1684</v>
      </c>
      <c r="C662" t="s">
        <v>1685</v>
      </c>
      <c r="D662" s="8" t="str">
        <f t="shared" si="56"/>
        <v>16-16</v>
      </c>
      <c r="E662" s="1">
        <f>_xlfn.IFNA(VLOOKUP('Comp X - Kilter'!B662,'Kilter Holds'!$P$36:$AB$370,8,0),0)</f>
        <v>9</v>
      </c>
      <c r="G662" s="2">
        <f t="shared" si="57"/>
        <v>0</v>
      </c>
      <c r="H662" s="2">
        <f t="shared" si="58"/>
        <v>0</v>
      </c>
    </row>
    <row r="663" spans="1:8">
      <c r="B663" t="s">
        <v>1684</v>
      </c>
      <c r="C663" t="s">
        <v>1685</v>
      </c>
      <c r="D663" s="9" t="str">
        <f t="shared" si="56"/>
        <v>13-01</v>
      </c>
      <c r="E663" s="1">
        <f>_xlfn.IFNA(VLOOKUP('Comp X - Kilter'!B663,'Kilter Holds'!$P$36:$AB$370,9,0),0)</f>
        <v>6</v>
      </c>
      <c r="G663" s="2">
        <f t="shared" si="57"/>
        <v>0</v>
      </c>
      <c r="H663" s="2">
        <f t="shared" si="58"/>
        <v>0</v>
      </c>
    </row>
    <row r="664" spans="1:8">
      <c r="B664" t="s">
        <v>1684</v>
      </c>
      <c r="C664" t="s">
        <v>1685</v>
      </c>
      <c r="D664" s="10" t="str">
        <f t="shared" si="56"/>
        <v>07-13</v>
      </c>
      <c r="E664" s="1">
        <f>_xlfn.IFNA(VLOOKUP('Comp X - Kilter'!B664,'Kilter Holds'!$P$36:$AB$370,10,0),0)</f>
        <v>5</v>
      </c>
      <c r="G664" s="2">
        <f t="shared" si="57"/>
        <v>0</v>
      </c>
      <c r="H664" s="2">
        <f t="shared" si="58"/>
        <v>0</v>
      </c>
    </row>
    <row r="665" spans="1:8">
      <c r="B665" t="s">
        <v>1684</v>
      </c>
      <c r="C665" t="s">
        <v>1685</v>
      </c>
      <c r="D665" s="11" t="str">
        <f t="shared" si="56"/>
        <v>11-25</v>
      </c>
      <c r="E665" s="1">
        <f>_xlfn.IFNA(VLOOKUP('Comp X - Kilter'!B665,'Kilter Holds'!$P$36:$AB$370,11,0),0)</f>
        <v>4</v>
      </c>
      <c r="G665" s="2">
        <f t="shared" si="57"/>
        <v>0</v>
      </c>
      <c r="H665" s="2">
        <f t="shared" si="58"/>
        <v>0</v>
      </c>
    </row>
    <row r="666" spans="1:8">
      <c r="B666" t="s">
        <v>1684</v>
      </c>
      <c r="C666" t="s">
        <v>1685</v>
      </c>
      <c r="D666" s="13" t="str">
        <f t="shared" si="56"/>
        <v>18-01</v>
      </c>
      <c r="E666" s="1">
        <f>_xlfn.IFNA(VLOOKUP('Comp X - Kilter'!B666,'Kilter Holds'!$P$36:$AB$370,12,0),0)</f>
        <v>11</v>
      </c>
      <c r="G666" s="2">
        <f t="shared" si="57"/>
        <v>0</v>
      </c>
      <c r="H666" s="2">
        <f t="shared" si="58"/>
        <v>0</v>
      </c>
    </row>
    <row r="667" spans="1:8">
      <c r="B667" t="s">
        <v>1684</v>
      </c>
      <c r="C667" t="s">
        <v>1685</v>
      </c>
      <c r="D667" s="12" t="str">
        <f t="shared" si="56"/>
        <v>12-01</v>
      </c>
      <c r="E667" s="1">
        <f>_xlfn.IFNA(VLOOKUP('Comp X - Kilter'!B667,'Kilter Holds'!$P$36:$AB$370,13,0),0)</f>
        <v>0</v>
      </c>
      <c r="G667" s="2">
        <f t="shared" si="57"/>
        <v>0</v>
      </c>
      <c r="H667" s="2">
        <f t="shared" si="58"/>
        <v>0</v>
      </c>
    </row>
    <row r="668" spans="1:8">
      <c r="A668" s="3" t="s">
        <v>2168</v>
      </c>
      <c r="B668" s="3" t="s">
        <v>1818</v>
      </c>
      <c r="C668" s="3" t="s">
        <v>1821</v>
      </c>
      <c r="D668" s="5" t="str">
        <f t="shared" ref="D668:D703" si="59">D596</f>
        <v>11-12</v>
      </c>
      <c r="E668" s="1">
        <f>_xlfn.IFNA(VLOOKUP(B668,'Kilter Holds'!$P$36:$AB$370,5,0),0)+_xlfn.IFNA(VLOOKUP(A668,'Kilter Holds'!$P$36:$AB$370,5,0),0)</f>
        <v>8</v>
      </c>
      <c r="G668" s="2">
        <f t="shared" ref="G668:G676" si="60">E668*F668</f>
        <v>0</v>
      </c>
      <c r="H668" s="2">
        <f t="shared" ref="H668:H676" si="61">IF($S$11="Y",G668*0.15,0)</f>
        <v>0</v>
      </c>
    </row>
    <row r="669" spans="1:8">
      <c r="A669" s="3" t="s">
        <v>2168</v>
      </c>
      <c r="B669" s="3" t="s">
        <v>1818</v>
      </c>
      <c r="C669" s="3" t="s">
        <v>1821</v>
      </c>
      <c r="D669" s="6" t="str">
        <f t="shared" si="59"/>
        <v>14-01</v>
      </c>
      <c r="E669" s="1">
        <f>_xlfn.IFNA(VLOOKUP(B669,'Kilter Holds'!$P$36:$AB$370,6,0),0)+_xlfn.IFNA(VLOOKUP(A669,'Kilter Holds'!$P$36:$AB$370,6,0),0)</f>
        <v>0</v>
      </c>
      <c r="G669" s="2">
        <f t="shared" si="60"/>
        <v>0</v>
      </c>
      <c r="H669" s="2">
        <f t="shared" si="61"/>
        <v>0</v>
      </c>
    </row>
    <row r="670" spans="1:8">
      <c r="A670" s="3" t="s">
        <v>2168</v>
      </c>
      <c r="B670" s="3" t="s">
        <v>1818</v>
      </c>
      <c r="C670" s="3" t="s">
        <v>1821</v>
      </c>
      <c r="D670" s="7" t="str">
        <f t="shared" si="59"/>
        <v>15-12</v>
      </c>
      <c r="E670" s="1">
        <f>_xlfn.IFNA(VLOOKUP(B670,'Kilter Holds'!$P$36:$AB$370,7,0),0)+_xlfn.IFNA(VLOOKUP(A670,'Kilter Holds'!$P$36:$AB$370,7,0),0)</f>
        <v>8</v>
      </c>
      <c r="G670" s="2">
        <f t="shared" si="60"/>
        <v>0</v>
      </c>
      <c r="H670" s="2">
        <f t="shared" si="61"/>
        <v>0</v>
      </c>
    </row>
    <row r="671" spans="1:8">
      <c r="A671" s="3" t="s">
        <v>2168</v>
      </c>
      <c r="B671" s="3" t="s">
        <v>1818</v>
      </c>
      <c r="C671" s="3" t="s">
        <v>1821</v>
      </c>
      <c r="D671" s="8" t="str">
        <f t="shared" si="59"/>
        <v>16-16</v>
      </c>
      <c r="E671" s="1">
        <f>_xlfn.IFNA(VLOOKUP(B671,'Kilter Holds'!$P$36:$AB$370,8,0),0)+_xlfn.IFNA(VLOOKUP(A671,'Kilter Holds'!$P$36:$AB$370,8,0),0)</f>
        <v>3</v>
      </c>
      <c r="G671" s="2">
        <f t="shared" si="60"/>
        <v>0</v>
      </c>
      <c r="H671" s="2">
        <f t="shared" si="61"/>
        <v>0</v>
      </c>
    </row>
    <row r="672" spans="1:8">
      <c r="A672" s="3" t="s">
        <v>2168</v>
      </c>
      <c r="B672" s="3" t="s">
        <v>1818</v>
      </c>
      <c r="C672" s="3" t="s">
        <v>1821</v>
      </c>
      <c r="D672" s="9" t="str">
        <f t="shared" si="59"/>
        <v>13-01</v>
      </c>
      <c r="E672" s="1">
        <f>_xlfn.IFNA(VLOOKUP(B672,'Kilter Holds'!$P$36:$AB$370,9,0),0)+_xlfn.IFNA(VLOOKUP(A672,'Kilter Holds'!$P$36:$AB$370,9,0),0)</f>
        <v>3</v>
      </c>
      <c r="G672" s="2">
        <f t="shared" si="60"/>
        <v>0</v>
      </c>
      <c r="H672" s="2">
        <f t="shared" si="61"/>
        <v>0</v>
      </c>
    </row>
    <row r="673" spans="1:8">
      <c r="A673" s="3" t="s">
        <v>2168</v>
      </c>
      <c r="B673" s="3" t="s">
        <v>1818</v>
      </c>
      <c r="C673" s="3" t="s">
        <v>1821</v>
      </c>
      <c r="D673" s="10" t="str">
        <f t="shared" si="59"/>
        <v>07-13</v>
      </c>
      <c r="E673" s="1">
        <f>_xlfn.IFNA(VLOOKUP(B673,'Kilter Holds'!$P$36:$AB$370,10,0),0)+_xlfn.IFNA(VLOOKUP(A673,'Kilter Holds'!$P$36:$AB$370,10,0),0)</f>
        <v>0</v>
      </c>
      <c r="G673" s="2">
        <f t="shared" si="60"/>
        <v>0</v>
      </c>
      <c r="H673" s="2">
        <f t="shared" si="61"/>
        <v>0</v>
      </c>
    </row>
    <row r="674" spans="1:8">
      <c r="A674" s="3" t="s">
        <v>2168</v>
      </c>
      <c r="B674" s="3" t="s">
        <v>1818</v>
      </c>
      <c r="C674" s="3" t="s">
        <v>1821</v>
      </c>
      <c r="D674" s="11" t="str">
        <f t="shared" si="59"/>
        <v>11-25</v>
      </c>
      <c r="E674" s="1">
        <f>_xlfn.IFNA(VLOOKUP(B674,'Kilter Holds'!$P$36:$AB$370,11,0),0)+_xlfn.IFNA(VLOOKUP(A674,'Kilter Holds'!$P$36:$AB$370,11,0),0)</f>
        <v>3</v>
      </c>
      <c r="G674" s="2">
        <f t="shared" si="60"/>
        <v>0</v>
      </c>
      <c r="H674" s="2">
        <f t="shared" si="61"/>
        <v>0</v>
      </c>
    </row>
    <row r="675" spans="1:8">
      <c r="A675" s="3" t="s">
        <v>2168</v>
      </c>
      <c r="B675" s="3" t="s">
        <v>1818</v>
      </c>
      <c r="C675" s="3" t="s">
        <v>1821</v>
      </c>
      <c r="D675" s="13" t="str">
        <f t="shared" si="59"/>
        <v>18-01</v>
      </c>
      <c r="E675" s="1">
        <f>_xlfn.IFNA(VLOOKUP(B675,'Kilter Holds'!$P$36:$AB$370,12,0),0)+_xlfn.IFNA(VLOOKUP(A675,'Kilter Holds'!$P$36:$AB$370,12,0),0)</f>
        <v>10</v>
      </c>
      <c r="G675" s="2">
        <f t="shared" si="60"/>
        <v>0</v>
      </c>
      <c r="H675" s="2">
        <f t="shared" si="61"/>
        <v>0</v>
      </c>
    </row>
    <row r="676" spans="1:8">
      <c r="A676" s="3" t="s">
        <v>2168</v>
      </c>
      <c r="B676" s="3" t="s">
        <v>1818</v>
      </c>
      <c r="C676" s="3" t="s">
        <v>1821</v>
      </c>
      <c r="D676" s="12" t="str">
        <f t="shared" si="59"/>
        <v>12-01</v>
      </c>
      <c r="E676" s="1">
        <f>_xlfn.IFNA(VLOOKUP(B676,'Kilter Holds'!$P$36:$AB$370,13,0),0)+_xlfn.IFNA(VLOOKUP(A676,'Kilter Holds'!$P$36:$AB$370,13,0),0)</f>
        <v>0</v>
      </c>
      <c r="G676" s="2">
        <f t="shared" si="60"/>
        <v>0</v>
      </c>
      <c r="H676" s="2">
        <f t="shared" si="61"/>
        <v>0</v>
      </c>
    </row>
    <row r="677" spans="1:8">
      <c r="A677" s="3" t="s">
        <v>2168</v>
      </c>
      <c r="B677" t="s">
        <v>1686</v>
      </c>
      <c r="C677" t="s">
        <v>1687</v>
      </c>
      <c r="D677" s="5" t="str">
        <f t="shared" si="59"/>
        <v>11-12</v>
      </c>
      <c r="E677" s="1">
        <f>_xlfn.IFNA(VLOOKUP(B677,'Kilter Holds'!$P$36:$AB$370,5,0),0)+_xlfn.IFNA(VLOOKUP(A677,'Kilter Holds'!$P$36:$AB$370,5,0),0)</f>
        <v>4</v>
      </c>
      <c r="G677" s="2">
        <f t="shared" ref="G677:G703" si="62">E677*F677</f>
        <v>0</v>
      </c>
      <c r="H677" s="2">
        <f t="shared" ref="H677:H703" si="63">IF($S$11="Y",G677*0.15,0)</f>
        <v>0</v>
      </c>
    </row>
    <row r="678" spans="1:8">
      <c r="A678" s="3" t="s">
        <v>2168</v>
      </c>
      <c r="B678" t="s">
        <v>1686</v>
      </c>
      <c r="C678" t="s">
        <v>1687</v>
      </c>
      <c r="D678" s="6" t="str">
        <f t="shared" si="59"/>
        <v>14-01</v>
      </c>
      <c r="E678" s="1">
        <f>_xlfn.IFNA(VLOOKUP(B678,'Kilter Holds'!$P$36:$AB$370,6,0),0)+_xlfn.IFNA(VLOOKUP(A678,'Kilter Holds'!$P$36:$AB$370,6,0),0)</f>
        <v>0</v>
      </c>
      <c r="G678" s="2">
        <f t="shared" si="62"/>
        <v>0</v>
      </c>
      <c r="H678" s="2">
        <f t="shared" si="63"/>
        <v>0</v>
      </c>
    </row>
    <row r="679" spans="1:8">
      <c r="A679" s="3" t="s">
        <v>2168</v>
      </c>
      <c r="B679" t="s">
        <v>1686</v>
      </c>
      <c r="C679" t="s">
        <v>1687</v>
      </c>
      <c r="D679" s="7" t="str">
        <f t="shared" si="59"/>
        <v>15-12</v>
      </c>
      <c r="E679" s="1">
        <f>_xlfn.IFNA(VLOOKUP(B679,'Kilter Holds'!$P$36:$AB$370,7,0),0)+_xlfn.IFNA(VLOOKUP(A679,'Kilter Holds'!$P$36:$AB$370,7,0),0)</f>
        <v>5</v>
      </c>
      <c r="G679" s="2">
        <f t="shared" si="62"/>
        <v>0</v>
      </c>
      <c r="H679" s="2">
        <f t="shared" si="63"/>
        <v>0</v>
      </c>
    </row>
    <row r="680" spans="1:8">
      <c r="A680" s="3" t="s">
        <v>2168</v>
      </c>
      <c r="B680" t="s">
        <v>1686</v>
      </c>
      <c r="C680" t="s">
        <v>1687</v>
      </c>
      <c r="D680" s="8" t="str">
        <f t="shared" si="59"/>
        <v>16-16</v>
      </c>
      <c r="E680" s="1">
        <f>_xlfn.IFNA(VLOOKUP(B680,'Kilter Holds'!$P$36:$AB$370,8,0),0)+_xlfn.IFNA(VLOOKUP(A680,'Kilter Holds'!$P$36:$AB$370,8,0),0)</f>
        <v>8</v>
      </c>
      <c r="G680" s="2">
        <f t="shared" si="62"/>
        <v>0</v>
      </c>
      <c r="H680" s="2">
        <f t="shared" si="63"/>
        <v>0</v>
      </c>
    </row>
    <row r="681" spans="1:8">
      <c r="A681" s="3" t="s">
        <v>2168</v>
      </c>
      <c r="B681" t="s">
        <v>1686</v>
      </c>
      <c r="C681" t="s">
        <v>1687</v>
      </c>
      <c r="D681" s="9" t="str">
        <f t="shared" si="59"/>
        <v>13-01</v>
      </c>
      <c r="E681" s="1">
        <f>_xlfn.IFNA(VLOOKUP(B681,'Kilter Holds'!$P$36:$AB$370,9,0),0)+_xlfn.IFNA(VLOOKUP(A681,'Kilter Holds'!$P$36:$AB$370,9,0),0)</f>
        <v>3</v>
      </c>
      <c r="G681" s="2">
        <f t="shared" si="62"/>
        <v>0</v>
      </c>
      <c r="H681" s="2">
        <f t="shared" si="63"/>
        <v>0</v>
      </c>
    </row>
    <row r="682" spans="1:8">
      <c r="A682" s="3" t="s">
        <v>2168</v>
      </c>
      <c r="B682" t="s">
        <v>1686</v>
      </c>
      <c r="C682" t="s">
        <v>1687</v>
      </c>
      <c r="D682" s="10" t="str">
        <f t="shared" si="59"/>
        <v>07-13</v>
      </c>
      <c r="E682" s="1">
        <f>_xlfn.IFNA(VLOOKUP(B682,'Kilter Holds'!$P$36:$AB$370,10,0),0)+_xlfn.IFNA(VLOOKUP(A682,'Kilter Holds'!$P$36:$AB$370,10,0),0)</f>
        <v>5</v>
      </c>
      <c r="G682" s="2">
        <f t="shared" si="62"/>
        <v>0</v>
      </c>
      <c r="H682" s="2">
        <f t="shared" si="63"/>
        <v>0</v>
      </c>
    </row>
    <row r="683" spans="1:8">
      <c r="A683" s="3" t="s">
        <v>2168</v>
      </c>
      <c r="B683" t="s">
        <v>1686</v>
      </c>
      <c r="C683" t="s">
        <v>1687</v>
      </c>
      <c r="D683" s="11" t="str">
        <f t="shared" si="59"/>
        <v>11-25</v>
      </c>
      <c r="E683" s="1">
        <f>_xlfn.IFNA(VLOOKUP(B683,'Kilter Holds'!$P$36:$AB$370,11,0),0)+_xlfn.IFNA(VLOOKUP(A683,'Kilter Holds'!$P$36:$AB$370,11,0),0)</f>
        <v>4</v>
      </c>
      <c r="G683" s="2">
        <f t="shared" si="62"/>
        <v>0</v>
      </c>
      <c r="H683" s="2">
        <f t="shared" si="63"/>
        <v>0</v>
      </c>
    </row>
    <row r="684" spans="1:8">
      <c r="A684" s="3" t="s">
        <v>2168</v>
      </c>
      <c r="B684" t="s">
        <v>1686</v>
      </c>
      <c r="C684" t="s">
        <v>1687</v>
      </c>
      <c r="D684" s="13" t="str">
        <f t="shared" si="59"/>
        <v>18-01</v>
      </c>
      <c r="E684" s="1">
        <f>_xlfn.IFNA(VLOOKUP(B684,'Kilter Holds'!$P$36:$AB$370,12,0),0)+_xlfn.IFNA(VLOOKUP(A684,'Kilter Holds'!$P$36:$AB$370,12,0),0)</f>
        <v>12</v>
      </c>
      <c r="G684" s="2">
        <f t="shared" si="62"/>
        <v>0</v>
      </c>
      <c r="H684" s="2">
        <f t="shared" si="63"/>
        <v>0</v>
      </c>
    </row>
    <row r="685" spans="1:8">
      <c r="A685" s="3" t="s">
        <v>2168</v>
      </c>
      <c r="B685" t="s">
        <v>1686</v>
      </c>
      <c r="C685" t="s">
        <v>1687</v>
      </c>
      <c r="D685" s="12" t="str">
        <f t="shared" si="59"/>
        <v>12-01</v>
      </c>
      <c r="E685" s="1">
        <f>_xlfn.IFNA(VLOOKUP(B685,'Kilter Holds'!$P$36:$AB$370,13,0),0)+_xlfn.IFNA(VLOOKUP(A685,'Kilter Holds'!$P$36:$AB$370,13,0),0)</f>
        <v>0</v>
      </c>
      <c r="G685" s="2">
        <f t="shared" si="62"/>
        <v>0</v>
      </c>
      <c r="H685" s="2">
        <f t="shared" si="63"/>
        <v>0</v>
      </c>
    </row>
    <row r="686" spans="1:8">
      <c r="A686" s="3" t="s">
        <v>2169</v>
      </c>
      <c r="B686" s="3" t="s">
        <v>1819</v>
      </c>
      <c r="C686" s="3" t="s">
        <v>1822</v>
      </c>
      <c r="D686" s="5" t="str">
        <f t="shared" si="59"/>
        <v>11-12</v>
      </c>
      <c r="E686" s="1">
        <f>_xlfn.IFNA(VLOOKUP(B686,'Kilter Holds'!$P$36:$AB$370,5,0),0)+_xlfn.IFNA(VLOOKUP(A686,'Kilter Holds'!$P$36:$AB$370,5,0),0)</f>
        <v>5</v>
      </c>
      <c r="G686" s="2">
        <f t="shared" si="62"/>
        <v>0</v>
      </c>
      <c r="H686" s="2">
        <f t="shared" si="63"/>
        <v>0</v>
      </c>
    </row>
    <row r="687" spans="1:8">
      <c r="A687" s="3" t="s">
        <v>2169</v>
      </c>
      <c r="B687" s="3" t="s">
        <v>1819</v>
      </c>
      <c r="C687" s="3" t="s">
        <v>1822</v>
      </c>
      <c r="D687" s="6" t="str">
        <f t="shared" si="59"/>
        <v>14-01</v>
      </c>
      <c r="E687" s="1">
        <f>_xlfn.IFNA(VLOOKUP(B687,'Kilter Holds'!$P$36:$AB$370,6,0),0)+_xlfn.IFNA(VLOOKUP(A687,'Kilter Holds'!$P$36:$AB$370,6,0),0)</f>
        <v>0</v>
      </c>
      <c r="G687" s="2">
        <f t="shared" si="62"/>
        <v>0</v>
      </c>
      <c r="H687" s="2">
        <f t="shared" si="63"/>
        <v>0</v>
      </c>
    </row>
    <row r="688" spans="1:8">
      <c r="A688" s="3" t="s">
        <v>2169</v>
      </c>
      <c r="B688" s="3" t="s">
        <v>1819</v>
      </c>
      <c r="C688" s="3" t="s">
        <v>1822</v>
      </c>
      <c r="D688" s="7" t="str">
        <f t="shared" si="59"/>
        <v>15-12</v>
      </c>
      <c r="E688" s="1">
        <f>_xlfn.IFNA(VLOOKUP(B688,'Kilter Holds'!$P$36:$AB$370,7,0),0)+_xlfn.IFNA(VLOOKUP(A688,'Kilter Holds'!$P$36:$AB$370,7,0),0)</f>
        <v>5</v>
      </c>
      <c r="G688" s="2">
        <f t="shared" si="62"/>
        <v>0</v>
      </c>
      <c r="H688" s="2">
        <f t="shared" si="63"/>
        <v>0</v>
      </c>
    </row>
    <row r="689" spans="1:8">
      <c r="A689" s="3" t="s">
        <v>2169</v>
      </c>
      <c r="B689" s="3" t="s">
        <v>1819</v>
      </c>
      <c r="C689" s="3" t="s">
        <v>1822</v>
      </c>
      <c r="D689" s="8" t="str">
        <f t="shared" si="59"/>
        <v>16-16</v>
      </c>
      <c r="E689" s="1">
        <f>_xlfn.IFNA(VLOOKUP(B689,'Kilter Holds'!$P$36:$AB$370,8,0),0)+_xlfn.IFNA(VLOOKUP(A689,'Kilter Holds'!$P$36:$AB$370,8,0),0)</f>
        <v>3</v>
      </c>
      <c r="G689" s="2">
        <f t="shared" si="62"/>
        <v>0</v>
      </c>
      <c r="H689" s="2">
        <f t="shared" si="63"/>
        <v>0</v>
      </c>
    </row>
    <row r="690" spans="1:8">
      <c r="A690" s="3" t="s">
        <v>2169</v>
      </c>
      <c r="B690" s="3" t="s">
        <v>1819</v>
      </c>
      <c r="C690" s="3" t="s">
        <v>1822</v>
      </c>
      <c r="D690" s="9" t="str">
        <f t="shared" si="59"/>
        <v>13-01</v>
      </c>
      <c r="E690" s="1">
        <f>_xlfn.IFNA(VLOOKUP(B690,'Kilter Holds'!$P$36:$AB$370,9,0),0)+_xlfn.IFNA(VLOOKUP(A690,'Kilter Holds'!$P$36:$AB$370,9,0),0)</f>
        <v>3</v>
      </c>
      <c r="G690" s="2">
        <f t="shared" si="62"/>
        <v>0</v>
      </c>
      <c r="H690" s="2">
        <f t="shared" si="63"/>
        <v>0</v>
      </c>
    </row>
    <row r="691" spans="1:8">
      <c r="A691" s="3" t="s">
        <v>2169</v>
      </c>
      <c r="B691" s="3" t="s">
        <v>1819</v>
      </c>
      <c r="C691" s="3" t="s">
        <v>1822</v>
      </c>
      <c r="D691" s="10" t="str">
        <f t="shared" si="59"/>
        <v>07-13</v>
      </c>
      <c r="E691" s="1">
        <f>_xlfn.IFNA(VLOOKUP(B691,'Kilter Holds'!$P$36:$AB$370,10,0),0)+_xlfn.IFNA(VLOOKUP(A691,'Kilter Holds'!$P$36:$AB$370,10,0),0)</f>
        <v>0</v>
      </c>
      <c r="G691" s="2">
        <f t="shared" si="62"/>
        <v>0</v>
      </c>
      <c r="H691" s="2">
        <f t="shared" si="63"/>
        <v>0</v>
      </c>
    </row>
    <row r="692" spans="1:8">
      <c r="A692" s="3" t="s">
        <v>2169</v>
      </c>
      <c r="B692" s="3" t="s">
        <v>1819</v>
      </c>
      <c r="C692" s="3" t="s">
        <v>1822</v>
      </c>
      <c r="D692" s="11" t="str">
        <f t="shared" si="59"/>
        <v>11-25</v>
      </c>
      <c r="E692" s="1">
        <f>_xlfn.IFNA(VLOOKUP(B692,'Kilter Holds'!$P$36:$AB$370,11,0),0)+_xlfn.IFNA(VLOOKUP(A692,'Kilter Holds'!$P$36:$AB$370,11,0),0)</f>
        <v>4</v>
      </c>
      <c r="G692" s="2">
        <f t="shared" si="62"/>
        <v>0</v>
      </c>
      <c r="H692" s="2">
        <f t="shared" si="63"/>
        <v>0</v>
      </c>
    </row>
    <row r="693" spans="1:8">
      <c r="A693" s="3" t="s">
        <v>2169</v>
      </c>
      <c r="B693" s="3" t="s">
        <v>1819</v>
      </c>
      <c r="C693" s="3" t="s">
        <v>1822</v>
      </c>
      <c r="D693" s="13" t="str">
        <f t="shared" si="59"/>
        <v>18-01</v>
      </c>
      <c r="E693" s="1">
        <f>_xlfn.IFNA(VLOOKUP(B693,'Kilter Holds'!$P$36:$AB$370,12,0),0)+_xlfn.IFNA(VLOOKUP(A693,'Kilter Holds'!$P$36:$AB$370,12,0),0)</f>
        <v>11</v>
      </c>
      <c r="G693" s="2">
        <f t="shared" si="62"/>
        <v>0</v>
      </c>
      <c r="H693" s="2">
        <f t="shared" si="63"/>
        <v>0</v>
      </c>
    </row>
    <row r="694" spans="1:8">
      <c r="A694" s="3" t="s">
        <v>2169</v>
      </c>
      <c r="B694" s="3" t="s">
        <v>1819</v>
      </c>
      <c r="C694" s="3" t="s">
        <v>1822</v>
      </c>
      <c r="D694" s="12" t="str">
        <f t="shared" si="59"/>
        <v>12-01</v>
      </c>
      <c r="E694" s="1">
        <f>_xlfn.IFNA(VLOOKUP(B694,'Kilter Holds'!$P$36:$AB$370,13,0),0)+_xlfn.IFNA(VLOOKUP(A694,'Kilter Holds'!$P$36:$AB$370,13,0),0)</f>
        <v>0</v>
      </c>
      <c r="G694" s="2">
        <f t="shared" si="62"/>
        <v>0</v>
      </c>
      <c r="H694" s="2">
        <f t="shared" si="63"/>
        <v>0</v>
      </c>
    </row>
    <row r="695" spans="1:8">
      <c r="A695" s="3" t="s">
        <v>2169</v>
      </c>
      <c r="B695" t="s">
        <v>1682</v>
      </c>
      <c r="C695" t="s">
        <v>1688</v>
      </c>
      <c r="D695" s="5" t="str">
        <f t="shared" si="59"/>
        <v>11-12</v>
      </c>
      <c r="E695" s="1">
        <f>_xlfn.IFNA(VLOOKUP(B695,'Kilter Holds'!$P$36:$AB$370,5,0),0)+_xlfn.IFNA(VLOOKUP(A695,'Kilter Holds'!$P$36:$AB$370,5,0),0)</f>
        <v>5</v>
      </c>
      <c r="G695" s="2">
        <f t="shared" si="62"/>
        <v>0</v>
      </c>
      <c r="H695" s="2">
        <f t="shared" si="63"/>
        <v>0</v>
      </c>
    </row>
    <row r="696" spans="1:8">
      <c r="A696" s="3" t="s">
        <v>2169</v>
      </c>
      <c r="B696" t="s">
        <v>1682</v>
      </c>
      <c r="C696" t="s">
        <v>1688</v>
      </c>
      <c r="D696" s="6" t="str">
        <f t="shared" si="59"/>
        <v>14-01</v>
      </c>
      <c r="E696" s="1">
        <f>_xlfn.IFNA(VLOOKUP(B696,'Kilter Holds'!$P$36:$AB$370,6,0),0)+_xlfn.IFNA(VLOOKUP(A696,'Kilter Holds'!$P$36:$AB$370,6,0),0)</f>
        <v>0</v>
      </c>
      <c r="G696" s="2">
        <f t="shared" si="62"/>
        <v>0</v>
      </c>
      <c r="H696" s="2">
        <f t="shared" si="63"/>
        <v>0</v>
      </c>
    </row>
    <row r="697" spans="1:8">
      <c r="A697" s="3" t="s">
        <v>2169</v>
      </c>
      <c r="B697" t="s">
        <v>1682</v>
      </c>
      <c r="C697" t="s">
        <v>1688</v>
      </c>
      <c r="D697" s="7" t="str">
        <f t="shared" si="59"/>
        <v>15-12</v>
      </c>
      <c r="E697" s="1">
        <f>_xlfn.IFNA(VLOOKUP(B697,'Kilter Holds'!$P$36:$AB$370,7,0),0)+_xlfn.IFNA(VLOOKUP(A697,'Kilter Holds'!$P$36:$AB$370,7,0),0)</f>
        <v>8</v>
      </c>
      <c r="G697" s="2">
        <f t="shared" si="62"/>
        <v>0</v>
      </c>
      <c r="H697" s="2">
        <f t="shared" si="63"/>
        <v>0</v>
      </c>
    </row>
    <row r="698" spans="1:8">
      <c r="A698" s="3" t="s">
        <v>2169</v>
      </c>
      <c r="B698" t="s">
        <v>1682</v>
      </c>
      <c r="C698" t="s">
        <v>1688</v>
      </c>
      <c r="D698" s="8" t="str">
        <f t="shared" si="59"/>
        <v>16-16</v>
      </c>
      <c r="E698" s="1">
        <f>_xlfn.IFNA(VLOOKUP(B698,'Kilter Holds'!$P$36:$AB$370,8,0),0)+_xlfn.IFNA(VLOOKUP(A698,'Kilter Holds'!$P$36:$AB$370,8,0),0)</f>
        <v>6</v>
      </c>
      <c r="G698" s="2">
        <f t="shared" si="62"/>
        <v>0</v>
      </c>
      <c r="H698" s="2">
        <f t="shared" si="63"/>
        <v>0</v>
      </c>
    </row>
    <row r="699" spans="1:8">
      <c r="A699" s="3" t="s">
        <v>2169</v>
      </c>
      <c r="B699" t="s">
        <v>1682</v>
      </c>
      <c r="C699" t="s">
        <v>1688</v>
      </c>
      <c r="D699" s="9" t="str">
        <f t="shared" si="59"/>
        <v>13-01</v>
      </c>
      <c r="E699" s="1">
        <f>_xlfn.IFNA(VLOOKUP(B699,'Kilter Holds'!$P$36:$AB$370,9,0),0)+_xlfn.IFNA(VLOOKUP(A699,'Kilter Holds'!$P$36:$AB$370,9,0),0)</f>
        <v>2</v>
      </c>
      <c r="G699" s="2">
        <f t="shared" si="62"/>
        <v>0</v>
      </c>
      <c r="H699" s="2">
        <f t="shared" si="63"/>
        <v>0</v>
      </c>
    </row>
    <row r="700" spans="1:8">
      <c r="A700" s="3" t="s">
        <v>2169</v>
      </c>
      <c r="B700" t="s">
        <v>1682</v>
      </c>
      <c r="C700" t="s">
        <v>1688</v>
      </c>
      <c r="D700" s="10" t="str">
        <f t="shared" si="59"/>
        <v>07-13</v>
      </c>
      <c r="E700" s="1">
        <f>_xlfn.IFNA(VLOOKUP(B700,'Kilter Holds'!$P$36:$AB$370,10,0),0)+_xlfn.IFNA(VLOOKUP(A700,'Kilter Holds'!$P$36:$AB$370,10,0),0)</f>
        <v>0</v>
      </c>
      <c r="G700" s="2">
        <f t="shared" si="62"/>
        <v>0</v>
      </c>
      <c r="H700" s="2">
        <f t="shared" si="63"/>
        <v>0</v>
      </c>
    </row>
    <row r="701" spans="1:8">
      <c r="A701" s="3" t="s">
        <v>2169</v>
      </c>
      <c r="B701" t="s">
        <v>1682</v>
      </c>
      <c r="C701" t="s">
        <v>1688</v>
      </c>
      <c r="D701" s="11" t="str">
        <f t="shared" si="59"/>
        <v>11-25</v>
      </c>
      <c r="E701" s="1">
        <f>_xlfn.IFNA(VLOOKUP(B701,'Kilter Holds'!$P$36:$AB$370,11,0),0)+_xlfn.IFNA(VLOOKUP(A701,'Kilter Holds'!$P$36:$AB$370,11,0),0)</f>
        <v>4</v>
      </c>
      <c r="G701" s="2">
        <f t="shared" si="62"/>
        <v>0</v>
      </c>
      <c r="H701" s="2">
        <f t="shared" si="63"/>
        <v>0</v>
      </c>
    </row>
    <row r="702" spans="1:8">
      <c r="A702" s="3" t="s">
        <v>2169</v>
      </c>
      <c r="B702" t="s">
        <v>1682</v>
      </c>
      <c r="C702" t="s">
        <v>1688</v>
      </c>
      <c r="D702" s="13" t="str">
        <f t="shared" si="59"/>
        <v>18-01</v>
      </c>
      <c r="E702" s="1">
        <f>_xlfn.IFNA(VLOOKUP(B702,'Kilter Holds'!$P$36:$AB$370,12,0),0)+_xlfn.IFNA(VLOOKUP(A702,'Kilter Holds'!$P$36:$AB$370,12,0),0)</f>
        <v>10</v>
      </c>
      <c r="G702" s="2">
        <f t="shared" si="62"/>
        <v>0</v>
      </c>
      <c r="H702" s="2">
        <f t="shared" si="63"/>
        <v>0</v>
      </c>
    </row>
    <row r="703" spans="1:8">
      <c r="A703" s="3" t="s">
        <v>2169</v>
      </c>
      <c r="B703" t="s">
        <v>1682</v>
      </c>
      <c r="C703" t="s">
        <v>1688</v>
      </c>
      <c r="D703" s="12" t="str">
        <f t="shared" si="59"/>
        <v>12-01</v>
      </c>
      <c r="E703" s="1">
        <f>_xlfn.IFNA(VLOOKUP(B703,'Kilter Holds'!$P$36:$AB$370,13,0),0)+_xlfn.IFNA(VLOOKUP(A703,'Kilter Holds'!$P$36:$AB$370,13,0),0)</f>
        <v>0</v>
      </c>
      <c r="G703" s="2">
        <f t="shared" si="62"/>
        <v>0</v>
      </c>
      <c r="H703" s="2">
        <f t="shared" si="63"/>
        <v>0</v>
      </c>
    </row>
    <row r="704" spans="1:8">
      <c r="B704" s="3" t="s">
        <v>1824</v>
      </c>
      <c r="C704" s="3" t="s">
        <v>1825</v>
      </c>
      <c r="D704" s="5" t="str">
        <f t="shared" ref="D704:D730" si="64">D686</f>
        <v>11-12</v>
      </c>
      <c r="E704" s="1">
        <f>_xlfn.IFNA(VLOOKUP('Comp X - Kilter'!B704,'Kilter Holds'!$P$36:$AB$370,5,0),0)</f>
        <v>4</v>
      </c>
      <c r="G704" s="2">
        <f t="shared" ref="G704:G712" si="65">E704*F704</f>
        <v>0</v>
      </c>
      <c r="H704" s="2">
        <f t="shared" ref="H704:H712" si="66">IF($S$11="Y",G704*0.15,0)</f>
        <v>0</v>
      </c>
    </row>
    <row r="705" spans="2:8">
      <c r="B705" s="3" t="s">
        <v>1824</v>
      </c>
      <c r="C705" s="3" t="s">
        <v>1825</v>
      </c>
      <c r="D705" s="6" t="str">
        <f t="shared" si="64"/>
        <v>14-01</v>
      </c>
      <c r="E705" s="1">
        <f>_xlfn.IFNA(VLOOKUP('Comp X - Kilter'!B705,'Kilter Holds'!$P$36:$AB$370,6,0),0)</f>
        <v>0</v>
      </c>
      <c r="G705" s="2">
        <f t="shared" si="65"/>
        <v>0</v>
      </c>
      <c r="H705" s="2">
        <f t="shared" si="66"/>
        <v>0</v>
      </c>
    </row>
    <row r="706" spans="2:8">
      <c r="B706" s="3" t="s">
        <v>1824</v>
      </c>
      <c r="C706" s="3" t="s">
        <v>1825</v>
      </c>
      <c r="D706" s="7" t="str">
        <f t="shared" si="64"/>
        <v>15-12</v>
      </c>
      <c r="E706" s="1">
        <f>_xlfn.IFNA(VLOOKUP('Comp X - Kilter'!B706,'Kilter Holds'!$P$36:$AB$370,7,0),0)</f>
        <v>9</v>
      </c>
      <c r="G706" s="2">
        <f t="shared" si="65"/>
        <v>0</v>
      </c>
      <c r="H706" s="2">
        <f t="shared" si="66"/>
        <v>0</v>
      </c>
    </row>
    <row r="707" spans="2:8">
      <c r="B707" s="3" t="s">
        <v>1824</v>
      </c>
      <c r="C707" s="3" t="s">
        <v>1825</v>
      </c>
      <c r="D707" s="8" t="str">
        <f t="shared" si="64"/>
        <v>16-16</v>
      </c>
      <c r="E707" s="1">
        <f>_xlfn.IFNA(VLOOKUP('Comp X - Kilter'!B707,'Kilter Holds'!$P$36:$AB$370,8,0),0)</f>
        <v>9</v>
      </c>
      <c r="G707" s="2">
        <f t="shared" si="65"/>
        <v>0</v>
      </c>
      <c r="H707" s="2">
        <f t="shared" si="66"/>
        <v>0</v>
      </c>
    </row>
    <row r="708" spans="2:8">
      <c r="B708" s="3" t="s">
        <v>1824</v>
      </c>
      <c r="C708" s="3" t="s">
        <v>1825</v>
      </c>
      <c r="D708" s="9" t="str">
        <f t="shared" si="64"/>
        <v>13-01</v>
      </c>
      <c r="E708" s="1">
        <f>_xlfn.IFNA(VLOOKUP('Comp X - Kilter'!B708,'Kilter Holds'!$P$36:$AB$370,9,0),0)</f>
        <v>7</v>
      </c>
      <c r="G708" s="2">
        <f t="shared" si="65"/>
        <v>0</v>
      </c>
      <c r="H708" s="2">
        <f t="shared" si="66"/>
        <v>0</v>
      </c>
    </row>
    <row r="709" spans="2:8">
      <c r="B709" s="3" t="s">
        <v>1824</v>
      </c>
      <c r="C709" s="3" t="s">
        <v>1825</v>
      </c>
      <c r="D709" s="10" t="str">
        <f t="shared" si="64"/>
        <v>07-13</v>
      </c>
      <c r="E709" s="1">
        <f>_xlfn.IFNA(VLOOKUP('Comp X - Kilter'!B709,'Kilter Holds'!$P$36:$AB$370,10,0),0)</f>
        <v>5</v>
      </c>
      <c r="G709" s="2">
        <f t="shared" si="65"/>
        <v>0</v>
      </c>
      <c r="H709" s="2">
        <f t="shared" si="66"/>
        <v>0</v>
      </c>
    </row>
    <row r="710" spans="2:8">
      <c r="B710" s="3" t="s">
        <v>1824</v>
      </c>
      <c r="C710" s="3" t="s">
        <v>1825</v>
      </c>
      <c r="D710" s="11" t="str">
        <f t="shared" si="64"/>
        <v>11-25</v>
      </c>
      <c r="E710" s="1">
        <f>_xlfn.IFNA(VLOOKUP('Comp X - Kilter'!B710,'Kilter Holds'!$P$36:$AB$370,11,0),0)</f>
        <v>2</v>
      </c>
      <c r="G710" s="2">
        <f t="shared" si="65"/>
        <v>0</v>
      </c>
      <c r="H710" s="2">
        <f t="shared" si="66"/>
        <v>0</v>
      </c>
    </row>
    <row r="711" spans="2:8">
      <c r="B711" s="3" t="s">
        <v>1824</v>
      </c>
      <c r="C711" s="3" t="s">
        <v>1825</v>
      </c>
      <c r="D711" s="13" t="str">
        <f t="shared" si="64"/>
        <v>18-01</v>
      </c>
      <c r="E711" s="1">
        <f>_xlfn.IFNA(VLOOKUP('Comp X - Kilter'!B711,'Kilter Holds'!$P$36:$AB$370,12,0),0)</f>
        <v>11</v>
      </c>
      <c r="G711" s="2">
        <f t="shared" si="65"/>
        <v>0</v>
      </c>
      <c r="H711" s="2">
        <f t="shared" si="66"/>
        <v>0</v>
      </c>
    </row>
    <row r="712" spans="2:8">
      <c r="B712" s="3" t="s">
        <v>1824</v>
      </c>
      <c r="C712" s="3" t="s">
        <v>1825</v>
      </c>
      <c r="D712" s="12" t="str">
        <f t="shared" si="64"/>
        <v>12-01</v>
      </c>
      <c r="E712" s="1">
        <f>_xlfn.IFNA(VLOOKUP('Comp X - Kilter'!B712,'Kilter Holds'!$P$36:$AB$370,13,0),0)</f>
        <v>0</v>
      </c>
      <c r="G712" s="2">
        <f t="shared" si="65"/>
        <v>0</v>
      </c>
      <c r="H712" s="2">
        <f t="shared" si="66"/>
        <v>0</v>
      </c>
    </row>
    <row r="713" spans="2:8">
      <c r="B713" s="3" t="s">
        <v>1811</v>
      </c>
      <c r="C713" s="3" t="s">
        <v>1812</v>
      </c>
      <c r="D713" s="5" t="str">
        <f t="shared" si="64"/>
        <v>11-12</v>
      </c>
      <c r="E713" s="1">
        <f>_xlfn.IFNA(VLOOKUP('Comp X - Kilter'!B713,'Kilter Holds'!$P$36:$AB$370,5,0),0)</f>
        <v>5</v>
      </c>
      <c r="G713" s="2">
        <f t="shared" ref="G713:G721" si="67">E713*F713</f>
        <v>0</v>
      </c>
      <c r="H713" s="2">
        <f t="shared" ref="H713:H721" si="68">IF($S$11="Y",G713*0.15,0)</f>
        <v>0</v>
      </c>
    </row>
    <row r="714" spans="2:8">
      <c r="B714" s="3" t="s">
        <v>1811</v>
      </c>
      <c r="C714" s="3" t="s">
        <v>1812</v>
      </c>
      <c r="D714" s="6" t="str">
        <f t="shared" si="64"/>
        <v>14-01</v>
      </c>
      <c r="E714" s="1">
        <f>_xlfn.IFNA(VLOOKUP('Comp X - Kilter'!B714,'Kilter Holds'!$P$36:$AB$370,6,0),0)</f>
        <v>0</v>
      </c>
      <c r="G714" s="2">
        <f t="shared" si="67"/>
        <v>0</v>
      </c>
      <c r="H714" s="2">
        <f t="shared" si="68"/>
        <v>0</v>
      </c>
    </row>
    <row r="715" spans="2:8">
      <c r="B715" s="3" t="s">
        <v>1811</v>
      </c>
      <c r="C715" s="3" t="s">
        <v>1812</v>
      </c>
      <c r="D715" s="7" t="str">
        <f t="shared" si="64"/>
        <v>15-12</v>
      </c>
      <c r="E715" s="1">
        <f>_xlfn.IFNA(VLOOKUP('Comp X - Kilter'!B715,'Kilter Holds'!$P$36:$AB$370,7,0),0)</f>
        <v>4</v>
      </c>
      <c r="G715" s="2">
        <f t="shared" si="67"/>
        <v>0</v>
      </c>
      <c r="H715" s="2">
        <f t="shared" si="68"/>
        <v>0</v>
      </c>
    </row>
    <row r="716" spans="2:8">
      <c r="B716" s="3" t="s">
        <v>1811</v>
      </c>
      <c r="C716" s="3" t="s">
        <v>1812</v>
      </c>
      <c r="D716" s="8" t="str">
        <f t="shared" si="64"/>
        <v>16-16</v>
      </c>
      <c r="E716" s="1">
        <f>_xlfn.IFNA(VLOOKUP('Comp X - Kilter'!B716,'Kilter Holds'!$P$36:$AB$370,8,0),0)</f>
        <v>10</v>
      </c>
      <c r="G716" s="2">
        <f t="shared" si="67"/>
        <v>0</v>
      </c>
      <c r="H716" s="2">
        <f t="shared" si="68"/>
        <v>0</v>
      </c>
    </row>
    <row r="717" spans="2:8">
      <c r="B717" s="3" t="s">
        <v>1811</v>
      </c>
      <c r="C717" s="3" t="s">
        <v>1812</v>
      </c>
      <c r="D717" s="9" t="str">
        <f t="shared" si="64"/>
        <v>13-01</v>
      </c>
      <c r="E717" s="1">
        <f>_xlfn.IFNA(VLOOKUP('Comp X - Kilter'!B717,'Kilter Holds'!$P$36:$AB$370,9,0),0)</f>
        <v>9</v>
      </c>
      <c r="G717" s="2">
        <f t="shared" si="67"/>
        <v>0</v>
      </c>
      <c r="H717" s="2">
        <f t="shared" si="68"/>
        <v>0</v>
      </c>
    </row>
    <row r="718" spans="2:8">
      <c r="B718" s="3" t="s">
        <v>1811</v>
      </c>
      <c r="C718" s="3" t="s">
        <v>1812</v>
      </c>
      <c r="D718" s="10" t="str">
        <f t="shared" si="64"/>
        <v>07-13</v>
      </c>
      <c r="E718" s="1">
        <f>_xlfn.IFNA(VLOOKUP('Comp X - Kilter'!B718,'Kilter Holds'!$P$36:$AB$370,10,0),0)</f>
        <v>4</v>
      </c>
      <c r="G718" s="2">
        <f t="shared" si="67"/>
        <v>0</v>
      </c>
      <c r="H718" s="2">
        <f t="shared" si="68"/>
        <v>0</v>
      </c>
    </row>
    <row r="719" spans="2:8">
      <c r="B719" s="3" t="s">
        <v>1811</v>
      </c>
      <c r="C719" s="3" t="s">
        <v>1812</v>
      </c>
      <c r="D719" s="11" t="str">
        <f t="shared" si="64"/>
        <v>11-25</v>
      </c>
      <c r="E719" s="1">
        <f>_xlfn.IFNA(VLOOKUP('Comp X - Kilter'!B719,'Kilter Holds'!$P$36:$AB$370,11,0),0)</f>
        <v>2</v>
      </c>
      <c r="G719" s="2">
        <f t="shared" si="67"/>
        <v>0</v>
      </c>
      <c r="H719" s="2">
        <f t="shared" si="68"/>
        <v>0</v>
      </c>
    </row>
    <row r="720" spans="2:8">
      <c r="B720" s="3" t="s">
        <v>1811</v>
      </c>
      <c r="C720" s="3" t="s">
        <v>1812</v>
      </c>
      <c r="D720" s="13" t="str">
        <f t="shared" si="64"/>
        <v>18-01</v>
      </c>
      <c r="E720" s="1">
        <f>_xlfn.IFNA(VLOOKUP('Comp X - Kilter'!B720,'Kilter Holds'!$P$36:$AB$370,12,0),0)</f>
        <v>10</v>
      </c>
      <c r="G720" s="2">
        <f t="shared" si="67"/>
        <v>0</v>
      </c>
      <c r="H720" s="2">
        <f t="shared" si="68"/>
        <v>0</v>
      </c>
    </row>
    <row r="721" spans="2:8">
      <c r="B721" s="3" t="s">
        <v>1811</v>
      </c>
      <c r="C721" s="3" t="s">
        <v>1812</v>
      </c>
      <c r="D721" s="12" t="str">
        <f t="shared" si="64"/>
        <v>12-01</v>
      </c>
      <c r="E721" s="1">
        <f>_xlfn.IFNA(VLOOKUP('Comp X - Kilter'!B721,'Kilter Holds'!$P$36:$AB$370,13,0),0)</f>
        <v>0</v>
      </c>
      <c r="G721" s="2">
        <f t="shared" si="67"/>
        <v>0</v>
      </c>
      <c r="H721" s="2">
        <f t="shared" si="68"/>
        <v>0</v>
      </c>
    </row>
    <row r="722" spans="2:8">
      <c r="B722" s="3" t="s">
        <v>2127</v>
      </c>
      <c r="C722" s="3" t="s">
        <v>2128</v>
      </c>
      <c r="D722" s="5" t="str">
        <f t="shared" si="64"/>
        <v>11-12</v>
      </c>
      <c r="E722" s="1">
        <f>_xlfn.IFNA(VLOOKUP('Comp X - Kilter'!B722,'Kilter Holds'!$P$36:$AB$370,5,0),0)</f>
        <v>10</v>
      </c>
      <c r="G722" s="2">
        <f t="shared" ref="G722:G730" si="69">E722*F722</f>
        <v>0</v>
      </c>
      <c r="H722" s="2">
        <f t="shared" ref="H722:H730" si="70">IF($S$11="Y",G722*0.15,0)</f>
        <v>0</v>
      </c>
    </row>
    <row r="723" spans="2:8">
      <c r="B723" s="3" t="s">
        <v>2127</v>
      </c>
      <c r="C723" s="3" t="s">
        <v>2128</v>
      </c>
      <c r="D723" s="6" t="str">
        <f t="shared" si="64"/>
        <v>14-01</v>
      </c>
      <c r="E723" s="1">
        <f>_xlfn.IFNA(VLOOKUP('Comp X - Kilter'!B723,'Kilter Holds'!$P$36:$AB$370,6,0),0)</f>
        <v>0</v>
      </c>
      <c r="G723" s="2">
        <f t="shared" si="69"/>
        <v>0</v>
      </c>
      <c r="H723" s="2">
        <f t="shared" si="70"/>
        <v>0</v>
      </c>
    </row>
    <row r="724" spans="2:8">
      <c r="B724" s="3" t="s">
        <v>2127</v>
      </c>
      <c r="C724" s="3" t="s">
        <v>2128</v>
      </c>
      <c r="D724" s="7" t="str">
        <f t="shared" si="64"/>
        <v>15-12</v>
      </c>
      <c r="E724" s="1">
        <f>_xlfn.IFNA(VLOOKUP('Comp X - Kilter'!B724,'Kilter Holds'!$P$36:$AB$370,7,0),0)</f>
        <v>4</v>
      </c>
      <c r="G724" s="2">
        <f t="shared" si="69"/>
        <v>0</v>
      </c>
      <c r="H724" s="2">
        <f t="shared" si="70"/>
        <v>0</v>
      </c>
    </row>
    <row r="725" spans="2:8">
      <c r="B725" s="3" t="s">
        <v>2127</v>
      </c>
      <c r="C725" s="3" t="s">
        <v>2128</v>
      </c>
      <c r="D725" s="8" t="str">
        <f t="shared" si="64"/>
        <v>16-16</v>
      </c>
      <c r="E725" s="1">
        <f>_xlfn.IFNA(VLOOKUP('Comp X - Kilter'!B725,'Kilter Holds'!$P$36:$AB$370,8,0),0)</f>
        <v>5</v>
      </c>
      <c r="G725" s="2">
        <f t="shared" si="69"/>
        <v>0</v>
      </c>
      <c r="H725" s="2">
        <f t="shared" si="70"/>
        <v>0</v>
      </c>
    </row>
    <row r="726" spans="2:8">
      <c r="B726" s="3" t="s">
        <v>2127</v>
      </c>
      <c r="C726" s="3" t="s">
        <v>2128</v>
      </c>
      <c r="D726" s="9" t="str">
        <f t="shared" si="64"/>
        <v>13-01</v>
      </c>
      <c r="E726" s="1">
        <f>_xlfn.IFNA(VLOOKUP('Comp X - Kilter'!B726,'Kilter Holds'!$P$36:$AB$370,9,0),0)</f>
        <v>10</v>
      </c>
      <c r="G726" s="2">
        <f t="shared" si="69"/>
        <v>0</v>
      </c>
      <c r="H726" s="2">
        <f t="shared" si="70"/>
        <v>0</v>
      </c>
    </row>
    <row r="727" spans="2:8">
      <c r="B727" s="3" t="s">
        <v>2127</v>
      </c>
      <c r="C727" s="3" t="s">
        <v>2128</v>
      </c>
      <c r="D727" s="10" t="str">
        <f t="shared" si="64"/>
        <v>07-13</v>
      </c>
      <c r="E727" s="1">
        <f>_xlfn.IFNA(VLOOKUP('Comp X - Kilter'!B727,'Kilter Holds'!$P$36:$AB$370,10,0),0)</f>
        <v>5</v>
      </c>
      <c r="G727" s="2">
        <f t="shared" si="69"/>
        <v>0</v>
      </c>
      <c r="H727" s="2">
        <f t="shared" si="70"/>
        <v>0</v>
      </c>
    </row>
    <row r="728" spans="2:8">
      <c r="B728" s="3" t="s">
        <v>2127</v>
      </c>
      <c r="C728" s="3" t="s">
        <v>2128</v>
      </c>
      <c r="D728" s="11" t="str">
        <f t="shared" si="64"/>
        <v>11-25</v>
      </c>
      <c r="E728" s="1">
        <f>_xlfn.IFNA(VLOOKUP('Comp X - Kilter'!B728,'Kilter Holds'!$P$36:$AB$370,11,0),0)</f>
        <v>5</v>
      </c>
      <c r="G728" s="2">
        <f t="shared" si="69"/>
        <v>0</v>
      </c>
      <c r="H728" s="2">
        <f t="shared" si="70"/>
        <v>0</v>
      </c>
    </row>
    <row r="729" spans="2:8">
      <c r="B729" s="3" t="s">
        <v>2127</v>
      </c>
      <c r="C729" s="3" t="s">
        <v>2128</v>
      </c>
      <c r="D729" s="13" t="str">
        <f t="shared" si="64"/>
        <v>18-01</v>
      </c>
      <c r="E729" s="1">
        <f>_xlfn.IFNA(VLOOKUP('Comp X - Kilter'!B729,'Kilter Holds'!$P$36:$AB$370,12,0),0)</f>
        <v>12</v>
      </c>
      <c r="G729" s="2">
        <f t="shared" si="69"/>
        <v>0</v>
      </c>
      <c r="H729" s="2">
        <f t="shared" si="70"/>
        <v>0</v>
      </c>
    </row>
    <row r="730" spans="2:8">
      <c r="B730" s="3" t="s">
        <v>2127</v>
      </c>
      <c r="C730" s="3" t="s">
        <v>2128</v>
      </c>
      <c r="D730" s="12" t="str">
        <f t="shared" si="64"/>
        <v>12-01</v>
      </c>
      <c r="E730" s="1">
        <f>_xlfn.IFNA(VLOOKUP('Comp X - Kilter'!B730,'Kilter Holds'!$P$36:$AB$370,13,0),0)</f>
        <v>0</v>
      </c>
      <c r="G730" s="2">
        <f t="shared" si="69"/>
        <v>0</v>
      </c>
      <c r="H730" s="2">
        <f t="shared" si="70"/>
        <v>0</v>
      </c>
    </row>
    <row r="731" spans="2:8">
      <c r="B731" s="3" t="s">
        <v>1793</v>
      </c>
      <c r="C731" s="3" t="s">
        <v>1794</v>
      </c>
      <c r="D731" s="5" t="str">
        <f t="shared" ref="D731:D739" si="71">D695</f>
        <v>11-12</v>
      </c>
      <c r="E731" s="1">
        <f>_xlfn.IFNA(VLOOKUP('Comp X - Kilter'!B731,'Kilter Holds'!$P$36:$AB$370,5,0),0)</f>
        <v>4</v>
      </c>
      <c r="G731" s="2">
        <f t="shared" ref="G731:G739" si="72">E731*F731</f>
        <v>0</v>
      </c>
      <c r="H731" s="2">
        <f t="shared" ref="H731:H739" si="73">IF($S$11="Y",G731*0.15,0)</f>
        <v>0</v>
      </c>
    </row>
    <row r="732" spans="2:8">
      <c r="B732" s="3" t="s">
        <v>1793</v>
      </c>
      <c r="C732" s="3" t="s">
        <v>1794</v>
      </c>
      <c r="D732" s="6" t="str">
        <f t="shared" si="71"/>
        <v>14-01</v>
      </c>
      <c r="E732" s="1">
        <f>_xlfn.IFNA(VLOOKUP('Comp X - Kilter'!B732,'Kilter Holds'!$P$36:$AB$370,6,0),0)</f>
        <v>0</v>
      </c>
      <c r="G732" s="2">
        <f t="shared" si="72"/>
        <v>0</v>
      </c>
      <c r="H732" s="2">
        <f t="shared" si="73"/>
        <v>0</v>
      </c>
    </row>
    <row r="733" spans="2:8">
      <c r="B733" s="3" t="s">
        <v>1793</v>
      </c>
      <c r="C733" s="3" t="s">
        <v>1794</v>
      </c>
      <c r="D733" s="7" t="str">
        <f t="shared" si="71"/>
        <v>15-12</v>
      </c>
      <c r="E733" s="1">
        <f>_xlfn.IFNA(VLOOKUP('Comp X - Kilter'!B733,'Kilter Holds'!$P$36:$AB$370,7,0),0)</f>
        <v>5</v>
      </c>
      <c r="G733" s="2">
        <f t="shared" si="72"/>
        <v>0</v>
      </c>
      <c r="H733" s="2">
        <f t="shared" si="73"/>
        <v>0</v>
      </c>
    </row>
    <row r="734" spans="2:8">
      <c r="B734" s="3" t="s">
        <v>1793</v>
      </c>
      <c r="C734" s="3" t="s">
        <v>1794</v>
      </c>
      <c r="D734" s="8" t="str">
        <f t="shared" si="71"/>
        <v>16-16</v>
      </c>
      <c r="E734" s="1">
        <f>_xlfn.IFNA(VLOOKUP('Comp X - Kilter'!B734,'Kilter Holds'!$P$36:$AB$370,8,0),0)</f>
        <v>10</v>
      </c>
      <c r="G734" s="2">
        <f t="shared" si="72"/>
        <v>0</v>
      </c>
      <c r="H734" s="2">
        <f t="shared" si="73"/>
        <v>0</v>
      </c>
    </row>
    <row r="735" spans="2:8">
      <c r="B735" s="3" t="s">
        <v>1793</v>
      </c>
      <c r="C735" s="3" t="s">
        <v>1794</v>
      </c>
      <c r="D735" s="9" t="str">
        <f t="shared" si="71"/>
        <v>13-01</v>
      </c>
      <c r="E735" s="1">
        <f>_xlfn.IFNA(VLOOKUP('Comp X - Kilter'!B735,'Kilter Holds'!$P$36:$AB$370,9,0),0)</f>
        <v>5</v>
      </c>
      <c r="G735" s="2">
        <f t="shared" si="72"/>
        <v>0</v>
      </c>
      <c r="H735" s="2">
        <f t="shared" si="73"/>
        <v>0</v>
      </c>
    </row>
    <row r="736" spans="2:8">
      <c r="B736" s="3" t="s">
        <v>1793</v>
      </c>
      <c r="C736" s="3" t="s">
        <v>1794</v>
      </c>
      <c r="D736" s="10" t="str">
        <f t="shared" si="71"/>
        <v>07-13</v>
      </c>
      <c r="E736" s="1">
        <f>_xlfn.IFNA(VLOOKUP('Comp X - Kilter'!B736,'Kilter Holds'!$P$36:$AB$370,10,0),0)</f>
        <v>0</v>
      </c>
      <c r="G736" s="2">
        <f t="shared" si="72"/>
        <v>0</v>
      </c>
      <c r="H736" s="2">
        <f t="shared" si="73"/>
        <v>0</v>
      </c>
    </row>
    <row r="737" spans="2:8">
      <c r="B737" s="3" t="s">
        <v>1793</v>
      </c>
      <c r="C737" s="3" t="s">
        <v>1794</v>
      </c>
      <c r="D737" s="11" t="str">
        <f t="shared" si="71"/>
        <v>11-25</v>
      </c>
      <c r="E737" s="1">
        <f>_xlfn.IFNA(VLOOKUP('Comp X - Kilter'!B737,'Kilter Holds'!$P$36:$AB$370,11,0),0)</f>
        <v>5</v>
      </c>
      <c r="G737" s="2">
        <f t="shared" si="72"/>
        <v>0</v>
      </c>
      <c r="H737" s="2">
        <f t="shared" si="73"/>
        <v>0</v>
      </c>
    </row>
    <row r="738" spans="2:8">
      <c r="B738" s="3" t="s">
        <v>1793</v>
      </c>
      <c r="C738" s="3" t="s">
        <v>1794</v>
      </c>
      <c r="D738" s="13" t="str">
        <f t="shared" si="71"/>
        <v>18-01</v>
      </c>
      <c r="E738" s="1">
        <f>_xlfn.IFNA(VLOOKUP('Comp X - Kilter'!B738,'Kilter Holds'!$P$36:$AB$370,12,0),0)</f>
        <v>11</v>
      </c>
      <c r="G738" s="2">
        <f t="shared" si="72"/>
        <v>0</v>
      </c>
      <c r="H738" s="2">
        <f t="shared" si="73"/>
        <v>0</v>
      </c>
    </row>
    <row r="739" spans="2:8">
      <c r="B739" s="3" t="s">
        <v>1793</v>
      </c>
      <c r="C739" s="3" t="s">
        <v>1794</v>
      </c>
      <c r="D739" s="12" t="str">
        <f t="shared" si="71"/>
        <v>12-01</v>
      </c>
      <c r="E739" s="1">
        <f>_xlfn.IFNA(VLOOKUP('Comp X - Kilter'!B739,'Kilter Holds'!$P$36:$AB$370,13,0),0)</f>
        <v>0</v>
      </c>
      <c r="G739" s="2">
        <f t="shared" si="72"/>
        <v>0</v>
      </c>
      <c r="H739" s="2">
        <f t="shared" si="73"/>
        <v>0</v>
      </c>
    </row>
    <row r="740" spans="2:8">
      <c r="B740" s="3" t="s">
        <v>1732</v>
      </c>
      <c r="C740" s="3" t="s">
        <v>1733</v>
      </c>
      <c r="D740" s="5" t="str">
        <f t="shared" ref="D740:D748" si="74">D695</f>
        <v>11-12</v>
      </c>
      <c r="E740" s="1">
        <f>_xlfn.IFNA(VLOOKUP('Comp X - Kilter'!B740,'Kilter Holds'!$P$36:$AB$370,5,0),0)</f>
        <v>8</v>
      </c>
      <c r="G740" s="2">
        <f t="shared" ref="G740:G748" si="75">E740*F740</f>
        <v>0</v>
      </c>
      <c r="H740" s="2">
        <f t="shared" ref="H740:H748" si="76">IF($S$11="Y",G740*0.15,0)</f>
        <v>0</v>
      </c>
    </row>
    <row r="741" spans="2:8">
      <c r="B741" s="3" t="s">
        <v>1732</v>
      </c>
      <c r="C741" s="3" t="s">
        <v>1733</v>
      </c>
      <c r="D741" s="6" t="str">
        <f t="shared" si="74"/>
        <v>14-01</v>
      </c>
      <c r="E741" s="1">
        <f>_xlfn.IFNA(VLOOKUP('Comp X - Kilter'!B741,'Kilter Holds'!$P$36:$AB$370,6,0),0)</f>
        <v>0</v>
      </c>
      <c r="G741" s="2">
        <f t="shared" si="75"/>
        <v>0</v>
      </c>
      <c r="H741" s="2">
        <f t="shared" si="76"/>
        <v>0</v>
      </c>
    </row>
    <row r="742" spans="2:8">
      <c r="B742" s="3" t="s">
        <v>1732</v>
      </c>
      <c r="C742" s="3" t="s">
        <v>1733</v>
      </c>
      <c r="D742" s="7" t="str">
        <f t="shared" si="74"/>
        <v>15-12</v>
      </c>
      <c r="E742" s="1">
        <f>_xlfn.IFNA(VLOOKUP('Comp X - Kilter'!B742,'Kilter Holds'!$P$36:$AB$370,7,0),0)</f>
        <v>9</v>
      </c>
      <c r="G742" s="2">
        <f t="shared" si="75"/>
        <v>0</v>
      </c>
      <c r="H742" s="2">
        <f t="shared" si="76"/>
        <v>0</v>
      </c>
    </row>
    <row r="743" spans="2:8">
      <c r="B743" s="3" t="s">
        <v>1732</v>
      </c>
      <c r="C743" s="3" t="s">
        <v>1733</v>
      </c>
      <c r="D743" s="8" t="str">
        <f t="shared" si="74"/>
        <v>16-16</v>
      </c>
      <c r="E743" s="1">
        <f>_xlfn.IFNA(VLOOKUP('Comp X - Kilter'!B743,'Kilter Holds'!$P$36:$AB$370,8,0),0)</f>
        <v>9</v>
      </c>
      <c r="G743" s="2">
        <f t="shared" si="75"/>
        <v>0</v>
      </c>
      <c r="H743" s="2">
        <f t="shared" si="76"/>
        <v>0</v>
      </c>
    </row>
    <row r="744" spans="2:8">
      <c r="B744" s="3" t="s">
        <v>1732</v>
      </c>
      <c r="C744" s="3" t="s">
        <v>1733</v>
      </c>
      <c r="D744" s="9" t="str">
        <f t="shared" si="74"/>
        <v>13-01</v>
      </c>
      <c r="E744" s="1">
        <f>_xlfn.IFNA(VLOOKUP('Comp X - Kilter'!B744,'Kilter Holds'!$P$36:$AB$370,9,0),0)</f>
        <v>7</v>
      </c>
      <c r="G744" s="2">
        <f t="shared" si="75"/>
        <v>0</v>
      </c>
      <c r="H744" s="2">
        <f t="shared" si="76"/>
        <v>0</v>
      </c>
    </row>
    <row r="745" spans="2:8">
      <c r="B745" s="3" t="s">
        <v>1732</v>
      </c>
      <c r="C745" s="3" t="s">
        <v>1733</v>
      </c>
      <c r="D745" s="10" t="str">
        <f t="shared" si="74"/>
        <v>07-13</v>
      </c>
      <c r="E745" s="1">
        <f>_xlfn.IFNA(VLOOKUP('Comp X - Kilter'!B745,'Kilter Holds'!$P$36:$AB$370,10,0),0)</f>
        <v>5</v>
      </c>
      <c r="G745" s="2">
        <f t="shared" si="75"/>
        <v>0</v>
      </c>
      <c r="H745" s="2">
        <f t="shared" si="76"/>
        <v>0</v>
      </c>
    </row>
    <row r="746" spans="2:8">
      <c r="B746" s="3" t="s">
        <v>1732</v>
      </c>
      <c r="C746" s="3" t="s">
        <v>1733</v>
      </c>
      <c r="D746" s="11" t="str">
        <f t="shared" si="74"/>
        <v>11-25</v>
      </c>
      <c r="E746" s="1">
        <f>_xlfn.IFNA(VLOOKUP('Comp X - Kilter'!B746,'Kilter Holds'!$P$36:$AB$370,11,0),0)</f>
        <v>3</v>
      </c>
      <c r="G746" s="2">
        <f t="shared" si="75"/>
        <v>0</v>
      </c>
      <c r="H746" s="2">
        <f t="shared" si="76"/>
        <v>0</v>
      </c>
    </row>
    <row r="747" spans="2:8">
      <c r="B747" s="3" t="s">
        <v>1732</v>
      </c>
      <c r="C747" s="3" t="s">
        <v>1733</v>
      </c>
      <c r="D747" s="13" t="str">
        <f t="shared" si="74"/>
        <v>18-01</v>
      </c>
      <c r="E747" s="1">
        <f>_xlfn.IFNA(VLOOKUP('Comp X - Kilter'!B747,'Kilter Holds'!$P$36:$AB$370,12,0),0)</f>
        <v>10</v>
      </c>
      <c r="G747" s="2">
        <f t="shared" si="75"/>
        <v>0</v>
      </c>
      <c r="H747" s="2">
        <f t="shared" si="76"/>
        <v>0</v>
      </c>
    </row>
    <row r="748" spans="2:8">
      <c r="B748" s="3" t="s">
        <v>1732</v>
      </c>
      <c r="C748" s="3" t="s">
        <v>1733</v>
      </c>
      <c r="D748" s="12" t="str">
        <f t="shared" si="74"/>
        <v>12-01</v>
      </c>
      <c r="E748" s="1">
        <f>_xlfn.IFNA(VLOOKUP('Comp X - Kilter'!B748,'Kilter Holds'!$P$36:$AB$370,13,0),0)</f>
        <v>0</v>
      </c>
      <c r="G748" s="2">
        <f t="shared" si="75"/>
        <v>0</v>
      </c>
      <c r="H748" s="2">
        <f t="shared" si="76"/>
        <v>0</v>
      </c>
    </row>
    <row r="749" spans="2:8">
      <c r="B749" s="3" t="s">
        <v>1796</v>
      </c>
      <c r="C749" s="3" t="s">
        <v>1797</v>
      </c>
      <c r="D749" s="5" t="str">
        <f t="shared" ref="D749:D757" si="77">D731</f>
        <v>11-12</v>
      </c>
      <c r="E749" s="1">
        <f>_xlfn.IFNA(VLOOKUP('Comp X - Kilter'!B749,'Kilter Holds'!$P$36:$AB$370,5,0),0)</f>
        <v>4</v>
      </c>
      <c r="G749" s="2">
        <f t="shared" ref="G749:G757" si="78">E749*F749</f>
        <v>0</v>
      </c>
      <c r="H749" s="2">
        <f t="shared" ref="H749:H757" si="79">IF($S$11="Y",G749*0.15,0)</f>
        <v>0</v>
      </c>
    </row>
    <row r="750" spans="2:8">
      <c r="B750" s="3" t="s">
        <v>1796</v>
      </c>
      <c r="C750" s="3" t="s">
        <v>1797</v>
      </c>
      <c r="D750" s="6" t="str">
        <f t="shared" si="77"/>
        <v>14-01</v>
      </c>
      <c r="E750" s="1">
        <f>_xlfn.IFNA(VLOOKUP('Comp X - Kilter'!B750,'Kilter Holds'!$P$36:$AB$370,6,0),0)</f>
        <v>2</v>
      </c>
      <c r="G750" s="2">
        <f t="shared" si="78"/>
        <v>0</v>
      </c>
      <c r="H750" s="2">
        <f t="shared" si="79"/>
        <v>0</v>
      </c>
    </row>
    <row r="751" spans="2:8">
      <c r="B751" s="3" t="s">
        <v>1796</v>
      </c>
      <c r="C751" s="3" t="s">
        <v>1797</v>
      </c>
      <c r="D751" s="7" t="str">
        <f t="shared" si="77"/>
        <v>15-12</v>
      </c>
      <c r="E751" s="1">
        <f>_xlfn.IFNA(VLOOKUP('Comp X - Kilter'!B751,'Kilter Holds'!$P$36:$AB$370,7,0),0)</f>
        <v>3</v>
      </c>
      <c r="G751" s="2">
        <f t="shared" si="78"/>
        <v>0</v>
      </c>
      <c r="H751" s="2">
        <f t="shared" si="79"/>
        <v>0</v>
      </c>
    </row>
    <row r="752" spans="2:8">
      <c r="B752" s="3" t="s">
        <v>1796</v>
      </c>
      <c r="C752" s="3" t="s">
        <v>1797</v>
      </c>
      <c r="D752" s="8" t="str">
        <f t="shared" si="77"/>
        <v>16-16</v>
      </c>
      <c r="E752" s="1">
        <f>_xlfn.IFNA(VLOOKUP('Comp X - Kilter'!B752,'Kilter Holds'!$P$36:$AB$370,8,0),0)</f>
        <v>9</v>
      </c>
      <c r="G752" s="2">
        <f t="shared" si="78"/>
        <v>0</v>
      </c>
      <c r="H752" s="2">
        <f t="shared" si="79"/>
        <v>0</v>
      </c>
    </row>
    <row r="753" spans="2:8">
      <c r="B753" s="3" t="s">
        <v>1796</v>
      </c>
      <c r="C753" s="3" t="s">
        <v>1797</v>
      </c>
      <c r="D753" s="9" t="str">
        <f t="shared" si="77"/>
        <v>13-01</v>
      </c>
      <c r="E753" s="1">
        <f>_xlfn.IFNA(VLOOKUP('Comp X - Kilter'!B753,'Kilter Holds'!$P$36:$AB$370,9,0),0)</f>
        <v>7</v>
      </c>
      <c r="G753" s="2">
        <f t="shared" si="78"/>
        <v>0</v>
      </c>
      <c r="H753" s="2">
        <f t="shared" si="79"/>
        <v>0</v>
      </c>
    </row>
    <row r="754" spans="2:8">
      <c r="B754" s="3" t="s">
        <v>1796</v>
      </c>
      <c r="C754" s="3" t="s">
        <v>1797</v>
      </c>
      <c r="D754" s="10" t="str">
        <f t="shared" si="77"/>
        <v>07-13</v>
      </c>
      <c r="E754" s="1">
        <f>_xlfn.IFNA(VLOOKUP('Comp X - Kilter'!B754,'Kilter Holds'!$P$36:$AB$370,10,0),0)</f>
        <v>2</v>
      </c>
      <c r="G754" s="2">
        <f t="shared" si="78"/>
        <v>0</v>
      </c>
      <c r="H754" s="2">
        <f t="shared" si="79"/>
        <v>0</v>
      </c>
    </row>
    <row r="755" spans="2:8">
      <c r="B755" s="3" t="s">
        <v>1796</v>
      </c>
      <c r="C755" s="3" t="s">
        <v>1797</v>
      </c>
      <c r="D755" s="11" t="str">
        <f t="shared" si="77"/>
        <v>11-25</v>
      </c>
      <c r="E755" s="1">
        <f>_xlfn.IFNA(VLOOKUP('Comp X - Kilter'!B755,'Kilter Holds'!$P$36:$AB$370,11,0),0)</f>
        <v>4</v>
      </c>
      <c r="G755" s="2">
        <f t="shared" si="78"/>
        <v>0</v>
      </c>
      <c r="H755" s="2">
        <f t="shared" si="79"/>
        <v>0</v>
      </c>
    </row>
    <row r="756" spans="2:8">
      <c r="B756" s="3" t="s">
        <v>1796</v>
      </c>
      <c r="C756" s="3" t="s">
        <v>1797</v>
      </c>
      <c r="D756" s="13" t="str">
        <f t="shared" si="77"/>
        <v>18-01</v>
      </c>
      <c r="E756" s="1">
        <f>_xlfn.IFNA(VLOOKUP('Comp X - Kilter'!B756,'Kilter Holds'!$P$36:$AB$370,12,0),0)</f>
        <v>10</v>
      </c>
      <c r="G756" s="2">
        <f t="shared" si="78"/>
        <v>0</v>
      </c>
      <c r="H756" s="2">
        <f t="shared" si="79"/>
        <v>0</v>
      </c>
    </row>
    <row r="757" spans="2:8">
      <c r="B757" s="3" t="s">
        <v>1796</v>
      </c>
      <c r="C757" s="3" t="s">
        <v>1797</v>
      </c>
      <c r="D757" s="12" t="str">
        <f t="shared" si="77"/>
        <v>12-01</v>
      </c>
      <c r="E757" s="1">
        <f>_xlfn.IFNA(VLOOKUP('Comp X - Kilter'!B757,'Kilter Holds'!$P$36:$AB$370,13,0),0)</f>
        <v>1</v>
      </c>
      <c r="G757" s="2">
        <f t="shared" si="78"/>
        <v>0</v>
      </c>
      <c r="H757" s="2">
        <f t="shared" si="79"/>
        <v>0</v>
      </c>
    </row>
    <row r="758" spans="2:8">
      <c r="B758" s="3" t="s">
        <v>1718</v>
      </c>
      <c r="C758" s="3" t="s">
        <v>1730</v>
      </c>
      <c r="D758" s="5" t="str">
        <f t="shared" ref="D758:D775" si="80">D695</f>
        <v>11-12</v>
      </c>
      <c r="E758" s="1">
        <f>_xlfn.IFNA(VLOOKUP('Comp X - Kilter'!B758,'Kilter Holds'!$P$36:$AB$370,5,0),0)</f>
        <v>0</v>
      </c>
      <c r="G758" s="2">
        <f t="shared" ref="G758:G766" si="81">E758*F758</f>
        <v>0</v>
      </c>
      <c r="H758" s="2">
        <f t="shared" ref="H758:H766" si="82">IF($S$11="Y",G758*0.15,0)</f>
        <v>0</v>
      </c>
    </row>
    <row r="759" spans="2:8">
      <c r="B759" s="3" t="s">
        <v>1718</v>
      </c>
      <c r="C759" s="3" t="s">
        <v>1730</v>
      </c>
      <c r="D759" s="6" t="str">
        <f t="shared" si="80"/>
        <v>14-01</v>
      </c>
      <c r="E759" s="1">
        <f>_xlfn.IFNA(VLOOKUP('Comp X - Kilter'!B759,'Kilter Holds'!$P$36:$AB$370,6,0),0)</f>
        <v>1</v>
      </c>
      <c r="G759" s="2">
        <f t="shared" si="81"/>
        <v>0</v>
      </c>
      <c r="H759" s="2">
        <f t="shared" si="82"/>
        <v>0</v>
      </c>
    </row>
    <row r="760" spans="2:8">
      <c r="B760" s="3" t="s">
        <v>1718</v>
      </c>
      <c r="C760" s="3" t="s">
        <v>1730</v>
      </c>
      <c r="D760" s="7" t="str">
        <f t="shared" si="80"/>
        <v>15-12</v>
      </c>
      <c r="E760" s="1">
        <f>_xlfn.IFNA(VLOOKUP('Comp X - Kilter'!B760,'Kilter Holds'!$P$36:$AB$370,7,0),0)</f>
        <v>3</v>
      </c>
      <c r="G760" s="2">
        <f t="shared" si="81"/>
        <v>0</v>
      </c>
      <c r="H760" s="2">
        <f t="shared" si="82"/>
        <v>0</v>
      </c>
    </row>
    <row r="761" spans="2:8">
      <c r="B761" s="3" t="s">
        <v>1718</v>
      </c>
      <c r="C761" s="3" t="s">
        <v>1730</v>
      </c>
      <c r="D761" s="8" t="str">
        <f t="shared" si="80"/>
        <v>16-16</v>
      </c>
      <c r="E761" s="1">
        <f>_xlfn.IFNA(VLOOKUP('Comp X - Kilter'!B761,'Kilter Holds'!$P$36:$AB$370,8,0),0)</f>
        <v>4</v>
      </c>
      <c r="G761" s="2">
        <f t="shared" si="81"/>
        <v>0</v>
      </c>
      <c r="H761" s="2">
        <f t="shared" si="82"/>
        <v>0</v>
      </c>
    </row>
    <row r="762" spans="2:8">
      <c r="B762" s="3" t="s">
        <v>1718</v>
      </c>
      <c r="C762" s="3" t="s">
        <v>1730</v>
      </c>
      <c r="D762" s="9" t="str">
        <f t="shared" si="80"/>
        <v>13-01</v>
      </c>
      <c r="E762" s="1">
        <f>_xlfn.IFNA(VLOOKUP('Comp X - Kilter'!B762,'Kilter Holds'!$P$36:$AB$370,9,0),0)</f>
        <v>4</v>
      </c>
      <c r="G762" s="2">
        <f t="shared" si="81"/>
        <v>0</v>
      </c>
      <c r="H762" s="2">
        <f t="shared" si="82"/>
        <v>0</v>
      </c>
    </row>
    <row r="763" spans="2:8">
      <c r="B763" s="3" t="s">
        <v>1718</v>
      </c>
      <c r="C763" s="3" t="s">
        <v>1730</v>
      </c>
      <c r="D763" s="10" t="str">
        <f t="shared" si="80"/>
        <v>07-13</v>
      </c>
      <c r="E763" s="1">
        <f>_xlfn.IFNA(VLOOKUP('Comp X - Kilter'!B763,'Kilter Holds'!$P$36:$AB$370,10,0),0)</f>
        <v>5</v>
      </c>
      <c r="G763" s="2">
        <f t="shared" si="81"/>
        <v>0</v>
      </c>
      <c r="H763" s="2">
        <f t="shared" si="82"/>
        <v>0</v>
      </c>
    </row>
    <row r="764" spans="2:8">
      <c r="B764" s="3" t="s">
        <v>1718</v>
      </c>
      <c r="C764" s="3" t="s">
        <v>1730</v>
      </c>
      <c r="D764" s="11" t="str">
        <f t="shared" si="80"/>
        <v>11-25</v>
      </c>
      <c r="E764" s="1">
        <f>_xlfn.IFNA(VLOOKUP('Comp X - Kilter'!B764,'Kilter Holds'!$P$36:$AB$370,11,0),0)</f>
        <v>4</v>
      </c>
      <c r="G764" s="2">
        <f t="shared" si="81"/>
        <v>0</v>
      </c>
      <c r="H764" s="2">
        <f t="shared" si="82"/>
        <v>0</v>
      </c>
    </row>
    <row r="765" spans="2:8">
      <c r="B765" s="3" t="s">
        <v>1718</v>
      </c>
      <c r="C765" s="3" t="s">
        <v>1730</v>
      </c>
      <c r="D765" s="13" t="str">
        <f t="shared" si="80"/>
        <v>18-01</v>
      </c>
      <c r="E765" s="1">
        <f>_xlfn.IFNA(VLOOKUP('Comp X - Kilter'!B765,'Kilter Holds'!$P$36:$AB$370,12,0),0)</f>
        <v>5</v>
      </c>
      <c r="G765" s="2">
        <f t="shared" si="81"/>
        <v>0</v>
      </c>
      <c r="H765" s="2">
        <f t="shared" si="82"/>
        <v>0</v>
      </c>
    </row>
    <row r="766" spans="2:8">
      <c r="B766" s="3" t="s">
        <v>1718</v>
      </c>
      <c r="C766" s="3" t="s">
        <v>1730</v>
      </c>
      <c r="D766" s="12" t="str">
        <f t="shared" si="80"/>
        <v>12-01</v>
      </c>
      <c r="E766" s="1">
        <f>_xlfn.IFNA(VLOOKUP('Comp X - Kilter'!B766,'Kilter Holds'!$P$36:$AB$370,13,0),0)</f>
        <v>0</v>
      </c>
      <c r="G766" s="2">
        <f t="shared" si="81"/>
        <v>0</v>
      </c>
      <c r="H766" s="2">
        <f t="shared" si="82"/>
        <v>0</v>
      </c>
    </row>
    <row r="767" spans="2:8">
      <c r="B767" s="3" t="s">
        <v>1828</v>
      </c>
      <c r="C767" s="3" t="s">
        <v>1829</v>
      </c>
      <c r="D767" s="5" t="str">
        <f t="shared" si="80"/>
        <v>11-12</v>
      </c>
      <c r="E767" s="1">
        <f>_xlfn.IFNA(VLOOKUP('Comp X - Kilter'!B767,'Kilter Holds'!$P$36:$AB$370,5,0),0)</f>
        <v>7</v>
      </c>
      <c r="G767" s="2">
        <f t="shared" ref="G767:G775" si="83">E767*F767</f>
        <v>0</v>
      </c>
      <c r="H767" s="2">
        <f t="shared" ref="H767:H775" si="84">IF($S$11="Y",G767*0.15,0)</f>
        <v>0</v>
      </c>
    </row>
    <row r="768" spans="2:8">
      <c r="B768" s="3" t="s">
        <v>1828</v>
      </c>
      <c r="C768" s="3" t="s">
        <v>1829</v>
      </c>
      <c r="D768" s="6" t="str">
        <f t="shared" si="80"/>
        <v>14-01</v>
      </c>
      <c r="E768" s="1">
        <f>_xlfn.IFNA(VLOOKUP('Comp X - Kilter'!B768,'Kilter Holds'!$P$36:$AB$370,6,0),0)</f>
        <v>0</v>
      </c>
      <c r="G768" s="2">
        <f t="shared" si="83"/>
        <v>0</v>
      </c>
      <c r="H768" s="2">
        <f t="shared" si="84"/>
        <v>0</v>
      </c>
    </row>
    <row r="769" spans="2:8">
      <c r="B769" s="3" t="s">
        <v>1828</v>
      </c>
      <c r="C769" s="3" t="s">
        <v>1829</v>
      </c>
      <c r="D769" s="7" t="str">
        <f t="shared" si="80"/>
        <v>15-12</v>
      </c>
      <c r="E769" s="1">
        <f>_xlfn.IFNA(VLOOKUP('Comp X - Kilter'!B769,'Kilter Holds'!$P$36:$AB$370,7,0),0)</f>
        <v>4</v>
      </c>
      <c r="G769" s="2">
        <f t="shared" si="83"/>
        <v>0</v>
      </c>
      <c r="H769" s="2">
        <f t="shared" si="84"/>
        <v>0</v>
      </c>
    </row>
    <row r="770" spans="2:8">
      <c r="B770" s="3" t="s">
        <v>1828</v>
      </c>
      <c r="C770" s="3" t="s">
        <v>1829</v>
      </c>
      <c r="D770" s="8" t="str">
        <f t="shared" si="80"/>
        <v>16-16</v>
      </c>
      <c r="E770" s="1">
        <f>_xlfn.IFNA(VLOOKUP('Comp X - Kilter'!B770,'Kilter Holds'!$P$36:$AB$370,8,0),0)</f>
        <v>5</v>
      </c>
      <c r="G770" s="2">
        <f t="shared" si="83"/>
        <v>0</v>
      </c>
      <c r="H770" s="2">
        <f t="shared" si="84"/>
        <v>0</v>
      </c>
    </row>
    <row r="771" spans="2:8">
      <c r="B771" s="3" t="s">
        <v>1828</v>
      </c>
      <c r="C771" s="3" t="s">
        <v>1829</v>
      </c>
      <c r="D771" s="9" t="str">
        <f t="shared" si="80"/>
        <v>13-01</v>
      </c>
      <c r="E771" s="1">
        <f>_xlfn.IFNA(VLOOKUP('Comp X - Kilter'!B771,'Kilter Holds'!$P$36:$AB$370,9,0),0)</f>
        <v>0</v>
      </c>
      <c r="G771" s="2">
        <f t="shared" si="83"/>
        <v>0</v>
      </c>
      <c r="H771" s="2">
        <f t="shared" si="84"/>
        <v>0</v>
      </c>
    </row>
    <row r="772" spans="2:8">
      <c r="B772" s="3" t="s">
        <v>1828</v>
      </c>
      <c r="C772" s="3" t="s">
        <v>1829</v>
      </c>
      <c r="D772" s="10" t="str">
        <f t="shared" si="80"/>
        <v>07-13</v>
      </c>
      <c r="E772" s="1">
        <f>_xlfn.IFNA(VLOOKUP('Comp X - Kilter'!B772,'Kilter Holds'!$P$36:$AB$370,10,0),0)</f>
        <v>5</v>
      </c>
      <c r="G772" s="2">
        <f t="shared" si="83"/>
        <v>0</v>
      </c>
      <c r="H772" s="2">
        <f t="shared" si="84"/>
        <v>0</v>
      </c>
    </row>
    <row r="773" spans="2:8">
      <c r="B773" s="3" t="s">
        <v>1828</v>
      </c>
      <c r="C773" s="3" t="s">
        <v>1829</v>
      </c>
      <c r="D773" s="11" t="str">
        <f t="shared" si="80"/>
        <v>11-25</v>
      </c>
      <c r="E773" s="1">
        <f>_xlfn.IFNA(VLOOKUP('Comp X - Kilter'!B773,'Kilter Holds'!$P$36:$AB$370,11,0),0)</f>
        <v>0</v>
      </c>
      <c r="G773" s="2">
        <f t="shared" si="83"/>
        <v>0</v>
      </c>
      <c r="H773" s="2">
        <f t="shared" si="84"/>
        <v>0</v>
      </c>
    </row>
    <row r="774" spans="2:8">
      <c r="B774" s="3" t="s">
        <v>1828</v>
      </c>
      <c r="C774" s="3" t="s">
        <v>1829</v>
      </c>
      <c r="D774" s="13" t="str">
        <f t="shared" si="80"/>
        <v>18-01</v>
      </c>
      <c r="E774" s="1">
        <f>_xlfn.IFNA(VLOOKUP('Comp X - Kilter'!B774,'Kilter Holds'!$P$36:$AB$370,12,0),0)</f>
        <v>11</v>
      </c>
      <c r="G774" s="2">
        <f t="shared" si="83"/>
        <v>0</v>
      </c>
      <c r="H774" s="2">
        <f t="shared" si="84"/>
        <v>0</v>
      </c>
    </row>
    <row r="775" spans="2:8">
      <c r="B775" s="3" t="s">
        <v>1828</v>
      </c>
      <c r="C775" s="3" t="s">
        <v>1829</v>
      </c>
      <c r="D775" s="12" t="str">
        <f t="shared" si="80"/>
        <v>12-01</v>
      </c>
      <c r="E775" s="1">
        <f>_xlfn.IFNA(VLOOKUP('Comp X - Kilter'!B775,'Kilter Holds'!$P$36:$AB$370,13,0),0)</f>
        <v>0</v>
      </c>
      <c r="G775" s="2">
        <f t="shared" si="83"/>
        <v>0</v>
      </c>
      <c r="H775" s="2">
        <f t="shared" si="84"/>
        <v>0</v>
      </c>
    </row>
    <row r="776" spans="2:8">
      <c r="B776" t="s">
        <v>1679</v>
      </c>
      <c r="C776" t="s">
        <v>1689</v>
      </c>
      <c r="D776" s="5" t="str">
        <f t="shared" ref="D776:D784" si="85">D695</f>
        <v>11-12</v>
      </c>
      <c r="E776" s="1">
        <f>_xlfn.IFNA(VLOOKUP('Comp X - Kilter'!B776,'Kilter Holds'!$P$36:$AB$370,5,0),0)</f>
        <v>1</v>
      </c>
      <c r="G776" s="2">
        <f t="shared" si="57"/>
        <v>0</v>
      </c>
      <c r="H776" s="2">
        <f t="shared" si="58"/>
        <v>0</v>
      </c>
    </row>
    <row r="777" spans="2:8">
      <c r="B777" t="s">
        <v>1679</v>
      </c>
      <c r="C777" t="s">
        <v>1689</v>
      </c>
      <c r="D777" s="6" t="str">
        <f t="shared" si="85"/>
        <v>14-01</v>
      </c>
      <c r="E777" s="1">
        <f>_xlfn.IFNA(VLOOKUP('Comp X - Kilter'!B777,'Kilter Holds'!$P$36:$AB$370,6,0),0)</f>
        <v>0</v>
      </c>
      <c r="G777" s="2">
        <f t="shared" si="57"/>
        <v>0</v>
      </c>
      <c r="H777" s="2">
        <f t="shared" si="58"/>
        <v>0</v>
      </c>
    </row>
    <row r="778" spans="2:8">
      <c r="B778" t="s">
        <v>1679</v>
      </c>
      <c r="C778" t="s">
        <v>1689</v>
      </c>
      <c r="D778" s="7" t="str">
        <f t="shared" si="85"/>
        <v>15-12</v>
      </c>
      <c r="E778" s="1">
        <f>_xlfn.IFNA(VLOOKUP('Comp X - Kilter'!B778,'Kilter Holds'!$P$36:$AB$370,7,0),0)</f>
        <v>2</v>
      </c>
      <c r="G778" s="2">
        <f t="shared" si="57"/>
        <v>0</v>
      </c>
      <c r="H778" s="2">
        <f t="shared" si="58"/>
        <v>0</v>
      </c>
    </row>
    <row r="779" spans="2:8">
      <c r="B779" t="s">
        <v>1679</v>
      </c>
      <c r="C779" t="s">
        <v>1689</v>
      </c>
      <c r="D779" s="8" t="str">
        <f t="shared" si="85"/>
        <v>16-16</v>
      </c>
      <c r="E779" s="1">
        <f>_xlfn.IFNA(VLOOKUP('Comp X - Kilter'!B779,'Kilter Holds'!$P$36:$AB$370,8,0),0)</f>
        <v>4</v>
      </c>
      <c r="G779" s="2">
        <f t="shared" si="57"/>
        <v>0</v>
      </c>
      <c r="H779" s="2">
        <f t="shared" si="58"/>
        <v>0</v>
      </c>
    </row>
    <row r="780" spans="2:8">
      <c r="B780" t="s">
        <v>1679</v>
      </c>
      <c r="C780" t="s">
        <v>1689</v>
      </c>
      <c r="D780" s="9" t="str">
        <f t="shared" si="85"/>
        <v>13-01</v>
      </c>
      <c r="E780" s="1">
        <f>_xlfn.IFNA(VLOOKUP('Comp X - Kilter'!B780,'Kilter Holds'!$P$36:$AB$370,9,0),0)</f>
        <v>6</v>
      </c>
      <c r="G780" s="2">
        <f t="shared" si="57"/>
        <v>0</v>
      </c>
      <c r="H780" s="2">
        <f t="shared" si="58"/>
        <v>0</v>
      </c>
    </row>
    <row r="781" spans="2:8">
      <c r="B781" t="s">
        <v>1679</v>
      </c>
      <c r="C781" t="s">
        <v>1689</v>
      </c>
      <c r="D781" s="10" t="str">
        <f t="shared" si="85"/>
        <v>07-13</v>
      </c>
      <c r="E781" s="1">
        <f>_xlfn.IFNA(VLOOKUP('Comp X - Kilter'!B781,'Kilter Holds'!$P$36:$AB$370,10,0),0)</f>
        <v>5</v>
      </c>
      <c r="G781" s="2">
        <f t="shared" si="57"/>
        <v>0</v>
      </c>
      <c r="H781" s="2">
        <f t="shared" si="58"/>
        <v>0</v>
      </c>
    </row>
    <row r="782" spans="2:8">
      <c r="B782" t="s">
        <v>1679</v>
      </c>
      <c r="C782" t="s">
        <v>1689</v>
      </c>
      <c r="D782" s="11" t="str">
        <f t="shared" si="85"/>
        <v>11-25</v>
      </c>
      <c r="E782" s="1">
        <f>_xlfn.IFNA(VLOOKUP('Comp X - Kilter'!B782,'Kilter Holds'!$P$36:$AB$370,11,0),0)</f>
        <v>0</v>
      </c>
      <c r="G782" s="2">
        <f t="shared" si="57"/>
        <v>0</v>
      </c>
      <c r="H782" s="2">
        <f t="shared" si="58"/>
        <v>0</v>
      </c>
    </row>
    <row r="783" spans="2:8">
      <c r="B783" t="s">
        <v>1679</v>
      </c>
      <c r="C783" t="s">
        <v>1689</v>
      </c>
      <c r="D783" s="13" t="str">
        <f t="shared" si="85"/>
        <v>18-01</v>
      </c>
      <c r="E783" s="1">
        <f>_xlfn.IFNA(VLOOKUP('Comp X - Kilter'!B783,'Kilter Holds'!$P$36:$AB$370,12,0),0)</f>
        <v>11</v>
      </c>
      <c r="G783" s="2">
        <f t="shared" si="57"/>
        <v>0</v>
      </c>
      <c r="H783" s="2">
        <f t="shared" si="58"/>
        <v>0</v>
      </c>
    </row>
    <row r="784" spans="2:8">
      <c r="B784" t="s">
        <v>1679</v>
      </c>
      <c r="C784" t="s">
        <v>1689</v>
      </c>
      <c r="D784" s="12" t="str">
        <f t="shared" si="85"/>
        <v>12-01</v>
      </c>
      <c r="E784" s="1">
        <f>_xlfn.IFNA(VLOOKUP('Comp X - Kilter'!B784,'Kilter Holds'!$P$36:$AB$370,13,0),0)</f>
        <v>0</v>
      </c>
      <c r="G784" s="2">
        <f t="shared" si="57"/>
        <v>0</v>
      </c>
      <c r="H784" s="2">
        <f t="shared" si="58"/>
        <v>0</v>
      </c>
    </row>
    <row r="785" spans="2:8">
      <c r="B785" t="s">
        <v>1677</v>
      </c>
      <c r="C785" t="s">
        <v>1690</v>
      </c>
      <c r="D785" s="5" t="str">
        <f t="shared" si="34"/>
        <v>11-12</v>
      </c>
      <c r="E785" s="1">
        <f>_xlfn.IFNA(VLOOKUP('Comp X - Kilter'!B785,'Kilter Holds'!$P$36:$AB$370,5,0),0)</f>
        <v>5</v>
      </c>
      <c r="G785" s="2">
        <f t="shared" si="57"/>
        <v>0</v>
      </c>
      <c r="H785" s="2">
        <f t="shared" si="58"/>
        <v>0</v>
      </c>
    </row>
    <row r="786" spans="2:8">
      <c r="B786" t="s">
        <v>1677</v>
      </c>
      <c r="C786" t="s">
        <v>1690</v>
      </c>
      <c r="D786" s="6" t="str">
        <f t="shared" si="34"/>
        <v>14-01</v>
      </c>
      <c r="E786" s="1">
        <f>_xlfn.IFNA(VLOOKUP('Comp X - Kilter'!B786,'Kilter Holds'!$P$36:$AB$370,6,0),0)</f>
        <v>0</v>
      </c>
      <c r="G786" s="2">
        <f t="shared" si="57"/>
        <v>0</v>
      </c>
      <c r="H786" s="2">
        <f t="shared" si="58"/>
        <v>0</v>
      </c>
    </row>
    <row r="787" spans="2:8">
      <c r="B787" t="s">
        <v>1677</v>
      </c>
      <c r="C787" t="s">
        <v>1690</v>
      </c>
      <c r="D787" s="7" t="str">
        <f t="shared" si="34"/>
        <v>15-12</v>
      </c>
      <c r="E787" s="1">
        <f>_xlfn.IFNA(VLOOKUP('Comp X - Kilter'!B787,'Kilter Holds'!$P$36:$AB$370,7,0),0)</f>
        <v>4</v>
      </c>
      <c r="G787" s="2">
        <f t="shared" si="57"/>
        <v>0</v>
      </c>
      <c r="H787" s="2">
        <f t="shared" si="58"/>
        <v>0</v>
      </c>
    </row>
    <row r="788" spans="2:8">
      <c r="B788" t="s">
        <v>1677</v>
      </c>
      <c r="C788" t="s">
        <v>1690</v>
      </c>
      <c r="D788" s="8" t="str">
        <f t="shared" si="34"/>
        <v>16-16</v>
      </c>
      <c r="E788" s="1">
        <f>_xlfn.IFNA(VLOOKUP('Comp X - Kilter'!B788,'Kilter Holds'!$P$36:$AB$370,8,0),0)</f>
        <v>5</v>
      </c>
      <c r="G788" s="2">
        <f t="shared" si="57"/>
        <v>0</v>
      </c>
      <c r="H788" s="2">
        <f t="shared" si="58"/>
        <v>0</v>
      </c>
    </row>
    <row r="789" spans="2:8">
      <c r="B789" t="s">
        <v>1677</v>
      </c>
      <c r="C789" t="s">
        <v>1690</v>
      </c>
      <c r="D789" s="9" t="str">
        <f t="shared" si="34"/>
        <v>13-01</v>
      </c>
      <c r="E789" s="1">
        <f>_xlfn.IFNA(VLOOKUP('Comp X - Kilter'!B789,'Kilter Holds'!$P$36:$AB$370,9,0),0)</f>
        <v>5</v>
      </c>
      <c r="G789" s="2">
        <f t="shared" si="57"/>
        <v>0</v>
      </c>
      <c r="H789" s="2">
        <f t="shared" si="58"/>
        <v>0</v>
      </c>
    </row>
    <row r="790" spans="2:8">
      <c r="B790" t="s">
        <v>1677</v>
      </c>
      <c r="C790" t="s">
        <v>1690</v>
      </c>
      <c r="D790" s="10" t="str">
        <f t="shared" si="34"/>
        <v>07-13</v>
      </c>
      <c r="E790" s="1">
        <f>_xlfn.IFNA(VLOOKUP('Comp X - Kilter'!B790,'Kilter Holds'!$P$36:$AB$370,10,0),0)</f>
        <v>0</v>
      </c>
      <c r="G790" s="2">
        <f t="shared" si="57"/>
        <v>0</v>
      </c>
      <c r="H790" s="2">
        <f t="shared" si="58"/>
        <v>0</v>
      </c>
    </row>
    <row r="791" spans="2:8">
      <c r="B791" t="s">
        <v>1677</v>
      </c>
      <c r="C791" t="s">
        <v>1690</v>
      </c>
      <c r="D791" s="11" t="str">
        <f t="shared" si="34"/>
        <v>11-25</v>
      </c>
      <c r="E791" s="1">
        <f>_xlfn.IFNA(VLOOKUP('Comp X - Kilter'!B791,'Kilter Holds'!$P$36:$AB$370,11,0),0)</f>
        <v>5</v>
      </c>
      <c r="G791" s="2">
        <f t="shared" si="57"/>
        <v>0</v>
      </c>
      <c r="H791" s="2">
        <f t="shared" si="58"/>
        <v>0</v>
      </c>
    </row>
    <row r="792" spans="2:8">
      <c r="B792" t="s">
        <v>1677</v>
      </c>
      <c r="C792" t="s">
        <v>1690</v>
      </c>
      <c r="D792" s="13" t="str">
        <f t="shared" si="34"/>
        <v>18-01</v>
      </c>
      <c r="E792" s="1">
        <f>_xlfn.IFNA(VLOOKUP('Comp X - Kilter'!B792,'Kilter Holds'!$P$36:$AB$370,12,0),0)</f>
        <v>5</v>
      </c>
      <c r="G792" s="2">
        <f t="shared" si="57"/>
        <v>0</v>
      </c>
      <c r="H792" s="2">
        <f t="shared" si="58"/>
        <v>0</v>
      </c>
    </row>
    <row r="793" spans="2:8">
      <c r="B793" t="s">
        <v>1677</v>
      </c>
      <c r="C793" t="s">
        <v>1690</v>
      </c>
      <c r="D793" s="12" t="str">
        <f t="shared" si="34"/>
        <v>12-01</v>
      </c>
      <c r="E793" s="1">
        <f>_xlfn.IFNA(VLOOKUP('Comp X - Kilter'!B793,'Kilter Holds'!$P$36:$AB$370,13,0),0)</f>
        <v>0</v>
      </c>
      <c r="G793" s="2">
        <f t="shared" si="57"/>
        <v>0</v>
      </c>
      <c r="H793" s="2">
        <f t="shared" si="58"/>
        <v>0</v>
      </c>
    </row>
    <row r="794" spans="2:8">
      <c r="B794" t="s">
        <v>1674</v>
      </c>
      <c r="C794" t="s">
        <v>1675</v>
      </c>
      <c r="D794" s="5" t="str">
        <f t="shared" ref="D794:D820" si="86">D560</f>
        <v>11-12</v>
      </c>
      <c r="E794" s="1">
        <f>_xlfn.IFNA(VLOOKUP('Comp X - Kilter'!B794,'Kilter Holds'!$P$36:$AB$370,5,0),0)</f>
        <v>3</v>
      </c>
      <c r="G794" s="2">
        <f t="shared" ref="G794:G802" si="87">E794*F794</f>
        <v>0</v>
      </c>
      <c r="H794" s="2">
        <f t="shared" ref="H794:H802" si="88">IF($S$11="Y",G794*0.15,0)</f>
        <v>0</v>
      </c>
    </row>
    <row r="795" spans="2:8">
      <c r="B795" t="s">
        <v>1674</v>
      </c>
      <c r="C795" t="s">
        <v>1675</v>
      </c>
      <c r="D795" s="6" t="str">
        <f t="shared" si="86"/>
        <v>14-01</v>
      </c>
      <c r="E795" s="1">
        <f>_xlfn.IFNA(VLOOKUP('Comp X - Kilter'!B795,'Kilter Holds'!$P$36:$AB$370,6,0),0)</f>
        <v>0</v>
      </c>
      <c r="G795" s="2">
        <f t="shared" si="87"/>
        <v>0</v>
      </c>
      <c r="H795" s="2">
        <f t="shared" si="88"/>
        <v>0</v>
      </c>
    </row>
    <row r="796" spans="2:8">
      <c r="B796" t="s">
        <v>1674</v>
      </c>
      <c r="C796" t="s">
        <v>1675</v>
      </c>
      <c r="D796" s="7" t="str">
        <f t="shared" si="86"/>
        <v>15-12</v>
      </c>
      <c r="E796" s="1">
        <f>_xlfn.IFNA(VLOOKUP('Comp X - Kilter'!B796,'Kilter Holds'!$P$36:$AB$370,7,0),0)</f>
        <v>10</v>
      </c>
      <c r="G796" s="2">
        <f t="shared" si="87"/>
        <v>0</v>
      </c>
      <c r="H796" s="2">
        <f t="shared" si="88"/>
        <v>0</v>
      </c>
    </row>
    <row r="797" spans="2:8">
      <c r="B797" t="s">
        <v>1674</v>
      </c>
      <c r="C797" t="s">
        <v>1675</v>
      </c>
      <c r="D797" s="8" t="str">
        <f t="shared" si="86"/>
        <v>16-16</v>
      </c>
      <c r="E797" s="1">
        <f>_xlfn.IFNA(VLOOKUP('Comp X - Kilter'!B797,'Kilter Holds'!$P$36:$AB$370,8,0),0)</f>
        <v>3</v>
      </c>
      <c r="G797" s="2">
        <f t="shared" si="87"/>
        <v>0</v>
      </c>
      <c r="H797" s="2">
        <f t="shared" si="88"/>
        <v>0</v>
      </c>
    </row>
    <row r="798" spans="2:8">
      <c r="B798" t="s">
        <v>1674</v>
      </c>
      <c r="C798" t="s">
        <v>1675</v>
      </c>
      <c r="D798" s="9" t="str">
        <f t="shared" si="86"/>
        <v>13-01</v>
      </c>
      <c r="E798" s="1">
        <f>_xlfn.IFNA(VLOOKUP('Comp X - Kilter'!B798,'Kilter Holds'!$P$36:$AB$370,9,0),0)</f>
        <v>9</v>
      </c>
      <c r="G798" s="2">
        <f t="shared" si="87"/>
        <v>0</v>
      </c>
      <c r="H798" s="2">
        <f t="shared" si="88"/>
        <v>0</v>
      </c>
    </row>
    <row r="799" spans="2:8">
      <c r="B799" t="s">
        <v>1674</v>
      </c>
      <c r="C799" t="s">
        <v>1675</v>
      </c>
      <c r="D799" s="10" t="str">
        <f t="shared" si="86"/>
        <v>07-13</v>
      </c>
      <c r="E799" s="1">
        <f>_xlfn.IFNA(VLOOKUP('Comp X - Kilter'!B799,'Kilter Holds'!$P$36:$AB$370,10,0),0)</f>
        <v>6</v>
      </c>
      <c r="G799" s="2">
        <f t="shared" si="87"/>
        <v>0</v>
      </c>
      <c r="H799" s="2">
        <f t="shared" si="88"/>
        <v>0</v>
      </c>
    </row>
    <row r="800" spans="2:8">
      <c r="B800" t="s">
        <v>1674</v>
      </c>
      <c r="C800" t="s">
        <v>1675</v>
      </c>
      <c r="D800" s="11" t="str">
        <f t="shared" si="86"/>
        <v>11-25</v>
      </c>
      <c r="E800" s="1">
        <f>_xlfn.IFNA(VLOOKUP('Comp X - Kilter'!B800,'Kilter Holds'!$P$36:$AB$370,11,0),0)</f>
        <v>3</v>
      </c>
      <c r="G800" s="2">
        <f t="shared" si="87"/>
        <v>0</v>
      </c>
      <c r="H800" s="2">
        <f t="shared" si="88"/>
        <v>0</v>
      </c>
    </row>
    <row r="801" spans="2:8">
      <c r="B801" t="s">
        <v>1674</v>
      </c>
      <c r="C801" t="s">
        <v>1675</v>
      </c>
      <c r="D801" s="13" t="str">
        <f t="shared" si="86"/>
        <v>18-01</v>
      </c>
      <c r="E801" s="1">
        <f>_xlfn.IFNA(VLOOKUP('Comp X - Kilter'!B801,'Kilter Holds'!$P$36:$AB$370,12,0),0)</f>
        <v>10</v>
      </c>
      <c r="G801" s="2">
        <f t="shared" si="87"/>
        <v>0</v>
      </c>
      <c r="H801" s="2">
        <f t="shared" si="88"/>
        <v>0</v>
      </c>
    </row>
    <row r="802" spans="2:8">
      <c r="B802" t="s">
        <v>1674</v>
      </c>
      <c r="C802" t="s">
        <v>1675</v>
      </c>
      <c r="D802" s="12" t="str">
        <f t="shared" si="86"/>
        <v>12-01</v>
      </c>
      <c r="E802" s="1">
        <f>_xlfn.IFNA(VLOOKUP('Comp X - Kilter'!B802,'Kilter Holds'!$P$36:$AB$370,13,0),0)</f>
        <v>0</v>
      </c>
      <c r="G802" s="2">
        <f t="shared" si="87"/>
        <v>0</v>
      </c>
      <c r="H802" s="2">
        <f t="shared" si="88"/>
        <v>0</v>
      </c>
    </row>
    <row r="803" spans="2:8">
      <c r="B803" t="s">
        <v>2200</v>
      </c>
      <c r="C803" t="s">
        <v>2201</v>
      </c>
      <c r="D803" s="5" t="str">
        <f t="shared" si="86"/>
        <v>11-12</v>
      </c>
      <c r="E803" s="1">
        <f>_xlfn.IFNA(VLOOKUP('Comp X - Kilter'!B803,'Kilter Holds'!$P$36:$AB$370,5,0),0)</f>
        <v>3</v>
      </c>
      <c r="G803" s="2">
        <f t="shared" ref="G803:G820" si="89">E803*F803</f>
        <v>0</v>
      </c>
      <c r="H803" s="2">
        <f t="shared" ref="H803:H820" si="90">IF($S$11="Y",G803*0.15,0)</f>
        <v>0</v>
      </c>
    </row>
    <row r="804" spans="2:8">
      <c r="B804" t="s">
        <v>2200</v>
      </c>
      <c r="C804" t="s">
        <v>2201</v>
      </c>
      <c r="D804" s="6" t="str">
        <f t="shared" si="86"/>
        <v>14-01</v>
      </c>
      <c r="E804" s="1">
        <f>_xlfn.IFNA(VLOOKUP('Comp X - Kilter'!B804,'Kilter Holds'!$P$36:$AB$370,6,0),0)</f>
        <v>0</v>
      </c>
      <c r="G804" s="2">
        <f t="shared" si="89"/>
        <v>0</v>
      </c>
      <c r="H804" s="2">
        <f t="shared" si="90"/>
        <v>0</v>
      </c>
    </row>
    <row r="805" spans="2:8">
      <c r="B805" t="s">
        <v>2200</v>
      </c>
      <c r="C805" t="s">
        <v>2201</v>
      </c>
      <c r="D805" s="7" t="str">
        <f t="shared" si="86"/>
        <v>15-12</v>
      </c>
      <c r="E805" s="1">
        <f>_xlfn.IFNA(VLOOKUP('Comp X - Kilter'!B805,'Kilter Holds'!$P$36:$AB$370,7,0),0)</f>
        <v>10</v>
      </c>
      <c r="G805" s="2">
        <f t="shared" si="89"/>
        <v>0</v>
      </c>
      <c r="H805" s="2">
        <f t="shared" si="90"/>
        <v>0</v>
      </c>
    </row>
    <row r="806" spans="2:8">
      <c r="B806" t="s">
        <v>2200</v>
      </c>
      <c r="C806" t="s">
        <v>2201</v>
      </c>
      <c r="D806" s="8" t="str">
        <f t="shared" si="86"/>
        <v>16-16</v>
      </c>
      <c r="E806" s="1">
        <f>_xlfn.IFNA(VLOOKUP('Comp X - Kilter'!B806,'Kilter Holds'!$P$36:$AB$370,8,0),0)</f>
        <v>3</v>
      </c>
      <c r="G806" s="2">
        <f t="shared" si="89"/>
        <v>0</v>
      </c>
      <c r="H806" s="2">
        <f t="shared" si="90"/>
        <v>0</v>
      </c>
    </row>
    <row r="807" spans="2:8">
      <c r="B807" t="s">
        <v>2200</v>
      </c>
      <c r="C807" t="s">
        <v>2201</v>
      </c>
      <c r="D807" s="9" t="str">
        <f t="shared" si="86"/>
        <v>13-01</v>
      </c>
      <c r="E807" s="1">
        <f>_xlfn.IFNA(VLOOKUP('Comp X - Kilter'!B807,'Kilter Holds'!$P$36:$AB$370,9,0),0)</f>
        <v>8</v>
      </c>
      <c r="G807" s="2">
        <f t="shared" si="89"/>
        <v>0</v>
      </c>
      <c r="H807" s="2">
        <f t="shared" si="90"/>
        <v>0</v>
      </c>
    </row>
    <row r="808" spans="2:8">
      <c r="B808" t="s">
        <v>2200</v>
      </c>
      <c r="C808" t="s">
        <v>2201</v>
      </c>
      <c r="D808" s="10" t="str">
        <f t="shared" si="86"/>
        <v>07-13</v>
      </c>
      <c r="E808" s="1">
        <f>_xlfn.IFNA(VLOOKUP('Comp X - Kilter'!B808,'Kilter Holds'!$P$36:$AB$370,10,0),0)</f>
        <v>0</v>
      </c>
      <c r="G808" s="2">
        <f t="shared" si="89"/>
        <v>0</v>
      </c>
      <c r="H808" s="2">
        <f t="shared" si="90"/>
        <v>0</v>
      </c>
    </row>
    <row r="809" spans="2:8">
      <c r="B809" t="s">
        <v>2200</v>
      </c>
      <c r="C809" t="s">
        <v>2201</v>
      </c>
      <c r="D809" s="11" t="str">
        <f t="shared" si="86"/>
        <v>11-25</v>
      </c>
      <c r="E809" s="1">
        <f>_xlfn.IFNA(VLOOKUP('Comp X - Kilter'!B809,'Kilter Holds'!$P$36:$AB$370,11,0),0)</f>
        <v>0</v>
      </c>
      <c r="G809" s="2">
        <f t="shared" si="89"/>
        <v>0</v>
      </c>
      <c r="H809" s="2">
        <f t="shared" si="90"/>
        <v>0</v>
      </c>
    </row>
    <row r="810" spans="2:8">
      <c r="B810" t="s">
        <v>2200</v>
      </c>
      <c r="C810" t="s">
        <v>2201</v>
      </c>
      <c r="D810" s="13" t="str">
        <f t="shared" si="86"/>
        <v>18-01</v>
      </c>
      <c r="E810" s="1">
        <f>_xlfn.IFNA(VLOOKUP('Comp X - Kilter'!B810,'Kilter Holds'!$P$36:$AB$370,12,0),0)</f>
        <v>13</v>
      </c>
      <c r="G810" s="2">
        <f t="shared" si="89"/>
        <v>0</v>
      </c>
      <c r="H810" s="2">
        <f t="shared" si="90"/>
        <v>0</v>
      </c>
    </row>
    <row r="811" spans="2:8">
      <c r="B811" t="s">
        <v>2200</v>
      </c>
      <c r="C811" t="s">
        <v>2201</v>
      </c>
      <c r="D811" s="12" t="str">
        <f t="shared" si="86"/>
        <v>12-01</v>
      </c>
      <c r="E811" s="1">
        <f>_xlfn.IFNA(VLOOKUP('Comp X - Kilter'!B811,'Kilter Holds'!$P$36:$AB$370,13,0),0)</f>
        <v>0</v>
      </c>
      <c r="G811" s="2">
        <f t="shared" si="89"/>
        <v>0</v>
      </c>
      <c r="H811" s="2">
        <f t="shared" si="90"/>
        <v>0</v>
      </c>
    </row>
    <row r="812" spans="2:8">
      <c r="B812" t="s">
        <v>2199</v>
      </c>
      <c r="C812" t="s">
        <v>2202</v>
      </c>
      <c r="D812" s="5" t="str">
        <f t="shared" si="86"/>
        <v>11-12</v>
      </c>
      <c r="E812" s="1">
        <f>_xlfn.IFNA(VLOOKUP('Comp X - Kilter'!B812,'Kilter Holds'!$P$36:$AB$370,5,0),0)</f>
        <v>3</v>
      </c>
      <c r="G812" s="2">
        <f t="shared" si="89"/>
        <v>0</v>
      </c>
      <c r="H812" s="2">
        <f t="shared" si="90"/>
        <v>0</v>
      </c>
    </row>
    <row r="813" spans="2:8">
      <c r="B813" t="s">
        <v>2199</v>
      </c>
      <c r="C813" t="s">
        <v>2202</v>
      </c>
      <c r="D813" s="6" t="str">
        <f t="shared" si="86"/>
        <v>14-01</v>
      </c>
      <c r="E813" s="1">
        <f>_xlfn.IFNA(VLOOKUP('Comp X - Kilter'!B813,'Kilter Holds'!$P$36:$AB$370,6,0),0)</f>
        <v>3</v>
      </c>
      <c r="G813" s="2">
        <f t="shared" si="89"/>
        <v>0</v>
      </c>
      <c r="H813" s="2">
        <f t="shared" si="90"/>
        <v>0</v>
      </c>
    </row>
    <row r="814" spans="2:8">
      <c r="B814" t="s">
        <v>2199</v>
      </c>
      <c r="C814" t="s">
        <v>2202</v>
      </c>
      <c r="D814" s="7" t="str">
        <f t="shared" si="86"/>
        <v>15-12</v>
      </c>
      <c r="E814" s="1">
        <f>_xlfn.IFNA(VLOOKUP('Comp X - Kilter'!B814,'Kilter Holds'!$P$36:$AB$370,7,0),0)</f>
        <v>2</v>
      </c>
      <c r="G814" s="2">
        <f t="shared" si="89"/>
        <v>0</v>
      </c>
      <c r="H814" s="2">
        <f t="shared" si="90"/>
        <v>0</v>
      </c>
    </row>
    <row r="815" spans="2:8">
      <c r="B815" t="s">
        <v>2199</v>
      </c>
      <c r="C815" t="s">
        <v>2202</v>
      </c>
      <c r="D815" s="8" t="str">
        <f t="shared" si="86"/>
        <v>16-16</v>
      </c>
      <c r="E815" s="1">
        <f>_xlfn.IFNA(VLOOKUP('Comp X - Kilter'!B815,'Kilter Holds'!$P$36:$AB$370,8,0),0)</f>
        <v>0</v>
      </c>
      <c r="G815" s="2">
        <f t="shared" si="89"/>
        <v>0</v>
      </c>
      <c r="H815" s="2">
        <f t="shared" si="90"/>
        <v>0</v>
      </c>
    </row>
    <row r="816" spans="2:8">
      <c r="B816" t="s">
        <v>2199</v>
      </c>
      <c r="C816" t="s">
        <v>2202</v>
      </c>
      <c r="D816" s="9" t="str">
        <f t="shared" si="86"/>
        <v>13-01</v>
      </c>
      <c r="E816" s="1">
        <f>_xlfn.IFNA(VLOOKUP('Comp X - Kilter'!B816,'Kilter Holds'!$P$36:$AB$370,9,0),0)</f>
        <v>0</v>
      </c>
      <c r="G816" s="2">
        <f t="shared" si="89"/>
        <v>0</v>
      </c>
      <c r="H816" s="2">
        <f t="shared" si="90"/>
        <v>0</v>
      </c>
    </row>
    <row r="817" spans="2:8">
      <c r="B817" t="s">
        <v>2199</v>
      </c>
      <c r="C817" t="s">
        <v>2202</v>
      </c>
      <c r="D817" s="10" t="str">
        <f t="shared" si="86"/>
        <v>07-13</v>
      </c>
      <c r="E817" s="1">
        <f>_xlfn.IFNA(VLOOKUP('Comp X - Kilter'!B817,'Kilter Holds'!$P$36:$AB$370,10,0),0)</f>
        <v>3</v>
      </c>
      <c r="G817" s="2">
        <f t="shared" si="89"/>
        <v>0</v>
      </c>
      <c r="H817" s="2">
        <f t="shared" si="90"/>
        <v>0</v>
      </c>
    </row>
    <row r="818" spans="2:8">
      <c r="B818" t="s">
        <v>2199</v>
      </c>
      <c r="C818" t="s">
        <v>2202</v>
      </c>
      <c r="D818" s="11" t="str">
        <f t="shared" si="86"/>
        <v>11-25</v>
      </c>
      <c r="E818" s="1">
        <f>_xlfn.IFNA(VLOOKUP('Comp X - Kilter'!B818,'Kilter Holds'!$P$36:$AB$370,11,0),0)</f>
        <v>0</v>
      </c>
      <c r="G818" s="2">
        <f t="shared" si="89"/>
        <v>0</v>
      </c>
      <c r="H818" s="2">
        <f t="shared" si="90"/>
        <v>0</v>
      </c>
    </row>
    <row r="819" spans="2:8">
      <c r="B819" t="s">
        <v>2199</v>
      </c>
      <c r="C819" t="s">
        <v>2202</v>
      </c>
      <c r="D819" s="13" t="str">
        <f t="shared" si="86"/>
        <v>18-01</v>
      </c>
      <c r="E819" s="1">
        <f>_xlfn.IFNA(VLOOKUP('Comp X - Kilter'!B819,'Kilter Holds'!$P$36:$AB$370,12,0),0)</f>
        <v>6</v>
      </c>
      <c r="G819" s="2">
        <f t="shared" si="89"/>
        <v>0</v>
      </c>
      <c r="H819" s="2">
        <f t="shared" si="90"/>
        <v>0</v>
      </c>
    </row>
    <row r="820" spans="2:8">
      <c r="B820" t="s">
        <v>2199</v>
      </c>
      <c r="C820" t="s">
        <v>2202</v>
      </c>
      <c r="D820" s="12" t="str">
        <f t="shared" si="86"/>
        <v>12-01</v>
      </c>
      <c r="E820" s="1">
        <f>_xlfn.IFNA(VLOOKUP('Comp X - Kilter'!B820,'Kilter Holds'!$P$36:$AB$370,13,0),0)</f>
        <v>3</v>
      </c>
      <c r="G820" s="2">
        <f t="shared" si="89"/>
        <v>0</v>
      </c>
      <c r="H820" s="2">
        <f t="shared" si="90"/>
        <v>0</v>
      </c>
    </row>
    <row r="821" spans="2:8">
      <c r="B821" s="3" t="s">
        <v>1961</v>
      </c>
      <c r="C821" s="3" t="s">
        <v>1962</v>
      </c>
      <c r="D821" s="5" t="str">
        <f t="shared" ref="D821:D847" si="91">D569</f>
        <v>11-12</v>
      </c>
      <c r="E821" s="1">
        <f>_xlfn.IFNA(VLOOKUP('Comp X - Kilter'!B821,'Kilter Holds'!$P$36:$AB$370,5,0),0)</f>
        <v>4</v>
      </c>
      <c r="G821" s="2">
        <f t="shared" ref="G821:G829" si="92">E821*F821</f>
        <v>0</v>
      </c>
      <c r="H821" s="2">
        <f t="shared" ref="H821:H829" si="93">IF($S$11="Y",G821*0.15,0)</f>
        <v>0</v>
      </c>
    </row>
    <row r="822" spans="2:8">
      <c r="B822" s="3" t="s">
        <v>1961</v>
      </c>
      <c r="C822" s="3" t="s">
        <v>1962</v>
      </c>
      <c r="D822" s="6" t="str">
        <f t="shared" si="91"/>
        <v>14-01</v>
      </c>
      <c r="E822" s="1">
        <f>_xlfn.IFNA(VLOOKUP('Comp X - Kilter'!B822,'Kilter Holds'!$P$36:$AB$370,6,0),0)</f>
        <v>0</v>
      </c>
      <c r="G822" s="2">
        <f t="shared" si="92"/>
        <v>0</v>
      </c>
      <c r="H822" s="2">
        <f t="shared" si="93"/>
        <v>0</v>
      </c>
    </row>
    <row r="823" spans="2:8">
      <c r="B823" s="3" t="s">
        <v>1961</v>
      </c>
      <c r="C823" s="3" t="s">
        <v>1962</v>
      </c>
      <c r="D823" s="7" t="str">
        <f t="shared" si="91"/>
        <v>15-12</v>
      </c>
      <c r="E823" s="1">
        <f>_xlfn.IFNA(VLOOKUP('Comp X - Kilter'!B823,'Kilter Holds'!$P$36:$AB$370,7,0),0)</f>
        <v>4</v>
      </c>
      <c r="G823" s="2">
        <f t="shared" si="92"/>
        <v>0</v>
      </c>
      <c r="H823" s="2">
        <f t="shared" si="93"/>
        <v>0</v>
      </c>
    </row>
    <row r="824" spans="2:8">
      <c r="B824" s="3" t="s">
        <v>1961</v>
      </c>
      <c r="C824" s="3" t="s">
        <v>1962</v>
      </c>
      <c r="D824" s="8" t="str">
        <f t="shared" si="91"/>
        <v>16-16</v>
      </c>
      <c r="E824" s="1">
        <f>_xlfn.IFNA(VLOOKUP('Comp X - Kilter'!B824,'Kilter Holds'!$P$36:$AB$370,8,0),0)</f>
        <v>9</v>
      </c>
      <c r="G824" s="2">
        <f t="shared" si="92"/>
        <v>0</v>
      </c>
      <c r="H824" s="2">
        <f t="shared" si="93"/>
        <v>0</v>
      </c>
    </row>
    <row r="825" spans="2:8">
      <c r="B825" s="3" t="s">
        <v>1961</v>
      </c>
      <c r="C825" s="3" t="s">
        <v>1962</v>
      </c>
      <c r="D825" s="9" t="str">
        <f t="shared" si="91"/>
        <v>13-01</v>
      </c>
      <c r="E825" s="1">
        <f>_xlfn.IFNA(VLOOKUP('Comp X - Kilter'!B825,'Kilter Holds'!$P$36:$AB$370,9,0),0)</f>
        <v>9</v>
      </c>
      <c r="G825" s="2">
        <f t="shared" si="92"/>
        <v>0</v>
      </c>
      <c r="H825" s="2">
        <f t="shared" si="93"/>
        <v>0</v>
      </c>
    </row>
    <row r="826" spans="2:8">
      <c r="B826" s="3" t="s">
        <v>1961</v>
      </c>
      <c r="C826" s="3" t="s">
        <v>1962</v>
      </c>
      <c r="D826" s="10" t="str">
        <f t="shared" si="91"/>
        <v>07-13</v>
      </c>
      <c r="E826" s="1">
        <f>_xlfn.IFNA(VLOOKUP('Comp X - Kilter'!B826,'Kilter Holds'!$P$36:$AB$370,10,0),0)</f>
        <v>5</v>
      </c>
      <c r="G826" s="2">
        <f t="shared" si="92"/>
        <v>0</v>
      </c>
      <c r="H826" s="2">
        <f t="shared" si="93"/>
        <v>0</v>
      </c>
    </row>
    <row r="827" spans="2:8">
      <c r="B827" s="3" t="s">
        <v>1961</v>
      </c>
      <c r="C827" s="3" t="s">
        <v>1962</v>
      </c>
      <c r="D827" s="11" t="str">
        <f t="shared" si="91"/>
        <v>11-25</v>
      </c>
      <c r="E827" s="1">
        <f>_xlfn.IFNA(VLOOKUP('Comp X - Kilter'!B827,'Kilter Holds'!$P$36:$AB$370,11,0),0)</f>
        <v>5</v>
      </c>
      <c r="G827" s="2">
        <f t="shared" si="92"/>
        <v>0</v>
      </c>
      <c r="H827" s="2">
        <f t="shared" si="93"/>
        <v>0</v>
      </c>
    </row>
    <row r="828" spans="2:8">
      <c r="B828" s="3" t="s">
        <v>1961</v>
      </c>
      <c r="C828" s="3" t="s">
        <v>1962</v>
      </c>
      <c r="D828" s="13" t="str">
        <f t="shared" si="91"/>
        <v>18-01</v>
      </c>
      <c r="E828" s="1">
        <f>_xlfn.IFNA(VLOOKUP('Comp X - Kilter'!B828,'Kilter Holds'!$P$36:$AB$370,12,0),0)</f>
        <v>10</v>
      </c>
      <c r="G828" s="2">
        <f t="shared" si="92"/>
        <v>0</v>
      </c>
      <c r="H828" s="2">
        <f t="shared" si="93"/>
        <v>0</v>
      </c>
    </row>
    <row r="829" spans="2:8">
      <c r="B829" s="3" t="s">
        <v>1961</v>
      </c>
      <c r="C829" s="3" t="s">
        <v>1962</v>
      </c>
      <c r="D829" s="12" t="str">
        <f t="shared" si="91"/>
        <v>12-01</v>
      </c>
      <c r="E829" s="1">
        <f>_xlfn.IFNA(VLOOKUP('Comp X - Kilter'!B829,'Kilter Holds'!$P$36:$AB$370,13,0),0)</f>
        <v>0</v>
      </c>
      <c r="G829" s="2">
        <f t="shared" si="92"/>
        <v>0</v>
      </c>
      <c r="H829" s="2">
        <f t="shared" si="93"/>
        <v>0</v>
      </c>
    </row>
    <row r="830" spans="2:8">
      <c r="B830" s="3" t="s">
        <v>2095</v>
      </c>
      <c r="C830" s="3" t="s">
        <v>2097</v>
      </c>
      <c r="D830" s="5" t="str">
        <f t="shared" si="91"/>
        <v>11-12</v>
      </c>
      <c r="E830" s="1">
        <f>_xlfn.IFNA(VLOOKUP('Comp X - Kilter'!B830,'Kilter Holds'!$P$36:$AB$370,5,0),0)</f>
        <v>9</v>
      </c>
      <c r="G830" s="2">
        <f t="shared" ref="G830:G838" si="94">E830*F830</f>
        <v>0</v>
      </c>
      <c r="H830" s="2">
        <f t="shared" ref="H830:H838" si="95">IF($S$11="Y",G830*0.15,0)</f>
        <v>0</v>
      </c>
    </row>
    <row r="831" spans="2:8">
      <c r="B831" s="3" t="s">
        <v>2095</v>
      </c>
      <c r="C831" s="3" t="s">
        <v>2097</v>
      </c>
      <c r="D831" s="6" t="str">
        <f t="shared" si="91"/>
        <v>14-01</v>
      </c>
      <c r="E831" s="1">
        <f>_xlfn.IFNA(VLOOKUP('Comp X - Kilter'!B831,'Kilter Holds'!$P$36:$AB$370,6,0),0)</f>
        <v>0</v>
      </c>
      <c r="G831" s="2">
        <f t="shared" si="94"/>
        <v>0</v>
      </c>
      <c r="H831" s="2">
        <f t="shared" si="95"/>
        <v>0</v>
      </c>
    </row>
    <row r="832" spans="2:8">
      <c r="B832" s="3" t="s">
        <v>2095</v>
      </c>
      <c r="C832" s="3" t="s">
        <v>2097</v>
      </c>
      <c r="D832" s="7" t="str">
        <f t="shared" si="91"/>
        <v>15-12</v>
      </c>
      <c r="E832" s="1">
        <f>_xlfn.IFNA(VLOOKUP('Comp X - Kilter'!B832,'Kilter Holds'!$P$36:$AB$370,7,0),0)</f>
        <v>9</v>
      </c>
      <c r="G832" s="2">
        <f t="shared" si="94"/>
        <v>0</v>
      </c>
      <c r="H832" s="2">
        <f t="shared" si="95"/>
        <v>0</v>
      </c>
    </row>
    <row r="833" spans="2:8">
      <c r="B833" s="3" t="s">
        <v>2095</v>
      </c>
      <c r="C833" s="3" t="s">
        <v>2097</v>
      </c>
      <c r="D833" s="8" t="str">
        <f t="shared" si="91"/>
        <v>16-16</v>
      </c>
      <c r="E833" s="1">
        <f>_xlfn.IFNA(VLOOKUP('Comp X - Kilter'!B833,'Kilter Holds'!$P$36:$AB$370,8,0),0)</f>
        <v>8</v>
      </c>
      <c r="G833" s="2">
        <f t="shared" si="94"/>
        <v>0</v>
      </c>
      <c r="H833" s="2">
        <f t="shared" si="95"/>
        <v>0</v>
      </c>
    </row>
    <row r="834" spans="2:8">
      <c r="B834" s="3" t="s">
        <v>2095</v>
      </c>
      <c r="C834" s="3" t="s">
        <v>2097</v>
      </c>
      <c r="D834" s="9" t="str">
        <f t="shared" si="91"/>
        <v>13-01</v>
      </c>
      <c r="E834" s="1">
        <f>_xlfn.IFNA(VLOOKUP('Comp X - Kilter'!B834,'Kilter Holds'!$P$36:$AB$370,9,0),0)</f>
        <v>8</v>
      </c>
      <c r="G834" s="2">
        <f t="shared" si="94"/>
        <v>0</v>
      </c>
      <c r="H834" s="2">
        <f t="shared" si="95"/>
        <v>0</v>
      </c>
    </row>
    <row r="835" spans="2:8">
      <c r="B835" s="3" t="s">
        <v>2095</v>
      </c>
      <c r="C835" s="3" t="s">
        <v>2097</v>
      </c>
      <c r="D835" s="10" t="str">
        <f t="shared" si="91"/>
        <v>07-13</v>
      </c>
      <c r="E835" s="1">
        <f>_xlfn.IFNA(VLOOKUP('Comp X - Kilter'!B835,'Kilter Holds'!$P$36:$AB$370,10,0),0)</f>
        <v>5</v>
      </c>
      <c r="G835" s="2">
        <f t="shared" si="94"/>
        <v>0</v>
      </c>
      <c r="H835" s="2">
        <f t="shared" si="95"/>
        <v>0</v>
      </c>
    </row>
    <row r="836" spans="2:8">
      <c r="B836" s="3" t="s">
        <v>2095</v>
      </c>
      <c r="C836" s="3" t="s">
        <v>2097</v>
      </c>
      <c r="D836" s="11" t="str">
        <f t="shared" si="91"/>
        <v>11-25</v>
      </c>
      <c r="E836" s="1">
        <f>_xlfn.IFNA(VLOOKUP('Comp X - Kilter'!B836,'Kilter Holds'!$P$36:$AB$370,11,0),0)</f>
        <v>5</v>
      </c>
      <c r="G836" s="2">
        <f t="shared" si="94"/>
        <v>0</v>
      </c>
      <c r="H836" s="2">
        <f t="shared" si="95"/>
        <v>0</v>
      </c>
    </row>
    <row r="837" spans="2:8">
      <c r="B837" s="3" t="s">
        <v>2095</v>
      </c>
      <c r="C837" s="3" t="s">
        <v>2097</v>
      </c>
      <c r="D837" s="13" t="str">
        <f t="shared" si="91"/>
        <v>18-01</v>
      </c>
      <c r="E837" s="1">
        <f>_xlfn.IFNA(VLOOKUP('Comp X - Kilter'!B837,'Kilter Holds'!$P$36:$AB$370,12,0),0)</f>
        <v>10</v>
      </c>
      <c r="G837" s="2">
        <f t="shared" si="94"/>
        <v>0</v>
      </c>
      <c r="H837" s="2">
        <f t="shared" si="95"/>
        <v>0</v>
      </c>
    </row>
    <row r="838" spans="2:8">
      <c r="B838" s="3" t="s">
        <v>2095</v>
      </c>
      <c r="C838" s="3" t="s">
        <v>2097</v>
      </c>
      <c r="D838" s="12" t="str">
        <f t="shared" si="91"/>
        <v>12-01</v>
      </c>
      <c r="E838" s="1">
        <f>_xlfn.IFNA(VLOOKUP('Comp X - Kilter'!B838,'Kilter Holds'!$P$36:$AB$370,13,0),0)</f>
        <v>0</v>
      </c>
      <c r="G838" s="2">
        <f t="shared" si="94"/>
        <v>0</v>
      </c>
      <c r="H838" s="2">
        <f t="shared" si="95"/>
        <v>0</v>
      </c>
    </row>
    <row r="839" spans="2:8">
      <c r="B839" s="3" t="s">
        <v>2349</v>
      </c>
      <c r="C839" s="3" t="s">
        <v>2351</v>
      </c>
      <c r="D839" s="5" t="str">
        <f t="shared" si="91"/>
        <v>11-12</v>
      </c>
      <c r="E839" s="1">
        <f>_xlfn.IFNA(VLOOKUP('Comp X - Kilter'!B839,'Kilter Holds'!$P$36:$AB$370,5,0),0)</f>
        <v>8</v>
      </c>
      <c r="G839" s="2">
        <f t="shared" ref="G839:G847" si="96">E839*F839</f>
        <v>0</v>
      </c>
      <c r="H839" s="2">
        <f t="shared" ref="H839:H847" si="97">IF($S$11="Y",G839*0.15,0)</f>
        <v>0</v>
      </c>
    </row>
    <row r="840" spans="2:8">
      <c r="B840" s="3" t="s">
        <v>2349</v>
      </c>
      <c r="C840" s="3" t="s">
        <v>2351</v>
      </c>
      <c r="D840" s="6" t="str">
        <f t="shared" si="91"/>
        <v>14-01</v>
      </c>
      <c r="E840" s="1">
        <f>_xlfn.IFNA(VLOOKUP('Comp X - Kilter'!B840,'Kilter Holds'!$P$36:$AB$370,6,0),0)</f>
        <v>0</v>
      </c>
      <c r="G840" s="2">
        <f t="shared" si="96"/>
        <v>0</v>
      </c>
      <c r="H840" s="2">
        <f t="shared" si="97"/>
        <v>0</v>
      </c>
    </row>
    <row r="841" spans="2:8">
      <c r="B841" s="3" t="s">
        <v>2349</v>
      </c>
      <c r="C841" s="3" t="s">
        <v>2351</v>
      </c>
      <c r="D841" s="7" t="str">
        <f t="shared" si="91"/>
        <v>15-12</v>
      </c>
      <c r="E841" s="1">
        <f>_xlfn.IFNA(VLOOKUP('Comp X - Kilter'!B841,'Kilter Holds'!$P$36:$AB$370,7,0),0)</f>
        <v>5</v>
      </c>
      <c r="G841" s="2">
        <f t="shared" si="96"/>
        <v>0</v>
      </c>
      <c r="H841" s="2">
        <f t="shared" si="97"/>
        <v>0</v>
      </c>
    </row>
    <row r="842" spans="2:8">
      <c r="B842" s="3" t="s">
        <v>2349</v>
      </c>
      <c r="C842" s="3" t="s">
        <v>2351</v>
      </c>
      <c r="D842" s="8" t="str">
        <f t="shared" si="91"/>
        <v>16-16</v>
      </c>
      <c r="E842" s="1">
        <f>_xlfn.IFNA(VLOOKUP('Comp X - Kilter'!B842,'Kilter Holds'!$P$36:$AB$370,8,0),0)</f>
        <v>9</v>
      </c>
      <c r="G842" s="2">
        <f t="shared" si="96"/>
        <v>0</v>
      </c>
      <c r="H842" s="2">
        <f t="shared" si="97"/>
        <v>0</v>
      </c>
    </row>
    <row r="843" spans="2:8">
      <c r="B843" s="3" t="s">
        <v>2349</v>
      </c>
      <c r="C843" s="3" t="s">
        <v>2351</v>
      </c>
      <c r="D843" s="9" t="str">
        <f t="shared" si="91"/>
        <v>13-01</v>
      </c>
      <c r="E843" s="1">
        <f>_xlfn.IFNA(VLOOKUP('Comp X - Kilter'!B843,'Kilter Holds'!$P$36:$AB$370,9,0),0)</f>
        <v>8</v>
      </c>
      <c r="G843" s="2">
        <f t="shared" si="96"/>
        <v>0</v>
      </c>
      <c r="H843" s="2">
        <f t="shared" si="97"/>
        <v>0</v>
      </c>
    </row>
    <row r="844" spans="2:8">
      <c r="B844" s="3" t="s">
        <v>2349</v>
      </c>
      <c r="C844" s="3" t="s">
        <v>2351</v>
      </c>
      <c r="D844" s="10" t="str">
        <f t="shared" si="91"/>
        <v>07-13</v>
      </c>
      <c r="E844" s="1">
        <f>_xlfn.IFNA(VLOOKUP('Comp X - Kilter'!B844,'Kilter Holds'!$P$36:$AB$370,10,0),0)</f>
        <v>0</v>
      </c>
      <c r="G844" s="2">
        <f t="shared" si="96"/>
        <v>0</v>
      </c>
      <c r="H844" s="2">
        <f t="shared" si="97"/>
        <v>0</v>
      </c>
    </row>
    <row r="845" spans="2:8">
      <c r="B845" s="3" t="s">
        <v>2349</v>
      </c>
      <c r="C845" s="3" t="s">
        <v>2351</v>
      </c>
      <c r="D845" s="11" t="str">
        <f t="shared" si="91"/>
        <v>11-25</v>
      </c>
      <c r="E845" s="1">
        <f>_xlfn.IFNA(VLOOKUP('Comp X - Kilter'!B845,'Kilter Holds'!$P$36:$AB$370,11,0),0)</f>
        <v>5</v>
      </c>
      <c r="G845" s="2">
        <f t="shared" si="96"/>
        <v>0</v>
      </c>
      <c r="H845" s="2">
        <f t="shared" si="97"/>
        <v>0</v>
      </c>
    </row>
    <row r="846" spans="2:8">
      <c r="B846" s="3" t="s">
        <v>2349</v>
      </c>
      <c r="C846" s="3" t="s">
        <v>2351</v>
      </c>
      <c r="D846" s="13" t="str">
        <f t="shared" si="91"/>
        <v>18-01</v>
      </c>
      <c r="E846" s="1">
        <f>_xlfn.IFNA(VLOOKUP('Comp X - Kilter'!B846,'Kilter Holds'!$P$36:$AB$370,12,0),0)</f>
        <v>12</v>
      </c>
      <c r="G846" s="2">
        <f t="shared" si="96"/>
        <v>0</v>
      </c>
      <c r="H846" s="2">
        <f t="shared" si="97"/>
        <v>0</v>
      </c>
    </row>
    <row r="847" spans="2:8">
      <c r="B847" s="3" t="s">
        <v>2349</v>
      </c>
      <c r="C847" s="3" t="s">
        <v>2351</v>
      </c>
      <c r="D847" s="12" t="str">
        <f t="shared" si="91"/>
        <v>12-01</v>
      </c>
      <c r="E847" s="1">
        <f>_xlfn.IFNA(VLOOKUP('Comp X - Kilter'!B847,'Kilter Holds'!$P$36:$AB$370,13,0),0)</f>
        <v>0</v>
      </c>
      <c r="G847" s="2">
        <f t="shared" si="96"/>
        <v>0</v>
      </c>
      <c r="H847" s="2">
        <f t="shared" si="97"/>
        <v>0</v>
      </c>
    </row>
    <row r="848" spans="2:8">
      <c r="B848" s="3" t="s">
        <v>2284</v>
      </c>
      <c r="C848" s="3" t="s">
        <v>2289</v>
      </c>
      <c r="D848" s="5" t="str">
        <f t="shared" ref="D848:D874" si="98">D587</f>
        <v>11-12</v>
      </c>
      <c r="E848" s="1">
        <f>_xlfn.IFNA(VLOOKUP('Comp X - Kilter'!B848,'Kilter Holds'!$P$36:$AB$370,5,0),0)</f>
        <v>5</v>
      </c>
      <c r="G848" s="2">
        <f t="shared" ref="G848:G892" si="99">E848*F848</f>
        <v>0</v>
      </c>
      <c r="H848" s="2">
        <f t="shared" ref="H848:H892" si="100">IF($S$11="Y",G848*0.15,0)</f>
        <v>0</v>
      </c>
    </row>
    <row r="849" spans="2:8">
      <c r="B849" s="3" t="s">
        <v>2284</v>
      </c>
      <c r="C849" s="3" t="s">
        <v>2289</v>
      </c>
      <c r="D849" s="6" t="str">
        <f t="shared" si="98"/>
        <v>14-01</v>
      </c>
      <c r="E849" s="1">
        <f>_xlfn.IFNA(VLOOKUP('Comp X - Kilter'!B849,'Kilter Holds'!$P$36:$AB$370,6,0),0)</f>
        <v>0</v>
      </c>
      <c r="G849" s="2">
        <f t="shared" si="99"/>
        <v>0</v>
      </c>
      <c r="H849" s="2">
        <f t="shared" si="100"/>
        <v>0</v>
      </c>
    </row>
    <row r="850" spans="2:8">
      <c r="B850" s="3" t="s">
        <v>2284</v>
      </c>
      <c r="C850" s="3" t="s">
        <v>2289</v>
      </c>
      <c r="D850" s="7" t="str">
        <f t="shared" si="98"/>
        <v>15-12</v>
      </c>
      <c r="E850" s="1">
        <f>_xlfn.IFNA(VLOOKUP('Comp X - Kilter'!B850,'Kilter Holds'!$P$36:$AB$370,7,0),0)</f>
        <v>9</v>
      </c>
      <c r="G850" s="2">
        <f t="shared" si="99"/>
        <v>0</v>
      </c>
      <c r="H850" s="2">
        <f t="shared" si="100"/>
        <v>0</v>
      </c>
    </row>
    <row r="851" spans="2:8">
      <c r="B851" s="3" t="s">
        <v>2284</v>
      </c>
      <c r="C851" s="3" t="s">
        <v>2289</v>
      </c>
      <c r="D851" s="8" t="str">
        <f t="shared" si="98"/>
        <v>16-16</v>
      </c>
      <c r="E851" s="1">
        <f>_xlfn.IFNA(VLOOKUP('Comp X - Kilter'!B851,'Kilter Holds'!$P$36:$AB$370,8,0),0)</f>
        <v>5</v>
      </c>
      <c r="G851" s="2">
        <f t="shared" si="99"/>
        <v>0</v>
      </c>
      <c r="H851" s="2">
        <f t="shared" si="100"/>
        <v>0</v>
      </c>
    </row>
    <row r="852" spans="2:8">
      <c r="B852" s="3" t="s">
        <v>2284</v>
      </c>
      <c r="C852" s="3" t="s">
        <v>2289</v>
      </c>
      <c r="D852" s="9" t="str">
        <f t="shared" si="98"/>
        <v>13-01</v>
      </c>
      <c r="E852" s="1">
        <f>_xlfn.IFNA(VLOOKUP('Comp X - Kilter'!B852,'Kilter Holds'!$P$36:$AB$370,9,0),0)</f>
        <v>4</v>
      </c>
      <c r="G852" s="2">
        <f t="shared" si="99"/>
        <v>0</v>
      </c>
      <c r="H852" s="2">
        <f t="shared" si="100"/>
        <v>0</v>
      </c>
    </row>
    <row r="853" spans="2:8">
      <c r="B853" s="3" t="s">
        <v>2284</v>
      </c>
      <c r="C853" s="3" t="s">
        <v>2289</v>
      </c>
      <c r="D853" s="10" t="str">
        <f t="shared" si="98"/>
        <v>07-13</v>
      </c>
      <c r="E853" s="1">
        <f>_xlfn.IFNA(VLOOKUP('Comp X - Kilter'!B853,'Kilter Holds'!$P$36:$AB$370,10,0),0)</f>
        <v>5</v>
      </c>
      <c r="G853" s="2">
        <f t="shared" si="99"/>
        <v>0</v>
      </c>
      <c r="H853" s="2">
        <f t="shared" si="100"/>
        <v>0</v>
      </c>
    </row>
    <row r="854" spans="2:8">
      <c r="B854" s="3" t="s">
        <v>2284</v>
      </c>
      <c r="C854" s="3" t="s">
        <v>2289</v>
      </c>
      <c r="D854" s="11" t="str">
        <f t="shared" si="98"/>
        <v>11-25</v>
      </c>
      <c r="E854" s="1">
        <f>_xlfn.IFNA(VLOOKUP('Comp X - Kilter'!B854,'Kilter Holds'!$P$36:$AB$370,11,0),0)</f>
        <v>0</v>
      </c>
      <c r="G854" s="2">
        <f t="shared" si="99"/>
        <v>0</v>
      </c>
      <c r="H854" s="2">
        <f t="shared" si="100"/>
        <v>0</v>
      </c>
    </row>
    <row r="855" spans="2:8">
      <c r="B855" s="3" t="s">
        <v>2284</v>
      </c>
      <c r="C855" s="3" t="s">
        <v>2289</v>
      </c>
      <c r="D855" s="13" t="str">
        <f t="shared" si="98"/>
        <v>18-01</v>
      </c>
      <c r="E855" s="1">
        <f>_xlfn.IFNA(VLOOKUP('Comp X - Kilter'!B855,'Kilter Holds'!$P$36:$AB$370,12,0),0)</f>
        <v>10</v>
      </c>
      <c r="G855" s="2">
        <f t="shared" si="99"/>
        <v>0</v>
      </c>
      <c r="H855" s="2">
        <f t="shared" si="100"/>
        <v>0</v>
      </c>
    </row>
    <row r="856" spans="2:8">
      <c r="B856" s="3" t="s">
        <v>2284</v>
      </c>
      <c r="C856" s="3" t="s">
        <v>2289</v>
      </c>
      <c r="D856" s="12" t="str">
        <f t="shared" si="98"/>
        <v>12-01</v>
      </c>
      <c r="E856" s="1">
        <f>_xlfn.IFNA(VLOOKUP('Comp X - Kilter'!B856,'Kilter Holds'!$P$36:$AB$370,13,0),0)</f>
        <v>0</v>
      </c>
      <c r="G856" s="2">
        <f t="shared" si="99"/>
        <v>0</v>
      </c>
      <c r="H856" s="2">
        <f t="shared" si="100"/>
        <v>0</v>
      </c>
    </row>
    <row r="857" spans="2:8">
      <c r="B857" s="3" t="s">
        <v>2288</v>
      </c>
      <c r="C857" s="3" t="s">
        <v>2290</v>
      </c>
      <c r="D857" s="5" t="str">
        <f t="shared" si="98"/>
        <v>11-12</v>
      </c>
      <c r="E857" s="1">
        <f>_xlfn.IFNA(VLOOKUP('Comp X - Kilter'!B857,'Kilter Holds'!$P$36:$AB$370,5,0),0)</f>
        <v>5</v>
      </c>
      <c r="G857" s="2">
        <f t="shared" si="99"/>
        <v>0</v>
      </c>
      <c r="H857" s="2">
        <f t="shared" si="100"/>
        <v>0</v>
      </c>
    </row>
    <row r="858" spans="2:8">
      <c r="B858" s="3" t="s">
        <v>2288</v>
      </c>
      <c r="C858" s="3" t="s">
        <v>2290</v>
      </c>
      <c r="D858" s="6" t="str">
        <f t="shared" si="98"/>
        <v>14-01</v>
      </c>
      <c r="E858" s="1">
        <f>_xlfn.IFNA(VLOOKUP('Comp X - Kilter'!B858,'Kilter Holds'!$P$36:$AB$370,6,0),0)</f>
        <v>0</v>
      </c>
      <c r="G858" s="2">
        <f t="shared" si="99"/>
        <v>0</v>
      </c>
      <c r="H858" s="2">
        <f t="shared" si="100"/>
        <v>0</v>
      </c>
    </row>
    <row r="859" spans="2:8">
      <c r="B859" s="3" t="s">
        <v>2288</v>
      </c>
      <c r="C859" s="3" t="s">
        <v>2290</v>
      </c>
      <c r="D859" s="7" t="str">
        <f t="shared" si="98"/>
        <v>15-12</v>
      </c>
      <c r="E859" s="1">
        <f>_xlfn.IFNA(VLOOKUP('Comp X - Kilter'!B859,'Kilter Holds'!$P$36:$AB$370,7,0),0)</f>
        <v>3</v>
      </c>
      <c r="G859" s="2">
        <f t="shared" si="99"/>
        <v>0</v>
      </c>
      <c r="H859" s="2">
        <f t="shared" si="100"/>
        <v>0</v>
      </c>
    </row>
    <row r="860" spans="2:8">
      <c r="B860" s="3" t="s">
        <v>2288</v>
      </c>
      <c r="C860" s="3" t="s">
        <v>2290</v>
      </c>
      <c r="D860" s="8" t="str">
        <f t="shared" si="98"/>
        <v>16-16</v>
      </c>
      <c r="E860" s="1">
        <f>_xlfn.IFNA(VLOOKUP('Comp X - Kilter'!B860,'Kilter Holds'!$P$36:$AB$370,8,0),0)</f>
        <v>5</v>
      </c>
      <c r="G860" s="2">
        <f t="shared" si="99"/>
        <v>0</v>
      </c>
      <c r="H860" s="2">
        <f t="shared" si="100"/>
        <v>0</v>
      </c>
    </row>
    <row r="861" spans="2:8">
      <c r="B861" s="3" t="s">
        <v>2288</v>
      </c>
      <c r="C861" s="3" t="s">
        <v>2290</v>
      </c>
      <c r="D861" s="9" t="str">
        <f t="shared" si="98"/>
        <v>13-01</v>
      </c>
      <c r="E861" s="1">
        <f>_xlfn.IFNA(VLOOKUP('Comp X - Kilter'!B861,'Kilter Holds'!$P$36:$AB$370,9,0),0)</f>
        <v>10</v>
      </c>
      <c r="G861" s="2">
        <f t="shared" si="99"/>
        <v>0</v>
      </c>
      <c r="H861" s="2">
        <f t="shared" si="100"/>
        <v>0</v>
      </c>
    </row>
    <row r="862" spans="2:8">
      <c r="B862" s="3" t="s">
        <v>2288</v>
      </c>
      <c r="C862" s="3" t="s">
        <v>2290</v>
      </c>
      <c r="D862" s="10" t="str">
        <f t="shared" si="98"/>
        <v>07-13</v>
      </c>
      <c r="E862" s="1">
        <f>_xlfn.IFNA(VLOOKUP('Comp X - Kilter'!B862,'Kilter Holds'!$P$36:$AB$370,10,0),0)</f>
        <v>5</v>
      </c>
      <c r="G862" s="2">
        <f t="shared" si="99"/>
        <v>0</v>
      </c>
      <c r="H862" s="2">
        <f t="shared" si="100"/>
        <v>0</v>
      </c>
    </row>
    <row r="863" spans="2:8">
      <c r="B863" s="3" t="s">
        <v>2288</v>
      </c>
      <c r="C863" s="3" t="s">
        <v>2290</v>
      </c>
      <c r="D863" s="11" t="str">
        <f t="shared" si="98"/>
        <v>11-25</v>
      </c>
      <c r="E863" s="1">
        <f>_xlfn.IFNA(VLOOKUP('Comp X - Kilter'!B863,'Kilter Holds'!$P$36:$AB$370,11,0),0)</f>
        <v>0</v>
      </c>
      <c r="G863" s="2">
        <f t="shared" si="99"/>
        <v>0</v>
      </c>
      <c r="H863" s="2">
        <f t="shared" si="100"/>
        <v>0</v>
      </c>
    </row>
    <row r="864" spans="2:8">
      <c r="B864" s="3" t="s">
        <v>2288</v>
      </c>
      <c r="C864" s="3" t="s">
        <v>2290</v>
      </c>
      <c r="D864" s="13" t="str">
        <f t="shared" si="98"/>
        <v>18-01</v>
      </c>
      <c r="E864" s="1">
        <f>_xlfn.IFNA(VLOOKUP('Comp X - Kilter'!B864,'Kilter Holds'!$P$36:$AB$370,12,0),0)</f>
        <v>6</v>
      </c>
      <c r="G864" s="2">
        <f t="shared" si="99"/>
        <v>0</v>
      </c>
      <c r="H864" s="2">
        <f t="shared" si="100"/>
        <v>0</v>
      </c>
    </row>
    <row r="865" spans="1:8">
      <c r="B865" s="3" t="s">
        <v>2288</v>
      </c>
      <c r="C865" s="3" t="s">
        <v>2290</v>
      </c>
      <c r="D865" s="12" t="str">
        <f t="shared" si="98"/>
        <v>12-01</v>
      </c>
      <c r="E865" s="1">
        <f>_xlfn.IFNA(VLOOKUP('Comp X - Kilter'!B865,'Kilter Holds'!$P$36:$AB$370,13,0),0)</f>
        <v>0</v>
      </c>
      <c r="G865" s="2">
        <f t="shared" si="99"/>
        <v>0</v>
      </c>
      <c r="H865" s="2">
        <f t="shared" si="100"/>
        <v>0</v>
      </c>
    </row>
    <row r="866" spans="1:8">
      <c r="B866" s="3" t="s">
        <v>2286</v>
      </c>
      <c r="C866" s="3" t="s">
        <v>2291</v>
      </c>
      <c r="D866" s="5" t="str">
        <f t="shared" si="98"/>
        <v>11-12</v>
      </c>
      <c r="E866" s="1">
        <f>_xlfn.IFNA(VLOOKUP('Comp X - Kilter'!B866,'Kilter Holds'!$P$36:$AB$370,5,0),0)</f>
        <v>4</v>
      </c>
      <c r="G866" s="2">
        <f t="shared" si="99"/>
        <v>0</v>
      </c>
      <c r="H866" s="2">
        <f t="shared" si="100"/>
        <v>0</v>
      </c>
    </row>
    <row r="867" spans="1:8">
      <c r="B867" s="3" t="s">
        <v>2286</v>
      </c>
      <c r="C867" s="3" t="s">
        <v>2291</v>
      </c>
      <c r="D867" s="6" t="str">
        <f t="shared" si="98"/>
        <v>14-01</v>
      </c>
      <c r="E867" s="1">
        <f>_xlfn.IFNA(VLOOKUP('Comp X - Kilter'!B867,'Kilter Holds'!$P$36:$AB$370,6,0),0)</f>
        <v>0</v>
      </c>
      <c r="G867" s="2">
        <f t="shared" si="99"/>
        <v>0</v>
      </c>
      <c r="H867" s="2">
        <f t="shared" si="100"/>
        <v>0</v>
      </c>
    </row>
    <row r="868" spans="1:8">
      <c r="B868" s="3" t="s">
        <v>2286</v>
      </c>
      <c r="C868" s="3" t="s">
        <v>2291</v>
      </c>
      <c r="D868" s="7" t="str">
        <f t="shared" si="98"/>
        <v>15-12</v>
      </c>
      <c r="E868" s="1">
        <f>_xlfn.IFNA(VLOOKUP('Comp X - Kilter'!B868,'Kilter Holds'!$P$36:$AB$370,7,0),0)</f>
        <v>8</v>
      </c>
      <c r="G868" s="2">
        <f t="shared" si="99"/>
        <v>0</v>
      </c>
      <c r="H868" s="2">
        <f t="shared" si="100"/>
        <v>0</v>
      </c>
    </row>
    <row r="869" spans="1:8">
      <c r="B869" s="3" t="s">
        <v>2286</v>
      </c>
      <c r="C869" s="3" t="s">
        <v>2291</v>
      </c>
      <c r="D869" s="8" t="str">
        <f t="shared" si="98"/>
        <v>16-16</v>
      </c>
      <c r="E869" s="1">
        <f>_xlfn.IFNA(VLOOKUP('Comp X - Kilter'!B869,'Kilter Holds'!$P$36:$AB$370,8,0),0)</f>
        <v>9</v>
      </c>
      <c r="G869" s="2">
        <f t="shared" si="99"/>
        <v>0</v>
      </c>
      <c r="H869" s="2">
        <f t="shared" si="100"/>
        <v>0</v>
      </c>
    </row>
    <row r="870" spans="1:8">
      <c r="B870" s="3" t="s">
        <v>2286</v>
      </c>
      <c r="C870" s="3" t="s">
        <v>2291</v>
      </c>
      <c r="D870" s="9" t="str">
        <f t="shared" si="98"/>
        <v>13-01</v>
      </c>
      <c r="E870" s="1">
        <f>_xlfn.IFNA(VLOOKUP('Comp X - Kilter'!B870,'Kilter Holds'!$P$36:$AB$370,9,0),0)</f>
        <v>4</v>
      </c>
      <c r="G870" s="2">
        <f t="shared" si="99"/>
        <v>0</v>
      </c>
      <c r="H870" s="2">
        <f t="shared" si="100"/>
        <v>0</v>
      </c>
    </row>
    <row r="871" spans="1:8">
      <c r="B871" s="3" t="s">
        <v>2286</v>
      </c>
      <c r="C871" s="3" t="s">
        <v>2291</v>
      </c>
      <c r="D871" s="10" t="str">
        <f t="shared" si="98"/>
        <v>07-13</v>
      </c>
      <c r="E871" s="1">
        <f>_xlfn.IFNA(VLOOKUP('Comp X - Kilter'!B871,'Kilter Holds'!$P$36:$AB$370,10,0),0)</f>
        <v>5</v>
      </c>
      <c r="G871" s="2">
        <f t="shared" si="99"/>
        <v>0</v>
      </c>
      <c r="H871" s="2">
        <f t="shared" si="100"/>
        <v>0</v>
      </c>
    </row>
    <row r="872" spans="1:8">
      <c r="B872" s="3" t="s">
        <v>2286</v>
      </c>
      <c r="C872" s="3" t="s">
        <v>2291</v>
      </c>
      <c r="D872" s="11" t="str">
        <f t="shared" si="98"/>
        <v>11-25</v>
      </c>
      <c r="E872" s="1">
        <f>_xlfn.IFNA(VLOOKUP('Comp X - Kilter'!B872,'Kilter Holds'!$P$36:$AB$370,11,0),0)</f>
        <v>0</v>
      </c>
      <c r="G872" s="2">
        <f t="shared" si="99"/>
        <v>0</v>
      </c>
      <c r="H872" s="2">
        <f t="shared" si="100"/>
        <v>0</v>
      </c>
    </row>
    <row r="873" spans="1:8">
      <c r="B873" s="3" t="s">
        <v>2286</v>
      </c>
      <c r="C873" s="3" t="s">
        <v>2291</v>
      </c>
      <c r="D873" s="13" t="str">
        <f t="shared" si="98"/>
        <v>18-01</v>
      </c>
      <c r="E873" s="1">
        <f>_xlfn.IFNA(VLOOKUP('Comp X - Kilter'!B873,'Kilter Holds'!$P$36:$AB$370,12,0),0)</f>
        <v>10</v>
      </c>
      <c r="G873" s="2">
        <f t="shared" si="99"/>
        <v>0</v>
      </c>
      <c r="H873" s="2">
        <f t="shared" si="100"/>
        <v>0</v>
      </c>
    </row>
    <row r="874" spans="1:8">
      <c r="B874" s="3" t="s">
        <v>2286</v>
      </c>
      <c r="C874" s="3" t="s">
        <v>2291</v>
      </c>
      <c r="D874" s="12" t="str">
        <f t="shared" si="98"/>
        <v>12-01</v>
      </c>
      <c r="E874" s="1">
        <f>_xlfn.IFNA(VLOOKUP('Comp X - Kilter'!B874,'Kilter Holds'!$P$36:$AB$370,13,0),0)</f>
        <v>0</v>
      </c>
      <c r="G874" s="2">
        <f t="shared" si="99"/>
        <v>0</v>
      </c>
      <c r="H874" s="2">
        <f t="shared" si="100"/>
        <v>0</v>
      </c>
    </row>
    <row r="875" spans="1:8">
      <c r="A875" s="3" t="s">
        <v>2619</v>
      </c>
      <c r="B875" s="3" t="s">
        <v>2616</v>
      </c>
      <c r="C875" s="3" t="s">
        <v>2626</v>
      </c>
      <c r="D875" s="5" t="str">
        <f t="shared" ref="D875:D910" si="101">D803</f>
        <v>11-12</v>
      </c>
      <c r="E875" s="1">
        <f>_xlfn.IFNA(VLOOKUP(B875,'Kilter Holds'!$P$36:$AB$370,5,0),0)+_xlfn.IFNA(VLOOKUP(A875,'Kilter Holds'!$P$36:$AB$370,5,0),0)</f>
        <v>8</v>
      </c>
      <c r="G875" s="2">
        <f t="shared" si="99"/>
        <v>0</v>
      </c>
      <c r="H875" s="2">
        <f t="shared" si="100"/>
        <v>0</v>
      </c>
    </row>
    <row r="876" spans="1:8">
      <c r="A876" s="3" t="s">
        <v>2619</v>
      </c>
      <c r="B876" s="3" t="s">
        <v>2616</v>
      </c>
      <c r="C876" s="3" t="s">
        <v>2626</v>
      </c>
      <c r="D876" s="6" t="str">
        <f t="shared" si="101"/>
        <v>14-01</v>
      </c>
      <c r="E876" s="1">
        <f>_xlfn.IFNA(VLOOKUP(B876,'Kilter Holds'!$P$36:$AB$370,6,0),0)+_xlfn.IFNA(VLOOKUP(A876,'Kilter Holds'!$P$36:$AB$370,6,0),0)</f>
        <v>0</v>
      </c>
      <c r="G876" s="2">
        <f t="shared" si="99"/>
        <v>0</v>
      </c>
      <c r="H876" s="2">
        <f t="shared" si="100"/>
        <v>0</v>
      </c>
    </row>
    <row r="877" spans="1:8">
      <c r="A877" s="3" t="s">
        <v>2619</v>
      </c>
      <c r="B877" s="3" t="s">
        <v>2616</v>
      </c>
      <c r="C877" s="3" t="s">
        <v>2626</v>
      </c>
      <c r="D877" s="7" t="str">
        <f t="shared" si="101"/>
        <v>15-12</v>
      </c>
      <c r="E877" s="1">
        <f>_xlfn.IFNA(VLOOKUP(B877,'Kilter Holds'!$P$36:$AB$370,7,0),0)+_xlfn.IFNA(VLOOKUP(A877,'Kilter Holds'!$P$36:$AB$370,7,0),0)</f>
        <v>6</v>
      </c>
      <c r="G877" s="2">
        <f t="shared" si="99"/>
        <v>0</v>
      </c>
      <c r="H877" s="2">
        <f t="shared" si="100"/>
        <v>0</v>
      </c>
    </row>
    <row r="878" spans="1:8">
      <c r="A878" s="3" t="s">
        <v>2619</v>
      </c>
      <c r="B878" s="3" t="s">
        <v>2616</v>
      </c>
      <c r="C878" s="3" t="s">
        <v>2626</v>
      </c>
      <c r="D878" s="8" t="str">
        <f t="shared" si="101"/>
        <v>16-16</v>
      </c>
      <c r="E878" s="1">
        <f>_xlfn.IFNA(VLOOKUP(B878,'Kilter Holds'!$P$36:$AB$370,8,0),0)+_xlfn.IFNA(VLOOKUP(A878,'Kilter Holds'!$P$36:$AB$370,8,0),0)</f>
        <v>7</v>
      </c>
      <c r="G878" s="2">
        <f t="shared" si="99"/>
        <v>0</v>
      </c>
      <c r="H878" s="2">
        <f t="shared" si="100"/>
        <v>0</v>
      </c>
    </row>
    <row r="879" spans="1:8">
      <c r="A879" s="3" t="s">
        <v>2619</v>
      </c>
      <c r="B879" s="3" t="s">
        <v>2616</v>
      </c>
      <c r="C879" s="3" t="s">
        <v>2626</v>
      </c>
      <c r="D879" s="9" t="str">
        <f t="shared" si="101"/>
        <v>13-01</v>
      </c>
      <c r="E879" s="1">
        <f>_xlfn.IFNA(VLOOKUP(B879,'Kilter Holds'!$P$36:$AB$370,9,0),0)+_xlfn.IFNA(VLOOKUP(A879,'Kilter Holds'!$P$36:$AB$370,9,0),0)</f>
        <v>8</v>
      </c>
      <c r="G879" s="2">
        <f t="shared" si="99"/>
        <v>0</v>
      </c>
      <c r="H879" s="2">
        <f t="shared" si="100"/>
        <v>0</v>
      </c>
    </row>
    <row r="880" spans="1:8">
      <c r="A880" s="3" t="s">
        <v>2619</v>
      </c>
      <c r="B880" s="3" t="s">
        <v>2616</v>
      </c>
      <c r="C880" s="3" t="s">
        <v>2626</v>
      </c>
      <c r="D880" s="10" t="str">
        <f t="shared" si="101"/>
        <v>07-13</v>
      </c>
      <c r="E880" s="1">
        <f>_xlfn.IFNA(VLOOKUP(B880,'Kilter Holds'!$P$36:$AB$370,10,0),0)+_xlfn.IFNA(VLOOKUP(A880,'Kilter Holds'!$P$36:$AB$370,10,0),0)</f>
        <v>5</v>
      </c>
      <c r="G880" s="2">
        <f t="shared" si="99"/>
        <v>0</v>
      </c>
      <c r="H880" s="2">
        <f t="shared" si="100"/>
        <v>0</v>
      </c>
    </row>
    <row r="881" spans="1:8">
      <c r="A881" s="3" t="s">
        <v>2619</v>
      </c>
      <c r="B881" s="3" t="s">
        <v>2616</v>
      </c>
      <c r="C881" s="3" t="s">
        <v>2626</v>
      </c>
      <c r="D881" s="11" t="str">
        <f t="shared" si="101"/>
        <v>11-25</v>
      </c>
      <c r="E881" s="1">
        <f>_xlfn.IFNA(VLOOKUP(B881,'Kilter Holds'!$P$36:$AB$370,11,0),0)+_xlfn.IFNA(VLOOKUP(A881,'Kilter Holds'!$P$36:$AB$370,11,0),0)</f>
        <v>0</v>
      </c>
      <c r="G881" s="2">
        <f t="shared" si="99"/>
        <v>0</v>
      </c>
      <c r="H881" s="2">
        <f t="shared" si="100"/>
        <v>0</v>
      </c>
    </row>
    <row r="882" spans="1:8">
      <c r="A882" s="3" t="s">
        <v>2619</v>
      </c>
      <c r="B882" s="3" t="s">
        <v>2616</v>
      </c>
      <c r="C882" s="3" t="s">
        <v>2626</v>
      </c>
      <c r="D882" s="13" t="str">
        <f t="shared" si="101"/>
        <v>18-01</v>
      </c>
      <c r="E882" s="1">
        <f>_xlfn.IFNA(VLOOKUP(B882,'Kilter Holds'!$P$36:$AB$370,12,0),0)+_xlfn.IFNA(VLOOKUP(A882,'Kilter Holds'!$P$36:$AB$370,12,0),0)</f>
        <v>5</v>
      </c>
      <c r="G882" s="2">
        <f t="shared" si="99"/>
        <v>0</v>
      </c>
      <c r="H882" s="2">
        <f t="shared" si="100"/>
        <v>0</v>
      </c>
    </row>
    <row r="883" spans="1:8">
      <c r="A883" s="3" t="s">
        <v>2619</v>
      </c>
      <c r="B883" s="3" t="s">
        <v>2616</v>
      </c>
      <c r="C883" s="3" t="s">
        <v>2626</v>
      </c>
      <c r="D883" s="12" t="str">
        <f t="shared" si="101"/>
        <v>12-01</v>
      </c>
      <c r="E883" s="1">
        <f>_xlfn.IFNA(VLOOKUP(B883,'Kilter Holds'!$P$36:$AB$370,13,0),0)+_xlfn.IFNA(VLOOKUP(A883,'Kilter Holds'!$P$36:$AB$370,13,0),0)</f>
        <v>0</v>
      </c>
      <c r="G883" s="2">
        <f t="shared" si="99"/>
        <v>0</v>
      </c>
      <c r="H883" s="2">
        <f t="shared" si="100"/>
        <v>0</v>
      </c>
    </row>
    <row r="884" spans="1:8">
      <c r="A884" s="3" t="s">
        <v>2619</v>
      </c>
      <c r="B884" s="3" t="s">
        <v>2615</v>
      </c>
      <c r="C884" s="3" t="s">
        <v>2627</v>
      </c>
      <c r="D884" s="5" t="str">
        <f t="shared" si="101"/>
        <v>11-12</v>
      </c>
      <c r="E884" s="1">
        <f>_xlfn.IFNA(VLOOKUP(B884,'Kilter Holds'!$P$36:$AB$370,5,0),0)+_xlfn.IFNA(VLOOKUP(A884,'Kilter Holds'!$P$36:$AB$370,5,0),0)</f>
        <v>3</v>
      </c>
      <c r="G884" s="2">
        <f t="shared" si="99"/>
        <v>0</v>
      </c>
      <c r="H884" s="2">
        <f t="shared" si="100"/>
        <v>0</v>
      </c>
    </row>
    <row r="885" spans="1:8">
      <c r="A885" s="3" t="s">
        <v>2619</v>
      </c>
      <c r="B885" s="3" t="s">
        <v>2615</v>
      </c>
      <c r="C885" s="3" t="s">
        <v>2627</v>
      </c>
      <c r="D885" s="6" t="str">
        <f t="shared" si="101"/>
        <v>14-01</v>
      </c>
      <c r="E885" s="1">
        <f>_xlfn.IFNA(VLOOKUP(B885,'Kilter Holds'!$P$36:$AB$370,6,0),0)+_xlfn.IFNA(VLOOKUP(A885,'Kilter Holds'!$P$36:$AB$370,6,0),0)</f>
        <v>0</v>
      </c>
      <c r="G885" s="2">
        <f t="shared" si="99"/>
        <v>0</v>
      </c>
      <c r="H885" s="2">
        <f t="shared" si="100"/>
        <v>0</v>
      </c>
    </row>
    <row r="886" spans="1:8">
      <c r="A886" s="3" t="s">
        <v>2619</v>
      </c>
      <c r="B886" s="3" t="s">
        <v>2615</v>
      </c>
      <c r="C886" s="3" t="s">
        <v>2627</v>
      </c>
      <c r="D886" s="7" t="str">
        <f t="shared" si="101"/>
        <v>15-12</v>
      </c>
      <c r="E886" s="1">
        <f>_xlfn.IFNA(VLOOKUP(B886,'Kilter Holds'!$P$36:$AB$370,7,0),0)+_xlfn.IFNA(VLOOKUP(A886,'Kilter Holds'!$P$36:$AB$370,7,0),0)</f>
        <v>2</v>
      </c>
      <c r="G886" s="2">
        <f t="shared" si="99"/>
        <v>0</v>
      </c>
      <c r="H886" s="2">
        <f t="shared" si="100"/>
        <v>0</v>
      </c>
    </row>
    <row r="887" spans="1:8">
      <c r="A887" s="3" t="s">
        <v>2619</v>
      </c>
      <c r="B887" s="3" t="s">
        <v>2615</v>
      </c>
      <c r="C887" s="3" t="s">
        <v>2627</v>
      </c>
      <c r="D887" s="8" t="str">
        <f t="shared" si="101"/>
        <v>16-16</v>
      </c>
      <c r="E887" s="1">
        <f>_xlfn.IFNA(VLOOKUP(B887,'Kilter Holds'!$P$36:$AB$370,8,0),0)+_xlfn.IFNA(VLOOKUP(A887,'Kilter Holds'!$P$36:$AB$370,8,0),0)</f>
        <v>3</v>
      </c>
      <c r="G887" s="2">
        <f t="shared" si="99"/>
        <v>0</v>
      </c>
      <c r="H887" s="2">
        <f t="shared" si="100"/>
        <v>0</v>
      </c>
    </row>
    <row r="888" spans="1:8">
      <c r="A888" s="3" t="s">
        <v>2619</v>
      </c>
      <c r="B888" s="3" t="s">
        <v>2615</v>
      </c>
      <c r="C888" s="3" t="s">
        <v>2627</v>
      </c>
      <c r="D888" s="9" t="str">
        <f t="shared" si="101"/>
        <v>13-01</v>
      </c>
      <c r="E888" s="1">
        <f>_xlfn.IFNA(VLOOKUP(B888,'Kilter Holds'!$P$36:$AB$370,9,0),0)+_xlfn.IFNA(VLOOKUP(A888,'Kilter Holds'!$P$36:$AB$370,9,0),0)</f>
        <v>8</v>
      </c>
      <c r="G888" s="2">
        <f t="shared" si="99"/>
        <v>0</v>
      </c>
      <c r="H888" s="2">
        <f t="shared" si="100"/>
        <v>0</v>
      </c>
    </row>
    <row r="889" spans="1:8">
      <c r="A889" s="3" t="s">
        <v>2619</v>
      </c>
      <c r="B889" s="3" t="s">
        <v>2615</v>
      </c>
      <c r="C889" s="3" t="s">
        <v>2627</v>
      </c>
      <c r="D889" s="10" t="str">
        <f t="shared" si="101"/>
        <v>07-13</v>
      </c>
      <c r="E889" s="1">
        <f>_xlfn.IFNA(VLOOKUP(B889,'Kilter Holds'!$P$36:$AB$370,10,0),0)+_xlfn.IFNA(VLOOKUP(A889,'Kilter Holds'!$P$36:$AB$370,10,0),0)</f>
        <v>5</v>
      </c>
      <c r="G889" s="2">
        <f t="shared" si="99"/>
        <v>0</v>
      </c>
      <c r="H889" s="2">
        <f t="shared" si="100"/>
        <v>0</v>
      </c>
    </row>
    <row r="890" spans="1:8">
      <c r="A890" s="3" t="s">
        <v>2619</v>
      </c>
      <c r="B890" s="3" t="s">
        <v>2615</v>
      </c>
      <c r="C890" s="3" t="s">
        <v>2627</v>
      </c>
      <c r="D890" s="11" t="str">
        <f t="shared" si="101"/>
        <v>11-25</v>
      </c>
      <c r="E890" s="1">
        <f>_xlfn.IFNA(VLOOKUP(B890,'Kilter Holds'!$P$36:$AB$370,11,0),0)+_xlfn.IFNA(VLOOKUP(A890,'Kilter Holds'!$P$36:$AB$370,11,0),0)</f>
        <v>0</v>
      </c>
      <c r="G890" s="2">
        <f t="shared" si="99"/>
        <v>0</v>
      </c>
      <c r="H890" s="2">
        <f t="shared" si="100"/>
        <v>0</v>
      </c>
    </row>
    <row r="891" spans="1:8">
      <c r="A891" s="3" t="s">
        <v>2619</v>
      </c>
      <c r="B891" s="3" t="s">
        <v>2615</v>
      </c>
      <c r="C891" s="3" t="s">
        <v>2627</v>
      </c>
      <c r="D891" s="13" t="str">
        <f t="shared" si="101"/>
        <v>18-01</v>
      </c>
      <c r="E891" s="1">
        <f>_xlfn.IFNA(VLOOKUP(B891,'Kilter Holds'!$P$36:$AB$370,12,0),0)+_xlfn.IFNA(VLOOKUP(A891,'Kilter Holds'!$P$36:$AB$370,12,0),0)</f>
        <v>5</v>
      </c>
      <c r="G891" s="2">
        <f t="shared" si="99"/>
        <v>0</v>
      </c>
      <c r="H891" s="2">
        <f t="shared" si="100"/>
        <v>0</v>
      </c>
    </row>
    <row r="892" spans="1:8">
      <c r="A892" s="3" t="s">
        <v>2619</v>
      </c>
      <c r="B892" s="3" t="s">
        <v>2615</v>
      </c>
      <c r="C892" s="3" t="s">
        <v>2627</v>
      </c>
      <c r="D892" s="12" t="str">
        <f t="shared" si="101"/>
        <v>12-01</v>
      </c>
      <c r="E892" s="1">
        <f>_xlfn.IFNA(VLOOKUP(B892,'Kilter Holds'!$P$36:$AB$370,13,0),0)+_xlfn.IFNA(VLOOKUP(A892,'Kilter Holds'!$P$36:$AB$370,13,0),0)</f>
        <v>0</v>
      </c>
      <c r="G892" s="2">
        <f t="shared" si="99"/>
        <v>0</v>
      </c>
      <c r="H892" s="2">
        <f t="shared" si="100"/>
        <v>0</v>
      </c>
    </row>
    <row r="893" spans="1:8">
      <c r="A893" s="3" t="s">
        <v>2623</v>
      </c>
      <c r="B893" s="3" t="s">
        <v>2624</v>
      </c>
      <c r="C893" s="3" t="s">
        <v>2628</v>
      </c>
      <c r="D893" s="5" t="str">
        <f t="shared" si="101"/>
        <v>11-12</v>
      </c>
      <c r="E893" s="1">
        <f>_xlfn.IFNA(VLOOKUP(B893,'Kilter Holds'!$P$36:$AB$370,5,0),0)+_xlfn.IFNA(VLOOKUP(A893,'Kilter Holds'!$P$36:$AB$370,5,0),0)</f>
        <v>4</v>
      </c>
      <c r="G893" s="2">
        <f t="shared" ref="G893:G910" si="102">E893*F893</f>
        <v>0</v>
      </c>
      <c r="H893" s="2">
        <f t="shared" ref="H893:H910" si="103">IF($S$11="Y",G893*0.15,0)</f>
        <v>0</v>
      </c>
    </row>
    <row r="894" spans="1:8">
      <c r="A894" s="3" t="s">
        <v>2623</v>
      </c>
      <c r="B894" s="3" t="s">
        <v>2624</v>
      </c>
      <c r="C894" s="3" t="s">
        <v>2628</v>
      </c>
      <c r="D894" s="6" t="str">
        <f t="shared" si="101"/>
        <v>14-01</v>
      </c>
      <c r="E894" s="1">
        <f>_xlfn.IFNA(VLOOKUP(B894,'Kilter Holds'!$P$36:$AB$370,6,0),0)+_xlfn.IFNA(VLOOKUP(A894,'Kilter Holds'!$P$36:$AB$370,6,0),0)</f>
        <v>0</v>
      </c>
      <c r="G894" s="2">
        <f t="shared" si="102"/>
        <v>0</v>
      </c>
      <c r="H894" s="2">
        <f t="shared" si="103"/>
        <v>0</v>
      </c>
    </row>
    <row r="895" spans="1:8">
      <c r="A895" s="3" t="s">
        <v>2623</v>
      </c>
      <c r="B895" s="3" t="s">
        <v>2624</v>
      </c>
      <c r="C895" s="3" t="s">
        <v>2628</v>
      </c>
      <c r="D895" s="7" t="str">
        <f t="shared" si="101"/>
        <v>15-12</v>
      </c>
      <c r="E895" s="1">
        <f>_xlfn.IFNA(VLOOKUP(B895,'Kilter Holds'!$P$36:$AB$370,7,0),0)+_xlfn.IFNA(VLOOKUP(A895,'Kilter Holds'!$P$36:$AB$370,7,0),0)</f>
        <v>2</v>
      </c>
      <c r="G895" s="2">
        <f t="shared" si="102"/>
        <v>0</v>
      </c>
      <c r="H895" s="2">
        <f t="shared" si="103"/>
        <v>0</v>
      </c>
    </row>
    <row r="896" spans="1:8">
      <c r="A896" s="3" t="s">
        <v>2623</v>
      </c>
      <c r="B896" s="3" t="s">
        <v>2624</v>
      </c>
      <c r="C896" s="3" t="s">
        <v>2628</v>
      </c>
      <c r="D896" s="8" t="str">
        <f t="shared" si="101"/>
        <v>16-16</v>
      </c>
      <c r="E896" s="1">
        <f>_xlfn.IFNA(VLOOKUP(B896,'Kilter Holds'!$P$36:$AB$370,8,0),0)+_xlfn.IFNA(VLOOKUP(A896,'Kilter Holds'!$P$36:$AB$370,8,0),0)</f>
        <v>5</v>
      </c>
      <c r="G896" s="2">
        <f t="shared" si="102"/>
        <v>0</v>
      </c>
      <c r="H896" s="2">
        <f t="shared" si="103"/>
        <v>0</v>
      </c>
    </row>
    <row r="897" spans="1:8">
      <c r="A897" s="3" t="s">
        <v>2623</v>
      </c>
      <c r="B897" s="3" t="s">
        <v>2624</v>
      </c>
      <c r="C897" s="3" t="s">
        <v>2628</v>
      </c>
      <c r="D897" s="9" t="str">
        <f t="shared" si="101"/>
        <v>13-01</v>
      </c>
      <c r="E897" s="1">
        <f>_xlfn.IFNA(VLOOKUP(B897,'Kilter Holds'!$P$36:$AB$370,9,0),0)+_xlfn.IFNA(VLOOKUP(A897,'Kilter Holds'!$P$36:$AB$370,9,0),0)</f>
        <v>5</v>
      </c>
      <c r="G897" s="2">
        <f t="shared" si="102"/>
        <v>0</v>
      </c>
      <c r="H897" s="2">
        <f t="shared" si="103"/>
        <v>0</v>
      </c>
    </row>
    <row r="898" spans="1:8">
      <c r="A898" s="3" t="s">
        <v>2623</v>
      </c>
      <c r="B898" s="3" t="s">
        <v>2624</v>
      </c>
      <c r="C898" s="3" t="s">
        <v>2628</v>
      </c>
      <c r="D898" s="10" t="str">
        <f t="shared" si="101"/>
        <v>07-13</v>
      </c>
      <c r="E898" s="1">
        <f>_xlfn.IFNA(VLOOKUP(B898,'Kilter Holds'!$P$36:$AB$370,10,0),0)+_xlfn.IFNA(VLOOKUP(A898,'Kilter Holds'!$P$36:$AB$370,10,0),0)</f>
        <v>2</v>
      </c>
      <c r="G898" s="2">
        <f t="shared" si="102"/>
        <v>0</v>
      </c>
      <c r="H898" s="2">
        <f t="shared" si="103"/>
        <v>0</v>
      </c>
    </row>
    <row r="899" spans="1:8">
      <c r="A899" s="3" t="s">
        <v>2623</v>
      </c>
      <c r="B899" s="3" t="s">
        <v>2624</v>
      </c>
      <c r="C899" s="3" t="s">
        <v>2628</v>
      </c>
      <c r="D899" s="11" t="str">
        <f t="shared" si="101"/>
        <v>11-25</v>
      </c>
      <c r="E899" s="1">
        <f>_xlfn.IFNA(VLOOKUP(B899,'Kilter Holds'!$P$36:$AB$370,11,0),0)+_xlfn.IFNA(VLOOKUP(A899,'Kilter Holds'!$P$36:$AB$370,11,0),0)</f>
        <v>0</v>
      </c>
      <c r="G899" s="2">
        <f t="shared" si="102"/>
        <v>0</v>
      </c>
      <c r="H899" s="2">
        <f t="shared" si="103"/>
        <v>0</v>
      </c>
    </row>
    <row r="900" spans="1:8">
      <c r="A900" s="3" t="s">
        <v>2623</v>
      </c>
      <c r="B900" s="3" t="s">
        <v>2624</v>
      </c>
      <c r="C900" s="3" t="s">
        <v>2628</v>
      </c>
      <c r="D900" s="13" t="str">
        <f t="shared" si="101"/>
        <v>18-01</v>
      </c>
      <c r="E900" s="1">
        <f>_xlfn.IFNA(VLOOKUP(B900,'Kilter Holds'!$P$36:$AB$370,12,0),0)+_xlfn.IFNA(VLOOKUP(A900,'Kilter Holds'!$P$36:$AB$370,12,0),0)</f>
        <v>9</v>
      </c>
      <c r="G900" s="2">
        <f t="shared" si="102"/>
        <v>0</v>
      </c>
      <c r="H900" s="2">
        <f t="shared" si="103"/>
        <v>0</v>
      </c>
    </row>
    <row r="901" spans="1:8">
      <c r="A901" s="3" t="s">
        <v>2623</v>
      </c>
      <c r="B901" s="3" t="s">
        <v>2624</v>
      </c>
      <c r="C901" s="3" t="s">
        <v>2628</v>
      </c>
      <c r="D901" s="12" t="str">
        <f t="shared" si="101"/>
        <v>12-01</v>
      </c>
      <c r="E901" s="1">
        <f>_xlfn.IFNA(VLOOKUP(B901,'Kilter Holds'!$P$36:$AB$370,13,0),0)+_xlfn.IFNA(VLOOKUP(A901,'Kilter Holds'!$P$36:$AB$370,13,0),0)</f>
        <v>0</v>
      </c>
      <c r="G901" s="2">
        <f t="shared" si="102"/>
        <v>0</v>
      </c>
      <c r="H901" s="2">
        <f t="shared" si="103"/>
        <v>0</v>
      </c>
    </row>
    <row r="902" spans="1:8">
      <c r="A902" s="3" t="s">
        <v>2623</v>
      </c>
      <c r="B902" s="3" t="s">
        <v>2625</v>
      </c>
      <c r="C902" s="3" t="s">
        <v>2629</v>
      </c>
      <c r="D902" s="5" t="str">
        <f t="shared" si="101"/>
        <v>11-12</v>
      </c>
      <c r="E902" s="1">
        <f>_xlfn.IFNA(VLOOKUP(B902,'Kilter Holds'!$P$36:$AB$370,5,0),0)+_xlfn.IFNA(VLOOKUP(A902,'Kilter Holds'!$P$36:$AB$370,5,0),0)</f>
        <v>9</v>
      </c>
      <c r="G902" s="2">
        <f t="shared" si="102"/>
        <v>0</v>
      </c>
      <c r="H902" s="2">
        <f t="shared" si="103"/>
        <v>0</v>
      </c>
    </row>
    <row r="903" spans="1:8">
      <c r="A903" s="3" t="s">
        <v>2623</v>
      </c>
      <c r="B903" s="3" t="s">
        <v>2625</v>
      </c>
      <c r="C903" s="3" t="s">
        <v>2629</v>
      </c>
      <c r="D903" s="6" t="str">
        <f t="shared" si="101"/>
        <v>14-01</v>
      </c>
      <c r="E903" s="1">
        <f>_xlfn.IFNA(VLOOKUP(B903,'Kilter Holds'!$P$36:$AB$370,6,0),0)+_xlfn.IFNA(VLOOKUP(A903,'Kilter Holds'!$P$36:$AB$370,6,0),0)</f>
        <v>0</v>
      </c>
      <c r="G903" s="2">
        <f t="shared" si="102"/>
        <v>0</v>
      </c>
      <c r="H903" s="2">
        <f t="shared" si="103"/>
        <v>0</v>
      </c>
    </row>
    <row r="904" spans="1:8">
      <c r="A904" s="3" t="s">
        <v>2623</v>
      </c>
      <c r="B904" s="3" t="s">
        <v>2625</v>
      </c>
      <c r="C904" s="3" t="s">
        <v>2629</v>
      </c>
      <c r="D904" s="7" t="str">
        <f t="shared" si="101"/>
        <v>15-12</v>
      </c>
      <c r="E904" s="1">
        <f>_xlfn.IFNA(VLOOKUP(B904,'Kilter Holds'!$P$36:$AB$370,7,0),0)+_xlfn.IFNA(VLOOKUP(A904,'Kilter Holds'!$P$36:$AB$370,7,0),0)</f>
        <v>8</v>
      </c>
      <c r="G904" s="2">
        <f t="shared" si="102"/>
        <v>0</v>
      </c>
      <c r="H904" s="2">
        <f t="shared" si="103"/>
        <v>0</v>
      </c>
    </row>
    <row r="905" spans="1:8">
      <c r="A905" s="3" t="s">
        <v>2623</v>
      </c>
      <c r="B905" s="3" t="s">
        <v>2625</v>
      </c>
      <c r="C905" s="3" t="s">
        <v>2629</v>
      </c>
      <c r="D905" s="8" t="str">
        <f t="shared" si="101"/>
        <v>16-16</v>
      </c>
      <c r="E905" s="1">
        <f>_xlfn.IFNA(VLOOKUP(B905,'Kilter Holds'!$P$36:$AB$370,8,0),0)+_xlfn.IFNA(VLOOKUP(A905,'Kilter Holds'!$P$36:$AB$370,8,0),0)</f>
        <v>10</v>
      </c>
      <c r="G905" s="2">
        <f t="shared" si="102"/>
        <v>0</v>
      </c>
      <c r="H905" s="2">
        <f t="shared" si="103"/>
        <v>0</v>
      </c>
    </row>
    <row r="906" spans="1:8">
      <c r="A906" s="3" t="s">
        <v>2623</v>
      </c>
      <c r="B906" s="3" t="s">
        <v>2625</v>
      </c>
      <c r="C906" s="3" t="s">
        <v>2629</v>
      </c>
      <c r="D906" s="9" t="str">
        <f t="shared" si="101"/>
        <v>13-01</v>
      </c>
      <c r="E906" s="1">
        <f>_xlfn.IFNA(VLOOKUP(B906,'Kilter Holds'!$P$36:$AB$370,9,0),0)+_xlfn.IFNA(VLOOKUP(A906,'Kilter Holds'!$P$36:$AB$370,9,0),0)</f>
        <v>8</v>
      </c>
      <c r="G906" s="2">
        <f t="shared" si="102"/>
        <v>0</v>
      </c>
      <c r="H906" s="2">
        <f t="shared" si="103"/>
        <v>0</v>
      </c>
    </row>
    <row r="907" spans="1:8">
      <c r="A907" s="3" t="s">
        <v>2623</v>
      </c>
      <c r="B907" s="3" t="s">
        <v>2625</v>
      </c>
      <c r="C907" s="3" t="s">
        <v>2629</v>
      </c>
      <c r="D907" s="10" t="str">
        <f t="shared" si="101"/>
        <v>07-13</v>
      </c>
      <c r="E907" s="1">
        <f>_xlfn.IFNA(VLOOKUP(B907,'Kilter Holds'!$P$36:$AB$370,10,0),0)+_xlfn.IFNA(VLOOKUP(A907,'Kilter Holds'!$P$36:$AB$370,10,0),0)</f>
        <v>7</v>
      </c>
      <c r="G907" s="2">
        <f t="shared" si="102"/>
        <v>0</v>
      </c>
      <c r="H907" s="2">
        <f t="shared" si="103"/>
        <v>0</v>
      </c>
    </row>
    <row r="908" spans="1:8">
      <c r="A908" s="3" t="s">
        <v>2623</v>
      </c>
      <c r="B908" s="3" t="s">
        <v>2625</v>
      </c>
      <c r="C908" s="3" t="s">
        <v>2629</v>
      </c>
      <c r="D908" s="11" t="str">
        <f t="shared" si="101"/>
        <v>11-25</v>
      </c>
      <c r="E908" s="1">
        <f>_xlfn.IFNA(VLOOKUP(B908,'Kilter Holds'!$P$36:$AB$370,11,0),0)+_xlfn.IFNA(VLOOKUP(A908,'Kilter Holds'!$P$36:$AB$370,11,0),0)</f>
        <v>0</v>
      </c>
      <c r="G908" s="2">
        <f t="shared" si="102"/>
        <v>0</v>
      </c>
      <c r="H908" s="2">
        <f t="shared" si="103"/>
        <v>0</v>
      </c>
    </row>
    <row r="909" spans="1:8">
      <c r="A909" s="3" t="s">
        <v>2623</v>
      </c>
      <c r="B909" s="3" t="s">
        <v>2625</v>
      </c>
      <c r="C909" s="3" t="s">
        <v>2629</v>
      </c>
      <c r="D909" s="13" t="str">
        <f t="shared" si="101"/>
        <v>18-01</v>
      </c>
      <c r="E909" s="1">
        <f>_xlfn.IFNA(VLOOKUP(B909,'Kilter Holds'!$P$36:$AB$370,12,0),0)+_xlfn.IFNA(VLOOKUP(A909,'Kilter Holds'!$P$36:$AB$370,12,0),0)</f>
        <v>7</v>
      </c>
      <c r="G909" s="2">
        <f t="shared" si="102"/>
        <v>0</v>
      </c>
      <c r="H909" s="2">
        <f t="shared" si="103"/>
        <v>0</v>
      </c>
    </row>
    <row r="910" spans="1:8">
      <c r="A910" s="3" t="s">
        <v>2623</v>
      </c>
      <c r="B910" s="3" t="s">
        <v>2625</v>
      </c>
      <c r="C910" s="3" t="s">
        <v>2629</v>
      </c>
      <c r="D910" s="12" t="str">
        <f t="shared" si="101"/>
        <v>12-01</v>
      </c>
      <c r="E910" s="1">
        <f>_xlfn.IFNA(VLOOKUP(B910,'Kilter Holds'!$P$36:$AB$370,13,0),0)+_xlfn.IFNA(VLOOKUP(A910,'Kilter Holds'!$P$36:$AB$370,13,0),0)</f>
        <v>1</v>
      </c>
      <c r="G910" s="2">
        <f t="shared" si="102"/>
        <v>0</v>
      </c>
      <c r="H910" s="2">
        <f t="shared" si="103"/>
        <v>0</v>
      </c>
    </row>
    <row r="911" spans="1:8">
      <c r="B911" s="3" t="s">
        <v>2477</v>
      </c>
      <c r="C911" s="3" t="s">
        <v>2478</v>
      </c>
      <c r="D911" s="5" t="str">
        <f t="shared" ref="D911:D937" si="104">D623</f>
        <v>11-12</v>
      </c>
      <c r="E911" s="1">
        <f>_xlfn.IFNA(VLOOKUP('Comp X - Kilter'!B911,'Kilter Holds'!$P$36:$AB$370,5,0),0)</f>
        <v>4</v>
      </c>
      <c r="G911" s="2">
        <f t="shared" ref="G911:G919" si="105">E911*F911</f>
        <v>0</v>
      </c>
      <c r="H911" s="2">
        <f t="shared" ref="H911:H919" si="106">IF($S$11="Y",G911*0.15,0)</f>
        <v>0</v>
      </c>
    </row>
    <row r="912" spans="1:8">
      <c r="B912" s="3" t="s">
        <v>2477</v>
      </c>
      <c r="C912" s="3" t="s">
        <v>2478</v>
      </c>
      <c r="D912" s="6" t="str">
        <f t="shared" si="104"/>
        <v>14-01</v>
      </c>
      <c r="E912" s="1">
        <f>_xlfn.IFNA(VLOOKUP('Comp X - Kilter'!B912,'Kilter Holds'!$P$36:$AB$370,6,0),0)</f>
        <v>0</v>
      </c>
      <c r="G912" s="2">
        <f t="shared" si="105"/>
        <v>0</v>
      </c>
      <c r="H912" s="2">
        <f t="shared" si="106"/>
        <v>0</v>
      </c>
    </row>
    <row r="913" spans="2:8">
      <c r="B913" s="3" t="s">
        <v>2477</v>
      </c>
      <c r="C913" s="3" t="s">
        <v>2478</v>
      </c>
      <c r="D913" s="7" t="str">
        <f t="shared" si="104"/>
        <v>15-12</v>
      </c>
      <c r="E913" s="1">
        <f>_xlfn.IFNA(VLOOKUP('Comp X - Kilter'!B913,'Kilter Holds'!$P$36:$AB$370,7,0),0)</f>
        <v>7</v>
      </c>
      <c r="G913" s="2">
        <f t="shared" si="105"/>
        <v>0</v>
      </c>
      <c r="H913" s="2">
        <f t="shared" si="106"/>
        <v>0</v>
      </c>
    </row>
    <row r="914" spans="2:8">
      <c r="B914" s="3" t="s">
        <v>2477</v>
      </c>
      <c r="C914" s="3" t="s">
        <v>2478</v>
      </c>
      <c r="D914" s="8" t="str">
        <f t="shared" si="104"/>
        <v>16-16</v>
      </c>
      <c r="E914" s="1">
        <f>_xlfn.IFNA(VLOOKUP('Comp X - Kilter'!B914,'Kilter Holds'!$P$36:$AB$370,8,0),0)</f>
        <v>3</v>
      </c>
      <c r="G914" s="2">
        <f t="shared" si="105"/>
        <v>0</v>
      </c>
      <c r="H914" s="2">
        <f t="shared" si="106"/>
        <v>0</v>
      </c>
    </row>
    <row r="915" spans="2:8">
      <c r="B915" s="3" t="s">
        <v>2477</v>
      </c>
      <c r="C915" s="3" t="s">
        <v>2478</v>
      </c>
      <c r="D915" s="9" t="str">
        <f t="shared" si="104"/>
        <v>13-01</v>
      </c>
      <c r="E915" s="1">
        <f>_xlfn.IFNA(VLOOKUP('Comp X - Kilter'!B915,'Kilter Holds'!$P$36:$AB$370,9,0),0)</f>
        <v>2</v>
      </c>
      <c r="G915" s="2">
        <f t="shared" si="105"/>
        <v>0</v>
      </c>
      <c r="H915" s="2">
        <f t="shared" si="106"/>
        <v>0</v>
      </c>
    </row>
    <row r="916" spans="2:8">
      <c r="B916" s="3" t="s">
        <v>2477</v>
      </c>
      <c r="C916" s="3" t="s">
        <v>2478</v>
      </c>
      <c r="D916" s="10" t="str">
        <f t="shared" si="104"/>
        <v>07-13</v>
      </c>
      <c r="E916" s="1">
        <f>_xlfn.IFNA(VLOOKUP('Comp X - Kilter'!B916,'Kilter Holds'!$P$36:$AB$370,10,0),0)</f>
        <v>5</v>
      </c>
      <c r="G916" s="2">
        <f t="shared" si="105"/>
        <v>0</v>
      </c>
      <c r="H916" s="2">
        <f t="shared" si="106"/>
        <v>0</v>
      </c>
    </row>
    <row r="917" spans="2:8">
      <c r="B917" s="3" t="s">
        <v>2477</v>
      </c>
      <c r="C917" s="3" t="s">
        <v>2478</v>
      </c>
      <c r="D917" s="11" t="str">
        <f t="shared" si="104"/>
        <v>11-25</v>
      </c>
      <c r="E917" s="1">
        <f>_xlfn.IFNA(VLOOKUP('Comp X - Kilter'!B917,'Kilter Holds'!$P$36:$AB$370,11,0),0)</f>
        <v>2</v>
      </c>
      <c r="G917" s="2">
        <f t="shared" si="105"/>
        <v>0</v>
      </c>
      <c r="H917" s="2">
        <f t="shared" si="106"/>
        <v>0</v>
      </c>
    </row>
    <row r="918" spans="2:8">
      <c r="B918" s="3" t="s">
        <v>2477</v>
      </c>
      <c r="C918" s="3" t="s">
        <v>2478</v>
      </c>
      <c r="D918" s="13" t="str">
        <f t="shared" si="104"/>
        <v>18-01</v>
      </c>
      <c r="E918" s="1">
        <f>_xlfn.IFNA(VLOOKUP('Comp X - Kilter'!B918,'Kilter Holds'!$P$36:$AB$370,12,0),0)</f>
        <v>9</v>
      </c>
      <c r="G918" s="2">
        <f t="shared" si="105"/>
        <v>0</v>
      </c>
      <c r="H918" s="2">
        <f t="shared" si="106"/>
        <v>0</v>
      </c>
    </row>
    <row r="919" spans="2:8">
      <c r="B919" s="3" t="s">
        <v>2477</v>
      </c>
      <c r="C919" s="3" t="s">
        <v>2478</v>
      </c>
      <c r="D919" s="12" t="str">
        <f t="shared" si="104"/>
        <v>12-01</v>
      </c>
      <c r="E919" s="1">
        <f>_xlfn.IFNA(VLOOKUP('Comp X - Kilter'!B919,'Kilter Holds'!$P$36:$AB$370,13,0),0)</f>
        <v>0</v>
      </c>
      <c r="G919" s="2">
        <f t="shared" si="105"/>
        <v>0</v>
      </c>
      <c r="H919" s="2">
        <f t="shared" si="106"/>
        <v>0</v>
      </c>
    </row>
    <row r="920" spans="2:8">
      <c r="B920" s="3" t="s">
        <v>2479</v>
      </c>
      <c r="C920" s="3" t="s">
        <v>2480</v>
      </c>
      <c r="D920" s="5" t="str">
        <f t="shared" si="104"/>
        <v>11-12</v>
      </c>
      <c r="E920" s="1">
        <f>_xlfn.IFNA(VLOOKUP('Comp X - Kilter'!B920,'Kilter Holds'!$P$36:$AB$370,5,0),0)</f>
        <v>9</v>
      </c>
      <c r="G920" s="2">
        <f t="shared" ref="G920:G928" si="107">E920*F920</f>
        <v>0</v>
      </c>
      <c r="H920" s="2">
        <f t="shared" ref="H920:H928" si="108">IF($S$11="Y",G920*0.15,0)</f>
        <v>0</v>
      </c>
    </row>
    <row r="921" spans="2:8">
      <c r="B921" s="3" t="s">
        <v>2479</v>
      </c>
      <c r="C921" s="3" t="s">
        <v>2480</v>
      </c>
      <c r="D921" s="6" t="str">
        <f t="shared" si="104"/>
        <v>14-01</v>
      </c>
      <c r="E921" s="1">
        <f>_xlfn.IFNA(VLOOKUP('Comp X - Kilter'!B921,'Kilter Holds'!$P$36:$AB$370,6,0),0)</f>
        <v>0</v>
      </c>
      <c r="G921" s="2">
        <f t="shared" si="107"/>
        <v>0</v>
      </c>
      <c r="H921" s="2">
        <f t="shared" si="108"/>
        <v>0</v>
      </c>
    </row>
    <row r="922" spans="2:8">
      <c r="B922" s="3" t="s">
        <v>2479</v>
      </c>
      <c r="C922" s="3" t="s">
        <v>2480</v>
      </c>
      <c r="D922" s="7" t="str">
        <f t="shared" si="104"/>
        <v>15-12</v>
      </c>
      <c r="E922" s="1">
        <f>_xlfn.IFNA(VLOOKUP('Comp X - Kilter'!B922,'Kilter Holds'!$P$36:$AB$370,7,0),0)</f>
        <v>8</v>
      </c>
      <c r="G922" s="2">
        <f t="shared" si="107"/>
        <v>0</v>
      </c>
      <c r="H922" s="2">
        <f t="shared" si="108"/>
        <v>0</v>
      </c>
    </row>
    <row r="923" spans="2:8">
      <c r="B923" s="3" t="s">
        <v>2479</v>
      </c>
      <c r="C923" s="3" t="s">
        <v>2480</v>
      </c>
      <c r="D923" s="8" t="str">
        <f t="shared" si="104"/>
        <v>16-16</v>
      </c>
      <c r="E923" s="1">
        <f>_xlfn.IFNA(VLOOKUP('Comp X - Kilter'!B923,'Kilter Holds'!$P$36:$AB$370,8,0),0)</f>
        <v>5</v>
      </c>
      <c r="G923" s="2">
        <f t="shared" si="107"/>
        <v>0</v>
      </c>
      <c r="H923" s="2">
        <f t="shared" si="108"/>
        <v>0</v>
      </c>
    </row>
    <row r="924" spans="2:8">
      <c r="B924" s="3" t="s">
        <v>2479</v>
      </c>
      <c r="C924" s="3" t="s">
        <v>2480</v>
      </c>
      <c r="D924" s="9" t="str">
        <f t="shared" si="104"/>
        <v>13-01</v>
      </c>
      <c r="E924" s="1">
        <f>_xlfn.IFNA(VLOOKUP('Comp X - Kilter'!B924,'Kilter Holds'!$P$36:$AB$370,9,0),0)</f>
        <v>7</v>
      </c>
      <c r="G924" s="2">
        <f t="shared" si="107"/>
        <v>0</v>
      </c>
      <c r="H924" s="2">
        <f t="shared" si="108"/>
        <v>0</v>
      </c>
    </row>
    <row r="925" spans="2:8">
      <c r="B925" s="3" t="s">
        <v>2479</v>
      </c>
      <c r="C925" s="3" t="s">
        <v>2480</v>
      </c>
      <c r="D925" s="10" t="str">
        <f t="shared" si="104"/>
        <v>07-13</v>
      </c>
      <c r="E925" s="1">
        <f>_xlfn.IFNA(VLOOKUP('Comp X - Kilter'!B925,'Kilter Holds'!$P$36:$AB$370,10,0),0)</f>
        <v>5</v>
      </c>
      <c r="G925" s="2">
        <f t="shared" si="107"/>
        <v>0</v>
      </c>
      <c r="H925" s="2">
        <f t="shared" si="108"/>
        <v>0</v>
      </c>
    </row>
    <row r="926" spans="2:8">
      <c r="B926" s="3" t="s">
        <v>2479</v>
      </c>
      <c r="C926" s="3" t="s">
        <v>2480</v>
      </c>
      <c r="D926" s="11" t="str">
        <f t="shared" si="104"/>
        <v>11-25</v>
      </c>
      <c r="E926" s="1">
        <f>_xlfn.IFNA(VLOOKUP('Comp X - Kilter'!B926,'Kilter Holds'!$P$36:$AB$370,11,0),0)</f>
        <v>0</v>
      </c>
      <c r="G926" s="2">
        <f t="shared" si="107"/>
        <v>0</v>
      </c>
      <c r="H926" s="2">
        <f t="shared" si="108"/>
        <v>0</v>
      </c>
    </row>
    <row r="927" spans="2:8">
      <c r="B927" s="3" t="s">
        <v>2479</v>
      </c>
      <c r="C927" s="3" t="s">
        <v>2480</v>
      </c>
      <c r="D927" s="13" t="str">
        <f t="shared" si="104"/>
        <v>18-01</v>
      </c>
      <c r="E927" s="1">
        <f>_xlfn.IFNA(VLOOKUP('Comp X - Kilter'!B927,'Kilter Holds'!$P$36:$AB$370,12,0),0)</f>
        <v>12</v>
      </c>
      <c r="G927" s="2">
        <f t="shared" si="107"/>
        <v>0</v>
      </c>
      <c r="H927" s="2">
        <f t="shared" si="108"/>
        <v>0</v>
      </c>
    </row>
    <row r="928" spans="2:8">
      <c r="B928" s="3" t="s">
        <v>2479</v>
      </c>
      <c r="C928" s="3" t="s">
        <v>2480</v>
      </c>
      <c r="D928" s="12" t="str">
        <f t="shared" si="104"/>
        <v>12-01</v>
      </c>
      <c r="E928" s="1">
        <f>_xlfn.IFNA(VLOOKUP('Comp X - Kilter'!B928,'Kilter Holds'!$P$36:$AB$370,13,0),0)</f>
        <v>0</v>
      </c>
      <c r="G928" s="2">
        <f t="shared" si="107"/>
        <v>0</v>
      </c>
      <c r="H928" s="2">
        <f t="shared" si="108"/>
        <v>0</v>
      </c>
    </row>
    <row r="929" spans="2:8">
      <c r="B929" s="3" t="s">
        <v>2553</v>
      </c>
      <c r="C929" s="3" t="s">
        <v>2556</v>
      </c>
      <c r="D929" s="5" t="str">
        <f t="shared" si="104"/>
        <v>11-12</v>
      </c>
      <c r="E929" s="1">
        <f>_xlfn.IFNA(VLOOKUP('Comp X - Kilter'!B929,'Kilter Holds'!$P$36:$AB$370,5,0),0)</f>
        <v>7</v>
      </c>
      <c r="G929" s="2">
        <f t="shared" ref="G929:G937" si="109">E929*F929</f>
        <v>0</v>
      </c>
      <c r="H929" s="2">
        <f t="shared" ref="H929:H937" si="110">IF($S$11="Y",G929*0.15,0)</f>
        <v>0</v>
      </c>
    </row>
    <row r="930" spans="2:8">
      <c r="B930" s="3" t="s">
        <v>2553</v>
      </c>
      <c r="C930" s="3" t="s">
        <v>2556</v>
      </c>
      <c r="D930" s="6" t="str">
        <f t="shared" si="104"/>
        <v>14-01</v>
      </c>
      <c r="E930" s="1">
        <f>_xlfn.IFNA(VLOOKUP('Comp X - Kilter'!B930,'Kilter Holds'!$P$36:$AB$370,6,0),0)</f>
        <v>4</v>
      </c>
      <c r="G930" s="2">
        <f t="shared" si="109"/>
        <v>0</v>
      </c>
      <c r="H930" s="2">
        <f t="shared" si="110"/>
        <v>0</v>
      </c>
    </row>
    <row r="931" spans="2:8">
      <c r="B931" s="3" t="s">
        <v>2553</v>
      </c>
      <c r="C931" s="3" t="s">
        <v>2556</v>
      </c>
      <c r="D931" s="7" t="str">
        <f t="shared" si="104"/>
        <v>15-12</v>
      </c>
      <c r="E931" s="1">
        <f>_xlfn.IFNA(VLOOKUP('Comp X - Kilter'!B931,'Kilter Holds'!$P$36:$AB$370,7,0),0)</f>
        <v>6</v>
      </c>
      <c r="G931" s="2">
        <f t="shared" si="109"/>
        <v>0</v>
      </c>
      <c r="H931" s="2">
        <f t="shared" si="110"/>
        <v>0</v>
      </c>
    </row>
    <row r="932" spans="2:8">
      <c r="B932" s="3" t="s">
        <v>2553</v>
      </c>
      <c r="C932" s="3" t="s">
        <v>2556</v>
      </c>
      <c r="D932" s="8" t="str">
        <f t="shared" si="104"/>
        <v>16-16</v>
      </c>
      <c r="E932" s="1">
        <f>_xlfn.IFNA(VLOOKUP('Comp X - Kilter'!B932,'Kilter Holds'!$P$36:$AB$370,8,0),0)</f>
        <v>9</v>
      </c>
      <c r="G932" s="2">
        <f t="shared" si="109"/>
        <v>0</v>
      </c>
      <c r="H932" s="2">
        <f t="shared" si="110"/>
        <v>0</v>
      </c>
    </row>
    <row r="933" spans="2:8">
      <c r="B933" s="3" t="s">
        <v>2553</v>
      </c>
      <c r="C933" s="3" t="s">
        <v>2556</v>
      </c>
      <c r="D933" s="9" t="str">
        <f t="shared" si="104"/>
        <v>13-01</v>
      </c>
      <c r="E933" s="1">
        <f>_xlfn.IFNA(VLOOKUP('Comp X - Kilter'!B933,'Kilter Holds'!$P$36:$AB$370,9,0),0)</f>
        <v>8</v>
      </c>
      <c r="G933" s="2">
        <f t="shared" si="109"/>
        <v>0</v>
      </c>
      <c r="H933" s="2">
        <f t="shared" si="110"/>
        <v>0</v>
      </c>
    </row>
    <row r="934" spans="2:8">
      <c r="B934" s="3" t="s">
        <v>2553</v>
      </c>
      <c r="C934" s="3" t="s">
        <v>2556</v>
      </c>
      <c r="D934" s="10" t="str">
        <f t="shared" si="104"/>
        <v>07-13</v>
      </c>
      <c r="E934" s="1">
        <f>_xlfn.IFNA(VLOOKUP('Comp X - Kilter'!B934,'Kilter Holds'!$P$36:$AB$370,10,0),0)</f>
        <v>3</v>
      </c>
      <c r="G934" s="2">
        <f t="shared" si="109"/>
        <v>0</v>
      </c>
      <c r="H934" s="2">
        <f t="shared" si="110"/>
        <v>0</v>
      </c>
    </row>
    <row r="935" spans="2:8">
      <c r="B935" s="3" t="s">
        <v>2553</v>
      </c>
      <c r="C935" s="3" t="s">
        <v>2556</v>
      </c>
      <c r="D935" s="11" t="str">
        <f t="shared" si="104"/>
        <v>11-25</v>
      </c>
      <c r="E935" s="1">
        <f>_xlfn.IFNA(VLOOKUP('Comp X - Kilter'!B935,'Kilter Holds'!$P$36:$AB$370,11,0),0)</f>
        <v>4</v>
      </c>
      <c r="G935" s="2">
        <f t="shared" si="109"/>
        <v>0</v>
      </c>
      <c r="H935" s="2">
        <f t="shared" si="110"/>
        <v>0</v>
      </c>
    </row>
    <row r="936" spans="2:8">
      <c r="B936" s="3" t="s">
        <v>2553</v>
      </c>
      <c r="C936" s="3" t="s">
        <v>2556</v>
      </c>
      <c r="D936" s="13" t="str">
        <f t="shared" si="104"/>
        <v>18-01</v>
      </c>
      <c r="E936" s="1">
        <f>_xlfn.IFNA(VLOOKUP('Comp X - Kilter'!B936,'Kilter Holds'!$P$36:$AB$370,12,0),0)</f>
        <v>8</v>
      </c>
      <c r="G936" s="2">
        <f t="shared" si="109"/>
        <v>0</v>
      </c>
      <c r="H936" s="2">
        <f t="shared" si="110"/>
        <v>0</v>
      </c>
    </row>
    <row r="937" spans="2:8">
      <c r="B937" s="3" t="s">
        <v>2553</v>
      </c>
      <c r="C937" s="3" t="s">
        <v>2556</v>
      </c>
      <c r="D937" s="12" t="str">
        <f t="shared" si="104"/>
        <v>12-01</v>
      </c>
      <c r="E937" s="1">
        <f>_xlfn.IFNA(VLOOKUP('Comp X - Kilter'!B937,'Kilter Holds'!$P$36:$AB$370,13,0),0)</f>
        <v>0</v>
      </c>
      <c r="G937" s="2">
        <f t="shared" si="109"/>
        <v>0</v>
      </c>
      <c r="H937" s="2">
        <f t="shared" si="110"/>
        <v>0</v>
      </c>
    </row>
    <row r="938" spans="2:8">
      <c r="B938" s="3" t="s">
        <v>2546</v>
      </c>
      <c r="C938" s="3" t="s">
        <v>2547</v>
      </c>
      <c r="D938" s="5" t="str">
        <f t="shared" ref="D938:D955" si="111">D641</f>
        <v>11-12</v>
      </c>
      <c r="E938" s="1">
        <f>_xlfn.IFNA(VLOOKUP('Comp X - Kilter'!B938,'Kilter Holds'!$P$36:$AB$370,5,0),0)</f>
        <v>7</v>
      </c>
      <c r="G938" s="2">
        <f t="shared" ref="G938:G946" si="112">E938*F938</f>
        <v>0</v>
      </c>
      <c r="H938" s="2">
        <f t="shared" ref="H938:H946" si="113">IF($S$11="Y",G938*0.15,0)</f>
        <v>0</v>
      </c>
    </row>
    <row r="939" spans="2:8">
      <c r="B939" s="3" t="s">
        <v>2546</v>
      </c>
      <c r="C939" s="3" t="s">
        <v>2547</v>
      </c>
      <c r="D939" s="6" t="str">
        <f t="shared" si="111"/>
        <v>14-01</v>
      </c>
      <c r="E939" s="1">
        <f>_xlfn.IFNA(VLOOKUP('Comp X - Kilter'!B939,'Kilter Holds'!$P$36:$AB$370,6,0),0)</f>
        <v>3</v>
      </c>
      <c r="G939" s="2">
        <f t="shared" si="112"/>
        <v>0</v>
      </c>
      <c r="H939" s="2">
        <f t="shared" si="113"/>
        <v>0</v>
      </c>
    </row>
    <row r="940" spans="2:8">
      <c r="B940" s="3" t="s">
        <v>2546</v>
      </c>
      <c r="C940" s="3" t="s">
        <v>2547</v>
      </c>
      <c r="D940" s="7" t="str">
        <f t="shared" si="111"/>
        <v>15-12</v>
      </c>
      <c r="E940" s="1">
        <f>_xlfn.IFNA(VLOOKUP('Comp X - Kilter'!B940,'Kilter Holds'!$P$36:$AB$370,7,0),0)</f>
        <v>5</v>
      </c>
      <c r="G940" s="2">
        <f t="shared" si="112"/>
        <v>0</v>
      </c>
      <c r="H940" s="2">
        <f t="shared" si="113"/>
        <v>0</v>
      </c>
    </row>
    <row r="941" spans="2:8">
      <c r="B941" s="3" t="s">
        <v>2546</v>
      </c>
      <c r="C941" s="3" t="s">
        <v>2547</v>
      </c>
      <c r="D941" s="8" t="str">
        <f t="shared" si="111"/>
        <v>16-16</v>
      </c>
      <c r="E941" s="1">
        <f>_xlfn.IFNA(VLOOKUP('Comp X - Kilter'!B941,'Kilter Holds'!$P$36:$AB$370,8,0),0)</f>
        <v>5</v>
      </c>
      <c r="G941" s="2">
        <f t="shared" si="112"/>
        <v>0</v>
      </c>
      <c r="H941" s="2">
        <f t="shared" si="113"/>
        <v>0</v>
      </c>
    </row>
    <row r="942" spans="2:8">
      <c r="B942" s="3" t="s">
        <v>2546</v>
      </c>
      <c r="C942" s="3" t="s">
        <v>2547</v>
      </c>
      <c r="D942" s="9" t="str">
        <f t="shared" si="111"/>
        <v>13-01</v>
      </c>
      <c r="E942" s="1">
        <f>_xlfn.IFNA(VLOOKUP('Comp X - Kilter'!B942,'Kilter Holds'!$P$36:$AB$370,9,0),0)</f>
        <v>5</v>
      </c>
      <c r="G942" s="2">
        <f t="shared" si="112"/>
        <v>0</v>
      </c>
      <c r="H942" s="2">
        <f t="shared" si="113"/>
        <v>0</v>
      </c>
    </row>
    <row r="943" spans="2:8">
      <c r="B943" s="3" t="s">
        <v>2546</v>
      </c>
      <c r="C943" s="3" t="s">
        <v>2547</v>
      </c>
      <c r="D943" s="10" t="str">
        <f t="shared" si="111"/>
        <v>07-13</v>
      </c>
      <c r="E943" s="1">
        <f>_xlfn.IFNA(VLOOKUP('Comp X - Kilter'!B943,'Kilter Holds'!$P$36:$AB$370,10,0),0)</f>
        <v>4</v>
      </c>
      <c r="G943" s="2">
        <f t="shared" si="112"/>
        <v>0</v>
      </c>
      <c r="H943" s="2">
        <f t="shared" si="113"/>
        <v>0</v>
      </c>
    </row>
    <row r="944" spans="2:8">
      <c r="B944" s="3" t="s">
        <v>2546</v>
      </c>
      <c r="C944" s="3" t="s">
        <v>2547</v>
      </c>
      <c r="D944" s="11" t="str">
        <f t="shared" si="111"/>
        <v>11-25</v>
      </c>
      <c r="E944" s="1">
        <f>_xlfn.IFNA(VLOOKUP('Comp X - Kilter'!B944,'Kilter Holds'!$P$36:$AB$370,11,0),0)</f>
        <v>4</v>
      </c>
      <c r="G944" s="2">
        <f t="shared" si="112"/>
        <v>0</v>
      </c>
      <c r="H944" s="2">
        <f t="shared" si="113"/>
        <v>0</v>
      </c>
    </row>
    <row r="945" spans="2:8">
      <c r="B945" s="3" t="s">
        <v>2546</v>
      </c>
      <c r="C945" s="3" t="s">
        <v>2547</v>
      </c>
      <c r="D945" s="13" t="str">
        <f t="shared" si="111"/>
        <v>18-01</v>
      </c>
      <c r="E945" s="1">
        <f>_xlfn.IFNA(VLOOKUP('Comp X - Kilter'!B945,'Kilter Holds'!$P$36:$AB$370,12,0),0)</f>
        <v>4</v>
      </c>
      <c r="G945" s="2">
        <f t="shared" si="112"/>
        <v>0</v>
      </c>
      <c r="H945" s="2">
        <f t="shared" si="113"/>
        <v>0</v>
      </c>
    </row>
    <row r="946" spans="2:8">
      <c r="B946" s="3" t="s">
        <v>2546</v>
      </c>
      <c r="C946" s="3" t="s">
        <v>2547</v>
      </c>
      <c r="D946" s="12" t="str">
        <f t="shared" si="111"/>
        <v>12-01</v>
      </c>
      <c r="E946" s="1">
        <f>_xlfn.IFNA(VLOOKUP('Comp X - Kilter'!B946,'Kilter Holds'!$P$36:$AB$370,13,0),0)</f>
        <v>0</v>
      </c>
      <c r="G946" s="2">
        <f t="shared" si="112"/>
        <v>0</v>
      </c>
      <c r="H946" s="2">
        <f t="shared" si="113"/>
        <v>0</v>
      </c>
    </row>
    <row r="947" spans="2:8">
      <c r="B947" s="3" t="s">
        <v>2555</v>
      </c>
      <c r="C947" s="3" t="s">
        <v>2557</v>
      </c>
      <c r="D947" s="5" t="str">
        <f t="shared" si="111"/>
        <v>11-12</v>
      </c>
      <c r="E947" s="1">
        <f>_xlfn.IFNA(VLOOKUP('Comp X - Kilter'!B947,'Kilter Holds'!$P$36:$AB$370,5,0),0)</f>
        <v>6</v>
      </c>
      <c r="G947" s="2">
        <f t="shared" ref="G947:G955" si="114">E947*F947</f>
        <v>0</v>
      </c>
      <c r="H947" s="2">
        <f t="shared" ref="H947:H955" si="115">IF($S$11="Y",G947*0.15,0)</f>
        <v>0</v>
      </c>
    </row>
    <row r="948" spans="2:8">
      <c r="B948" s="3" t="s">
        <v>2555</v>
      </c>
      <c r="C948" s="3" t="s">
        <v>2557</v>
      </c>
      <c r="D948" s="6" t="str">
        <f t="shared" si="111"/>
        <v>14-01</v>
      </c>
      <c r="E948" s="1">
        <f>_xlfn.IFNA(VLOOKUP('Comp X - Kilter'!B948,'Kilter Holds'!$P$36:$AB$370,6,0),0)</f>
        <v>0</v>
      </c>
      <c r="G948" s="2">
        <f t="shared" si="114"/>
        <v>0</v>
      </c>
      <c r="H948" s="2">
        <f t="shared" si="115"/>
        <v>0</v>
      </c>
    </row>
    <row r="949" spans="2:8">
      <c r="B949" s="3" t="s">
        <v>2555</v>
      </c>
      <c r="C949" s="3" t="s">
        <v>2557</v>
      </c>
      <c r="D949" s="7" t="str">
        <f t="shared" si="111"/>
        <v>15-12</v>
      </c>
      <c r="E949" s="1">
        <f>_xlfn.IFNA(VLOOKUP('Comp X - Kilter'!B949,'Kilter Holds'!$P$36:$AB$370,7,0),0)</f>
        <v>6</v>
      </c>
      <c r="G949" s="2">
        <f t="shared" si="114"/>
        <v>0</v>
      </c>
      <c r="H949" s="2">
        <f t="shared" si="115"/>
        <v>0</v>
      </c>
    </row>
    <row r="950" spans="2:8">
      <c r="B950" s="3" t="s">
        <v>2555</v>
      </c>
      <c r="C950" s="3" t="s">
        <v>2557</v>
      </c>
      <c r="D950" s="8" t="str">
        <f t="shared" si="111"/>
        <v>16-16</v>
      </c>
      <c r="E950" s="1">
        <f>_xlfn.IFNA(VLOOKUP('Comp X - Kilter'!B950,'Kilter Holds'!$P$36:$AB$370,8,0),0)</f>
        <v>4</v>
      </c>
      <c r="G950" s="2">
        <f t="shared" si="114"/>
        <v>0</v>
      </c>
      <c r="H950" s="2">
        <f t="shared" si="115"/>
        <v>0</v>
      </c>
    </row>
    <row r="951" spans="2:8">
      <c r="B951" s="3" t="s">
        <v>2555</v>
      </c>
      <c r="C951" s="3" t="s">
        <v>2557</v>
      </c>
      <c r="D951" s="9" t="str">
        <f t="shared" si="111"/>
        <v>13-01</v>
      </c>
      <c r="E951" s="1">
        <f>_xlfn.IFNA(VLOOKUP('Comp X - Kilter'!B951,'Kilter Holds'!$P$36:$AB$370,9,0),0)</f>
        <v>3</v>
      </c>
      <c r="G951" s="2">
        <f t="shared" si="114"/>
        <v>0</v>
      </c>
      <c r="H951" s="2">
        <f t="shared" si="115"/>
        <v>0</v>
      </c>
    </row>
    <row r="952" spans="2:8">
      <c r="B952" s="3" t="s">
        <v>2555</v>
      </c>
      <c r="C952" s="3" t="s">
        <v>2557</v>
      </c>
      <c r="D952" s="10" t="str">
        <f t="shared" si="111"/>
        <v>07-13</v>
      </c>
      <c r="E952" s="1">
        <f>_xlfn.IFNA(VLOOKUP('Comp X - Kilter'!B952,'Kilter Holds'!$P$36:$AB$370,10,0),0)</f>
        <v>3</v>
      </c>
      <c r="G952" s="2">
        <f t="shared" si="114"/>
        <v>0</v>
      </c>
      <c r="H952" s="2">
        <f t="shared" si="115"/>
        <v>0</v>
      </c>
    </row>
    <row r="953" spans="2:8">
      <c r="B953" s="3" t="s">
        <v>2555</v>
      </c>
      <c r="C953" s="3" t="s">
        <v>2557</v>
      </c>
      <c r="D953" s="11" t="str">
        <f t="shared" si="111"/>
        <v>11-25</v>
      </c>
      <c r="E953" s="1">
        <f>_xlfn.IFNA(VLOOKUP('Comp X - Kilter'!B953,'Kilter Holds'!$P$36:$AB$370,11,0),0)</f>
        <v>5</v>
      </c>
      <c r="G953" s="2">
        <f t="shared" si="114"/>
        <v>0</v>
      </c>
      <c r="H953" s="2">
        <f t="shared" si="115"/>
        <v>0</v>
      </c>
    </row>
    <row r="954" spans="2:8">
      <c r="B954" s="3" t="s">
        <v>2555</v>
      </c>
      <c r="C954" s="3" t="s">
        <v>2557</v>
      </c>
      <c r="D954" s="13" t="str">
        <f t="shared" si="111"/>
        <v>18-01</v>
      </c>
      <c r="E954" s="1">
        <f>_xlfn.IFNA(VLOOKUP('Comp X - Kilter'!B954,'Kilter Holds'!$P$36:$AB$370,12,0),0)</f>
        <v>10</v>
      </c>
      <c r="G954" s="2">
        <f t="shared" si="114"/>
        <v>0</v>
      </c>
      <c r="H954" s="2">
        <f t="shared" si="115"/>
        <v>0</v>
      </c>
    </row>
    <row r="955" spans="2:8">
      <c r="B955" s="3" t="s">
        <v>2555</v>
      </c>
      <c r="C955" s="3" t="s">
        <v>2557</v>
      </c>
      <c r="D955" s="12" t="str">
        <f t="shared" si="111"/>
        <v>12-01</v>
      </c>
      <c r="E955" s="1">
        <f>_xlfn.IFNA(VLOOKUP('Comp X - Kilter'!B955,'Kilter Holds'!$P$36:$AB$370,13,0),0)</f>
        <v>2</v>
      </c>
      <c r="G955" s="2">
        <f t="shared" si="114"/>
        <v>0</v>
      </c>
      <c r="H955" s="2">
        <f t="shared" si="115"/>
        <v>0</v>
      </c>
    </row>
    <row r="956" spans="2:8">
      <c r="B956" s="3" t="s">
        <v>2481</v>
      </c>
      <c r="C956" s="3" t="s">
        <v>2482</v>
      </c>
      <c r="D956" s="5" t="str">
        <f t="shared" ref="D956:D982" si="116">D641</f>
        <v>11-12</v>
      </c>
      <c r="E956" s="1">
        <f>_xlfn.IFNA(VLOOKUP('Comp X - Kilter'!B956,'Kilter Holds'!$P$36:$AB$370,5,0),0)</f>
        <v>4</v>
      </c>
      <c r="G956" s="2">
        <f t="shared" ref="G956:G964" si="117">E956*F956</f>
        <v>0</v>
      </c>
      <c r="H956" s="2">
        <f t="shared" ref="H956:H964" si="118">IF($S$11="Y",G956*0.15,0)</f>
        <v>0</v>
      </c>
    </row>
    <row r="957" spans="2:8">
      <c r="B957" s="3" t="s">
        <v>2481</v>
      </c>
      <c r="C957" s="3" t="s">
        <v>2482</v>
      </c>
      <c r="D957" s="6" t="str">
        <f t="shared" si="116"/>
        <v>14-01</v>
      </c>
      <c r="E957" s="1">
        <f>_xlfn.IFNA(VLOOKUP('Comp X - Kilter'!B957,'Kilter Holds'!$P$36:$AB$370,6,0),0)</f>
        <v>0</v>
      </c>
      <c r="G957" s="2">
        <f t="shared" si="117"/>
        <v>0</v>
      </c>
      <c r="H957" s="2">
        <f t="shared" si="118"/>
        <v>0</v>
      </c>
    </row>
    <row r="958" spans="2:8">
      <c r="B958" s="3" t="s">
        <v>2481</v>
      </c>
      <c r="C958" s="3" t="s">
        <v>2482</v>
      </c>
      <c r="D958" s="7" t="str">
        <f t="shared" si="116"/>
        <v>15-12</v>
      </c>
      <c r="E958" s="1">
        <f>_xlfn.IFNA(VLOOKUP('Comp X - Kilter'!B958,'Kilter Holds'!$P$36:$AB$370,7,0),0)</f>
        <v>7</v>
      </c>
      <c r="G958" s="2">
        <f t="shared" si="117"/>
        <v>0</v>
      </c>
      <c r="H958" s="2">
        <f t="shared" si="118"/>
        <v>0</v>
      </c>
    </row>
    <row r="959" spans="2:8">
      <c r="B959" s="3" t="s">
        <v>2481</v>
      </c>
      <c r="C959" s="3" t="s">
        <v>2482</v>
      </c>
      <c r="D959" s="8" t="str">
        <f t="shared" si="116"/>
        <v>16-16</v>
      </c>
      <c r="E959" s="1">
        <f>_xlfn.IFNA(VLOOKUP('Comp X - Kilter'!B959,'Kilter Holds'!$P$36:$AB$370,8,0),0)</f>
        <v>8</v>
      </c>
      <c r="G959" s="2">
        <f t="shared" si="117"/>
        <v>0</v>
      </c>
      <c r="H959" s="2">
        <f t="shared" si="118"/>
        <v>0</v>
      </c>
    </row>
    <row r="960" spans="2:8">
      <c r="B960" s="3" t="s">
        <v>2481</v>
      </c>
      <c r="C960" s="3" t="s">
        <v>2482</v>
      </c>
      <c r="D960" s="9" t="str">
        <f t="shared" si="116"/>
        <v>13-01</v>
      </c>
      <c r="E960" s="1">
        <f>_xlfn.IFNA(VLOOKUP('Comp X - Kilter'!B960,'Kilter Holds'!$P$36:$AB$370,9,0),0)</f>
        <v>10</v>
      </c>
      <c r="G960" s="2">
        <f t="shared" si="117"/>
        <v>0</v>
      </c>
      <c r="H960" s="2">
        <f t="shared" si="118"/>
        <v>0</v>
      </c>
    </row>
    <row r="961" spans="2:8">
      <c r="B961" s="3" t="s">
        <v>2481</v>
      </c>
      <c r="C961" s="3" t="s">
        <v>2482</v>
      </c>
      <c r="D961" s="10" t="str">
        <f t="shared" si="116"/>
        <v>07-13</v>
      </c>
      <c r="E961" s="1">
        <f>_xlfn.IFNA(VLOOKUP('Comp X - Kilter'!B961,'Kilter Holds'!$P$36:$AB$370,10,0),0)</f>
        <v>5</v>
      </c>
      <c r="G961" s="2">
        <f t="shared" si="117"/>
        <v>0</v>
      </c>
      <c r="H961" s="2">
        <f t="shared" si="118"/>
        <v>0</v>
      </c>
    </row>
    <row r="962" spans="2:8">
      <c r="B962" s="3" t="s">
        <v>2481</v>
      </c>
      <c r="C962" s="3" t="s">
        <v>2482</v>
      </c>
      <c r="D962" s="11" t="str">
        <f t="shared" si="116"/>
        <v>11-25</v>
      </c>
      <c r="E962" s="1">
        <f>_xlfn.IFNA(VLOOKUP('Comp X - Kilter'!B962,'Kilter Holds'!$P$36:$AB$370,11,0),0)</f>
        <v>4</v>
      </c>
      <c r="G962" s="2">
        <f t="shared" si="117"/>
        <v>0</v>
      </c>
      <c r="H962" s="2">
        <f t="shared" si="118"/>
        <v>0</v>
      </c>
    </row>
    <row r="963" spans="2:8">
      <c r="B963" s="3" t="s">
        <v>2481</v>
      </c>
      <c r="C963" s="3" t="s">
        <v>2482</v>
      </c>
      <c r="D963" s="13" t="str">
        <f t="shared" si="116"/>
        <v>18-01</v>
      </c>
      <c r="E963" s="1">
        <f>_xlfn.IFNA(VLOOKUP('Comp X - Kilter'!B963,'Kilter Holds'!$P$36:$AB$370,12,0),0)</f>
        <v>11</v>
      </c>
      <c r="G963" s="2">
        <f t="shared" si="117"/>
        <v>0</v>
      </c>
      <c r="H963" s="2">
        <f t="shared" si="118"/>
        <v>0</v>
      </c>
    </row>
    <row r="964" spans="2:8">
      <c r="B964" s="3" t="s">
        <v>2481</v>
      </c>
      <c r="C964" s="3" t="s">
        <v>2482</v>
      </c>
      <c r="D964" s="12" t="str">
        <f t="shared" si="116"/>
        <v>12-01</v>
      </c>
      <c r="E964" s="1">
        <f>_xlfn.IFNA(VLOOKUP('Comp X - Kilter'!B964,'Kilter Holds'!$P$36:$AB$370,13,0),0)</f>
        <v>0</v>
      </c>
      <c r="G964" s="2">
        <f t="shared" si="117"/>
        <v>0</v>
      </c>
      <c r="H964" s="2">
        <f t="shared" si="118"/>
        <v>0</v>
      </c>
    </row>
    <row r="965" spans="2:8">
      <c r="B965" s="3" t="s">
        <v>2512</v>
      </c>
      <c r="C965" s="3" t="s">
        <v>2513</v>
      </c>
      <c r="D965" s="5" t="str">
        <f t="shared" si="116"/>
        <v>11-12</v>
      </c>
      <c r="E965" s="1">
        <f>_xlfn.IFNA(VLOOKUP('Comp X - Kilter'!B965,'Kilter Holds'!$P$36:$AB$370,5,0),0)</f>
        <v>5</v>
      </c>
      <c r="G965" s="2">
        <f t="shared" ref="G965:G973" si="119">E965*F965</f>
        <v>0</v>
      </c>
      <c r="H965" s="2">
        <f t="shared" ref="H965:H973" si="120">IF($S$11="Y",G965*0.15,0)</f>
        <v>0</v>
      </c>
    </row>
    <row r="966" spans="2:8">
      <c r="B966" s="3" t="s">
        <v>2512</v>
      </c>
      <c r="C966" s="3" t="s">
        <v>2513</v>
      </c>
      <c r="D966" s="6" t="str">
        <f t="shared" si="116"/>
        <v>14-01</v>
      </c>
      <c r="E966" s="1">
        <f>_xlfn.IFNA(VLOOKUP('Comp X - Kilter'!B966,'Kilter Holds'!$P$36:$AB$370,6,0),0)</f>
        <v>4</v>
      </c>
      <c r="G966" s="2">
        <f t="shared" si="119"/>
        <v>0</v>
      </c>
      <c r="H966" s="2">
        <f t="shared" si="120"/>
        <v>0</v>
      </c>
    </row>
    <row r="967" spans="2:8">
      <c r="B967" s="3" t="s">
        <v>2512</v>
      </c>
      <c r="C967" s="3" t="s">
        <v>2513</v>
      </c>
      <c r="D967" s="7" t="str">
        <f t="shared" si="116"/>
        <v>15-12</v>
      </c>
      <c r="E967" s="1">
        <f>_xlfn.IFNA(VLOOKUP('Comp X - Kilter'!B967,'Kilter Holds'!$P$36:$AB$370,7,0),0)</f>
        <v>6</v>
      </c>
      <c r="G967" s="2">
        <f t="shared" si="119"/>
        <v>0</v>
      </c>
      <c r="H967" s="2">
        <f t="shared" si="120"/>
        <v>0</v>
      </c>
    </row>
    <row r="968" spans="2:8">
      <c r="B968" s="3" t="s">
        <v>2512</v>
      </c>
      <c r="C968" s="3" t="s">
        <v>2513</v>
      </c>
      <c r="D968" s="8" t="str">
        <f t="shared" si="116"/>
        <v>16-16</v>
      </c>
      <c r="E968" s="1">
        <f>_xlfn.IFNA(VLOOKUP('Comp X - Kilter'!B968,'Kilter Holds'!$P$36:$AB$370,8,0),0)</f>
        <v>9</v>
      </c>
      <c r="G968" s="2">
        <f t="shared" si="119"/>
        <v>0</v>
      </c>
      <c r="H968" s="2">
        <f t="shared" si="120"/>
        <v>0</v>
      </c>
    </row>
    <row r="969" spans="2:8">
      <c r="B969" s="3" t="s">
        <v>2512</v>
      </c>
      <c r="C969" s="3" t="s">
        <v>2513</v>
      </c>
      <c r="D969" s="9" t="str">
        <f t="shared" si="116"/>
        <v>13-01</v>
      </c>
      <c r="E969" s="1">
        <f>_xlfn.IFNA(VLOOKUP('Comp X - Kilter'!B969,'Kilter Holds'!$P$36:$AB$370,9,0),0)</f>
        <v>8</v>
      </c>
      <c r="G969" s="2">
        <f t="shared" si="119"/>
        <v>0</v>
      </c>
      <c r="H969" s="2">
        <f t="shared" si="120"/>
        <v>0</v>
      </c>
    </row>
    <row r="970" spans="2:8">
      <c r="B970" s="3" t="s">
        <v>2512</v>
      </c>
      <c r="C970" s="3" t="s">
        <v>2513</v>
      </c>
      <c r="D970" s="10" t="str">
        <f t="shared" si="116"/>
        <v>07-13</v>
      </c>
      <c r="E970" s="1">
        <f>_xlfn.IFNA(VLOOKUP('Comp X - Kilter'!B970,'Kilter Holds'!$P$36:$AB$370,10,0),0)</f>
        <v>3</v>
      </c>
      <c r="G970" s="2">
        <f t="shared" si="119"/>
        <v>0</v>
      </c>
      <c r="H970" s="2">
        <f t="shared" si="120"/>
        <v>0</v>
      </c>
    </row>
    <row r="971" spans="2:8">
      <c r="B971" s="3" t="s">
        <v>2512</v>
      </c>
      <c r="C971" s="3" t="s">
        <v>2513</v>
      </c>
      <c r="D971" s="11" t="str">
        <f t="shared" si="116"/>
        <v>11-25</v>
      </c>
      <c r="E971" s="1">
        <f>_xlfn.IFNA(VLOOKUP('Comp X - Kilter'!B971,'Kilter Holds'!$P$36:$AB$370,11,0),0)</f>
        <v>4</v>
      </c>
      <c r="G971" s="2">
        <f t="shared" si="119"/>
        <v>0</v>
      </c>
      <c r="H971" s="2">
        <f t="shared" si="120"/>
        <v>0</v>
      </c>
    </row>
    <row r="972" spans="2:8">
      <c r="B972" s="3" t="s">
        <v>2512</v>
      </c>
      <c r="C972" s="3" t="s">
        <v>2513</v>
      </c>
      <c r="D972" s="13" t="str">
        <f t="shared" si="116"/>
        <v>18-01</v>
      </c>
      <c r="E972" s="1">
        <f>_xlfn.IFNA(VLOOKUP('Comp X - Kilter'!B972,'Kilter Holds'!$P$36:$AB$370,12,0),0)</f>
        <v>9</v>
      </c>
      <c r="G972" s="2">
        <f t="shared" si="119"/>
        <v>0</v>
      </c>
      <c r="H972" s="2">
        <f t="shared" si="120"/>
        <v>0</v>
      </c>
    </row>
    <row r="973" spans="2:8">
      <c r="B973" s="3" t="s">
        <v>2512</v>
      </c>
      <c r="C973" s="3" t="s">
        <v>2513</v>
      </c>
      <c r="D973" s="12" t="str">
        <f t="shared" si="116"/>
        <v>12-01</v>
      </c>
      <c r="E973" s="1">
        <f>_xlfn.IFNA(VLOOKUP('Comp X - Kilter'!B973,'Kilter Holds'!$P$36:$AB$370,13,0),0)</f>
        <v>0</v>
      </c>
      <c r="G973" s="2">
        <f t="shared" si="119"/>
        <v>0</v>
      </c>
      <c r="H973" s="2">
        <f t="shared" si="120"/>
        <v>0</v>
      </c>
    </row>
    <row r="974" spans="2:8">
      <c r="B974" s="3" t="s">
        <v>2559</v>
      </c>
      <c r="C974" s="3" t="s">
        <v>2560</v>
      </c>
      <c r="D974" s="5" t="str">
        <f t="shared" si="116"/>
        <v>11-12</v>
      </c>
      <c r="E974" s="1">
        <f>_xlfn.IFNA(VLOOKUP('Comp X - Kilter'!B974,'Kilter Holds'!$P$36:$AB$370,5,0),0)</f>
        <v>6</v>
      </c>
      <c r="G974" s="2">
        <f t="shared" ref="G974:G982" si="121">E974*F974</f>
        <v>0</v>
      </c>
      <c r="H974" s="2">
        <f t="shared" ref="H974:H982" si="122">IF($S$11="Y",G974*0.15,0)</f>
        <v>0</v>
      </c>
    </row>
    <row r="975" spans="2:8">
      <c r="B975" s="3" t="s">
        <v>2559</v>
      </c>
      <c r="C975" s="3" t="s">
        <v>2560</v>
      </c>
      <c r="D975" s="6" t="str">
        <f t="shared" si="116"/>
        <v>14-01</v>
      </c>
      <c r="E975" s="1">
        <f>_xlfn.IFNA(VLOOKUP('Comp X - Kilter'!B975,'Kilter Holds'!$P$36:$AB$370,6,0),0)</f>
        <v>4</v>
      </c>
      <c r="G975" s="2">
        <f t="shared" si="121"/>
        <v>0</v>
      </c>
      <c r="H975" s="2">
        <f t="shared" si="122"/>
        <v>0</v>
      </c>
    </row>
    <row r="976" spans="2:8">
      <c r="B976" s="3" t="s">
        <v>2559</v>
      </c>
      <c r="C976" s="3" t="s">
        <v>2560</v>
      </c>
      <c r="D976" s="7" t="str">
        <f t="shared" si="116"/>
        <v>15-12</v>
      </c>
      <c r="E976" s="1">
        <f>_xlfn.IFNA(VLOOKUP('Comp X - Kilter'!B976,'Kilter Holds'!$P$36:$AB$370,7,0),0)</f>
        <v>5</v>
      </c>
      <c r="G976" s="2">
        <f t="shared" si="121"/>
        <v>0</v>
      </c>
      <c r="H976" s="2">
        <f t="shared" si="122"/>
        <v>0</v>
      </c>
    </row>
    <row r="977" spans="1:8">
      <c r="B977" s="3" t="s">
        <v>2559</v>
      </c>
      <c r="C977" s="3" t="s">
        <v>2560</v>
      </c>
      <c r="D977" s="8" t="str">
        <f t="shared" si="116"/>
        <v>16-16</v>
      </c>
      <c r="E977" s="1">
        <f>_xlfn.IFNA(VLOOKUP('Comp X - Kilter'!B977,'Kilter Holds'!$P$36:$AB$370,8,0),0)</f>
        <v>1</v>
      </c>
      <c r="G977" s="2">
        <f t="shared" si="121"/>
        <v>0</v>
      </c>
      <c r="H977" s="2">
        <f t="shared" si="122"/>
        <v>0</v>
      </c>
    </row>
    <row r="978" spans="1:8">
      <c r="B978" s="3" t="s">
        <v>2559</v>
      </c>
      <c r="C978" s="3" t="s">
        <v>2560</v>
      </c>
      <c r="D978" s="9" t="str">
        <f t="shared" si="116"/>
        <v>13-01</v>
      </c>
      <c r="E978" s="1">
        <f>_xlfn.IFNA(VLOOKUP('Comp X - Kilter'!B978,'Kilter Holds'!$P$36:$AB$370,9,0),0)</f>
        <v>4</v>
      </c>
      <c r="G978" s="2">
        <f t="shared" si="121"/>
        <v>0</v>
      </c>
      <c r="H978" s="2">
        <f t="shared" si="122"/>
        <v>0</v>
      </c>
    </row>
    <row r="979" spans="1:8">
      <c r="B979" s="3" t="s">
        <v>2559</v>
      </c>
      <c r="C979" s="3" t="s">
        <v>2560</v>
      </c>
      <c r="D979" s="10" t="str">
        <f t="shared" si="116"/>
        <v>07-13</v>
      </c>
      <c r="E979" s="1">
        <f>_xlfn.IFNA(VLOOKUP('Comp X - Kilter'!B979,'Kilter Holds'!$P$36:$AB$370,10,0),0)</f>
        <v>5</v>
      </c>
      <c r="G979" s="2">
        <f t="shared" si="121"/>
        <v>0</v>
      </c>
      <c r="H979" s="2">
        <f t="shared" si="122"/>
        <v>0</v>
      </c>
    </row>
    <row r="980" spans="1:8">
      <c r="B980" s="3" t="s">
        <v>2559</v>
      </c>
      <c r="C980" s="3" t="s">
        <v>2560</v>
      </c>
      <c r="D980" s="11" t="str">
        <f t="shared" si="116"/>
        <v>11-25</v>
      </c>
      <c r="E980" s="1">
        <f>_xlfn.IFNA(VLOOKUP('Comp X - Kilter'!B980,'Kilter Holds'!$P$36:$AB$370,11,0),0)</f>
        <v>5</v>
      </c>
      <c r="G980" s="2">
        <f t="shared" si="121"/>
        <v>0</v>
      </c>
      <c r="H980" s="2">
        <f t="shared" si="122"/>
        <v>0</v>
      </c>
    </row>
    <row r="981" spans="1:8">
      <c r="B981" s="3" t="s">
        <v>2559</v>
      </c>
      <c r="C981" s="3" t="s">
        <v>2560</v>
      </c>
      <c r="D981" s="13" t="str">
        <f t="shared" si="116"/>
        <v>18-01</v>
      </c>
      <c r="E981" s="1">
        <f>_xlfn.IFNA(VLOOKUP('Comp X - Kilter'!B981,'Kilter Holds'!$P$36:$AB$370,12,0),0)</f>
        <v>6</v>
      </c>
      <c r="G981" s="2">
        <f t="shared" si="121"/>
        <v>0</v>
      </c>
      <c r="H981" s="2">
        <f t="shared" si="122"/>
        <v>0</v>
      </c>
    </row>
    <row r="982" spans="1:8">
      <c r="B982" s="3" t="s">
        <v>2559</v>
      </c>
      <c r="C982" s="3" t="s">
        <v>2560</v>
      </c>
      <c r="D982" s="12" t="str">
        <f t="shared" si="116"/>
        <v>12-01</v>
      </c>
      <c r="E982" s="1">
        <f>_xlfn.IFNA(VLOOKUP('Comp X - Kilter'!B982,'Kilter Holds'!$P$36:$AB$370,13,0),0)</f>
        <v>3</v>
      </c>
      <c r="G982" s="2">
        <f t="shared" si="121"/>
        <v>0</v>
      </c>
      <c r="H982" s="2">
        <f t="shared" si="122"/>
        <v>0</v>
      </c>
    </row>
    <row r="983" spans="1:8">
      <c r="B983" s="3" t="s">
        <v>2511</v>
      </c>
      <c r="C983" s="3" t="s">
        <v>2514</v>
      </c>
      <c r="D983" s="5" t="str">
        <f t="shared" ref="D983:D1046" si="123">D650</f>
        <v>11-12</v>
      </c>
      <c r="E983" s="1">
        <f>_xlfn.IFNA(VLOOKUP('Comp X - Kilter'!B983,'Kilter Holds'!$P$36:$AB$370,5,0),0)</f>
        <v>6</v>
      </c>
      <c r="G983" s="2">
        <f t="shared" ref="G983:G991" si="124">E983*F983</f>
        <v>0</v>
      </c>
      <c r="H983" s="2">
        <f t="shared" ref="H983:H991" si="125">IF($S$11="Y",G983*0.15,0)</f>
        <v>0</v>
      </c>
    </row>
    <row r="984" spans="1:8">
      <c r="B984" s="3" t="s">
        <v>2511</v>
      </c>
      <c r="C984" s="3" t="s">
        <v>2514</v>
      </c>
      <c r="D984" s="6" t="str">
        <f t="shared" si="123"/>
        <v>14-01</v>
      </c>
      <c r="E984" s="1">
        <f>_xlfn.IFNA(VLOOKUP('Comp X - Kilter'!B984,'Kilter Holds'!$P$36:$AB$370,6,0),0)</f>
        <v>5</v>
      </c>
      <c r="G984" s="2">
        <f t="shared" si="124"/>
        <v>0</v>
      </c>
      <c r="H984" s="2">
        <f t="shared" si="125"/>
        <v>0</v>
      </c>
    </row>
    <row r="985" spans="1:8">
      <c r="B985" s="3" t="s">
        <v>2511</v>
      </c>
      <c r="C985" s="3" t="s">
        <v>2514</v>
      </c>
      <c r="D985" s="7" t="str">
        <f t="shared" si="123"/>
        <v>15-12</v>
      </c>
      <c r="E985" s="1">
        <f>_xlfn.IFNA(VLOOKUP('Comp X - Kilter'!B985,'Kilter Holds'!$P$36:$AB$370,7,0),0)</f>
        <v>7</v>
      </c>
      <c r="G985" s="2">
        <f t="shared" si="124"/>
        <v>0</v>
      </c>
      <c r="H985" s="2">
        <f t="shared" si="125"/>
        <v>0</v>
      </c>
    </row>
    <row r="986" spans="1:8">
      <c r="B986" s="3" t="s">
        <v>2511</v>
      </c>
      <c r="C986" s="3" t="s">
        <v>2514</v>
      </c>
      <c r="D986" s="8" t="str">
        <f t="shared" si="123"/>
        <v>16-16</v>
      </c>
      <c r="E986" s="1">
        <f>_xlfn.IFNA(VLOOKUP('Comp X - Kilter'!B986,'Kilter Holds'!$P$36:$AB$370,8,0),0)</f>
        <v>6</v>
      </c>
      <c r="G986" s="2">
        <f t="shared" si="124"/>
        <v>0</v>
      </c>
      <c r="H986" s="2">
        <f t="shared" si="125"/>
        <v>0</v>
      </c>
    </row>
    <row r="987" spans="1:8">
      <c r="B987" s="3" t="s">
        <v>2511</v>
      </c>
      <c r="C987" s="3" t="s">
        <v>2514</v>
      </c>
      <c r="D987" s="9" t="str">
        <f t="shared" si="123"/>
        <v>13-01</v>
      </c>
      <c r="E987" s="1">
        <f>_xlfn.IFNA(VLOOKUP('Comp X - Kilter'!B987,'Kilter Holds'!$P$36:$AB$370,9,0),0)</f>
        <v>6</v>
      </c>
      <c r="G987" s="2">
        <f t="shared" si="124"/>
        <v>0</v>
      </c>
      <c r="H987" s="2">
        <f t="shared" si="125"/>
        <v>0</v>
      </c>
    </row>
    <row r="988" spans="1:8">
      <c r="B988" s="3" t="s">
        <v>2511</v>
      </c>
      <c r="C988" s="3" t="s">
        <v>2514</v>
      </c>
      <c r="D988" s="10" t="str">
        <f t="shared" si="123"/>
        <v>07-13</v>
      </c>
      <c r="E988" s="1">
        <f>_xlfn.IFNA(VLOOKUP('Comp X - Kilter'!B988,'Kilter Holds'!$P$36:$AB$370,10,0),0)</f>
        <v>5</v>
      </c>
      <c r="G988" s="2">
        <f t="shared" si="124"/>
        <v>0</v>
      </c>
      <c r="H988" s="2">
        <f t="shared" si="125"/>
        <v>0</v>
      </c>
    </row>
    <row r="989" spans="1:8">
      <c r="B989" s="3" t="s">
        <v>2511</v>
      </c>
      <c r="C989" s="3" t="s">
        <v>2514</v>
      </c>
      <c r="D989" s="11" t="str">
        <f t="shared" si="123"/>
        <v>11-25</v>
      </c>
      <c r="E989" s="1">
        <f>_xlfn.IFNA(VLOOKUP('Comp X - Kilter'!B989,'Kilter Holds'!$P$36:$AB$370,11,0),0)</f>
        <v>4</v>
      </c>
      <c r="G989" s="2">
        <f t="shared" si="124"/>
        <v>0</v>
      </c>
      <c r="H989" s="2">
        <f t="shared" si="125"/>
        <v>0</v>
      </c>
    </row>
    <row r="990" spans="1:8">
      <c r="B990" s="3" t="s">
        <v>2511</v>
      </c>
      <c r="C990" s="3" t="s">
        <v>2514</v>
      </c>
      <c r="D990" s="13" t="str">
        <f t="shared" si="123"/>
        <v>18-01</v>
      </c>
      <c r="E990" s="1">
        <f>_xlfn.IFNA(VLOOKUP('Comp X - Kilter'!B990,'Kilter Holds'!$P$36:$AB$370,12,0),0)</f>
        <v>11</v>
      </c>
      <c r="G990" s="2">
        <f t="shared" si="124"/>
        <v>0</v>
      </c>
      <c r="H990" s="2">
        <f t="shared" si="125"/>
        <v>0</v>
      </c>
    </row>
    <row r="991" spans="1:8">
      <c r="B991" s="3" t="s">
        <v>2511</v>
      </c>
      <c r="C991" s="3" t="s">
        <v>2514</v>
      </c>
      <c r="D991" s="12" t="str">
        <f t="shared" si="123"/>
        <v>12-01</v>
      </c>
      <c r="E991" s="1">
        <f>_xlfn.IFNA(VLOOKUP('Comp X - Kilter'!B991,'Kilter Holds'!$P$36:$AB$370,13,0),0)</f>
        <v>3</v>
      </c>
      <c r="G991" s="2">
        <f t="shared" si="124"/>
        <v>0</v>
      </c>
      <c r="H991" s="2">
        <f t="shared" si="125"/>
        <v>0</v>
      </c>
    </row>
    <row r="992" spans="1:8">
      <c r="A992" s="3" t="s">
        <v>2890</v>
      </c>
      <c r="B992" s="3" t="s">
        <v>2835</v>
      </c>
      <c r="C992" s="3" t="s">
        <v>2836</v>
      </c>
      <c r="D992" s="5" t="str">
        <f t="shared" si="123"/>
        <v>11-12</v>
      </c>
      <c r="E992" s="1">
        <f>_xlfn.IFNA(VLOOKUP(B992,'Kilter Holds'!$P$36:$AB$370,5,0),0)+_xlfn.IFNA(VLOOKUP(A992,'Kilter Holds'!$P$36:$AB$370,5,0),0)</f>
        <v>4</v>
      </c>
      <c r="G992" s="2">
        <f t="shared" ref="G992:G1055" si="126">E992*F992</f>
        <v>0</v>
      </c>
      <c r="H992" s="2">
        <f t="shared" ref="H992:H1055" si="127">IF($S$11="Y",G992*0.15,0)</f>
        <v>0</v>
      </c>
    </row>
    <row r="993" spans="1:8">
      <c r="A993" s="3" t="s">
        <v>2890</v>
      </c>
      <c r="B993" s="3" t="s">
        <v>2835</v>
      </c>
      <c r="C993" s="3" t="s">
        <v>2836</v>
      </c>
      <c r="D993" s="6" t="str">
        <f t="shared" si="123"/>
        <v>14-01</v>
      </c>
      <c r="E993" s="1">
        <f>_xlfn.IFNA(VLOOKUP(B993,'Kilter Holds'!$P$36:$AB$370,6,0),0)+_xlfn.IFNA(VLOOKUP(A993,'Kilter Holds'!$P$36:$AB$370,6,0),0)</f>
        <v>0</v>
      </c>
      <c r="G993" s="2">
        <f t="shared" si="126"/>
        <v>0</v>
      </c>
      <c r="H993" s="2">
        <f t="shared" si="127"/>
        <v>0</v>
      </c>
    </row>
    <row r="994" spans="1:8">
      <c r="A994" s="3" t="s">
        <v>2890</v>
      </c>
      <c r="B994" s="3" t="s">
        <v>2835</v>
      </c>
      <c r="C994" s="3" t="s">
        <v>2836</v>
      </c>
      <c r="D994" s="7" t="str">
        <f t="shared" si="123"/>
        <v>15-12</v>
      </c>
      <c r="E994" s="1">
        <f>_xlfn.IFNA(VLOOKUP(B994,'Kilter Holds'!$P$36:$AB$370,7,0),0)+_xlfn.IFNA(VLOOKUP(A994,'Kilter Holds'!$P$36:$AB$370,7,0),0)</f>
        <v>6</v>
      </c>
      <c r="G994" s="2">
        <f t="shared" si="126"/>
        <v>0</v>
      </c>
      <c r="H994" s="2">
        <f t="shared" si="127"/>
        <v>0</v>
      </c>
    </row>
    <row r="995" spans="1:8">
      <c r="A995" s="3" t="s">
        <v>2890</v>
      </c>
      <c r="B995" s="3" t="s">
        <v>2835</v>
      </c>
      <c r="C995" s="3" t="s">
        <v>2836</v>
      </c>
      <c r="D995" s="8" t="str">
        <f t="shared" si="123"/>
        <v>16-16</v>
      </c>
      <c r="E995" s="1">
        <f>_xlfn.IFNA(VLOOKUP(B995,'Kilter Holds'!$P$36:$AB$370,8,0),0)+_xlfn.IFNA(VLOOKUP(A995,'Kilter Holds'!$P$36:$AB$370,8,0),0)</f>
        <v>3</v>
      </c>
      <c r="G995" s="2">
        <f t="shared" si="126"/>
        <v>0</v>
      </c>
      <c r="H995" s="2">
        <f t="shared" si="127"/>
        <v>0</v>
      </c>
    </row>
    <row r="996" spans="1:8">
      <c r="A996" s="3" t="s">
        <v>2890</v>
      </c>
      <c r="B996" s="3" t="s">
        <v>2835</v>
      </c>
      <c r="C996" s="3" t="s">
        <v>2836</v>
      </c>
      <c r="D996" s="9" t="str">
        <f t="shared" si="123"/>
        <v>13-01</v>
      </c>
      <c r="E996" s="1">
        <f>_xlfn.IFNA(VLOOKUP(B996,'Kilter Holds'!$P$36:$AB$370,9,0),0)+_xlfn.IFNA(VLOOKUP(A996,'Kilter Holds'!$P$36:$AB$370,9,0),0)</f>
        <v>1</v>
      </c>
      <c r="G996" s="2">
        <f t="shared" si="126"/>
        <v>0</v>
      </c>
      <c r="H996" s="2">
        <f t="shared" si="127"/>
        <v>0</v>
      </c>
    </row>
    <row r="997" spans="1:8">
      <c r="A997" s="3" t="s">
        <v>2890</v>
      </c>
      <c r="B997" s="3" t="s">
        <v>2835</v>
      </c>
      <c r="C997" s="3" t="s">
        <v>2836</v>
      </c>
      <c r="D997" s="10" t="str">
        <f t="shared" si="123"/>
        <v>07-13</v>
      </c>
      <c r="E997" s="1">
        <f>_xlfn.IFNA(VLOOKUP(B997,'Kilter Holds'!$P$36:$AB$370,10,0),0)+_xlfn.IFNA(VLOOKUP(A997,'Kilter Holds'!$P$36:$AB$370,10,0),0)</f>
        <v>5</v>
      </c>
      <c r="G997" s="2">
        <f t="shared" si="126"/>
        <v>0</v>
      </c>
      <c r="H997" s="2">
        <f t="shared" si="127"/>
        <v>0</v>
      </c>
    </row>
    <row r="998" spans="1:8">
      <c r="A998" s="3" t="s">
        <v>2890</v>
      </c>
      <c r="B998" s="3" t="s">
        <v>2835</v>
      </c>
      <c r="C998" s="3" t="s">
        <v>2836</v>
      </c>
      <c r="D998" s="11" t="str">
        <f t="shared" si="123"/>
        <v>11-25</v>
      </c>
      <c r="E998" s="1">
        <f>_xlfn.IFNA(VLOOKUP(B998,'Kilter Holds'!$P$36:$AB$370,11,0),0)+_xlfn.IFNA(VLOOKUP(A998,'Kilter Holds'!$P$36:$AB$370,11,0),0)</f>
        <v>5</v>
      </c>
      <c r="G998" s="2">
        <f t="shared" si="126"/>
        <v>0</v>
      </c>
      <c r="H998" s="2">
        <f t="shared" si="127"/>
        <v>0</v>
      </c>
    </row>
    <row r="999" spans="1:8">
      <c r="A999" s="3" t="s">
        <v>2890</v>
      </c>
      <c r="B999" s="3" t="s">
        <v>2835</v>
      </c>
      <c r="C999" s="3" t="s">
        <v>2836</v>
      </c>
      <c r="D999" s="13" t="str">
        <f t="shared" si="123"/>
        <v>18-01</v>
      </c>
      <c r="E999" s="1">
        <f>_xlfn.IFNA(VLOOKUP(B999,'Kilter Holds'!$P$36:$AB$370,12,0),0)+_xlfn.IFNA(VLOOKUP(A999,'Kilter Holds'!$P$36:$AB$370,12,0),0)</f>
        <v>5</v>
      </c>
      <c r="G999" s="2">
        <f t="shared" si="126"/>
        <v>0</v>
      </c>
      <c r="H999" s="2">
        <f t="shared" si="127"/>
        <v>0</v>
      </c>
    </row>
    <row r="1000" spans="1:8">
      <c r="A1000" s="3" t="s">
        <v>2890</v>
      </c>
      <c r="B1000" s="3" t="s">
        <v>2835</v>
      </c>
      <c r="C1000" s="3" t="s">
        <v>2836</v>
      </c>
      <c r="D1000" s="12" t="str">
        <f t="shared" si="123"/>
        <v>12-01</v>
      </c>
      <c r="E1000" s="1">
        <f>_xlfn.IFNA(VLOOKUP(B1000,'Kilter Holds'!$P$36:$AB$370,13,0),0)+_xlfn.IFNA(VLOOKUP(A1000,'Kilter Holds'!$P$36:$AB$370,13,0),0)</f>
        <v>5</v>
      </c>
      <c r="G1000" s="2">
        <f t="shared" si="126"/>
        <v>0</v>
      </c>
      <c r="H1000" s="2">
        <f t="shared" si="127"/>
        <v>0</v>
      </c>
    </row>
    <row r="1001" spans="1:8">
      <c r="A1001" s="3" t="s">
        <v>2890</v>
      </c>
      <c r="B1001" s="3" t="s">
        <v>2837</v>
      </c>
      <c r="C1001" s="3" t="s">
        <v>2838</v>
      </c>
      <c r="D1001" s="5" t="str">
        <f t="shared" si="123"/>
        <v>11-12</v>
      </c>
      <c r="E1001" s="1">
        <f>_xlfn.IFNA(VLOOKUP(B1001,'Kilter Holds'!$P$36:$AB$370,5,0),0)+_xlfn.IFNA(VLOOKUP(A1001,'Kilter Holds'!$P$36:$AB$370,5,0),0)</f>
        <v>8</v>
      </c>
      <c r="G1001" s="2">
        <f t="shared" si="126"/>
        <v>0</v>
      </c>
      <c r="H1001" s="2">
        <f t="shared" si="127"/>
        <v>0</v>
      </c>
    </row>
    <row r="1002" spans="1:8">
      <c r="A1002" s="3" t="s">
        <v>2890</v>
      </c>
      <c r="B1002" s="3" t="s">
        <v>2837</v>
      </c>
      <c r="C1002" s="3" t="s">
        <v>2838</v>
      </c>
      <c r="D1002" s="6" t="str">
        <f t="shared" si="123"/>
        <v>14-01</v>
      </c>
      <c r="E1002" s="1">
        <f>_xlfn.IFNA(VLOOKUP(B1002,'Kilter Holds'!$P$36:$AB$370,6,0),0)+_xlfn.IFNA(VLOOKUP(A1002,'Kilter Holds'!$P$36:$AB$370,6,0),0)</f>
        <v>0</v>
      </c>
      <c r="G1002" s="2">
        <f t="shared" si="126"/>
        <v>0</v>
      </c>
      <c r="H1002" s="2">
        <f t="shared" si="127"/>
        <v>0</v>
      </c>
    </row>
    <row r="1003" spans="1:8">
      <c r="A1003" s="3" t="s">
        <v>2890</v>
      </c>
      <c r="B1003" s="3" t="s">
        <v>2837</v>
      </c>
      <c r="C1003" s="3" t="s">
        <v>2838</v>
      </c>
      <c r="D1003" s="7" t="str">
        <f t="shared" si="123"/>
        <v>15-12</v>
      </c>
      <c r="E1003" s="1">
        <f>_xlfn.IFNA(VLOOKUP(B1003,'Kilter Holds'!$P$36:$AB$370,7,0),0)+_xlfn.IFNA(VLOOKUP(A1003,'Kilter Holds'!$P$36:$AB$370,7,0),0)</f>
        <v>7</v>
      </c>
      <c r="G1003" s="2">
        <f t="shared" si="126"/>
        <v>0</v>
      </c>
      <c r="H1003" s="2">
        <f t="shared" si="127"/>
        <v>0</v>
      </c>
    </row>
    <row r="1004" spans="1:8">
      <c r="A1004" s="3" t="s">
        <v>2890</v>
      </c>
      <c r="B1004" s="3" t="s">
        <v>2837</v>
      </c>
      <c r="C1004" s="3" t="s">
        <v>2838</v>
      </c>
      <c r="D1004" s="8" t="str">
        <f t="shared" si="123"/>
        <v>16-16</v>
      </c>
      <c r="E1004" s="1">
        <f>_xlfn.IFNA(VLOOKUP(B1004,'Kilter Holds'!$P$36:$AB$370,8,0),0)+_xlfn.IFNA(VLOOKUP(A1004,'Kilter Holds'!$P$36:$AB$370,8,0),0)</f>
        <v>8</v>
      </c>
      <c r="G1004" s="2">
        <f t="shared" si="126"/>
        <v>0</v>
      </c>
      <c r="H1004" s="2">
        <f t="shared" si="127"/>
        <v>0</v>
      </c>
    </row>
    <row r="1005" spans="1:8">
      <c r="A1005" s="3" t="s">
        <v>2890</v>
      </c>
      <c r="B1005" s="3" t="s">
        <v>2837</v>
      </c>
      <c r="C1005" s="3" t="s">
        <v>2838</v>
      </c>
      <c r="D1005" s="9" t="str">
        <f t="shared" si="123"/>
        <v>13-01</v>
      </c>
      <c r="E1005" s="1">
        <f>_xlfn.IFNA(VLOOKUP(B1005,'Kilter Holds'!$P$36:$AB$370,9,0),0)+_xlfn.IFNA(VLOOKUP(A1005,'Kilter Holds'!$P$36:$AB$370,9,0),0)</f>
        <v>6</v>
      </c>
      <c r="G1005" s="2">
        <f t="shared" si="126"/>
        <v>0</v>
      </c>
      <c r="H1005" s="2">
        <f t="shared" si="127"/>
        <v>0</v>
      </c>
    </row>
    <row r="1006" spans="1:8">
      <c r="A1006" s="3" t="s">
        <v>2890</v>
      </c>
      <c r="B1006" s="3" t="s">
        <v>2837</v>
      </c>
      <c r="C1006" s="3" t="s">
        <v>2838</v>
      </c>
      <c r="D1006" s="10" t="str">
        <f t="shared" si="123"/>
        <v>07-13</v>
      </c>
      <c r="E1006" s="1">
        <f>_xlfn.IFNA(VLOOKUP(B1006,'Kilter Holds'!$P$36:$AB$370,10,0),0)+_xlfn.IFNA(VLOOKUP(A1006,'Kilter Holds'!$P$36:$AB$370,10,0),0)</f>
        <v>5</v>
      </c>
      <c r="G1006" s="2">
        <f t="shared" si="126"/>
        <v>0</v>
      </c>
      <c r="H1006" s="2">
        <f t="shared" si="127"/>
        <v>0</v>
      </c>
    </row>
    <row r="1007" spans="1:8">
      <c r="A1007" s="3" t="s">
        <v>2890</v>
      </c>
      <c r="B1007" s="3" t="s">
        <v>2837</v>
      </c>
      <c r="C1007" s="3" t="s">
        <v>2838</v>
      </c>
      <c r="D1007" s="11" t="str">
        <f t="shared" si="123"/>
        <v>11-25</v>
      </c>
      <c r="E1007" s="1">
        <f>_xlfn.IFNA(VLOOKUP(B1007,'Kilter Holds'!$P$36:$AB$370,11,0),0)+_xlfn.IFNA(VLOOKUP(A1007,'Kilter Holds'!$P$36:$AB$370,11,0),0)</f>
        <v>5</v>
      </c>
      <c r="G1007" s="2">
        <f t="shared" si="126"/>
        <v>0</v>
      </c>
      <c r="H1007" s="2">
        <f t="shared" si="127"/>
        <v>0</v>
      </c>
    </row>
    <row r="1008" spans="1:8">
      <c r="A1008" s="3" t="s">
        <v>2890</v>
      </c>
      <c r="B1008" s="3" t="s">
        <v>2837</v>
      </c>
      <c r="C1008" s="3" t="s">
        <v>2838</v>
      </c>
      <c r="D1008" s="13" t="str">
        <f t="shared" si="123"/>
        <v>18-01</v>
      </c>
      <c r="E1008" s="1">
        <f>_xlfn.IFNA(VLOOKUP(B1008,'Kilter Holds'!$P$36:$AB$370,12,0),0)+_xlfn.IFNA(VLOOKUP(A1008,'Kilter Holds'!$P$36:$AB$370,12,0),0)</f>
        <v>10</v>
      </c>
      <c r="G1008" s="2">
        <f t="shared" si="126"/>
        <v>0</v>
      </c>
      <c r="H1008" s="2">
        <f t="shared" si="127"/>
        <v>0</v>
      </c>
    </row>
    <row r="1009" spans="1:8">
      <c r="A1009" s="3" t="s">
        <v>2890</v>
      </c>
      <c r="B1009" s="3" t="s">
        <v>2837</v>
      </c>
      <c r="C1009" s="3" t="s">
        <v>2838</v>
      </c>
      <c r="D1009" s="12" t="str">
        <f t="shared" si="123"/>
        <v>12-01</v>
      </c>
      <c r="E1009" s="1">
        <f>_xlfn.IFNA(VLOOKUP(B1009,'Kilter Holds'!$P$36:$AB$370,13,0),0)+_xlfn.IFNA(VLOOKUP(A1009,'Kilter Holds'!$P$36:$AB$370,13,0),0)</f>
        <v>5</v>
      </c>
      <c r="G1009" s="2">
        <f t="shared" si="126"/>
        <v>0</v>
      </c>
      <c r="H1009" s="2">
        <f t="shared" si="127"/>
        <v>0</v>
      </c>
    </row>
    <row r="1010" spans="1:8">
      <c r="B1010" s="3" t="s">
        <v>2839</v>
      </c>
      <c r="C1010" s="3" t="s">
        <v>2840</v>
      </c>
      <c r="D1010" s="5" t="str">
        <f t="shared" si="123"/>
        <v>11-12</v>
      </c>
      <c r="E1010" s="1">
        <f>_xlfn.IFNA(VLOOKUP('Comp X - Kilter'!B1010,'Kilter Holds'!$P$36:$AB$370,5,0),0)</f>
        <v>7</v>
      </c>
      <c r="G1010" s="2">
        <f t="shared" si="126"/>
        <v>0</v>
      </c>
      <c r="H1010" s="2">
        <f t="shared" si="127"/>
        <v>0</v>
      </c>
    </row>
    <row r="1011" spans="1:8">
      <c r="B1011" s="3" t="s">
        <v>2839</v>
      </c>
      <c r="C1011" s="3" t="s">
        <v>2840</v>
      </c>
      <c r="D1011" s="6" t="str">
        <f t="shared" si="123"/>
        <v>14-01</v>
      </c>
      <c r="E1011" s="1">
        <f>_xlfn.IFNA(VLOOKUP('Comp X - Kilter'!B1011,'Kilter Holds'!$P$36:$AB$370,6,0),0)</f>
        <v>0</v>
      </c>
      <c r="G1011" s="2">
        <f t="shared" si="126"/>
        <v>0</v>
      </c>
      <c r="H1011" s="2">
        <f t="shared" si="127"/>
        <v>0</v>
      </c>
    </row>
    <row r="1012" spans="1:8">
      <c r="B1012" s="3" t="s">
        <v>2839</v>
      </c>
      <c r="C1012" s="3" t="s">
        <v>2840</v>
      </c>
      <c r="D1012" s="7" t="str">
        <f t="shared" si="123"/>
        <v>15-12</v>
      </c>
      <c r="E1012" s="1">
        <f>_xlfn.IFNA(VLOOKUP('Comp X - Kilter'!B1012,'Kilter Holds'!$P$36:$AB$370,7,0),0)</f>
        <v>7</v>
      </c>
      <c r="G1012" s="2">
        <f t="shared" si="126"/>
        <v>0</v>
      </c>
      <c r="H1012" s="2">
        <f t="shared" si="127"/>
        <v>0</v>
      </c>
    </row>
    <row r="1013" spans="1:8">
      <c r="B1013" s="3" t="s">
        <v>2839</v>
      </c>
      <c r="C1013" s="3" t="s">
        <v>2840</v>
      </c>
      <c r="D1013" s="8" t="str">
        <f t="shared" si="123"/>
        <v>16-16</v>
      </c>
      <c r="E1013" s="1">
        <f>_xlfn.IFNA(VLOOKUP('Comp X - Kilter'!B1013,'Kilter Holds'!$P$36:$AB$370,8,0),0)</f>
        <v>4</v>
      </c>
      <c r="G1013" s="2">
        <f t="shared" si="126"/>
        <v>0</v>
      </c>
      <c r="H1013" s="2">
        <f t="shared" si="127"/>
        <v>0</v>
      </c>
    </row>
    <row r="1014" spans="1:8">
      <c r="B1014" s="3" t="s">
        <v>2839</v>
      </c>
      <c r="C1014" s="3" t="s">
        <v>2840</v>
      </c>
      <c r="D1014" s="9" t="str">
        <f t="shared" si="123"/>
        <v>13-01</v>
      </c>
      <c r="E1014" s="1">
        <f>_xlfn.IFNA(VLOOKUP('Comp X - Kilter'!B1014,'Kilter Holds'!$P$36:$AB$370,9,0),0)</f>
        <v>3</v>
      </c>
      <c r="G1014" s="2">
        <f t="shared" si="126"/>
        <v>0</v>
      </c>
      <c r="H1014" s="2">
        <f t="shared" si="127"/>
        <v>0</v>
      </c>
    </row>
    <row r="1015" spans="1:8">
      <c r="B1015" s="3" t="s">
        <v>2839</v>
      </c>
      <c r="C1015" s="3" t="s">
        <v>2840</v>
      </c>
      <c r="D1015" s="10" t="str">
        <f t="shared" si="123"/>
        <v>07-13</v>
      </c>
      <c r="E1015" s="1">
        <f>_xlfn.IFNA(VLOOKUP('Comp X - Kilter'!B1015,'Kilter Holds'!$P$36:$AB$370,10,0),0)</f>
        <v>4</v>
      </c>
      <c r="G1015" s="2">
        <f t="shared" si="126"/>
        <v>0</v>
      </c>
      <c r="H1015" s="2">
        <f t="shared" si="127"/>
        <v>0</v>
      </c>
    </row>
    <row r="1016" spans="1:8">
      <c r="B1016" s="3" t="s">
        <v>2839</v>
      </c>
      <c r="C1016" s="3" t="s">
        <v>2840</v>
      </c>
      <c r="D1016" s="11" t="str">
        <f t="shared" si="123"/>
        <v>11-25</v>
      </c>
      <c r="E1016" s="1">
        <f>_xlfn.IFNA(VLOOKUP('Comp X - Kilter'!B1016,'Kilter Holds'!$P$36:$AB$370,11,0),0)</f>
        <v>0</v>
      </c>
      <c r="G1016" s="2">
        <f t="shared" si="126"/>
        <v>0</v>
      </c>
      <c r="H1016" s="2">
        <f t="shared" si="127"/>
        <v>0</v>
      </c>
    </row>
    <row r="1017" spans="1:8">
      <c r="B1017" s="3" t="s">
        <v>2839</v>
      </c>
      <c r="C1017" s="3" t="s">
        <v>2840</v>
      </c>
      <c r="D1017" s="13" t="str">
        <f t="shared" si="123"/>
        <v>18-01</v>
      </c>
      <c r="E1017" s="1">
        <f>_xlfn.IFNA(VLOOKUP('Comp X - Kilter'!B1017,'Kilter Holds'!$P$36:$AB$370,12,0),0)</f>
        <v>2</v>
      </c>
      <c r="G1017" s="2">
        <f t="shared" si="126"/>
        <v>0</v>
      </c>
      <c r="H1017" s="2">
        <f t="shared" si="127"/>
        <v>0</v>
      </c>
    </row>
    <row r="1018" spans="1:8">
      <c r="B1018" s="3" t="s">
        <v>2839</v>
      </c>
      <c r="C1018" s="3" t="s">
        <v>2840</v>
      </c>
      <c r="D1018" s="12" t="str">
        <f t="shared" si="123"/>
        <v>12-01</v>
      </c>
      <c r="E1018" s="1">
        <f>_xlfn.IFNA(VLOOKUP('Comp X - Kilter'!B1018,'Kilter Holds'!$P$36:$AB$370,13,0),0)</f>
        <v>0</v>
      </c>
      <c r="G1018" s="2">
        <f t="shared" si="126"/>
        <v>0</v>
      </c>
      <c r="H1018" s="2">
        <f t="shared" si="127"/>
        <v>0</v>
      </c>
    </row>
    <row r="1019" spans="1:8">
      <c r="B1019" s="3" t="s">
        <v>2841</v>
      </c>
      <c r="C1019" s="3" t="s">
        <v>2842</v>
      </c>
      <c r="D1019" s="5" t="str">
        <f t="shared" si="123"/>
        <v>11-12</v>
      </c>
      <c r="E1019" s="1">
        <f>_xlfn.IFNA(VLOOKUP('Comp X - Kilter'!B1019,'Kilter Holds'!$P$36:$AB$370,5,0),0)</f>
        <v>6</v>
      </c>
      <c r="G1019" s="2">
        <f t="shared" si="126"/>
        <v>0</v>
      </c>
      <c r="H1019" s="2">
        <f t="shared" si="127"/>
        <v>0</v>
      </c>
    </row>
    <row r="1020" spans="1:8">
      <c r="B1020" s="3" t="s">
        <v>2841</v>
      </c>
      <c r="C1020" s="3" t="s">
        <v>2842</v>
      </c>
      <c r="D1020" s="6" t="str">
        <f t="shared" si="123"/>
        <v>14-01</v>
      </c>
      <c r="E1020" s="1">
        <f>_xlfn.IFNA(VLOOKUP('Comp X - Kilter'!B1020,'Kilter Holds'!$P$36:$AB$370,6,0),0)</f>
        <v>0</v>
      </c>
      <c r="G1020" s="2">
        <f t="shared" si="126"/>
        <v>0</v>
      </c>
      <c r="H1020" s="2">
        <f t="shared" si="127"/>
        <v>0</v>
      </c>
    </row>
    <row r="1021" spans="1:8">
      <c r="B1021" s="3" t="s">
        <v>2841</v>
      </c>
      <c r="C1021" s="3" t="s">
        <v>2842</v>
      </c>
      <c r="D1021" s="7" t="str">
        <f t="shared" si="123"/>
        <v>15-12</v>
      </c>
      <c r="E1021" s="1">
        <f>_xlfn.IFNA(VLOOKUP('Comp X - Kilter'!B1021,'Kilter Holds'!$P$36:$AB$370,7,0),0)</f>
        <v>5</v>
      </c>
      <c r="G1021" s="2">
        <f t="shared" si="126"/>
        <v>0</v>
      </c>
      <c r="H1021" s="2">
        <f t="shared" si="127"/>
        <v>0</v>
      </c>
    </row>
    <row r="1022" spans="1:8">
      <c r="B1022" s="3" t="s">
        <v>2841</v>
      </c>
      <c r="C1022" s="3" t="s">
        <v>2842</v>
      </c>
      <c r="D1022" s="8" t="str">
        <f t="shared" si="123"/>
        <v>16-16</v>
      </c>
      <c r="E1022" s="1">
        <f>_xlfn.IFNA(VLOOKUP('Comp X - Kilter'!B1022,'Kilter Holds'!$P$36:$AB$370,8,0),0)</f>
        <v>4</v>
      </c>
      <c r="G1022" s="2">
        <f t="shared" si="126"/>
        <v>0</v>
      </c>
      <c r="H1022" s="2">
        <f t="shared" si="127"/>
        <v>0</v>
      </c>
    </row>
    <row r="1023" spans="1:8">
      <c r="B1023" s="3" t="s">
        <v>2841</v>
      </c>
      <c r="C1023" s="3" t="s">
        <v>2842</v>
      </c>
      <c r="D1023" s="9" t="str">
        <f t="shared" si="123"/>
        <v>13-01</v>
      </c>
      <c r="E1023" s="1">
        <f>_xlfn.IFNA(VLOOKUP('Comp X - Kilter'!B1023,'Kilter Holds'!$P$36:$AB$370,9,0),0)</f>
        <v>5</v>
      </c>
      <c r="G1023" s="2">
        <f t="shared" si="126"/>
        <v>0</v>
      </c>
      <c r="H1023" s="2">
        <f t="shared" si="127"/>
        <v>0</v>
      </c>
    </row>
    <row r="1024" spans="1:8">
      <c r="B1024" s="3" t="s">
        <v>2841</v>
      </c>
      <c r="C1024" s="3" t="s">
        <v>2842</v>
      </c>
      <c r="D1024" s="10" t="str">
        <f t="shared" si="123"/>
        <v>07-13</v>
      </c>
      <c r="E1024" s="1">
        <f>_xlfn.IFNA(VLOOKUP('Comp X - Kilter'!B1024,'Kilter Holds'!$P$36:$AB$370,10,0),0)</f>
        <v>5</v>
      </c>
      <c r="G1024" s="2">
        <f t="shared" si="126"/>
        <v>0</v>
      </c>
      <c r="H1024" s="2">
        <f t="shared" si="127"/>
        <v>0</v>
      </c>
    </row>
    <row r="1025" spans="2:8">
      <c r="B1025" s="3" t="s">
        <v>2841</v>
      </c>
      <c r="C1025" s="3" t="s">
        <v>2842</v>
      </c>
      <c r="D1025" s="11" t="str">
        <f t="shared" si="123"/>
        <v>11-25</v>
      </c>
      <c r="E1025" s="1">
        <f>_xlfn.IFNA(VLOOKUP('Comp X - Kilter'!B1025,'Kilter Holds'!$P$36:$AB$370,11,0),0)</f>
        <v>5</v>
      </c>
      <c r="G1025" s="2">
        <f t="shared" si="126"/>
        <v>0</v>
      </c>
      <c r="H1025" s="2">
        <f t="shared" si="127"/>
        <v>0</v>
      </c>
    </row>
    <row r="1026" spans="2:8">
      <c r="B1026" s="3" t="s">
        <v>2841</v>
      </c>
      <c r="C1026" s="3" t="s">
        <v>2842</v>
      </c>
      <c r="D1026" s="13" t="str">
        <f t="shared" si="123"/>
        <v>18-01</v>
      </c>
      <c r="E1026" s="1">
        <f>_xlfn.IFNA(VLOOKUP('Comp X - Kilter'!B1026,'Kilter Holds'!$P$36:$AB$370,12,0),0)</f>
        <v>5</v>
      </c>
      <c r="G1026" s="2">
        <f t="shared" si="126"/>
        <v>0</v>
      </c>
      <c r="H1026" s="2">
        <f t="shared" si="127"/>
        <v>0</v>
      </c>
    </row>
    <row r="1027" spans="2:8">
      <c r="B1027" s="3" t="s">
        <v>2841</v>
      </c>
      <c r="C1027" s="3" t="s">
        <v>2842</v>
      </c>
      <c r="D1027" s="12" t="str">
        <f t="shared" si="123"/>
        <v>12-01</v>
      </c>
      <c r="E1027" s="1">
        <f>_xlfn.IFNA(VLOOKUP('Comp X - Kilter'!B1027,'Kilter Holds'!$P$36:$AB$370,13,0),0)</f>
        <v>5</v>
      </c>
      <c r="G1027" s="2">
        <f t="shared" si="126"/>
        <v>0</v>
      </c>
      <c r="H1027" s="2">
        <f t="shared" si="127"/>
        <v>0</v>
      </c>
    </row>
    <row r="1028" spans="2:8">
      <c r="B1028" s="3" t="s">
        <v>2843</v>
      </c>
      <c r="C1028" s="3" t="s">
        <v>2844</v>
      </c>
      <c r="D1028" s="5" t="str">
        <f t="shared" si="123"/>
        <v>11-12</v>
      </c>
      <c r="E1028" s="1">
        <f>_xlfn.IFNA(VLOOKUP('Comp X - Kilter'!B1028,'Kilter Holds'!$P$36:$AB$370,5,0),0)</f>
        <v>5</v>
      </c>
      <c r="G1028" s="2">
        <f t="shared" si="126"/>
        <v>0</v>
      </c>
      <c r="H1028" s="2">
        <f t="shared" si="127"/>
        <v>0</v>
      </c>
    </row>
    <row r="1029" spans="2:8">
      <c r="B1029" s="3" t="s">
        <v>2843</v>
      </c>
      <c r="C1029" s="3" t="s">
        <v>2844</v>
      </c>
      <c r="D1029" s="6" t="str">
        <f t="shared" si="123"/>
        <v>14-01</v>
      </c>
      <c r="E1029" s="1">
        <f>_xlfn.IFNA(VLOOKUP('Comp X - Kilter'!B1029,'Kilter Holds'!$P$36:$AB$370,6,0),0)</f>
        <v>0</v>
      </c>
      <c r="G1029" s="2">
        <f t="shared" si="126"/>
        <v>0</v>
      </c>
      <c r="H1029" s="2">
        <f t="shared" si="127"/>
        <v>0</v>
      </c>
    </row>
    <row r="1030" spans="2:8">
      <c r="B1030" s="3" t="s">
        <v>2843</v>
      </c>
      <c r="C1030" s="3" t="s">
        <v>2844</v>
      </c>
      <c r="D1030" s="7" t="str">
        <f t="shared" si="123"/>
        <v>15-12</v>
      </c>
      <c r="E1030" s="1">
        <f>_xlfn.IFNA(VLOOKUP('Comp X - Kilter'!B1030,'Kilter Holds'!$P$36:$AB$370,7,0),0)</f>
        <v>5</v>
      </c>
      <c r="G1030" s="2">
        <f t="shared" si="126"/>
        <v>0</v>
      </c>
      <c r="H1030" s="2">
        <f t="shared" si="127"/>
        <v>0</v>
      </c>
    </row>
    <row r="1031" spans="2:8">
      <c r="B1031" s="3" t="s">
        <v>2843</v>
      </c>
      <c r="C1031" s="3" t="s">
        <v>2844</v>
      </c>
      <c r="D1031" s="8" t="str">
        <f t="shared" si="123"/>
        <v>16-16</v>
      </c>
      <c r="E1031" s="1">
        <f>_xlfn.IFNA(VLOOKUP('Comp X - Kilter'!B1031,'Kilter Holds'!$P$36:$AB$370,8,0),0)</f>
        <v>5</v>
      </c>
      <c r="G1031" s="2">
        <f t="shared" si="126"/>
        <v>0</v>
      </c>
      <c r="H1031" s="2">
        <f t="shared" si="127"/>
        <v>0</v>
      </c>
    </row>
    <row r="1032" spans="2:8">
      <c r="B1032" s="3" t="s">
        <v>2843</v>
      </c>
      <c r="C1032" s="3" t="s">
        <v>2844</v>
      </c>
      <c r="D1032" s="9" t="str">
        <f t="shared" si="123"/>
        <v>13-01</v>
      </c>
      <c r="E1032" s="1">
        <f>_xlfn.IFNA(VLOOKUP('Comp X - Kilter'!B1032,'Kilter Holds'!$P$36:$AB$370,9,0),0)</f>
        <v>6</v>
      </c>
      <c r="G1032" s="2">
        <f t="shared" si="126"/>
        <v>0</v>
      </c>
      <c r="H1032" s="2">
        <f t="shared" si="127"/>
        <v>0</v>
      </c>
    </row>
    <row r="1033" spans="2:8">
      <c r="B1033" s="3" t="s">
        <v>2843</v>
      </c>
      <c r="C1033" s="3" t="s">
        <v>2844</v>
      </c>
      <c r="D1033" s="10" t="str">
        <f t="shared" si="123"/>
        <v>07-13</v>
      </c>
      <c r="E1033" s="1">
        <f>_xlfn.IFNA(VLOOKUP('Comp X - Kilter'!B1033,'Kilter Holds'!$P$36:$AB$370,10,0),0)</f>
        <v>2</v>
      </c>
      <c r="G1033" s="2">
        <f t="shared" si="126"/>
        <v>0</v>
      </c>
      <c r="H1033" s="2">
        <f t="shared" si="127"/>
        <v>0</v>
      </c>
    </row>
    <row r="1034" spans="2:8">
      <c r="B1034" s="3" t="s">
        <v>2843</v>
      </c>
      <c r="C1034" s="3" t="s">
        <v>2844</v>
      </c>
      <c r="D1034" s="11" t="str">
        <f t="shared" si="123"/>
        <v>11-25</v>
      </c>
      <c r="E1034" s="1">
        <f>_xlfn.IFNA(VLOOKUP('Comp X - Kilter'!B1034,'Kilter Holds'!$P$36:$AB$370,11,0),0)</f>
        <v>0</v>
      </c>
      <c r="G1034" s="2">
        <f t="shared" si="126"/>
        <v>0</v>
      </c>
      <c r="H1034" s="2">
        <f t="shared" si="127"/>
        <v>0</v>
      </c>
    </row>
    <row r="1035" spans="2:8">
      <c r="B1035" s="3" t="s">
        <v>2843</v>
      </c>
      <c r="C1035" s="3" t="s">
        <v>2844</v>
      </c>
      <c r="D1035" s="13" t="str">
        <f t="shared" si="123"/>
        <v>18-01</v>
      </c>
      <c r="E1035" s="1">
        <f>_xlfn.IFNA(VLOOKUP('Comp X - Kilter'!B1035,'Kilter Holds'!$P$36:$AB$370,12,0),0)</f>
        <v>3</v>
      </c>
      <c r="G1035" s="2">
        <f t="shared" si="126"/>
        <v>0</v>
      </c>
      <c r="H1035" s="2">
        <f t="shared" si="127"/>
        <v>0</v>
      </c>
    </row>
    <row r="1036" spans="2:8">
      <c r="B1036" s="3" t="s">
        <v>2843</v>
      </c>
      <c r="C1036" s="3" t="s">
        <v>2844</v>
      </c>
      <c r="D1036" s="12" t="str">
        <f t="shared" si="123"/>
        <v>12-01</v>
      </c>
      <c r="E1036" s="1">
        <f>_xlfn.IFNA(VLOOKUP('Comp X - Kilter'!B1036,'Kilter Holds'!$P$36:$AB$370,13,0),0)</f>
        <v>0</v>
      </c>
      <c r="G1036" s="2">
        <f t="shared" si="126"/>
        <v>0</v>
      </c>
      <c r="H1036" s="2">
        <f t="shared" si="127"/>
        <v>0</v>
      </c>
    </row>
    <row r="1037" spans="2:8">
      <c r="B1037" s="3" t="s">
        <v>2845</v>
      </c>
      <c r="C1037" s="3" t="s">
        <v>2846</v>
      </c>
      <c r="D1037" s="5" t="str">
        <f t="shared" si="123"/>
        <v>11-12</v>
      </c>
      <c r="E1037" s="1">
        <f>_xlfn.IFNA(VLOOKUP('Comp X - Kilter'!B1037,'Kilter Holds'!$P$36:$AB$370,5,0),0)</f>
        <v>5</v>
      </c>
      <c r="G1037" s="2">
        <f t="shared" si="126"/>
        <v>0</v>
      </c>
      <c r="H1037" s="2">
        <f t="shared" si="127"/>
        <v>0</v>
      </c>
    </row>
    <row r="1038" spans="2:8">
      <c r="B1038" s="3" t="s">
        <v>2845</v>
      </c>
      <c r="C1038" s="3" t="s">
        <v>2846</v>
      </c>
      <c r="D1038" s="6" t="str">
        <f t="shared" si="123"/>
        <v>14-01</v>
      </c>
      <c r="E1038" s="1">
        <f>_xlfn.IFNA(VLOOKUP('Comp X - Kilter'!B1038,'Kilter Holds'!$P$36:$AB$370,6,0),0)</f>
        <v>0</v>
      </c>
      <c r="G1038" s="2">
        <f t="shared" si="126"/>
        <v>0</v>
      </c>
      <c r="H1038" s="2">
        <f t="shared" si="127"/>
        <v>0</v>
      </c>
    </row>
    <row r="1039" spans="2:8">
      <c r="B1039" s="3" t="s">
        <v>2845</v>
      </c>
      <c r="C1039" s="3" t="s">
        <v>2846</v>
      </c>
      <c r="D1039" s="7" t="str">
        <f t="shared" si="123"/>
        <v>15-12</v>
      </c>
      <c r="E1039" s="1">
        <f>_xlfn.IFNA(VLOOKUP('Comp X - Kilter'!B1039,'Kilter Holds'!$P$36:$AB$370,7,0),0)</f>
        <v>3</v>
      </c>
      <c r="G1039" s="2">
        <f t="shared" si="126"/>
        <v>0</v>
      </c>
      <c r="H1039" s="2">
        <f t="shared" si="127"/>
        <v>0</v>
      </c>
    </row>
    <row r="1040" spans="2:8">
      <c r="B1040" s="3" t="s">
        <v>2845</v>
      </c>
      <c r="C1040" s="3" t="s">
        <v>2846</v>
      </c>
      <c r="D1040" s="8" t="str">
        <f t="shared" si="123"/>
        <v>16-16</v>
      </c>
      <c r="E1040" s="1">
        <f>_xlfn.IFNA(VLOOKUP('Comp X - Kilter'!B1040,'Kilter Holds'!$P$36:$AB$370,8,0),0)</f>
        <v>7</v>
      </c>
      <c r="G1040" s="2">
        <f t="shared" si="126"/>
        <v>0</v>
      </c>
      <c r="H1040" s="2">
        <f t="shared" si="127"/>
        <v>0</v>
      </c>
    </row>
    <row r="1041" spans="2:8">
      <c r="B1041" s="3" t="s">
        <v>2845</v>
      </c>
      <c r="C1041" s="3" t="s">
        <v>2846</v>
      </c>
      <c r="D1041" s="9" t="str">
        <f t="shared" si="123"/>
        <v>13-01</v>
      </c>
      <c r="E1041" s="1">
        <f>_xlfn.IFNA(VLOOKUP('Comp X - Kilter'!B1041,'Kilter Holds'!$P$36:$AB$370,9,0),0)</f>
        <v>3</v>
      </c>
      <c r="G1041" s="2">
        <f t="shared" si="126"/>
        <v>0</v>
      </c>
      <c r="H1041" s="2">
        <f t="shared" si="127"/>
        <v>0</v>
      </c>
    </row>
    <row r="1042" spans="2:8">
      <c r="B1042" s="3" t="s">
        <v>2845</v>
      </c>
      <c r="C1042" s="3" t="s">
        <v>2846</v>
      </c>
      <c r="D1042" s="10" t="str">
        <f t="shared" si="123"/>
        <v>07-13</v>
      </c>
      <c r="E1042" s="1">
        <f>_xlfn.IFNA(VLOOKUP('Comp X - Kilter'!B1042,'Kilter Holds'!$P$36:$AB$370,10,0),0)</f>
        <v>4</v>
      </c>
      <c r="G1042" s="2">
        <f t="shared" si="126"/>
        <v>0</v>
      </c>
      <c r="H1042" s="2">
        <f t="shared" si="127"/>
        <v>0</v>
      </c>
    </row>
    <row r="1043" spans="2:8">
      <c r="B1043" s="3" t="s">
        <v>2845</v>
      </c>
      <c r="C1043" s="3" t="s">
        <v>2846</v>
      </c>
      <c r="D1043" s="11" t="str">
        <f t="shared" si="123"/>
        <v>11-25</v>
      </c>
      <c r="E1043" s="1">
        <f>_xlfn.IFNA(VLOOKUP('Comp X - Kilter'!B1043,'Kilter Holds'!$P$36:$AB$370,11,0),0)</f>
        <v>4</v>
      </c>
      <c r="G1043" s="2">
        <f t="shared" si="126"/>
        <v>0</v>
      </c>
      <c r="H1043" s="2">
        <f t="shared" si="127"/>
        <v>0</v>
      </c>
    </row>
    <row r="1044" spans="2:8">
      <c r="B1044" s="3" t="s">
        <v>2845</v>
      </c>
      <c r="C1044" s="3" t="s">
        <v>2846</v>
      </c>
      <c r="D1044" s="13" t="str">
        <f t="shared" si="123"/>
        <v>18-01</v>
      </c>
      <c r="E1044" s="1">
        <f>_xlfn.IFNA(VLOOKUP('Comp X - Kilter'!B1044,'Kilter Holds'!$P$36:$AB$370,12,0),0)</f>
        <v>6</v>
      </c>
      <c r="G1044" s="2">
        <f t="shared" si="126"/>
        <v>0</v>
      </c>
      <c r="H1044" s="2">
        <f t="shared" si="127"/>
        <v>0</v>
      </c>
    </row>
    <row r="1045" spans="2:8">
      <c r="B1045" s="3" t="s">
        <v>2845</v>
      </c>
      <c r="C1045" s="3" t="s">
        <v>2846</v>
      </c>
      <c r="D1045" s="12" t="str">
        <f t="shared" si="123"/>
        <v>12-01</v>
      </c>
      <c r="E1045" s="1">
        <f>_xlfn.IFNA(VLOOKUP('Comp X - Kilter'!B1045,'Kilter Holds'!$P$36:$AB$370,13,0),0)</f>
        <v>4</v>
      </c>
      <c r="G1045" s="2">
        <f t="shared" si="126"/>
        <v>0</v>
      </c>
      <c r="H1045" s="2">
        <f t="shared" si="127"/>
        <v>0</v>
      </c>
    </row>
    <row r="1046" spans="2:8">
      <c r="B1046" s="3" t="s">
        <v>2847</v>
      </c>
      <c r="C1046" s="3" t="s">
        <v>2848</v>
      </c>
      <c r="D1046" s="5" t="str">
        <f t="shared" si="123"/>
        <v>11-12</v>
      </c>
      <c r="E1046" s="1">
        <f>_xlfn.IFNA(VLOOKUP('Comp X - Kilter'!B1046,'Kilter Holds'!$P$36:$AB$370,5,0),0)</f>
        <v>4</v>
      </c>
      <c r="G1046" s="2">
        <f t="shared" si="126"/>
        <v>0</v>
      </c>
      <c r="H1046" s="2">
        <f t="shared" si="127"/>
        <v>0</v>
      </c>
    </row>
    <row r="1047" spans="2:8">
      <c r="B1047" s="3" t="s">
        <v>2847</v>
      </c>
      <c r="C1047" s="3" t="s">
        <v>2848</v>
      </c>
      <c r="D1047" s="6" t="str">
        <f t="shared" ref="D1047:D1110" si="128">D714</f>
        <v>14-01</v>
      </c>
      <c r="E1047" s="1">
        <f>_xlfn.IFNA(VLOOKUP('Comp X - Kilter'!B1047,'Kilter Holds'!$P$36:$AB$370,6,0),0)</f>
        <v>0</v>
      </c>
      <c r="G1047" s="2">
        <f t="shared" si="126"/>
        <v>0</v>
      </c>
      <c r="H1047" s="2">
        <f t="shared" si="127"/>
        <v>0</v>
      </c>
    </row>
    <row r="1048" spans="2:8">
      <c r="B1048" s="3" t="s">
        <v>2847</v>
      </c>
      <c r="C1048" s="3" t="s">
        <v>2848</v>
      </c>
      <c r="D1048" s="7" t="str">
        <f t="shared" si="128"/>
        <v>15-12</v>
      </c>
      <c r="E1048" s="1">
        <f>_xlfn.IFNA(VLOOKUP('Comp X - Kilter'!B1048,'Kilter Holds'!$P$36:$AB$370,7,0),0)</f>
        <v>7</v>
      </c>
      <c r="G1048" s="2">
        <f t="shared" si="126"/>
        <v>0</v>
      </c>
      <c r="H1048" s="2">
        <f t="shared" si="127"/>
        <v>0</v>
      </c>
    </row>
    <row r="1049" spans="2:8">
      <c r="B1049" s="3" t="s">
        <v>2847</v>
      </c>
      <c r="C1049" s="3" t="s">
        <v>2848</v>
      </c>
      <c r="D1049" s="8" t="str">
        <f t="shared" si="128"/>
        <v>16-16</v>
      </c>
      <c r="E1049" s="1">
        <f>_xlfn.IFNA(VLOOKUP('Comp X - Kilter'!B1049,'Kilter Holds'!$P$36:$AB$370,8,0),0)</f>
        <v>5</v>
      </c>
      <c r="G1049" s="2">
        <f t="shared" si="126"/>
        <v>0</v>
      </c>
      <c r="H1049" s="2">
        <f t="shared" si="127"/>
        <v>0</v>
      </c>
    </row>
    <row r="1050" spans="2:8">
      <c r="B1050" s="3" t="s">
        <v>2847</v>
      </c>
      <c r="C1050" s="3" t="s">
        <v>2848</v>
      </c>
      <c r="D1050" s="9" t="str">
        <f t="shared" si="128"/>
        <v>13-01</v>
      </c>
      <c r="E1050" s="1">
        <f>_xlfn.IFNA(VLOOKUP('Comp X - Kilter'!B1050,'Kilter Holds'!$P$36:$AB$370,9,0),0)</f>
        <v>8</v>
      </c>
      <c r="G1050" s="2">
        <f t="shared" si="126"/>
        <v>0</v>
      </c>
      <c r="H1050" s="2">
        <f t="shared" si="127"/>
        <v>0</v>
      </c>
    </row>
    <row r="1051" spans="2:8">
      <c r="B1051" s="3" t="s">
        <v>2847</v>
      </c>
      <c r="C1051" s="3" t="s">
        <v>2848</v>
      </c>
      <c r="D1051" s="10" t="str">
        <f t="shared" si="128"/>
        <v>07-13</v>
      </c>
      <c r="E1051" s="1">
        <f>_xlfn.IFNA(VLOOKUP('Comp X - Kilter'!B1051,'Kilter Holds'!$P$36:$AB$370,10,0),0)</f>
        <v>2</v>
      </c>
      <c r="G1051" s="2">
        <f t="shared" si="126"/>
        <v>0</v>
      </c>
      <c r="H1051" s="2">
        <f t="shared" si="127"/>
        <v>0</v>
      </c>
    </row>
    <row r="1052" spans="2:8">
      <c r="B1052" s="3" t="s">
        <v>2847</v>
      </c>
      <c r="C1052" s="3" t="s">
        <v>2848</v>
      </c>
      <c r="D1052" s="11" t="str">
        <f t="shared" si="128"/>
        <v>11-25</v>
      </c>
      <c r="E1052" s="1">
        <f>_xlfn.IFNA(VLOOKUP('Comp X - Kilter'!B1052,'Kilter Holds'!$P$36:$AB$370,11,0),0)</f>
        <v>5</v>
      </c>
      <c r="G1052" s="2">
        <f t="shared" si="126"/>
        <v>0</v>
      </c>
      <c r="H1052" s="2">
        <f t="shared" si="127"/>
        <v>0</v>
      </c>
    </row>
    <row r="1053" spans="2:8">
      <c r="B1053" s="3" t="s">
        <v>2847</v>
      </c>
      <c r="C1053" s="3" t="s">
        <v>2848</v>
      </c>
      <c r="D1053" s="13" t="str">
        <f t="shared" si="128"/>
        <v>18-01</v>
      </c>
      <c r="E1053" s="1">
        <f>_xlfn.IFNA(VLOOKUP('Comp X - Kilter'!B1053,'Kilter Holds'!$P$36:$AB$370,12,0),0)</f>
        <v>9</v>
      </c>
      <c r="G1053" s="2">
        <f t="shared" si="126"/>
        <v>0</v>
      </c>
      <c r="H1053" s="2">
        <f t="shared" si="127"/>
        <v>0</v>
      </c>
    </row>
    <row r="1054" spans="2:8">
      <c r="B1054" s="3" t="s">
        <v>2847</v>
      </c>
      <c r="C1054" s="3" t="s">
        <v>2848</v>
      </c>
      <c r="D1054" s="12" t="str">
        <f t="shared" si="128"/>
        <v>12-01</v>
      </c>
      <c r="E1054" s="1">
        <f>_xlfn.IFNA(VLOOKUP('Comp X - Kilter'!B1054,'Kilter Holds'!$P$36:$AB$370,13,0),0)</f>
        <v>4</v>
      </c>
      <c r="G1054" s="2">
        <f t="shared" si="126"/>
        <v>0</v>
      </c>
      <c r="H1054" s="2">
        <f t="shared" si="127"/>
        <v>0</v>
      </c>
    </row>
    <row r="1055" spans="2:8">
      <c r="B1055" s="3" t="s">
        <v>2849</v>
      </c>
      <c r="C1055" s="3" t="s">
        <v>2850</v>
      </c>
      <c r="D1055" s="5" t="str">
        <f t="shared" si="128"/>
        <v>11-12</v>
      </c>
      <c r="E1055" s="1">
        <f>_xlfn.IFNA(VLOOKUP('Comp X - Kilter'!B1055,'Kilter Holds'!$P$36:$AB$370,5,0),0)</f>
        <v>4</v>
      </c>
      <c r="G1055" s="2">
        <f t="shared" si="126"/>
        <v>0</v>
      </c>
      <c r="H1055" s="2">
        <f t="shared" si="127"/>
        <v>0</v>
      </c>
    </row>
    <row r="1056" spans="2:8">
      <c r="B1056" s="3" t="s">
        <v>2849</v>
      </c>
      <c r="C1056" s="3" t="s">
        <v>2850</v>
      </c>
      <c r="D1056" s="6" t="str">
        <f t="shared" si="128"/>
        <v>14-01</v>
      </c>
      <c r="E1056" s="1">
        <f>_xlfn.IFNA(VLOOKUP('Comp X - Kilter'!B1056,'Kilter Holds'!$P$36:$AB$370,6,0),0)</f>
        <v>0</v>
      </c>
      <c r="G1056" s="2">
        <f t="shared" ref="G1056:G1119" si="129">E1056*F1056</f>
        <v>0</v>
      </c>
      <c r="H1056" s="2">
        <f t="shared" ref="H1056:H1119" si="130">IF($S$11="Y",G1056*0.15,0)</f>
        <v>0</v>
      </c>
    </row>
    <row r="1057" spans="2:8">
      <c r="B1057" s="3" t="s">
        <v>2849</v>
      </c>
      <c r="C1057" s="3" t="s">
        <v>2850</v>
      </c>
      <c r="D1057" s="7" t="str">
        <f t="shared" si="128"/>
        <v>15-12</v>
      </c>
      <c r="E1057" s="1">
        <f>_xlfn.IFNA(VLOOKUP('Comp X - Kilter'!B1057,'Kilter Holds'!$P$36:$AB$370,7,0),0)</f>
        <v>6</v>
      </c>
      <c r="G1057" s="2">
        <f t="shared" si="129"/>
        <v>0</v>
      </c>
      <c r="H1057" s="2">
        <f t="shared" si="130"/>
        <v>0</v>
      </c>
    </row>
    <row r="1058" spans="2:8">
      <c r="B1058" s="3" t="s">
        <v>2849</v>
      </c>
      <c r="C1058" s="3" t="s">
        <v>2850</v>
      </c>
      <c r="D1058" s="8" t="str">
        <f t="shared" si="128"/>
        <v>16-16</v>
      </c>
      <c r="E1058" s="1">
        <f>_xlfn.IFNA(VLOOKUP('Comp X - Kilter'!B1058,'Kilter Holds'!$P$36:$AB$370,8,0),0)</f>
        <v>3</v>
      </c>
      <c r="G1058" s="2">
        <f t="shared" si="129"/>
        <v>0</v>
      </c>
      <c r="H1058" s="2">
        <f t="shared" si="130"/>
        <v>0</v>
      </c>
    </row>
    <row r="1059" spans="2:8">
      <c r="B1059" s="3" t="s">
        <v>2849</v>
      </c>
      <c r="C1059" s="3" t="s">
        <v>2850</v>
      </c>
      <c r="D1059" s="9" t="str">
        <f t="shared" si="128"/>
        <v>13-01</v>
      </c>
      <c r="E1059" s="1">
        <f>_xlfn.IFNA(VLOOKUP('Comp X - Kilter'!B1059,'Kilter Holds'!$P$36:$AB$370,9,0),0)</f>
        <v>1</v>
      </c>
      <c r="G1059" s="2">
        <f t="shared" si="129"/>
        <v>0</v>
      </c>
      <c r="H1059" s="2">
        <f t="shared" si="130"/>
        <v>0</v>
      </c>
    </row>
    <row r="1060" spans="2:8">
      <c r="B1060" s="3" t="s">
        <v>2849</v>
      </c>
      <c r="C1060" s="3" t="s">
        <v>2850</v>
      </c>
      <c r="D1060" s="10" t="str">
        <f t="shared" si="128"/>
        <v>07-13</v>
      </c>
      <c r="E1060" s="1">
        <f>_xlfn.IFNA(VLOOKUP('Comp X - Kilter'!B1060,'Kilter Holds'!$P$36:$AB$370,10,0),0)</f>
        <v>3</v>
      </c>
      <c r="G1060" s="2">
        <f t="shared" si="129"/>
        <v>0</v>
      </c>
      <c r="H1060" s="2">
        <f t="shared" si="130"/>
        <v>0</v>
      </c>
    </row>
    <row r="1061" spans="2:8">
      <c r="B1061" s="3" t="s">
        <v>2849</v>
      </c>
      <c r="C1061" s="3" t="s">
        <v>2850</v>
      </c>
      <c r="D1061" s="11" t="str">
        <f t="shared" si="128"/>
        <v>11-25</v>
      </c>
      <c r="E1061" s="1">
        <f>_xlfn.IFNA(VLOOKUP('Comp X - Kilter'!B1061,'Kilter Holds'!$P$36:$AB$370,11,0),0)</f>
        <v>3</v>
      </c>
      <c r="G1061" s="2">
        <f t="shared" si="129"/>
        <v>0</v>
      </c>
      <c r="H1061" s="2">
        <f t="shared" si="130"/>
        <v>0</v>
      </c>
    </row>
    <row r="1062" spans="2:8">
      <c r="B1062" s="3" t="s">
        <v>2849</v>
      </c>
      <c r="C1062" s="3" t="s">
        <v>2850</v>
      </c>
      <c r="D1062" s="13" t="str">
        <f t="shared" si="128"/>
        <v>18-01</v>
      </c>
      <c r="E1062" s="1">
        <f>_xlfn.IFNA(VLOOKUP('Comp X - Kilter'!B1062,'Kilter Holds'!$P$36:$AB$370,12,0),0)</f>
        <v>9</v>
      </c>
      <c r="G1062" s="2">
        <f t="shared" si="129"/>
        <v>0</v>
      </c>
      <c r="H1062" s="2">
        <f t="shared" si="130"/>
        <v>0</v>
      </c>
    </row>
    <row r="1063" spans="2:8">
      <c r="B1063" s="3" t="s">
        <v>2849</v>
      </c>
      <c r="C1063" s="3" t="s">
        <v>2850</v>
      </c>
      <c r="D1063" s="12" t="str">
        <f t="shared" si="128"/>
        <v>12-01</v>
      </c>
      <c r="E1063" s="1">
        <f>_xlfn.IFNA(VLOOKUP('Comp X - Kilter'!B1063,'Kilter Holds'!$P$36:$AB$370,13,0),0)</f>
        <v>4</v>
      </c>
      <c r="G1063" s="2">
        <f t="shared" si="129"/>
        <v>0</v>
      </c>
      <c r="H1063" s="2">
        <f t="shared" si="130"/>
        <v>0</v>
      </c>
    </row>
    <row r="1064" spans="2:8">
      <c r="B1064" s="3" t="s">
        <v>2851</v>
      </c>
      <c r="C1064" s="3" t="s">
        <v>2852</v>
      </c>
      <c r="D1064" s="5" t="str">
        <f t="shared" si="128"/>
        <v>11-12</v>
      </c>
      <c r="E1064" s="1">
        <f>_xlfn.IFNA(VLOOKUP('Comp X - Kilter'!B1064,'Kilter Holds'!$P$36:$AB$370,5,0),0)</f>
        <v>5</v>
      </c>
      <c r="G1064" s="2">
        <f t="shared" si="129"/>
        <v>0</v>
      </c>
      <c r="H1064" s="2">
        <f t="shared" si="130"/>
        <v>0</v>
      </c>
    </row>
    <row r="1065" spans="2:8">
      <c r="B1065" s="3" t="s">
        <v>2851</v>
      </c>
      <c r="C1065" s="3" t="s">
        <v>2852</v>
      </c>
      <c r="D1065" s="6" t="str">
        <f t="shared" si="128"/>
        <v>14-01</v>
      </c>
      <c r="E1065" s="1">
        <f>_xlfn.IFNA(VLOOKUP('Comp X - Kilter'!B1065,'Kilter Holds'!$P$36:$AB$370,6,0),0)</f>
        <v>0</v>
      </c>
      <c r="G1065" s="2">
        <f t="shared" si="129"/>
        <v>0</v>
      </c>
      <c r="H1065" s="2">
        <f t="shared" si="130"/>
        <v>0</v>
      </c>
    </row>
    <row r="1066" spans="2:8">
      <c r="B1066" s="3" t="s">
        <v>2851</v>
      </c>
      <c r="C1066" s="3" t="s">
        <v>2852</v>
      </c>
      <c r="D1066" s="7" t="str">
        <f t="shared" si="128"/>
        <v>15-12</v>
      </c>
      <c r="E1066" s="1">
        <f>_xlfn.IFNA(VLOOKUP('Comp X - Kilter'!B1066,'Kilter Holds'!$P$36:$AB$370,7,0),0)</f>
        <v>10</v>
      </c>
      <c r="G1066" s="2">
        <f t="shared" si="129"/>
        <v>0</v>
      </c>
      <c r="H1066" s="2">
        <f t="shared" si="130"/>
        <v>0</v>
      </c>
    </row>
    <row r="1067" spans="2:8">
      <c r="B1067" s="3" t="s">
        <v>2851</v>
      </c>
      <c r="C1067" s="3" t="s">
        <v>2852</v>
      </c>
      <c r="D1067" s="8" t="str">
        <f t="shared" si="128"/>
        <v>16-16</v>
      </c>
      <c r="E1067" s="1">
        <f>_xlfn.IFNA(VLOOKUP('Comp X - Kilter'!B1067,'Kilter Holds'!$P$36:$AB$370,8,0),0)</f>
        <v>4</v>
      </c>
      <c r="G1067" s="2">
        <f t="shared" si="129"/>
        <v>0</v>
      </c>
      <c r="H1067" s="2">
        <f t="shared" si="130"/>
        <v>0</v>
      </c>
    </row>
    <row r="1068" spans="2:8">
      <c r="B1068" s="3" t="s">
        <v>2851</v>
      </c>
      <c r="C1068" s="3" t="s">
        <v>2852</v>
      </c>
      <c r="D1068" s="9" t="str">
        <f t="shared" si="128"/>
        <v>13-01</v>
      </c>
      <c r="E1068" s="1">
        <f>_xlfn.IFNA(VLOOKUP('Comp X - Kilter'!B1068,'Kilter Holds'!$P$36:$AB$370,9,0),0)</f>
        <v>8</v>
      </c>
      <c r="G1068" s="2">
        <f t="shared" si="129"/>
        <v>0</v>
      </c>
      <c r="H1068" s="2">
        <f t="shared" si="130"/>
        <v>0</v>
      </c>
    </row>
    <row r="1069" spans="2:8">
      <c r="B1069" s="3" t="s">
        <v>2851</v>
      </c>
      <c r="C1069" s="3" t="s">
        <v>2852</v>
      </c>
      <c r="D1069" s="10" t="str">
        <f t="shared" si="128"/>
        <v>07-13</v>
      </c>
      <c r="E1069" s="1">
        <f>_xlfn.IFNA(VLOOKUP('Comp X - Kilter'!B1069,'Kilter Holds'!$P$36:$AB$370,10,0),0)</f>
        <v>4</v>
      </c>
      <c r="G1069" s="2">
        <f t="shared" si="129"/>
        <v>0</v>
      </c>
      <c r="H1069" s="2">
        <f t="shared" si="130"/>
        <v>0</v>
      </c>
    </row>
    <row r="1070" spans="2:8">
      <c r="B1070" s="3" t="s">
        <v>2851</v>
      </c>
      <c r="C1070" s="3" t="s">
        <v>2852</v>
      </c>
      <c r="D1070" s="11" t="str">
        <f t="shared" si="128"/>
        <v>11-25</v>
      </c>
      <c r="E1070" s="1">
        <f>_xlfn.IFNA(VLOOKUP('Comp X - Kilter'!B1070,'Kilter Holds'!$P$36:$AB$370,11,0),0)</f>
        <v>5</v>
      </c>
      <c r="G1070" s="2">
        <f t="shared" si="129"/>
        <v>0</v>
      </c>
      <c r="H1070" s="2">
        <f t="shared" si="130"/>
        <v>0</v>
      </c>
    </row>
    <row r="1071" spans="2:8">
      <c r="B1071" s="3" t="s">
        <v>2851</v>
      </c>
      <c r="C1071" s="3" t="s">
        <v>2852</v>
      </c>
      <c r="D1071" s="13" t="str">
        <f t="shared" si="128"/>
        <v>18-01</v>
      </c>
      <c r="E1071" s="1">
        <f>_xlfn.IFNA(VLOOKUP('Comp X - Kilter'!B1071,'Kilter Holds'!$P$36:$AB$370,12,0),0)</f>
        <v>3</v>
      </c>
      <c r="G1071" s="2">
        <f t="shared" si="129"/>
        <v>0</v>
      </c>
      <c r="H1071" s="2">
        <f t="shared" si="130"/>
        <v>0</v>
      </c>
    </row>
    <row r="1072" spans="2:8">
      <c r="B1072" s="3" t="s">
        <v>2851</v>
      </c>
      <c r="C1072" s="3" t="s">
        <v>2852</v>
      </c>
      <c r="D1072" s="12" t="str">
        <f t="shared" si="128"/>
        <v>12-01</v>
      </c>
      <c r="E1072" s="1">
        <f>_xlfn.IFNA(VLOOKUP('Comp X - Kilter'!B1072,'Kilter Holds'!$P$36:$AB$370,13,0),0)</f>
        <v>4</v>
      </c>
      <c r="G1072" s="2">
        <f t="shared" si="129"/>
        <v>0</v>
      </c>
      <c r="H1072" s="2">
        <f t="shared" si="130"/>
        <v>0</v>
      </c>
    </row>
    <row r="1073" spans="2:8">
      <c r="B1073" s="3" t="s">
        <v>2834</v>
      </c>
      <c r="C1073" s="3" t="s">
        <v>2853</v>
      </c>
      <c r="D1073" s="5" t="str">
        <f t="shared" si="128"/>
        <v>11-12</v>
      </c>
      <c r="E1073" s="1">
        <f>_xlfn.IFNA(VLOOKUP('Comp X - Kilter'!B1073,'Kilter Holds'!$P$36:$AB$370,5,0),0)</f>
        <v>4</v>
      </c>
      <c r="G1073" s="2">
        <f t="shared" si="129"/>
        <v>0</v>
      </c>
      <c r="H1073" s="2">
        <f t="shared" si="130"/>
        <v>0</v>
      </c>
    </row>
    <row r="1074" spans="2:8">
      <c r="B1074" s="3" t="s">
        <v>2834</v>
      </c>
      <c r="C1074" s="3" t="s">
        <v>2853</v>
      </c>
      <c r="D1074" s="6" t="str">
        <f t="shared" si="128"/>
        <v>14-01</v>
      </c>
      <c r="E1074" s="1">
        <f>_xlfn.IFNA(VLOOKUP('Comp X - Kilter'!B1074,'Kilter Holds'!$P$36:$AB$370,6,0),0)</f>
        <v>0</v>
      </c>
      <c r="G1074" s="2">
        <f t="shared" si="129"/>
        <v>0</v>
      </c>
      <c r="H1074" s="2">
        <f t="shared" si="130"/>
        <v>0</v>
      </c>
    </row>
    <row r="1075" spans="2:8">
      <c r="B1075" s="3" t="s">
        <v>2834</v>
      </c>
      <c r="C1075" s="3" t="s">
        <v>2853</v>
      </c>
      <c r="D1075" s="7" t="str">
        <f t="shared" si="128"/>
        <v>15-12</v>
      </c>
      <c r="E1075" s="1">
        <f>_xlfn.IFNA(VLOOKUP('Comp X - Kilter'!B1075,'Kilter Holds'!$P$36:$AB$370,7,0),0)</f>
        <v>4</v>
      </c>
      <c r="G1075" s="2">
        <f t="shared" si="129"/>
        <v>0</v>
      </c>
      <c r="H1075" s="2">
        <f t="shared" si="130"/>
        <v>0</v>
      </c>
    </row>
    <row r="1076" spans="2:8">
      <c r="B1076" s="3" t="s">
        <v>2834</v>
      </c>
      <c r="C1076" s="3" t="s">
        <v>2853</v>
      </c>
      <c r="D1076" s="8" t="str">
        <f t="shared" si="128"/>
        <v>16-16</v>
      </c>
      <c r="E1076" s="1">
        <f>_xlfn.IFNA(VLOOKUP('Comp X - Kilter'!B1076,'Kilter Holds'!$P$36:$AB$370,8,0),0)</f>
        <v>6</v>
      </c>
      <c r="G1076" s="2">
        <f t="shared" si="129"/>
        <v>0</v>
      </c>
      <c r="H1076" s="2">
        <f t="shared" si="130"/>
        <v>0</v>
      </c>
    </row>
    <row r="1077" spans="2:8">
      <c r="B1077" s="3" t="s">
        <v>2834</v>
      </c>
      <c r="C1077" s="3" t="s">
        <v>2853</v>
      </c>
      <c r="D1077" s="9" t="str">
        <f t="shared" si="128"/>
        <v>13-01</v>
      </c>
      <c r="E1077" s="1">
        <f>_xlfn.IFNA(VLOOKUP('Comp X - Kilter'!B1077,'Kilter Holds'!$P$36:$AB$370,9,0),0)</f>
        <v>2</v>
      </c>
      <c r="G1077" s="2">
        <f t="shared" si="129"/>
        <v>0</v>
      </c>
      <c r="H1077" s="2">
        <f t="shared" si="130"/>
        <v>0</v>
      </c>
    </row>
    <row r="1078" spans="2:8">
      <c r="B1078" s="3" t="s">
        <v>2834</v>
      </c>
      <c r="C1078" s="3" t="s">
        <v>2853</v>
      </c>
      <c r="D1078" s="10" t="str">
        <f t="shared" si="128"/>
        <v>07-13</v>
      </c>
      <c r="E1078" s="1">
        <f>_xlfn.IFNA(VLOOKUP('Comp X - Kilter'!B1078,'Kilter Holds'!$P$36:$AB$370,10,0),0)</f>
        <v>6</v>
      </c>
      <c r="G1078" s="2">
        <f t="shared" si="129"/>
        <v>0</v>
      </c>
      <c r="H1078" s="2">
        <f t="shared" si="130"/>
        <v>0</v>
      </c>
    </row>
    <row r="1079" spans="2:8">
      <c r="B1079" s="3" t="s">
        <v>2834</v>
      </c>
      <c r="C1079" s="3" t="s">
        <v>2853</v>
      </c>
      <c r="D1079" s="11" t="str">
        <f t="shared" si="128"/>
        <v>11-25</v>
      </c>
      <c r="E1079" s="1">
        <f>_xlfn.IFNA(VLOOKUP('Comp X - Kilter'!B1079,'Kilter Holds'!$P$36:$AB$370,11,0),0)</f>
        <v>4</v>
      </c>
      <c r="G1079" s="2">
        <f t="shared" si="129"/>
        <v>0</v>
      </c>
      <c r="H1079" s="2">
        <f t="shared" si="130"/>
        <v>0</v>
      </c>
    </row>
    <row r="1080" spans="2:8">
      <c r="B1080" s="3" t="s">
        <v>2834</v>
      </c>
      <c r="C1080" s="3" t="s">
        <v>2853</v>
      </c>
      <c r="D1080" s="13" t="str">
        <f t="shared" si="128"/>
        <v>18-01</v>
      </c>
      <c r="E1080" s="1">
        <f>_xlfn.IFNA(VLOOKUP('Comp X - Kilter'!B1080,'Kilter Holds'!$P$36:$AB$370,12,0),0)</f>
        <v>6</v>
      </c>
      <c r="G1080" s="2">
        <f t="shared" si="129"/>
        <v>0</v>
      </c>
      <c r="H1080" s="2">
        <f t="shared" si="130"/>
        <v>0</v>
      </c>
    </row>
    <row r="1081" spans="2:8">
      <c r="B1081" s="3" t="s">
        <v>2834</v>
      </c>
      <c r="C1081" s="3" t="s">
        <v>2853</v>
      </c>
      <c r="D1081" s="12" t="str">
        <f t="shared" si="128"/>
        <v>12-01</v>
      </c>
      <c r="E1081" s="1">
        <f>_xlfn.IFNA(VLOOKUP('Comp X - Kilter'!B1081,'Kilter Holds'!$P$36:$AB$370,13,0),0)</f>
        <v>3</v>
      </c>
      <c r="G1081" s="2">
        <f t="shared" si="129"/>
        <v>0</v>
      </c>
      <c r="H1081" s="2">
        <f t="shared" si="130"/>
        <v>0</v>
      </c>
    </row>
    <row r="1082" spans="2:8">
      <c r="B1082" s="3" t="s">
        <v>2854</v>
      </c>
      <c r="C1082" s="3" t="s">
        <v>2855</v>
      </c>
      <c r="D1082" s="5" t="str">
        <f t="shared" si="128"/>
        <v>11-12</v>
      </c>
      <c r="E1082" s="1">
        <f>_xlfn.IFNA(VLOOKUP('Comp X - Kilter'!B1082,'Kilter Holds'!$P$36:$AB$370,5,0),0)</f>
        <v>4</v>
      </c>
      <c r="G1082" s="2">
        <f t="shared" si="129"/>
        <v>0</v>
      </c>
      <c r="H1082" s="2">
        <f t="shared" si="130"/>
        <v>0</v>
      </c>
    </row>
    <row r="1083" spans="2:8">
      <c r="B1083" s="3" t="s">
        <v>2854</v>
      </c>
      <c r="C1083" s="3" t="s">
        <v>2855</v>
      </c>
      <c r="D1083" s="6" t="str">
        <f t="shared" si="128"/>
        <v>14-01</v>
      </c>
      <c r="E1083" s="1">
        <f>_xlfn.IFNA(VLOOKUP('Comp X - Kilter'!B1083,'Kilter Holds'!$P$36:$AB$370,6,0),0)</f>
        <v>0</v>
      </c>
      <c r="G1083" s="2">
        <f t="shared" si="129"/>
        <v>0</v>
      </c>
      <c r="H1083" s="2">
        <f t="shared" si="130"/>
        <v>0</v>
      </c>
    </row>
    <row r="1084" spans="2:8">
      <c r="B1084" s="3" t="s">
        <v>2854</v>
      </c>
      <c r="C1084" s="3" t="s">
        <v>2855</v>
      </c>
      <c r="D1084" s="7" t="str">
        <f t="shared" si="128"/>
        <v>15-12</v>
      </c>
      <c r="E1084" s="1">
        <f>_xlfn.IFNA(VLOOKUP('Comp X - Kilter'!B1084,'Kilter Holds'!$P$36:$AB$370,7,0),0)</f>
        <v>6</v>
      </c>
      <c r="G1084" s="2">
        <f t="shared" si="129"/>
        <v>0</v>
      </c>
      <c r="H1084" s="2">
        <f t="shared" si="130"/>
        <v>0</v>
      </c>
    </row>
    <row r="1085" spans="2:8">
      <c r="B1085" s="3" t="s">
        <v>2854</v>
      </c>
      <c r="C1085" s="3" t="s">
        <v>2855</v>
      </c>
      <c r="D1085" s="8" t="str">
        <f t="shared" si="128"/>
        <v>16-16</v>
      </c>
      <c r="E1085" s="1">
        <f>_xlfn.IFNA(VLOOKUP('Comp X - Kilter'!B1085,'Kilter Holds'!$P$36:$AB$370,8,0),0)</f>
        <v>2</v>
      </c>
      <c r="G1085" s="2">
        <f t="shared" si="129"/>
        <v>0</v>
      </c>
      <c r="H1085" s="2">
        <f t="shared" si="130"/>
        <v>0</v>
      </c>
    </row>
    <row r="1086" spans="2:8">
      <c r="B1086" s="3" t="s">
        <v>2854</v>
      </c>
      <c r="C1086" s="3" t="s">
        <v>2855</v>
      </c>
      <c r="D1086" s="9" t="str">
        <f t="shared" si="128"/>
        <v>13-01</v>
      </c>
      <c r="E1086" s="1">
        <f>_xlfn.IFNA(VLOOKUP('Comp X - Kilter'!B1086,'Kilter Holds'!$P$36:$AB$370,9,0),0)</f>
        <v>2</v>
      </c>
      <c r="G1086" s="2">
        <f t="shared" si="129"/>
        <v>0</v>
      </c>
      <c r="H1086" s="2">
        <f t="shared" si="130"/>
        <v>0</v>
      </c>
    </row>
    <row r="1087" spans="2:8">
      <c r="B1087" s="3" t="s">
        <v>2854</v>
      </c>
      <c r="C1087" s="3" t="s">
        <v>2855</v>
      </c>
      <c r="D1087" s="10" t="str">
        <f t="shared" si="128"/>
        <v>07-13</v>
      </c>
      <c r="E1087" s="1">
        <f>_xlfn.IFNA(VLOOKUP('Comp X - Kilter'!B1087,'Kilter Holds'!$P$36:$AB$370,10,0),0)</f>
        <v>8</v>
      </c>
      <c r="G1087" s="2">
        <f t="shared" si="129"/>
        <v>0</v>
      </c>
      <c r="H1087" s="2">
        <f t="shared" si="130"/>
        <v>0</v>
      </c>
    </row>
    <row r="1088" spans="2:8">
      <c r="B1088" s="3" t="s">
        <v>2854</v>
      </c>
      <c r="C1088" s="3" t="s">
        <v>2855</v>
      </c>
      <c r="D1088" s="11" t="str">
        <f t="shared" si="128"/>
        <v>11-25</v>
      </c>
      <c r="E1088" s="1">
        <f>_xlfn.IFNA(VLOOKUP('Comp X - Kilter'!B1088,'Kilter Holds'!$P$36:$AB$370,11,0),0)</f>
        <v>5</v>
      </c>
      <c r="G1088" s="2">
        <f t="shared" si="129"/>
        <v>0</v>
      </c>
      <c r="H1088" s="2">
        <f t="shared" si="130"/>
        <v>0</v>
      </c>
    </row>
    <row r="1089" spans="2:8">
      <c r="B1089" s="3" t="s">
        <v>2854</v>
      </c>
      <c r="C1089" s="3" t="s">
        <v>2855</v>
      </c>
      <c r="D1089" s="13" t="str">
        <f t="shared" si="128"/>
        <v>18-01</v>
      </c>
      <c r="E1089" s="1">
        <f>_xlfn.IFNA(VLOOKUP('Comp X - Kilter'!B1089,'Kilter Holds'!$P$36:$AB$370,12,0),0)</f>
        <v>10</v>
      </c>
      <c r="G1089" s="2">
        <f t="shared" si="129"/>
        <v>0</v>
      </c>
      <c r="H1089" s="2">
        <f t="shared" si="130"/>
        <v>0</v>
      </c>
    </row>
    <row r="1090" spans="2:8">
      <c r="B1090" s="3" t="s">
        <v>2854</v>
      </c>
      <c r="C1090" s="3" t="s">
        <v>2855</v>
      </c>
      <c r="D1090" s="12" t="str">
        <f t="shared" si="128"/>
        <v>12-01</v>
      </c>
      <c r="E1090" s="1">
        <f>_xlfn.IFNA(VLOOKUP('Comp X - Kilter'!B1090,'Kilter Holds'!$P$36:$AB$370,13,0),0)</f>
        <v>3</v>
      </c>
      <c r="G1090" s="2">
        <f t="shared" si="129"/>
        <v>0</v>
      </c>
      <c r="H1090" s="2">
        <f t="shared" si="130"/>
        <v>0</v>
      </c>
    </row>
    <row r="1091" spans="2:8">
      <c r="B1091" s="3" t="s">
        <v>2856</v>
      </c>
      <c r="C1091" s="3" t="s">
        <v>2857</v>
      </c>
      <c r="D1091" s="5" t="str">
        <f t="shared" si="128"/>
        <v>11-12</v>
      </c>
      <c r="E1091" s="1">
        <f>_xlfn.IFNA(VLOOKUP('Comp X - Kilter'!B1091,'Kilter Holds'!$P$36:$AB$370,5,0),0)</f>
        <v>3</v>
      </c>
      <c r="G1091" s="2">
        <f t="shared" si="129"/>
        <v>0</v>
      </c>
      <c r="H1091" s="2">
        <f t="shared" si="130"/>
        <v>0</v>
      </c>
    </row>
    <row r="1092" spans="2:8">
      <c r="B1092" s="3" t="s">
        <v>2856</v>
      </c>
      <c r="C1092" s="3" t="s">
        <v>2857</v>
      </c>
      <c r="D1092" s="6" t="str">
        <f t="shared" si="128"/>
        <v>14-01</v>
      </c>
      <c r="E1092" s="1">
        <f>_xlfn.IFNA(VLOOKUP('Comp X - Kilter'!B1092,'Kilter Holds'!$P$36:$AB$370,6,0),0)</f>
        <v>0</v>
      </c>
      <c r="G1092" s="2">
        <f t="shared" si="129"/>
        <v>0</v>
      </c>
      <c r="H1092" s="2">
        <f t="shared" si="130"/>
        <v>0</v>
      </c>
    </row>
    <row r="1093" spans="2:8">
      <c r="B1093" s="3" t="s">
        <v>2856</v>
      </c>
      <c r="C1093" s="3" t="s">
        <v>2857</v>
      </c>
      <c r="D1093" s="7" t="str">
        <f t="shared" si="128"/>
        <v>15-12</v>
      </c>
      <c r="E1093" s="1">
        <f>_xlfn.IFNA(VLOOKUP('Comp X - Kilter'!B1093,'Kilter Holds'!$P$36:$AB$370,7,0),0)</f>
        <v>4</v>
      </c>
      <c r="G1093" s="2">
        <f t="shared" si="129"/>
        <v>0</v>
      </c>
      <c r="H1093" s="2">
        <f t="shared" si="130"/>
        <v>0</v>
      </c>
    </row>
    <row r="1094" spans="2:8">
      <c r="B1094" s="3" t="s">
        <v>2856</v>
      </c>
      <c r="C1094" s="3" t="s">
        <v>2857</v>
      </c>
      <c r="D1094" s="8" t="str">
        <f t="shared" si="128"/>
        <v>16-16</v>
      </c>
      <c r="E1094" s="1">
        <f>_xlfn.IFNA(VLOOKUP('Comp X - Kilter'!B1094,'Kilter Holds'!$P$36:$AB$370,8,0),0)</f>
        <v>4</v>
      </c>
      <c r="G1094" s="2">
        <f t="shared" si="129"/>
        <v>0</v>
      </c>
      <c r="H1094" s="2">
        <f t="shared" si="130"/>
        <v>0</v>
      </c>
    </row>
    <row r="1095" spans="2:8">
      <c r="B1095" s="3" t="s">
        <v>2856</v>
      </c>
      <c r="C1095" s="3" t="s">
        <v>2857</v>
      </c>
      <c r="D1095" s="9" t="str">
        <f t="shared" si="128"/>
        <v>13-01</v>
      </c>
      <c r="E1095" s="1">
        <f>_xlfn.IFNA(VLOOKUP('Comp X - Kilter'!B1095,'Kilter Holds'!$P$36:$AB$370,9,0),0)</f>
        <v>9</v>
      </c>
      <c r="G1095" s="2">
        <f t="shared" si="129"/>
        <v>0</v>
      </c>
      <c r="H1095" s="2">
        <f t="shared" si="130"/>
        <v>0</v>
      </c>
    </row>
    <row r="1096" spans="2:8">
      <c r="B1096" s="3" t="s">
        <v>2856</v>
      </c>
      <c r="C1096" s="3" t="s">
        <v>2857</v>
      </c>
      <c r="D1096" s="10" t="str">
        <f t="shared" si="128"/>
        <v>07-13</v>
      </c>
      <c r="E1096" s="1">
        <f>_xlfn.IFNA(VLOOKUP('Comp X - Kilter'!B1096,'Kilter Holds'!$P$36:$AB$370,10,0),0)</f>
        <v>5</v>
      </c>
      <c r="G1096" s="2">
        <f t="shared" si="129"/>
        <v>0</v>
      </c>
      <c r="H1096" s="2">
        <f t="shared" si="130"/>
        <v>0</v>
      </c>
    </row>
    <row r="1097" spans="2:8">
      <c r="B1097" s="3" t="s">
        <v>2856</v>
      </c>
      <c r="C1097" s="3" t="s">
        <v>2857</v>
      </c>
      <c r="D1097" s="11" t="str">
        <f t="shared" si="128"/>
        <v>11-25</v>
      </c>
      <c r="E1097" s="1">
        <f>_xlfn.IFNA(VLOOKUP('Comp X - Kilter'!B1097,'Kilter Holds'!$P$36:$AB$370,11,0),0)</f>
        <v>5</v>
      </c>
      <c r="G1097" s="2">
        <f t="shared" si="129"/>
        <v>0</v>
      </c>
      <c r="H1097" s="2">
        <f t="shared" si="130"/>
        <v>0</v>
      </c>
    </row>
    <row r="1098" spans="2:8">
      <c r="B1098" s="3" t="s">
        <v>2856</v>
      </c>
      <c r="C1098" s="3" t="s">
        <v>2857</v>
      </c>
      <c r="D1098" s="13" t="str">
        <f t="shared" si="128"/>
        <v>18-01</v>
      </c>
      <c r="E1098" s="1">
        <f>_xlfn.IFNA(VLOOKUP('Comp X - Kilter'!B1098,'Kilter Holds'!$P$36:$AB$370,12,0),0)</f>
        <v>9</v>
      </c>
      <c r="G1098" s="2">
        <f t="shared" si="129"/>
        <v>0</v>
      </c>
      <c r="H1098" s="2">
        <f t="shared" si="130"/>
        <v>0</v>
      </c>
    </row>
    <row r="1099" spans="2:8">
      <c r="B1099" s="3" t="s">
        <v>2856</v>
      </c>
      <c r="C1099" s="3" t="s">
        <v>2857</v>
      </c>
      <c r="D1099" s="12" t="str">
        <f t="shared" si="128"/>
        <v>12-01</v>
      </c>
      <c r="E1099" s="1">
        <f>_xlfn.IFNA(VLOOKUP('Comp X - Kilter'!B1099,'Kilter Holds'!$P$36:$AB$370,13,0),0)</f>
        <v>5</v>
      </c>
      <c r="G1099" s="2">
        <f t="shared" si="129"/>
        <v>0</v>
      </c>
      <c r="H1099" s="2">
        <f t="shared" si="130"/>
        <v>0</v>
      </c>
    </row>
    <row r="1100" spans="2:8">
      <c r="B1100" s="3" t="s">
        <v>2858</v>
      </c>
      <c r="C1100" s="3" t="s">
        <v>2859</v>
      </c>
      <c r="D1100" s="5" t="str">
        <f t="shared" si="128"/>
        <v>11-12</v>
      </c>
      <c r="E1100" s="1">
        <f>_xlfn.IFNA(VLOOKUP('Comp X - Kilter'!B1100,'Kilter Holds'!$P$36:$AB$370,5,0),0)</f>
        <v>0</v>
      </c>
      <c r="G1100" s="2">
        <f t="shared" si="129"/>
        <v>0</v>
      </c>
      <c r="H1100" s="2">
        <f t="shared" si="130"/>
        <v>0</v>
      </c>
    </row>
    <row r="1101" spans="2:8">
      <c r="B1101" s="3" t="s">
        <v>2858</v>
      </c>
      <c r="C1101" s="3" t="s">
        <v>2859</v>
      </c>
      <c r="D1101" s="6" t="str">
        <f t="shared" si="128"/>
        <v>14-01</v>
      </c>
      <c r="E1101" s="1">
        <f>_xlfn.IFNA(VLOOKUP('Comp X - Kilter'!B1101,'Kilter Holds'!$P$36:$AB$370,6,0),0)</f>
        <v>0</v>
      </c>
      <c r="G1101" s="2">
        <f t="shared" si="129"/>
        <v>0</v>
      </c>
      <c r="H1101" s="2">
        <f t="shared" si="130"/>
        <v>0</v>
      </c>
    </row>
    <row r="1102" spans="2:8">
      <c r="B1102" s="3" t="s">
        <v>2858</v>
      </c>
      <c r="C1102" s="3" t="s">
        <v>2859</v>
      </c>
      <c r="D1102" s="7" t="str">
        <f t="shared" si="128"/>
        <v>15-12</v>
      </c>
      <c r="E1102" s="1">
        <f>_xlfn.IFNA(VLOOKUP('Comp X - Kilter'!B1102,'Kilter Holds'!$P$36:$AB$370,7,0),0)</f>
        <v>5</v>
      </c>
      <c r="G1102" s="2">
        <f t="shared" si="129"/>
        <v>0</v>
      </c>
      <c r="H1102" s="2">
        <f t="shared" si="130"/>
        <v>0</v>
      </c>
    </row>
    <row r="1103" spans="2:8">
      <c r="B1103" s="3" t="s">
        <v>2858</v>
      </c>
      <c r="C1103" s="3" t="s">
        <v>2859</v>
      </c>
      <c r="D1103" s="8" t="str">
        <f t="shared" si="128"/>
        <v>16-16</v>
      </c>
      <c r="E1103" s="1">
        <f>_xlfn.IFNA(VLOOKUP('Comp X - Kilter'!B1103,'Kilter Holds'!$P$36:$AB$370,8,0),0)</f>
        <v>0</v>
      </c>
      <c r="G1103" s="2">
        <f t="shared" si="129"/>
        <v>0</v>
      </c>
      <c r="H1103" s="2">
        <f t="shared" si="130"/>
        <v>0</v>
      </c>
    </row>
    <row r="1104" spans="2:8">
      <c r="B1104" s="3" t="s">
        <v>2858</v>
      </c>
      <c r="C1104" s="3" t="s">
        <v>2859</v>
      </c>
      <c r="D1104" s="9" t="str">
        <f t="shared" si="128"/>
        <v>13-01</v>
      </c>
      <c r="E1104" s="1">
        <f>_xlfn.IFNA(VLOOKUP('Comp X - Kilter'!B1104,'Kilter Holds'!$P$36:$AB$370,9,0),0)</f>
        <v>4</v>
      </c>
      <c r="G1104" s="2">
        <f t="shared" si="129"/>
        <v>0</v>
      </c>
      <c r="H1104" s="2">
        <f t="shared" si="130"/>
        <v>0</v>
      </c>
    </row>
    <row r="1105" spans="2:8">
      <c r="B1105" s="3" t="s">
        <v>2858</v>
      </c>
      <c r="C1105" s="3" t="s">
        <v>2859</v>
      </c>
      <c r="D1105" s="10" t="str">
        <f t="shared" si="128"/>
        <v>07-13</v>
      </c>
      <c r="E1105" s="1">
        <f>_xlfn.IFNA(VLOOKUP('Comp X - Kilter'!B1105,'Kilter Holds'!$P$36:$AB$370,10,0),0)</f>
        <v>5</v>
      </c>
      <c r="G1105" s="2">
        <f t="shared" si="129"/>
        <v>0</v>
      </c>
      <c r="H1105" s="2">
        <f t="shared" si="130"/>
        <v>0</v>
      </c>
    </row>
    <row r="1106" spans="2:8">
      <c r="B1106" s="3" t="s">
        <v>2858</v>
      </c>
      <c r="C1106" s="3" t="s">
        <v>2859</v>
      </c>
      <c r="D1106" s="11" t="str">
        <f t="shared" si="128"/>
        <v>11-25</v>
      </c>
      <c r="E1106" s="1">
        <f>_xlfn.IFNA(VLOOKUP('Comp X - Kilter'!B1106,'Kilter Holds'!$P$36:$AB$370,11,0),0)</f>
        <v>0</v>
      </c>
      <c r="G1106" s="2">
        <f t="shared" si="129"/>
        <v>0</v>
      </c>
      <c r="H1106" s="2">
        <f t="shared" si="130"/>
        <v>0</v>
      </c>
    </row>
    <row r="1107" spans="2:8">
      <c r="B1107" s="3" t="s">
        <v>2858</v>
      </c>
      <c r="C1107" s="3" t="s">
        <v>2859</v>
      </c>
      <c r="D1107" s="13" t="str">
        <f t="shared" si="128"/>
        <v>18-01</v>
      </c>
      <c r="E1107" s="1">
        <f>_xlfn.IFNA(VLOOKUP('Comp X - Kilter'!B1107,'Kilter Holds'!$P$36:$AB$370,12,0),0)</f>
        <v>0</v>
      </c>
      <c r="G1107" s="2">
        <f t="shared" si="129"/>
        <v>0</v>
      </c>
      <c r="H1107" s="2">
        <f t="shared" si="130"/>
        <v>0</v>
      </c>
    </row>
    <row r="1108" spans="2:8">
      <c r="B1108" s="3" t="s">
        <v>2858</v>
      </c>
      <c r="C1108" s="3" t="s">
        <v>2859</v>
      </c>
      <c r="D1108" s="12" t="str">
        <f t="shared" si="128"/>
        <v>12-01</v>
      </c>
      <c r="E1108" s="1">
        <f>_xlfn.IFNA(VLOOKUP('Comp X - Kilter'!B1108,'Kilter Holds'!$P$36:$AB$370,13,0),0)</f>
        <v>0</v>
      </c>
      <c r="G1108" s="2">
        <f t="shared" si="129"/>
        <v>0</v>
      </c>
      <c r="H1108" s="2">
        <f t="shared" si="130"/>
        <v>0</v>
      </c>
    </row>
    <row r="1109" spans="2:8">
      <c r="B1109" s="3" t="s">
        <v>2860</v>
      </c>
      <c r="C1109" s="3" t="s">
        <v>2861</v>
      </c>
      <c r="D1109" s="5" t="str">
        <f t="shared" si="128"/>
        <v>11-12</v>
      </c>
      <c r="E1109" s="1">
        <f>_xlfn.IFNA(VLOOKUP('Comp X - Kilter'!B1109,'Kilter Holds'!$P$36:$AB$370,5,0),0)</f>
        <v>2</v>
      </c>
      <c r="G1109" s="2">
        <f t="shared" si="129"/>
        <v>0</v>
      </c>
      <c r="H1109" s="2">
        <f t="shared" si="130"/>
        <v>0</v>
      </c>
    </row>
    <row r="1110" spans="2:8">
      <c r="B1110" s="3" t="s">
        <v>2860</v>
      </c>
      <c r="C1110" s="3" t="s">
        <v>2861</v>
      </c>
      <c r="D1110" s="6" t="str">
        <f t="shared" si="128"/>
        <v>14-01</v>
      </c>
      <c r="E1110" s="1">
        <f>_xlfn.IFNA(VLOOKUP('Comp X - Kilter'!B1110,'Kilter Holds'!$P$36:$AB$370,6,0),0)</f>
        <v>0</v>
      </c>
      <c r="G1110" s="2">
        <f t="shared" si="129"/>
        <v>0</v>
      </c>
      <c r="H1110" s="2">
        <f t="shared" si="130"/>
        <v>0</v>
      </c>
    </row>
    <row r="1111" spans="2:8">
      <c r="B1111" s="3" t="s">
        <v>2860</v>
      </c>
      <c r="C1111" s="3" t="s">
        <v>2861</v>
      </c>
      <c r="D1111" s="7" t="str">
        <f t="shared" ref="D1111:D1126" si="131">D778</f>
        <v>15-12</v>
      </c>
      <c r="E1111" s="1">
        <f>_xlfn.IFNA(VLOOKUP('Comp X - Kilter'!B1111,'Kilter Holds'!$P$36:$AB$370,7,0),0)</f>
        <v>3</v>
      </c>
      <c r="G1111" s="2">
        <f t="shared" si="129"/>
        <v>0</v>
      </c>
      <c r="H1111" s="2">
        <f t="shared" si="130"/>
        <v>0</v>
      </c>
    </row>
    <row r="1112" spans="2:8">
      <c r="B1112" s="3" t="s">
        <v>2860</v>
      </c>
      <c r="C1112" s="3" t="s">
        <v>2861</v>
      </c>
      <c r="D1112" s="8" t="str">
        <f t="shared" si="131"/>
        <v>16-16</v>
      </c>
      <c r="E1112" s="1">
        <f>_xlfn.IFNA(VLOOKUP('Comp X - Kilter'!B1112,'Kilter Holds'!$P$36:$AB$370,8,0),0)</f>
        <v>4</v>
      </c>
      <c r="G1112" s="2">
        <f t="shared" si="129"/>
        <v>0</v>
      </c>
      <c r="H1112" s="2">
        <f t="shared" si="130"/>
        <v>0</v>
      </c>
    </row>
    <row r="1113" spans="2:8">
      <c r="B1113" s="3" t="s">
        <v>2860</v>
      </c>
      <c r="C1113" s="3" t="s">
        <v>2861</v>
      </c>
      <c r="D1113" s="9" t="str">
        <f t="shared" si="131"/>
        <v>13-01</v>
      </c>
      <c r="E1113" s="1">
        <f>_xlfn.IFNA(VLOOKUP('Comp X - Kilter'!B1113,'Kilter Holds'!$P$36:$AB$370,9,0),0)</f>
        <v>5</v>
      </c>
      <c r="G1113" s="2">
        <f t="shared" si="129"/>
        <v>0</v>
      </c>
      <c r="H1113" s="2">
        <f t="shared" si="130"/>
        <v>0</v>
      </c>
    </row>
    <row r="1114" spans="2:8">
      <c r="B1114" s="3" t="s">
        <v>2860</v>
      </c>
      <c r="C1114" s="3" t="s">
        <v>2861</v>
      </c>
      <c r="D1114" s="10" t="str">
        <f t="shared" si="131"/>
        <v>07-13</v>
      </c>
      <c r="E1114" s="1">
        <f>_xlfn.IFNA(VLOOKUP('Comp X - Kilter'!B1114,'Kilter Holds'!$P$36:$AB$370,10,0),0)</f>
        <v>8</v>
      </c>
      <c r="G1114" s="2">
        <f t="shared" si="129"/>
        <v>0</v>
      </c>
      <c r="H1114" s="2">
        <f t="shared" si="130"/>
        <v>0</v>
      </c>
    </row>
    <row r="1115" spans="2:8">
      <c r="B1115" s="3" t="s">
        <v>2860</v>
      </c>
      <c r="C1115" s="3" t="s">
        <v>2861</v>
      </c>
      <c r="D1115" s="11" t="str">
        <f t="shared" si="131"/>
        <v>11-25</v>
      </c>
      <c r="E1115" s="1">
        <f>_xlfn.IFNA(VLOOKUP('Comp X - Kilter'!B1115,'Kilter Holds'!$P$36:$AB$370,11,0),0)</f>
        <v>6</v>
      </c>
      <c r="G1115" s="2">
        <f t="shared" si="129"/>
        <v>0</v>
      </c>
      <c r="H1115" s="2">
        <f t="shared" si="130"/>
        <v>0</v>
      </c>
    </row>
    <row r="1116" spans="2:8">
      <c r="B1116" s="3" t="s">
        <v>2860</v>
      </c>
      <c r="C1116" s="3" t="s">
        <v>2861</v>
      </c>
      <c r="D1116" s="13" t="str">
        <f t="shared" si="131"/>
        <v>18-01</v>
      </c>
      <c r="E1116" s="1">
        <f>_xlfn.IFNA(VLOOKUP('Comp X - Kilter'!B1116,'Kilter Holds'!$P$36:$AB$370,12,0),0)</f>
        <v>4</v>
      </c>
      <c r="G1116" s="2">
        <f t="shared" si="129"/>
        <v>0</v>
      </c>
      <c r="H1116" s="2">
        <f t="shared" si="130"/>
        <v>0</v>
      </c>
    </row>
    <row r="1117" spans="2:8">
      <c r="B1117" s="3" t="s">
        <v>2860</v>
      </c>
      <c r="C1117" s="3" t="s">
        <v>2861</v>
      </c>
      <c r="D1117" s="12" t="str">
        <f t="shared" si="131"/>
        <v>12-01</v>
      </c>
      <c r="E1117" s="1">
        <f>_xlfn.IFNA(VLOOKUP('Comp X - Kilter'!B1117,'Kilter Holds'!$P$36:$AB$370,13,0),0)</f>
        <v>5</v>
      </c>
      <c r="G1117" s="2">
        <f t="shared" si="129"/>
        <v>0</v>
      </c>
      <c r="H1117" s="2">
        <f t="shared" si="130"/>
        <v>0</v>
      </c>
    </row>
    <row r="1118" spans="2:8">
      <c r="B1118" s="3" t="s">
        <v>2862</v>
      </c>
      <c r="C1118" s="3" t="s">
        <v>2863</v>
      </c>
      <c r="D1118" s="5" t="str">
        <f t="shared" si="131"/>
        <v>11-12</v>
      </c>
      <c r="E1118" s="1">
        <f>_xlfn.IFNA(VLOOKUP('Comp X - Kilter'!B1118,'Kilter Holds'!$P$36:$AB$370,5,0),0)</f>
        <v>5</v>
      </c>
      <c r="G1118" s="2">
        <f t="shared" si="129"/>
        <v>0</v>
      </c>
      <c r="H1118" s="2">
        <f t="shared" si="130"/>
        <v>0</v>
      </c>
    </row>
    <row r="1119" spans="2:8">
      <c r="B1119" s="3" t="s">
        <v>2862</v>
      </c>
      <c r="C1119" s="3" t="s">
        <v>2863</v>
      </c>
      <c r="D1119" s="6" t="str">
        <f t="shared" si="131"/>
        <v>14-01</v>
      </c>
      <c r="E1119" s="1">
        <f>_xlfn.IFNA(VLOOKUP('Comp X - Kilter'!B1119,'Kilter Holds'!$P$36:$AB$370,6,0),0)</f>
        <v>0</v>
      </c>
      <c r="G1119" s="2">
        <f t="shared" si="129"/>
        <v>0</v>
      </c>
      <c r="H1119" s="2">
        <f t="shared" si="130"/>
        <v>0</v>
      </c>
    </row>
    <row r="1120" spans="2:8">
      <c r="B1120" s="3" t="s">
        <v>2862</v>
      </c>
      <c r="C1120" s="3" t="s">
        <v>2863</v>
      </c>
      <c r="D1120" s="7" t="str">
        <f t="shared" si="131"/>
        <v>15-12</v>
      </c>
      <c r="E1120" s="1">
        <f>_xlfn.IFNA(VLOOKUP('Comp X - Kilter'!B1120,'Kilter Holds'!$P$36:$AB$370,7,0),0)</f>
        <v>3</v>
      </c>
      <c r="G1120" s="2">
        <f t="shared" ref="G1120:G1126" si="132">E1120*F1120</f>
        <v>0</v>
      </c>
      <c r="H1120" s="2">
        <f t="shared" ref="H1120:H1126" si="133">IF($S$11="Y",G1120*0.15,0)</f>
        <v>0</v>
      </c>
    </row>
    <row r="1121" spans="2:8">
      <c r="B1121" s="3" t="s">
        <v>2862</v>
      </c>
      <c r="C1121" s="3" t="s">
        <v>2863</v>
      </c>
      <c r="D1121" s="8" t="str">
        <f t="shared" si="131"/>
        <v>16-16</v>
      </c>
      <c r="E1121" s="1">
        <f>_xlfn.IFNA(VLOOKUP('Comp X - Kilter'!B1121,'Kilter Holds'!$P$36:$AB$370,8,0),0)</f>
        <v>5</v>
      </c>
      <c r="G1121" s="2">
        <f t="shared" si="132"/>
        <v>0</v>
      </c>
      <c r="H1121" s="2">
        <f t="shared" si="133"/>
        <v>0</v>
      </c>
    </row>
    <row r="1122" spans="2:8">
      <c r="B1122" s="3" t="s">
        <v>2862</v>
      </c>
      <c r="C1122" s="3" t="s">
        <v>2863</v>
      </c>
      <c r="D1122" s="9" t="str">
        <f t="shared" si="131"/>
        <v>13-01</v>
      </c>
      <c r="E1122" s="1">
        <f>_xlfn.IFNA(VLOOKUP('Comp X - Kilter'!B1122,'Kilter Holds'!$P$36:$AB$370,9,0),0)</f>
        <v>5</v>
      </c>
      <c r="G1122" s="2">
        <f t="shared" si="132"/>
        <v>0</v>
      </c>
      <c r="H1122" s="2">
        <f t="shared" si="133"/>
        <v>0</v>
      </c>
    </row>
    <row r="1123" spans="2:8">
      <c r="B1123" s="3" t="s">
        <v>2862</v>
      </c>
      <c r="C1123" s="3" t="s">
        <v>2863</v>
      </c>
      <c r="D1123" s="10" t="str">
        <f t="shared" si="131"/>
        <v>07-13</v>
      </c>
      <c r="E1123" s="1">
        <f>_xlfn.IFNA(VLOOKUP('Comp X - Kilter'!B1123,'Kilter Holds'!$P$36:$AB$370,10,0),0)</f>
        <v>6</v>
      </c>
      <c r="G1123" s="2">
        <f t="shared" si="132"/>
        <v>0</v>
      </c>
      <c r="H1123" s="2">
        <f t="shared" si="133"/>
        <v>0</v>
      </c>
    </row>
    <row r="1124" spans="2:8">
      <c r="B1124" s="3" t="s">
        <v>2862</v>
      </c>
      <c r="C1124" s="3" t="s">
        <v>2863</v>
      </c>
      <c r="D1124" s="11" t="str">
        <f t="shared" si="131"/>
        <v>11-25</v>
      </c>
      <c r="E1124" s="1">
        <f>_xlfn.IFNA(VLOOKUP('Comp X - Kilter'!B1124,'Kilter Holds'!$P$36:$AB$370,11,0),0)</f>
        <v>5</v>
      </c>
      <c r="G1124" s="2">
        <f t="shared" si="132"/>
        <v>0</v>
      </c>
      <c r="H1124" s="2">
        <f t="shared" si="133"/>
        <v>0</v>
      </c>
    </row>
    <row r="1125" spans="2:8">
      <c r="B1125" s="3" t="s">
        <v>2862</v>
      </c>
      <c r="C1125" s="3" t="s">
        <v>2863</v>
      </c>
      <c r="D1125" s="13" t="str">
        <f t="shared" si="131"/>
        <v>18-01</v>
      </c>
      <c r="E1125" s="1">
        <f>_xlfn.IFNA(VLOOKUP('Comp X - Kilter'!B1125,'Kilter Holds'!$P$36:$AB$370,12,0),0)</f>
        <v>5</v>
      </c>
      <c r="G1125" s="2">
        <f t="shared" si="132"/>
        <v>0</v>
      </c>
      <c r="H1125" s="2">
        <f t="shared" si="133"/>
        <v>0</v>
      </c>
    </row>
    <row r="1126" spans="2:8">
      <c r="B1126" s="3" t="s">
        <v>2862</v>
      </c>
      <c r="C1126" s="3" t="s">
        <v>2863</v>
      </c>
      <c r="D1126" s="12" t="str">
        <f t="shared" si="131"/>
        <v>12-01</v>
      </c>
      <c r="E1126" s="1">
        <f>_xlfn.IFNA(VLOOKUP('Comp X - Kilter'!B1126,'Kilter Holds'!$P$36:$AB$370,13,0),0)</f>
        <v>5</v>
      </c>
      <c r="G1126" s="2">
        <f t="shared" si="132"/>
        <v>0</v>
      </c>
      <c r="H1126" s="2">
        <f t="shared" si="133"/>
        <v>0</v>
      </c>
    </row>
    <row r="1127" spans="2:8">
      <c r="B1127" s="3" t="s">
        <v>2809</v>
      </c>
      <c r="C1127" s="3" t="s">
        <v>2811</v>
      </c>
      <c r="D1127" s="5" t="str">
        <f t="shared" ref="D1127:D1135" si="134">D659</f>
        <v>11-12</v>
      </c>
      <c r="E1127" s="1">
        <f>_xlfn.IFNA(VLOOKUP('Comp X - Kilter'!B1127,'Kilter Holds'!$P$36:$AB$370,5,0),0)</f>
        <v>9</v>
      </c>
      <c r="G1127" s="2">
        <f t="shared" ref="G1127:G1135" si="135">E1127*F1127</f>
        <v>0</v>
      </c>
      <c r="H1127" s="2">
        <f t="shared" ref="H1127:H1135" si="136">IF($S$11="Y",G1127*0.15,0)</f>
        <v>0</v>
      </c>
    </row>
    <row r="1128" spans="2:8">
      <c r="B1128" s="3" t="s">
        <v>2809</v>
      </c>
      <c r="C1128" s="3" t="s">
        <v>2811</v>
      </c>
      <c r="D1128" s="6" t="str">
        <f t="shared" si="134"/>
        <v>14-01</v>
      </c>
      <c r="E1128" s="1">
        <f>_xlfn.IFNA(VLOOKUP('Comp X - Kilter'!B1128,'Kilter Holds'!$P$36:$AB$370,6,0),0)</f>
        <v>0</v>
      </c>
      <c r="G1128" s="2">
        <f t="shared" si="135"/>
        <v>0</v>
      </c>
      <c r="H1128" s="2">
        <f t="shared" si="136"/>
        <v>0</v>
      </c>
    </row>
    <row r="1129" spans="2:8">
      <c r="B1129" s="3" t="s">
        <v>2809</v>
      </c>
      <c r="C1129" s="3" t="s">
        <v>2811</v>
      </c>
      <c r="D1129" s="7" t="str">
        <f t="shared" si="134"/>
        <v>15-12</v>
      </c>
      <c r="E1129" s="1">
        <f>_xlfn.IFNA(VLOOKUP('Comp X - Kilter'!B1129,'Kilter Holds'!$P$36:$AB$370,7,0),0)</f>
        <v>7</v>
      </c>
      <c r="G1129" s="2">
        <f t="shared" si="135"/>
        <v>0</v>
      </c>
      <c r="H1129" s="2">
        <f t="shared" si="136"/>
        <v>0</v>
      </c>
    </row>
    <row r="1130" spans="2:8">
      <c r="B1130" s="3" t="s">
        <v>2809</v>
      </c>
      <c r="C1130" s="3" t="s">
        <v>2811</v>
      </c>
      <c r="D1130" s="8" t="str">
        <f t="shared" si="134"/>
        <v>16-16</v>
      </c>
      <c r="E1130" s="1">
        <f>_xlfn.IFNA(VLOOKUP('Comp X - Kilter'!B1130,'Kilter Holds'!$P$36:$AB$370,8,0),0)</f>
        <v>9</v>
      </c>
      <c r="G1130" s="2">
        <f t="shared" si="135"/>
        <v>0</v>
      </c>
      <c r="H1130" s="2">
        <f t="shared" si="136"/>
        <v>0</v>
      </c>
    </row>
    <row r="1131" spans="2:8">
      <c r="B1131" s="3" t="s">
        <v>2809</v>
      </c>
      <c r="C1131" s="3" t="s">
        <v>2811</v>
      </c>
      <c r="D1131" s="9" t="str">
        <f t="shared" si="134"/>
        <v>13-01</v>
      </c>
      <c r="E1131" s="1">
        <f>_xlfn.IFNA(VLOOKUP('Comp X - Kilter'!B1131,'Kilter Holds'!$P$36:$AB$370,9,0),0)</f>
        <v>8</v>
      </c>
      <c r="G1131" s="2">
        <f t="shared" si="135"/>
        <v>0</v>
      </c>
      <c r="H1131" s="2">
        <f t="shared" si="136"/>
        <v>0</v>
      </c>
    </row>
    <row r="1132" spans="2:8">
      <c r="B1132" s="3" t="s">
        <v>2809</v>
      </c>
      <c r="C1132" s="3" t="s">
        <v>2811</v>
      </c>
      <c r="D1132" s="10" t="str">
        <f t="shared" si="134"/>
        <v>07-13</v>
      </c>
      <c r="E1132" s="1">
        <f>_xlfn.IFNA(VLOOKUP('Comp X - Kilter'!B1132,'Kilter Holds'!$P$36:$AB$370,10,0),0)</f>
        <v>7</v>
      </c>
      <c r="G1132" s="2">
        <f t="shared" si="135"/>
        <v>0</v>
      </c>
      <c r="H1132" s="2">
        <f t="shared" si="136"/>
        <v>0</v>
      </c>
    </row>
    <row r="1133" spans="2:8">
      <c r="B1133" s="3" t="s">
        <v>2809</v>
      </c>
      <c r="C1133" s="3" t="s">
        <v>2811</v>
      </c>
      <c r="D1133" s="11" t="str">
        <f t="shared" si="134"/>
        <v>11-25</v>
      </c>
      <c r="E1133" s="1">
        <f>_xlfn.IFNA(VLOOKUP('Comp X - Kilter'!B1133,'Kilter Holds'!$P$36:$AB$370,11,0),0)</f>
        <v>0</v>
      </c>
      <c r="G1133" s="2">
        <f t="shared" si="135"/>
        <v>0</v>
      </c>
      <c r="H1133" s="2">
        <f t="shared" si="136"/>
        <v>0</v>
      </c>
    </row>
    <row r="1134" spans="2:8">
      <c r="B1134" s="3" t="s">
        <v>2809</v>
      </c>
      <c r="C1134" s="3" t="s">
        <v>2811</v>
      </c>
      <c r="D1134" s="13" t="str">
        <f t="shared" si="134"/>
        <v>18-01</v>
      </c>
      <c r="E1134" s="1">
        <f>_xlfn.IFNA(VLOOKUP('Comp X - Kilter'!B1134,'Kilter Holds'!$P$36:$AB$370,12,0),0)</f>
        <v>10</v>
      </c>
      <c r="G1134" s="2">
        <f t="shared" si="135"/>
        <v>0</v>
      </c>
      <c r="H1134" s="2">
        <f t="shared" si="136"/>
        <v>0</v>
      </c>
    </row>
    <row r="1135" spans="2:8">
      <c r="B1135" s="3" t="s">
        <v>2809</v>
      </c>
      <c r="C1135" s="3" t="s">
        <v>2811</v>
      </c>
      <c r="D1135" s="12" t="str">
        <f t="shared" si="134"/>
        <v>12-01</v>
      </c>
      <c r="E1135" s="1">
        <f>_xlfn.IFNA(VLOOKUP('Comp X - Kilter'!B1135,'Kilter Holds'!$P$36:$AB$370,13,0),0)</f>
        <v>1</v>
      </c>
      <c r="G1135" s="2">
        <f t="shared" si="135"/>
        <v>0</v>
      </c>
      <c r="H1135" s="2">
        <f t="shared" si="136"/>
        <v>0</v>
      </c>
    </row>
    <row r="1136" spans="2:8">
      <c r="B1136" s="3" t="s">
        <v>2871</v>
      </c>
      <c r="C1136" s="3" t="s">
        <v>2874</v>
      </c>
      <c r="D1136" s="5" t="str">
        <f t="shared" ref="D1136:D1162" si="137">D668</f>
        <v>11-12</v>
      </c>
      <c r="E1136" s="1">
        <f>_xlfn.IFNA(VLOOKUP('Comp X - Kilter'!B1136,'Kilter Holds'!$P$36:$AB$370,5,0),0)</f>
        <v>7</v>
      </c>
      <c r="G1136" s="2">
        <f t="shared" ref="G1136:G1180" si="138">E1136*F1136</f>
        <v>0</v>
      </c>
      <c r="H1136" s="2">
        <f t="shared" ref="H1136:H1180" si="139">IF($S$11="Y",G1136*0.15,0)</f>
        <v>0</v>
      </c>
    </row>
    <row r="1137" spans="2:8">
      <c r="B1137" s="3" t="s">
        <v>2871</v>
      </c>
      <c r="C1137" s="3" t="s">
        <v>2874</v>
      </c>
      <c r="D1137" s="6" t="str">
        <f t="shared" si="137"/>
        <v>14-01</v>
      </c>
      <c r="E1137" s="1">
        <f>_xlfn.IFNA(VLOOKUP('Comp X - Kilter'!B1137,'Kilter Holds'!$P$36:$AB$370,6,0),0)</f>
        <v>0</v>
      </c>
      <c r="G1137" s="2">
        <f t="shared" si="138"/>
        <v>0</v>
      </c>
      <c r="H1137" s="2">
        <f t="shared" si="139"/>
        <v>0</v>
      </c>
    </row>
    <row r="1138" spans="2:8">
      <c r="B1138" s="3" t="s">
        <v>2871</v>
      </c>
      <c r="C1138" s="3" t="s">
        <v>2874</v>
      </c>
      <c r="D1138" s="7" t="str">
        <f t="shared" si="137"/>
        <v>15-12</v>
      </c>
      <c r="E1138" s="1">
        <f>_xlfn.IFNA(VLOOKUP('Comp X - Kilter'!B1138,'Kilter Holds'!$P$36:$AB$370,7,0),0)</f>
        <v>14</v>
      </c>
      <c r="G1138" s="2">
        <f t="shared" si="138"/>
        <v>0</v>
      </c>
      <c r="H1138" s="2">
        <f t="shared" si="139"/>
        <v>0</v>
      </c>
    </row>
    <row r="1139" spans="2:8">
      <c r="B1139" s="3" t="s">
        <v>2871</v>
      </c>
      <c r="C1139" s="3" t="s">
        <v>2874</v>
      </c>
      <c r="D1139" s="8" t="str">
        <f t="shared" si="137"/>
        <v>16-16</v>
      </c>
      <c r="E1139" s="1">
        <f>_xlfn.IFNA(VLOOKUP('Comp X - Kilter'!B1139,'Kilter Holds'!$P$36:$AB$370,8,0),0)</f>
        <v>15</v>
      </c>
      <c r="G1139" s="2">
        <f t="shared" si="138"/>
        <v>0</v>
      </c>
      <c r="H1139" s="2">
        <f t="shared" si="139"/>
        <v>0</v>
      </c>
    </row>
    <row r="1140" spans="2:8">
      <c r="B1140" s="3" t="s">
        <v>2871</v>
      </c>
      <c r="C1140" s="3" t="s">
        <v>2874</v>
      </c>
      <c r="D1140" s="9" t="str">
        <f t="shared" si="137"/>
        <v>13-01</v>
      </c>
      <c r="E1140" s="1">
        <f>_xlfn.IFNA(VLOOKUP('Comp X - Kilter'!B1140,'Kilter Holds'!$P$36:$AB$370,9,0),0)</f>
        <v>13</v>
      </c>
      <c r="G1140" s="2">
        <f t="shared" si="138"/>
        <v>0</v>
      </c>
      <c r="H1140" s="2">
        <f t="shared" si="139"/>
        <v>0</v>
      </c>
    </row>
    <row r="1141" spans="2:8">
      <c r="B1141" s="3" t="s">
        <v>2871</v>
      </c>
      <c r="C1141" s="3" t="s">
        <v>2874</v>
      </c>
      <c r="D1141" s="10" t="str">
        <f t="shared" si="137"/>
        <v>07-13</v>
      </c>
      <c r="E1141" s="1">
        <f>_xlfn.IFNA(VLOOKUP('Comp X - Kilter'!B1141,'Kilter Holds'!$P$36:$AB$370,10,0),0)</f>
        <v>8</v>
      </c>
      <c r="G1141" s="2">
        <f t="shared" si="138"/>
        <v>0</v>
      </c>
      <c r="H1141" s="2">
        <f t="shared" si="139"/>
        <v>0</v>
      </c>
    </row>
    <row r="1142" spans="2:8">
      <c r="B1142" s="3" t="s">
        <v>2871</v>
      </c>
      <c r="C1142" s="3" t="s">
        <v>2874</v>
      </c>
      <c r="D1142" s="11" t="str">
        <f t="shared" si="137"/>
        <v>11-25</v>
      </c>
      <c r="E1142" s="1">
        <f>_xlfn.IFNA(VLOOKUP('Comp X - Kilter'!B1142,'Kilter Holds'!$P$36:$AB$370,11,0),0)</f>
        <v>5</v>
      </c>
      <c r="G1142" s="2">
        <f t="shared" si="138"/>
        <v>0</v>
      </c>
      <c r="H1142" s="2">
        <f t="shared" si="139"/>
        <v>0</v>
      </c>
    </row>
    <row r="1143" spans="2:8">
      <c r="B1143" s="3" t="s">
        <v>2871</v>
      </c>
      <c r="C1143" s="3" t="s">
        <v>2874</v>
      </c>
      <c r="D1143" s="13" t="str">
        <f t="shared" si="137"/>
        <v>18-01</v>
      </c>
      <c r="E1143" s="1">
        <f>_xlfn.IFNA(VLOOKUP('Comp X - Kilter'!B1143,'Kilter Holds'!$P$36:$AB$370,12,0),0)</f>
        <v>17</v>
      </c>
      <c r="G1143" s="2">
        <f t="shared" si="138"/>
        <v>0</v>
      </c>
      <c r="H1143" s="2">
        <f t="shared" si="139"/>
        <v>0</v>
      </c>
    </row>
    <row r="1144" spans="2:8">
      <c r="B1144" s="3" t="s">
        <v>2871</v>
      </c>
      <c r="C1144" s="3" t="s">
        <v>2874</v>
      </c>
      <c r="D1144" s="12" t="str">
        <f t="shared" si="137"/>
        <v>12-01</v>
      </c>
      <c r="E1144" s="1">
        <f>_xlfn.IFNA(VLOOKUP('Comp X - Kilter'!B1144,'Kilter Holds'!$P$36:$AB$370,13,0),0)</f>
        <v>5</v>
      </c>
      <c r="G1144" s="2">
        <f t="shared" si="138"/>
        <v>0</v>
      </c>
      <c r="H1144" s="2">
        <f t="shared" si="139"/>
        <v>0</v>
      </c>
    </row>
    <row r="1145" spans="2:8">
      <c r="B1145" s="3" t="s">
        <v>2875</v>
      </c>
      <c r="C1145" s="3" t="s">
        <v>2876</v>
      </c>
      <c r="D1145" s="5" t="str">
        <f t="shared" si="137"/>
        <v>11-12</v>
      </c>
      <c r="E1145" s="1">
        <f>_xlfn.IFNA(VLOOKUP('Comp X - Kilter'!B1145,'Kilter Holds'!$P$36:$AB$370,5,0),0)</f>
        <v>8</v>
      </c>
      <c r="G1145" s="2">
        <f t="shared" si="138"/>
        <v>0</v>
      </c>
      <c r="H1145" s="2">
        <f t="shared" si="139"/>
        <v>0</v>
      </c>
    </row>
    <row r="1146" spans="2:8">
      <c r="B1146" s="3" t="s">
        <v>2875</v>
      </c>
      <c r="C1146" s="3" t="s">
        <v>2876</v>
      </c>
      <c r="D1146" s="6" t="str">
        <f t="shared" si="137"/>
        <v>14-01</v>
      </c>
      <c r="E1146" s="1">
        <f>_xlfn.IFNA(VLOOKUP('Comp X - Kilter'!B1146,'Kilter Holds'!$P$36:$AB$370,6,0),0)</f>
        <v>0</v>
      </c>
      <c r="G1146" s="2">
        <f t="shared" si="138"/>
        <v>0</v>
      </c>
      <c r="H1146" s="2">
        <f t="shared" si="139"/>
        <v>0</v>
      </c>
    </row>
    <row r="1147" spans="2:8">
      <c r="B1147" s="3" t="s">
        <v>2875</v>
      </c>
      <c r="C1147" s="3" t="s">
        <v>2876</v>
      </c>
      <c r="D1147" s="7" t="str">
        <f t="shared" si="137"/>
        <v>15-12</v>
      </c>
      <c r="E1147" s="1">
        <f>_xlfn.IFNA(VLOOKUP('Comp X - Kilter'!B1147,'Kilter Holds'!$P$36:$AB$370,7,0),0)</f>
        <v>14</v>
      </c>
      <c r="G1147" s="2">
        <f t="shared" si="138"/>
        <v>0</v>
      </c>
      <c r="H1147" s="2">
        <f t="shared" si="139"/>
        <v>0</v>
      </c>
    </row>
    <row r="1148" spans="2:8">
      <c r="B1148" s="3" t="s">
        <v>2875</v>
      </c>
      <c r="C1148" s="3" t="s">
        <v>2876</v>
      </c>
      <c r="D1148" s="8" t="str">
        <f t="shared" si="137"/>
        <v>16-16</v>
      </c>
      <c r="E1148" s="1">
        <f>_xlfn.IFNA(VLOOKUP('Comp X - Kilter'!B1148,'Kilter Holds'!$P$36:$AB$370,8,0),0)</f>
        <v>6</v>
      </c>
      <c r="G1148" s="2">
        <f t="shared" si="138"/>
        <v>0</v>
      </c>
      <c r="H1148" s="2">
        <f t="shared" si="139"/>
        <v>0</v>
      </c>
    </row>
    <row r="1149" spans="2:8">
      <c r="B1149" s="3" t="s">
        <v>2875</v>
      </c>
      <c r="C1149" s="3" t="s">
        <v>2876</v>
      </c>
      <c r="D1149" s="9" t="str">
        <f t="shared" si="137"/>
        <v>13-01</v>
      </c>
      <c r="E1149" s="1">
        <f>_xlfn.IFNA(VLOOKUP('Comp X - Kilter'!B1149,'Kilter Holds'!$P$36:$AB$370,9,0),0)</f>
        <v>14</v>
      </c>
      <c r="G1149" s="2">
        <f t="shared" si="138"/>
        <v>0</v>
      </c>
      <c r="H1149" s="2">
        <f t="shared" si="139"/>
        <v>0</v>
      </c>
    </row>
    <row r="1150" spans="2:8">
      <c r="B1150" s="3" t="s">
        <v>2875</v>
      </c>
      <c r="C1150" s="3" t="s">
        <v>2876</v>
      </c>
      <c r="D1150" s="10" t="str">
        <f t="shared" si="137"/>
        <v>07-13</v>
      </c>
      <c r="E1150" s="1">
        <f>_xlfn.IFNA(VLOOKUP('Comp X - Kilter'!B1150,'Kilter Holds'!$P$36:$AB$370,10,0),0)</f>
        <v>11</v>
      </c>
      <c r="G1150" s="2">
        <f t="shared" si="138"/>
        <v>0</v>
      </c>
      <c r="H1150" s="2">
        <f t="shared" si="139"/>
        <v>0</v>
      </c>
    </row>
    <row r="1151" spans="2:8">
      <c r="B1151" s="3" t="s">
        <v>2875</v>
      </c>
      <c r="C1151" s="3" t="s">
        <v>2876</v>
      </c>
      <c r="D1151" s="11" t="str">
        <f t="shared" si="137"/>
        <v>11-25</v>
      </c>
      <c r="E1151" s="1">
        <f>_xlfn.IFNA(VLOOKUP('Comp X - Kilter'!B1151,'Kilter Holds'!$P$36:$AB$370,11,0),0)</f>
        <v>5</v>
      </c>
      <c r="G1151" s="2">
        <f t="shared" si="138"/>
        <v>0</v>
      </c>
      <c r="H1151" s="2">
        <f t="shared" si="139"/>
        <v>0</v>
      </c>
    </row>
    <row r="1152" spans="2:8">
      <c r="B1152" s="3" t="s">
        <v>2875</v>
      </c>
      <c r="C1152" s="3" t="s">
        <v>2876</v>
      </c>
      <c r="D1152" s="13" t="str">
        <f t="shared" si="137"/>
        <v>18-01</v>
      </c>
      <c r="E1152" s="1">
        <f>_xlfn.IFNA(VLOOKUP('Comp X - Kilter'!B1152,'Kilter Holds'!$P$36:$AB$370,12,0),0)</f>
        <v>7</v>
      </c>
      <c r="G1152" s="2">
        <f t="shared" si="138"/>
        <v>0</v>
      </c>
      <c r="H1152" s="2">
        <f t="shared" si="139"/>
        <v>0</v>
      </c>
    </row>
    <row r="1153" spans="2:8">
      <c r="B1153" s="3" t="s">
        <v>2875</v>
      </c>
      <c r="C1153" s="3" t="s">
        <v>2876</v>
      </c>
      <c r="D1153" s="12" t="str">
        <f t="shared" si="137"/>
        <v>12-01</v>
      </c>
      <c r="E1153" s="1">
        <f>_xlfn.IFNA(VLOOKUP('Comp X - Kilter'!B1153,'Kilter Holds'!$P$36:$AB$370,13,0),0)</f>
        <v>4</v>
      </c>
      <c r="G1153" s="2">
        <f t="shared" si="138"/>
        <v>0</v>
      </c>
      <c r="H1153" s="2">
        <f t="shared" si="139"/>
        <v>0</v>
      </c>
    </row>
    <row r="1154" spans="2:8">
      <c r="B1154" s="3" t="s">
        <v>2877</v>
      </c>
      <c r="C1154" s="3" t="s">
        <v>2878</v>
      </c>
      <c r="D1154" s="5" t="str">
        <f t="shared" si="137"/>
        <v>11-12</v>
      </c>
      <c r="E1154" s="1">
        <f>_xlfn.IFNA(VLOOKUP('Comp X - Kilter'!B1154,'Kilter Holds'!$P$36:$AB$370,5,0),0)</f>
        <v>4</v>
      </c>
      <c r="G1154" s="2">
        <f t="shared" si="138"/>
        <v>0</v>
      </c>
      <c r="H1154" s="2">
        <f t="shared" si="139"/>
        <v>0</v>
      </c>
    </row>
    <row r="1155" spans="2:8">
      <c r="B1155" s="3" t="s">
        <v>2877</v>
      </c>
      <c r="C1155" s="3" t="s">
        <v>2878</v>
      </c>
      <c r="D1155" s="6" t="str">
        <f t="shared" si="137"/>
        <v>14-01</v>
      </c>
      <c r="E1155" s="1">
        <f>_xlfn.IFNA(VLOOKUP('Comp X - Kilter'!B1155,'Kilter Holds'!$P$36:$AB$370,6,0),0)</f>
        <v>0</v>
      </c>
      <c r="G1155" s="2">
        <f t="shared" si="138"/>
        <v>0</v>
      </c>
      <c r="H1155" s="2">
        <f t="shared" si="139"/>
        <v>0</v>
      </c>
    </row>
    <row r="1156" spans="2:8">
      <c r="B1156" s="3" t="s">
        <v>2877</v>
      </c>
      <c r="C1156" s="3" t="s">
        <v>2878</v>
      </c>
      <c r="D1156" s="7" t="str">
        <f t="shared" si="137"/>
        <v>15-12</v>
      </c>
      <c r="E1156" s="1">
        <f>_xlfn.IFNA(VLOOKUP('Comp X - Kilter'!B1156,'Kilter Holds'!$P$36:$AB$370,7,0),0)</f>
        <v>7</v>
      </c>
      <c r="G1156" s="2">
        <f t="shared" si="138"/>
        <v>0</v>
      </c>
      <c r="H1156" s="2">
        <f t="shared" si="139"/>
        <v>0</v>
      </c>
    </row>
    <row r="1157" spans="2:8">
      <c r="B1157" s="3" t="s">
        <v>2877</v>
      </c>
      <c r="C1157" s="3" t="s">
        <v>2878</v>
      </c>
      <c r="D1157" s="8" t="str">
        <f t="shared" si="137"/>
        <v>16-16</v>
      </c>
      <c r="E1157" s="1">
        <f>_xlfn.IFNA(VLOOKUP('Comp X - Kilter'!B1157,'Kilter Holds'!$P$36:$AB$370,8,0),0)</f>
        <v>2</v>
      </c>
      <c r="G1157" s="2">
        <f t="shared" si="138"/>
        <v>0</v>
      </c>
      <c r="H1157" s="2">
        <f t="shared" si="139"/>
        <v>0</v>
      </c>
    </row>
    <row r="1158" spans="2:8">
      <c r="B1158" s="3" t="s">
        <v>2877</v>
      </c>
      <c r="C1158" s="3" t="s">
        <v>2878</v>
      </c>
      <c r="D1158" s="9" t="str">
        <f t="shared" si="137"/>
        <v>13-01</v>
      </c>
      <c r="E1158" s="1">
        <f>_xlfn.IFNA(VLOOKUP('Comp X - Kilter'!B1158,'Kilter Holds'!$P$36:$AB$370,9,0),0)</f>
        <v>1</v>
      </c>
      <c r="G1158" s="2">
        <f t="shared" si="138"/>
        <v>0</v>
      </c>
      <c r="H1158" s="2">
        <f t="shared" si="139"/>
        <v>0</v>
      </c>
    </row>
    <row r="1159" spans="2:8">
      <c r="B1159" s="3" t="s">
        <v>2877</v>
      </c>
      <c r="C1159" s="3" t="s">
        <v>2878</v>
      </c>
      <c r="D1159" s="10" t="str">
        <f t="shared" si="137"/>
        <v>07-13</v>
      </c>
      <c r="E1159" s="1">
        <f>_xlfn.IFNA(VLOOKUP('Comp X - Kilter'!B1159,'Kilter Holds'!$P$36:$AB$370,10,0),0)</f>
        <v>7</v>
      </c>
      <c r="G1159" s="2">
        <f t="shared" si="138"/>
        <v>0</v>
      </c>
      <c r="H1159" s="2">
        <f t="shared" si="139"/>
        <v>0</v>
      </c>
    </row>
    <row r="1160" spans="2:8">
      <c r="B1160" s="3" t="s">
        <v>2877</v>
      </c>
      <c r="C1160" s="3" t="s">
        <v>2878</v>
      </c>
      <c r="D1160" s="11" t="str">
        <f t="shared" si="137"/>
        <v>11-25</v>
      </c>
      <c r="E1160" s="1">
        <f>_xlfn.IFNA(VLOOKUP('Comp X - Kilter'!B1160,'Kilter Holds'!$P$36:$AB$370,11,0),0)</f>
        <v>5</v>
      </c>
      <c r="G1160" s="2">
        <f t="shared" si="138"/>
        <v>0</v>
      </c>
      <c r="H1160" s="2">
        <f t="shared" si="139"/>
        <v>0</v>
      </c>
    </row>
    <row r="1161" spans="2:8">
      <c r="B1161" s="3" t="s">
        <v>2877</v>
      </c>
      <c r="C1161" s="3" t="s">
        <v>2878</v>
      </c>
      <c r="D1161" s="13" t="str">
        <f t="shared" si="137"/>
        <v>18-01</v>
      </c>
      <c r="E1161" s="1">
        <f>_xlfn.IFNA(VLOOKUP('Comp X - Kilter'!B1161,'Kilter Holds'!$P$36:$AB$370,12,0),0)</f>
        <v>10</v>
      </c>
      <c r="G1161" s="2">
        <f t="shared" si="138"/>
        <v>0</v>
      </c>
      <c r="H1161" s="2">
        <f t="shared" si="139"/>
        <v>0</v>
      </c>
    </row>
    <row r="1162" spans="2:8">
      <c r="B1162" s="3" t="s">
        <v>2877</v>
      </c>
      <c r="C1162" s="3" t="s">
        <v>2878</v>
      </c>
      <c r="D1162" s="12" t="str">
        <f t="shared" si="137"/>
        <v>12-01</v>
      </c>
      <c r="E1162" s="1">
        <f>_xlfn.IFNA(VLOOKUP('Comp X - Kilter'!B1162,'Kilter Holds'!$P$36:$AB$370,13,0),0)</f>
        <v>5</v>
      </c>
      <c r="G1162" s="2">
        <f t="shared" si="138"/>
        <v>0</v>
      </c>
      <c r="H1162" s="2">
        <f t="shared" si="139"/>
        <v>0</v>
      </c>
    </row>
    <row r="1163" spans="2:8">
      <c r="B1163" s="3" t="s">
        <v>2873</v>
      </c>
      <c r="C1163" s="3" t="s">
        <v>2879</v>
      </c>
      <c r="D1163" s="5" t="str">
        <f t="shared" ref="D1163:D1180" si="140">D704</f>
        <v>11-12</v>
      </c>
      <c r="E1163" s="1">
        <f>_xlfn.IFNA(VLOOKUP('Comp X - Kilter'!B1163,'Kilter Holds'!$P$36:$AB$370,5,0),0)</f>
        <v>9</v>
      </c>
      <c r="G1163" s="2">
        <f t="shared" si="138"/>
        <v>0</v>
      </c>
      <c r="H1163" s="2">
        <f t="shared" si="139"/>
        <v>0</v>
      </c>
    </row>
    <row r="1164" spans="2:8">
      <c r="B1164" s="3" t="s">
        <v>2873</v>
      </c>
      <c r="C1164" s="3" t="s">
        <v>2879</v>
      </c>
      <c r="D1164" s="6" t="str">
        <f t="shared" si="140"/>
        <v>14-01</v>
      </c>
      <c r="E1164" s="1">
        <f>_xlfn.IFNA(VLOOKUP('Comp X - Kilter'!B1164,'Kilter Holds'!$P$36:$AB$370,6,0),0)</f>
        <v>0</v>
      </c>
      <c r="G1164" s="2">
        <f t="shared" si="138"/>
        <v>0</v>
      </c>
      <c r="H1164" s="2">
        <f t="shared" si="139"/>
        <v>0</v>
      </c>
    </row>
    <row r="1165" spans="2:8">
      <c r="B1165" s="3" t="s">
        <v>2873</v>
      </c>
      <c r="C1165" s="3" t="s">
        <v>2879</v>
      </c>
      <c r="D1165" s="7" t="str">
        <f t="shared" si="140"/>
        <v>15-12</v>
      </c>
      <c r="E1165" s="1">
        <f>_xlfn.IFNA(VLOOKUP('Comp X - Kilter'!B1165,'Kilter Holds'!$P$36:$AB$370,7,0),0)</f>
        <v>10</v>
      </c>
      <c r="G1165" s="2">
        <f t="shared" si="138"/>
        <v>0</v>
      </c>
      <c r="H1165" s="2">
        <f t="shared" si="139"/>
        <v>0</v>
      </c>
    </row>
    <row r="1166" spans="2:8">
      <c r="B1166" s="3" t="s">
        <v>2873</v>
      </c>
      <c r="C1166" s="3" t="s">
        <v>2879</v>
      </c>
      <c r="D1166" s="8" t="str">
        <f t="shared" si="140"/>
        <v>16-16</v>
      </c>
      <c r="E1166" s="1">
        <f>_xlfn.IFNA(VLOOKUP('Comp X - Kilter'!B1166,'Kilter Holds'!$P$36:$AB$370,8,0),0)</f>
        <v>10</v>
      </c>
      <c r="G1166" s="2">
        <f t="shared" si="138"/>
        <v>0</v>
      </c>
      <c r="H1166" s="2">
        <f t="shared" si="139"/>
        <v>0</v>
      </c>
    </row>
    <row r="1167" spans="2:8">
      <c r="B1167" s="3" t="s">
        <v>2873</v>
      </c>
      <c r="C1167" s="3" t="s">
        <v>2879</v>
      </c>
      <c r="D1167" s="9" t="str">
        <f t="shared" si="140"/>
        <v>13-01</v>
      </c>
      <c r="E1167" s="1">
        <f>_xlfn.IFNA(VLOOKUP('Comp X - Kilter'!B1167,'Kilter Holds'!$P$36:$AB$370,9,0),0)</f>
        <v>8</v>
      </c>
      <c r="G1167" s="2">
        <f t="shared" si="138"/>
        <v>0</v>
      </c>
      <c r="H1167" s="2">
        <f t="shared" si="139"/>
        <v>0</v>
      </c>
    </row>
    <row r="1168" spans="2:8">
      <c r="B1168" s="3" t="s">
        <v>2873</v>
      </c>
      <c r="C1168" s="3" t="s">
        <v>2879</v>
      </c>
      <c r="D1168" s="10" t="str">
        <f t="shared" si="140"/>
        <v>07-13</v>
      </c>
      <c r="E1168" s="1">
        <f>_xlfn.IFNA(VLOOKUP('Comp X - Kilter'!B1168,'Kilter Holds'!$P$36:$AB$370,10,0),0)</f>
        <v>5</v>
      </c>
      <c r="G1168" s="2">
        <f t="shared" si="138"/>
        <v>0</v>
      </c>
      <c r="H1168" s="2">
        <f t="shared" si="139"/>
        <v>0</v>
      </c>
    </row>
    <row r="1169" spans="2:8">
      <c r="B1169" s="3" t="s">
        <v>2873</v>
      </c>
      <c r="C1169" s="3" t="s">
        <v>2879</v>
      </c>
      <c r="D1169" s="11" t="str">
        <f t="shared" si="140"/>
        <v>11-25</v>
      </c>
      <c r="E1169" s="1">
        <f>_xlfn.IFNA(VLOOKUP('Comp X - Kilter'!B1169,'Kilter Holds'!$P$36:$AB$370,11,0),0)</f>
        <v>5</v>
      </c>
      <c r="G1169" s="2">
        <f t="shared" si="138"/>
        <v>0</v>
      </c>
      <c r="H1169" s="2">
        <f t="shared" si="139"/>
        <v>0</v>
      </c>
    </row>
    <row r="1170" spans="2:8">
      <c r="B1170" s="3" t="s">
        <v>2873</v>
      </c>
      <c r="C1170" s="3" t="s">
        <v>2879</v>
      </c>
      <c r="D1170" s="13" t="str">
        <f t="shared" si="140"/>
        <v>18-01</v>
      </c>
      <c r="E1170" s="1">
        <f>_xlfn.IFNA(VLOOKUP('Comp X - Kilter'!B1170,'Kilter Holds'!$P$36:$AB$370,12,0),0)</f>
        <v>10</v>
      </c>
      <c r="G1170" s="2">
        <f t="shared" si="138"/>
        <v>0</v>
      </c>
      <c r="H1170" s="2">
        <f t="shared" si="139"/>
        <v>0</v>
      </c>
    </row>
    <row r="1171" spans="2:8">
      <c r="B1171" s="3" t="s">
        <v>2873</v>
      </c>
      <c r="C1171" s="3" t="s">
        <v>2879</v>
      </c>
      <c r="D1171" s="12" t="str">
        <f t="shared" si="140"/>
        <v>12-01</v>
      </c>
      <c r="E1171" s="1">
        <f>_xlfn.IFNA(VLOOKUP('Comp X - Kilter'!B1171,'Kilter Holds'!$P$36:$AB$370,13,0),0)</f>
        <v>5</v>
      </c>
      <c r="G1171" s="2">
        <f t="shared" si="138"/>
        <v>0</v>
      </c>
      <c r="H1171" s="2">
        <f t="shared" si="139"/>
        <v>0</v>
      </c>
    </row>
    <row r="1172" spans="2:8">
      <c r="B1172" s="3" t="s">
        <v>2880</v>
      </c>
      <c r="C1172" s="3" t="s">
        <v>2881</v>
      </c>
      <c r="D1172" s="5" t="str">
        <f t="shared" si="140"/>
        <v>11-12</v>
      </c>
      <c r="E1172" s="1">
        <f>_xlfn.IFNA(VLOOKUP('Comp X - Kilter'!B1172,'Kilter Holds'!$P$36:$AB$370,5,0),0)</f>
        <v>9</v>
      </c>
      <c r="G1172" s="2">
        <f t="shared" si="138"/>
        <v>0</v>
      </c>
      <c r="H1172" s="2">
        <f t="shared" si="139"/>
        <v>0</v>
      </c>
    </row>
    <row r="1173" spans="2:8">
      <c r="B1173" s="3" t="s">
        <v>2880</v>
      </c>
      <c r="C1173" s="3" t="s">
        <v>2881</v>
      </c>
      <c r="D1173" s="6" t="str">
        <f t="shared" si="140"/>
        <v>14-01</v>
      </c>
      <c r="E1173" s="1">
        <f>_xlfn.IFNA(VLOOKUP('Comp X - Kilter'!B1173,'Kilter Holds'!$P$36:$AB$370,6,0),0)</f>
        <v>0</v>
      </c>
      <c r="G1173" s="2">
        <f t="shared" si="138"/>
        <v>0</v>
      </c>
      <c r="H1173" s="2">
        <f t="shared" si="139"/>
        <v>0</v>
      </c>
    </row>
    <row r="1174" spans="2:8">
      <c r="B1174" s="3" t="s">
        <v>2880</v>
      </c>
      <c r="C1174" s="3" t="s">
        <v>2881</v>
      </c>
      <c r="D1174" s="7" t="str">
        <f t="shared" si="140"/>
        <v>15-12</v>
      </c>
      <c r="E1174" s="1">
        <f>_xlfn.IFNA(VLOOKUP('Comp X - Kilter'!B1174,'Kilter Holds'!$P$36:$AB$370,7,0),0)</f>
        <v>9</v>
      </c>
      <c r="G1174" s="2">
        <f t="shared" si="138"/>
        <v>0</v>
      </c>
      <c r="H1174" s="2">
        <f t="shared" si="139"/>
        <v>0</v>
      </c>
    </row>
    <row r="1175" spans="2:8">
      <c r="B1175" s="3" t="s">
        <v>2880</v>
      </c>
      <c r="C1175" s="3" t="s">
        <v>2881</v>
      </c>
      <c r="D1175" s="8" t="str">
        <f t="shared" si="140"/>
        <v>16-16</v>
      </c>
      <c r="E1175" s="1">
        <f>_xlfn.IFNA(VLOOKUP('Comp X - Kilter'!B1175,'Kilter Holds'!$P$36:$AB$370,8,0),0)</f>
        <v>9</v>
      </c>
      <c r="G1175" s="2">
        <f t="shared" si="138"/>
        <v>0</v>
      </c>
      <c r="H1175" s="2">
        <f t="shared" si="139"/>
        <v>0</v>
      </c>
    </row>
    <row r="1176" spans="2:8">
      <c r="B1176" s="3" t="s">
        <v>2880</v>
      </c>
      <c r="C1176" s="3" t="s">
        <v>2881</v>
      </c>
      <c r="D1176" s="9" t="str">
        <f t="shared" si="140"/>
        <v>13-01</v>
      </c>
      <c r="E1176" s="1">
        <f>_xlfn.IFNA(VLOOKUP('Comp X - Kilter'!B1176,'Kilter Holds'!$P$36:$AB$370,9,0),0)</f>
        <v>6</v>
      </c>
      <c r="G1176" s="2">
        <f t="shared" si="138"/>
        <v>0</v>
      </c>
      <c r="H1176" s="2">
        <f t="shared" si="139"/>
        <v>0</v>
      </c>
    </row>
    <row r="1177" spans="2:8">
      <c r="B1177" s="3" t="s">
        <v>2880</v>
      </c>
      <c r="C1177" s="3" t="s">
        <v>2881</v>
      </c>
      <c r="D1177" s="10" t="str">
        <f t="shared" si="140"/>
        <v>07-13</v>
      </c>
      <c r="E1177" s="1">
        <f>_xlfn.IFNA(VLOOKUP('Comp X - Kilter'!B1177,'Kilter Holds'!$P$36:$AB$370,10,0),0)</f>
        <v>5</v>
      </c>
      <c r="G1177" s="2">
        <f t="shared" si="138"/>
        <v>0</v>
      </c>
      <c r="H1177" s="2">
        <f t="shared" si="139"/>
        <v>0</v>
      </c>
    </row>
    <row r="1178" spans="2:8">
      <c r="B1178" s="3" t="s">
        <v>2880</v>
      </c>
      <c r="C1178" s="3" t="s">
        <v>2881</v>
      </c>
      <c r="D1178" s="11" t="str">
        <f t="shared" si="140"/>
        <v>11-25</v>
      </c>
      <c r="E1178" s="1">
        <f>_xlfn.IFNA(VLOOKUP('Comp X - Kilter'!B1178,'Kilter Holds'!$P$36:$AB$370,11,0),0)</f>
        <v>4</v>
      </c>
      <c r="G1178" s="2">
        <f t="shared" si="138"/>
        <v>0</v>
      </c>
      <c r="H1178" s="2">
        <f t="shared" si="139"/>
        <v>0</v>
      </c>
    </row>
    <row r="1179" spans="2:8">
      <c r="B1179" s="3" t="s">
        <v>2880</v>
      </c>
      <c r="C1179" s="3" t="s">
        <v>2881</v>
      </c>
      <c r="D1179" s="13" t="str">
        <f t="shared" si="140"/>
        <v>18-01</v>
      </c>
      <c r="E1179" s="1">
        <f>_xlfn.IFNA(VLOOKUP('Comp X - Kilter'!B1179,'Kilter Holds'!$P$36:$AB$370,12,0),0)</f>
        <v>9</v>
      </c>
      <c r="G1179" s="2">
        <f t="shared" si="138"/>
        <v>0</v>
      </c>
      <c r="H1179" s="2">
        <f t="shared" si="139"/>
        <v>0</v>
      </c>
    </row>
    <row r="1180" spans="2:8">
      <c r="B1180" s="3" t="s">
        <v>2880</v>
      </c>
      <c r="C1180" s="3" t="s">
        <v>2881</v>
      </c>
      <c r="D1180" s="12" t="str">
        <f t="shared" si="140"/>
        <v>12-01</v>
      </c>
      <c r="E1180" s="1">
        <f>_xlfn.IFNA(VLOOKUP('Comp X - Kilter'!B1180,'Kilter Holds'!$P$36:$AB$370,13,0),0)</f>
        <v>3</v>
      </c>
      <c r="G1180" s="2">
        <f t="shared" si="138"/>
        <v>0</v>
      </c>
      <c r="H1180" s="2">
        <f t="shared" si="139"/>
        <v>0</v>
      </c>
    </row>
    <row r="1181" spans="2:8">
      <c r="B1181" s="3" t="s">
        <v>2812</v>
      </c>
      <c r="C1181" s="3" t="s">
        <v>2813</v>
      </c>
      <c r="D1181" s="5" t="str">
        <f t="shared" ref="D1181:D1198" si="141">D668</f>
        <v>11-12</v>
      </c>
      <c r="E1181" s="1">
        <f>_xlfn.IFNA(VLOOKUP('Comp X - Kilter'!B1181,'Kilter Holds'!$P$36:$AB$370,5,0),0)</f>
        <v>0</v>
      </c>
      <c r="G1181" s="2">
        <f t="shared" ref="G1181:G1216" si="142">E1181*F1181</f>
        <v>0</v>
      </c>
      <c r="H1181" s="2">
        <f t="shared" ref="H1181:H1216" si="143">IF($S$11="Y",G1181*0.15,0)</f>
        <v>0</v>
      </c>
    </row>
    <row r="1182" spans="2:8">
      <c r="B1182" s="3" t="s">
        <v>2812</v>
      </c>
      <c r="C1182" s="3" t="s">
        <v>2813</v>
      </c>
      <c r="D1182" s="6" t="str">
        <f t="shared" si="141"/>
        <v>14-01</v>
      </c>
      <c r="E1182" s="1">
        <f>_xlfn.IFNA(VLOOKUP('Comp X - Kilter'!B1182,'Kilter Holds'!$P$36:$AB$370,6,0),0)</f>
        <v>0</v>
      </c>
      <c r="G1182" s="2">
        <f t="shared" si="142"/>
        <v>0</v>
      </c>
      <c r="H1182" s="2">
        <f t="shared" si="143"/>
        <v>0</v>
      </c>
    </row>
    <row r="1183" spans="2:8">
      <c r="B1183" s="3" t="s">
        <v>2812</v>
      </c>
      <c r="C1183" s="3" t="s">
        <v>2813</v>
      </c>
      <c r="D1183" s="7" t="str">
        <f t="shared" si="141"/>
        <v>15-12</v>
      </c>
      <c r="E1183" s="1">
        <f>_xlfn.IFNA(VLOOKUP('Comp X - Kilter'!B1183,'Kilter Holds'!$P$36:$AB$370,7,0),0)</f>
        <v>0</v>
      </c>
      <c r="G1183" s="2">
        <f t="shared" si="142"/>
        <v>0</v>
      </c>
      <c r="H1183" s="2">
        <f t="shared" si="143"/>
        <v>0</v>
      </c>
    </row>
    <row r="1184" spans="2:8">
      <c r="B1184" s="3" t="s">
        <v>2812</v>
      </c>
      <c r="C1184" s="3" t="s">
        <v>2813</v>
      </c>
      <c r="D1184" s="8" t="str">
        <f t="shared" si="141"/>
        <v>16-16</v>
      </c>
      <c r="E1184" s="1">
        <f>_xlfn.IFNA(VLOOKUP('Comp X - Kilter'!B1184,'Kilter Holds'!$P$36:$AB$370,8,0),0)</f>
        <v>0</v>
      </c>
      <c r="G1184" s="2">
        <f t="shared" si="142"/>
        <v>0</v>
      </c>
      <c r="H1184" s="2">
        <f t="shared" si="143"/>
        <v>0</v>
      </c>
    </row>
    <row r="1185" spans="2:8">
      <c r="B1185" s="3" t="s">
        <v>2812</v>
      </c>
      <c r="C1185" s="3" t="s">
        <v>2813</v>
      </c>
      <c r="D1185" s="9" t="str">
        <f t="shared" si="141"/>
        <v>13-01</v>
      </c>
      <c r="E1185" s="1">
        <f>_xlfn.IFNA(VLOOKUP('Comp X - Kilter'!B1185,'Kilter Holds'!$P$36:$AB$370,9,0),0)</f>
        <v>0</v>
      </c>
      <c r="G1185" s="2">
        <f t="shared" si="142"/>
        <v>0</v>
      </c>
      <c r="H1185" s="2">
        <f t="shared" si="143"/>
        <v>0</v>
      </c>
    </row>
    <row r="1186" spans="2:8">
      <c r="B1186" s="3" t="s">
        <v>2812</v>
      </c>
      <c r="C1186" s="3" t="s">
        <v>2813</v>
      </c>
      <c r="D1186" s="10" t="str">
        <f t="shared" si="141"/>
        <v>07-13</v>
      </c>
      <c r="E1186" s="1">
        <f>_xlfn.IFNA(VLOOKUP('Comp X - Kilter'!B1186,'Kilter Holds'!$P$36:$AB$370,10,0),0)</f>
        <v>0</v>
      </c>
      <c r="G1186" s="2">
        <f t="shared" si="142"/>
        <v>0</v>
      </c>
      <c r="H1186" s="2">
        <f t="shared" si="143"/>
        <v>0</v>
      </c>
    </row>
    <row r="1187" spans="2:8">
      <c r="B1187" s="3" t="s">
        <v>2812</v>
      </c>
      <c r="C1187" s="3" t="s">
        <v>2813</v>
      </c>
      <c r="D1187" s="11" t="str">
        <f t="shared" si="141"/>
        <v>11-25</v>
      </c>
      <c r="E1187" s="1">
        <f>_xlfn.IFNA(VLOOKUP('Comp X - Kilter'!B1187,'Kilter Holds'!$P$36:$AB$370,11,0),0)</f>
        <v>0</v>
      </c>
      <c r="G1187" s="2">
        <f t="shared" si="142"/>
        <v>0</v>
      </c>
      <c r="H1187" s="2">
        <f t="shared" si="143"/>
        <v>0</v>
      </c>
    </row>
    <row r="1188" spans="2:8">
      <c r="B1188" s="3" t="s">
        <v>2812</v>
      </c>
      <c r="C1188" s="3" t="s">
        <v>2813</v>
      </c>
      <c r="D1188" s="13" t="str">
        <f t="shared" si="141"/>
        <v>18-01</v>
      </c>
      <c r="E1188" s="1">
        <f>_xlfn.IFNA(VLOOKUP('Comp X - Kilter'!B1188,'Kilter Holds'!$P$36:$AB$370,12,0),0)</f>
        <v>0</v>
      </c>
      <c r="G1188" s="2">
        <f t="shared" si="142"/>
        <v>0</v>
      </c>
      <c r="H1188" s="2">
        <f t="shared" si="143"/>
        <v>0</v>
      </c>
    </row>
    <row r="1189" spans="2:8">
      <c r="B1189" s="3" t="s">
        <v>2812</v>
      </c>
      <c r="C1189" s="3" t="s">
        <v>2813</v>
      </c>
      <c r="D1189" s="12" t="str">
        <f t="shared" si="141"/>
        <v>12-01</v>
      </c>
      <c r="E1189" s="1">
        <f>_xlfn.IFNA(VLOOKUP('Comp X - Kilter'!B1189,'Kilter Holds'!$P$36:$AB$370,13,0),0)</f>
        <v>0</v>
      </c>
      <c r="G1189" s="2">
        <f t="shared" si="142"/>
        <v>0</v>
      </c>
      <c r="H1189" s="2">
        <f t="shared" si="143"/>
        <v>0</v>
      </c>
    </row>
    <row r="1190" spans="2:8">
      <c r="B1190" s="3" t="s">
        <v>2814</v>
      </c>
      <c r="C1190" s="3" t="s">
        <v>2815</v>
      </c>
      <c r="D1190" s="5" t="str">
        <f t="shared" si="141"/>
        <v>11-12</v>
      </c>
      <c r="E1190" s="1">
        <f>_xlfn.IFNA(VLOOKUP('Comp X - Kilter'!B1190,'Kilter Holds'!$P$36:$AB$370,5,0),0)</f>
        <v>9</v>
      </c>
      <c r="G1190" s="2">
        <f t="shared" si="142"/>
        <v>0</v>
      </c>
      <c r="H1190" s="2">
        <f t="shared" si="143"/>
        <v>0</v>
      </c>
    </row>
    <row r="1191" spans="2:8">
      <c r="B1191" s="3" t="s">
        <v>2814</v>
      </c>
      <c r="C1191" s="3" t="s">
        <v>2815</v>
      </c>
      <c r="D1191" s="6" t="str">
        <f t="shared" si="141"/>
        <v>14-01</v>
      </c>
      <c r="E1191" s="1">
        <f>_xlfn.IFNA(VLOOKUP('Comp X - Kilter'!B1191,'Kilter Holds'!$P$36:$AB$370,6,0),0)</f>
        <v>0</v>
      </c>
      <c r="G1191" s="2">
        <f t="shared" si="142"/>
        <v>0</v>
      </c>
      <c r="H1191" s="2">
        <f t="shared" si="143"/>
        <v>0</v>
      </c>
    </row>
    <row r="1192" spans="2:8">
      <c r="B1192" s="3" t="s">
        <v>2814</v>
      </c>
      <c r="C1192" s="3" t="s">
        <v>2815</v>
      </c>
      <c r="D1192" s="7" t="str">
        <f t="shared" si="141"/>
        <v>15-12</v>
      </c>
      <c r="E1192" s="1">
        <f>_xlfn.IFNA(VLOOKUP('Comp X - Kilter'!B1192,'Kilter Holds'!$P$36:$AB$370,7,0),0)</f>
        <v>9</v>
      </c>
      <c r="G1192" s="2">
        <f t="shared" si="142"/>
        <v>0</v>
      </c>
      <c r="H1192" s="2">
        <f t="shared" si="143"/>
        <v>0</v>
      </c>
    </row>
    <row r="1193" spans="2:8">
      <c r="B1193" s="3" t="s">
        <v>2814</v>
      </c>
      <c r="C1193" s="3" t="s">
        <v>2815</v>
      </c>
      <c r="D1193" s="8" t="str">
        <f t="shared" si="141"/>
        <v>16-16</v>
      </c>
      <c r="E1193" s="1">
        <f>_xlfn.IFNA(VLOOKUP('Comp X - Kilter'!B1193,'Kilter Holds'!$P$36:$AB$370,8,0),0)</f>
        <v>10</v>
      </c>
      <c r="G1193" s="2">
        <f t="shared" si="142"/>
        <v>0</v>
      </c>
      <c r="H1193" s="2">
        <f t="shared" si="143"/>
        <v>0</v>
      </c>
    </row>
    <row r="1194" spans="2:8">
      <c r="B1194" s="3" t="s">
        <v>2814</v>
      </c>
      <c r="C1194" s="3" t="s">
        <v>2815</v>
      </c>
      <c r="D1194" s="9" t="str">
        <f t="shared" si="141"/>
        <v>13-01</v>
      </c>
      <c r="E1194" s="1">
        <f>_xlfn.IFNA(VLOOKUP('Comp X - Kilter'!B1194,'Kilter Holds'!$P$36:$AB$370,9,0),0)</f>
        <v>10</v>
      </c>
      <c r="G1194" s="2">
        <f t="shared" si="142"/>
        <v>0</v>
      </c>
      <c r="H1194" s="2">
        <f t="shared" si="143"/>
        <v>0</v>
      </c>
    </row>
    <row r="1195" spans="2:8">
      <c r="B1195" s="3" t="s">
        <v>2814</v>
      </c>
      <c r="C1195" s="3" t="s">
        <v>2815</v>
      </c>
      <c r="D1195" s="10" t="str">
        <f t="shared" si="141"/>
        <v>07-13</v>
      </c>
      <c r="E1195" s="1">
        <f>_xlfn.IFNA(VLOOKUP('Comp X - Kilter'!B1195,'Kilter Holds'!$P$36:$AB$370,10,0),0)</f>
        <v>8</v>
      </c>
      <c r="G1195" s="2">
        <f t="shared" si="142"/>
        <v>0</v>
      </c>
      <c r="H1195" s="2">
        <f t="shared" si="143"/>
        <v>0</v>
      </c>
    </row>
    <row r="1196" spans="2:8">
      <c r="B1196" s="3" t="s">
        <v>2814</v>
      </c>
      <c r="C1196" s="3" t="s">
        <v>2815</v>
      </c>
      <c r="D1196" s="11" t="str">
        <f t="shared" si="141"/>
        <v>11-25</v>
      </c>
      <c r="E1196" s="1">
        <f>_xlfn.IFNA(VLOOKUP('Comp X - Kilter'!B1196,'Kilter Holds'!$P$36:$AB$370,11,0),0)</f>
        <v>5</v>
      </c>
      <c r="G1196" s="2">
        <f t="shared" si="142"/>
        <v>0</v>
      </c>
      <c r="H1196" s="2">
        <f t="shared" si="143"/>
        <v>0</v>
      </c>
    </row>
    <row r="1197" spans="2:8">
      <c r="B1197" s="3" t="s">
        <v>2814</v>
      </c>
      <c r="C1197" s="3" t="s">
        <v>2815</v>
      </c>
      <c r="D1197" s="13" t="str">
        <f t="shared" si="141"/>
        <v>18-01</v>
      </c>
      <c r="E1197" s="1">
        <f>_xlfn.IFNA(VLOOKUP('Comp X - Kilter'!B1197,'Kilter Holds'!$P$36:$AB$370,12,0),0)</f>
        <v>8</v>
      </c>
      <c r="G1197" s="2">
        <f t="shared" si="142"/>
        <v>0</v>
      </c>
      <c r="H1197" s="2">
        <f t="shared" si="143"/>
        <v>0</v>
      </c>
    </row>
    <row r="1198" spans="2:8">
      <c r="B1198" s="3" t="s">
        <v>2814</v>
      </c>
      <c r="C1198" s="3" t="s">
        <v>2815</v>
      </c>
      <c r="D1198" s="12" t="str">
        <f t="shared" si="141"/>
        <v>12-01</v>
      </c>
      <c r="E1198" s="1">
        <f>_xlfn.IFNA(VLOOKUP('Comp X - Kilter'!B1198,'Kilter Holds'!$P$36:$AB$370,13,0),0)</f>
        <v>6</v>
      </c>
      <c r="G1198" s="2">
        <f t="shared" si="142"/>
        <v>0</v>
      </c>
      <c r="H1198" s="2">
        <f t="shared" si="143"/>
        <v>0</v>
      </c>
    </row>
    <row r="1199" spans="2:8">
      <c r="B1199" s="3" t="s">
        <v>2882</v>
      </c>
      <c r="C1199" s="3" t="s">
        <v>2883</v>
      </c>
      <c r="D1199" s="5" t="str">
        <f t="shared" ref="D1199:D1262" si="144">D542</f>
        <v>11-12</v>
      </c>
      <c r="E1199" s="1">
        <f>_xlfn.IFNA(VLOOKUP('Comp X - Kilter'!B1199,'Kilter Holds'!$P$36:$AB$370,5,0),0)</f>
        <v>5</v>
      </c>
      <c r="G1199" s="2">
        <f t="shared" si="142"/>
        <v>0</v>
      </c>
      <c r="H1199" s="2">
        <f t="shared" si="143"/>
        <v>0</v>
      </c>
    </row>
    <row r="1200" spans="2:8">
      <c r="B1200" s="3" t="s">
        <v>2882</v>
      </c>
      <c r="C1200" s="3" t="s">
        <v>2883</v>
      </c>
      <c r="D1200" s="6" t="str">
        <f t="shared" si="144"/>
        <v>14-01</v>
      </c>
      <c r="E1200" s="1">
        <f>_xlfn.IFNA(VLOOKUP('Comp X - Kilter'!B1200,'Kilter Holds'!$P$36:$AB$370,6,0),0)</f>
        <v>0</v>
      </c>
      <c r="G1200" s="2">
        <f t="shared" si="142"/>
        <v>0</v>
      </c>
      <c r="H1200" s="2">
        <f t="shared" si="143"/>
        <v>0</v>
      </c>
    </row>
    <row r="1201" spans="2:8">
      <c r="B1201" s="3" t="s">
        <v>2882</v>
      </c>
      <c r="C1201" s="3" t="s">
        <v>2883</v>
      </c>
      <c r="D1201" s="7" t="str">
        <f t="shared" si="144"/>
        <v>15-12</v>
      </c>
      <c r="E1201" s="1">
        <f>_xlfn.IFNA(VLOOKUP('Comp X - Kilter'!B1201,'Kilter Holds'!$P$36:$AB$370,7,0),0)</f>
        <v>4</v>
      </c>
      <c r="G1201" s="2">
        <f t="shared" si="142"/>
        <v>0</v>
      </c>
      <c r="H1201" s="2">
        <f t="shared" si="143"/>
        <v>0</v>
      </c>
    </row>
    <row r="1202" spans="2:8">
      <c r="B1202" s="3" t="s">
        <v>2882</v>
      </c>
      <c r="C1202" s="3" t="s">
        <v>2883</v>
      </c>
      <c r="D1202" s="8" t="str">
        <f t="shared" si="144"/>
        <v>16-16</v>
      </c>
      <c r="E1202" s="1">
        <f>_xlfn.IFNA(VLOOKUP('Comp X - Kilter'!B1202,'Kilter Holds'!$P$36:$AB$370,8,0),0)</f>
        <v>3</v>
      </c>
      <c r="G1202" s="2">
        <f t="shared" si="142"/>
        <v>0</v>
      </c>
      <c r="H1202" s="2">
        <f t="shared" si="143"/>
        <v>0</v>
      </c>
    </row>
    <row r="1203" spans="2:8">
      <c r="B1203" s="3" t="s">
        <v>2882</v>
      </c>
      <c r="C1203" s="3" t="s">
        <v>2883</v>
      </c>
      <c r="D1203" s="9" t="str">
        <f t="shared" si="144"/>
        <v>13-01</v>
      </c>
      <c r="E1203" s="1">
        <f>_xlfn.IFNA(VLOOKUP('Comp X - Kilter'!B1203,'Kilter Holds'!$P$36:$AB$370,9,0),0)</f>
        <v>5</v>
      </c>
      <c r="G1203" s="2">
        <f t="shared" si="142"/>
        <v>0</v>
      </c>
      <c r="H1203" s="2">
        <f t="shared" si="143"/>
        <v>0</v>
      </c>
    </row>
    <row r="1204" spans="2:8">
      <c r="B1204" s="3" t="s">
        <v>2882</v>
      </c>
      <c r="C1204" s="3" t="s">
        <v>2883</v>
      </c>
      <c r="D1204" s="10" t="str">
        <f t="shared" si="144"/>
        <v>07-13</v>
      </c>
      <c r="E1204" s="1">
        <f>_xlfn.IFNA(VLOOKUP('Comp X - Kilter'!B1204,'Kilter Holds'!$P$36:$AB$370,10,0),0)</f>
        <v>4</v>
      </c>
      <c r="G1204" s="2">
        <f t="shared" si="142"/>
        <v>0</v>
      </c>
      <c r="H1204" s="2">
        <f t="shared" si="143"/>
        <v>0</v>
      </c>
    </row>
    <row r="1205" spans="2:8">
      <c r="B1205" s="3" t="s">
        <v>2882</v>
      </c>
      <c r="C1205" s="3" t="s">
        <v>2883</v>
      </c>
      <c r="D1205" s="11" t="str">
        <f t="shared" si="144"/>
        <v>11-25</v>
      </c>
      <c r="E1205" s="1">
        <f>_xlfn.IFNA(VLOOKUP('Comp X - Kilter'!B1205,'Kilter Holds'!$P$36:$AB$370,11,0),0)</f>
        <v>4</v>
      </c>
      <c r="G1205" s="2">
        <f t="shared" si="142"/>
        <v>0</v>
      </c>
      <c r="H1205" s="2">
        <f t="shared" si="143"/>
        <v>0</v>
      </c>
    </row>
    <row r="1206" spans="2:8">
      <c r="B1206" s="3" t="s">
        <v>2882</v>
      </c>
      <c r="C1206" s="3" t="s">
        <v>2883</v>
      </c>
      <c r="D1206" s="13" t="str">
        <f t="shared" si="144"/>
        <v>18-01</v>
      </c>
      <c r="E1206" s="1">
        <f>_xlfn.IFNA(VLOOKUP('Comp X - Kilter'!B1206,'Kilter Holds'!$P$36:$AB$370,12,0),0)</f>
        <v>5</v>
      </c>
      <c r="G1206" s="2">
        <f t="shared" si="142"/>
        <v>0</v>
      </c>
      <c r="H1206" s="2">
        <f t="shared" si="143"/>
        <v>0</v>
      </c>
    </row>
    <row r="1207" spans="2:8">
      <c r="B1207" s="3" t="s">
        <v>2882</v>
      </c>
      <c r="C1207" s="3" t="s">
        <v>2883</v>
      </c>
      <c r="D1207" s="12" t="str">
        <f t="shared" si="144"/>
        <v>12-01</v>
      </c>
      <c r="E1207" s="1">
        <f>_xlfn.IFNA(VLOOKUP('Comp X - Kilter'!B1207,'Kilter Holds'!$P$36:$AB$370,13,0),0)</f>
        <v>5</v>
      </c>
      <c r="G1207" s="2">
        <f t="shared" si="142"/>
        <v>0</v>
      </c>
      <c r="H1207" s="2">
        <f t="shared" si="143"/>
        <v>0</v>
      </c>
    </row>
    <row r="1208" spans="2:8">
      <c r="B1208" s="3" t="s">
        <v>2884</v>
      </c>
      <c r="C1208" s="3" t="s">
        <v>2885</v>
      </c>
      <c r="D1208" s="5" t="str">
        <f t="shared" si="144"/>
        <v>11-12</v>
      </c>
      <c r="E1208" s="1">
        <f>_xlfn.IFNA(VLOOKUP('Comp X - Kilter'!B1208,'Kilter Holds'!$P$36:$AB$370,5,0),0)</f>
        <v>2</v>
      </c>
      <c r="G1208" s="2">
        <f t="shared" si="142"/>
        <v>0</v>
      </c>
      <c r="H1208" s="2">
        <f t="shared" si="143"/>
        <v>0</v>
      </c>
    </row>
    <row r="1209" spans="2:8">
      <c r="B1209" s="3" t="s">
        <v>2884</v>
      </c>
      <c r="C1209" s="3" t="s">
        <v>2885</v>
      </c>
      <c r="D1209" s="6" t="str">
        <f t="shared" si="144"/>
        <v>14-01</v>
      </c>
      <c r="E1209" s="1">
        <f>_xlfn.IFNA(VLOOKUP('Comp X - Kilter'!B1209,'Kilter Holds'!$P$36:$AB$370,6,0),0)</f>
        <v>0</v>
      </c>
      <c r="G1209" s="2">
        <f t="shared" si="142"/>
        <v>0</v>
      </c>
      <c r="H1209" s="2">
        <f t="shared" si="143"/>
        <v>0</v>
      </c>
    </row>
    <row r="1210" spans="2:8">
      <c r="B1210" s="3" t="s">
        <v>2884</v>
      </c>
      <c r="C1210" s="3" t="s">
        <v>2885</v>
      </c>
      <c r="D1210" s="7" t="str">
        <f t="shared" si="144"/>
        <v>15-12</v>
      </c>
      <c r="E1210" s="1">
        <f>_xlfn.IFNA(VLOOKUP('Comp X - Kilter'!B1210,'Kilter Holds'!$P$36:$AB$370,7,0),0)</f>
        <v>6</v>
      </c>
      <c r="G1210" s="2">
        <f t="shared" si="142"/>
        <v>0</v>
      </c>
      <c r="H1210" s="2">
        <f t="shared" si="143"/>
        <v>0</v>
      </c>
    </row>
    <row r="1211" spans="2:8">
      <c r="B1211" s="3" t="s">
        <v>2884</v>
      </c>
      <c r="C1211" s="3" t="s">
        <v>2885</v>
      </c>
      <c r="D1211" s="8" t="str">
        <f t="shared" si="144"/>
        <v>16-16</v>
      </c>
      <c r="E1211" s="1">
        <f>_xlfn.IFNA(VLOOKUP('Comp X - Kilter'!B1211,'Kilter Holds'!$P$36:$AB$370,8,0),0)</f>
        <v>6</v>
      </c>
      <c r="G1211" s="2">
        <f t="shared" si="142"/>
        <v>0</v>
      </c>
      <c r="H1211" s="2">
        <f t="shared" si="143"/>
        <v>0</v>
      </c>
    </row>
    <row r="1212" spans="2:8">
      <c r="B1212" s="3" t="s">
        <v>2884</v>
      </c>
      <c r="C1212" s="3" t="s">
        <v>2885</v>
      </c>
      <c r="D1212" s="9" t="str">
        <f t="shared" si="144"/>
        <v>13-01</v>
      </c>
      <c r="E1212" s="1">
        <f>_xlfn.IFNA(VLOOKUP('Comp X - Kilter'!B1212,'Kilter Holds'!$P$36:$AB$370,9,0),0)</f>
        <v>4</v>
      </c>
      <c r="G1212" s="2">
        <f t="shared" si="142"/>
        <v>0</v>
      </c>
      <c r="H1212" s="2">
        <f t="shared" si="143"/>
        <v>0</v>
      </c>
    </row>
    <row r="1213" spans="2:8">
      <c r="B1213" s="3" t="s">
        <v>2884</v>
      </c>
      <c r="C1213" s="3" t="s">
        <v>2885</v>
      </c>
      <c r="D1213" s="10" t="str">
        <f t="shared" si="144"/>
        <v>07-13</v>
      </c>
      <c r="E1213" s="1">
        <f>_xlfn.IFNA(VLOOKUP('Comp X - Kilter'!B1213,'Kilter Holds'!$P$36:$AB$370,10,0),0)</f>
        <v>3</v>
      </c>
      <c r="G1213" s="2">
        <f t="shared" si="142"/>
        <v>0</v>
      </c>
      <c r="H1213" s="2">
        <f t="shared" si="143"/>
        <v>0</v>
      </c>
    </row>
    <row r="1214" spans="2:8">
      <c r="B1214" s="3" t="s">
        <v>2884</v>
      </c>
      <c r="C1214" s="3" t="s">
        <v>2885</v>
      </c>
      <c r="D1214" s="11" t="str">
        <f t="shared" si="144"/>
        <v>11-25</v>
      </c>
      <c r="E1214" s="1">
        <f>_xlfn.IFNA(VLOOKUP('Comp X - Kilter'!B1214,'Kilter Holds'!$P$36:$AB$370,11,0),0)</f>
        <v>4</v>
      </c>
      <c r="G1214" s="2">
        <f t="shared" si="142"/>
        <v>0</v>
      </c>
      <c r="H1214" s="2">
        <f t="shared" si="143"/>
        <v>0</v>
      </c>
    </row>
    <row r="1215" spans="2:8">
      <c r="B1215" s="3" t="s">
        <v>2884</v>
      </c>
      <c r="C1215" s="3" t="s">
        <v>2885</v>
      </c>
      <c r="D1215" s="13" t="str">
        <f t="shared" si="144"/>
        <v>18-01</v>
      </c>
      <c r="E1215" s="1">
        <f>_xlfn.IFNA(VLOOKUP('Comp X - Kilter'!B1215,'Kilter Holds'!$P$36:$AB$370,12,0),0)</f>
        <v>10</v>
      </c>
      <c r="G1215" s="2">
        <f t="shared" si="142"/>
        <v>0</v>
      </c>
      <c r="H1215" s="2">
        <f t="shared" si="143"/>
        <v>0</v>
      </c>
    </row>
    <row r="1216" spans="2:8">
      <c r="B1216" s="3" t="s">
        <v>2884</v>
      </c>
      <c r="C1216" s="3" t="s">
        <v>2885</v>
      </c>
      <c r="D1216" s="12" t="str">
        <f t="shared" si="144"/>
        <v>12-01</v>
      </c>
      <c r="E1216" s="1">
        <f>_xlfn.IFNA(VLOOKUP('Comp X - Kilter'!B1216,'Kilter Holds'!$P$36:$AB$370,13,0),0)</f>
        <v>6</v>
      </c>
      <c r="G1216" s="2">
        <f t="shared" si="142"/>
        <v>0</v>
      </c>
      <c r="H1216" s="2">
        <f t="shared" si="143"/>
        <v>0</v>
      </c>
    </row>
    <row r="1217" spans="2:8">
      <c r="B1217" s="3" t="s">
        <v>3040</v>
      </c>
      <c r="C1217" s="3" t="s">
        <v>3041</v>
      </c>
      <c r="D1217" s="5" t="str">
        <f t="shared" si="144"/>
        <v>11-12</v>
      </c>
      <c r="E1217" s="1">
        <f>_xlfn.IFNA(VLOOKUP('Comp X - Kilter'!B1217,'Kilter Holds'!$P$36:$AB$370,5,0),0)</f>
        <v>0</v>
      </c>
      <c r="G1217" s="2">
        <f t="shared" ref="G1217:G1280" si="145">E1217*F1217</f>
        <v>0</v>
      </c>
      <c r="H1217" s="2">
        <f t="shared" ref="H1217:H1280" si="146">IF($S$11="Y",G1217*0.15,0)</f>
        <v>0</v>
      </c>
    </row>
    <row r="1218" spans="2:8">
      <c r="B1218" s="3" t="s">
        <v>3040</v>
      </c>
      <c r="C1218" s="3" t="s">
        <v>3041</v>
      </c>
      <c r="D1218" s="6" t="str">
        <f t="shared" si="144"/>
        <v>14-01</v>
      </c>
      <c r="E1218" s="1">
        <f>_xlfn.IFNA(VLOOKUP('Comp X - Kilter'!B1218,'Kilter Holds'!$P$36:$AB$370,6,0),0)</f>
        <v>0</v>
      </c>
      <c r="G1218" s="2">
        <f t="shared" si="145"/>
        <v>0</v>
      </c>
      <c r="H1218" s="2">
        <f t="shared" si="146"/>
        <v>0</v>
      </c>
    </row>
    <row r="1219" spans="2:8">
      <c r="B1219" s="3" t="s">
        <v>3040</v>
      </c>
      <c r="C1219" s="3" t="s">
        <v>3041</v>
      </c>
      <c r="D1219" s="7" t="str">
        <f t="shared" si="144"/>
        <v>15-12</v>
      </c>
      <c r="E1219" s="1">
        <f>_xlfn.IFNA(VLOOKUP('Comp X - Kilter'!B1219,'Kilter Holds'!$P$36:$AB$370,7,0),0)</f>
        <v>0</v>
      </c>
      <c r="G1219" s="2">
        <f t="shared" si="145"/>
        <v>0</v>
      </c>
      <c r="H1219" s="2">
        <f t="shared" si="146"/>
        <v>0</v>
      </c>
    </row>
    <row r="1220" spans="2:8">
      <c r="B1220" s="3" t="s">
        <v>3040</v>
      </c>
      <c r="C1220" s="3" t="s">
        <v>3041</v>
      </c>
      <c r="D1220" s="8" t="str">
        <f t="shared" si="144"/>
        <v>16-16</v>
      </c>
      <c r="E1220" s="1">
        <f>_xlfn.IFNA(VLOOKUP('Comp X - Kilter'!B1220,'Kilter Holds'!$P$36:$AB$370,8,0),0)</f>
        <v>0</v>
      </c>
      <c r="G1220" s="2">
        <f t="shared" si="145"/>
        <v>0</v>
      </c>
      <c r="H1220" s="2">
        <f t="shared" si="146"/>
        <v>0</v>
      </c>
    </row>
    <row r="1221" spans="2:8">
      <c r="B1221" s="3" t="s">
        <v>3040</v>
      </c>
      <c r="C1221" s="3" t="s">
        <v>3041</v>
      </c>
      <c r="D1221" s="9" t="str">
        <f t="shared" si="144"/>
        <v>13-01</v>
      </c>
      <c r="E1221" s="1">
        <f>_xlfn.IFNA(VLOOKUP('Comp X - Kilter'!B1221,'Kilter Holds'!$P$36:$AB$370,9,0),0)</f>
        <v>0</v>
      </c>
      <c r="G1221" s="2">
        <f t="shared" si="145"/>
        <v>0</v>
      </c>
      <c r="H1221" s="2">
        <f t="shared" si="146"/>
        <v>0</v>
      </c>
    </row>
    <row r="1222" spans="2:8">
      <c r="B1222" s="3" t="s">
        <v>3040</v>
      </c>
      <c r="C1222" s="3" t="s">
        <v>3041</v>
      </c>
      <c r="D1222" s="10" t="str">
        <f t="shared" si="144"/>
        <v>07-13</v>
      </c>
      <c r="E1222" s="1">
        <f>_xlfn.IFNA(VLOOKUP('Comp X - Kilter'!B1222,'Kilter Holds'!$P$36:$AB$370,10,0),0)</f>
        <v>0</v>
      </c>
      <c r="G1222" s="2">
        <f t="shared" si="145"/>
        <v>0</v>
      </c>
      <c r="H1222" s="2">
        <f t="shared" si="146"/>
        <v>0</v>
      </c>
    </row>
    <row r="1223" spans="2:8">
      <c r="B1223" s="3" t="s">
        <v>3040</v>
      </c>
      <c r="C1223" s="3" t="s">
        <v>3041</v>
      </c>
      <c r="D1223" s="11" t="str">
        <f t="shared" si="144"/>
        <v>11-25</v>
      </c>
      <c r="E1223" s="1">
        <f>_xlfn.IFNA(VLOOKUP('Comp X - Kilter'!B1223,'Kilter Holds'!$P$36:$AB$370,11,0),0)</f>
        <v>0</v>
      </c>
      <c r="G1223" s="2">
        <f t="shared" si="145"/>
        <v>0</v>
      </c>
      <c r="H1223" s="2">
        <f t="shared" si="146"/>
        <v>0</v>
      </c>
    </row>
    <row r="1224" spans="2:8">
      <c r="B1224" s="3" t="s">
        <v>3040</v>
      </c>
      <c r="C1224" s="3" t="s">
        <v>3041</v>
      </c>
      <c r="D1224" s="13" t="str">
        <f t="shared" si="144"/>
        <v>18-01</v>
      </c>
      <c r="E1224" s="1">
        <f>_xlfn.IFNA(VLOOKUP('Comp X - Kilter'!B1224,'Kilter Holds'!$P$36:$AB$370,12,0),0)</f>
        <v>0</v>
      </c>
      <c r="G1224" s="2">
        <f t="shared" si="145"/>
        <v>0</v>
      </c>
      <c r="H1224" s="2">
        <f t="shared" si="146"/>
        <v>0</v>
      </c>
    </row>
    <row r="1225" spans="2:8">
      <c r="B1225" s="3" t="s">
        <v>3040</v>
      </c>
      <c r="C1225" s="3" t="s">
        <v>3041</v>
      </c>
      <c r="D1225" s="12" t="str">
        <f t="shared" si="144"/>
        <v>12-01</v>
      </c>
      <c r="E1225" s="1">
        <f>_xlfn.IFNA(VLOOKUP('Comp X - Kilter'!B1225,'Kilter Holds'!$P$36:$AB$370,13,0),0)</f>
        <v>0</v>
      </c>
      <c r="G1225" s="2">
        <f t="shared" si="145"/>
        <v>0</v>
      </c>
      <c r="H1225" s="2">
        <f t="shared" si="146"/>
        <v>0</v>
      </c>
    </row>
    <row r="1226" spans="2:8">
      <c r="B1226" s="3" t="s">
        <v>3042</v>
      </c>
      <c r="C1226" s="3" t="s">
        <v>3043</v>
      </c>
      <c r="D1226" s="5" t="str">
        <f t="shared" si="144"/>
        <v>11-12</v>
      </c>
      <c r="E1226" s="1">
        <f>_xlfn.IFNA(VLOOKUP('Comp X - Kilter'!B1226,'Kilter Holds'!$P$36:$AB$370,5,0),0)</f>
        <v>0</v>
      </c>
      <c r="G1226" s="2">
        <f t="shared" si="145"/>
        <v>0</v>
      </c>
      <c r="H1226" s="2">
        <f t="shared" si="146"/>
        <v>0</v>
      </c>
    </row>
    <row r="1227" spans="2:8">
      <c r="B1227" s="3" t="s">
        <v>3042</v>
      </c>
      <c r="C1227" s="3" t="s">
        <v>3043</v>
      </c>
      <c r="D1227" s="6" t="str">
        <f t="shared" si="144"/>
        <v>14-01</v>
      </c>
      <c r="E1227" s="1">
        <f>_xlfn.IFNA(VLOOKUP('Comp X - Kilter'!B1227,'Kilter Holds'!$P$36:$AB$370,6,0),0)</f>
        <v>0</v>
      </c>
      <c r="G1227" s="2">
        <f t="shared" si="145"/>
        <v>0</v>
      </c>
      <c r="H1227" s="2">
        <f t="shared" si="146"/>
        <v>0</v>
      </c>
    </row>
    <row r="1228" spans="2:8">
      <c r="B1228" s="3" t="s">
        <v>3042</v>
      </c>
      <c r="C1228" s="3" t="s">
        <v>3043</v>
      </c>
      <c r="D1228" s="7" t="str">
        <f t="shared" si="144"/>
        <v>15-12</v>
      </c>
      <c r="E1228" s="1">
        <f>_xlfn.IFNA(VLOOKUP('Comp X - Kilter'!B1228,'Kilter Holds'!$P$36:$AB$370,7,0),0)</f>
        <v>0</v>
      </c>
      <c r="G1228" s="2">
        <f t="shared" si="145"/>
        <v>0</v>
      </c>
      <c r="H1228" s="2">
        <f t="shared" si="146"/>
        <v>0</v>
      </c>
    </row>
    <row r="1229" spans="2:8">
      <c r="B1229" s="3" t="s">
        <v>3042</v>
      </c>
      <c r="C1229" s="3" t="s">
        <v>3043</v>
      </c>
      <c r="D1229" s="8" t="str">
        <f t="shared" si="144"/>
        <v>16-16</v>
      </c>
      <c r="E1229" s="1">
        <f>_xlfn.IFNA(VLOOKUP('Comp X - Kilter'!B1229,'Kilter Holds'!$P$36:$AB$370,8,0),0)</f>
        <v>0</v>
      </c>
      <c r="G1229" s="2">
        <f t="shared" si="145"/>
        <v>0</v>
      </c>
      <c r="H1229" s="2">
        <f t="shared" si="146"/>
        <v>0</v>
      </c>
    </row>
    <row r="1230" spans="2:8">
      <c r="B1230" s="3" t="s">
        <v>3042</v>
      </c>
      <c r="C1230" s="3" t="s">
        <v>3043</v>
      </c>
      <c r="D1230" s="9" t="str">
        <f t="shared" si="144"/>
        <v>13-01</v>
      </c>
      <c r="E1230" s="1">
        <f>_xlfn.IFNA(VLOOKUP('Comp X - Kilter'!B1230,'Kilter Holds'!$P$36:$AB$370,9,0),0)</f>
        <v>0</v>
      </c>
      <c r="G1230" s="2">
        <f t="shared" si="145"/>
        <v>0</v>
      </c>
      <c r="H1230" s="2">
        <f t="shared" si="146"/>
        <v>0</v>
      </c>
    </row>
    <row r="1231" spans="2:8">
      <c r="B1231" s="3" t="s">
        <v>3042</v>
      </c>
      <c r="C1231" s="3" t="s">
        <v>3043</v>
      </c>
      <c r="D1231" s="10" t="str">
        <f t="shared" si="144"/>
        <v>07-13</v>
      </c>
      <c r="E1231" s="1">
        <f>_xlfn.IFNA(VLOOKUP('Comp X - Kilter'!B1231,'Kilter Holds'!$P$36:$AB$370,10,0),0)</f>
        <v>0</v>
      </c>
      <c r="G1231" s="2">
        <f t="shared" si="145"/>
        <v>0</v>
      </c>
      <c r="H1231" s="2">
        <f t="shared" si="146"/>
        <v>0</v>
      </c>
    </row>
    <row r="1232" spans="2:8">
      <c r="B1232" s="3" t="s">
        <v>3042</v>
      </c>
      <c r="C1232" s="3" t="s">
        <v>3043</v>
      </c>
      <c r="D1232" s="11" t="str">
        <f t="shared" si="144"/>
        <v>11-25</v>
      </c>
      <c r="E1232" s="1">
        <f>_xlfn.IFNA(VLOOKUP('Comp X - Kilter'!B1232,'Kilter Holds'!$P$36:$AB$370,11,0),0)</f>
        <v>0</v>
      </c>
      <c r="G1232" s="2">
        <f t="shared" si="145"/>
        <v>0</v>
      </c>
      <c r="H1232" s="2">
        <f t="shared" si="146"/>
        <v>0</v>
      </c>
    </row>
    <row r="1233" spans="2:8">
      <c r="B1233" s="3" t="s">
        <v>3042</v>
      </c>
      <c r="C1233" s="3" t="s">
        <v>3043</v>
      </c>
      <c r="D1233" s="13" t="str">
        <f t="shared" si="144"/>
        <v>18-01</v>
      </c>
      <c r="E1233" s="1">
        <f>_xlfn.IFNA(VLOOKUP('Comp X - Kilter'!B1233,'Kilter Holds'!$P$36:$AB$370,12,0),0)</f>
        <v>0</v>
      </c>
      <c r="G1233" s="2">
        <f t="shared" si="145"/>
        <v>0</v>
      </c>
      <c r="H1233" s="2">
        <f t="shared" si="146"/>
        <v>0</v>
      </c>
    </row>
    <row r="1234" spans="2:8">
      <c r="B1234" s="3" t="s">
        <v>3042</v>
      </c>
      <c r="C1234" s="3" t="s">
        <v>3043</v>
      </c>
      <c r="D1234" s="12" t="str">
        <f t="shared" si="144"/>
        <v>12-01</v>
      </c>
      <c r="E1234" s="1">
        <f>_xlfn.IFNA(VLOOKUP('Comp X - Kilter'!B1234,'Kilter Holds'!$P$36:$AB$370,13,0),0)</f>
        <v>0</v>
      </c>
      <c r="G1234" s="2">
        <f t="shared" si="145"/>
        <v>0</v>
      </c>
      <c r="H1234" s="2">
        <f t="shared" si="146"/>
        <v>0</v>
      </c>
    </row>
    <row r="1235" spans="2:8">
      <c r="B1235" s="3" t="s">
        <v>3044</v>
      </c>
      <c r="C1235" s="3" t="s">
        <v>3045</v>
      </c>
      <c r="D1235" s="5" t="str">
        <f t="shared" si="144"/>
        <v>11-12</v>
      </c>
      <c r="E1235" s="1">
        <f>_xlfn.IFNA(VLOOKUP('Comp X - Kilter'!B1235,'Kilter Holds'!$P$36:$AB$370,5,0),0)</f>
        <v>0</v>
      </c>
      <c r="G1235" s="2">
        <f t="shared" si="145"/>
        <v>0</v>
      </c>
      <c r="H1235" s="2">
        <f t="shared" si="146"/>
        <v>0</v>
      </c>
    </row>
    <row r="1236" spans="2:8">
      <c r="B1236" s="3" t="s">
        <v>3044</v>
      </c>
      <c r="C1236" s="3" t="s">
        <v>3045</v>
      </c>
      <c r="D1236" s="6" t="str">
        <f t="shared" si="144"/>
        <v>14-01</v>
      </c>
      <c r="E1236" s="1">
        <f>_xlfn.IFNA(VLOOKUP('Comp X - Kilter'!B1236,'Kilter Holds'!$P$36:$AB$370,6,0),0)</f>
        <v>0</v>
      </c>
      <c r="G1236" s="2">
        <f t="shared" si="145"/>
        <v>0</v>
      </c>
      <c r="H1236" s="2">
        <f t="shared" si="146"/>
        <v>0</v>
      </c>
    </row>
    <row r="1237" spans="2:8">
      <c r="B1237" s="3" t="s">
        <v>3044</v>
      </c>
      <c r="C1237" s="3" t="s">
        <v>3045</v>
      </c>
      <c r="D1237" s="7" t="str">
        <f t="shared" si="144"/>
        <v>15-12</v>
      </c>
      <c r="E1237" s="1">
        <f>_xlfn.IFNA(VLOOKUP('Comp X - Kilter'!B1237,'Kilter Holds'!$P$36:$AB$370,7,0),0)</f>
        <v>0</v>
      </c>
      <c r="G1237" s="2">
        <f t="shared" si="145"/>
        <v>0</v>
      </c>
      <c r="H1237" s="2">
        <f t="shared" si="146"/>
        <v>0</v>
      </c>
    </row>
    <row r="1238" spans="2:8">
      <c r="B1238" s="3" t="s">
        <v>3044</v>
      </c>
      <c r="C1238" s="3" t="s">
        <v>3045</v>
      </c>
      <c r="D1238" s="8" t="str">
        <f t="shared" si="144"/>
        <v>16-16</v>
      </c>
      <c r="E1238" s="1">
        <f>_xlfn.IFNA(VLOOKUP('Comp X - Kilter'!B1238,'Kilter Holds'!$P$36:$AB$370,8,0),0)</f>
        <v>0</v>
      </c>
      <c r="G1238" s="2">
        <f t="shared" si="145"/>
        <v>0</v>
      </c>
      <c r="H1238" s="2">
        <f t="shared" si="146"/>
        <v>0</v>
      </c>
    </row>
    <row r="1239" spans="2:8">
      <c r="B1239" s="3" t="s">
        <v>3044</v>
      </c>
      <c r="C1239" s="3" t="s">
        <v>3045</v>
      </c>
      <c r="D1239" s="9" t="str">
        <f t="shared" si="144"/>
        <v>13-01</v>
      </c>
      <c r="E1239" s="1">
        <f>_xlfn.IFNA(VLOOKUP('Comp X - Kilter'!B1239,'Kilter Holds'!$P$36:$AB$370,9,0),0)</f>
        <v>0</v>
      </c>
      <c r="G1239" s="2">
        <f t="shared" si="145"/>
        <v>0</v>
      </c>
      <c r="H1239" s="2">
        <f t="shared" si="146"/>
        <v>0</v>
      </c>
    </row>
    <row r="1240" spans="2:8">
      <c r="B1240" s="3" t="s">
        <v>3044</v>
      </c>
      <c r="C1240" s="3" t="s">
        <v>3045</v>
      </c>
      <c r="D1240" s="10" t="str">
        <f t="shared" si="144"/>
        <v>07-13</v>
      </c>
      <c r="E1240" s="1">
        <f>_xlfn.IFNA(VLOOKUP('Comp X - Kilter'!B1240,'Kilter Holds'!$P$36:$AB$370,10,0),0)</f>
        <v>0</v>
      </c>
      <c r="G1240" s="2">
        <f t="shared" si="145"/>
        <v>0</v>
      </c>
      <c r="H1240" s="2">
        <f t="shared" si="146"/>
        <v>0</v>
      </c>
    </row>
    <row r="1241" spans="2:8">
      <c r="B1241" s="3" t="s">
        <v>3044</v>
      </c>
      <c r="C1241" s="3" t="s">
        <v>3045</v>
      </c>
      <c r="D1241" s="11" t="str">
        <f t="shared" si="144"/>
        <v>11-25</v>
      </c>
      <c r="E1241" s="1">
        <f>_xlfn.IFNA(VLOOKUP('Comp X - Kilter'!B1241,'Kilter Holds'!$P$36:$AB$370,11,0),0)</f>
        <v>0</v>
      </c>
      <c r="G1241" s="2">
        <f t="shared" si="145"/>
        <v>0</v>
      </c>
      <c r="H1241" s="2">
        <f t="shared" si="146"/>
        <v>0</v>
      </c>
    </row>
    <row r="1242" spans="2:8">
      <c r="B1242" s="3" t="s">
        <v>3044</v>
      </c>
      <c r="C1242" s="3" t="s">
        <v>3045</v>
      </c>
      <c r="D1242" s="13" t="str">
        <f t="shared" si="144"/>
        <v>18-01</v>
      </c>
      <c r="E1242" s="1">
        <f>_xlfn.IFNA(VLOOKUP('Comp X - Kilter'!B1242,'Kilter Holds'!$P$36:$AB$370,12,0),0)</f>
        <v>0</v>
      </c>
      <c r="G1242" s="2">
        <f t="shared" si="145"/>
        <v>0</v>
      </c>
      <c r="H1242" s="2">
        <f t="shared" si="146"/>
        <v>0</v>
      </c>
    </row>
    <row r="1243" spans="2:8">
      <c r="B1243" s="3" t="s">
        <v>3044</v>
      </c>
      <c r="C1243" s="3" t="s">
        <v>3045</v>
      </c>
      <c r="D1243" s="12" t="str">
        <f t="shared" si="144"/>
        <v>12-01</v>
      </c>
      <c r="E1243" s="1">
        <f>_xlfn.IFNA(VLOOKUP('Comp X - Kilter'!B1243,'Kilter Holds'!$P$36:$AB$370,13,0),0)</f>
        <v>0</v>
      </c>
      <c r="G1243" s="2">
        <f t="shared" si="145"/>
        <v>0</v>
      </c>
      <c r="H1243" s="2">
        <f t="shared" si="146"/>
        <v>0</v>
      </c>
    </row>
    <row r="1244" spans="2:8">
      <c r="B1244" s="3" t="s">
        <v>3046</v>
      </c>
      <c r="C1244" s="3" t="s">
        <v>3047</v>
      </c>
      <c r="D1244" s="5" t="str">
        <f t="shared" si="144"/>
        <v>11-12</v>
      </c>
      <c r="E1244" s="1">
        <f>_xlfn.IFNA(VLOOKUP('Comp X - Kilter'!B1244,'Kilter Holds'!$P$36:$AB$370,5,0),0)</f>
        <v>0</v>
      </c>
      <c r="G1244" s="2">
        <f t="shared" si="145"/>
        <v>0</v>
      </c>
      <c r="H1244" s="2">
        <f t="shared" si="146"/>
        <v>0</v>
      </c>
    </row>
    <row r="1245" spans="2:8">
      <c r="B1245" s="3" t="s">
        <v>3046</v>
      </c>
      <c r="C1245" s="3" t="s">
        <v>3047</v>
      </c>
      <c r="D1245" s="6" t="str">
        <f t="shared" si="144"/>
        <v>14-01</v>
      </c>
      <c r="E1245" s="1">
        <f>_xlfn.IFNA(VLOOKUP('Comp X - Kilter'!B1245,'Kilter Holds'!$P$36:$AB$370,6,0),0)</f>
        <v>0</v>
      </c>
      <c r="G1245" s="2">
        <f t="shared" si="145"/>
        <v>0</v>
      </c>
      <c r="H1245" s="2">
        <f t="shared" si="146"/>
        <v>0</v>
      </c>
    </row>
    <row r="1246" spans="2:8">
      <c r="B1246" s="3" t="s">
        <v>3046</v>
      </c>
      <c r="C1246" s="3" t="s">
        <v>3047</v>
      </c>
      <c r="D1246" s="7" t="str">
        <f t="shared" si="144"/>
        <v>15-12</v>
      </c>
      <c r="E1246" s="1">
        <f>_xlfn.IFNA(VLOOKUP('Comp X - Kilter'!B1246,'Kilter Holds'!$P$36:$AB$370,7,0),0)</f>
        <v>0</v>
      </c>
      <c r="G1246" s="2">
        <f t="shared" si="145"/>
        <v>0</v>
      </c>
      <c r="H1246" s="2">
        <f t="shared" si="146"/>
        <v>0</v>
      </c>
    </row>
    <row r="1247" spans="2:8">
      <c r="B1247" s="3" t="s">
        <v>3046</v>
      </c>
      <c r="C1247" s="3" t="s">
        <v>3047</v>
      </c>
      <c r="D1247" s="8" t="str">
        <f t="shared" si="144"/>
        <v>16-16</v>
      </c>
      <c r="E1247" s="1">
        <f>_xlfn.IFNA(VLOOKUP('Comp X - Kilter'!B1247,'Kilter Holds'!$P$36:$AB$370,8,0),0)</f>
        <v>0</v>
      </c>
      <c r="G1247" s="2">
        <f t="shared" si="145"/>
        <v>0</v>
      </c>
      <c r="H1247" s="2">
        <f t="shared" si="146"/>
        <v>0</v>
      </c>
    </row>
    <row r="1248" spans="2:8">
      <c r="B1248" s="3" t="s">
        <v>3046</v>
      </c>
      <c r="C1248" s="3" t="s">
        <v>3047</v>
      </c>
      <c r="D1248" s="9" t="str">
        <f t="shared" si="144"/>
        <v>13-01</v>
      </c>
      <c r="E1248" s="1">
        <f>_xlfn.IFNA(VLOOKUP('Comp X - Kilter'!B1248,'Kilter Holds'!$P$36:$AB$370,9,0),0)</f>
        <v>5</v>
      </c>
      <c r="G1248" s="2">
        <f t="shared" si="145"/>
        <v>0</v>
      </c>
      <c r="H1248" s="2">
        <f t="shared" si="146"/>
        <v>0</v>
      </c>
    </row>
    <row r="1249" spans="2:8">
      <c r="B1249" s="3" t="s">
        <v>3046</v>
      </c>
      <c r="C1249" s="3" t="s">
        <v>3047</v>
      </c>
      <c r="D1249" s="10" t="str">
        <f t="shared" si="144"/>
        <v>07-13</v>
      </c>
      <c r="E1249" s="1">
        <f>_xlfn.IFNA(VLOOKUP('Comp X - Kilter'!B1249,'Kilter Holds'!$P$36:$AB$370,10,0),0)</f>
        <v>5</v>
      </c>
      <c r="G1249" s="2">
        <f t="shared" si="145"/>
        <v>0</v>
      </c>
      <c r="H1249" s="2">
        <f t="shared" si="146"/>
        <v>0</v>
      </c>
    </row>
    <row r="1250" spans="2:8">
      <c r="B1250" s="3" t="s">
        <v>3046</v>
      </c>
      <c r="C1250" s="3" t="s">
        <v>3047</v>
      </c>
      <c r="D1250" s="11" t="str">
        <f t="shared" si="144"/>
        <v>11-25</v>
      </c>
      <c r="E1250" s="1">
        <f>_xlfn.IFNA(VLOOKUP('Comp X - Kilter'!B1250,'Kilter Holds'!$P$36:$AB$370,11,0),0)</f>
        <v>0</v>
      </c>
      <c r="G1250" s="2">
        <f t="shared" si="145"/>
        <v>0</v>
      </c>
      <c r="H1250" s="2">
        <f t="shared" si="146"/>
        <v>0</v>
      </c>
    </row>
    <row r="1251" spans="2:8">
      <c r="B1251" s="3" t="s">
        <v>3046</v>
      </c>
      <c r="C1251" s="3" t="s">
        <v>3047</v>
      </c>
      <c r="D1251" s="13" t="str">
        <f t="shared" si="144"/>
        <v>18-01</v>
      </c>
      <c r="E1251" s="1">
        <f>_xlfn.IFNA(VLOOKUP('Comp X - Kilter'!B1251,'Kilter Holds'!$P$36:$AB$370,12,0),0)</f>
        <v>0</v>
      </c>
      <c r="G1251" s="2">
        <f t="shared" si="145"/>
        <v>0</v>
      </c>
      <c r="H1251" s="2">
        <f t="shared" si="146"/>
        <v>0</v>
      </c>
    </row>
    <row r="1252" spans="2:8">
      <c r="B1252" s="3" t="s">
        <v>3046</v>
      </c>
      <c r="C1252" s="3" t="s">
        <v>3047</v>
      </c>
      <c r="D1252" s="12" t="str">
        <f t="shared" si="144"/>
        <v>12-01</v>
      </c>
      <c r="E1252" s="1">
        <f>_xlfn.IFNA(VLOOKUP('Comp X - Kilter'!B1252,'Kilter Holds'!$P$36:$AB$370,13,0),0)</f>
        <v>0</v>
      </c>
      <c r="G1252" s="2">
        <f t="shared" si="145"/>
        <v>0</v>
      </c>
      <c r="H1252" s="2">
        <f t="shared" si="146"/>
        <v>0</v>
      </c>
    </row>
    <row r="1253" spans="2:8">
      <c r="B1253" s="3" t="s">
        <v>3048</v>
      </c>
      <c r="C1253" s="3" t="s">
        <v>3049</v>
      </c>
      <c r="D1253" s="5" t="str">
        <f t="shared" si="144"/>
        <v>11-12</v>
      </c>
      <c r="E1253" s="1">
        <f>_xlfn.IFNA(VLOOKUP('Comp X - Kilter'!B1253,'Kilter Holds'!$P$36:$AB$370,5,0),0)</f>
        <v>0</v>
      </c>
      <c r="G1253" s="2">
        <f t="shared" si="145"/>
        <v>0</v>
      </c>
      <c r="H1253" s="2">
        <f t="shared" si="146"/>
        <v>0</v>
      </c>
    </row>
    <row r="1254" spans="2:8">
      <c r="B1254" s="3" t="s">
        <v>3048</v>
      </c>
      <c r="C1254" s="3" t="s">
        <v>3049</v>
      </c>
      <c r="D1254" s="6" t="str">
        <f t="shared" si="144"/>
        <v>14-01</v>
      </c>
      <c r="E1254" s="1">
        <f>_xlfn.IFNA(VLOOKUP('Comp X - Kilter'!B1254,'Kilter Holds'!$P$36:$AB$370,6,0),0)</f>
        <v>0</v>
      </c>
      <c r="G1254" s="2">
        <f t="shared" si="145"/>
        <v>0</v>
      </c>
      <c r="H1254" s="2">
        <f t="shared" si="146"/>
        <v>0</v>
      </c>
    </row>
    <row r="1255" spans="2:8">
      <c r="B1255" s="3" t="s">
        <v>3048</v>
      </c>
      <c r="C1255" s="3" t="s">
        <v>3049</v>
      </c>
      <c r="D1255" s="7" t="str">
        <f t="shared" si="144"/>
        <v>15-12</v>
      </c>
      <c r="E1255" s="1">
        <f>_xlfn.IFNA(VLOOKUP('Comp X - Kilter'!B1255,'Kilter Holds'!$P$36:$AB$370,7,0),0)</f>
        <v>0</v>
      </c>
      <c r="G1255" s="2">
        <f t="shared" si="145"/>
        <v>0</v>
      </c>
      <c r="H1255" s="2">
        <f t="shared" si="146"/>
        <v>0</v>
      </c>
    </row>
    <row r="1256" spans="2:8">
      <c r="B1256" s="3" t="s">
        <v>3048</v>
      </c>
      <c r="C1256" s="3" t="s">
        <v>3049</v>
      </c>
      <c r="D1256" s="8" t="str">
        <f t="shared" si="144"/>
        <v>16-16</v>
      </c>
      <c r="E1256" s="1">
        <f>_xlfn.IFNA(VLOOKUP('Comp X - Kilter'!B1256,'Kilter Holds'!$P$36:$AB$370,8,0),0)</f>
        <v>0</v>
      </c>
      <c r="G1256" s="2">
        <f t="shared" si="145"/>
        <v>0</v>
      </c>
      <c r="H1256" s="2">
        <f t="shared" si="146"/>
        <v>0</v>
      </c>
    </row>
    <row r="1257" spans="2:8">
      <c r="B1257" s="3" t="s">
        <v>3048</v>
      </c>
      <c r="C1257" s="3" t="s">
        <v>3049</v>
      </c>
      <c r="D1257" s="9" t="str">
        <f t="shared" si="144"/>
        <v>13-01</v>
      </c>
      <c r="E1257" s="1">
        <f>_xlfn.IFNA(VLOOKUP('Comp X - Kilter'!B1257,'Kilter Holds'!$P$36:$AB$370,9,0),0)</f>
        <v>4</v>
      </c>
      <c r="G1257" s="2">
        <f t="shared" si="145"/>
        <v>0</v>
      </c>
      <c r="H1257" s="2">
        <f t="shared" si="146"/>
        <v>0</v>
      </c>
    </row>
    <row r="1258" spans="2:8">
      <c r="B1258" s="3" t="s">
        <v>3048</v>
      </c>
      <c r="C1258" s="3" t="s">
        <v>3049</v>
      </c>
      <c r="D1258" s="10" t="str">
        <f t="shared" si="144"/>
        <v>07-13</v>
      </c>
      <c r="E1258" s="1">
        <f>_xlfn.IFNA(VLOOKUP('Comp X - Kilter'!B1258,'Kilter Holds'!$P$36:$AB$370,10,0),0)</f>
        <v>5</v>
      </c>
      <c r="G1258" s="2">
        <f t="shared" si="145"/>
        <v>0</v>
      </c>
      <c r="H1258" s="2">
        <f t="shared" si="146"/>
        <v>0</v>
      </c>
    </row>
    <row r="1259" spans="2:8">
      <c r="B1259" s="3" t="s">
        <v>3048</v>
      </c>
      <c r="C1259" s="3" t="s">
        <v>3049</v>
      </c>
      <c r="D1259" s="11" t="str">
        <f t="shared" si="144"/>
        <v>11-25</v>
      </c>
      <c r="E1259" s="1">
        <f>_xlfn.IFNA(VLOOKUP('Comp X - Kilter'!B1259,'Kilter Holds'!$P$36:$AB$370,11,0),0)</f>
        <v>0</v>
      </c>
      <c r="G1259" s="2">
        <f t="shared" si="145"/>
        <v>0</v>
      </c>
      <c r="H1259" s="2">
        <f t="shared" si="146"/>
        <v>0</v>
      </c>
    </row>
    <row r="1260" spans="2:8">
      <c r="B1260" s="3" t="s">
        <v>3048</v>
      </c>
      <c r="C1260" s="3" t="s">
        <v>3049</v>
      </c>
      <c r="D1260" s="13" t="str">
        <f t="shared" si="144"/>
        <v>18-01</v>
      </c>
      <c r="E1260" s="1">
        <f>_xlfn.IFNA(VLOOKUP('Comp X - Kilter'!B1260,'Kilter Holds'!$P$36:$AB$370,12,0),0)</f>
        <v>0</v>
      </c>
      <c r="G1260" s="2">
        <f t="shared" si="145"/>
        <v>0</v>
      </c>
      <c r="H1260" s="2">
        <f t="shared" si="146"/>
        <v>0</v>
      </c>
    </row>
    <row r="1261" spans="2:8">
      <c r="B1261" s="3" t="s">
        <v>3048</v>
      </c>
      <c r="C1261" s="3" t="s">
        <v>3049</v>
      </c>
      <c r="D1261" s="12" t="str">
        <f t="shared" si="144"/>
        <v>12-01</v>
      </c>
      <c r="E1261" s="1">
        <f>_xlfn.IFNA(VLOOKUP('Comp X - Kilter'!B1261,'Kilter Holds'!$P$36:$AB$370,13,0),0)</f>
        <v>0</v>
      </c>
      <c r="G1261" s="2">
        <f t="shared" si="145"/>
        <v>0</v>
      </c>
      <c r="H1261" s="2">
        <f t="shared" si="146"/>
        <v>0</v>
      </c>
    </row>
    <row r="1262" spans="2:8">
      <c r="B1262" s="3" t="s">
        <v>3039</v>
      </c>
      <c r="C1262" s="3" t="s">
        <v>3050</v>
      </c>
      <c r="D1262" s="5" t="str">
        <f t="shared" si="144"/>
        <v>11-12</v>
      </c>
      <c r="E1262" s="1">
        <f>_xlfn.IFNA(VLOOKUP('Comp X - Kilter'!B1262,'Kilter Holds'!$P$36:$AB$370,5,0),0)</f>
        <v>0</v>
      </c>
      <c r="G1262" s="2">
        <f t="shared" si="145"/>
        <v>0</v>
      </c>
      <c r="H1262" s="2">
        <f t="shared" si="146"/>
        <v>0</v>
      </c>
    </row>
    <row r="1263" spans="2:8">
      <c r="B1263" s="3" t="s">
        <v>3039</v>
      </c>
      <c r="C1263" s="3" t="s">
        <v>3050</v>
      </c>
      <c r="D1263" s="6" t="str">
        <f t="shared" ref="D1263:D1326" si="147">D606</f>
        <v>14-01</v>
      </c>
      <c r="E1263" s="1">
        <f>_xlfn.IFNA(VLOOKUP('Comp X - Kilter'!B1263,'Kilter Holds'!$P$36:$AB$370,6,0),0)</f>
        <v>0</v>
      </c>
      <c r="G1263" s="2">
        <f t="shared" si="145"/>
        <v>0</v>
      </c>
      <c r="H1263" s="2">
        <f t="shared" si="146"/>
        <v>0</v>
      </c>
    </row>
    <row r="1264" spans="2:8">
      <c r="B1264" s="3" t="s">
        <v>3039</v>
      </c>
      <c r="C1264" s="3" t="s">
        <v>3050</v>
      </c>
      <c r="D1264" s="7" t="str">
        <f t="shared" si="147"/>
        <v>15-12</v>
      </c>
      <c r="E1264" s="1">
        <f>_xlfn.IFNA(VLOOKUP('Comp X - Kilter'!B1264,'Kilter Holds'!$P$36:$AB$370,7,0),0)</f>
        <v>5</v>
      </c>
      <c r="G1264" s="2">
        <f t="shared" si="145"/>
        <v>0</v>
      </c>
      <c r="H1264" s="2">
        <f t="shared" si="146"/>
        <v>0</v>
      </c>
    </row>
    <row r="1265" spans="2:8">
      <c r="B1265" s="3" t="s">
        <v>3039</v>
      </c>
      <c r="C1265" s="3" t="s">
        <v>3050</v>
      </c>
      <c r="D1265" s="8" t="str">
        <f t="shared" si="147"/>
        <v>16-16</v>
      </c>
      <c r="E1265" s="1">
        <f>_xlfn.IFNA(VLOOKUP('Comp X - Kilter'!B1265,'Kilter Holds'!$P$36:$AB$370,8,0),0)</f>
        <v>4</v>
      </c>
      <c r="G1265" s="2">
        <f t="shared" si="145"/>
        <v>0</v>
      </c>
      <c r="H1265" s="2">
        <f t="shared" si="146"/>
        <v>0</v>
      </c>
    </row>
    <row r="1266" spans="2:8">
      <c r="B1266" s="3" t="s">
        <v>3039</v>
      </c>
      <c r="C1266" s="3" t="s">
        <v>3050</v>
      </c>
      <c r="D1266" s="9" t="str">
        <f t="shared" si="147"/>
        <v>13-01</v>
      </c>
      <c r="E1266" s="1">
        <f>_xlfn.IFNA(VLOOKUP('Comp X - Kilter'!B1266,'Kilter Holds'!$P$36:$AB$370,9,0),0)</f>
        <v>4</v>
      </c>
      <c r="G1266" s="2">
        <f t="shared" si="145"/>
        <v>0</v>
      </c>
      <c r="H1266" s="2">
        <f t="shared" si="146"/>
        <v>0</v>
      </c>
    </row>
    <row r="1267" spans="2:8">
      <c r="B1267" s="3" t="s">
        <v>3039</v>
      </c>
      <c r="C1267" s="3" t="s">
        <v>3050</v>
      </c>
      <c r="D1267" s="10" t="str">
        <f t="shared" si="147"/>
        <v>07-13</v>
      </c>
      <c r="E1267" s="1">
        <f>_xlfn.IFNA(VLOOKUP('Comp X - Kilter'!B1267,'Kilter Holds'!$P$36:$AB$370,10,0),0)</f>
        <v>0</v>
      </c>
      <c r="G1267" s="2">
        <f t="shared" si="145"/>
        <v>0</v>
      </c>
      <c r="H1267" s="2">
        <f t="shared" si="146"/>
        <v>0</v>
      </c>
    </row>
    <row r="1268" spans="2:8">
      <c r="B1268" s="3" t="s">
        <v>3039</v>
      </c>
      <c r="C1268" s="3" t="s">
        <v>3050</v>
      </c>
      <c r="D1268" s="11" t="str">
        <f t="shared" si="147"/>
        <v>11-25</v>
      </c>
      <c r="E1268" s="1">
        <f>_xlfn.IFNA(VLOOKUP('Comp X - Kilter'!B1268,'Kilter Holds'!$P$36:$AB$370,11,0),0)</f>
        <v>0</v>
      </c>
      <c r="G1268" s="2">
        <f t="shared" si="145"/>
        <v>0</v>
      </c>
      <c r="H1268" s="2">
        <f t="shared" si="146"/>
        <v>0</v>
      </c>
    </row>
    <row r="1269" spans="2:8">
      <c r="B1269" s="3" t="s">
        <v>3039</v>
      </c>
      <c r="C1269" s="3" t="s">
        <v>3050</v>
      </c>
      <c r="D1269" s="13" t="str">
        <f t="shared" si="147"/>
        <v>18-01</v>
      </c>
      <c r="E1269" s="1">
        <f>_xlfn.IFNA(VLOOKUP('Comp X - Kilter'!B1269,'Kilter Holds'!$P$36:$AB$370,12,0),0)</f>
        <v>1</v>
      </c>
      <c r="G1269" s="2">
        <f t="shared" si="145"/>
        <v>0</v>
      </c>
      <c r="H1269" s="2">
        <f t="shared" si="146"/>
        <v>0</v>
      </c>
    </row>
    <row r="1270" spans="2:8">
      <c r="B1270" s="3" t="s">
        <v>3039</v>
      </c>
      <c r="C1270" s="3" t="s">
        <v>3050</v>
      </c>
      <c r="D1270" s="12" t="str">
        <f t="shared" si="147"/>
        <v>12-01</v>
      </c>
      <c r="E1270" s="1">
        <f>_xlfn.IFNA(VLOOKUP('Comp X - Kilter'!B1270,'Kilter Holds'!$P$36:$AB$370,13,0),0)</f>
        <v>0</v>
      </c>
      <c r="G1270" s="2">
        <f t="shared" si="145"/>
        <v>0</v>
      </c>
      <c r="H1270" s="2">
        <f t="shared" si="146"/>
        <v>0</v>
      </c>
    </row>
    <row r="1271" spans="2:8">
      <c r="B1271" s="3" t="s">
        <v>3051</v>
      </c>
      <c r="C1271" s="3" t="s">
        <v>3052</v>
      </c>
      <c r="D1271" s="5" t="str">
        <f t="shared" si="147"/>
        <v>11-12</v>
      </c>
      <c r="E1271" s="1">
        <f>_xlfn.IFNA(VLOOKUP('Comp X - Kilter'!B1271,'Kilter Holds'!$P$36:$AB$370,5,0),0)</f>
        <v>0</v>
      </c>
      <c r="G1271" s="2">
        <f t="shared" si="145"/>
        <v>0</v>
      </c>
      <c r="H1271" s="2">
        <f t="shared" si="146"/>
        <v>0</v>
      </c>
    </row>
    <row r="1272" spans="2:8">
      <c r="B1272" s="3" t="s">
        <v>3051</v>
      </c>
      <c r="C1272" s="3" t="s">
        <v>3052</v>
      </c>
      <c r="D1272" s="6" t="str">
        <f t="shared" si="147"/>
        <v>14-01</v>
      </c>
      <c r="E1272" s="1">
        <f>_xlfn.IFNA(VLOOKUP('Comp X - Kilter'!B1272,'Kilter Holds'!$P$36:$AB$370,6,0),0)</f>
        <v>0</v>
      </c>
      <c r="G1272" s="2">
        <f t="shared" si="145"/>
        <v>0</v>
      </c>
      <c r="H1272" s="2">
        <f t="shared" si="146"/>
        <v>0</v>
      </c>
    </row>
    <row r="1273" spans="2:8">
      <c r="B1273" s="3" t="s">
        <v>3051</v>
      </c>
      <c r="C1273" s="3" t="s">
        <v>3052</v>
      </c>
      <c r="D1273" s="7" t="str">
        <f t="shared" si="147"/>
        <v>15-12</v>
      </c>
      <c r="E1273" s="1">
        <f>_xlfn.IFNA(VLOOKUP('Comp X - Kilter'!B1273,'Kilter Holds'!$P$36:$AB$370,7,0),0)</f>
        <v>0</v>
      </c>
      <c r="G1273" s="2">
        <f t="shared" si="145"/>
        <v>0</v>
      </c>
      <c r="H1273" s="2">
        <f t="shared" si="146"/>
        <v>0</v>
      </c>
    </row>
    <row r="1274" spans="2:8">
      <c r="B1274" s="3" t="s">
        <v>3051</v>
      </c>
      <c r="C1274" s="3" t="s">
        <v>3052</v>
      </c>
      <c r="D1274" s="8" t="str">
        <f t="shared" si="147"/>
        <v>16-16</v>
      </c>
      <c r="E1274" s="1">
        <f>_xlfn.IFNA(VLOOKUP('Comp X - Kilter'!B1274,'Kilter Holds'!$P$36:$AB$370,8,0),0)</f>
        <v>5</v>
      </c>
      <c r="G1274" s="2">
        <f t="shared" si="145"/>
        <v>0</v>
      </c>
      <c r="H1274" s="2">
        <f t="shared" si="146"/>
        <v>0</v>
      </c>
    </row>
    <row r="1275" spans="2:8">
      <c r="B1275" s="3" t="s">
        <v>3051</v>
      </c>
      <c r="C1275" s="3" t="s">
        <v>3052</v>
      </c>
      <c r="D1275" s="9" t="str">
        <f t="shared" si="147"/>
        <v>13-01</v>
      </c>
      <c r="E1275" s="1">
        <f>_xlfn.IFNA(VLOOKUP('Comp X - Kilter'!B1275,'Kilter Holds'!$P$36:$AB$370,9,0),0)</f>
        <v>5</v>
      </c>
      <c r="G1275" s="2">
        <f t="shared" si="145"/>
        <v>0</v>
      </c>
      <c r="H1275" s="2">
        <f t="shared" si="146"/>
        <v>0</v>
      </c>
    </row>
    <row r="1276" spans="2:8">
      <c r="B1276" s="3" t="s">
        <v>3051</v>
      </c>
      <c r="C1276" s="3" t="s">
        <v>3052</v>
      </c>
      <c r="D1276" s="10" t="str">
        <f t="shared" si="147"/>
        <v>07-13</v>
      </c>
      <c r="E1276" s="1">
        <f>_xlfn.IFNA(VLOOKUP('Comp X - Kilter'!B1276,'Kilter Holds'!$P$36:$AB$370,10,0),0)</f>
        <v>0</v>
      </c>
      <c r="G1276" s="2">
        <f t="shared" si="145"/>
        <v>0</v>
      </c>
      <c r="H1276" s="2">
        <f t="shared" si="146"/>
        <v>0</v>
      </c>
    </row>
    <row r="1277" spans="2:8">
      <c r="B1277" s="3" t="s">
        <v>3051</v>
      </c>
      <c r="C1277" s="3" t="s">
        <v>3052</v>
      </c>
      <c r="D1277" s="11" t="str">
        <f t="shared" si="147"/>
        <v>11-25</v>
      </c>
      <c r="E1277" s="1">
        <f>_xlfn.IFNA(VLOOKUP('Comp X - Kilter'!B1277,'Kilter Holds'!$P$36:$AB$370,11,0),0)</f>
        <v>0</v>
      </c>
      <c r="G1277" s="2">
        <f t="shared" si="145"/>
        <v>0</v>
      </c>
      <c r="H1277" s="2">
        <f t="shared" si="146"/>
        <v>0</v>
      </c>
    </row>
    <row r="1278" spans="2:8">
      <c r="B1278" s="3" t="s">
        <v>3051</v>
      </c>
      <c r="C1278" s="3" t="s">
        <v>3052</v>
      </c>
      <c r="D1278" s="13" t="str">
        <f t="shared" si="147"/>
        <v>18-01</v>
      </c>
      <c r="E1278" s="1">
        <f>_xlfn.IFNA(VLOOKUP('Comp X - Kilter'!B1278,'Kilter Holds'!$P$36:$AB$370,12,0),0)</f>
        <v>0</v>
      </c>
      <c r="G1278" s="2">
        <f t="shared" si="145"/>
        <v>0</v>
      </c>
      <c r="H1278" s="2">
        <f t="shared" si="146"/>
        <v>0</v>
      </c>
    </row>
    <row r="1279" spans="2:8">
      <c r="B1279" s="3" t="s">
        <v>3051</v>
      </c>
      <c r="C1279" s="3" t="s">
        <v>3052</v>
      </c>
      <c r="D1279" s="12" t="str">
        <f t="shared" si="147"/>
        <v>12-01</v>
      </c>
      <c r="E1279" s="1">
        <f>_xlfn.IFNA(VLOOKUP('Comp X - Kilter'!B1279,'Kilter Holds'!$P$36:$AB$370,13,0),0)</f>
        <v>0</v>
      </c>
      <c r="G1279" s="2">
        <f t="shared" si="145"/>
        <v>0</v>
      </c>
      <c r="H1279" s="2">
        <f t="shared" si="146"/>
        <v>0</v>
      </c>
    </row>
    <row r="1280" spans="2:8">
      <c r="B1280" s="3" t="s">
        <v>3053</v>
      </c>
      <c r="C1280" s="3" t="s">
        <v>3054</v>
      </c>
      <c r="D1280" s="5" t="str">
        <f t="shared" si="147"/>
        <v>11-12</v>
      </c>
      <c r="E1280" s="1">
        <f>_xlfn.IFNA(VLOOKUP('Comp X - Kilter'!B1280,'Kilter Holds'!$P$36:$AB$370,5,0),0)</f>
        <v>0</v>
      </c>
      <c r="G1280" s="2">
        <f t="shared" si="145"/>
        <v>0</v>
      </c>
      <c r="H1280" s="2">
        <f t="shared" si="146"/>
        <v>0</v>
      </c>
    </row>
    <row r="1281" spans="2:8">
      <c r="B1281" s="3" t="s">
        <v>3053</v>
      </c>
      <c r="C1281" s="3" t="s">
        <v>3054</v>
      </c>
      <c r="D1281" s="6" t="str">
        <f t="shared" si="147"/>
        <v>14-01</v>
      </c>
      <c r="E1281" s="1">
        <f>_xlfn.IFNA(VLOOKUP('Comp X - Kilter'!B1281,'Kilter Holds'!$P$36:$AB$370,6,0),0)</f>
        <v>0</v>
      </c>
      <c r="G1281" s="2">
        <f t="shared" ref="G1281:G1324" si="148">E1281*F1281</f>
        <v>0</v>
      </c>
      <c r="H1281" s="2">
        <f t="shared" ref="H1281:H1324" si="149">IF($S$11="Y",G1281*0.15,0)</f>
        <v>0</v>
      </c>
    </row>
    <row r="1282" spans="2:8">
      <c r="B1282" s="3" t="s">
        <v>3053</v>
      </c>
      <c r="C1282" s="3" t="s">
        <v>3054</v>
      </c>
      <c r="D1282" s="7" t="str">
        <f t="shared" si="147"/>
        <v>15-12</v>
      </c>
      <c r="E1282" s="1">
        <f>_xlfn.IFNA(VLOOKUP('Comp X - Kilter'!B1282,'Kilter Holds'!$P$36:$AB$370,7,0),0)</f>
        <v>5</v>
      </c>
      <c r="G1282" s="2">
        <f t="shared" si="148"/>
        <v>0</v>
      </c>
      <c r="H1282" s="2">
        <f t="shared" si="149"/>
        <v>0</v>
      </c>
    </row>
    <row r="1283" spans="2:8">
      <c r="B1283" s="3" t="s">
        <v>3053</v>
      </c>
      <c r="C1283" s="3" t="s">
        <v>3054</v>
      </c>
      <c r="D1283" s="8" t="str">
        <f t="shared" si="147"/>
        <v>16-16</v>
      </c>
      <c r="E1283" s="1">
        <f>_xlfn.IFNA(VLOOKUP('Comp X - Kilter'!B1283,'Kilter Holds'!$P$36:$AB$370,8,0),0)</f>
        <v>5</v>
      </c>
      <c r="G1283" s="2">
        <f t="shared" si="148"/>
        <v>0</v>
      </c>
      <c r="H1283" s="2">
        <f t="shared" si="149"/>
        <v>0</v>
      </c>
    </row>
    <row r="1284" spans="2:8">
      <c r="B1284" s="3" t="s">
        <v>3053</v>
      </c>
      <c r="C1284" s="3" t="s">
        <v>3054</v>
      </c>
      <c r="D1284" s="9" t="str">
        <f t="shared" si="147"/>
        <v>13-01</v>
      </c>
      <c r="E1284" s="1">
        <f>_xlfn.IFNA(VLOOKUP('Comp X - Kilter'!B1284,'Kilter Holds'!$P$36:$AB$370,9,0),0)</f>
        <v>5</v>
      </c>
      <c r="G1284" s="2">
        <f t="shared" si="148"/>
        <v>0</v>
      </c>
      <c r="H1284" s="2">
        <f t="shared" si="149"/>
        <v>0</v>
      </c>
    </row>
    <row r="1285" spans="2:8">
      <c r="B1285" s="3" t="s">
        <v>3053</v>
      </c>
      <c r="C1285" s="3" t="s">
        <v>3054</v>
      </c>
      <c r="D1285" s="10" t="str">
        <f t="shared" si="147"/>
        <v>07-13</v>
      </c>
      <c r="E1285" s="1">
        <f>_xlfn.IFNA(VLOOKUP('Comp X - Kilter'!B1285,'Kilter Holds'!$P$36:$AB$370,10,0),0)</f>
        <v>0</v>
      </c>
      <c r="G1285" s="2">
        <f t="shared" si="148"/>
        <v>0</v>
      </c>
      <c r="H1285" s="2">
        <f t="shared" si="149"/>
        <v>0</v>
      </c>
    </row>
    <row r="1286" spans="2:8">
      <c r="B1286" s="3" t="s">
        <v>3053</v>
      </c>
      <c r="C1286" s="3" t="s">
        <v>3054</v>
      </c>
      <c r="D1286" s="11" t="str">
        <f t="shared" si="147"/>
        <v>11-25</v>
      </c>
      <c r="E1286" s="1">
        <f>_xlfn.IFNA(VLOOKUP('Comp X - Kilter'!B1286,'Kilter Holds'!$P$36:$AB$370,11,0),0)</f>
        <v>0</v>
      </c>
      <c r="G1286" s="2">
        <f t="shared" si="148"/>
        <v>0</v>
      </c>
      <c r="H1286" s="2">
        <f t="shared" si="149"/>
        <v>0</v>
      </c>
    </row>
    <row r="1287" spans="2:8">
      <c r="B1287" s="3" t="s">
        <v>3053</v>
      </c>
      <c r="C1287" s="3" t="s">
        <v>3054</v>
      </c>
      <c r="D1287" s="13" t="str">
        <f t="shared" si="147"/>
        <v>18-01</v>
      </c>
      <c r="E1287" s="1">
        <f>_xlfn.IFNA(VLOOKUP('Comp X - Kilter'!B1287,'Kilter Holds'!$P$36:$AB$370,12,0),0)</f>
        <v>0</v>
      </c>
      <c r="G1287" s="2">
        <f t="shared" si="148"/>
        <v>0</v>
      </c>
      <c r="H1287" s="2">
        <f t="shared" si="149"/>
        <v>0</v>
      </c>
    </row>
    <row r="1288" spans="2:8">
      <c r="B1288" s="3" t="s">
        <v>3053</v>
      </c>
      <c r="C1288" s="3" t="s">
        <v>3054</v>
      </c>
      <c r="D1288" s="12" t="str">
        <f t="shared" si="147"/>
        <v>12-01</v>
      </c>
      <c r="E1288" s="1">
        <f>_xlfn.IFNA(VLOOKUP('Comp X - Kilter'!B1288,'Kilter Holds'!$P$36:$AB$370,13,0),0)</f>
        <v>0</v>
      </c>
      <c r="G1288" s="2">
        <f t="shared" si="148"/>
        <v>0</v>
      </c>
      <c r="H1288" s="2">
        <f t="shared" si="149"/>
        <v>0</v>
      </c>
    </row>
    <row r="1289" spans="2:8">
      <c r="B1289" s="3" t="s">
        <v>3055</v>
      </c>
      <c r="C1289" s="3" t="s">
        <v>3056</v>
      </c>
      <c r="D1289" s="5" t="str">
        <f t="shared" si="147"/>
        <v>11-12</v>
      </c>
      <c r="E1289" s="1">
        <f>_xlfn.IFNA(VLOOKUP('Comp X - Kilter'!B1289,'Kilter Holds'!$P$36:$AB$370,5,0),0)</f>
        <v>0</v>
      </c>
      <c r="G1289" s="2">
        <f t="shared" si="148"/>
        <v>0</v>
      </c>
      <c r="H1289" s="2">
        <f t="shared" si="149"/>
        <v>0</v>
      </c>
    </row>
    <row r="1290" spans="2:8">
      <c r="B1290" s="3" t="s">
        <v>3055</v>
      </c>
      <c r="C1290" s="3" t="s">
        <v>3056</v>
      </c>
      <c r="D1290" s="6" t="str">
        <f t="shared" si="147"/>
        <v>14-01</v>
      </c>
      <c r="E1290" s="1">
        <f>_xlfn.IFNA(VLOOKUP('Comp X - Kilter'!B1290,'Kilter Holds'!$P$36:$AB$370,6,0),0)</f>
        <v>0</v>
      </c>
      <c r="G1290" s="2">
        <f t="shared" si="148"/>
        <v>0</v>
      </c>
      <c r="H1290" s="2">
        <f t="shared" si="149"/>
        <v>0</v>
      </c>
    </row>
    <row r="1291" spans="2:8">
      <c r="B1291" s="3" t="s">
        <v>3055</v>
      </c>
      <c r="C1291" s="3" t="s">
        <v>3056</v>
      </c>
      <c r="D1291" s="7" t="str">
        <f t="shared" si="147"/>
        <v>15-12</v>
      </c>
      <c r="E1291" s="1">
        <f>_xlfn.IFNA(VLOOKUP('Comp X - Kilter'!B1291,'Kilter Holds'!$P$36:$AB$370,7,0),0)</f>
        <v>0</v>
      </c>
      <c r="G1291" s="2">
        <f t="shared" si="148"/>
        <v>0</v>
      </c>
      <c r="H1291" s="2">
        <f t="shared" si="149"/>
        <v>0</v>
      </c>
    </row>
    <row r="1292" spans="2:8">
      <c r="B1292" s="3" t="s">
        <v>3055</v>
      </c>
      <c r="C1292" s="3" t="s">
        <v>3056</v>
      </c>
      <c r="D1292" s="8" t="str">
        <f t="shared" si="147"/>
        <v>16-16</v>
      </c>
      <c r="E1292" s="1">
        <f>_xlfn.IFNA(VLOOKUP('Comp X - Kilter'!B1292,'Kilter Holds'!$P$36:$AB$370,8,0),0)</f>
        <v>5</v>
      </c>
      <c r="G1292" s="2">
        <f t="shared" si="148"/>
        <v>0</v>
      </c>
      <c r="H1292" s="2">
        <f t="shared" si="149"/>
        <v>0</v>
      </c>
    </row>
    <row r="1293" spans="2:8">
      <c r="B1293" s="3" t="s">
        <v>3055</v>
      </c>
      <c r="C1293" s="3" t="s">
        <v>3056</v>
      </c>
      <c r="D1293" s="9" t="str">
        <f t="shared" si="147"/>
        <v>13-01</v>
      </c>
      <c r="E1293" s="1">
        <f>_xlfn.IFNA(VLOOKUP('Comp X - Kilter'!B1293,'Kilter Holds'!$P$36:$AB$370,9,0),0)</f>
        <v>4</v>
      </c>
      <c r="G1293" s="2">
        <f t="shared" si="148"/>
        <v>0</v>
      </c>
      <c r="H1293" s="2">
        <f t="shared" si="149"/>
        <v>0</v>
      </c>
    </row>
    <row r="1294" spans="2:8">
      <c r="B1294" s="3" t="s">
        <v>3055</v>
      </c>
      <c r="C1294" s="3" t="s">
        <v>3056</v>
      </c>
      <c r="D1294" s="10" t="str">
        <f t="shared" si="147"/>
        <v>07-13</v>
      </c>
      <c r="E1294" s="1">
        <f>_xlfn.IFNA(VLOOKUP('Comp X - Kilter'!B1294,'Kilter Holds'!$P$36:$AB$370,10,0),0)</f>
        <v>0</v>
      </c>
      <c r="G1294" s="2">
        <f t="shared" si="148"/>
        <v>0</v>
      </c>
      <c r="H1294" s="2">
        <f t="shared" si="149"/>
        <v>0</v>
      </c>
    </row>
    <row r="1295" spans="2:8">
      <c r="B1295" s="3" t="s">
        <v>3055</v>
      </c>
      <c r="C1295" s="3" t="s">
        <v>3056</v>
      </c>
      <c r="D1295" s="11" t="str">
        <f t="shared" si="147"/>
        <v>11-25</v>
      </c>
      <c r="E1295" s="1">
        <f>_xlfn.IFNA(VLOOKUP('Comp X - Kilter'!B1295,'Kilter Holds'!$P$36:$AB$370,11,0),0)</f>
        <v>0</v>
      </c>
      <c r="G1295" s="2">
        <f t="shared" si="148"/>
        <v>0</v>
      </c>
      <c r="H1295" s="2">
        <f t="shared" si="149"/>
        <v>0</v>
      </c>
    </row>
    <row r="1296" spans="2:8">
      <c r="B1296" s="3" t="s">
        <v>3055</v>
      </c>
      <c r="C1296" s="3" t="s">
        <v>3056</v>
      </c>
      <c r="D1296" s="13" t="str">
        <f t="shared" si="147"/>
        <v>18-01</v>
      </c>
      <c r="E1296" s="1">
        <f>_xlfn.IFNA(VLOOKUP('Comp X - Kilter'!B1296,'Kilter Holds'!$P$36:$AB$370,12,0),0)</f>
        <v>0</v>
      </c>
      <c r="G1296" s="2">
        <f t="shared" si="148"/>
        <v>0</v>
      </c>
      <c r="H1296" s="2">
        <f t="shared" si="149"/>
        <v>0</v>
      </c>
    </row>
    <row r="1297" spans="2:8">
      <c r="B1297" s="3" t="s">
        <v>3055</v>
      </c>
      <c r="C1297" s="3" t="s">
        <v>3056</v>
      </c>
      <c r="D1297" s="12" t="str">
        <f t="shared" si="147"/>
        <v>12-01</v>
      </c>
      <c r="E1297" s="1">
        <f>_xlfn.IFNA(VLOOKUP('Comp X - Kilter'!B1297,'Kilter Holds'!$P$36:$AB$370,13,0),0)</f>
        <v>0</v>
      </c>
      <c r="G1297" s="2">
        <f t="shared" si="148"/>
        <v>0</v>
      </c>
      <c r="H1297" s="2">
        <f t="shared" si="149"/>
        <v>0</v>
      </c>
    </row>
    <row r="1298" spans="2:8">
      <c r="B1298" s="3" t="s">
        <v>3057</v>
      </c>
      <c r="C1298" s="3" t="s">
        <v>3058</v>
      </c>
      <c r="D1298" s="5" t="str">
        <f t="shared" si="147"/>
        <v>11-12</v>
      </c>
      <c r="E1298" s="1">
        <f>_xlfn.IFNA(VLOOKUP('Comp X - Kilter'!B1298,'Kilter Holds'!$P$36:$AB$370,5,0),0)</f>
        <v>5</v>
      </c>
      <c r="G1298" s="2">
        <f t="shared" si="148"/>
        <v>0</v>
      </c>
      <c r="H1298" s="2">
        <f t="shared" si="149"/>
        <v>0</v>
      </c>
    </row>
    <row r="1299" spans="2:8">
      <c r="B1299" s="3" t="s">
        <v>3057</v>
      </c>
      <c r="C1299" s="3" t="s">
        <v>3058</v>
      </c>
      <c r="D1299" s="6" t="str">
        <f t="shared" si="147"/>
        <v>14-01</v>
      </c>
      <c r="E1299" s="1">
        <f>_xlfn.IFNA(VLOOKUP('Comp X - Kilter'!B1299,'Kilter Holds'!$P$36:$AB$370,6,0),0)</f>
        <v>0</v>
      </c>
      <c r="G1299" s="2">
        <f t="shared" si="148"/>
        <v>0</v>
      </c>
      <c r="H1299" s="2">
        <f t="shared" si="149"/>
        <v>0</v>
      </c>
    </row>
    <row r="1300" spans="2:8">
      <c r="B1300" s="3" t="s">
        <v>3057</v>
      </c>
      <c r="C1300" s="3" t="s">
        <v>3058</v>
      </c>
      <c r="D1300" s="7" t="str">
        <f t="shared" si="147"/>
        <v>15-12</v>
      </c>
      <c r="E1300" s="1">
        <f>_xlfn.IFNA(VLOOKUP('Comp X - Kilter'!B1300,'Kilter Holds'!$P$36:$AB$370,7,0),0)</f>
        <v>5</v>
      </c>
      <c r="G1300" s="2">
        <f t="shared" si="148"/>
        <v>0</v>
      </c>
      <c r="H1300" s="2">
        <f t="shared" si="149"/>
        <v>0</v>
      </c>
    </row>
    <row r="1301" spans="2:8">
      <c r="B1301" s="3" t="s">
        <v>3057</v>
      </c>
      <c r="C1301" s="3" t="s">
        <v>3058</v>
      </c>
      <c r="D1301" s="8" t="str">
        <f t="shared" si="147"/>
        <v>16-16</v>
      </c>
      <c r="E1301" s="1">
        <f>_xlfn.IFNA(VLOOKUP('Comp X - Kilter'!B1301,'Kilter Holds'!$P$36:$AB$370,8,0),0)</f>
        <v>4</v>
      </c>
      <c r="G1301" s="2">
        <f t="shared" si="148"/>
        <v>0</v>
      </c>
      <c r="H1301" s="2">
        <f t="shared" si="149"/>
        <v>0</v>
      </c>
    </row>
    <row r="1302" spans="2:8">
      <c r="B1302" s="3" t="s">
        <v>3057</v>
      </c>
      <c r="C1302" s="3" t="s">
        <v>3058</v>
      </c>
      <c r="D1302" s="9" t="str">
        <f t="shared" si="147"/>
        <v>13-01</v>
      </c>
      <c r="E1302" s="1">
        <f>_xlfn.IFNA(VLOOKUP('Comp X - Kilter'!B1302,'Kilter Holds'!$P$36:$AB$370,9,0),0)</f>
        <v>4</v>
      </c>
      <c r="G1302" s="2">
        <f t="shared" si="148"/>
        <v>0</v>
      </c>
      <c r="H1302" s="2">
        <f t="shared" si="149"/>
        <v>0</v>
      </c>
    </row>
    <row r="1303" spans="2:8">
      <c r="B1303" s="3" t="s">
        <v>3057</v>
      </c>
      <c r="C1303" s="3" t="s">
        <v>3058</v>
      </c>
      <c r="D1303" s="10" t="str">
        <f t="shared" si="147"/>
        <v>07-13</v>
      </c>
      <c r="E1303" s="1">
        <f>_xlfn.IFNA(VLOOKUP('Comp X - Kilter'!B1303,'Kilter Holds'!$P$36:$AB$370,10,0),0)</f>
        <v>4</v>
      </c>
      <c r="G1303" s="2">
        <f t="shared" si="148"/>
        <v>0</v>
      </c>
      <c r="H1303" s="2">
        <f t="shared" si="149"/>
        <v>0</v>
      </c>
    </row>
    <row r="1304" spans="2:8">
      <c r="B1304" s="3" t="s">
        <v>3057</v>
      </c>
      <c r="C1304" s="3" t="s">
        <v>3058</v>
      </c>
      <c r="D1304" s="11" t="str">
        <f t="shared" si="147"/>
        <v>11-25</v>
      </c>
      <c r="E1304" s="1">
        <f>_xlfn.IFNA(VLOOKUP('Comp X - Kilter'!B1304,'Kilter Holds'!$P$36:$AB$370,11,0),0)</f>
        <v>0</v>
      </c>
      <c r="G1304" s="2">
        <f t="shared" si="148"/>
        <v>0</v>
      </c>
      <c r="H1304" s="2">
        <f t="shared" si="149"/>
        <v>0</v>
      </c>
    </row>
    <row r="1305" spans="2:8">
      <c r="B1305" s="3" t="s">
        <v>3057</v>
      </c>
      <c r="C1305" s="3" t="s">
        <v>3058</v>
      </c>
      <c r="D1305" s="13" t="str">
        <f t="shared" si="147"/>
        <v>18-01</v>
      </c>
      <c r="E1305" s="1">
        <f>_xlfn.IFNA(VLOOKUP('Comp X - Kilter'!B1305,'Kilter Holds'!$P$36:$AB$370,12,0),0)</f>
        <v>0</v>
      </c>
      <c r="G1305" s="2">
        <f t="shared" si="148"/>
        <v>0</v>
      </c>
      <c r="H1305" s="2">
        <f t="shared" si="149"/>
        <v>0</v>
      </c>
    </row>
    <row r="1306" spans="2:8">
      <c r="B1306" s="3" t="s">
        <v>3057</v>
      </c>
      <c r="C1306" s="3" t="s">
        <v>3058</v>
      </c>
      <c r="D1306" s="12" t="str">
        <f t="shared" si="147"/>
        <v>12-01</v>
      </c>
      <c r="E1306" s="1">
        <f>_xlfn.IFNA(VLOOKUP('Comp X - Kilter'!B1306,'Kilter Holds'!$P$36:$AB$370,13,0),0)</f>
        <v>0</v>
      </c>
      <c r="G1306" s="2">
        <f t="shared" si="148"/>
        <v>0</v>
      </c>
      <c r="H1306" s="2">
        <f t="shared" si="149"/>
        <v>0</v>
      </c>
    </row>
    <row r="1307" spans="2:8">
      <c r="B1307" s="3" t="s">
        <v>3059</v>
      </c>
      <c r="C1307" s="3" t="s">
        <v>3060</v>
      </c>
      <c r="D1307" s="5" t="str">
        <f t="shared" si="147"/>
        <v>11-12</v>
      </c>
      <c r="E1307" s="1">
        <f>_xlfn.IFNA(VLOOKUP('Comp X - Kilter'!B1307,'Kilter Holds'!$P$36:$AB$370,5,0),0)</f>
        <v>0</v>
      </c>
      <c r="G1307" s="2">
        <f t="shared" si="148"/>
        <v>0</v>
      </c>
      <c r="H1307" s="2">
        <f t="shared" si="149"/>
        <v>0</v>
      </c>
    </row>
    <row r="1308" spans="2:8">
      <c r="B1308" s="3" t="s">
        <v>3059</v>
      </c>
      <c r="C1308" s="3" t="s">
        <v>3060</v>
      </c>
      <c r="D1308" s="6" t="str">
        <f t="shared" si="147"/>
        <v>14-01</v>
      </c>
      <c r="E1308" s="1">
        <f>_xlfn.IFNA(VLOOKUP('Comp X - Kilter'!B1308,'Kilter Holds'!$P$36:$AB$370,6,0),0)</f>
        <v>0</v>
      </c>
      <c r="G1308" s="2">
        <f t="shared" si="148"/>
        <v>0</v>
      </c>
      <c r="H1308" s="2">
        <f t="shared" si="149"/>
        <v>0</v>
      </c>
    </row>
    <row r="1309" spans="2:8">
      <c r="B1309" s="3" t="s">
        <v>3059</v>
      </c>
      <c r="C1309" s="3" t="s">
        <v>3060</v>
      </c>
      <c r="D1309" s="7" t="str">
        <f t="shared" si="147"/>
        <v>15-12</v>
      </c>
      <c r="E1309" s="1">
        <f>_xlfn.IFNA(VLOOKUP('Comp X - Kilter'!B1309,'Kilter Holds'!$P$36:$AB$370,7,0),0)</f>
        <v>5</v>
      </c>
      <c r="G1309" s="2">
        <f t="shared" si="148"/>
        <v>0</v>
      </c>
      <c r="H1309" s="2">
        <f t="shared" si="149"/>
        <v>0</v>
      </c>
    </row>
    <row r="1310" spans="2:8">
      <c r="B1310" s="3" t="s">
        <v>3059</v>
      </c>
      <c r="C1310" s="3" t="s">
        <v>3060</v>
      </c>
      <c r="D1310" s="8" t="str">
        <f t="shared" si="147"/>
        <v>16-16</v>
      </c>
      <c r="E1310" s="1">
        <f>_xlfn.IFNA(VLOOKUP('Comp X - Kilter'!B1310,'Kilter Holds'!$P$36:$AB$370,8,0),0)</f>
        <v>0</v>
      </c>
      <c r="G1310" s="2">
        <f t="shared" si="148"/>
        <v>0</v>
      </c>
      <c r="H1310" s="2">
        <f t="shared" si="149"/>
        <v>0</v>
      </c>
    </row>
    <row r="1311" spans="2:8">
      <c r="B1311" s="3" t="s">
        <v>3059</v>
      </c>
      <c r="C1311" s="3" t="s">
        <v>3060</v>
      </c>
      <c r="D1311" s="9" t="str">
        <f t="shared" si="147"/>
        <v>13-01</v>
      </c>
      <c r="E1311" s="1">
        <f>_xlfn.IFNA(VLOOKUP('Comp X - Kilter'!B1311,'Kilter Holds'!$P$36:$AB$370,9,0),0)</f>
        <v>4</v>
      </c>
      <c r="G1311" s="2">
        <f t="shared" si="148"/>
        <v>0</v>
      </c>
      <c r="H1311" s="2">
        <f t="shared" si="149"/>
        <v>0</v>
      </c>
    </row>
    <row r="1312" spans="2:8">
      <c r="B1312" s="3" t="s">
        <v>3059</v>
      </c>
      <c r="C1312" s="3" t="s">
        <v>3060</v>
      </c>
      <c r="D1312" s="10" t="str">
        <f t="shared" si="147"/>
        <v>07-13</v>
      </c>
      <c r="E1312" s="1">
        <f>_xlfn.IFNA(VLOOKUP('Comp X - Kilter'!B1312,'Kilter Holds'!$P$36:$AB$370,10,0),0)</f>
        <v>0</v>
      </c>
      <c r="G1312" s="2">
        <f t="shared" si="148"/>
        <v>0</v>
      </c>
      <c r="H1312" s="2">
        <f t="shared" si="149"/>
        <v>0</v>
      </c>
    </row>
    <row r="1313" spans="2:8">
      <c r="B1313" s="3" t="s">
        <v>3059</v>
      </c>
      <c r="C1313" s="3" t="s">
        <v>3060</v>
      </c>
      <c r="D1313" s="11" t="str">
        <f t="shared" si="147"/>
        <v>11-25</v>
      </c>
      <c r="E1313" s="1">
        <f>_xlfn.IFNA(VLOOKUP('Comp X - Kilter'!B1313,'Kilter Holds'!$P$36:$AB$370,11,0),0)</f>
        <v>0</v>
      </c>
      <c r="G1313" s="2">
        <f t="shared" si="148"/>
        <v>0</v>
      </c>
      <c r="H1313" s="2">
        <f t="shared" si="149"/>
        <v>0</v>
      </c>
    </row>
    <row r="1314" spans="2:8">
      <c r="B1314" s="3" t="s">
        <v>3059</v>
      </c>
      <c r="C1314" s="3" t="s">
        <v>3060</v>
      </c>
      <c r="D1314" s="13" t="str">
        <f t="shared" si="147"/>
        <v>18-01</v>
      </c>
      <c r="E1314" s="1">
        <f>_xlfn.IFNA(VLOOKUP('Comp X - Kilter'!B1314,'Kilter Holds'!$P$36:$AB$370,12,0),0)</f>
        <v>0</v>
      </c>
      <c r="G1314" s="2">
        <f t="shared" si="148"/>
        <v>0</v>
      </c>
      <c r="H1314" s="2">
        <f t="shared" si="149"/>
        <v>0</v>
      </c>
    </row>
    <row r="1315" spans="2:8">
      <c r="B1315" s="3" t="s">
        <v>3059</v>
      </c>
      <c r="C1315" s="3" t="s">
        <v>3060</v>
      </c>
      <c r="D1315" s="12" t="str">
        <f t="shared" si="147"/>
        <v>12-01</v>
      </c>
      <c r="E1315" s="1">
        <f>_xlfn.IFNA(VLOOKUP('Comp X - Kilter'!B1315,'Kilter Holds'!$P$36:$AB$370,13,0),0)</f>
        <v>0</v>
      </c>
      <c r="G1315" s="2">
        <f t="shared" si="148"/>
        <v>0</v>
      </c>
      <c r="H1315" s="2">
        <f t="shared" si="149"/>
        <v>0</v>
      </c>
    </row>
    <row r="1316" spans="2:8">
      <c r="B1316" s="3" t="s">
        <v>3061</v>
      </c>
      <c r="C1316" s="3" t="s">
        <v>3062</v>
      </c>
      <c r="D1316" s="5" t="str">
        <f t="shared" si="147"/>
        <v>11-12</v>
      </c>
      <c r="E1316" s="1">
        <f>_xlfn.IFNA(VLOOKUP('Comp X - Kilter'!B1316,'Kilter Holds'!$P$36:$AB$370,5,0),0)</f>
        <v>0</v>
      </c>
      <c r="G1316" s="2">
        <f t="shared" si="148"/>
        <v>0</v>
      </c>
      <c r="H1316" s="2">
        <f t="shared" si="149"/>
        <v>0</v>
      </c>
    </row>
    <row r="1317" spans="2:8">
      <c r="B1317" s="3" t="s">
        <v>3061</v>
      </c>
      <c r="C1317" s="3" t="s">
        <v>3062</v>
      </c>
      <c r="D1317" s="6" t="str">
        <f t="shared" si="147"/>
        <v>14-01</v>
      </c>
      <c r="E1317" s="1">
        <f>_xlfn.IFNA(VLOOKUP('Comp X - Kilter'!B1317,'Kilter Holds'!$P$36:$AB$370,6,0),0)</f>
        <v>0</v>
      </c>
      <c r="G1317" s="2">
        <f t="shared" si="148"/>
        <v>0</v>
      </c>
      <c r="H1317" s="2">
        <f t="shared" si="149"/>
        <v>0</v>
      </c>
    </row>
    <row r="1318" spans="2:8">
      <c r="B1318" s="3" t="s">
        <v>3061</v>
      </c>
      <c r="C1318" s="3" t="s">
        <v>3062</v>
      </c>
      <c r="D1318" s="7" t="str">
        <f t="shared" si="147"/>
        <v>15-12</v>
      </c>
      <c r="E1318" s="1">
        <f>_xlfn.IFNA(VLOOKUP('Comp X - Kilter'!B1318,'Kilter Holds'!$P$36:$AB$370,7,0),0)</f>
        <v>0</v>
      </c>
      <c r="G1318" s="2">
        <f t="shared" si="148"/>
        <v>0</v>
      </c>
      <c r="H1318" s="2">
        <f t="shared" si="149"/>
        <v>0</v>
      </c>
    </row>
    <row r="1319" spans="2:8">
      <c r="B1319" s="3" t="s">
        <v>3061</v>
      </c>
      <c r="C1319" s="3" t="s">
        <v>3062</v>
      </c>
      <c r="D1319" s="8" t="str">
        <f t="shared" si="147"/>
        <v>16-16</v>
      </c>
      <c r="E1319" s="1">
        <f>_xlfn.IFNA(VLOOKUP('Comp X - Kilter'!B1319,'Kilter Holds'!$P$36:$AB$370,8,0),0)</f>
        <v>0</v>
      </c>
      <c r="G1319" s="2">
        <f t="shared" si="148"/>
        <v>0</v>
      </c>
      <c r="H1319" s="2">
        <f t="shared" si="149"/>
        <v>0</v>
      </c>
    </row>
    <row r="1320" spans="2:8">
      <c r="B1320" s="3" t="s">
        <v>3061</v>
      </c>
      <c r="C1320" s="3" t="s">
        <v>3062</v>
      </c>
      <c r="D1320" s="9" t="str">
        <f t="shared" si="147"/>
        <v>13-01</v>
      </c>
      <c r="E1320" s="1">
        <f>_xlfn.IFNA(VLOOKUP('Comp X - Kilter'!B1320,'Kilter Holds'!$P$36:$AB$370,9,0),0)</f>
        <v>0</v>
      </c>
      <c r="G1320" s="2">
        <f t="shared" si="148"/>
        <v>0</v>
      </c>
      <c r="H1320" s="2">
        <f t="shared" si="149"/>
        <v>0</v>
      </c>
    </row>
    <row r="1321" spans="2:8">
      <c r="B1321" s="3" t="s">
        <v>3061</v>
      </c>
      <c r="C1321" s="3" t="s">
        <v>3062</v>
      </c>
      <c r="D1321" s="10" t="str">
        <f t="shared" si="147"/>
        <v>07-13</v>
      </c>
      <c r="E1321" s="1">
        <f>_xlfn.IFNA(VLOOKUP('Comp X - Kilter'!B1321,'Kilter Holds'!$P$36:$AB$370,10,0),0)</f>
        <v>0</v>
      </c>
      <c r="G1321" s="2">
        <f t="shared" si="148"/>
        <v>0</v>
      </c>
      <c r="H1321" s="2">
        <f t="shared" si="149"/>
        <v>0</v>
      </c>
    </row>
    <row r="1322" spans="2:8">
      <c r="B1322" s="3" t="s">
        <v>3061</v>
      </c>
      <c r="C1322" s="3" t="s">
        <v>3062</v>
      </c>
      <c r="D1322" s="11" t="str">
        <f t="shared" si="147"/>
        <v>11-25</v>
      </c>
      <c r="E1322" s="1">
        <f>_xlfn.IFNA(VLOOKUP('Comp X - Kilter'!B1322,'Kilter Holds'!$P$36:$AB$370,11,0),0)</f>
        <v>0</v>
      </c>
      <c r="G1322" s="2">
        <f t="shared" si="148"/>
        <v>0</v>
      </c>
      <c r="H1322" s="2">
        <f t="shared" si="149"/>
        <v>0</v>
      </c>
    </row>
    <row r="1323" spans="2:8">
      <c r="B1323" s="3" t="s">
        <v>3061</v>
      </c>
      <c r="C1323" s="3" t="s">
        <v>3062</v>
      </c>
      <c r="D1323" s="13" t="str">
        <f t="shared" si="147"/>
        <v>18-01</v>
      </c>
      <c r="E1323" s="1">
        <f>_xlfn.IFNA(VLOOKUP('Comp X - Kilter'!B1323,'Kilter Holds'!$P$36:$AB$370,12,0),0)</f>
        <v>0</v>
      </c>
      <c r="G1323" s="2">
        <f t="shared" si="148"/>
        <v>0</v>
      </c>
      <c r="H1323" s="2">
        <f t="shared" si="149"/>
        <v>0</v>
      </c>
    </row>
    <row r="1324" spans="2:8">
      <c r="B1324" s="3" t="s">
        <v>3061</v>
      </c>
      <c r="C1324" s="3" t="s">
        <v>3062</v>
      </c>
      <c r="D1324" s="12" t="str">
        <f t="shared" si="147"/>
        <v>12-01</v>
      </c>
      <c r="E1324" s="1">
        <f>_xlfn.IFNA(VLOOKUP('Comp X - Kilter'!B1324,'Kilter Holds'!$P$36:$AB$370,13,0),0)</f>
        <v>0</v>
      </c>
      <c r="G1324" s="2">
        <f t="shared" si="148"/>
        <v>0</v>
      </c>
      <c r="H1324" s="2">
        <f t="shared" si="149"/>
        <v>0</v>
      </c>
    </row>
    <row r="1325" spans="2:8">
      <c r="B1325" s="3" t="s">
        <v>3152</v>
      </c>
      <c r="C1325" s="3" t="s">
        <v>3160</v>
      </c>
      <c r="D1325" s="5" t="str">
        <f t="shared" si="147"/>
        <v>11-12</v>
      </c>
      <c r="E1325" s="1">
        <f>_xlfn.IFNA(VLOOKUP('Comp X - Kilter'!B1325,'Kilter Holds'!$P$36:$AB$370,5,0),0)</f>
        <v>0</v>
      </c>
      <c r="G1325" s="2">
        <f t="shared" ref="G1325:G1333" si="150">E1325*F1325</f>
        <v>0</v>
      </c>
      <c r="H1325" s="2">
        <f t="shared" ref="H1325:H1333" si="151">IF($S$11="Y",G1325*0.15,0)</f>
        <v>0</v>
      </c>
    </row>
    <row r="1326" spans="2:8">
      <c r="B1326" s="3" t="s">
        <v>3152</v>
      </c>
      <c r="C1326" s="3" t="s">
        <v>3160</v>
      </c>
      <c r="D1326" s="6" t="str">
        <f t="shared" si="147"/>
        <v>14-01</v>
      </c>
      <c r="E1326" s="1">
        <f>_xlfn.IFNA(VLOOKUP('Comp X - Kilter'!B1326,'Kilter Holds'!$P$36:$AB$370,6,0),0)</f>
        <v>0</v>
      </c>
      <c r="G1326" s="2">
        <f t="shared" si="150"/>
        <v>0</v>
      </c>
      <c r="H1326" s="2">
        <f t="shared" si="151"/>
        <v>0</v>
      </c>
    </row>
    <row r="1327" spans="2:8">
      <c r="B1327" s="3" t="s">
        <v>3152</v>
      </c>
      <c r="C1327" s="3" t="s">
        <v>3160</v>
      </c>
      <c r="D1327" s="7" t="str">
        <f t="shared" ref="D1327:D1333" si="152">D670</f>
        <v>15-12</v>
      </c>
      <c r="E1327" s="1">
        <f>_xlfn.IFNA(VLOOKUP('Comp X - Kilter'!B1327,'Kilter Holds'!$P$36:$AB$370,7,0),0)</f>
        <v>0</v>
      </c>
      <c r="G1327" s="2">
        <f t="shared" si="150"/>
        <v>0</v>
      </c>
      <c r="H1327" s="2">
        <f t="shared" si="151"/>
        <v>0</v>
      </c>
    </row>
    <row r="1328" spans="2:8">
      <c r="B1328" s="3" t="s">
        <v>3152</v>
      </c>
      <c r="C1328" s="3" t="s">
        <v>3160</v>
      </c>
      <c r="D1328" s="8" t="str">
        <f t="shared" si="152"/>
        <v>16-16</v>
      </c>
      <c r="E1328" s="1">
        <f>_xlfn.IFNA(VLOOKUP('Comp X - Kilter'!B1328,'Kilter Holds'!$P$36:$AB$370,8,0),0)</f>
        <v>0</v>
      </c>
      <c r="G1328" s="2">
        <f t="shared" si="150"/>
        <v>0</v>
      </c>
      <c r="H1328" s="2">
        <f t="shared" si="151"/>
        <v>0</v>
      </c>
    </row>
    <row r="1329" spans="2:8">
      <c r="B1329" s="3" t="s">
        <v>3152</v>
      </c>
      <c r="C1329" s="3" t="s">
        <v>3160</v>
      </c>
      <c r="D1329" s="9" t="str">
        <f t="shared" si="152"/>
        <v>13-01</v>
      </c>
      <c r="E1329" s="1">
        <f>_xlfn.IFNA(VLOOKUP('Comp X - Kilter'!B1329,'Kilter Holds'!$P$36:$AB$370,9,0),0)</f>
        <v>0</v>
      </c>
      <c r="G1329" s="2">
        <f t="shared" si="150"/>
        <v>0</v>
      </c>
      <c r="H1329" s="2">
        <f t="shared" si="151"/>
        <v>0</v>
      </c>
    </row>
    <row r="1330" spans="2:8">
      <c r="B1330" s="3" t="s">
        <v>3152</v>
      </c>
      <c r="C1330" s="3" t="s">
        <v>3160</v>
      </c>
      <c r="D1330" s="10" t="str">
        <f t="shared" si="152"/>
        <v>07-13</v>
      </c>
      <c r="E1330" s="1">
        <f>_xlfn.IFNA(VLOOKUP('Comp X - Kilter'!B1330,'Kilter Holds'!$P$36:$AB$370,10,0),0)</f>
        <v>0</v>
      </c>
      <c r="G1330" s="2">
        <f t="shared" si="150"/>
        <v>0</v>
      </c>
      <c r="H1330" s="2">
        <f t="shared" si="151"/>
        <v>0</v>
      </c>
    </row>
    <row r="1331" spans="2:8">
      <c r="B1331" s="3" t="s">
        <v>3152</v>
      </c>
      <c r="C1331" s="3" t="s">
        <v>3160</v>
      </c>
      <c r="D1331" s="11" t="str">
        <f t="shared" si="152"/>
        <v>11-25</v>
      </c>
      <c r="E1331" s="1">
        <f>_xlfn.IFNA(VLOOKUP('Comp X - Kilter'!B1331,'Kilter Holds'!$P$36:$AB$370,11,0),0)</f>
        <v>0</v>
      </c>
      <c r="G1331" s="2">
        <f t="shared" si="150"/>
        <v>0</v>
      </c>
      <c r="H1331" s="2">
        <f t="shared" si="151"/>
        <v>0</v>
      </c>
    </row>
    <row r="1332" spans="2:8">
      <c r="B1332" s="3" t="s">
        <v>3152</v>
      </c>
      <c r="C1332" s="3" t="s">
        <v>3160</v>
      </c>
      <c r="D1332" s="13" t="str">
        <f t="shared" si="152"/>
        <v>18-01</v>
      </c>
      <c r="E1332" s="1">
        <f>_xlfn.IFNA(VLOOKUP('Comp X - Kilter'!B1332,'Kilter Holds'!$P$36:$AB$370,12,0),0)</f>
        <v>0</v>
      </c>
      <c r="G1332" s="2">
        <f t="shared" si="150"/>
        <v>0</v>
      </c>
      <c r="H1332" s="2">
        <f t="shared" si="151"/>
        <v>0</v>
      </c>
    </row>
    <row r="1333" spans="2:8">
      <c r="B1333" s="3" t="s">
        <v>3152</v>
      </c>
      <c r="C1333" s="3" t="s">
        <v>3160</v>
      </c>
      <c r="D1333" s="12" t="str">
        <f t="shared" si="152"/>
        <v>12-01</v>
      </c>
      <c r="E1333" s="1">
        <f>_xlfn.IFNA(VLOOKUP('Comp X - Kilter'!B1333,'Kilter Holds'!$P$36:$AB$370,13,0),0)</f>
        <v>0</v>
      </c>
      <c r="G1333" s="2">
        <f t="shared" si="150"/>
        <v>0</v>
      </c>
      <c r="H1333" s="2">
        <f t="shared" si="151"/>
        <v>0</v>
      </c>
    </row>
    <row r="1334" spans="2:8">
      <c r="B1334" s="3" t="s">
        <v>3095</v>
      </c>
      <c r="C1334" s="3" t="s">
        <v>3097</v>
      </c>
      <c r="D1334" s="5" t="str">
        <f t="shared" ref="D1334:D1342" si="153">D668</f>
        <v>11-12</v>
      </c>
      <c r="E1334" s="1">
        <f>_xlfn.IFNA(VLOOKUP('Comp X - Kilter'!B1334,'Kilter Holds'!$P$36:$AB$370,5,0),0)</f>
        <v>0</v>
      </c>
      <c r="G1334" s="2">
        <f t="shared" ref="G1334:G1342" si="154">E1334*F1334</f>
        <v>0</v>
      </c>
      <c r="H1334" s="2">
        <f t="shared" ref="H1334:H1342" si="155">IF($S$11="Y",G1334*0.15,0)</f>
        <v>0</v>
      </c>
    </row>
    <row r="1335" spans="2:8">
      <c r="B1335" s="3" t="s">
        <v>3095</v>
      </c>
      <c r="C1335" s="3" t="s">
        <v>3097</v>
      </c>
      <c r="D1335" s="6" t="str">
        <f t="shared" si="153"/>
        <v>14-01</v>
      </c>
      <c r="E1335" s="1">
        <f>_xlfn.IFNA(VLOOKUP('Comp X - Kilter'!B1335,'Kilter Holds'!$P$36:$AB$370,6,0),0)</f>
        <v>0</v>
      </c>
      <c r="G1335" s="2">
        <f t="shared" si="154"/>
        <v>0</v>
      </c>
      <c r="H1335" s="2">
        <f t="shared" si="155"/>
        <v>0</v>
      </c>
    </row>
    <row r="1336" spans="2:8">
      <c r="B1336" s="3" t="s">
        <v>3095</v>
      </c>
      <c r="C1336" s="3" t="s">
        <v>3097</v>
      </c>
      <c r="D1336" s="7" t="str">
        <f t="shared" si="153"/>
        <v>15-12</v>
      </c>
      <c r="E1336" s="1">
        <f>_xlfn.IFNA(VLOOKUP('Comp X - Kilter'!B1336,'Kilter Holds'!$P$36:$AB$370,7,0),0)</f>
        <v>5</v>
      </c>
      <c r="G1336" s="2">
        <f t="shared" si="154"/>
        <v>0</v>
      </c>
      <c r="H1336" s="2">
        <f t="shared" si="155"/>
        <v>0</v>
      </c>
    </row>
    <row r="1337" spans="2:8">
      <c r="B1337" s="3" t="s">
        <v>3095</v>
      </c>
      <c r="C1337" s="3" t="s">
        <v>3097</v>
      </c>
      <c r="D1337" s="8" t="str">
        <f t="shared" si="153"/>
        <v>16-16</v>
      </c>
      <c r="E1337" s="1">
        <f>_xlfn.IFNA(VLOOKUP('Comp X - Kilter'!B1337,'Kilter Holds'!$P$36:$AB$370,8,0),0)</f>
        <v>4</v>
      </c>
      <c r="G1337" s="2">
        <f t="shared" si="154"/>
        <v>0</v>
      </c>
      <c r="H1337" s="2">
        <f t="shared" si="155"/>
        <v>0</v>
      </c>
    </row>
    <row r="1338" spans="2:8">
      <c r="B1338" s="3" t="s">
        <v>3095</v>
      </c>
      <c r="C1338" s="3" t="s">
        <v>3097</v>
      </c>
      <c r="D1338" s="9" t="str">
        <f t="shared" si="153"/>
        <v>13-01</v>
      </c>
      <c r="E1338" s="1">
        <f>_xlfn.IFNA(VLOOKUP('Comp X - Kilter'!B1338,'Kilter Holds'!$P$36:$AB$370,9,0),0)</f>
        <v>3</v>
      </c>
      <c r="G1338" s="2">
        <f t="shared" si="154"/>
        <v>0</v>
      </c>
      <c r="H1338" s="2">
        <f t="shared" si="155"/>
        <v>0</v>
      </c>
    </row>
    <row r="1339" spans="2:8">
      <c r="B1339" s="3" t="s">
        <v>3095</v>
      </c>
      <c r="C1339" s="3" t="s">
        <v>3097</v>
      </c>
      <c r="D1339" s="10" t="str">
        <f t="shared" si="153"/>
        <v>07-13</v>
      </c>
      <c r="E1339" s="1">
        <f>_xlfn.IFNA(VLOOKUP('Comp X - Kilter'!B1339,'Kilter Holds'!$P$36:$AB$370,10,0),0)</f>
        <v>5</v>
      </c>
      <c r="G1339" s="2">
        <f t="shared" si="154"/>
        <v>0</v>
      </c>
      <c r="H1339" s="2">
        <f t="shared" si="155"/>
        <v>0</v>
      </c>
    </row>
    <row r="1340" spans="2:8">
      <c r="B1340" s="3" t="s">
        <v>3095</v>
      </c>
      <c r="C1340" s="3" t="s">
        <v>3097</v>
      </c>
      <c r="D1340" s="11" t="str">
        <f t="shared" si="153"/>
        <v>11-25</v>
      </c>
      <c r="E1340" s="1">
        <f>_xlfn.IFNA(VLOOKUP('Comp X - Kilter'!B1340,'Kilter Holds'!$P$36:$AB$370,11,0),0)</f>
        <v>0</v>
      </c>
      <c r="G1340" s="2">
        <f t="shared" si="154"/>
        <v>0</v>
      </c>
      <c r="H1340" s="2">
        <f t="shared" si="155"/>
        <v>0</v>
      </c>
    </row>
    <row r="1341" spans="2:8">
      <c r="B1341" s="3" t="s">
        <v>3095</v>
      </c>
      <c r="C1341" s="3" t="s">
        <v>3097</v>
      </c>
      <c r="D1341" s="13" t="str">
        <f t="shared" si="153"/>
        <v>18-01</v>
      </c>
      <c r="E1341" s="1">
        <f>_xlfn.IFNA(VLOOKUP('Comp X - Kilter'!B1341,'Kilter Holds'!$P$36:$AB$370,12,0),0)</f>
        <v>0</v>
      </c>
      <c r="G1341" s="2">
        <f t="shared" si="154"/>
        <v>0</v>
      </c>
      <c r="H1341" s="2">
        <f t="shared" si="155"/>
        <v>0</v>
      </c>
    </row>
    <row r="1342" spans="2:8">
      <c r="B1342" s="3" t="s">
        <v>3095</v>
      </c>
      <c r="C1342" s="3" t="s">
        <v>3097</v>
      </c>
      <c r="D1342" s="12" t="str">
        <f t="shared" si="153"/>
        <v>12-01</v>
      </c>
      <c r="E1342" s="1">
        <f>_xlfn.IFNA(VLOOKUP('Comp X - Kilter'!B1342,'Kilter Holds'!$P$36:$AB$370,13,0),0)</f>
        <v>0</v>
      </c>
      <c r="G1342" s="2">
        <f t="shared" si="154"/>
        <v>0</v>
      </c>
      <c r="H1342" s="2">
        <f t="shared" si="155"/>
        <v>0</v>
      </c>
    </row>
    <row r="1343" spans="2:8">
      <c r="B1343" s="3" t="s">
        <v>3063</v>
      </c>
      <c r="C1343" s="3" t="s">
        <v>3064</v>
      </c>
      <c r="D1343" s="5" t="str">
        <f t="shared" ref="D1343:D1378" si="156">D668</f>
        <v>11-12</v>
      </c>
      <c r="E1343" s="1">
        <f>_xlfn.IFNA(VLOOKUP('Comp X - Kilter'!B1343,'Kilter Holds'!$P$36:$AB$370,5,0),0)</f>
        <v>0</v>
      </c>
      <c r="G1343" s="2">
        <f t="shared" ref="G1343:G1513" si="157">E1343*F1343</f>
        <v>0</v>
      </c>
      <c r="H1343" s="2">
        <f t="shared" ref="H1343:H1513" si="158">IF($S$11="Y",G1343*0.15,0)</f>
        <v>0</v>
      </c>
    </row>
    <row r="1344" spans="2:8">
      <c r="B1344" s="3" t="s">
        <v>3063</v>
      </c>
      <c r="C1344" s="3" t="s">
        <v>3064</v>
      </c>
      <c r="D1344" s="6" t="str">
        <f t="shared" si="156"/>
        <v>14-01</v>
      </c>
      <c r="E1344" s="1">
        <f>_xlfn.IFNA(VLOOKUP('Comp X - Kilter'!B1344,'Kilter Holds'!$P$36:$AB$370,6,0),0)</f>
        <v>0</v>
      </c>
      <c r="G1344" s="2">
        <f t="shared" si="157"/>
        <v>0</v>
      </c>
      <c r="H1344" s="2">
        <f t="shared" si="158"/>
        <v>0</v>
      </c>
    </row>
    <row r="1345" spans="2:8">
      <c r="B1345" s="3" t="s">
        <v>3063</v>
      </c>
      <c r="C1345" s="3" t="s">
        <v>3064</v>
      </c>
      <c r="D1345" s="7" t="str">
        <f t="shared" si="156"/>
        <v>15-12</v>
      </c>
      <c r="E1345" s="1">
        <f>_xlfn.IFNA(VLOOKUP('Comp X - Kilter'!B1345,'Kilter Holds'!$P$36:$AB$370,7,0),0)</f>
        <v>5</v>
      </c>
      <c r="G1345" s="2">
        <f t="shared" si="157"/>
        <v>0</v>
      </c>
      <c r="H1345" s="2">
        <f t="shared" si="158"/>
        <v>0</v>
      </c>
    </row>
    <row r="1346" spans="2:8">
      <c r="B1346" s="3" t="s">
        <v>3063</v>
      </c>
      <c r="C1346" s="3" t="s">
        <v>3064</v>
      </c>
      <c r="D1346" s="8" t="str">
        <f t="shared" si="156"/>
        <v>16-16</v>
      </c>
      <c r="E1346" s="1">
        <f>_xlfn.IFNA(VLOOKUP('Comp X - Kilter'!B1346,'Kilter Holds'!$P$36:$AB$370,8,0),0)</f>
        <v>4</v>
      </c>
      <c r="G1346" s="2">
        <f t="shared" si="157"/>
        <v>0</v>
      </c>
      <c r="H1346" s="2">
        <f t="shared" si="158"/>
        <v>0</v>
      </c>
    </row>
    <row r="1347" spans="2:8">
      <c r="B1347" s="3" t="s">
        <v>3063</v>
      </c>
      <c r="C1347" s="3" t="s">
        <v>3064</v>
      </c>
      <c r="D1347" s="9" t="str">
        <f t="shared" si="156"/>
        <v>13-01</v>
      </c>
      <c r="E1347" s="1">
        <f>_xlfn.IFNA(VLOOKUP('Comp X - Kilter'!B1347,'Kilter Holds'!$P$36:$AB$370,9,0),0)</f>
        <v>5</v>
      </c>
      <c r="G1347" s="2">
        <f t="shared" si="157"/>
        <v>0</v>
      </c>
      <c r="H1347" s="2">
        <f t="shared" si="158"/>
        <v>0</v>
      </c>
    </row>
    <row r="1348" spans="2:8">
      <c r="B1348" s="3" t="s">
        <v>3063</v>
      </c>
      <c r="C1348" s="3" t="s">
        <v>3064</v>
      </c>
      <c r="D1348" s="10" t="str">
        <f t="shared" si="156"/>
        <v>07-13</v>
      </c>
      <c r="E1348" s="1">
        <f>_xlfn.IFNA(VLOOKUP('Comp X - Kilter'!B1348,'Kilter Holds'!$P$36:$AB$370,10,0),0)</f>
        <v>0</v>
      </c>
      <c r="G1348" s="2">
        <f t="shared" si="157"/>
        <v>0</v>
      </c>
      <c r="H1348" s="2">
        <f t="shared" si="158"/>
        <v>0</v>
      </c>
    </row>
    <row r="1349" spans="2:8">
      <c r="B1349" s="3" t="s">
        <v>3063</v>
      </c>
      <c r="C1349" s="3" t="s">
        <v>3064</v>
      </c>
      <c r="D1349" s="11" t="str">
        <f t="shared" si="156"/>
        <v>11-25</v>
      </c>
      <c r="E1349" s="1">
        <f>_xlfn.IFNA(VLOOKUP('Comp X - Kilter'!B1349,'Kilter Holds'!$P$36:$AB$370,11,0),0)</f>
        <v>0</v>
      </c>
      <c r="G1349" s="2">
        <f t="shared" si="157"/>
        <v>0</v>
      </c>
      <c r="H1349" s="2">
        <f t="shared" si="158"/>
        <v>0</v>
      </c>
    </row>
    <row r="1350" spans="2:8">
      <c r="B1350" s="3" t="s">
        <v>3063</v>
      </c>
      <c r="C1350" s="3" t="s">
        <v>3064</v>
      </c>
      <c r="D1350" s="13" t="str">
        <f t="shared" si="156"/>
        <v>18-01</v>
      </c>
      <c r="E1350" s="1">
        <f>_xlfn.IFNA(VLOOKUP('Comp X - Kilter'!B1350,'Kilter Holds'!$P$36:$AB$370,12,0),0)</f>
        <v>5</v>
      </c>
      <c r="G1350" s="2">
        <f t="shared" si="157"/>
        <v>0</v>
      </c>
      <c r="H1350" s="2">
        <f t="shared" si="158"/>
        <v>0</v>
      </c>
    </row>
    <row r="1351" spans="2:8">
      <c r="B1351" s="3" t="s">
        <v>3063</v>
      </c>
      <c r="C1351" s="3" t="s">
        <v>3064</v>
      </c>
      <c r="D1351" s="12" t="str">
        <f t="shared" si="156"/>
        <v>12-01</v>
      </c>
      <c r="E1351" s="1">
        <f>_xlfn.IFNA(VLOOKUP('Comp X - Kilter'!B1351,'Kilter Holds'!$P$36:$AB$370,13,0),0)</f>
        <v>0</v>
      </c>
      <c r="G1351" s="2">
        <f t="shared" si="157"/>
        <v>0</v>
      </c>
      <c r="H1351" s="2">
        <f t="shared" si="158"/>
        <v>0</v>
      </c>
    </row>
    <row r="1352" spans="2:8">
      <c r="B1352" s="3" t="s">
        <v>3065</v>
      </c>
      <c r="C1352" s="3" t="s">
        <v>3066</v>
      </c>
      <c r="D1352" s="5" t="str">
        <f t="shared" si="156"/>
        <v>11-12</v>
      </c>
      <c r="E1352" s="1">
        <f>_xlfn.IFNA(VLOOKUP('Comp X - Kilter'!B1352,'Kilter Holds'!$P$36:$AB$370,5,0),0)</f>
        <v>0</v>
      </c>
      <c r="G1352" s="2">
        <f t="shared" si="157"/>
        <v>0</v>
      </c>
      <c r="H1352" s="2">
        <f t="shared" si="158"/>
        <v>0</v>
      </c>
    </row>
    <row r="1353" spans="2:8">
      <c r="B1353" s="3" t="s">
        <v>3065</v>
      </c>
      <c r="C1353" s="3" t="s">
        <v>3066</v>
      </c>
      <c r="D1353" s="6" t="str">
        <f t="shared" si="156"/>
        <v>14-01</v>
      </c>
      <c r="E1353" s="1">
        <f>_xlfn.IFNA(VLOOKUP('Comp X - Kilter'!B1353,'Kilter Holds'!$P$36:$AB$370,6,0),0)</f>
        <v>0</v>
      </c>
      <c r="G1353" s="2">
        <f t="shared" si="157"/>
        <v>0</v>
      </c>
      <c r="H1353" s="2">
        <f t="shared" si="158"/>
        <v>0</v>
      </c>
    </row>
    <row r="1354" spans="2:8">
      <c r="B1354" s="3" t="s">
        <v>3065</v>
      </c>
      <c r="C1354" s="3" t="s">
        <v>3066</v>
      </c>
      <c r="D1354" s="7" t="str">
        <f t="shared" si="156"/>
        <v>15-12</v>
      </c>
      <c r="E1354" s="1">
        <f>_xlfn.IFNA(VLOOKUP('Comp X - Kilter'!B1354,'Kilter Holds'!$P$36:$AB$370,7,0),0)</f>
        <v>5</v>
      </c>
      <c r="G1354" s="2">
        <f t="shared" si="157"/>
        <v>0</v>
      </c>
      <c r="H1354" s="2">
        <f t="shared" si="158"/>
        <v>0</v>
      </c>
    </row>
    <row r="1355" spans="2:8">
      <c r="B1355" s="3" t="s">
        <v>3065</v>
      </c>
      <c r="C1355" s="3" t="s">
        <v>3066</v>
      </c>
      <c r="D1355" s="8" t="str">
        <f t="shared" si="156"/>
        <v>16-16</v>
      </c>
      <c r="E1355" s="1">
        <f>_xlfn.IFNA(VLOOKUP('Comp X - Kilter'!B1355,'Kilter Holds'!$P$36:$AB$370,8,0),0)</f>
        <v>4</v>
      </c>
      <c r="G1355" s="2">
        <f t="shared" si="157"/>
        <v>0</v>
      </c>
      <c r="H1355" s="2">
        <f t="shared" si="158"/>
        <v>0</v>
      </c>
    </row>
    <row r="1356" spans="2:8">
      <c r="B1356" s="3" t="s">
        <v>3065</v>
      </c>
      <c r="C1356" s="3" t="s">
        <v>3066</v>
      </c>
      <c r="D1356" s="9" t="str">
        <f t="shared" si="156"/>
        <v>13-01</v>
      </c>
      <c r="E1356" s="1">
        <f>_xlfn.IFNA(VLOOKUP('Comp X - Kilter'!B1356,'Kilter Holds'!$P$36:$AB$370,9,0),0)</f>
        <v>4</v>
      </c>
      <c r="G1356" s="2">
        <f t="shared" si="157"/>
        <v>0</v>
      </c>
      <c r="H1356" s="2">
        <f t="shared" si="158"/>
        <v>0</v>
      </c>
    </row>
    <row r="1357" spans="2:8">
      <c r="B1357" s="3" t="s">
        <v>3065</v>
      </c>
      <c r="C1357" s="3" t="s">
        <v>3066</v>
      </c>
      <c r="D1357" s="10" t="str">
        <f t="shared" si="156"/>
        <v>07-13</v>
      </c>
      <c r="E1357" s="1">
        <f>_xlfn.IFNA(VLOOKUP('Comp X - Kilter'!B1357,'Kilter Holds'!$P$36:$AB$370,10,0),0)</f>
        <v>5</v>
      </c>
      <c r="G1357" s="2">
        <f t="shared" si="157"/>
        <v>0</v>
      </c>
      <c r="H1357" s="2">
        <f t="shared" si="158"/>
        <v>0</v>
      </c>
    </row>
    <row r="1358" spans="2:8">
      <c r="B1358" s="3" t="s">
        <v>3065</v>
      </c>
      <c r="C1358" s="3" t="s">
        <v>3066</v>
      </c>
      <c r="D1358" s="11" t="str">
        <f t="shared" si="156"/>
        <v>11-25</v>
      </c>
      <c r="E1358" s="1">
        <f>_xlfn.IFNA(VLOOKUP('Comp X - Kilter'!B1358,'Kilter Holds'!$P$36:$AB$370,11,0),0)</f>
        <v>0</v>
      </c>
      <c r="G1358" s="2">
        <f t="shared" si="157"/>
        <v>0</v>
      </c>
      <c r="H1358" s="2">
        <f t="shared" si="158"/>
        <v>0</v>
      </c>
    </row>
    <row r="1359" spans="2:8">
      <c r="B1359" s="3" t="s">
        <v>3065</v>
      </c>
      <c r="C1359" s="3" t="s">
        <v>3066</v>
      </c>
      <c r="D1359" s="13" t="str">
        <f t="shared" si="156"/>
        <v>18-01</v>
      </c>
      <c r="E1359" s="1">
        <f>_xlfn.IFNA(VLOOKUP('Comp X - Kilter'!B1359,'Kilter Holds'!$P$36:$AB$370,12,0),0)</f>
        <v>5</v>
      </c>
      <c r="G1359" s="2">
        <f t="shared" si="157"/>
        <v>0</v>
      </c>
      <c r="H1359" s="2">
        <f t="shared" si="158"/>
        <v>0</v>
      </c>
    </row>
    <row r="1360" spans="2:8">
      <c r="B1360" s="3" t="s">
        <v>3065</v>
      </c>
      <c r="C1360" s="3" t="s">
        <v>3066</v>
      </c>
      <c r="D1360" s="12" t="str">
        <f t="shared" si="156"/>
        <v>12-01</v>
      </c>
      <c r="E1360" s="1">
        <f>_xlfn.IFNA(VLOOKUP('Comp X - Kilter'!B1360,'Kilter Holds'!$P$36:$AB$370,13,0),0)</f>
        <v>0</v>
      </c>
      <c r="G1360" s="2">
        <f t="shared" si="157"/>
        <v>0</v>
      </c>
      <c r="H1360" s="2">
        <f t="shared" si="158"/>
        <v>0</v>
      </c>
    </row>
    <row r="1361" spans="2:8">
      <c r="B1361" s="3" t="s">
        <v>3067</v>
      </c>
      <c r="C1361" s="3" t="s">
        <v>3068</v>
      </c>
      <c r="D1361" s="5" t="str">
        <f t="shared" si="156"/>
        <v>11-12</v>
      </c>
      <c r="E1361" s="1">
        <f>_xlfn.IFNA(VLOOKUP('Comp X - Kilter'!B1361,'Kilter Holds'!$P$36:$AB$370,5,0),0)</f>
        <v>5</v>
      </c>
      <c r="G1361" s="2">
        <f t="shared" ref="G1361:G1369" si="159">E1361*F1361</f>
        <v>0</v>
      </c>
      <c r="H1361" s="2">
        <f t="shared" ref="H1361:H1369" si="160">IF($S$11="Y",G1361*0.15,0)</f>
        <v>0</v>
      </c>
    </row>
    <row r="1362" spans="2:8">
      <c r="B1362" s="3" t="s">
        <v>3067</v>
      </c>
      <c r="C1362" s="3" t="s">
        <v>3068</v>
      </c>
      <c r="D1362" s="6" t="str">
        <f t="shared" si="156"/>
        <v>14-01</v>
      </c>
      <c r="E1362" s="1">
        <f>_xlfn.IFNA(VLOOKUP('Comp X - Kilter'!B1362,'Kilter Holds'!$P$36:$AB$370,6,0),0)</f>
        <v>0</v>
      </c>
      <c r="G1362" s="2">
        <f t="shared" si="159"/>
        <v>0</v>
      </c>
      <c r="H1362" s="2">
        <f t="shared" si="160"/>
        <v>0</v>
      </c>
    </row>
    <row r="1363" spans="2:8">
      <c r="B1363" s="3" t="s">
        <v>3067</v>
      </c>
      <c r="C1363" s="3" t="s">
        <v>3068</v>
      </c>
      <c r="D1363" s="7" t="str">
        <f t="shared" si="156"/>
        <v>15-12</v>
      </c>
      <c r="E1363" s="1">
        <f>_xlfn.IFNA(VLOOKUP('Comp X - Kilter'!B1363,'Kilter Holds'!$P$36:$AB$370,7,0),0)</f>
        <v>5</v>
      </c>
      <c r="G1363" s="2">
        <f t="shared" si="159"/>
        <v>0</v>
      </c>
      <c r="H1363" s="2">
        <f t="shared" si="160"/>
        <v>0</v>
      </c>
    </row>
    <row r="1364" spans="2:8">
      <c r="B1364" s="3" t="s">
        <v>3067</v>
      </c>
      <c r="C1364" s="3" t="s">
        <v>3068</v>
      </c>
      <c r="D1364" s="8" t="str">
        <f t="shared" si="156"/>
        <v>16-16</v>
      </c>
      <c r="E1364" s="1">
        <f>_xlfn.IFNA(VLOOKUP('Comp X - Kilter'!B1364,'Kilter Holds'!$P$36:$AB$370,8,0),0)</f>
        <v>4</v>
      </c>
      <c r="G1364" s="2">
        <f t="shared" si="159"/>
        <v>0</v>
      </c>
      <c r="H1364" s="2">
        <f t="shared" si="160"/>
        <v>0</v>
      </c>
    </row>
    <row r="1365" spans="2:8">
      <c r="B1365" s="3" t="s">
        <v>3067</v>
      </c>
      <c r="C1365" s="3" t="s">
        <v>3068</v>
      </c>
      <c r="D1365" s="9" t="str">
        <f t="shared" si="156"/>
        <v>13-01</v>
      </c>
      <c r="E1365" s="1">
        <f>_xlfn.IFNA(VLOOKUP('Comp X - Kilter'!B1365,'Kilter Holds'!$P$36:$AB$370,9,0),0)</f>
        <v>5</v>
      </c>
      <c r="G1365" s="2">
        <f t="shared" si="159"/>
        <v>0</v>
      </c>
      <c r="H1365" s="2">
        <f t="shared" si="160"/>
        <v>0</v>
      </c>
    </row>
    <row r="1366" spans="2:8">
      <c r="B1366" s="3" t="s">
        <v>3067</v>
      </c>
      <c r="C1366" s="3" t="s">
        <v>3068</v>
      </c>
      <c r="D1366" s="10" t="str">
        <f t="shared" si="156"/>
        <v>07-13</v>
      </c>
      <c r="E1366" s="1">
        <f>_xlfn.IFNA(VLOOKUP('Comp X - Kilter'!B1366,'Kilter Holds'!$P$36:$AB$370,10,0),0)</f>
        <v>0</v>
      </c>
      <c r="G1366" s="2">
        <f t="shared" si="159"/>
        <v>0</v>
      </c>
      <c r="H1366" s="2">
        <f t="shared" si="160"/>
        <v>0</v>
      </c>
    </row>
    <row r="1367" spans="2:8">
      <c r="B1367" s="3" t="s">
        <v>3067</v>
      </c>
      <c r="C1367" s="3" t="s">
        <v>3068</v>
      </c>
      <c r="D1367" s="11" t="str">
        <f t="shared" si="156"/>
        <v>11-25</v>
      </c>
      <c r="E1367" s="1">
        <f>_xlfn.IFNA(VLOOKUP('Comp X - Kilter'!B1367,'Kilter Holds'!$P$36:$AB$370,11,0),0)</f>
        <v>0</v>
      </c>
      <c r="G1367" s="2">
        <f t="shared" si="159"/>
        <v>0</v>
      </c>
      <c r="H1367" s="2">
        <f t="shared" si="160"/>
        <v>0</v>
      </c>
    </row>
    <row r="1368" spans="2:8">
      <c r="B1368" s="3" t="s">
        <v>3067</v>
      </c>
      <c r="C1368" s="3" t="s">
        <v>3068</v>
      </c>
      <c r="D1368" s="13" t="str">
        <f t="shared" si="156"/>
        <v>18-01</v>
      </c>
      <c r="E1368" s="1">
        <f>_xlfn.IFNA(VLOOKUP('Comp X - Kilter'!B1368,'Kilter Holds'!$P$36:$AB$370,12,0),0)</f>
        <v>4</v>
      </c>
      <c r="G1368" s="2">
        <f t="shared" si="159"/>
        <v>0</v>
      </c>
      <c r="H1368" s="2">
        <f t="shared" si="160"/>
        <v>0</v>
      </c>
    </row>
    <row r="1369" spans="2:8">
      <c r="B1369" s="3" t="s">
        <v>3067</v>
      </c>
      <c r="C1369" s="3" t="s">
        <v>3068</v>
      </c>
      <c r="D1369" s="12" t="str">
        <f t="shared" si="156"/>
        <v>12-01</v>
      </c>
      <c r="E1369" s="1">
        <f>_xlfn.IFNA(VLOOKUP('Comp X - Kilter'!B1369,'Kilter Holds'!$P$36:$AB$370,13,0),0)</f>
        <v>0</v>
      </c>
      <c r="G1369" s="2">
        <f t="shared" si="159"/>
        <v>0</v>
      </c>
      <c r="H1369" s="2">
        <f t="shared" si="160"/>
        <v>0</v>
      </c>
    </row>
    <row r="1370" spans="2:8">
      <c r="B1370" s="3" t="s">
        <v>3153</v>
      </c>
      <c r="C1370" s="3" t="s">
        <v>3163</v>
      </c>
      <c r="D1370" s="5" t="str">
        <f t="shared" si="156"/>
        <v>11-12</v>
      </c>
      <c r="E1370" s="1">
        <f>_xlfn.IFNA(VLOOKUP('Comp X - Kilter'!B1370,'Kilter Holds'!$P$36:$AB$370,5,0),0)</f>
        <v>0</v>
      </c>
      <c r="G1370" s="2">
        <f t="shared" ref="G1370:G1378" si="161">E1370*F1370</f>
        <v>0</v>
      </c>
      <c r="H1370" s="2">
        <f t="shared" ref="H1370:H1378" si="162">IF($S$11="Y",G1370*0.15,0)</f>
        <v>0</v>
      </c>
    </row>
    <row r="1371" spans="2:8">
      <c r="B1371" s="3" t="s">
        <v>3153</v>
      </c>
      <c r="C1371" s="3" t="s">
        <v>3163</v>
      </c>
      <c r="D1371" s="6" t="str">
        <f t="shared" si="156"/>
        <v>14-01</v>
      </c>
      <c r="E1371" s="1">
        <f>_xlfn.IFNA(VLOOKUP('Comp X - Kilter'!B1371,'Kilter Holds'!$P$36:$AB$370,6,0),0)</f>
        <v>0</v>
      </c>
      <c r="G1371" s="2">
        <f t="shared" si="161"/>
        <v>0</v>
      </c>
      <c r="H1371" s="2">
        <f t="shared" si="162"/>
        <v>0</v>
      </c>
    </row>
    <row r="1372" spans="2:8">
      <c r="B1372" s="3" t="s">
        <v>3153</v>
      </c>
      <c r="C1372" s="3" t="s">
        <v>3163</v>
      </c>
      <c r="D1372" s="7" t="str">
        <f t="shared" si="156"/>
        <v>15-12</v>
      </c>
      <c r="E1372" s="1">
        <f>_xlfn.IFNA(VLOOKUP('Comp X - Kilter'!B1372,'Kilter Holds'!$P$36:$AB$370,7,0),0)</f>
        <v>0</v>
      </c>
      <c r="G1372" s="2">
        <f t="shared" si="161"/>
        <v>0</v>
      </c>
      <c r="H1372" s="2">
        <f t="shared" si="162"/>
        <v>0</v>
      </c>
    </row>
    <row r="1373" spans="2:8">
      <c r="B1373" s="3" t="s">
        <v>3153</v>
      </c>
      <c r="C1373" s="3" t="s">
        <v>3163</v>
      </c>
      <c r="D1373" s="8" t="str">
        <f t="shared" si="156"/>
        <v>16-16</v>
      </c>
      <c r="E1373" s="1">
        <f>_xlfn.IFNA(VLOOKUP('Comp X - Kilter'!B1373,'Kilter Holds'!$P$36:$AB$370,8,0),0)</f>
        <v>0</v>
      </c>
      <c r="G1373" s="2">
        <f t="shared" si="161"/>
        <v>0</v>
      </c>
      <c r="H1373" s="2">
        <f t="shared" si="162"/>
        <v>0</v>
      </c>
    </row>
    <row r="1374" spans="2:8">
      <c r="B1374" s="3" t="s">
        <v>3153</v>
      </c>
      <c r="C1374" s="3" t="s">
        <v>3163</v>
      </c>
      <c r="D1374" s="9" t="str">
        <f t="shared" si="156"/>
        <v>13-01</v>
      </c>
      <c r="E1374" s="1">
        <f>_xlfn.IFNA(VLOOKUP('Comp X - Kilter'!B1374,'Kilter Holds'!$P$36:$AB$370,9,0),0)</f>
        <v>0</v>
      </c>
      <c r="G1374" s="2">
        <f t="shared" si="161"/>
        <v>0</v>
      </c>
      <c r="H1374" s="2">
        <f t="shared" si="162"/>
        <v>0</v>
      </c>
    </row>
    <row r="1375" spans="2:8">
      <c r="B1375" s="3" t="s">
        <v>3153</v>
      </c>
      <c r="C1375" s="3" t="s">
        <v>3163</v>
      </c>
      <c r="D1375" s="10" t="str">
        <f t="shared" si="156"/>
        <v>07-13</v>
      </c>
      <c r="E1375" s="1">
        <f>_xlfn.IFNA(VLOOKUP('Comp X - Kilter'!B1375,'Kilter Holds'!$P$36:$AB$370,10,0),0)</f>
        <v>0</v>
      </c>
      <c r="G1375" s="2">
        <f t="shared" si="161"/>
        <v>0</v>
      </c>
      <c r="H1375" s="2">
        <f t="shared" si="162"/>
        <v>0</v>
      </c>
    </row>
    <row r="1376" spans="2:8">
      <c r="B1376" s="3" t="s">
        <v>3153</v>
      </c>
      <c r="C1376" s="3" t="s">
        <v>3163</v>
      </c>
      <c r="D1376" s="11" t="str">
        <f t="shared" si="156"/>
        <v>11-25</v>
      </c>
      <c r="E1376" s="1">
        <f>_xlfn.IFNA(VLOOKUP('Comp X - Kilter'!B1376,'Kilter Holds'!$P$36:$AB$370,11,0),0)</f>
        <v>0</v>
      </c>
      <c r="G1376" s="2">
        <f t="shared" si="161"/>
        <v>0</v>
      </c>
      <c r="H1376" s="2">
        <f t="shared" si="162"/>
        <v>0</v>
      </c>
    </row>
    <row r="1377" spans="2:8">
      <c r="B1377" s="3" t="s">
        <v>3153</v>
      </c>
      <c r="C1377" s="3" t="s">
        <v>3163</v>
      </c>
      <c r="D1377" s="13" t="str">
        <f t="shared" si="156"/>
        <v>18-01</v>
      </c>
      <c r="E1377" s="1">
        <f>_xlfn.IFNA(VLOOKUP('Comp X - Kilter'!B1377,'Kilter Holds'!$P$36:$AB$370,12,0),0)</f>
        <v>0</v>
      </c>
      <c r="G1377" s="2">
        <f t="shared" si="161"/>
        <v>0</v>
      </c>
      <c r="H1377" s="2">
        <f t="shared" si="162"/>
        <v>0</v>
      </c>
    </row>
    <row r="1378" spans="2:8">
      <c r="B1378" s="3" t="s">
        <v>3153</v>
      </c>
      <c r="C1378" s="3" t="s">
        <v>3163</v>
      </c>
      <c r="D1378" s="12" t="str">
        <f t="shared" si="156"/>
        <v>12-01</v>
      </c>
      <c r="E1378" s="1">
        <f>_xlfn.IFNA(VLOOKUP('Comp X - Kilter'!B1378,'Kilter Holds'!$P$36:$AB$370,13,0),0)</f>
        <v>0</v>
      </c>
      <c r="G1378" s="2">
        <f t="shared" si="161"/>
        <v>0</v>
      </c>
      <c r="H1378" s="2">
        <f t="shared" si="162"/>
        <v>0</v>
      </c>
    </row>
    <row r="1379" spans="2:8">
      <c r="B1379" s="3" t="s">
        <v>3111</v>
      </c>
      <c r="C1379" s="3" t="s">
        <v>3112</v>
      </c>
      <c r="D1379" s="5" t="str">
        <f t="shared" ref="D1379:D1396" si="163">D695</f>
        <v>11-12</v>
      </c>
      <c r="E1379" s="1">
        <f>_xlfn.IFNA(VLOOKUP('Comp X - Kilter'!B1379,'Kilter Holds'!$P$36:$AB$370,5,0),0)</f>
        <v>0</v>
      </c>
      <c r="G1379" s="2">
        <f t="shared" ref="G1379:G1387" si="164">E1379*F1379</f>
        <v>0</v>
      </c>
      <c r="H1379" s="2">
        <f t="shared" ref="H1379:H1387" si="165">IF($S$11="Y",G1379*0.15,0)</f>
        <v>0</v>
      </c>
    </row>
    <row r="1380" spans="2:8">
      <c r="B1380" s="3" t="s">
        <v>3111</v>
      </c>
      <c r="C1380" s="3" t="s">
        <v>3112</v>
      </c>
      <c r="D1380" s="6" t="str">
        <f t="shared" si="163"/>
        <v>14-01</v>
      </c>
      <c r="E1380" s="1">
        <f>_xlfn.IFNA(VLOOKUP('Comp X - Kilter'!B1380,'Kilter Holds'!$P$36:$AB$370,6,0),0)</f>
        <v>0</v>
      </c>
      <c r="G1380" s="2">
        <f t="shared" si="164"/>
        <v>0</v>
      </c>
      <c r="H1380" s="2">
        <f t="shared" si="165"/>
        <v>0</v>
      </c>
    </row>
    <row r="1381" spans="2:8">
      <c r="B1381" s="3" t="s">
        <v>3111</v>
      </c>
      <c r="C1381" s="3" t="s">
        <v>3112</v>
      </c>
      <c r="D1381" s="7" t="str">
        <f t="shared" si="163"/>
        <v>15-12</v>
      </c>
      <c r="E1381" s="1">
        <f>_xlfn.IFNA(VLOOKUP('Comp X - Kilter'!B1381,'Kilter Holds'!$P$36:$AB$370,7,0),0)</f>
        <v>0</v>
      </c>
      <c r="G1381" s="2">
        <f t="shared" si="164"/>
        <v>0</v>
      </c>
      <c r="H1381" s="2">
        <f t="shared" si="165"/>
        <v>0</v>
      </c>
    </row>
    <row r="1382" spans="2:8">
      <c r="B1382" s="3" t="s">
        <v>3111</v>
      </c>
      <c r="C1382" s="3" t="s">
        <v>3112</v>
      </c>
      <c r="D1382" s="8" t="str">
        <f t="shared" si="163"/>
        <v>16-16</v>
      </c>
      <c r="E1382" s="1">
        <f>_xlfn.IFNA(VLOOKUP('Comp X - Kilter'!B1382,'Kilter Holds'!$P$36:$AB$370,8,0),0)</f>
        <v>0</v>
      </c>
      <c r="G1382" s="2">
        <f t="shared" si="164"/>
        <v>0</v>
      </c>
      <c r="H1382" s="2">
        <f t="shared" si="165"/>
        <v>0</v>
      </c>
    </row>
    <row r="1383" spans="2:8">
      <c r="B1383" s="3" t="s">
        <v>3111</v>
      </c>
      <c r="C1383" s="3" t="s">
        <v>3112</v>
      </c>
      <c r="D1383" s="9" t="str">
        <f t="shared" si="163"/>
        <v>13-01</v>
      </c>
      <c r="E1383" s="1">
        <f>_xlfn.IFNA(VLOOKUP('Comp X - Kilter'!B1383,'Kilter Holds'!$P$36:$AB$370,9,0),0)</f>
        <v>5</v>
      </c>
      <c r="G1383" s="2">
        <f t="shared" si="164"/>
        <v>0</v>
      </c>
      <c r="H1383" s="2">
        <f t="shared" si="165"/>
        <v>0</v>
      </c>
    </row>
    <row r="1384" spans="2:8">
      <c r="B1384" s="3" t="s">
        <v>3111</v>
      </c>
      <c r="C1384" s="3" t="s">
        <v>3112</v>
      </c>
      <c r="D1384" s="10" t="str">
        <f t="shared" si="163"/>
        <v>07-13</v>
      </c>
      <c r="E1384" s="1">
        <f>_xlfn.IFNA(VLOOKUP('Comp X - Kilter'!B1384,'Kilter Holds'!$P$36:$AB$370,10,0),0)</f>
        <v>0</v>
      </c>
      <c r="G1384" s="2">
        <f t="shared" si="164"/>
        <v>0</v>
      </c>
      <c r="H1384" s="2">
        <f t="shared" si="165"/>
        <v>0</v>
      </c>
    </row>
    <row r="1385" spans="2:8">
      <c r="B1385" s="3" t="s">
        <v>3111</v>
      </c>
      <c r="C1385" s="3" t="s">
        <v>3112</v>
      </c>
      <c r="D1385" s="11" t="str">
        <f t="shared" si="163"/>
        <v>11-25</v>
      </c>
      <c r="E1385" s="1">
        <f>_xlfn.IFNA(VLOOKUP('Comp X - Kilter'!B1385,'Kilter Holds'!$P$36:$AB$370,11,0),0)</f>
        <v>0</v>
      </c>
      <c r="G1385" s="2">
        <f t="shared" si="164"/>
        <v>0</v>
      </c>
      <c r="H1385" s="2">
        <f t="shared" si="165"/>
        <v>0</v>
      </c>
    </row>
    <row r="1386" spans="2:8">
      <c r="B1386" s="3" t="s">
        <v>3111</v>
      </c>
      <c r="C1386" s="3" t="s">
        <v>3112</v>
      </c>
      <c r="D1386" s="13" t="str">
        <f t="shared" si="163"/>
        <v>18-01</v>
      </c>
      <c r="E1386" s="1">
        <f>_xlfn.IFNA(VLOOKUP('Comp X - Kilter'!B1386,'Kilter Holds'!$P$36:$AB$370,12,0),0)</f>
        <v>0</v>
      </c>
      <c r="G1386" s="2">
        <f t="shared" si="164"/>
        <v>0</v>
      </c>
      <c r="H1386" s="2">
        <f t="shared" si="165"/>
        <v>0</v>
      </c>
    </row>
    <row r="1387" spans="2:8">
      <c r="B1387" s="3" t="s">
        <v>3111</v>
      </c>
      <c r="C1387" s="3" t="s">
        <v>3112</v>
      </c>
      <c r="D1387" s="12" t="str">
        <f t="shared" si="163"/>
        <v>12-01</v>
      </c>
      <c r="E1387" s="1">
        <f>_xlfn.IFNA(VLOOKUP('Comp X - Kilter'!B1387,'Kilter Holds'!$P$36:$AB$370,13,0),0)</f>
        <v>0</v>
      </c>
      <c r="G1387" s="2">
        <f t="shared" si="164"/>
        <v>0</v>
      </c>
      <c r="H1387" s="2">
        <f t="shared" si="165"/>
        <v>0</v>
      </c>
    </row>
    <row r="1388" spans="2:8">
      <c r="B1388" s="3" t="s">
        <v>3154</v>
      </c>
      <c r="C1388" s="3" t="s">
        <v>3164</v>
      </c>
      <c r="D1388" s="5" t="str">
        <f t="shared" si="163"/>
        <v>11-12</v>
      </c>
      <c r="E1388" s="1">
        <f>_xlfn.IFNA(VLOOKUP('Comp X - Kilter'!B1388,'Kilter Holds'!$P$36:$AB$370,5,0),0)</f>
        <v>0</v>
      </c>
      <c r="G1388" s="2">
        <f t="shared" ref="G1388:G1396" si="166">E1388*F1388</f>
        <v>0</v>
      </c>
      <c r="H1388" s="2">
        <f t="shared" ref="H1388:H1396" si="167">IF($S$11="Y",G1388*0.15,0)</f>
        <v>0</v>
      </c>
    </row>
    <row r="1389" spans="2:8">
      <c r="B1389" s="3" t="s">
        <v>3154</v>
      </c>
      <c r="C1389" s="3" t="s">
        <v>3164</v>
      </c>
      <c r="D1389" s="6" t="str">
        <f t="shared" si="163"/>
        <v>14-01</v>
      </c>
      <c r="E1389" s="1">
        <f>_xlfn.IFNA(VLOOKUP('Comp X - Kilter'!B1389,'Kilter Holds'!$P$36:$AB$370,6,0),0)</f>
        <v>0</v>
      </c>
      <c r="G1389" s="2">
        <f t="shared" si="166"/>
        <v>0</v>
      </c>
      <c r="H1389" s="2">
        <f t="shared" si="167"/>
        <v>0</v>
      </c>
    </row>
    <row r="1390" spans="2:8">
      <c r="B1390" s="3" t="s">
        <v>3154</v>
      </c>
      <c r="C1390" s="3" t="s">
        <v>3164</v>
      </c>
      <c r="D1390" s="7" t="str">
        <f t="shared" si="163"/>
        <v>15-12</v>
      </c>
      <c r="E1390" s="1">
        <f>_xlfn.IFNA(VLOOKUP('Comp X - Kilter'!B1390,'Kilter Holds'!$P$36:$AB$370,7,0),0)</f>
        <v>0</v>
      </c>
      <c r="G1390" s="2">
        <f t="shared" si="166"/>
        <v>0</v>
      </c>
      <c r="H1390" s="2">
        <f t="shared" si="167"/>
        <v>0</v>
      </c>
    </row>
    <row r="1391" spans="2:8">
      <c r="B1391" s="3" t="s">
        <v>3154</v>
      </c>
      <c r="C1391" s="3" t="s">
        <v>3164</v>
      </c>
      <c r="D1391" s="8" t="str">
        <f t="shared" si="163"/>
        <v>16-16</v>
      </c>
      <c r="E1391" s="1">
        <f>_xlfn.IFNA(VLOOKUP('Comp X - Kilter'!B1391,'Kilter Holds'!$P$36:$AB$370,8,0),0)</f>
        <v>0</v>
      </c>
      <c r="G1391" s="2">
        <f t="shared" si="166"/>
        <v>0</v>
      </c>
      <c r="H1391" s="2">
        <f t="shared" si="167"/>
        <v>0</v>
      </c>
    </row>
    <row r="1392" spans="2:8">
      <c r="B1392" s="3" t="s">
        <v>3154</v>
      </c>
      <c r="C1392" s="3" t="s">
        <v>3164</v>
      </c>
      <c r="D1392" s="9" t="str">
        <f t="shared" si="163"/>
        <v>13-01</v>
      </c>
      <c r="E1392" s="1">
        <f>_xlfn.IFNA(VLOOKUP('Comp X - Kilter'!B1392,'Kilter Holds'!$P$36:$AB$370,9,0),0)</f>
        <v>0</v>
      </c>
      <c r="G1392" s="2">
        <f t="shared" si="166"/>
        <v>0</v>
      </c>
      <c r="H1392" s="2">
        <f t="shared" si="167"/>
        <v>0</v>
      </c>
    </row>
    <row r="1393" spans="2:8">
      <c r="B1393" s="3" t="s">
        <v>3154</v>
      </c>
      <c r="C1393" s="3" t="s">
        <v>3164</v>
      </c>
      <c r="D1393" s="10" t="str">
        <f t="shared" si="163"/>
        <v>07-13</v>
      </c>
      <c r="E1393" s="1">
        <f>_xlfn.IFNA(VLOOKUP('Comp X - Kilter'!B1393,'Kilter Holds'!$P$36:$AB$370,10,0),0)</f>
        <v>0</v>
      </c>
      <c r="G1393" s="2">
        <f t="shared" si="166"/>
        <v>0</v>
      </c>
      <c r="H1393" s="2">
        <f t="shared" si="167"/>
        <v>0</v>
      </c>
    </row>
    <row r="1394" spans="2:8">
      <c r="B1394" s="3" t="s">
        <v>3154</v>
      </c>
      <c r="C1394" s="3" t="s">
        <v>3164</v>
      </c>
      <c r="D1394" s="11" t="str">
        <f t="shared" si="163"/>
        <v>11-25</v>
      </c>
      <c r="E1394" s="1">
        <f>_xlfn.IFNA(VLOOKUP('Comp X - Kilter'!B1394,'Kilter Holds'!$P$36:$AB$370,11,0),0)</f>
        <v>0</v>
      </c>
      <c r="G1394" s="2">
        <f t="shared" si="166"/>
        <v>0</v>
      </c>
      <c r="H1394" s="2">
        <f t="shared" si="167"/>
        <v>0</v>
      </c>
    </row>
    <row r="1395" spans="2:8">
      <c r="B1395" s="3" t="s">
        <v>3154</v>
      </c>
      <c r="C1395" s="3" t="s">
        <v>3164</v>
      </c>
      <c r="D1395" s="13" t="str">
        <f t="shared" si="163"/>
        <v>18-01</v>
      </c>
      <c r="E1395" s="1">
        <f>_xlfn.IFNA(VLOOKUP('Comp X - Kilter'!B1395,'Kilter Holds'!$P$36:$AB$370,12,0),0)</f>
        <v>0</v>
      </c>
      <c r="G1395" s="2">
        <f t="shared" si="166"/>
        <v>0</v>
      </c>
      <c r="H1395" s="2">
        <f t="shared" si="167"/>
        <v>0</v>
      </c>
    </row>
    <row r="1396" spans="2:8">
      <c r="B1396" s="3" t="s">
        <v>3154</v>
      </c>
      <c r="C1396" s="3" t="s">
        <v>3164</v>
      </c>
      <c r="D1396" s="12" t="str">
        <f t="shared" si="163"/>
        <v>12-01</v>
      </c>
      <c r="E1396" s="1">
        <f>_xlfn.IFNA(VLOOKUP('Comp X - Kilter'!B1396,'Kilter Holds'!$P$36:$AB$370,13,0),0)</f>
        <v>0</v>
      </c>
      <c r="G1396" s="2">
        <f t="shared" si="166"/>
        <v>0</v>
      </c>
      <c r="H1396" s="2">
        <f t="shared" si="167"/>
        <v>0</v>
      </c>
    </row>
    <row r="1397" spans="2:8">
      <c r="B1397" s="3" t="s">
        <v>3143</v>
      </c>
      <c r="C1397" s="3" t="s">
        <v>3155</v>
      </c>
      <c r="D1397" s="5" t="str">
        <f t="shared" ref="D1397:D1405" si="168">D704</f>
        <v>11-12</v>
      </c>
      <c r="E1397" s="1">
        <f>_xlfn.IFNA(VLOOKUP('Comp X - Kilter'!B1397,'Kilter Holds'!$P$36:$AB$370,5,0),0)</f>
        <v>0</v>
      </c>
      <c r="G1397" s="2">
        <f t="shared" ref="G1397:G1405" si="169">E1397*F1397</f>
        <v>0</v>
      </c>
      <c r="H1397" s="2">
        <f t="shared" ref="H1397:H1405" si="170">IF($S$11="Y",G1397*0.15,0)</f>
        <v>0</v>
      </c>
    </row>
    <row r="1398" spans="2:8">
      <c r="B1398" s="3" t="s">
        <v>3143</v>
      </c>
      <c r="C1398" s="3" t="s">
        <v>3155</v>
      </c>
      <c r="D1398" s="6" t="str">
        <f t="shared" si="168"/>
        <v>14-01</v>
      </c>
      <c r="E1398" s="1">
        <f>_xlfn.IFNA(VLOOKUP('Comp X - Kilter'!B1398,'Kilter Holds'!$P$36:$AB$370,6,0),0)</f>
        <v>0</v>
      </c>
      <c r="G1398" s="2">
        <f t="shared" si="169"/>
        <v>0</v>
      </c>
      <c r="H1398" s="2">
        <f t="shared" si="170"/>
        <v>0</v>
      </c>
    </row>
    <row r="1399" spans="2:8">
      <c r="B1399" s="3" t="s">
        <v>3143</v>
      </c>
      <c r="C1399" s="3" t="s">
        <v>3155</v>
      </c>
      <c r="D1399" s="7" t="str">
        <f t="shared" si="168"/>
        <v>15-12</v>
      </c>
      <c r="E1399" s="1">
        <f>_xlfn.IFNA(VLOOKUP('Comp X - Kilter'!B1399,'Kilter Holds'!$P$36:$AB$370,7,0),0)</f>
        <v>0</v>
      </c>
      <c r="G1399" s="2">
        <f t="shared" si="169"/>
        <v>0</v>
      </c>
      <c r="H1399" s="2">
        <f t="shared" si="170"/>
        <v>0</v>
      </c>
    </row>
    <row r="1400" spans="2:8">
      <c r="B1400" s="3" t="s">
        <v>3143</v>
      </c>
      <c r="C1400" s="3" t="s">
        <v>3155</v>
      </c>
      <c r="D1400" s="8" t="str">
        <f t="shared" si="168"/>
        <v>16-16</v>
      </c>
      <c r="E1400" s="1">
        <f>_xlfn.IFNA(VLOOKUP('Comp X - Kilter'!B1400,'Kilter Holds'!$P$36:$AB$370,8,0),0)</f>
        <v>0</v>
      </c>
      <c r="G1400" s="2">
        <f t="shared" si="169"/>
        <v>0</v>
      </c>
      <c r="H1400" s="2">
        <f t="shared" si="170"/>
        <v>0</v>
      </c>
    </row>
    <row r="1401" spans="2:8">
      <c r="B1401" s="3" t="s">
        <v>3143</v>
      </c>
      <c r="C1401" s="3" t="s">
        <v>3155</v>
      </c>
      <c r="D1401" s="9" t="str">
        <f t="shared" si="168"/>
        <v>13-01</v>
      </c>
      <c r="E1401" s="1">
        <f>_xlfn.IFNA(VLOOKUP('Comp X - Kilter'!B1401,'Kilter Holds'!$P$36:$AB$370,9,0),0)</f>
        <v>1</v>
      </c>
      <c r="G1401" s="2">
        <f t="shared" si="169"/>
        <v>0</v>
      </c>
      <c r="H1401" s="2">
        <f t="shared" si="170"/>
        <v>0</v>
      </c>
    </row>
    <row r="1402" spans="2:8">
      <c r="B1402" s="3" t="s">
        <v>3143</v>
      </c>
      <c r="C1402" s="3" t="s">
        <v>3155</v>
      </c>
      <c r="D1402" s="10" t="str">
        <f t="shared" si="168"/>
        <v>07-13</v>
      </c>
      <c r="E1402" s="1">
        <f>_xlfn.IFNA(VLOOKUP('Comp X - Kilter'!B1402,'Kilter Holds'!$P$36:$AB$370,10,0),0)</f>
        <v>0</v>
      </c>
      <c r="G1402" s="2">
        <f t="shared" si="169"/>
        <v>0</v>
      </c>
      <c r="H1402" s="2">
        <f t="shared" si="170"/>
        <v>0</v>
      </c>
    </row>
    <row r="1403" spans="2:8">
      <c r="B1403" s="3" t="s">
        <v>3143</v>
      </c>
      <c r="C1403" s="3" t="s">
        <v>3155</v>
      </c>
      <c r="D1403" s="11" t="str">
        <f t="shared" si="168"/>
        <v>11-25</v>
      </c>
      <c r="E1403" s="1">
        <f>_xlfn.IFNA(VLOOKUP('Comp X - Kilter'!B1403,'Kilter Holds'!$P$36:$AB$370,11,0),0)</f>
        <v>0</v>
      </c>
      <c r="G1403" s="2">
        <f t="shared" si="169"/>
        <v>0</v>
      </c>
      <c r="H1403" s="2">
        <f t="shared" si="170"/>
        <v>0</v>
      </c>
    </row>
    <row r="1404" spans="2:8">
      <c r="B1404" s="3" t="s">
        <v>3143</v>
      </c>
      <c r="C1404" s="3" t="s">
        <v>3155</v>
      </c>
      <c r="D1404" s="13" t="str">
        <f t="shared" si="168"/>
        <v>18-01</v>
      </c>
      <c r="E1404" s="1">
        <f>_xlfn.IFNA(VLOOKUP('Comp X - Kilter'!B1404,'Kilter Holds'!$P$36:$AB$370,12,0),0)</f>
        <v>0</v>
      </c>
      <c r="G1404" s="2">
        <f t="shared" si="169"/>
        <v>0</v>
      </c>
      <c r="H1404" s="2">
        <f t="shared" si="170"/>
        <v>0</v>
      </c>
    </row>
    <row r="1405" spans="2:8">
      <c r="B1405" s="3" t="s">
        <v>3143</v>
      </c>
      <c r="C1405" s="3" t="s">
        <v>3155</v>
      </c>
      <c r="D1405" s="12" t="str">
        <f t="shared" si="168"/>
        <v>12-01</v>
      </c>
      <c r="E1405" s="1">
        <f>_xlfn.IFNA(VLOOKUP('Comp X - Kilter'!B1405,'Kilter Holds'!$P$36:$AB$370,13,0),0)</f>
        <v>0</v>
      </c>
      <c r="G1405" s="2">
        <f t="shared" si="169"/>
        <v>0</v>
      </c>
      <c r="H1405" s="2">
        <f t="shared" si="170"/>
        <v>0</v>
      </c>
    </row>
    <row r="1406" spans="2:8">
      <c r="B1406" s="3" t="s">
        <v>3125</v>
      </c>
      <c r="C1406" s="3" t="s">
        <v>3126</v>
      </c>
      <c r="D1406" s="5" t="str">
        <f t="shared" ref="D1406:D1414" si="171">D704</f>
        <v>11-12</v>
      </c>
      <c r="E1406" s="1">
        <f>_xlfn.IFNA(VLOOKUP('Comp X - Kilter'!B1406,'Kilter Holds'!$P$36:$AB$370,5,0),0)</f>
        <v>0</v>
      </c>
      <c r="G1406" s="2">
        <f t="shared" ref="G1406:G1414" si="172">E1406*F1406</f>
        <v>0</v>
      </c>
      <c r="H1406" s="2">
        <f t="shared" ref="H1406:H1414" si="173">IF($S$11="Y",G1406*0.15,0)</f>
        <v>0</v>
      </c>
    </row>
    <row r="1407" spans="2:8">
      <c r="B1407" s="3" t="s">
        <v>3125</v>
      </c>
      <c r="C1407" s="3" t="s">
        <v>3126</v>
      </c>
      <c r="D1407" s="6" t="str">
        <f t="shared" si="171"/>
        <v>14-01</v>
      </c>
      <c r="E1407" s="1">
        <f>_xlfn.IFNA(VLOOKUP('Comp X - Kilter'!B1407,'Kilter Holds'!$P$36:$AB$370,6,0),0)</f>
        <v>0</v>
      </c>
      <c r="G1407" s="2">
        <f t="shared" si="172"/>
        <v>0</v>
      </c>
      <c r="H1407" s="2">
        <f t="shared" si="173"/>
        <v>0</v>
      </c>
    </row>
    <row r="1408" spans="2:8">
      <c r="B1408" s="3" t="s">
        <v>3125</v>
      </c>
      <c r="C1408" s="3" t="s">
        <v>3126</v>
      </c>
      <c r="D1408" s="7" t="str">
        <f t="shared" si="171"/>
        <v>15-12</v>
      </c>
      <c r="E1408" s="1">
        <f>_xlfn.IFNA(VLOOKUP('Comp X - Kilter'!B1408,'Kilter Holds'!$P$36:$AB$370,7,0),0)</f>
        <v>0</v>
      </c>
      <c r="G1408" s="2">
        <f t="shared" si="172"/>
        <v>0</v>
      </c>
      <c r="H1408" s="2">
        <f t="shared" si="173"/>
        <v>0</v>
      </c>
    </row>
    <row r="1409" spans="2:8">
      <c r="B1409" s="3" t="s">
        <v>3125</v>
      </c>
      <c r="C1409" s="3" t="s">
        <v>3126</v>
      </c>
      <c r="D1409" s="8" t="str">
        <f t="shared" si="171"/>
        <v>16-16</v>
      </c>
      <c r="E1409" s="1">
        <f>_xlfn.IFNA(VLOOKUP('Comp X - Kilter'!B1409,'Kilter Holds'!$P$36:$AB$370,8,0),0)</f>
        <v>0</v>
      </c>
      <c r="G1409" s="2">
        <f t="shared" si="172"/>
        <v>0</v>
      </c>
      <c r="H1409" s="2">
        <f t="shared" si="173"/>
        <v>0</v>
      </c>
    </row>
    <row r="1410" spans="2:8">
      <c r="B1410" s="3" t="s">
        <v>3125</v>
      </c>
      <c r="C1410" s="3" t="s">
        <v>3126</v>
      </c>
      <c r="D1410" s="9" t="str">
        <f t="shared" si="171"/>
        <v>13-01</v>
      </c>
      <c r="E1410" s="1">
        <f>_xlfn.IFNA(VLOOKUP('Comp X - Kilter'!B1410,'Kilter Holds'!$P$36:$AB$370,9,0),0)</f>
        <v>0</v>
      </c>
      <c r="G1410" s="2">
        <f t="shared" si="172"/>
        <v>0</v>
      </c>
      <c r="H1410" s="2">
        <f t="shared" si="173"/>
        <v>0</v>
      </c>
    </row>
    <row r="1411" spans="2:8">
      <c r="B1411" s="3" t="s">
        <v>3125</v>
      </c>
      <c r="C1411" s="3" t="s">
        <v>3126</v>
      </c>
      <c r="D1411" s="10" t="str">
        <f t="shared" si="171"/>
        <v>07-13</v>
      </c>
      <c r="E1411" s="1">
        <f>_xlfn.IFNA(VLOOKUP('Comp X - Kilter'!B1411,'Kilter Holds'!$P$36:$AB$370,10,0),0)</f>
        <v>0</v>
      </c>
      <c r="G1411" s="2">
        <f t="shared" si="172"/>
        <v>0</v>
      </c>
      <c r="H1411" s="2">
        <f t="shared" si="173"/>
        <v>0</v>
      </c>
    </row>
    <row r="1412" spans="2:8">
      <c r="B1412" s="3" t="s">
        <v>3125</v>
      </c>
      <c r="C1412" s="3" t="s">
        <v>3126</v>
      </c>
      <c r="D1412" s="11" t="str">
        <f t="shared" si="171"/>
        <v>11-25</v>
      </c>
      <c r="E1412" s="1">
        <f>_xlfn.IFNA(VLOOKUP('Comp X - Kilter'!B1412,'Kilter Holds'!$P$36:$AB$370,11,0),0)</f>
        <v>0</v>
      </c>
      <c r="G1412" s="2">
        <f t="shared" si="172"/>
        <v>0</v>
      </c>
      <c r="H1412" s="2">
        <f t="shared" si="173"/>
        <v>0</v>
      </c>
    </row>
    <row r="1413" spans="2:8">
      <c r="B1413" s="3" t="s">
        <v>3125</v>
      </c>
      <c r="C1413" s="3" t="s">
        <v>3126</v>
      </c>
      <c r="D1413" s="13" t="str">
        <f t="shared" si="171"/>
        <v>18-01</v>
      </c>
      <c r="E1413" s="1">
        <f>_xlfn.IFNA(VLOOKUP('Comp X - Kilter'!B1413,'Kilter Holds'!$P$36:$AB$370,12,0),0)</f>
        <v>0</v>
      </c>
      <c r="G1413" s="2">
        <f t="shared" si="172"/>
        <v>0</v>
      </c>
      <c r="H1413" s="2">
        <f t="shared" si="173"/>
        <v>0</v>
      </c>
    </row>
    <row r="1414" spans="2:8">
      <c r="B1414" s="3" t="s">
        <v>3125</v>
      </c>
      <c r="C1414" s="3" t="s">
        <v>3126</v>
      </c>
      <c r="D1414" s="12" t="str">
        <f t="shared" si="171"/>
        <v>12-01</v>
      </c>
      <c r="E1414" s="1">
        <f>_xlfn.IFNA(VLOOKUP('Comp X - Kilter'!B1414,'Kilter Holds'!$P$36:$AB$370,13,0),0)</f>
        <v>0</v>
      </c>
      <c r="G1414" s="2">
        <f t="shared" si="172"/>
        <v>0</v>
      </c>
      <c r="H1414" s="2">
        <f t="shared" si="173"/>
        <v>0</v>
      </c>
    </row>
    <row r="1415" spans="2:8">
      <c r="B1415" s="3" t="s">
        <v>3147</v>
      </c>
      <c r="C1415" s="3" t="s">
        <v>3166</v>
      </c>
      <c r="D1415" s="5" t="str">
        <f t="shared" ref="D1415:D1432" si="174">D713</f>
        <v>11-12</v>
      </c>
      <c r="E1415" s="1">
        <f>_xlfn.IFNA(VLOOKUP('Comp X - Kilter'!B1415,'Kilter Holds'!$P$36:$AB$370,5,0),0)</f>
        <v>0</v>
      </c>
      <c r="G1415" s="2">
        <f t="shared" ref="G1415:G1450" si="175">E1415*F1415</f>
        <v>0</v>
      </c>
      <c r="H1415" s="2">
        <f t="shared" ref="H1415:H1450" si="176">IF($S$11="Y",G1415*0.15,0)</f>
        <v>0</v>
      </c>
    </row>
    <row r="1416" spans="2:8">
      <c r="B1416" s="3" t="s">
        <v>3147</v>
      </c>
      <c r="C1416" s="3" t="s">
        <v>3166</v>
      </c>
      <c r="D1416" s="6" t="str">
        <f t="shared" si="174"/>
        <v>14-01</v>
      </c>
      <c r="E1416" s="1">
        <f>_xlfn.IFNA(VLOOKUP('Comp X - Kilter'!B1416,'Kilter Holds'!$P$36:$AB$370,6,0),0)</f>
        <v>0</v>
      </c>
      <c r="G1416" s="2">
        <f t="shared" si="175"/>
        <v>0</v>
      </c>
      <c r="H1416" s="2">
        <f t="shared" si="176"/>
        <v>0</v>
      </c>
    </row>
    <row r="1417" spans="2:8">
      <c r="B1417" s="3" t="s">
        <v>3147</v>
      </c>
      <c r="C1417" s="3" t="s">
        <v>3166</v>
      </c>
      <c r="D1417" s="7" t="str">
        <f t="shared" si="174"/>
        <v>15-12</v>
      </c>
      <c r="E1417" s="1">
        <f>_xlfn.IFNA(VLOOKUP('Comp X - Kilter'!B1417,'Kilter Holds'!$P$36:$AB$370,7,0),0)</f>
        <v>0</v>
      </c>
      <c r="G1417" s="2">
        <f t="shared" si="175"/>
        <v>0</v>
      </c>
      <c r="H1417" s="2">
        <f t="shared" si="176"/>
        <v>0</v>
      </c>
    </row>
    <row r="1418" spans="2:8">
      <c r="B1418" s="3" t="s">
        <v>3147</v>
      </c>
      <c r="C1418" s="3" t="s">
        <v>3166</v>
      </c>
      <c r="D1418" s="8" t="str">
        <f t="shared" si="174"/>
        <v>16-16</v>
      </c>
      <c r="E1418" s="1">
        <f>_xlfn.IFNA(VLOOKUP('Comp X - Kilter'!B1418,'Kilter Holds'!$P$36:$AB$370,8,0),0)</f>
        <v>0</v>
      </c>
      <c r="G1418" s="2">
        <f t="shared" si="175"/>
        <v>0</v>
      </c>
      <c r="H1418" s="2">
        <f t="shared" si="176"/>
        <v>0</v>
      </c>
    </row>
    <row r="1419" spans="2:8">
      <c r="B1419" s="3" t="s">
        <v>3147</v>
      </c>
      <c r="C1419" s="3" t="s">
        <v>3166</v>
      </c>
      <c r="D1419" s="9" t="str">
        <f t="shared" si="174"/>
        <v>13-01</v>
      </c>
      <c r="E1419" s="1">
        <f>_xlfn.IFNA(VLOOKUP('Comp X - Kilter'!B1419,'Kilter Holds'!$P$36:$AB$370,9,0),0)</f>
        <v>0</v>
      </c>
      <c r="G1419" s="2">
        <f t="shared" si="175"/>
        <v>0</v>
      </c>
      <c r="H1419" s="2">
        <f t="shared" si="176"/>
        <v>0</v>
      </c>
    </row>
    <row r="1420" spans="2:8">
      <c r="B1420" s="3" t="s">
        <v>3147</v>
      </c>
      <c r="C1420" s="3" t="s">
        <v>3166</v>
      </c>
      <c r="D1420" s="10" t="str">
        <f t="shared" si="174"/>
        <v>07-13</v>
      </c>
      <c r="E1420" s="1">
        <f>_xlfn.IFNA(VLOOKUP('Comp X - Kilter'!B1420,'Kilter Holds'!$P$36:$AB$370,10,0),0)</f>
        <v>0</v>
      </c>
      <c r="G1420" s="2">
        <f t="shared" si="175"/>
        <v>0</v>
      </c>
      <c r="H1420" s="2">
        <f t="shared" si="176"/>
        <v>0</v>
      </c>
    </row>
    <row r="1421" spans="2:8">
      <c r="B1421" s="3" t="s">
        <v>3147</v>
      </c>
      <c r="C1421" s="3" t="s">
        <v>3166</v>
      </c>
      <c r="D1421" s="11" t="str">
        <f t="shared" si="174"/>
        <v>11-25</v>
      </c>
      <c r="E1421" s="1">
        <f>_xlfn.IFNA(VLOOKUP('Comp X - Kilter'!B1421,'Kilter Holds'!$P$36:$AB$370,11,0),0)</f>
        <v>0</v>
      </c>
      <c r="G1421" s="2">
        <f t="shared" si="175"/>
        <v>0</v>
      </c>
      <c r="H1421" s="2">
        <f t="shared" si="176"/>
        <v>0</v>
      </c>
    </row>
    <row r="1422" spans="2:8">
      <c r="B1422" s="3" t="s">
        <v>3147</v>
      </c>
      <c r="C1422" s="3" t="s">
        <v>3166</v>
      </c>
      <c r="D1422" s="13" t="str">
        <f t="shared" si="174"/>
        <v>18-01</v>
      </c>
      <c r="E1422" s="1">
        <f>_xlfn.IFNA(VLOOKUP('Comp X - Kilter'!B1422,'Kilter Holds'!$P$36:$AB$370,12,0),0)</f>
        <v>0</v>
      </c>
      <c r="G1422" s="2">
        <f t="shared" si="175"/>
        <v>0</v>
      </c>
      <c r="H1422" s="2">
        <f t="shared" si="176"/>
        <v>0</v>
      </c>
    </row>
    <row r="1423" spans="2:8">
      <c r="B1423" s="3" t="s">
        <v>3147</v>
      </c>
      <c r="C1423" s="3" t="s">
        <v>3166</v>
      </c>
      <c r="D1423" s="12" t="str">
        <f t="shared" si="174"/>
        <v>12-01</v>
      </c>
      <c r="E1423" s="1">
        <f>_xlfn.IFNA(VLOOKUP('Comp X - Kilter'!B1423,'Kilter Holds'!$P$36:$AB$370,13,0),0)</f>
        <v>0</v>
      </c>
      <c r="G1423" s="2">
        <f t="shared" si="175"/>
        <v>0</v>
      </c>
      <c r="H1423" s="2">
        <f t="shared" si="176"/>
        <v>0</v>
      </c>
    </row>
    <row r="1424" spans="2:8">
      <c r="B1424" s="3" t="s">
        <v>3148</v>
      </c>
      <c r="C1424" s="3" t="s">
        <v>3167</v>
      </c>
      <c r="D1424" s="5" t="str">
        <f t="shared" si="174"/>
        <v>11-12</v>
      </c>
      <c r="E1424" s="1">
        <f>_xlfn.IFNA(VLOOKUP('Comp X - Kilter'!B1424,'Kilter Holds'!$P$36:$AB$370,5,0),0)</f>
        <v>0</v>
      </c>
      <c r="G1424" s="2">
        <f t="shared" si="175"/>
        <v>0</v>
      </c>
      <c r="H1424" s="2">
        <f t="shared" si="176"/>
        <v>0</v>
      </c>
    </row>
    <row r="1425" spans="2:8">
      <c r="B1425" s="3" t="s">
        <v>3148</v>
      </c>
      <c r="C1425" s="3" t="s">
        <v>3167</v>
      </c>
      <c r="D1425" s="6" t="str">
        <f t="shared" si="174"/>
        <v>14-01</v>
      </c>
      <c r="E1425" s="1">
        <f>_xlfn.IFNA(VLOOKUP('Comp X - Kilter'!B1425,'Kilter Holds'!$P$36:$AB$370,6,0),0)</f>
        <v>0</v>
      </c>
      <c r="G1425" s="2">
        <f t="shared" si="175"/>
        <v>0</v>
      </c>
      <c r="H1425" s="2">
        <f t="shared" si="176"/>
        <v>0</v>
      </c>
    </row>
    <row r="1426" spans="2:8">
      <c r="B1426" s="3" t="s">
        <v>3148</v>
      </c>
      <c r="C1426" s="3" t="s">
        <v>3167</v>
      </c>
      <c r="D1426" s="7" t="str">
        <f t="shared" si="174"/>
        <v>15-12</v>
      </c>
      <c r="E1426" s="1">
        <f>_xlfn.IFNA(VLOOKUP('Comp X - Kilter'!B1426,'Kilter Holds'!$P$36:$AB$370,7,0),0)</f>
        <v>0</v>
      </c>
      <c r="G1426" s="2">
        <f t="shared" si="175"/>
        <v>0</v>
      </c>
      <c r="H1426" s="2">
        <f t="shared" si="176"/>
        <v>0</v>
      </c>
    </row>
    <row r="1427" spans="2:8">
      <c r="B1427" s="3" t="s">
        <v>3148</v>
      </c>
      <c r="C1427" s="3" t="s">
        <v>3167</v>
      </c>
      <c r="D1427" s="8" t="str">
        <f t="shared" si="174"/>
        <v>16-16</v>
      </c>
      <c r="E1427" s="1">
        <f>_xlfn.IFNA(VLOOKUP('Comp X - Kilter'!B1427,'Kilter Holds'!$P$36:$AB$370,8,0),0)</f>
        <v>0</v>
      </c>
      <c r="G1427" s="2">
        <f t="shared" si="175"/>
        <v>0</v>
      </c>
      <c r="H1427" s="2">
        <f t="shared" si="176"/>
        <v>0</v>
      </c>
    </row>
    <row r="1428" spans="2:8">
      <c r="B1428" s="3" t="s">
        <v>3148</v>
      </c>
      <c r="C1428" s="3" t="s">
        <v>3167</v>
      </c>
      <c r="D1428" s="9" t="str">
        <f t="shared" si="174"/>
        <v>13-01</v>
      </c>
      <c r="E1428" s="1">
        <f>_xlfn.IFNA(VLOOKUP('Comp X - Kilter'!B1428,'Kilter Holds'!$P$36:$AB$370,9,0),0)</f>
        <v>0</v>
      </c>
      <c r="G1428" s="2">
        <f t="shared" si="175"/>
        <v>0</v>
      </c>
      <c r="H1428" s="2">
        <f t="shared" si="176"/>
        <v>0</v>
      </c>
    </row>
    <row r="1429" spans="2:8">
      <c r="B1429" s="3" t="s">
        <v>3148</v>
      </c>
      <c r="C1429" s="3" t="s">
        <v>3167</v>
      </c>
      <c r="D1429" s="10" t="str">
        <f t="shared" si="174"/>
        <v>07-13</v>
      </c>
      <c r="E1429" s="1">
        <f>_xlfn.IFNA(VLOOKUP('Comp X - Kilter'!B1429,'Kilter Holds'!$P$36:$AB$370,10,0),0)</f>
        <v>0</v>
      </c>
      <c r="G1429" s="2">
        <f t="shared" si="175"/>
        <v>0</v>
      </c>
      <c r="H1429" s="2">
        <f t="shared" si="176"/>
        <v>0</v>
      </c>
    </row>
    <row r="1430" spans="2:8">
      <c r="B1430" s="3" t="s">
        <v>3148</v>
      </c>
      <c r="C1430" s="3" t="s">
        <v>3167</v>
      </c>
      <c r="D1430" s="11" t="str">
        <f t="shared" si="174"/>
        <v>11-25</v>
      </c>
      <c r="E1430" s="1">
        <f>_xlfn.IFNA(VLOOKUP('Comp X - Kilter'!B1430,'Kilter Holds'!$P$36:$AB$370,11,0),0)</f>
        <v>0</v>
      </c>
      <c r="G1430" s="2">
        <f t="shared" si="175"/>
        <v>0</v>
      </c>
      <c r="H1430" s="2">
        <f t="shared" si="176"/>
        <v>0</v>
      </c>
    </row>
    <row r="1431" spans="2:8">
      <c r="B1431" s="3" t="s">
        <v>3148</v>
      </c>
      <c r="C1431" s="3" t="s">
        <v>3167</v>
      </c>
      <c r="D1431" s="13" t="str">
        <f t="shared" si="174"/>
        <v>18-01</v>
      </c>
      <c r="E1431" s="1">
        <f>_xlfn.IFNA(VLOOKUP('Comp X - Kilter'!B1431,'Kilter Holds'!$P$36:$AB$370,12,0),0)</f>
        <v>0</v>
      </c>
      <c r="G1431" s="2">
        <f t="shared" si="175"/>
        <v>0</v>
      </c>
      <c r="H1431" s="2">
        <f t="shared" si="176"/>
        <v>0</v>
      </c>
    </row>
    <row r="1432" spans="2:8">
      <c r="B1432" s="3" t="s">
        <v>3148</v>
      </c>
      <c r="C1432" s="3" t="s">
        <v>3167</v>
      </c>
      <c r="D1432" s="12" t="str">
        <f t="shared" si="174"/>
        <v>12-01</v>
      </c>
      <c r="E1432" s="1">
        <f>_xlfn.IFNA(VLOOKUP('Comp X - Kilter'!B1432,'Kilter Holds'!$P$36:$AB$370,13,0),0)</f>
        <v>0</v>
      </c>
      <c r="G1432" s="2">
        <f t="shared" si="175"/>
        <v>0</v>
      </c>
      <c r="H1432" s="2">
        <f t="shared" si="176"/>
        <v>0</v>
      </c>
    </row>
    <row r="1433" spans="2:8">
      <c r="B1433" s="3" t="s">
        <v>3151</v>
      </c>
      <c r="C1433" s="3" t="s">
        <v>3172</v>
      </c>
      <c r="D1433" s="5" t="str">
        <f t="shared" ref="D1433:D1468" si="177">D668</f>
        <v>11-12</v>
      </c>
      <c r="E1433" s="1">
        <f>_xlfn.IFNA(VLOOKUP('Comp X - Kilter'!B1433,'Kilter Holds'!$P$36:$AB$370,5,0),0)</f>
        <v>0</v>
      </c>
      <c r="G1433" s="2">
        <f t="shared" si="175"/>
        <v>0</v>
      </c>
      <c r="H1433" s="2">
        <f t="shared" si="176"/>
        <v>0</v>
      </c>
    </row>
    <row r="1434" spans="2:8">
      <c r="B1434" s="3" t="s">
        <v>3151</v>
      </c>
      <c r="C1434" s="3" t="s">
        <v>3172</v>
      </c>
      <c r="D1434" s="6" t="str">
        <f t="shared" si="177"/>
        <v>14-01</v>
      </c>
      <c r="E1434" s="1">
        <f>_xlfn.IFNA(VLOOKUP('Comp X - Kilter'!B1434,'Kilter Holds'!$P$36:$AB$370,6,0),0)</f>
        <v>0</v>
      </c>
      <c r="G1434" s="2">
        <f t="shared" si="175"/>
        <v>0</v>
      </c>
      <c r="H1434" s="2">
        <f t="shared" si="176"/>
        <v>0</v>
      </c>
    </row>
    <row r="1435" spans="2:8">
      <c r="B1435" s="3" t="s">
        <v>3151</v>
      </c>
      <c r="C1435" s="3" t="s">
        <v>3172</v>
      </c>
      <c r="D1435" s="7" t="str">
        <f t="shared" si="177"/>
        <v>15-12</v>
      </c>
      <c r="E1435" s="1">
        <f>_xlfn.IFNA(VLOOKUP('Comp X - Kilter'!B1435,'Kilter Holds'!$P$36:$AB$370,7,0),0)</f>
        <v>0</v>
      </c>
      <c r="G1435" s="2">
        <f t="shared" si="175"/>
        <v>0</v>
      </c>
      <c r="H1435" s="2">
        <f t="shared" si="176"/>
        <v>0</v>
      </c>
    </row>
    <row r="1436" spans="2:8">
      <c r="B1436" s="3" t="s">
        <v>3151</v>
      </c>
      <c r="C1436" s="3" t="s">
        <v>3172</v>
      </c>
      <c r="D1436" s="8" t="str">
        <f t="shared" si="177"/>
        <v>16-16</v>
      </c>
      <c r="E1436" s="1">
        <f>_xlfn.IFNA(VLOOKUP('Comp X - Kilter'!B1436,'Kilter Holds'!$P$36:$AB$370,8,0),0)</f>
        <v>0</v>
      </c>
      <c r="G1436" s="2">
        <f t="shared" si="175"/>
        <v>0</v>
      </c>
      <c r="H1436" s="2">
        <f t="shared" si="176"/>
        <v>0</v>
      </c>
    </row>
    <row r="1437" spans="2:8">
      <c r="B1437" s="3" t="s">
        <v>3151</v>
      </c>
      <c r="C1437" s="3" t="s">
        <v>3172</v>
      </c>
      <c r="D1437" s="9" t="str">
        <f t="shared" si="177"/>
        <v>13-01</v>
      </c>
      <c r="E1437" s="1">
        <f>_xlfn.IFNA(VLOOKUP('Comp X - Kilter'!B1437,'Kilter Holds'!$P$36:$AB$370,9,0),0)</f>
        <v>0</v>
      </c>
      <c r="G1437" s="2">
        <f t="shared" si="175"/>
        <v>0</v>
      </c>
      <c r="H1437" s="2">
        <f t="shared" si="176"/>
        <v>0</v>
      </c>
    </row>
    <row r="1438" spans="2:8">
      <c r="B1438" s="3" t="s">
        <v>3151</v>
      </c>
      <c r="C1438" s="3" t="s">
        <v>3172</v>
      </c>
      <c r="D1438" s="10" t="str">
        <f t="shared" si="177"/>
        <v>07-13</v>
      </c>
      <c r="E1438" s="1">
        <f>_xlfn.IFNA(VLOOKUP('Comp X - Kilter'!B1438,'Kilter Holds'!$P$36:$AB$370,10,0),0)</f>
        <v>0</v>
      </c>
      <c r="G1438" s="2">
        <f t="shared" si="175"/>
        <v>0</v>
      </c>
      <c r="H1438" s="2">
        <f t="shared" si="176"/>
        <v>0</v>
      </c>
    </row>
    <row r="1439" spans="2:8">
      <c r="B1439" s="3" t="s">
        <v>3151</v>
      </c>
      <c r="C1439" s="3" t="s">
        <v>3172</v>
      </c>
      <c r="D1439" s="11" t="str">
        <f t="shared" si="177"/>
        <v>11-25</v>
      </c>
      <c r="E1439" s="1">
        <f>_xlfn.IFNA(VLOOKUP('Comp X - Kilter'!B1439,'Kilter Holds'!$P$36:$AB$370,11,0),0)</f>
        <v>0</v>
      </c>
      <c r="G1439" s="2">
        <f t="shared" si="175"/>
        <v>0</v>
      </c>
      <c r="H1439" s="2">
        <f t="shared" si="176"/>
        <v>0</v>
      </c>
    </row>
    <row r="1440" spans="2:8">
      <c r="B1440" s="3" t="s">
        <v>3151</v>
      </c>
      <c r="C1440" s="3" t="s">
        <v>3172</v>
      </c>
      <c r="D1440" s="13" t="str">
        <f t="shared" si="177"/>
        <v>18-01</v>
      </c>
      <c r="E1440" s="1">
        <f>_xlfn.IFNA(VLOOKUP('Comp X - Kilter'!B1440,'Kilter Holds'!$P$36:$AB$370,12,0),0)</f>
        <v>0</v>
      </c>
      <c r="G1440" s="2">
        <f t="shared" si="175"/>
        <v>0</v>
      </c>
      <c r="H1440" s="2">
        <f t="shared" si="176"/>
        <v>0</v>
      </c>
    </row>
    <row r="1441" spans="2:8">
      <c r="B1441" s="3" t="s">
        <v>3151</v>
      </c>
      <c r="C1441" s="3" t="s">
        <v>3172</v>
      </c>
      <c r="D1441" s="12" t="str">
        <f t="shared" si="177"/>
        <v>12-01</v>
      </c>
      <c r="E1441" s="1">
        <f>_xlfn.IFNA(VLOOKUP('Comp X - Kilter'!B1441,'Kilter Holds'!$P$36:$AB$370,13,0),0)</f>
        <v>0</v>
      </c>
      <c r="G1441" s="2">
        <f t="shared" si="175"/>
        <v>0</v>
      </c>
      <c r="H1441" s="2">
        <f t="shared" si="176"/>
        <v>0</v>
      </c>
    </row>
    <row r="1442" spans="2:8">
      <c r="B1442" s="3" t="s">
        <v>3149</v>
      </c>
      <c r="C1442" s="3" t="s">
        <v>3173</v>
      </c>
      <c r="D1442" s="5" t="str">
        <f t="shared" si="177"/>
        <v>11-12</v>
      </c>
      <c r="E1442" s="1">
        <f>_xlfn.IFNA(VLOOKUP('Comp X - Kilter'!B1442,'Kilter Holds'!$P$36:$AB$370,5,0),0)</f>
        <v>0</v>
      </c>
      <c r="G1442" s="2">
        <f t="shared" si="175"/>
        <v>0</v>
      </c>
      <c r="H1442" s="2">
        <f t="shared" si="176"/>
        <v>0</v>
      </c>
    </row>
    <row r="1443" spans="2:8">
      <c r="B1443" s="3" t="s">
        <v>3149</v>
      </c>
      <c r="C1443" s="3" t="s">
        <v>3173</v>
      </c>
      <c r="D1443" s="6" t="str">
        <f t="shared" si="177"/>
        <v>14-01</v>
      </c>
      <c r="E1443" s="1">
        <f>_xlfn.IFNA(VLOOKUP('Comp X - Kilter'!B1443,'Kilter Holds'!$P$36:$AB$370,6,0),0)</f>
        <v>0</v>
      </c>
      <c r="G1443" s="2">
        <f t="shared" si="175"/>
        <v>0</v>
      </c>
      <c r="H1443" s="2">
        <f t="shared" si="176"/>
        <v>0</v>
      </c>
    </row>
    <row r="1444" spans="2:8">
      <c r="B1444" s="3" t="s">
        <v>3149</v>
      </c>
      <c r="C1444" s="3" t="s">
        <v>3173</v>
      </c>
      <c r="D1444" s="7" t="str">
        <f t="shared" si="177"/>
        <v>15-12</v>
      </c>
      <c r="E1444" s="1">
        <f>_xlfn.IFNA(VLOOKUP('Comp X - Kilter'!B1444,'Kilter Holds'!$P$36:$AB$370,7,0),0)</f>
        <v>0</v>
      </c>
      <c r="G1444" s="2">
        <f t="shared" si="175"/>
        <v>0</v>
      </c>
      <c r="H1444" s="2">
        <f t="shared" si="176"/>
        <v>0</v>
      </c>
    </row>
    <row r="1445" spans="2:8">
      <c r="B1445" s="3" t="s">
        <v>3149</v>
      </c>
      <c r="C1445" s="3" t="s">
        <v>3173</v>
      </c>
      <c r="D1445" s="8" t="str">
        <f t="shared" si="177"/>
        <v>16-16</v>
      </c>
      <c r="E1445" s="1">
        <f>_xlfn.IFNA(VLOOKUP('Comp X - Kilter'!B1445,'Kilter Holds'!$P$36:$AB$370,8,0),0)</f>
        <v>0</v>
      </c>
      <c r="G1445" s="2">
        <f t="shared" si="175"/>
        <v>0</v>
      </c>
      <c r="H1445" s="2">
        <f t="shared" si="176"/>
        <v>0</v>
      </c>
    </row>
    <row r="1446" spans="2:8">
      <c r="B1446" s="3" t="s">
        <v>3149</v>
      </c>
      <c r="C1446" s="3" t="s">
        <v>3173</v>
      </c>
      <c r="D1446" s="9" t="str">
        <f t="shared" si="177"/>
        <v>13-01</v>
      </c>
      <c r="E1446" s="1">
        <f>_xlfn.IFNA(VLOOKUP('Comp X - Kilter'!B1446,'Kilter Holds'!$P$36:$AB$370,9,0),0)</f>
        <v>0</v>
      </c>
      <c r="G1446" s="2">
        <f t="shared" si="175"/>
        <v>0</v>
      </c>
      <c r="H1446" s="2">
        <f t="shared" si="176"/>
        <v>0</v>
      </c>
    </row>
    <row r="1447" spans="2:8">
      <c r="B1447" s="3" t="s">
        <v>3149</v>
      </c>
      <c r="C1447" s="3" t="s">
        <v>3173</v>
      </c>
      <c r="D1447" s="10" t="str">
        <f t="shared" si="177"/>
        <v>07-13</v>
      </c>
      <c r="E1447" s="1">
        <f>_xlfn.IFNA(VLOOKUP('Comp X - Kilter'!B1447,'Kilter Holds'!$P$36:$AB$370,10,0),0)</f>
        <v>0</v>
      </c>
      <c r="G1447" s="2">
        <f t="shared" si="175"/>
        <v>0</v>
      </c>
      <c r="H1447" s="2">
        <f t="shared" si="176"/>
        <v>0</v>
      </c>
    </row>
    <row r="1448" spans="2:8">
      <c r="B1448" s="3" t="s">
        <v>3149</v>
      </c>
      <c r="C1448" s="3" t="s">
        <v>3173</v>
      </c>
      <c r="D1448" s="11" t="str">
        <f t="shared" si="177"/>
        <v>11-25</v>
      </c>
      <c r="E1448" s="1">
        <f>_xlfn.IFNA(VLOOKUP('Comp X - Kilter'!B1448,'Kilter Holds'!$P$36:$AB$370,11,0),0)</f>
        <v>0</v>
      </c>
      <c r="G1448" s="2">
        <f t="shared" si="175"/>
        <v>0</v>
      </c>
      <c r="H1448" s="2">
        <f t="shared" si="176"/>
        <v>0</v>
      </c>
    </row>
    <row r="1449" spans="2:8">
      <c r="B1449" s="3" t="s">
        <v>3149</v>
      </c>
      <c r="C1449" s="3" t="s">
        <v>3173</v>
      </c>
      <c r="D1449" s="13" t="str">
        <f t="shared" si="177"/>
        <v>18-01</v>
      </c>
      <c r="E1449" s="1">
        <f>_xlfn.IFNA(VLOOKUP('Comp X - Kilter'!B1449,'Kilter Holds'!$P$36:$AB$370,12,0),0)</f>
        <v>0</v>
      </c>
      <c r="G1449" s="2">
        <f t="shared" si="175"/>
        <v>0</v>
      </c>
      <c r="H1449" s="2">
        <f t="shared" si="176"/>
        <v>0</v>
      </c>
    </row>
    <row r="1450" spans="2:8">
      <c r="B1450" s="3" t="s">
        <v>3149</v>
      </c>
      <c r="C1450" s="3" t="s">
        <v>3173</v>
      </c>
      <c r="D1450" s="12" t="str">
        <f t="shared" si="177"/>
        <v>12-01</v>
      </c>
      <c r="E1450" s="1">
        <f>_xlfn.IFNA(VLOOKUP('Comp X - Kilter'!B1450,'Kilter Holds'!$P$36:$AB$370,13,0),0)</f>
        <v>0</v>
      </c>
      <c r="G1450" s="2">
        <f t="shared" si="175"/>
        <v>0</v>
      </c>
      <c r="H1450" s="2">
        <f t="shared" si="176"/>
        <v>0</v>
      </c>
    </row>
    <row r="1451" spans="2:8">
      <c r="B1451" s="3" t="s">
        <v>3150</v>
      </c>
      <c r="C1451" s="3" t="s">
        <v>3175</v>
      </c>
      <c r="D1451" s="5" t="str">
        <f t="shared" si="177"/>
        <v>11-12</v>
      </c>
      <c r="E1451" s="1">
        <f>_xlfn.IFNA(VLOOKUP('Comp X - Kilter'!B1451,'Kilter Holds'!$P$36:$AB$370,5,0),0)</f>
        <v>0</v>
      </c>
      <c r="G1451" s="2">
        <f t="shared" ref="G1451:G1468" si="178">E1451*F1451</f>
        <v>0</v>
      </c>
      <c r="H1451" s="2">
        <f t="shared" ref="H1451:H1468" si="179">IF($S$11="Y",G1451*0.15,0)</f>
        <v>0</v>
      </c>
    </row>
    <row r="1452" spans="2:8">
      <c r="B1452" s="3" t="s">
        <v>3150</v>
      </c>
      <c r="C1452" s="3" t="s">
        <v>3175</v>
      </c>
      <c r="D1452" s="6" t="str">
        <f t="shared" si="177"/>
        <v>14-01</v>
      </c>
      <c r="E1452" s="1">
        <f>_xlfn.IFNA(VLOOKUP('Comp X - Kilter'!B1452,'Kilter Holds'!$P$36:$AB$370,6,0),0)</f>
        <v>0</v>
      </c>
      <c r="G1452" s="2">
        <f t="shared" si="178"/>
        <v>0</v>
      </c>
      <c r="H1452" s="2">
        <f t="shared" si="179"/>
        <v>0</v>
      </c>
    </row>
    <row r="1453" spans="2:8">
      <c r="B1453" s="3" t="s">
        <v>3150</v>
      </c>
      <c r="C1453" s="3" t="s">
        <v>3175</v>
      </c>
      <c r="D1453" s="7" t="str">
        <f t="shared" si="177"/>
        <v>15-12</v>
      </c>
      <c r="E1453" s="1">
        <f>_xlfn.IFNA(VLOOKUP('Comp X - Kilter'!B1453,'Kilter Holds'!$P$36:$AB$370,7,0),0)</f>
        <v>0</v>
      </c>
      <c r="G1453" s="2">
        <f t="shared" si="178"/>
        <v>0</v>
      </c>
      <c r="H1453" s="2">
        <f t="shared" si="179"/>
        <v>0</v>
      </c>
    </row>
    <row r="1454" spans="2:8">
      <c r="B1454" s="3" t="s">
        <v>3150</v>
      </c>
      <c r="C1454" s="3" t="s">
        <v>3175</v>
      </c>
      <c r="D1454" s="8" t="str">
        <f t="shared" si="177"/>
        <v>16-16</v>
      </c>
      <c r="E1454" s="1">
        <f>_xlfn.IFNA(VLOOKUP('Comp X - Kilter'!B1454,'Kilter Holds'!$P$36:$AB$370,8,0),0)</f>
        <v>0</v>
      </c>
      <c r="G1454" s="2">
        <f t="shared" si="178"/>
        <v>0</v>
      </c>
      <c r="H1454" s="2">
        <f t="shared" si="179"/>
        <v>0</v>
      </c>
    </row>
    <row r="1455" spans="2:8">
      <c r="B1455" s="3" t="s">
        <v>3150</v>
      </c>
      <c r="C1455" s="3" t="s">
        <v>3175</v>
      </c>
      <c r="D1455" s="9" t="str">
        <f t="shared" si="177"/>
        <v>13-01</v>
      </c>
      <c r="E1455" s="1">
        <f>_xlfn.IFNA(VLOOKUP('Comp X - Kilter'!B1455,'Kilter Holds'!$P$36:$AB$370,9,0),0)</f>
        <v>0</v>
      </c>
      <c r="G1455" s="2">
        <f t="shared" si="178"/>
        <v>0</v>
      </c>
      <c r="H1455" s="2">
        <f t="shared" si="179"/>
        <v>0</v>
      </c>
    </row>
    <row r="1456" spans="2:8">
      <c r="B1456" s="3" t="s">
        <v>3150</v>
      </c>
      <c r="C1456" s="3" t="s">
        <v>3175</v>
      </c>
      <c r="D1456" s="10" t="str">
        <f t="shared" si="177"/>
        <v>07-13</v>
      </c>
      <c r="E1456" s="1">
        <f>_xlfn.IFNA(VLOOKUP('Comp X - Kilter'!B1456,'Kilter Holds'!$P$36:$AB$370,10,0),0)</f>
        <v>0</v>
      </c>
      <c r="G1456" s="2">
        <f t="shared" si="178"/>
        <v>0</v>
      </c>
      <c r="H1456" s="2">
        <f t="shared" si="179"/>
        <v>0</v>
      </c>
    </row>
    <row r="1457" spans="2:8">
      <c r="B1457" s="3" t="s">
        <v>3150</v>
      </c>
      <c r="C1457" s="3" t="s">
        <v>3175</v>
      </c>
      <c r="D1457" s="11" t="str">
        <f t="shared" si="177"/>
        <v>11-25</v>
      </c>
      <c r="E1457" s="1">
        <f>_xlfn.IFNA(VLOOKUP('Comp X - Kilter'!B1457,'Kilter Holds'!$P$36:$AB$370,11,0),0)</f>
        <v>0</v>
      </c>
      <c r="G1457" s="2">
        <f t="shared" si="178"/>
        <v>0</v>
      </c>
      <c r="H1457" s="2">
        <f t="shared" si="179"/>
        <v>0</v>
      </c>
    </row>
    <row r="1458" spans="2:8">
      <c r="B1458" s="3" t="s">
        <v>3150</v>
      </c>
      <c r="C1458" s="3" t="s">
        <v>3175</v>
      </c>
      <c r="D1458" s="13" t="str">
        <f t="shared" si="177"/>
        <v>18-01</v>
      </c>
      <c r="E1458" s="1">
        <f>_xlfn.IFNA(VLOOKUP('Comp X - Kilter'!B1458,'Kilter Holds'!$P$36:$AB$370,12,0),0)</f>
        <v>0</v>
      </c>
      <c r="G1458" s="2">
        <f t="shared" si="178"/>
        <v>0</v>
      </c>
      <c r="H1458" s="2">
        <f t="shared" si="179"/>
        <v>0</v>
      </c>
    </row>
    <row r="1459" spans="2:8">
      <c r="B1459" s="3" t="s">
        <v>3150</v>
      </c>
      <c r="C1459" s="3" t="s">
        <v>3175</v>
      </c>
      <c r="D1459" s="12" t="str">
        <f t="shared" si="177"/>
        <v>12-01</v>
      </c>
      <c r="E1459" s="1">
        <f>_xlfn.IFNA(VLOOKUP('Comp X - Kilter'!B1459,'Kilter Holds'!$P$36:$AB$370,13,0),0)</f>
        <v>0</v>
      </c>
      <c r="G1459" s="2">
        <f t="shared" si="178"/>
        <v>0</v>
      </c>
      <c r="H1459" s="2">
        <f t="shared" si="179"/>
        <v>0</v>
      </c>
    </row>
    <row r="1460" spans="2:8">
      <c r="B1460" s="3" t="s">
        <v>3145</v>
      </c>
      <c r="C1460" s="3" t="s">
        <v>3176</v>
      </c>
      <c r="D1460" s="5" t="str">
        <f t="shared" si="177"/>
        <v>11-12</v>
      </c>
      <c r="E1460" s="1">
        <f>_xlfn.IFNA(VLOOKUP('Comp X - Kilter'!B1460,'Kilter Holds'!$P$36:$AB$370,5,0),0)</f>
        <v>0</v>
      </c>
      <c r="G1460" s="2">
        <f t="shared" si="178"/>
        <v>0</v>
      </c>
      <c r="H1460" s="2">
        <f t="shared" si="179"/>
        <v>0</v>
      </c>
    </row>
    <row r="1461" spans="2:8">
      <c r="B1461" s="3" t="s">
        <v>3145</v>
      </c>
      <c r="C1461" s="3" t="s">
        <v>3176</v>
      </c>
      <c r="D1461" s="6" t="str">
        <f t="shared" si="177"/>
        <v>14-01</v>
      </c>
      <c r="E1461" s="1">
        <f>_xlfn.IFNA(VLOOKUP('Comp X - Kilter'!B1461,'Kilter Holds'!$P$36:$AB$370,6,0),0)</f>
        <v>0</v>
      </c>
      <c r="G1461" s="2">
        <f t="shared" si="178"/>
        <v>0</v>
      </c>
      <c r="H1461" s="2">
        <f t="shared" si="179"/>
        <v>0</v>
      </c>
    </row>
    <row r="1462" spans="2:8">
      <c r="B1462" s="3" t="s">
        <v>3145</v>
      </c>
      <c r="C1462" s="3" t="s">
        <v>3176</v>
      </c>
      <c r="D1462" s="7" t="str">
        <f t="shared" si="177"/>
        <v>15-12</v>
      </c>
      <c r="E1462" s="1">
        <f>_xlfn.IFNA(VLOOKUP('Comp X - Kilter'!B1462,'Kilter Holds'!$P$36:$AB$370,7,0),0)</f>
        <v>0</v>
      </c>
      <c r="G1462" s="2">
        <f t="shared" si="178"/>
        <v>0</v>
      </c>
      <c r="H1462" s="2">
        <f t="shared" si="179"/>
        <v>0</v>
      </c>
    </row>
    <row r="1463" spans="2:8">
      <c r="B1463" s="3" t="s">
        <v>3145</v>
      </c>
      <c r="C1463" s="3" t="s">
        <v>3176</v>
      </c>
      <c r="D1463" s="8" t="str">
        <f t="shared" si="177"/>
        <v>16-16</v>
      </c>
      <c r="E1463" s="1">
        <f>_xlfn.IFNA(VLOOKUP('Comp X - Kilter'!B1463,'Kilter Holds'!$P$36:$AB$370,8,0),0)</f>
        <v>0</v>
      </c>
      <c r="G1463" s="2">
        <f t="shared" si="178"/>
        <v>0</v>
      </c>
      <c r="H1463" s="2">
        <f t="shared" si="179"/>
        <v>0</v>
      </c>
    </row>
    <row r="1464" spans="2:8">
      <c r="B1464" s="3" t="s">
        <v>3145</v>
      </c>
      <c r="C1464" s="3" t="s">
        <v>3176</v>
      </c>
      <c r="D1464" s="9" t="str">
        <f t="shared" si="177"/>
        <v>13-01</v>
      </c>
      <c r="E1464" s="1">
        <f>_xlfn.IFNA(VLOOKUP('Comp X - Kilter'!B1464,'Kilter Holds'!$P$36:$AB$370,9,0),0)</f>
        <v>0</v>
      </c>
      <c r="G1464" s="2">
        <f t="shared" si="178"/>
        <v>0</v>
      </c>
      <c r="H1464" s="2">
        <f t="shared" si="179"/>
        <v>0</v>
      </c>
    </row>
    <row r="1465" spans="2:8">
      <c r="B1465" s="3" t="s">
        <v>3145</v>
      </c>
      <c r="C1465" s="3" t="s">
        <v>3176</v>
      </c>
      <c r="D1465" s="10" t="str">
        <f t="shared" si="177"/>
        <v>07-13</v>
      </c>
      <c r="E1465" s="1">
        <f>_xlfn.IFNA(VLOOKUP('Comp X - Kilter'!B1465,'Kilter Holds'!$P$36:$AB$370,10,0),0)</f>
        <v>0</v>
      </c>
      <c r="G1465" s="2">
        <f t="shared" si="178"/>
        <v>0</v>
      </c>
      <c r="H1465" s="2">
        <f t="shared" si="179"/>
        <v>0</v>
      </c>
    </row>
    <row r="1466" spans="2:8">
      <c r="B1466" s="3" t="s">
        <v>3145</v>
      </c>
      <c r="C1466" s="3" t="s">
        <v>3176</v>
      </c>
      <c r="D1466" s="11" t="str">
        <f t="shared" si="177"/>
        <v>11-25</v>
      </c>
      <c r="E1466" s="1">
        <f>_xlfn.IFNA(VLOOKUP('Comp X - Kilter'!B1466,'Kilter Holds'!$P$36:$AB$370,11,0),0)</f>
        <v>0</v>
      </c>
      <c r="G1466" s="2">
        <f t="shared" si="178"/>
        <v>0</v>
      </c>
      <c r="H1466" s="2">
        <f t="shared" si="179"/>
        <v>0</v>
      </c>
    </row>
    <row r="1467" spans="2:8">
      <c r="B1467" s="3" t="s">
        <v>3145</v>
      </c>
      <c r="C1467" s="3" t="s">
        <v>3176</v>
      </c>
      <c r="D1467" s="13" t="str">
        <f t="shared" si="177"/>
        <v>18-01</v>
      </c>
      <c r="E1467" s="1">
        <f>_xlfn.IFNA(VLOOKUP('Comp X - Kilter'!B1467,'Kilter Holds'!$P$36:$AB$370,12,0),0)</f>
        <v>0</v>
      </c>
      <c r="G1467" s="2">
        <f t="shared" si="178"/>
        <v>0</v>
      </c>
      <c r="H1467" s="2">
        <f t="shared" si="179"/>
        <v>0</v>
      </c>
    </row>
    <row r="1468" spans="2:8">
      <c r="B1468" s="3" t="s">
        <v>3145</v>
      </c>
      <c r="C1468" s="3" t="s">
        <v>3176</v>
      </c>
      <c r="D1468" s="12" t="str">
        <f t="shared" si="177"/>
        <v>12-01</v>
      </c>
      <c r="E1468" s="1">
        <f>_xlfn.IFNA(VLOOKUP('Comp X - Kilter'!B1468,'Kilter Holds'!$P$36:$AB$370,13,0),0)</f>
        <v>0</v>
      </c>
      <c r="G1468" s="2">
        <f t="shared" si="178"/>
        <v>0</v>
      </c>
      <c r="H1468" s="2">
        <f t="shared" si="179"/>
        <v>0</v>
      </c>
    </row>
    <row r="1469" spans="2:8">
      <c r="B1469" s="3" t="s">
        <v>3069</v>
      </c>
      <c r="C1469" s="3" t="s">
        <v>3070</v>
      </c>
      <c r="D1469" s="5" t="str">
        <f t="shared" ref="D1469:D1495" si="180">D686</f>
        <v>11-12</v>
      </c>
      <c r="E1469" s="1">
        <f>_xlfn.IFNA(VLOOKUP('Comp X - Kilter'!B1469,'Kilter Holds'!$P$36:$AB$370,5,0),0)</f>
        <v>0</v>
      </c>
      <c r="G1469" s="2">
        <f t="shared" si="157"/>
        <v>0</v>
      </c>
      <c r="H1469" s="2">
        <f t="shared" si="158"/>
        <v>0</v>
      </c>
    </row>
    <row r="1470" spans="2:8">
      <c r="B1470" s="3" t="s">
        <v>3069</v>
      </c>
      <c r="C1470" s="3" t="s">
        <v>3070</v>
      </c>
      <c r="D1470" s="6" t="str">
        <f t="shared" si="180"/>
        <v>14-01</v>
      </c>
      <c r="E1470" s="1">
        <f>_xlfn.IFNA(VLOOKUP('Comp X - Kilter'!B1470,'Kilter Holds'!$P$36:$AB$370,6,0),0)</f>
        <v>0</v>
      </c>
      <c r="G1470" s="2">
        <f t="shared" si="157"/>
        <v>0</v>
      </c>
      <c r="H1470" s="2">
        <f t="shared" si="158"/>
        <v>0</v>
      </c>
    </row>
    <row r="1471" spans="2:8">
      <c r="B1471" s="3" t="s">
        <v>3069</v>
      </c>
      <c r="C1471" s="3" t="s">
        <v>3070</v>
      </c>
      <c r="D1471" s="7" t="str">
        <f t="shared" si="180"/>
        <v>15-12</v>
      </c>
      <c r="E1471" s="1">
        <f>_xlfn.IFNA(VLOOKUP('Comp X - Kilter'!B1471,'Kilter Holds'!$P$36:$AB$370,7,0),0)</f>
        <v>5</v>
      </c>
      <c r="G1471" s="2">
        <f t="shared" si="157"/>
        <v>0</v>
      </c>
      <c r="H1471" s="2">
        <f t="shared" si="158"/>
        <v>0</v>
      </c>
    </row>
    <row r="1472" spans="2:8">
      <c r="B1472" s="3" t="s">
        <v>3069</v>
      </c>
      <c r="C1472" s="3" t="s">
        <v>3070</v>
      </c>
      <c r="D1472" s="8" t="str">
        <f t="shared" si="180"/>
        <v>16-16</v>
      </c>
      <c r="E1472" s="1">
        <f>_xlfn.IFNA(VLOOKUP('Comp X - Kilter'!B1472,'Kilter Holds'!$P$36:$AB$370,8,0),0)</f>
        <v>4</v>
      </c>
      <c r="G1472" s="2">
        <f t="shared" si="157"/>
        <v>0</v>
      </c>
      <c r="H1472" s="2">
        <f t="shared" si="158"/>
        <v>0</v>
      </c>
    </row>
    <row r="1473" spans="2:8">
      <c r="B1473" s="3" t="s">
        <v>3069</v>
      </c>
      <c r="C1473" s="3" t="s">
        <v>3070</v>
      </c>
      <c r="D1473" s="9" t="str">
        <f t="shared" si="180"/>
        <v>13-01</v>
      </c>
      <c r="E1473" s="1">
        <f>_xlfn.IFNA(VLOOKUP('Comp X - Kilter'!B1473,'Kilter Holds'!$P$36:$AB$370,9,0),0)</f>
        <v>5</v>
      </c>
      <c r="G1473" s="2">
        <f t="shared" si="157"/>
        <v>0</v>
      </c>
      <c r="H1473" s="2">
        <f t="shared" si="158"/>
        <v>0</v>
      </c>
    </row>
    <row r="1474" spans="2:8">
      <c r="B1474" s="3" t="s">
        <v>3069</v>
      </c>
      <c r="C1474" s="3" t="s">
        <v>3070</v>
      </c>
      <c r="D1474" s="10" t="str">
        <f t="shared" si="180"/>
        <v>07-13</v>
      </c>
      <c r="E1474" s="1">
        <f>_xlfn.IFNA(VLOOKUP('Comp X - Kilter'!B1474,'Kilter Holds'!$P$36:$AB$370,10,0),0)</f>
        <v>4</v>
      </c>
      <c r="G1474" s="2">
        <f t="shared" si="157"/>
        <v>0</v>
      </c>
      <c r="H1474" s="2">
        <f t="shared" si="158"/>
        <v>0</v>
      </c>
    </row>
    <row r="1475" spans="2:8">
      <c r="B1475" s="3" t="s">
        <v>3069</v>
      </c>
      <c r="C1475" s="3" t="s">
        <v>3070</v>
      </c>
      <c r="D1475" s="11" t="str">
        <f t="shared" si="180"/>
        <v>11-25</v>
      </c>
      <c r="E1475" s="1">
        <f>_xlfn.IFNA(VLOOKUP('Comp X - Kilter'!B1475,'Kilter Holds'!$P$36:$AB$370,11,0),0)</f>
        <v>0</v>
      </c>
      <c r="G1475" s="2">
        <f t="shared" si="157"/>
        <v>0</v>
      </c>
      <c r="H1475" s="2">
        <f t="shared" si="158"/>
        <v>0</v>
      </c>
    </row>
    <row r="1476" spans="2:8">
      <c r="B1476" s="3" t="s">
        <v>3069</v>
      </c>
      <c r="C1476" s="3" t="s">
        <v>3070</v>
      </c>
      <c r="D1476" s="13" t="str">
        <f t="shared" si="180"/>
        <v>18-01</v>
      </c>
      <c r="E1476" s="1">
        <f>_xlfn.IFNA(VLOOKUP('Comp X - Kilter'!B1476,'Kilter Holds'!$P$36:$AB$370,12,0),0)</f>
        <v>5</v>
      </c>
      <c r="G1476" s="2">
        <f t="shared" si="157"/>
        <v>0</v>
      </c>
      <c r="H1476" s="2">
        <f t="shared" si="158"/>
        <v>0</v>
      </c>
    </row>
    <row r="1477" spans="2:8">
      <c r="B1477" s="3" t="s">
        <v>3069</v>
      </c>
      <c r="C1477" s="3" t="s">
        <v>3070</v>
      </c>
      <c r="D1477" s="12" t="str">
        <f t="shared" si="180"/>
        <v>12-01</v>
      </c>
      <c r="E1477" s="1">
        <f>_xlfn.IFNA(VLOOKUP('Comp X - Kilter'!B1477,'Kilter Holds'!$P$36:$AB$370,13,0),0)</f>
        <v>0</v>
      </c>
      <c r="G1477" s="2">
        <f t="shared" si="157"/>
        <v>0</v>
      </c>
      <c r="H1477" s="2">
        <f t="shared" si="158"/>
        <v>0</v>
      </c>
    </row>
    <row r="1478" spans="2:8">
      <c r="B1478" s="3" t="s">
        <v>3107</v>
      </c>
      <c r="C1478" s="3" t="s">
        <v>3113</v>
      </c>
      <c r="D1478" s="5" t="str">
        <f t="shared" si="180"/>
        <v>11-12</v>
      </c>
      <c r="E1478" s="1">
        <f>_xlfn.IFNA(VLOOKUP('Comp X - Kilter'!B1478,'Kilter Holds'!$P$36:$AB$370,5,0),0)</f>
        <v>0</v>
      </c>
      <c r="G1478" s="2">
        <f t="shared" ref="G1478:G1504" si="181">E1478*F1478</f>
        <v>0</v>
      </c>
      <c r="H1478" s="2">
        <f t="shared" ref="H1478:H1504" si="182">IF($S$11="Y",G1478*0.15,0)</f>
        <v>0</v>
      </c>
    </row>
    <row r="1479" spans="2:8">
      <c r="B1479" s="3" t="s">
        <v>3107</v>
      </c>
      <c r="C1479" s="3" t="s">
        <v>3113</v>
      </c>
      <c r="D1479" s="6" t="str">
        <f t="shared" si="180"/>
        <v>14-01</v>
      </c>
      <c r="E1479" s="1">
        <f>_xlfn.IFNA(VLOOKUP('Comp X - Kilter'!B1479,'Kilter Holds'!$P$36:$AB$370,6,0),0)</f>
        <v>0</v>
      </c>
      <c r="G1479" s="2">
        <f t="shared" si="181"/>
        <v>0</v>
      </c>
      <c r="H1479" s="2">
        <f t="shared" si="182"/>
        <v>0</v>
      </c>
    </row>
    <row r="1480" spans="2:8">
      <c r="B1480" s="3" t="s">
        <v>3107</v>
      </c>
      <c r="C1480" s="3" t="s">
        <v>3113</v>
      </c>
      <c r="D1480" s="7" t="str">
        <f t="shared" si="180"/>
        <v>15-12</v>
      </c>
      <c r="E1480" s="1">
        <f>_xlfn.IFNA(VLOOKUP('Comp X - Kilter'!B1480,'Kilter Holds'!$P$36:$AB$370,7,0),0)</f>
        <v>0</v>
      </c>
      <c r="G1480" s="2">
        <f t="shared" si="181"/>
        <v>0</v>
      </c>
      <c r="H1480" s="2">
        <f t="shared" si="182"/>
        <v>0</v>
      </c>
    </row>
    <row r="1481" spans="2:8">
      <c r="B1481" s="3" t="s">
        <v>3107</v>
      </c>
      <c r="C1481" s="3" t="s">
        <v>3113</v>
      </c>
      <c r="D1481" s="8" t="str">
        <f t="shared" si="180"/>
        <v>16-16</v>
      </c>
      <c r="E1481" s="1">
        <f>_xlfn.IFNA(VLOOKUP('Comp X - Kilter'!B1481,'Kilter Holds'!$P$36:$AB$370,8,0),0)</f>
        <v>3</v>
      </c>
      <c r="G1481" s="2">
        <f t="shared" si="181"/>
        <v>0</v>
      </c>
      <c r="H1481" s="2">
        <f t="shared" si="182"/>
        <v>0</v>
      </c>
    </row>
    <row r="1482" spans="2:8">
      <c r="B1482" s="3" t="s">
        <v>3107</v>
      </c>
      <c r="C1482" s="3" t="s">
        <v>3113</v>
      </c>
      <c r="D1482" s="9" t="str">
        <f t="shared" si="180"/>
        <v>13-01</v>
      </c>
      <c r="E1482" s="1">
        <f>_xlfn.IFNA(VLOOKUP('Comp X - Kilter'!B1482,'Kilter Holds'!$P$36:$AB$370,9,0),0)</f>
        <v>3</v>
      </c>
      <c r="G1482" s="2">
        <f t="shared" si="181"/>
        <v>0</v>
      </c>
      <c r="H1482" s="2">
        <f t="shared" si="182"/>
        <v>0</v>
      </c>
    </row>
    <row r="1483" spans="2:8">
      <c r="B1483" s="3" t="s">
        <v>3107</v>
      </c>
      <c r="C1483" s="3" t="s">
        <v>3113</v>
      </c>
      <c r="D1483" s="10" t="str">
        <f t="shared" si="180"/>
        <v>07-13</v>
      </c>
      <c r="E1483" s="1">
        <f>_xlfn.IFNA(VLOOKUP('Comp X - Kilter'!B1483,'Kilter Holds'!$P$36:$AB$370,10,0),0)</f>
        <v>5</v>
      </c>
      <c r="G1483" s="2">
        <f t="shared" si="181"/>
        <v>0</v>
      </c>
      <c r="H1483" s="2">
        <f t="shared" si="182"/>
        <v>0</v>
      </c>
    </row>
    <row r="1484" spans="2:8">
      <c r="B1484" s="3" t="s">
        <v>3107</v>
      </c>
      <c r="C1484" s="3" t="s">
        <v>3113</v>
      </c>
      <c r="D1484" s="11" t="str">
        <f t="shared" si="180"/>
        <v>11-25</v>
      </c>
      <c r="E1484" s="1">
        <f>_xlfn.IFNA(VLOOKUP('Comp X - Kilter'!B1484,'Kilter Holds'!$P$36:$AB$370,11,0),0)</f>
        <v>0</v>
      </c>
      <c r="G1484" s="2">
        <f t="shared" si="181"/>
        <v>0</v>
      </c>
      <c r="H1484" s="2">
        <f t="shared" si="182"/>
        <v>0</v>
      </c>
    </row>
    <row r="1485" spans="2:8">
      <c r="B1485" s="3" t="s">
        <v>3107</v>
      </c>
      <c r="C1485" s="3" t="s">
        <v>3113</v>
      </c>
      <c r="D1485" s="13" t="str">
        <f t="shared" si="180"/>
        <v>18-01</v>
      </c>
      <c r="E1485" s="1">
        <f>_xlfn.IFNA(VLOOKUP('Comp X - Kilter'!B1485,'Kilter Holds'!$P$36:$AB$370,12,0),0)</f>
        <v>0</v>
      </c>
      <c r="G1485" s="2">
        <f t="shared" si="181"/>
        <v>0</v>
      </c>
      <c r="H1485" s="2">
        <f t="shared" si="182"/>
        <v>0</v>
      </c>
    </row>
    <row r="1486" spans="2:8">
      <c r="B1486" s="3" t="s">
        <v>3107</v>
      </c>
      <c r="C1486" s="3" t="s">
        <v>3113</v>
      </c>
      <c r="D1486" s="12" t="str">
        <f t="shared" si="180"/>
        <v>12-01</v>
      </c>
      <c r="E1486" s="1">
        <f>_xlfn.IFNA(VLOOKUP('Comp X - Kilter'!B1486,'Kilter Holds'!$P$36:$AB$370,13,0),0)</f>
        <v>0</v>
      </c>
      <c r="G1486" s="2">
        <f t="shared" si="181"/>
        <v>0</v>
      </c>
      <c r="H1486" s="2">
        <f t="shared" si="182"/>
        <v>0</v>
      </c>
    </row>
    <row r="1487" spans="2:8">
      <c r="B1487" s="3" t="s">
        <v>3109</v>
      </c>
      <c r="C1487" s="3" t="s">
        <v>3114</v>
      </c>
      <c r="D1487" s="5" t="str">
        <f t="shared" si="180"/>
        <v>11-12</v>
      </c>
      <c r="E1487" s="1">
        <f>_xlfn.IFNA(VLOOKUP('Comp X - Kilter'!B1487,'Kilter Holds'!$P$36:$AB$370,5,0),0)</f>
        <v>0</v>
      </c>
      <c r="G1487" s="2">
        <f t="shared" si="181"/>
        <v>0</v>
      </c>
      <c r="H1487" s="2">
        <f t="shared" si="182"/>
        <v>0</v>
      </c>
    </row>
    <row r="1488" spans="2:8">
      <c r="B1488" s="3" t="s">
        <v>3109</v>
      </c>
      <c r="C1488" s="3" t="s">
        <v>3114</v>
      </c>
      <c r="D1488" s="6" t="str">
        <f t="shared" si="180"/>
        <v>14-01</v>
      </c>
      <c r="E1488" s="1">
        <f>_xlfn.IFNA(VLOOKUP('Comp X - Kilter'!B1488,'Kilter Holds'!$P$36:$AB$370,6,0),0)</f>
        <v>0</v>
      </c>
      <c r="G1488" s="2">
        <f t="shared" si="181"/>
        <v>0</v>
      </c>
      <c r="H1488" s="2">
        <f t="shared" si="182"/>
        <v>0</v>
      </c>
    </row>
    <row r="1489" spans="2:8">
      <c r="B1489" s="3" t="s">
        <v>3109</v>
      </c>
      <c r="C1489" s="3" t="s">
        <v>3114</v>
      </c>
      <c r="D1489" s="7" t="str">
        <f t="shared" si="180"/>
        <v>15-12</v>
      </c>
      <c r="E1489" s="1">
        <f>_xlfn.IFNA(VLOOKUP('Comp X - Kilter'!B1489,'Kilter Holds'!$P$36:$AB$370,7,0),0)</f>
        <v>0</v>
      </c>
      <c r="G1489" s="2">
        <f t="shared" si="181"/>
        <v>0</v>
      </c>
      <c r="H1489" s="2">
        <f t="shared" si="182"/>
        <v>0</v>
      </c>
    </row>
    <row r="1490" spans="2:8">
      <c r="B1490" s="3" t="s">
        <v>3109</v>
      </c>
      <c r="C1490" s="3" t="s">
        <v>3114</v>
      </c>
      <c r="D1490" s="8" t="str">
        <f t="shared" si="180"/>
        <v>16-16</v>
      </c>
      <c r="E1490" s="1">
        <f>_xlfn.IFNA(VLOOKUP('Comp X - Kilter'!B1490,'Kilter Holds'!$P$36:$AB$370,8,0),0)</f>
        <v>4</v>
      </c>
      <c r="G1490" s="2">
        <f t="shared" si="181"/>
        <v>0</v>
      </c>
      <c r="H1490" s="2">
        <f t="shared" si="182"/>
        <v>0</v>
      </c>
    </row>
    <row r="1491" spans="2:8">
      <c r="B1491" s="3" t="s">
        <v>3109</v>
      </c>
      <c r="C1491" s="3" t="s">
        <v>3114</v>
      </c>
      <c r="D1491" s="9" t="str">
        <f t="shared" si="180"/>
        <v>13-01</v>
      </c>
      <c r="E1491" s="1">
        <f>_xlfn.IFNA(VLOOKUP('Comp X - Kilter'!B1491,'Kilter Holds'!$P$36:$AB$370,9,0),0)</f>
        <v>1</v>
      </c>
      <c r="G1491" s="2">
        <f t="shared" si="181"/>
        <v>0</v>
      </c>
      <c r="H1491" s="2">
        <f t="shared" si="182"/>
        <v>0</v>
      </c>
    </row>
    <row r="1492" spans="2:8">
      <c r="B1492" s="3" t="s">
        <v>3109</v>
      </c>
      <c r="C1492" s="3" t="s">
        <v>3114</v>
      </c>
      <c r="D1492" s="10" t="str">
        <f t="shared" si="180"/>
        <v>07-13</v>
      </c>
      <c r="E1492" s="1">
        <f>_xlfn.IFNA(VLOOKUP('Comp X - Kilter'!B1492,'Kilter Holds'!$P$36:$AB$370,10,0),0)</f>
        <v>2</v>
      </c>
      <c r="G1492" s="2">
        <f t="shared" si="181"/>
        <v>0</v>
      </c>
      <c r="H1492" s="2">
        <f t="shared" si="182"/>
        <v>0</v>
      </c>
    </row>
    <row r="1493" spans="2:8">
      <c r="B1493" s="3" t="s">
        <v>3109</v>
      </c>
      <c r="C1493" s="3" t="s">
        <v>3114</v>
      </c>
      <c r="D1493" s="11" t="str">
        <f t="shared" si="180"/>
        <v>11-25</v>
      </c>
      <c r="E1493" s="1">
        <f>_xlfn.IFNA(VLOOKUP('Comp X - Kilter'!B1493,'Kilter Holds'!$P$36:$AB$370,11,0),0)</f>
        <v>0</v>
      </c>
      <c r="G1493" s="2">
        <f t="shared" si="181"/>
        <v>0</v>
      </c>
      <c r="H1493" s="2">
        <f t="shared" si="182"/>
        <v>0</v>
      </c>
    </row>
    <row r="1494" spans="2:8">
      <c r="B1494" s="3" t="s">
        <v>3109</v>
      </c>
      <c r="C1494" s="3" t="s">
        <v>3114</v>
      </c>
      <c r="D1494" s="13" t="str">
        <f t="shared" si="180"/>
        <v>18-01</v>
      </c>
      <c r="E1494" s="1">
        <f>_xlfn.IFNA(VLOOKUP('Comp X - Kilter'!B1494,'Kilter Holds'!$P$36:$AB$370,12,0),0)</f>
        <v>0</v>
      </c>
      <c r="G1494" s="2">
        <f t="shared" si="181"/>
        <v>0</v>
      </c>
      <c r="H1494" s="2">
        <f t="shared" si="182"/>
        <v>0</v>
      </c>
    </row>
    <row r="1495" spans="2:8">
      <c r="B1495" s="3" t="s">
        <v>3109</v>
      </c>
      <c r="C1495" s="3" t="s">
        <v>3114</v>
      </c>
      <c r="D1495" s="12" t="str">
        <f t="shared" si="180"/>
        <v>12-01</v>
      </c>
      <c r="E1495" s="1">
        <f>_xlfn.IFNA(VLOOKUP('Comp X - Kilter'!B1495,'Kilter Holds'!$P$36:$AB$370,13,0),0)</f>
        <v>0</v>
      </c>
      <c r="G1495" s="2">
        <f t="shared" si="181"/>
        <v>0</v>
      </c>
      <c r="H1495" s="2">
        <f t="shared" si="182"/>
        <v>0</v>
      </c>
    </row>
    <row r="1496" spans="2:8">
      <c r="B1496" s="3" t="s">
        <v>3146</v>
      </c>
      <c r="C1496" s="3" t="s">
        <v>3178</v>
      </c>
      <c r="D1496" s="5" t="str">
        <f t="shared" ref="D1496:D1531" si="183">D686</f>
        <v>11-12</v>
      </c>
      <c r="E1496" s="1">
        <f>_xlfn.IFNA(VLOOKUP('Comp X - Kilter'!B1496,'Kilter Holds'!$P$36:$AB$370,5,0),0)</f>
        <v>0</v>
      </c>
      <c r="G1496" s="2">
        <f t="shared" si="181"/>
        <v>0</v>
      </c>
      <c r="H1496" s="2">
        <f t="shared" si="182"/>
        <v>0</v>
      </c>
    </row>
    <row r="1497" spans="2:8">
      <c r="B1497" s="3" t="s">
        <v>3146</v>
      </c>
      <c r="C1497" s="3" t="s">
        <v>3178</v>
      </c>
      <c r="D1497" s="6" t="str">
        <f t="shared" si="183"/>
        <v>14-01</v>
      </c>
      <c r="E1497" s="1">
        <f>_xlfn.IFNA(VLOOKUP('Comp X - Kilter'!B1497,'Kilter Holds'!$P$36:$AB$370,6,0),0)</f>
        <v>0</v>
      </c>
      <c r="G1497" s="2">
        <f t="shared" si="181"/>
        <v>0</v>
      </c>
      <c r="H1497" s="2">
        <f t="shared" si="182"/>
        <v>0</v>
      </c>
    </row>
    <row r="1498" spans="2:8">
      <c r="B1498" s="3" t="s">
        <v>3146</v>
      </c>
      <c r="C1498" s="3" t="s">
        <v>3178</v>
      </c>
      <c r="D1498" s="7" t="str">
        <f t="shared" si="183"/>
        <v>15-12</v>
      </c>
      <c r="E1498" s="1">
        <f>_xlfn.IFNA(VLOOKUP('Comp X - Kilter'!B1498,'Kilter Holds'!$P$36:$AB$370,7,0),0)</f>
        <v>0</v>
      </c>
      <c r="G1498" s="2">
        <f t="shared" si="181"/>
        <v>0</v>
      </c>
      <c r="H1498" s="2">
        <f t="shared" si="182"/>
        <v>0</v>
      </c>
    </row>
    <row r="1499" spans="2:8">
      <c r="B1499" s="3" t="s">
        <v>3146</v>
      </c>
      <c r="C1499" s="3" t="s">
        <v>3178</v>
      </c>
      <c r="D1499" s="8" t="str">
        <f t="shared" si="183"/>
        <v>16-16</v>
      </c>
      <c r="E1499" s="1">
        <f>_xlfn.IFNA(VLOOKUP('Comp X - Kilter'!B1499,'Kilter Holds'!$P$36:$AB$370,8,0),0)</f>
        <v>0</v>
      </c>
      <c r="G1499" s="2">
        <f t="shared" si="181"/>
        <v>0</v>
      </c>
      <c r="H1499" s="2">
        <f t="shared" si="182"/>
        <v>0</v>
      </c>
    </row>
    <row r="1500" spans="2:8">
      <c r="B1500" s="3" t="s">
        <v>3146</v>
      </c>
      <c r="C1500" s="3" t="s">
        <v>3178</v>
      </c>
      <c r="D1500" s="9" t="str">
        <f t="shared" si="183"/>
        <v>13-01</v>
      </c>
      <c r="E1500" s="1">
        <f>_xlfn.IFNA(VLOOKUP('Comp X - Kilter'!B1500,'Kilter Holds'!$P$36:$AB$370,9,0),0)</f>
        <v>0</v>
      </c>
      <c r="G1500" s="2">
        <f t="shared" si="181"/>
        <v>0</v>
      </c>
      <c r="H1500" s="2">
        <f t="shared" si="182"/>
        <v>0</v>
      </c>
    </row>
    <row r="1501" spans="2:8">
      <c r="B1501" s="3" t="s">
        <v>3146</v>
      </c>
      <c r="C1501" s="3" t="s">
        <v>3178</v>
      </c>
      <c r="D1501" s="10" t="str">
        <f t="shared" si="183"/>
        <v>07-13</v>
      </c>
      <c r="E1501" s="1">
        <f>_xlfn.IFNA(VLOOKUP('Comp X - Kilter'!B1501,'Kilter Holds'!$P$36:$AB$370,10,0),0)</f>
        <v>0</v>
      </c>
      <c r="G1501" s="2">
        <f t="shared" si="181"/>
        <v>0</v>
      </c>
      <c r="H1501" s="2">
        <f t="shared" si="182"/>
        <v>0</v>
      </c>
    </row>
    <row r="1502" spans="2:8">
      <c r="B1502" s="3" t="s">
        <v>3146</v>
      </c>
      <c r="C1502" s="3" t="s">
        <v>3178</v>
      </c>
      <c r="D1502" s="11" t="str">
        <f t="shared" si="183"/>
        <v>11-25</v>
      </c>
      <c r="E1502" s="1">
        <f>_xlfn.IFNA(VLOOKUP('Comp X - Kilter'!B1502,'Kilter Holds'!$P$36:$AB$370,11,0),0)</f>
        <v>0</v>
      </c>
      <c r="G1502" s="2">
        <f t="shared" si="181"/>
        <v>0</v>
      </c>
      <c r="H1502" s="2">
        <f t="shared" si="182"/>
        <v>0</v>
      </c>
    </row>
    <row r="1503" spans="2:8">
      <c r="B1503" s="3" t="s">
        <v>3146</v>
      </c>
      <c r="C1503" s="3" t="s">
        <v>3178</v>
      </c>
      <c r="D1503" s="13" t="str">
        <f t="shared" si="183"/>
        <v>18-01</v>
      </c>
      <c r="E1503" s="1">
        <f>_xlfn.IFNA(VLOOKUP('Comp X - Kilter'!B1503,'Kilter Holds'!$P$36:$AB$370,12,0),0)</f>
        <v>0</v>
      </c>
      <c r="G1503" s="2">
        <f t="shared" si="181"/>
        <v>0</v>
      </c>
      <c r="H1503" s="2">
        <f t="shared" si="182"/>
        <v>0</v>
      </c>
    </row>
    <row r="1504" spans="2:8">
      <c r="B1504" s="3" t="s">
        <v>3146</v>
      </c>
      <c r="C1504" s="3" t="s">
        <v>3178</v>
      </c>
      <c r="D1504" s="12" t="str">
        <f t="shared" si="183"/>
        <v>12-01</v>
      </c>
      <c r="E1504" s="1">
        <f>_xlfn.IFNA(VLOOKUP('Comp X - Kilter'!B1504,'Kilter Holds'!$P$36:$AB$370,13,0),0)</f>
        <v>0</v>
      </c>
      <c r="G1504" s="2">
        <f t="shared" si="181"/>
        <v>0</v>
      </c>
      <c r="H1504" s="2">
        <f t="shared" si="182"/>
        <v>0</v>
      </c>
    </row>
    <row r="1505" spans="2:8">
      <c r="B1505" s="3" t="s">
        <v>3071</v>
      </c>
      <c r="C1505" s="3" t="s">
        <v>3072</v>
      </c>
      <c r="D1505" s="5" t="str">
        <f t="shared" si="183"/>
        <v>11-12</v>
      </c>
      <c r="E1505" s="1">
        <f>_xlfn.IFNA(VLOOKUP('Comp X - Kilter'!B1505,'Kilter Holds'!$P$36:$AB$370,5,0),0)</f>
        <v>1</v>
      </c>
      <c r="G1505" s="2">
        <f t="shared" si="157"/>
        <v>0</v>
      </c>
      <c r="H1505" s="2">
        <f t="shared" si="158"/>
        <v>0</v>
      </c>
    </row>
    <row r="1506" spans="2:8">
      <c r="B1506" s="3" t="s">
        <v>3071</v>
      </c>
      <c r="C1506" s="3" t="s">
        <v>3072</v>
      </c>
      <c r="D1506" s="6" t="str">
        <f t="shared" si="183"/>
        <v>14-01</v>
      </c>
      <c r="E1506" s="1">
        <f>_xlfn.IFNA(VLOOKUP('Comp X - Kilter'!B1506,'Kilter Holds'!$P$36:$AB$370,6,0),0)</f>
        <v>0</v>
      </c>
      <c r="G1506" s="2">
        <f t="shared" si="157"/>
        <v>0</v>
      </c>
      <c r="H1506" s="2">
        <f t="shared" si="158"/>
        <v>0</v>
      </c>
    </row>
    <row r="1507" spans="2:8">
      <c r="B1507" s="3" t="s">
        <v>3071</v>
      </c>
      <c r="C1507" s="3" t="s">
        <v>3072</v>
      </c>
      <c r="D1507" s="7" t="str">
        <f t="shared" si="183"/>
        <v>15-12</v>
      </c>
      <c r="E1507" s="1">
        <f>_xlfn.IFNA(VLOOKUP('Comp X - Kilter'!B1507,'Kilter Holds'!$P$36:$AB$370,7,0),0)</f>
        <v>5</v>
      </c>
      <c r="G1507" s="2">
        <f t="shared" si="157"/>
        <v>0</v>
      </c>
      <c r="H1507" s="2">
        <f t="shared" si="158"/>
        <v>0</v>
      </c>
    </row>
    <row r="1508" spans="2:8">
      <c r="B1508" s="3" t="s">
        <v>3071</v>
      </c>
      <c r="C1508" s="3" t="s">
        <v>3072</v>
      </c>
      <c r="D1508" s="8" t="str">
        <f t="shared" si="183"/>
        <v>16-16</v>
      </c>
      <c r="E1508" s="1">
        <f>_xlfn.IFNA(VLOOKUP('Comp X - Kilter'!B1508,'Kilter Holds'!$P$36:$AB$370,8,0),0)</f>
        <v>4</v>
      </c>
      <c r="G1508" s="2">
        <f t="shared" si="157"/>
        <v>0</v>
      </c>
      <c r="H1508" s="2">
        <f t="shared" si="158"/>
        <v>0</v>
      </c>
    </row>
    <row r="1509" spans="2:8">
      <c r="B1509" s="3" t="s">
        <v>3071</v>
      </c>
      <c r="C1509" s="3" t="s">
        <v>3072</v>
      </c>
      <c r="D1509" s="9" t="str">
        <f t="shared" si="183"/>
        <v>13-01</v>
      </c>
      <c r="E1509" s="1">
        <f>_xlfn.IFNA(VLOOKUP('Comp X - Kilter'!B1509,'Kilter Holds'!$P$36:$AB$370,9,0),0)</f>
        <v>3</v>
      </c>
      <c r="G1509" s="2">
        <f t="shared" si="157"/>
        <v>0</v>
      </c>
      <c r="H1509" s="2">
        <f t="shared" si="158"/>
        <v>0</v>
      </c>
    </row>
    <row r="1510" spans="2:8">
      <c r="B1510" s="3" t="s">
        <v>3071</v>
      </c>
      <c r="C1510" s="3" t="s">
        <v>3072</v>
      </c>
      <c r="D1510" s="10" t="str">
        <f t="shared" si="183"/>
        <v>07-13</v>
      </c>
      <c r="E1510" s="1">
        <f>_xlfn.IFNA(VLOOKUP('Comp X - Kilter'!B1510,'Kilter Holds'!$P$36:$AB$370,10,0),0)</f>
        <v>0</v>
      </c>
      <c r="G1510" s="2">
        <f t="shared" si="157"/>
        <v>0</v>
      </c>
      <c r="H1510" s="2">
        <f t="shared" si="158"/>
        <v>0</v>
      </c>
    </row>
    <row r="1511" spans="2:8">
      <c r="B1511" s="3" t="s">
        <v>3071</v>
      </c>
      <c r="C1511" s="3" t="s">
        <v>3072</v>
      </c>
      <c r="D1511" s="11" t="str">
        <f t="shared" si="183"/>
        <v>11-25</v>
      </c>
      <c r="E1511" s="1">
        <f>_xlfn.IFNA(VLOOKUP('Comp X - Kilter'!B1511,'Kilter Holds'!$P$36:$AB$370,11,0),0)</f>
        <v>0</v>
      </c>
      <c r="G1511" s="2">
        <f t="shared" si="157"/>
        <v>0</v>
      </c>
      <c r="H1511" s="2">
        <f t="shared" si="158"/>
        <v>0</v>
      </c>
    </row>
    <row r="1512" spans="2:8">
      <c r="B1512" s="3" t="s">
        <v>3071</v>
      </c>
      <c r="C1512" s="3" t="s">
        <v>3072</v>
      </c>
      <c r="D1512" s="13" t="str">
        <f t="shared" si="183"/>
        <v>18-01</v>
      </c>
      <c r="E1512" s="1">
        <f>_xlfn.IFNA(VLOOKUP('Comp X - Kilter'!B1512,'Kilter Holds'!$P$36:$AB$370,12,0),0)</f>
        <v>0</v>
      </c>
      <c r="G1512" s="2">
        <f t="shared" si="157"/>
        <v>0</v>
      </c>
      <c r="H1512" s="2">
        <f t="shared" si="158"/>
        <v>0</v>
      </c>
    </row>
    <row r="1513" spans="2:8">
      <c r="B1513" s="3" t="s">
        <v>3071</v>
      </c>
      <c r="C1513" s="3" t="s">
        <v>3072</v>
      </c>
      <c r="D1513" s="12" t="str">
        <f t="shared" si="183"/>
        <v>12-01</v>
      </c>
      <c r="E1513" s="1">
        <f>_xlfn.IFNA(VLOOKUP('Comp X - Kilter'!B1513,'Kilter Holds'!$P$36:$AB$370,13,0),0)</f>
        <v>0</v>
      </c>
      <c r="G1513" s="2">
        <f t="shared" si="157"/>
        <v>0</v>
      </c>
      <c r="H1513" s="2">
        <f t="shared" si="158"/>
        <v>0</v>
      </c>
    </row>
    <row r="1514" spans="2:8">
      <c r="B1514" s="3" t="s">
        <v>3082</v>
      </c>
      <c r="C1514" s="3" t="s">
        <v>3083</v>
      </c>
      <c r="D1514" s="5" t="str">
        <f t="shared" si="183"/>
        <v>11-12</v>
      </c>
      <c r="E1514" s="1">
        <f>_xlfn.IFNA(VLOOKUP('Comp X - Kilter'!B1514,'Kilter Holds'!$P$36:$AB$370,5,0),0)</f>
        <v>0</v>
      </c>
      <c r="G1514" s="2">
        <f t="shared" ref="G1514:G1522" si="184">E1514*F1514</f>
        <v>0</v>
      </c>
      <c r="H1514" s="2">
        <f t="shared" ref="H1514:H1522" si="185">IF($S$11="Y",G1514*0.15,0)</f>
        <v>0</v>
      </c>
    </row>
    <row r="1515" spans="2:8">
      <c r="B1515" s="3" t="s">
        <v>3082</v>
      </c>
      <c r="C1515" s="3" t="s">
        <v>3083</v>
      </c>
      <c r="D1515" s="6" t="str">
        <f t="shared" si="183"/>
        <v>14-01</v>
      </c>
      <c r="E1515" s="1">
        <f>_xlfn.IFNA(VLOOKUP('Comp X - Kilter'!B1515,'Kilter Holds'!$P$36:$AB$370,6,0),0)</f>
        <v>0</v>
      </c>
      <c r="G1515" s="2">
        <f t="shared" si="184"/>
        <v>0</v>
      </c>
      <c r="H1515" s="2">
        <f t="shared" si="185"/>
        <v>0</v>
      </c>
    </row>
    <row r="1516" spans="2:8">
      <c r="B1516" s="3" t="s">
        <v>3082</v>
      </c>
      <c r="C1516" s="3" t="s">
        <v>3083</v>
      </c>
      <c r="D1516" s="7" t="str">
        <f t="shared" si="183"/>
        <v>15-12</v>
      </c>
      <c r="E1516" s="1">
        <f>_xlfn.IFNA(VLOOKUP('Comp X - Kilter'!B1516,'Kilter Holds'!$P$36:$AB$370,7,0),0)</f>
        <v>5</v>
      </c>
      <c r="G1516" s="2">
        <f t="shared" si="184"/>
        <v>0</v>
      </c>
      <c r="H1516" s="2">
        <f t="shared" si="185"/>
        <v>0</v>
      </c>
    </row>
    <row r="1517" spans="2:8">
      <c r="B1517" s="3" t="s">
        <v>3082</v>
      </c>
      <c r="C1517" s="3" t="s">
        <v>3083</v>
      </c>
      <c r="D1517" s="8" t="str">
        <f t="shared" si="183"/>
        <v>16-16</v>
      </c>
      <c r="E1517" s="1">
        <f>_xlfn.IFNA(VLOOKUP('Comp X - Kilter'!B1517,'Kilter Holds'!$P$36:$AB$370,8,0),0)</f>
        <v>4</v>
      </c>
      <c r="G1517" s="2">
        <f t="shared" si="184"/>
        <v>0</v>
      </c>
      <c r="H1517" s="2">
        <f t="shared" si="185"/>
        <v>0</v>
      </c>
    </row>
    <row r="1518" spans="2:8">
      <c r="B1518" s="3" t="s">
        <v>3082</v>
      </c>
      <c r="C1518" s="3" t="s">
        <v>3083</v>
      </c>
      <c r="D1518" s="9" t="str">
        <f t="shared" si="183"/>
        <v>13-01</v>
      </c>
      <c r="E1518" s="1">
        <f>_xlfn.IFNA(VLOOKUP('Comp X - Kilter'!B1518,'Kilter Holds'!$P$36:$AB$370,9,0),0)</f>
        <v>5</v>
      </c>
      <c r="G1518" s="2">
        <f t="shared" si="184"/>
        <v>0</v>
      </c>
      <c r="H1518" s="2">
        <f t="shared" si="185"/>
        <v>0</v>
      </c>
    </row>
    <row r="1519" spans="2:8">
      <c r="B1519" s="3" t="s">
        <v>3082</v>
      </c>
      <c r="C1519" s="3" t="s">
        <v>3083</v>
      </c>
      <c r="D1519" s="10" t="str">
        <f t="shared" si="183"/>
        <v>07-13</v>
      </c>
      <c r="E1519" s="1">
        <f>_xlfn.IFNA(VLOOKUP('Comp X - Kilter'!B1519,'Kilter Holds'!$P$36:$AB$370,10,0),0)</f>
        <v>5</v>
      </c>
      <c r="G1519" s="2">
        <f t="shared" si="184"/>
        <v>0</v>
      </c>
      <c r="H1519" s="2">
        <f t="shared" si="185"/>
        <v>0</v>
      </c>
    </row>
    <row r="1520" spans="2:8">
      <c r="B1520" s="3" t="s">
        <v>3082</v>
      </c>
      <c r="C1520" s="3" t="s">
        <v>3083</v>
      </c>
      <c r="D1520" s="11" t="str">
        <f t="shared" si="183"/>
        <v>11-25</v>
      </c>
      <c r="E1520" s="1">
        <f>_xlfn.IFNA(VLOOKUP('Comp X - Kilter'!B1520,'Kilter Holds'!$P$36:$AB$370,11,0),0)</f>
        <v>0</v>
      </c>
      <c r="G1520" s="2">
        <f t="shared" si="184"/>
        <v>0</v>
      </c>
      <c r="H1520" s="2">
        <f t="shared" si="185"/>
        <v>0</v>
      </c>
    </row>
    <row r="1521" spans="2:8">
      <c r="B1521" s="3" t="s">
        <v>3082</v>
      </c>
      <c r="C1521" s="3" t="s">
        <v>3083</v>
      </c>
      <c r="D1521" s="13" t="str">
        <f t="shared" si="183"/>
        <v>18-01</v>
      </c>
      <c r="E1521" s="1">
        <f>_xlfn.IFNA(VLOOKUP('Comp X - Kilter'!B1521,'Kilter Holds'!$P$36:$AB$370,12,0),0)</f>
        <v>5</v>
      </c>
      <c r="G1521" s="2">
        <f t="shared" si="184"/>
        <v>0</v>
      </c>
      <c r="H1521" s="2">
        <f t="shared" si="185"/>
        <v>0</v>
      </c>
    </row>
    <row r="1522" spans="2:8">
      <c r="B1522" s="3" t="s">
        <v>3082</v>
      </c>
      <c r="C1522" s="3" t="s">
        <v>3083</v>
      </c>
      <c r="D1522" s="12" t="str">
        <f t="shared" si="183"/>
        <v>12-01</v>
      </c>
      <c r="E1522" s="1">
        <f>_xlfn.IFNA(VLOOKUP('Comp X - Kilter'!B1522,'Kilter Holds'!$P$36:$AB$370,13,0),0)</f>
        <v>0</v>
      </c>
      <c r="G1522" s="2">
        <f t="shared" si="184"/>
        <v>0</v>
      </c>
      <c r="H1522" s="2">
        <f t="shared" si="185"/>
        <v>0</v>
      </c>
    </row>
    <row r="1523" spans="2:8">
      <c r="B1523" s="3" t="s">
        <v>3122</v>
      </c>
      <c r="C1523" s="3" t="s">
        <v>3123</v>
      </c>
      <c r="D1523" s="5" t="str">
        <f t="shared" si="183"/>
        <v>11-12</v>
      </c>
      <c r="E1523" s="1">
        <f>_xlfn.IFNA(VLOOKUP('Comp X - Kilter'!B1523,'Kilter Holds'!$P$36:$AB$370,5,0),0)</f>
        <v>0</v>
      </c>
      <c r="G1523" s="2">
        <f t="shared" ref="G1523:G1531" si="186">E1523*F1523</f>
        <v>0</v>
      </c>
      <c r="H1523" s="2">
        <f t="shared" ref="H1523:H1531" si="187">IF($S$11="Y",G1523*0.15,0)</f>
        <v>0</v>
      </c>
    </row>
    <row r="1524" spans="2:8">
      <c r="B1524" s="3" t="s">
        <v>3122</v>
      </c>
      <c r="C1524" s="3" t="s">
        <v>3123</v>
      </c>
      <c r="D1524" s="6" t="str">
        <f t="shared" si="183"/>
        <v>14-01</v>
      </c>
      <c r="E1524" s="1">
        <f>_xlfn.IFNA(VLOOKUP('Comp X - Kilter'!B1524,'Kilter Holds'!$P$36:$AB$370,6,0),0)</f>
        <v>0</v>
      </c>
      <c r="G1524" s="2">
        <f t="shared" si="186"/>
        <v>0</v>
      </c>
      <c r="H1524" s="2">
        <f t="shared" si="187"/>
        <v>0</v>
      </c>
    </row>
    <row r="1525" spans="2:8">
      <c r="B1525" s="3" t="s">
        <v>3122</v>
      </c>
      <c r="C1525" s="3" t="s">
        <v>3123</v>
      </c>
      <c r="D1525" s="7" t="str">
        <f t="shared" si="183"/>
        <v>15-12</v>
      </c>
      <c r="E1525" s="1">
        <f>_xlfn.IFNA(VLOOKUP('Comp X - Kilter'!B1525,'Kilter Holds'!$P$36:$AB$370,7,0),0)</f>
        <v>0</v>
      </c>
      <c r="G1525" s="2">
        <f t="shared" si="186"/>
        <v>0</v>
      </c>
      <c r="H1525" s="2">
        <f t="shared" si="187"/>
        <v>0</v>
      </c>
    </row>
    <row r="1526" spans="2:8">
      <c r="B1526" s="3" t="s">
        <v>3122</v>
      </c>
      <c r="C1526" s="3" t="s">
        <v>3123</v>
      </c>
      <c r="D1526" s="8" t="str">
        <f t="shared" si="183"/>
        <v>16-16</v>
      </c>
      <c r="E1526" s="1">
        <f>_xlfn.IFNA(VLOOKUP('Comp X - Kilter'!B1526,'Kilter Holds'!$P$36:$AB$370,8,0),0)</f>
        <v>0</v>
      </c>
      <c r="G1526" s="2">
        <f t="shared" si="186"/>
        <v>0</v>
      </c>
      <c r="H1526" s="2">
        <f t="shared" si="187"/>
        <v>0</v>
      </c>
    </row>
    <row r="1527" spans="2:8">
      <c r="B1527" s="3" t="s">
        <v>3122</v>
      </c>
      <c r="C1527" s="3" t="s">
        <v>3123</v>
      </c>
      <c r="D1527" s="9" t="str">
        <f t="shared" si="183"/>
        <v>13-01</v>
      </c>
      <c r="E1527" s="1">
        <f>_xlfn.IFNA(VLOOKUP('Comp X - Kilter'!B1527,'Kilter Holds'!$P$36:$AB$370,9,0),0)</f>
        <v>0</v>
      </c>
      <c r="G1527" s="2">
        <f t="shared" si="186"/>
        <v>0</v>
      </c>
      <c r="H1527" s="2">
        <f t="shared" si="187"/>
        <v>0</v>
      </c>
    </row>
    <row r="1528" spans="2:8">
      <c r="B1528" s="3" t="s">
        <v>3122</v>
      </c>
      <c r="C1528" s="3" t="s">
        <v>3123</v>
      </c>
      <c r="D1528" s="10" t="str">
        <f t="shared" si="183"/>
        <v>07-13</v>
      </c>
      <c r="E1528" s="1">
        <f>_xlfn.IFNA(VLOOKUP('Comp X - Kilter'!B1528,'Kilter Holds'!$P$36:$AB$370,10,0),0)</f>
        <v>0</v>
      </c>
      <c r="G1528" s="2">
        <f t="shared" si="186"/>
        <v>0</v>
      </c>
      <c r="H1528" s="2">
        <f t="shared" si="187"/>
        <v>0</v>
      </c>
    </row>
    <row r="1529" spans="2:8">
      <c r="B1529" s="3" t="s">
        <v>3122</v>
      </c>
      <c r="C1529" s="3" t="s">
        <v>3123</v>
      </c>
      <c r="D1529" s="11" t="str">
        <f t="shared" si="183"/>
        <v>11-25</v>
      </c>
      <c r="E1529" s="1">
        <f>_xlfn.IFNA(VLOOKUP('Comp X - Kilter'!B1529,'Kilter Holds'!$P$36:$AB$370,11,0),0)</f>
        <v>0</v>
      </c>
      <c r="G1529" s="2">
        <f t="shared" si="186"/>
        <v>0</v>
      </c>
      <c r="H1529" s="2">
        <f t="shared" si="187"/>
        <v>0</v>
      </c>
    </row>
    <row r="1530" spans="2:8">
      <c r="B1530" s="3" t="s">
        <v>3122</v>
      </c>
      <c r="C1530" s="3" t="s">
        <v>3123</v>
      </c>
      <c r="D1530" s="13" t="str">
        <f t="shared" si="183"/>
        <v>18-01</v>
      </c>
      <c r="E1530" s="1">
        <f>_xlfn.IFNA(VLOOKUP('Comp X - Kilter'!B1530,'Kilter Holds'!$P$36:$AB$370,12,0),0)</f>
        <v>0</v>
      </c>
      <c r="G1530" s="2">
        <f t="shared" si="186"/>
        <v>0</v>
      </c>
      <c r="H1530" s="2">
        <f t="shared" si="187"/>
        <v>0</v>
      </c>
    </row>
    <row r="1531" spans="2:8">
      <c r="B1531" s="3" t="s">
        <v>3122</v>
      </c>
      <c r="C1531" s="3" t="s">
        <v>3123</v>
      </c>
      <c r="D1531" s="12" t="str">
        <f t="shared" si="183"/>
        <v>12-01</v>
      </c>
      <c r="E1531" s="1">
        <f>_xlfn.IFNA(VLOOKUP('Comp X - Kilter'!B1531,'Kilter Holds'!$P$36:$AB$370,13,0),0)</f>
        <v>0</v>
      </c>
      <c r="G1531" s="2">
        <f t="shared" si="186"/>
        <v>0</v>
      </c>
      <c r="H1531" s="2">
        <f t="shared" si="187"/>
        <v>0</v>
      </c>
    </row>
    <row r="1532" spans="2:8">
      <c r="B1532" s="3" t="s">
        <v>2894</v>
      </c>
      <c r="C1532" s="3" t="s">
        <v>2895</v>
      </c>
      <c r="D1532" s="5" t="str">
        <f t="shared" ref="D1532:D1540" si="188">D560</f>
        <v>11-12</v>
      </c>
      <c r="E1532" s="1">
        <f>_xlfn.IFNA(VLOOKUP('Comp X - Kilter'!B1532,'Kilter Holds'!$P$36:$AB$370,5,0),0)</f>
        <v>4</v>
      </c>
      <c r="G1532" s="2">
        <f t="shared" ref="G1532:G1540" si="189">E1532*F1532</f>
        <v>0</v>
      </c>
      <c r="H1532" s="2">
        <f t="shared" ref="H1532:H1540" si="190">IF($S$11="Y",G1532*0.15,0)</f>
        <v>0</v>
      </c>
    </row>
    <row r="1533" spans="2:8">
      <c r="B1533" s="3" t="s">
        <v>2894</v>
      </c>
      <c r="C1533" s="3" t="s">
        <v>2895</v>
      </c>
      <c r="D1533" s="6" t="str">
        <f t="shared" si="188"/>
        <v>14-01</v>
      </c>
      <c r="E1533" s="1">
        <f>_xlfn.IFNA(VLOOKUP('Comp X - Kilter'!B1533,'Kilter Holds'!$P$36:$AB$370,6,0),0)</f>
        <v>0</v>
      </c>
      <c r="G1533" s="2">
        <f t="shared" si="189"/>
        <v>0</v>
      </c>
      <c r="H1533" s="2">
        <f t="shared" si="190"/>
        <v>0</v>
      </c>
    </row>
    <row r="1534" spans="2:8">
      <c r="B1534" s="3" t="s">
        <v>2894</v>
      </c>
      <c r="C1534" s="3" t="s">
        <v>2895</v>
      </c>
      <c r="D1534" s="7" t="str">
        <f t="shared" si="188"/>
        <v>15-12</v>
      </c>
      <c r="E1534" s="1">
        <f>_xlfn.IFNA(VLOOKUP('Comp X - Kilter'!B1534,'Kilter Holds'!$P$36:$AB$370,7,0),0)</f>
        <v>5</v>
      </c>
      <c r="G1534" s="2">
        <f t="shared" si="189"/>
        <v>0</v>
      </c>
      <c r="H1534" s="2">
        <f t="shared" si="190"/>
        <v>0</v>
      </c>
    </row>
    <row r="1535" spans="2:8">
      <c r="B1535" s="3" t="s">
        <v>2894</v>
      </c>
      <c r="C1535" s="3" t="s">
        <v>2895</v>
      </c>
      <c r="D1535" s="8" t="str">
        <f t="shared" si="188"/>
        <v>16-16</v>
      </c>
      <c r="E1535" s="1">
        <f>_xlfn.IFNA(VLOOKUP('Comp X - Kilter'!B1535,'Kilter Holds'!$P$36:$AB$370,8,0),0)</f>
        <v>4</v>
      </c>
      <c r="G1535" s="2">
        <f t="shared" si="189"/>
        <v>0</v>
      </c>
      <c r="H1535" s="2">
        <f t="shared" si="190"/>
        <v>0</v>
      </c>
    </row>
    <row r="1536" spans="2:8">
      <c r="B1536" s="3" t="s">
        <v>2894</v>
      </c>
      <c r="C1536" s="3" t="s">
        <v>2895</v>
      </c>
      <c r="D1536" s="9" t="str">
        <f t="shared" si="188"/>
        <v>13-01</v>
      </c>
      <c r="E1536" s="1">
        <f>_xlfn.IFNA(VLOOKUP('Comp X - Kilter'!B1536,'Kilter Holds'!$P$36:$AB$370,9,0),0)</f>
        <v>4</v>
      </c>
      <c r="G1536" s="2">
        <f t="shared" si="189"/>
        <v>0</v>
      </c>
      <c r="H1536" s="2">
        <f t="shared" si="190"/>
        <v>0</v>
      </c>
    </row>
    <row r="1537" spans="2:8">
      <c r="B1537" s="3" t="s">
        <v>2894</v>
      </c>
      <c r="C1537" s="3" t="s">
        <v>2895</v>
      </c>
      <c r="D1537" s="10" t="str">
        <f t="shared" si="188"/>
        <v>07-13</v>
      </c>
      <c r="E1537" s="1">
        <f>_xlfn.IFNA(VLOOKUP('Comp X - Kilter'!B1537,'Kilter Holds'!$P$36:$AB$370,10,0),0)</f>
        <v>0</v>
      </c>
      <c r="G1537" s="2">
        <f t="shared" si="189"/>
        <v>0</v>
      </c>
      <c r="H1537" s="2">
        <f t="shared" si="190"/>
        <v>0</v>
      </c>
    </row>
    <row r="1538" spans="2:8">
      <c r="B1538" s="3" t="s">
        <v>2894</v>
      </c>
      <c r="C1538" s="3" t="s">
        <v>2895</v>
      </c>
      <c r="D1538" s="11" t="str">
        <f t="shared" si="188"/>
        <v>11-25</v>
      </c>
      <c r="E1538" s="1">
        <f>_xlfn.IFNA(VLOOKUP('Comp X - Kilter'!B1538,'Kilter Holds'!$P$36:$AB$370,11,0),0)</f>
        <v>0</v>
      </c>
      <c r="G1538" s="2">
        <f t="shared" si="189"/>
        <v>0</v>
      </c>
      <c r="H1538" s="2">
        <f t="shared" si="190"/>
        <v>0</v>
      </c>
    </row>
    <row r="1539" spans="2:8">
      <c r="B1539" s="3" t="s">
        <v>2894</v>
      </c>
      <c r="C1539" s="3" t="s">
        <v>2895</v>
      </c>
      <c r="D1539" s="13" t="str">
        <f t="shared" si="188"/>
        <v>18-01</v>
      </c>
      <c r="E1539" s="1">
        <f>_xlfn.IFNA(VLOOKUP('Comp X - Kilter'!B1539,'Kilter Holds'!$P$36:$AB$370,12,0),0)</f>
        <v>5</v>
      </c>
      <c r="G1539" s="2">
        <f t="shared" si="189"/>
        <v>0</v>
      </c>
      <c r="H1539" s="2">
        <f t="shared" si="190"/>
        <v>0</v>
      </c>
    </row>
    <row r="1540" spans="2:8">
      <c r="B1540" s="3" t="s">
        <v>2894</v>
      </c>
      <c r="C1540" s="3" t="s">
        <v>2895</v>
      </c>
      <c r="D1540" s="12" t="str">
        <f t="shared" si="188"/>
        <v>12-01</v>
      </c>
      <c r="E1540" s="1">
        <f>_xlfn.IFNA(VLOOKUP('Comp X - Kilter'!B1540,'Kilter Holds'!$P$36:$AB$370,13,0),0)</f>
        <v>0</v>
      </c>
      <c r="G1540" s="2">
        <f t="shared" si="189"/>
        <v>0</v>
      </c>
      <c r="H1540" s="2">
        <f t="shared" si="190"/>
        <v>0</v>
      </c>
    </row>
    <row r="1541" spans="2:8">
      <c r="B1541" t="s">
        <v>535</v>
      </c>
      <c r="C1541" s="3" t="s">
        <v>2316</v>
      </c>
      <c r="D1541" s="5" t="str">
        <f t="shared" ref="D1541:D1549" si="191">D560</f>
        <v>11-12</v>
      </c>
      <c r="E1541" s="1">
        <f>_xlfn.IFNA(VLOOKUP('Comp X - Kilter'!B1541,'Kilter Holds'!$P$36:$AB$370,5,0),0)</f>
        <v>7</v>
      </c>
      <c r="G1541" s="2">
        <f t="shared" si="28"/>
        <v>0</v>
      </c>
      <c r="H1541" s="2">
        <f t="shared" si="29"/>
        <v>0</v>
      </c>
    </row>
    <row r="1542" spans="2:8">
      <c r="B1542" t="s">
        <v>535</v>
      </c>
      <c r="C1542" s="3" t="s">
        <v>2316</v>
      </c>
      <c r="D1542" s="6" t="str">
        <f t="shared" si="191"/>
        <v>14-01</v>
      </c>
      <c r="E1542" s="1">
        <f>_xlfn.IFNA(VLOOKUP('Comp X - Kilter'!B1542,'Kilter Holds'!$P$36:$AB$370,6,0),0)</f>
        <v>0</v>
      </c>
      <c r="G1542" s="2">
        <f t="shared" si="28"/>
        <v>0</v>
      </c>
      <c r="H1542" s="2">
        <f t="shared" si="29"/>
        <v>0</v>
      </c>
    </row>
    <row r="1543" spans="2:8">
      <c r="B1543" t="s">
        <v>535</v>
      </c>
      <c r="C1543" s="3" t="s">
        <v>2316</v>
      </c>
      <c r="D1543" s="7" t="str">
        <f t="shared" si="191"/>
        <v>15-12</v>
      </c>
      <c r="E1543" s="1">
        <f>_xlfn.IFNA(VLOOKUP('Comp X - Kilter'!B1543,'Kilter Holds'!$P$36:$AB$370,7,0),0)</f>
        <v>3</v>
      </c>
      <c r="G1543" s="2">
        <f t="shared" si="28"/>
        <v>0</v>
      </c>
      <c r="H1543" s="2">
        <f t="shared" si="29"/>
        <v>0</v>
      </c>
    </row>
    <row r="1544" spans="2:8">
      <c r="B1544" t="s">
        <v>535</v>
      </c>
      <c r="C1544" s="3" t="s">
        <v>2316</v>
      </c>
      <c r="D1544" s="8" t="str">
        <f t="shared" si="191"/>
        <v>16-16</v>
      </c>
      <c r="E1544" s="1">
        <f>_xlfn.IFNA(VLOOKUP('Comp X - Kilter'!B1544,'Kilter Holds'!$P$36:$AB$370,8,0),0)</f>
        <v>10</v>
      </c>
      <c r="G1544" s="2">
        <f t="shared" si="28"/>
        <v>0</v>
      </c>
      <c r="H1544" s="2">
        <f t="shared" si="29"/>
        <v>0</v>
      </c>
    </row>
    <row r="1545" spans="2:8">
      <c r="B1545" t="s">
        <v>535</v>
      </c>
      <c r="C1545" s="3" t="s">
        <v>2316</v>
      </c>
      <c r="D1545" s="9" t="str">
        <f t="shared" si="191"/>
        <v>13-01</v>
      </c>
      <c r="E1545" s="1">
        <f>_xlfn.IFNA(VLOOKUP('Comp X - Kilter'!B1545,'Kilter Holds'!$P$36:$AB$370,9,0),0)</f>
        <v>2</v>
      </c>
      <c r="G1545" s="2">
        <f t="shared" si="28"/>
        <v>0</v>
      </c>
      <c r="H1545" s="2">
        <f t="shared" si="29"/>
        <v>0</v>
      </c>
    </row>
    <row r="1546" spans="2:8">
      <c r="B1546" t="s">
        <v>535</v>
      </c>
      <c r="C1546" s="3" t="s">
        <v>2316</v>
      </c>
      <c r="D1546" s="10" t="str">
        <f t="shared" si="191"/>
        <v>07-13</v>
      </c>
      <c r="E1546" s="1">
        <f>_xlfn.IFNA(VLOOKUP('Comp X - Kilter'!B1546,'Kilter Holds'!$P$36:$AB$370,10,0),0)</f>
        <v>5</v>
      </c>
      <c r="G1546" s="2">
        <f t="shared" si="28"/>
        <v>0</v>
      </c>
      <c r="H1546" s="2">
        <f t="shared" si="29"/>
        <v>0</v>
      </c>
    </row>
    <row r="1547" spans="2:8">
      <c r="B1547" t="s">
        <v>535</v>
      </c>
      <c r="C1547" s="3" t="s">
        <v>2316</v>
      </c>
      <c r="D1547" s="11" t="str">
        <f t="shared" si="191"/>
        <v>11-25</v>
      </c>
      <c r="E1547" s="1">
        <f>_xlfn.IFNA(VLOOKUP('Comp X - Kilter'!B1547,'Kilter Holds'!$P$36:$AB$370,11,0),0)</f>
        <v>3</v>
      </c>
      <c r="G1547" s="2">
        <f t="shared" si="28"/>
        <v>0</v>
      </c>
      <c r="H1547" s="2">
        <f t="shared" si="29"/>
        <v>0</v>
      </c>
    </row>
    <row r="1548" spans="2:8">
      <c r="B1548" t="s">
        <v>535</v>
      </c>
      <c r="C1548" s="3" t="s">
        <v>2316</v>
      </c>
      <c r="D1548" s="13" t="str">
        <f t="shared" si="191"/>
        <v>18-01</v>
      </c>
      <c r="E1548" s="1">
        <f>_xlfn.IFNA(VLOOKUP('Comp X - Kilter'!B1548,'Kilter Holds'!$P$36:$AB$370,12,0),0)</f>
        <v>12</v>
      </c>
      <c r="G1548" s="2">
        <f t="shared" si="28"/>
        <v>0</v>
      </c>
      <c r="H1548" s="2">
        <f t="shared" si="29"/>
        <v>0</v>
      </c>
    </row>
    <row r="1549" spans="2:8">
      <c r="B1549" t="s">
        <v>535</v>
      </c>
      <c r="C1549" s="3" t="s">
        <v>2316</v>
      </c>
      <c r="D1549" s="12" t="str">
        <f t="shared" si="191"/>
        <v>12-01</v>
      </c>
      <c r="E1549" s="1">
        <f>_xlfn.IFNA(VLOOKUP('Comp X - Kilter'!B1549,'Kilter Holds'!$P$36:$AB$370,13,0),0)</f>
        <v>0</v>
      </c>
      <c r="G1549" s="2">
        <f t="shared" si="28"/>
        <v>0</v>
      </c>
      <c r="H1549" s="2">
        <f t="shared" si="29"/>
        <v>0</v>
      </c>
    </row>
    <row r="1550" spans="2:8">
      <c r="B1550" t="s">
        <v>436</v>
      </c>
      <c r="C1550" s="3" t="s">
        <v>2317</v>
      </c>
      <c r="D1550" s="5" t="str">
        <f t="shared" si="34"/>
        <v>11-12</v>
      </c>
      <c r="E1550" s="1">
        <f>_xlfn.IFNA(VLOOKUP('Comp X - Kilter'!B1550,'Kilter Holds'!$P$36:$AB$370,5,0),0)</f>
        <v>2</v>
      </c>
      <c r="G1550" s="2">
        <f t="shared" si="28"/>
        <v>0</v>
      </c>
      <c r="H1550" s="2">
        <f t="shared" si="29"/>
        <v>0</v>
      </c>
    </row>
    <row r="1551" spans="2:8">
      <c r="B1551" t="s">
        <v>436</v>
      </c>
      <c r="C1551" s="3" t="s">
        <v>2317</v>
      </c>
      <c r="D1551" s="6" t="str">
        <f t="shared" si="34"/>
        <v>14-01</v>
      </c>
      <c r="E1551" s="1">
        <f>_xlfn.IFNA(VLOOKUP('Comp X - Kilter'!B1551,'Kilter Holds'!$P$36:$AB$370,6,0),0)</f>
        <v>0</v>
      </c>
      <c r="G1551" s="2">
        <f t="shared" si="28"/>
        <v>0</v>
      </c>
      <c r="H1551" s="2">
        <f t="shared" si="29"/>
        <v>0</v>
      </c>
    </row>
    <row r="1552" spans="2:8">
      <c r="B1552" t="s">
        <v>436</v>
      </c>
      <c r="C1552" s="3" t="s">
        <v>2317</v>
      </c>
      <c r="D1552" s="7" t="str">
        <f t="shared" si="34"/>
        <v>15-12</v>
      </c>
      <c r="E1552" s="1">
        <f>_xlfn.IFNA(VLOOKUP('Comp X - Kilter'!B1552,'Kilter Holds'!$P$36:$AB$370,7,0),0)</f>
        <v>4</v>
      </c>
      <c r="G1552" s="2">
        <f t="shared" si="28"/>
        <v>0</v>
      </c>
      <c r="H1552" s="2">
        <f t="shared" si="29"/>
        <v>0</v>
      </c>
    </row>
    <row r="1553" spans="2:8">
      <c r="B1553" t="s">
        <v>436</v>
      </c>
      <c r="C1553" s="3" t="s">
        <v>2317</v>
      </c>
      <c r="D1553" s="8" t="str">
        <f t="shared" si="34"/>
        <v>16-16</v>
      </c>
      <c r="E1553" s="1">
        <f>_xlfn.IFNA(VLOOKUP('Comp X - Kilter'!B1553,'Kilter Holds'!$P$36:$AB$370,8,0),0)</f>
        <v>4</v>
      </c>
      <c r="G1553" s="2">
        <f t="shared" si="28"/>
        <v>0</v>
      </c>
      <c r="H1553" s="2">
        <f t="shared" si="29"/>
        <v>0</v>
      </c>
    </row>
    <row r="1554" spans="2:8">
      <c r="B1554" t="s">
        <v>436</v>
      </c>
      <c r="C1554" s="3" t="s">
        <v>2317</v>
      </c>
      <c r="D1554" s="9" t="str">
        <f t="shared" si="34"/>
        <v>13-01</v>
      </c>
      <c r="E1554" s="1">
        <f>_xlfn.IFNA(VLOOKUP('Comp X - Kilter'!B1554,'Kilter Holds'!$P$36:$AB$370,9,0),0)</f>
        <v>6</v>
      </c>
      <c r="G1554" s="2">
        <f t="shared" si="28"/>
        <v>0</v>
      </c>
      <c r="H1554" s="2">
        <f t="shared" si="29"/>
        <v>0</v>
      </c>
    </row>
    <row r="1555" spans="2:8">
      <c r="B1555" t="s">
        <v>436</v>
      </c>
      <c r="C1555" s="3" t="s">
        <v>2317</v>
      </c>
      <c r="D1555" s="10" t="str">
        <f t="shared" si="34"/>
        <v>07-13</v>
      </c>
      <c r="E1555" s="1">
        <f>_xlfn.IFNA(VLOOKUP('Comp X - Kilter'!B1555,'Kilter Holds'!$P$36:$AB$370,10,0),0)</f>
        <v>5</v>
      </c>
      <c r="G1555" s="2">
        <f t="shared" si="28"/>
        <v>0</v>
      </c>
      <c r="H1555" s="2">
        <f t="shared" si="29"/>
        <v>0</v>
      </c>
    </row>
    <row r="1556" spans="2:8">
      <c r="B1556" t="s">
        <v>436</v>
      </c>
      <c r="C1556" s="3" t="s">
        <v>2317</v>
      </c>
      <c r="D1556" s="11" t="str">
        <f t="shared" si="34"/>
        <v>11-25</v>
      </c>
      <c r="E1556" s="1">
        <f>_xlfn.IFNA(VLOOKUP('Comp X - Kilter'!B1556,'Kilter Holds'!$P$36:$AB$370,11,0),0)</f>
        <v>3</v>
      </c>
      <c r="G1556" s="2">
        <f t="shared" si="28"/>
        <v>0</v>
      </c>
      <c r="H1556" s="2">
        <f t="shared" si="29"/>
        <v>0</v>
      </c>
    </row>
    <row r="1557" spans="2:8">
      <c r="B1557" t="s">
        <v>436</v>
      </c>
      <c r="C1557" s="3" t="s">
        <v>2317</v>
      </c>
      <c r="D1557" s="13" t="str">
        <f t="shared" si="34"/>
        <v>18-01</v>
      </c>
      <c r="E1557" s="1">
        <f>_xlfn.IFNA(VLOOKUP('Comp X - Kilter'!B1557,'Kilter Holds'!$P$36:$AB$370,12,0),0)</f>
        <v>11</v>
      </c>
      <c r="G1557" s="2">
        <f t="shared" si="28"/>
        <v>0</v>
      </c>
      <c r="H1557" s="2">
        <f t="shared" si="29"/>
        <v>0</v>
      </c>
    </row>
    <row r="1558" spans="2:8">
      <c r="B1558" t="s">
        <v>436</v>
      </c>
      <c r="C1558" s="3" t="s">
        <v>2317</v>
      </c>
      <c r="D1558" s="12" t="str">
        <f t="shared" si="34"/>
        <v>12-01</v>
      </c>
      <c r="E1558" s="1">
        <f>_xlfn.IFNA(VLOOKUP('Comp X - Kilter'!B1558,'Kilter Holds'!$P$36:$AB$370,13,0),0)</f>
        <v>0</v>
      </c>
      <c r="G1558" s="2">
        <f t="shared" si="28"/>
        <v>0</v>
      </c>
      <c r="H1558" s="2">
        <f t="shared" si="29"/>
        <v>0</v>
      </c>
    </row>
    <row r="1559" spans="2:8">
      <c r="B1559" t="s">
        <v>437</v>
      </c>
      <c r="C1559" s="3" t="s">
        <v>2318</v>
      </c>
      <c r="D1559" s="5" t="str">
        <f t="shared" si="34"/>
        <v>11-12</v>
      </c>
      <c r="E1559" s="1">
        <f>_xlfn.IFNA(VLOOKUP('Comp X - Kilter'!B1559,'Kilter Holds'!$P$36:$AB$370,5,0),0)</f>
        <v>7</v>
      </c>
      <c r="G1559" s="2">
        <f t="shared" si="28"/>
        <v>0</v>
      </c>
      <c r="H1559" s="2">
        <f t="shared" si="29"/>
        <v>0</v>
      </c>
    </row>
    <row r="1560" spans="2:8">
      <c r="B1560" t="s">
        <v>437</v>
      </c>
      <c r="C1560" s="3" t="s">
        <v>2318</v>
      </c>
      <c r="D1560" s="6" t="str">
        <f t="shared" si="34"/>
        <v>14-01</v>
      </c>
      <c r="E1560" s="1">
        <f>_xlfn.IFNA(VLOOKUP('Comp X - Kilter'!B1560,'Kilter Holds'!$P$36:$AB$370,6,0),0)</f>
        <v>0</v>
      </c>
      <c r="G1560" s="2">
        <f t="shared" si="28"/>
        <v>0</v>
      </c>
      <c r="H1560" s="2">
        <f t="shared" si="29"/>
        <v>0</v>
      </c>
    </row>
    <row r="1561" spans="2:8">
      <c r="B1561" t="s">
        <v>437</v>
      </c>
      <c r="C1561" s="3" t="s">
        <v>2318</v>
      </c>
      <c r="D1561" s="7" t="str">
        <f t="shared" si="34"/>
        <v>15-12</v>
      </c>
      <c r="E1561" s="1">
        <f>_xlfn.IFNA(VLOOKUP('Comp X - Kilter'!B1561,'Kilter Holds'!$P$36:$AB$370,7,0),0)</f>
        <v>4</v>
      </c>
      <c r="G1561" s="2">
        <f t="shared" si="28"/>
        <v>0</v>
      </c>
      <c r="H1561" s="2">
        <f t="shared" si="29"/>
        <v>0</v>
      </c>
    </row>
    <row r="1562" spans="2:8">
      <c r="B1562" t="s">
        <v>437</v>
      </c>
      <c r="C1562" s="3" t="s">
        <v>2318</v>
      </c>
      <c r="D1562" s="8" t="str">
        <f t="shared" si="34"/>
        <v>16-16</v>
      </c>
      <c r="E1562" s="1">
        <f>_xlfn.IFNA(VLOOKUP('Comp X - Kilter'!B1562,'Kilter Holds'!$P$36:$AB$370,8,0),0)</f>
        <v>9</v>
      </c>
      <c r="G1562" s="2">
        <f t="shared" si="28"/>
        <v>0</v>
      </c>
      <c r="H1562" s="2">
        <f t="shared" si="29"/>
        <v>0</v>
      </c>
    </row>
    <row r="1563" spans="2:8">
      <c r="B1563" t="s">
        <v>437</v>
      </c>
      <c r="C1563" s="3" t="s">
        <v>2318</v>
      </c>
      <c r="D1563" s="9" t="str">
        <f t="shared" si="34"/>
        <v>13-01</v>
      </c>
      <c r="E1563" s="1">
        <f>_xlfn.IFNA(VLOOKUP('Comp X - Kilter'!B1563,'Kilter Holds'!$P$36:$AB$370,9,0),0)</f>
        <v>5</v>
      </c>
      <c r="G1563" s="2">
        <f t="shared" si="28"/>
        <v>0</v>
      </c>
      <c r="H1563" s="2">
        <f t="shared" si="29"/>
        <v>0</v>
      </c>
    </row>
    <row r="1564" spans="2:8">
      <c r="B1564" t="s">
        <v>437</v>
      </c>
      <c r="C1564" s="3" t="s">
        <v>2318</v>
      </c>
      <c r="D1564" s="10" t="str">
        <f t="shared" si="34"/>
        <v>07-13</v>
      </c>
      <c r="E1564" s="1">
        <f>_xlfn.IFNA(VLOOKUP('Comp X - Kilter'!B1564,'Kilter Holds'!$P$36:$AB$370,10,0),0)</f>
        <v>7</v>
      </c>
      <c r="G1564" s="2">
        <f t="shared" si="28"/>
        <v>0</v>
      </c>
      <c r="H1564" s="2">
        <f t="shared" si="29"/>
        <v>0</v>
      </c>
    </row>
    <row r="1565" spans="2:8">
      <c r="B1565" t="s">
        <v>437</v>
      </c>
      <c r="C1565" s="3" t="s">
        <v>2318</v>
      </c>
      <c r="D1565" s="11" t="str">
        <f t="shared" si="34"/>
        <v>11-25</v>
      </c>
      <c r="E1565" s="1">
        <f>_xlfn.IFNA(VLOOKUP('Comp X - Kilter'!B1565,'Kilter Holds'!$P$36:$AB$370,11,0),0)</f>
        <v>2</v>
      </c>
      <c r="G1565" s="2">
        <f t="shared" si="28"/>
        <v>0</v>
      </c>
      <c r="H1565" s="2">
        <f t="shared" si="29"/>
        <v>0</v>
      </c>
    </row>
    <row r="1566" spans="2:8">
      <c r="B1566" t="s">
        <v>437</v>
      </c>
      <c r="C1566" s="3" t="s">
        <v>2318</v>
      </c>
      <c r="D1566" s="13" t="str">
        <f t="shared" si="34"/>
        <v>18-01</v>
      </c>
      <c r="E1566" s="1">
        <f>_xlfn.IFNA(VLOOKUP('Comp X - Kilter'!B1566,'Kilter Holds'!$P$36:$AB$370,12,0),0)</f>
        <v>11</v>
      </c>
      <c r="G1566" s="2">
        <f t="shared" si="28"/>
        <v>0</v>
      </c>
      <c r="H1566" s="2">
        <f t="shared" si="29"/>
        <v>0</v>
      </c>
    </row>
    <row r="1567" spans="2:8">
      <c r="B1567" t="s">
        <v>437</v>
      </c>
      <c r="C1567" s="3" t="s">
        <v>2318</v>
      </c>
      <c r="D1567" s="12" t="str">
        <f t="shared" si="34"/>
        <v>12-01</v>
      </c>
      <c r="E1567" s="1">
        <f>_xlfn.IFNA(VLOOKUP('Comp X - Kilter'!B1567,'Kilter Holds'!$P$36:$AB$370,13,0),0)</f>
        <v>0</v>
      </c>
      <c r="G1567" s="2">
        <f t="shared" si="28"/>
        <v>0</v>
      </c>
      <c r="H1567" s="2">
        <f t="shared" si="29"/>
        <v>0</v>
      </c>
    </row>
    <row r="1568" spans="2:8">
      <c r="B1568" t="s">
        <v>438</v>
      </c>
      <c r="C1568" s="3" t="s">
        <v>2319</v>
      </c>
      <c r="D1568" s="5" t="str">
        <f t="shared" si="34"/>
        <v>11-12</v>
      </c>
      <c r="E1568" s="1">
        <f>_xlfn.IFNA(VLOOKUP('Comp X - Kilter'!B1568,'Kilter Holds'!$P$36:$AB$370,5,0),0)</f>
        <v>3</v>
      </c>
      <c r="G1568" s="2">
        <f t="shared" si="28"/>
        <v>0</v>
      </c>
      <c r="H1568" s="2">
        <f t="shared" si="29"/>
        <v>0</v>
      </c>
    </row>
    <row r="1569" spans="2:8">
      <c r="B1569" t="s">
        <v>438</v>
      </c>
      <c r="C1569" s="3" t="s">
        <v>2319</v>
      </c>
      <c r="D1569" s="6" t="str">
        <f t="shared" si="34"/>
        <v>14-01</v>
      </c>
      <c r="E1569" s="1">
        <f>_xlfn.IFNA(VLOOKUP('Comp X - Kilter'!B1569,'Kilter Holds'!$P$36:$AB$370,6,0),0)</f>
        <v>0</v>
      </c>
      <c r="G1569" s="2">
        <f t="shared" si="28"/>
        <v>0</v>
      </c>
      <c r="H1569" s="2">
        <f t="shared" si="29"/>
        <v>0</v>
      </c>
    </row>
    <row r="1570" spans="2:8">
      <c r="B1570" t="s">
        <v>438</v>
      </c>
      <c r="C1570" s="3" t="s">
        <v>2319</v>
      </c>
      <c r="D1570" s="7" t="str">
        <f t="shared" si="34"/>
        <v>15-12</v>
      </c>
      <c r="E1570" s="1">
        <f>_xlfn.IFNA(VLOOKUP('Comp X - Kilter'!B1570,'Kilter Holds'!$P$36:$AB$370,7,0),0)</f>
        <v>4</v>
      </c>
      <c r="G1570" s="2">
        <f t="shared" si="28"/>
        <v>0</v>
      </c>
      <c r="H1570" s="2">
        <f t="shared" si="29"/>
        <v>0</v>
      </c>
    </row>
    <row r="1571" spans="2:8">
      <c r="B1571" t="s">
        <v>438</v>
      </c>
      <c r="C1571" s="3" t="s">
        <v>2319</v>
      </c>
      <c r="D1571" s="8" t="str">
        <f t="shared" si="34"/>
        <v>16-16</v>
      </c>
      <c r="E1571" s="1">
        <f>_xlfn.IFNA(VLOOKUP('Comp X - Kilter'!B1571,'Kilter Holds'!$P$36:$AB$370,8,0),0)</f>
        <v>4</v>
      </c>
      <c r="G1571" s="2">
        <f t="shared" si="28"/>
        <v>0</v>
      </c>
      <c r="H1571" s="2">
        <f t="shared" si="29"/>
        <v>0</v>
      </c>
    </row>
    <row r="1572" spans="2:8">
      <c r="B1572" t="s">
        <v>438</v>
      </c>
      <c r="C1572" s="3" t="s">
        <v>2319</v>
      </c>
      <c r="D1572" s="9" t="str">
        <f t="shared" si="34"/>
        <v>13-01</v>
      </c>
      <c r="E1572" s="1">
        <f>_xlfn.IFNA(VLOOKUP('Comp X - Kilter'!B1572,'Kilter Holds'!$P$36:$AB$370,9,0),0)</f>
        <v>7</v>
      </c>
      <c r="G1572" s="2">
        <f t="shared" si="28"/>
        <v>0</v>
      </c>
      <c r="H1572" s="2">
        <f t="shared" si="29"/>
        <v>0</v>
      </c>
    </row>
    <row r="1573" spans="2:8">
      <c r="B1573" t="s">
        <v>438</v>
      </c>
      <c r="C1573" s="3" t="s">
        <v>2319</v>
      </c>
      <c r="D1573" s="10" t="str">
        <f t="shared" si="34"/>
        <v>07-13</v>
      </c>
      <c r="E1573" s="1">
        <f>_xlfn.IFNA(VLOOKUP('Comp X - Kilter'!B1573,'Kilter Holds'!$P$36:$AB$370,10,0),0)</f>
        <v>5</v>
      </c>
      <c r="G1573" s="2">
        <f t="shared" si="28"/>
        <v>0</v>
      </c>
      <c r="H1573" s="2">
        <f t="shared" si="29"/>
        <v>0</v>
      </c>
    </row>
    <row r="1574" spans="2:8">
      <c r="B1574" t="s">
        <v>438</v>
      </c>
      <c r="C1574" s="3" t="s">
        <v>2319</v>
      </c>
      <c r="D1574" s="11" t="str">
        <f t="shared" si="34"/>
        <v>11-25</v>
      </c>
      <c r="E1574" s="1">
        <f>_xlfn.IFNA(VLOOKUP('Comp X - Kilter'!B1574,'Kilter Holds'!$P$36:$AB$370,11,0),0)</f>
        <v>2</v>
      </c>
      <c r="G1574" s="2">
        <f t="shared" si="28"/>
        <v>0</v>
      </c>
      <c r="H1574" s="2">
        <f t="shared" si="29"/>
        <v>0</v>
      </c>
    </row>
    <row r="1575" spans="2:8">
      <c r="B1575" t="s">
        <v>438</v>
      </c>
      <c r="C1575" s="3" t="s">
        <v>2319</v>
      </c>
      <c r="D1575" s="13" t="str">
        <f t="shared" si="34"/>
        <v>18-01</v>
      </c>
      <c r="E1575" s="1">
        <f>_xlfn.IFNA(VLOOKUP('Comp X - Kilter'!B1575,'Kilter Holds'!$P$36:$AB$370,12,0),0)</f>
        <v>12</v>
      </c>
      <c r="G1575" s="2">
        <f t="shared" si="28"/>
        <v>0</v>
      </c>
      <c r="H1575" s="2">
        <f t="shared" si="29"/>
        <v>0</v>
      </c>
    </row>
    <row r="1576" spans="2:8">
      <c r="B1576" t="s">
        <v>438</v>
      </c>
      <c r="C1576" s="3" t="s">
        <v>2319</v>
      </c>
      <c r="D1576" s="12" t="str">
        <f t="shared" si="34"/>
        <v>12-01</v>
      </c>
      <c r="E1576" s="1">
        <f>_xlfn.IFNA(VLOOKUP('Comp X - Kilter'!B1576,'Kilter Holds'!$P$36:$AB$370,13,0),0)</f>
        <v>0</v>
      </c>
      <c r="G1576" s="2">
        <f t="shared" si="28"/>
        <v>0</v>
      </c>
      <c r="H1576" s="2">
        <f t="shared" si="29"/>
        <v>0</v>
      </c>
    </row>
    <row r="1577" spans="2:8">
      <c r="B1577" t="s">
        <v>439</v>
      </c>
      <c r="C1577" s="3" t="s">
        <v>2320</v>
      </c>
      <c r="D1577" s="5" t="str">
        <f t="shared" si="34"/>
        <v>11-12</v>
      </c>
      <c r="E1577" s="1">
        <f>_xlfn.IFNA(VLOOKUP('Comp X - Kilter'!B1577,'Kilter Holds'!$P$36:$AB$370,5,0),0)</f>
        <v>3</v>
      </c>
      <c r="G1577" s="2">
        <f t="shared" si="28"/>
        <v>0</v>
      </c>
      <c r="H1577" s="2">
        <f t="shared" si="29"/>
        <v>0</v>
      </c>
    </row>
    <row r="1578" spans="2:8">
      <c r="B1578" t="s">
        <v>439</v>
      </c>
      <c r="C1578" s="3" t="s">
        <v>2320</v>
      </c>
      <c r="D1578" s="6" t="str">
        <f t="shared" si="34"/>
        <v>14-01</v>
      </c>
      <c r="E1578" s="1">
        <f>_xlfn.IFNA(VLOOKUP('Comp X - Kilter'!B1578,'Kilter Holds'!$P$36:$AB$370,6,0),0)</f>
        <v>0</v>
      </c>
      <c r="G1578" s="2">
        <f t="shared" ref="G1578:G1639" si="192">E1578*F1578</f>
        <v>0</v>
      </c>
      <c r="H1578" s="2">
        <f t="shared" ref="H1578:H1639" si="193">IF($S$11="Y",G1578*0.15,0)</f>
        <v>0</v>
      </c>
    </row>
    <row r="1579" spans="2:8">
      <c r="B1579" t="s">
        <v>439</v>
      </c>
      <c r="C1579" s="3" t="s">
        <v>2320</v>
      </c>
      <c r="D1579" s="7" t="str">
        <f t="shared" si="34"/>
        <v>15-12</v>
      </c>
      <c r="E1579" s="1">
        <f>_xlfn.IFNA(VLOOKUP('Comp X - Kilter'!B1579,'Kilter Holds'!$P$36:$AB$370,7,0),0)</f>
        <v>7</v>
      </c>
      <c r="G1579" s="2">
        <f t="shared" si="192"/>
        <v>0</v>
      </c>
      <c r="H1579" s="2">
        <f t="shared" si="193"/>
        <v>0</v>
      </c>
    </row>
    <row r="1580" spans="2:8">
      <c r="B1580" t="s">
        <v>439</v>
      </c>
      <c r="C1580" s="3" t="s">
        <v>2320</v>
      </c>
      <c r="D1580" s="8" t="str">
        <f t="shared" si="34"/>
        <v>16-16</v>
      </c>
      <c r="E1580" s="1">
        <f>_xlfn.IFNA(VLOOKUP('Comp X - Kilter'!B1580,'Kilter Holds'!$P$36:$AB$370,8,0),0)</f>
        <v>9</v>
      </c>
      <c r="G1580" s="2">
        <f t="shared" si="192"/>
        <v>0</v>
      </c>
      <c r="H1580" s="2">
        <f t="shared" si="193"/>
        <v>0</v>
      </c>
    </row>
    <row r="1581" spans="2:8">
      <c r="B1581" t="s">
        <v>439</v>
      </c>
      <c r="C1581" s="3" t="s">
        <v>2320</v>
      </c>
      <c r="D1581" s="9" t="str">
        <f t="shared" si="34"/>
        <v>13-01</v>
      </c>
      <c r="E1581" s="1">
        <f>_xlfn.IFNA(VLOOKUP('Comp X - Kilter'!B1581,'Kilter Holds'!$P$36:$AB$370,9,0),0)</f>
        <v>6</v>
      </c>
      <c r="G1581" s="2">
        <f t="shared" si="192"/>
        <v>0</v>
      </c>
      <c r="H1581" s="2">
        <f t="shared" si="193"/>
        <v>0</v>
      </c>
    </row>
    <row r="1582" spans="2:8">
      <c r="B1582" t="s">
        <v>439</v>
      </c>
      <c r="C1582" s="3" t="s">
        <v>2320</v>
      </c>
      <c r="D1582" s="10" t="str">
        <f t="shared" si="34"/>
        <v>07-13</v>
      </c>
      <c r="E1582" s="1">
        <f>_xlfn.IFNA(VLOOKUP('Comp X - Kilter'!B1582,'Kilter Holds'!$P$36:$AB$370,10,0),0)</f>
        <v>5</v>
      </c>
      <c r="G1582" s="2">
        <f t="shared" si="192"/>
        <v>0</v>
      </c>
      <c r="H1582" s="2">
        <f t="shared" si="193"/>
        <v>0</v>
      </c>
    </row>
    <row r="1583" spans="2:8">
      <c r="B1583" t="s">
        <v>439</v>
      </c>
      <c r="C1583" s="3" t="s">
        <v>2320</v>
      </c>
      <c r="D1583" s="11" t="str">
        <f t="shared" si="34"/>
        <v>11-25</v>
      </c>
      <c r="E1583" s="1">
        <f>_xlfn.IFNA(VLOOKUP('Comp X - Kilter'!B1583,'Kilter Holds'!$P$36:$AB$370,11,0),0)</f>
        <v>0</v>
      </c>
      <c r="G1583" s="2">
        <f t="shared" si="192"/>
        <v>0</v>
      </c>
      <c r="H1583" s="2">
        <f t="shared" si="193"/>
        <v>0</v>
      </c>
    </row>
    <row r="1584" spans="2:8">
      <c r="B1584" t="s">
        <v>439</v>
      </c>
      <c r="C1584" s="3" t="s">
        <v>2320</v>
      </c>
      <c r="D1584" s="13" t="str">
        <f t="shared" si="34"/>
        <v>18-01</v>
      </c>
      <c r="E1584" s="1">
        <f>_xlfn.IFNA(VLOOKUP('Comp X - Kilter'!B1584,'Kilter Holds'!$P$36:$AB$370,12,0),0)</f>
        <v>11</v>
      </c>
      <c r="G1584" s="2">
        <f t="shared" si="192"/>
        <v>0</v>
      </c>
      <c r="H1584" s="2">
        <f t="shared" si="193"/>
        <v>0</v>
      </c>
    </row>
    <row r="1585" spans="2:8">
      <c r="B1585" t="s">
        <v>439</v>
      </c>
      <c r="C1585" s="3" t="s">
        <v>2320</v>
      </c>
      <c r="D1585" s="12" t="str">
        <f t="shared" si="34"/>
        <v>12-01</v>
      </c>
      <c r="E1585" s="1">
        <f>_xlfn.IFNA(VLOOKUP('Comp X - Kilter'!B1585,'Kilter Holds'!$P$36:$AB$370,13,0),0)</f>
        <v>0</v>
      </c>
      <c r="G1585" s="2">
        <f t="shared" si="192"/>
        <v>0</v>
      </c>
      <c r="H1585" s="2">
        <f t="shared" si="193"/>
        <v>0</v>
      </c>
    </row>
    <row r="1586" spans="2:8">
      <c r="B1586" t="s">
        <v>440</v>
      </c>
      <c r="C1586" s="3" t="s">
        <v>2321</v>
      </c>
      <c r="D1586" s="5" t="str">
        <f t="shared" si="34"/>
        <v>11-12</v>
      </c>
      <c r="E1586" s="1">
        <f>_xlfn.IFNA(VLOOKUP('Comp X - Kilter'!B1586,'Kilter Holds'!$P$36:$AB$370,5,0),0)</f>
        <v>4</v>
      </c>
      <c r="G1586" s="2">
        <f t="shared" si="192"/>
        <v>0</v>
      </c>
      <c r="H1586" s="2">
        <f t="shared" si="193"/>
        <v>0</v>
      </c>
    </row>
    <row r="1587" spans="2:8">
      <c r="B1587" t="s">
        <v>440</v>
      </c>
      <c r="C1587" s="3" t="s">
        <v>2321</v>
      </c>
      <c r="D1587" s="6" t="str">
        <f t="shared" si="34"/>
        <v>14-01</v>
      </c>
      <c r="E1587" s="1">
        <f>_xlfn.IFNA(VLOOKUP('Comp X - Kilter'!B1587,'Kilter Holds'!$P$36:$AB$370,6,0),0)</f>
        <v>0</v>
      </c>
      <c r="G1587" s="2">
        <f t="shared" si="192"/>
        <v>0</v>
      </c>
      <c r="H1587" s="2">
        <f t="shared" si="193"/>
        <v>0</v>
      </c>
    </row>
    <row r="1588" spans="2:8">
      <c r="B1588" t="s">
        <v>440</v>
      </c>
      <c r="C1588" s="3" t="s">
        <v>2321</v>
      </c>
      <c r="D1588" s="7" t="str">
        <f t="shared" si="34"/>
        <v>15-12</v>
      </c>
      <c r="E1588" s="1">
        <f>_xlfn.IFNA(VLOOKUP('Comp X - Kilter'!B1588,'Kilter Holds'!$P$36:$AB$370,7,0),0)</f>
        <v>8</v>
      </c>
      <c r="G1588" s="2">
        <f t="shared" si="192"/>
        <v>0</v>
      </c>
      <c r="H1588" s="2">
        <f t="shared" si="193"/>
        <v>0</v>
      </c>
    </row>
    <row r="1589" spans="2:8">
      <c r="B1589" t="s">
        <v>440</v>
      </c>
      <c r="C1589" s="3" t="s">
        <v>2321</v>
      </c>
      <c r="D1589" s="8" t="str">
        <f t="shared" si="34"/>
        <v>16-16</v>
      </c>
      <c r="E1589" s="1">
        <f>_xlfn.IFNA(VLOOKUP('Comp X - Kilter'!B1589,'Kilter Holds'!$P$36:$AB$370,8,0),0)</f>
        <v>9</v>
      </c>
      <c r="G1589" s="2">
        <f t="shared" si="192"/>
        <v>0</v>
      </c>
      <c r="H1589" s="2">
        <f t="shared" si="193"/>
        <v>0</v>
      </c>
    </row>
    <row r="1590" spans="2:8">
      <c r="B1590" t="s">
        <v>440</v>
      </c>
      <c r="C1590" s="3" t="s">
        <v>2321</v>
      </c>
      <c r="D1590" s="9" t="str">
        <f t="shared" si="34"/>
        <v>13-01</v>
      </c>
      <c r="E1590" s="1">
        <f>_xlfn.IFNA(VLOOKUP('Comp X - Kilter'!B1590,'Kilter Holds'!$P$36:$AB$370,9,0),0)</f>
        <v>9</v>
      </c>
      <c r="G1590" s="2">
        <f t="shared" si="192"/>
        <v>0</v>
      </c>
      <c r="H1590" s="2">
        <f t="shared" si="193"/>
        <v>0</v>
      </c>
    </row>
    <row r="1591" spans="2:8">
      <c r="B1591" t="s">
        <v>440</v>
      </c>
      <c r="C1591" s="3" t="s">
        <v>2321</v>
      </c>
      <c r="D1591" s="10" t="str">
        <f t="shared" si="34"/>
        <v>07-13</v>
      </c>
      <c r="E1591" s="1">
        <f>_xlfn.IFNA(VLOOKUP('Comp X - Kilter'!B1591,'Kilter Holds'!$P$36:$AB$370,10,0),0)</f>
        <v>5</v>
      </c>
      <c r="G1591" s="2">
        <f t="shared" si="192"/>
        <v>0</v>
      </c>
      <c r="H1591" s="2">
        <f t="shared" si="193"/>
        <v>0</v>
      </c>
    </row>
    <row r="1592" spans="2:8">
      <c r="B1592" t="s">
        <v>440</v>
      </c>
      <c r="C1592" s="3" t="s">
        <v>2321</v>
      </c>
      <c r="D1592" s="11" t="str">
        <f t="shared" si="34"/>
        <v>11-25</v>
      </c>
      <c r="E1592" s="1">
        <f>_xlfn.IFNA(VLOOKUP('Comp X - Kilter'!B1592,'Kilter Holds'!$P$36:$AB$370,11,0),0)</f>
        <v>0</v>
      </c>
      <c r="G1592" s="2">
        <f t="shared" si="192"/>
        <v>0</v>
      </c>
      <c r="H1592" s="2">
        <f t="shared" si="193"/>
        <v>0</v>
      </c>
    </row>
    <row r="1593" spans="2:8">
      <c r="B1593" t="s">
        <v>440</v>
      </c>
      <c r="C1593" s="3" t="s">
        <v>2321</v>
      </c>
      <c r="D1593" s="13" t="str">
        <f t="shared" si="34"/>
        <v>18-01</v>
      </c>
      <c r="E1593" s="1">
        <f>_xlfn.IFNA(VLOOKUP('Comp X - Kilter'!B1593,'Kilter Holds'!$P$36:$AB$370,12,0),0)</f>
        <v>9</v>
      </c>
      <c r="G1593" s="2">
        <f t="shared" si="192"/>
        <v>0</v>
      </c>
      <c r="H1593" s="2">
        <f t="shared" si="193"/>
        <v>0</v>
      </c>
    </row>
    <row r="1594" spans="2:8">
      <c r="B1594" t="s">
        <v>440</v>
      </c>
      <c r="C1594" s="3" t="s">
        <v>2321</v>
      </c>
      <c r="D1594" s="12" t="str">
        <f t="shared" si="34"/>
        <v>12-01</v>
      </c>
      <c r="E1594" s="1">
        <f>_xlfn.IFNA(VLOOKUP('Comp X - Kilter'!B1594,'Kilter Holds'!$P$36:$AB$370,13,0),0)</f>
        <v>0</v>
      </c>
      <c r="G1594" s="2">
        <f t="shared" si="192"/>
        <v>0</v>
      </c>
      <c r="H1594" s="2">
        <f t="shared" si="193"/>
        <v>0</v>
      </c>
    </row>
    <row r="1595" spans="2:8">
      <c r="B1595" t="s">
        <v>441</v>
      </c>
      <c r="C1595" s="3" t="s">
        <v>2322</v>
      </c>
      <c r="D1595" s="5" t="str">
        <f t="shared" ref="D1595:D1811" si="194">D1586</f>
        <v>11-12</v>
      </c>
      <c r="E1595" s="1">
        <f>_xlfn.IFNA(VLOOKUP('Comp X - Kilter'!B1595,'Kilter Holds'!$P$36:$AB$370,5,0),0)</f>
        <v>5</v>
      </c>
      <c r="G1595" s="2">
        <f t="shared" si="192"/>
        <v>0</v>
      </c>
      <c r="H1595" s="2">
        <f t="shared" si="193"/>
        <v>0</v>
      </c>
    </row>
    <row r="1596" spans="2:8">
      <c r="B1596" t="s">
        <v>441</v>
      </c>
      <c r="C1596" s="3" t="s">
        <v>2322</v>
      </c>
      <c r="D1596" s="6" t="str">
        <f t="shared" si="194"/>
        <v>14-01</v>
      </c>
      <c r="E1596" s="1">
        <f>_xlfn.IFNA(VLOOKUP('Comp X - Kilter'!B1596,'Kilter Holds'!$P$36:$AB$370,6,0),0)</f>
        <v>0</v>
      </c>
      <c r="G1596" s="2">
        <f t="shared" si="192"/>
        <v>0</v>
      </c>
      <c r="H1596" s="2">
        <f t="shared" si="193"/>
        <v>0</v>
      </c>
    </row>
    <row r="1597" spans="2:8">
      <c r="B1597" t="s">
        <v>441</v>
      </c>
      <c r="C1597" s="3" t="s">
        <v>2322</v>
      </c>
      <c r="D1597" s="7" t="str">
        <f t="shared" si="194"/>
        <v>15-12</v>
      </c>
      <c r="E1597" s="1">
        <f>_xlfn.IFNA(VLOOKUP('Comp X - Kilter'!B1597,'Kilter Holds'!$P$36:$AB$370,7,0),0)</f>
        <v>7</v>
      </c>
      <c r="G1597" s="2">
        <f t="shared" si="192"/>
        <v>0</v>
      </c>
      <c r="H1597" s="2">
        <f t="shared" si="193"/>
        <v>0</v>
      </c>
    </row>
    <row r="1598" spans="2:8">
      <c r="B1598" t="s">
        <v>441</v>
      </c>
      <c r="C1598" s="3" t="s">
        <v>2322</v>
      </c>
      <c r="D1598" s="8" t="str">
        <f t="shared" si="194"/>
        <v>16-16</v>
      </c>
      <c r="E1598" s="1">
        <f>_xlfn.IFNA(VLOOKUP('Comp X - Kilter'!B1598,'Kilter Holds'!$P$36:$AB$370,8,0),0)</f>
        <v>9</v>
      </c>
      <c r="G1598" s="2">
        <f t="shared" si="192"/>
        <v>0</v>
      </c>
      <c r="H1598" s="2">
        <f t="shared" si="193"/>
        <v>0</v>
      </c>
    </row>
    <row r="1599" spans="2:8">
      <c r="B1599" t="s">
        <v>441</v>
      </c>
      <c r="C1599" s="3" t="s">
        <v>2322</v>
      </c>
      <c r="D1599" s="9" t="str">
        <f t="shared" si="194"/>
        <v>13-01</v>
      </c>
      <c r="E1599" s="1">
        <f>_xlfn.IFNA(VLOOKUP('Comp X - Kilter'!B1599,'Kilter Holds'!$P$36:$AB$370,9,0),0)</f>
        <v>5</v>
      </c>
      <c r="G1599" s="2">
        <f t="shared" si="192"/>
        <v>0</v>
      </c>
      <c r="H1599" s="2">
        <f t="shared" si="193"/>
        <v>0</v>
      </c>
    </row>
    <row r="1600" spans="2:8">
      <c r="B1600" t="s">
        <v>441</v>
      </c>
      <c r="C1600" s="3" t="s">
        <v>2322</v>
      </c>
      <c r="D1600" s="10" t="str">
        <f t="shared" si="194"/>
        <v>07-13</v>
      </c>
      <c r="E1600" s="1">
        <f>_xlfn.IFNA(VLOOKUP('Comp X - Kilter'!B1600,'Kilter Holds'!$P$36:$AB$370,10,0),0)</f>
        <v>5</v>
      </c>
      <c r="G1600" s="2">
        <f t="shared" si="192"/>
        <v>0</v>
      </c>
      <c r="H1600" s="2">
        <f t="shared" si="193"/>
        <v>0</v>
      </c>
    </row>
    <row r="1601" spans="2:8">
      <c r="B1601" t="s">
        <v>441</v>
      </c>
      <c r="C1601" s="3" t="s">
        <v>2322</v>
      </c>
      <c r="D1601" s="11" t="str">
        <f t="shared" si="194"/>
        <v>11-25</v>
      </c>
      <c r="E1601" s="1">
        <f>_xlfn.IFNA(VLOOKUP('Comp X - Kilter'!B1601,'Kilter Holds'!$P$36:$AB$370,11,0),0)</f>
        <v>0</v>
      </c>
      <c r="G1601" s="2">
        <f t="shared" si="192"/>
        <v>0</v>
      </c>
      <c r="H1601" s="2">
        <f t="shared" si="193"/>
        <v>0</v>
      </c>
    </row>
    <row r="1602" spans="2:8">
      <c r="B1602" t="s">
        <v>441</v>
      </c>
      <c r="C1602" s="3" t="s">
        <v>2322</v>
      </c>
      <c r="D1602" s="13" t="str">
        <f t="shared" si="194"/>
        <v>18-01</v>
      </c>
      <c r="E1602" s="1">
        <f>_xlfn.IFNA(VLOOKUP('Comp X - Kilter'!B1602,'Kilter Holds'!$P$36:$AB$370,12,0),0)</f>
        <v>11</v>
      </c>
      <c r="G1602" s="2">
        <f t="shared" si="192"/>
        <v>0</v>
      </c>
      <c r="H1602" s="2">
        <f t="shared" si="193"/>
        <v>0</v>
      </c>
    </row>
    <row r="1603" spans="2:8">
      <c r="B1603" t="s">
        <v>441</v>
      </c>
      <c r="C1603" s="3" t="s">
        <v>2322</v>
      </c>
      <c r="D1603" s="12" t="str">
        <f t="shared" si="194"/>
        <v>12-01</v>
      </c>
      <c r="E1603" s="1">
        <f>_xlfn.IFNA(VLOOKUP('Comp X - Kilter'!B1603,'Kilter Holds'!$P$36:$AB$370,13,0),0)</f>
        <v>0</v>
      </c>
      <c r="G1603" s="2">
        <f t="shared" si="192"/>
        <v>0</v>
      </c>
      <c r="H1603" s="2">
        <f t="shared" si="193"/>
        <v>0</v>
      </c>
    </row>
    <row r="1604" spans="2:8">
      <c r="B1604" t="s">
        <v>442</v>
      </c>
      <c r="C1604" s="3" t="s">
        <v>2323</v>
      </c>
      <c r="D1604" s="5" t="str">
        <f t="shared" si="194"/>
        <v>11-12</v>
      </c>
      <c r="E1604" s="1">
        <f>_xlfn.IFNA(VLOOKUP('Comp X - Kilter'!B1604,'Kilter Holds'!$P$36:$AB$370,5,0),0)</f>
        <v>7</v>
      </c>
      <c r="G1604" s="2">
        <f t="shared" si="192"/>
        <v>0</v>
      </c>
      <c r="H1604" s="2">
        <f t="shared" si="193"/>
        <v>0</v>
      </c>
    </row>
    <row r="1605" spans="2:8">
      <c r="B1605" t="s">
        <v>442</v>
      </c>
      <c r="C1605" s="3" t="s">
        <v>2323</v>
      </c>
      <c r="D1605" s="6" t="str">
        <f t="shared" si="194"/>
        <v>14-01</v>
      </c>
      <c r="E1605" s="1">
        <f>_xlfn.IFNA(VLOOKUP('Comp X - Kilter'!B1605,'Kilter Holds'!$P$36:$AB$370,6,0),0)</f>
        <v>0</v>
      </c>
      <c r="G1605" s="2">
        <f t="shared" si="192"/>
        <v>0</v>
      </c>
      <c r="H1605" s="2">
        <f t="shared" si="193"/>
        <v>0</v>
      </c>
    </row>
    <row r="1606" spans="2:8">
      <c r="B1606" t="s">
        <v>442</v>
      </c>
      <c r="C1606" s="3" t="s">
        <v>2323</v>
      </c>
      <c r="D1606" s="7" t="str">
        <f t="shared" si="194"/>
        <v>15-12</v>
      </c>
      <c r="E1606" s="1">
        <f>_xlfn.IFNA(VLOOKUP('Comp X - Kilter'!B1606,'Kilter Holds'!$P$36:$AB$370,7,0),0)</f>
        <v>5</v>
      </c>
      <c r="G1606" s="2">
        <f t="shared" si="192"/>
        <v>0</v>
      </c>
      <c r="H1606" s="2">
        <f t="shared" si="193"/>
        <v>0</v>
      </c>
    </row>
    <row r="1607" spans="2:8">
      <c r="B1607" t="s">
        <v>442</v>
      </c>
      <c r="C1607" s="3" t="s">
        <v>2323</v>
      </c>
      <c r="D1607" s="8" t="str">
        <f t="shared" si="194"/>
        <v>16-16</v>
      </c>
      <c r="E1607" s="1">
        <f>_xlfn.IFNA(VLOOKUP('Comp X - Kilter'!B1607,'Kilter Holds'!$P$36:$AB$370,8,0),0)</f>
        <v>7</v>
      </c>
      <c r="G1607" s="2">
        <f t="shared" si="192"/>
        <v>0</v>
      </c>
      <c r="H1607" s="2">
        <f t="shared" si="193"/>
        <v>0</v>
      </c>
    </row>
    <row r="1608" spans="2:8">
      <c r="B1608" t="s">
        <v>442</v>
      </c>
      <c r="C1608" s="3" t="s">
        <v>2323</v>
      </c>
      <c r="D1608" s="9" t="str">
        <f t="shared" si="194"/>
        <v>13-01</v>
      </c>
      <c r="E1608" s="1">
        <f>_xlfn.IFNA(VLOOKUP('Comp X - Kilter'!B1608,'Kilter Holds'!$P$36:$AB$370,9,0),0)</f>
        <v>2</v>
      </c>
      <c r="G1608" s="2">
        <f t="shared" si="192"/>
        <v>0</v>
      </c>
      <c r="H1608" s="2">
        <f t="shared" si="193"/>
        <v>0</v>
      </c>
    </row>
    <row r="1609" spans="2:8">
      <c r="B1609" t="s">
        <v>442</v>
      </c>
      <c r="C1609" s="3" t="s">
        <v>2323</v>
      </c>
      <c r="D1609" s="10" t="str">
        <f t="shared" si="194"/>
        <v>07-13</v>
      </c>
      <c r="E1609" s="1">
        <f>_xlfn.IFNA(VLOOKUP('Comp X - Kilter'!B1609,'Kilter Holds'!$P$36:$AB$370,10,0),0)</f>
        <v>5</v>
      </c>
      <c r="G1609" s="2">
        <f t="shared" si="192"/>
        <v>0</v>
      </c>
      <c r="H1609" s="2">
        <f t="shared" si="193"/>
        <v>0</v>
      </c>
    </row>
    <row r="1610" spans="2:8">
      <c r="B1610" t="s">
        <v>442</v>
      </c>
      <c r="C1610" s="3" t="s">
        <v>2323</v>
      </c>
      <c r="D1610" s="11" t="str">
        <f t="shared" si="194"/>
        <v>11-25</v>
      </c>
      <c r="E1610" s="1">
        <f>_xlfn.IFNA(VLOOKUP('Comp X - Kilter'!B1610,'Kilter Holds'!$P$36:$AB$370,11,0),0)</f>
        <v>1</v>
      </c>
      <c r="G1610" s="2">
        <f t="shared" si="192"/>
        <v>0</v>
      </c>
      <c r="H1610" s="2">
        <f t="shared" si="193"/>
        <v>0</v>
      </c>
    </row>
    <row r="1611" spans="2:8">
      <c r="B1611" t="s">
        <v>442</v>
      </c>
      <c r="C1611" s="3" t="s">
        <v>2323</v>
      </c>
      <c r="D1611" s="13" t="str">
        <f t="shared" si="194"/>
        <v>18-01</v>
      </c>
      <c r="E1611" s="1">
        <f>_xlfn.IFNA(VLOOKUP('Comp X - Kilter'!B1611,'Kilter Holds'!$P$36:$AB$370,12,0),0)</f>
        <v>9</v>
      </c>
      <c r="G1611" s="2">
        <f t="shared" si="192"/>
        <v>0</v>
      </c>
      <c r="H1611" s="2">
        <f t="shared" si="193"/>
        <v>0</v>
      </c>
    </row>
    <row r="1612" spans="2:8">
      <c r="B1612" t="s">
        <v>442</v>
      </c>
      <c r="C1612" s="3" t="s">
        <v>2323</v>
      </c>
      <c r="D1612" s="12" t="str">
        <f t="shared" si="194"/>
        <v>12-01</v>
      </c>
      <c r="E1612" s="1">
        <f>_xlfn.IFNA(VLOOKUP('Comp X - Kilter'!B1612,'Kilter Holds'!$P$36:$AB$370,13,0),0)</f>
        <v>0</v>
      </c>
      <c r="G1612" s="2">
        <f t="shared" si="192"/>
        <v>0</v>
      </c>
      <c r="H1612" s="2">
        <f t="shared" si="193"/>
        <v>0</v>
      </c>
    </row>
    <row r="1613" spans="2:8">
      <c r="B1613" t="s">
        <v>443</v>
      </c>
      <c r="C1613" s="3" t="s">
        <v>2324</v>
      </c>
      <c r="D1613" s="5" t="str">
        <f t="shared" si="194"/>
        <v>11-12</v>
      </c>
      <c r="E1613" s="1">
        <f>_xlfn.IFNA(VLOOKUP('Comp X - Kilter'!B1613,'Kilter Holds'!$P$36:$AB$370,5,0),0)</f>
        <v>3</v>
      </c>
      <c r="G1613" s="2">
        <f t="shared" si="192"/>
        <v>0</v>
      </c>
      <c r="H1613" s="2">
        <f t="shared" si="193"/>
        <v>0</v>
      </c>
    </row>
    <row r="1614" spans="2:8">
      <c r="B1614" t="s">
        <v>443</v>
      </c>
      <c r="C1614" s="3" t="s">
        <v>2324</v>
      </c>
      <c r="D1614" s="6" t="str">
        <f t="shared" si="194"/>
        <v>14-01</v>
      </c>
      <c r="E1614" s="1">
        <f>_xlfn.IFNA(VLOOKUP('Comp X - Kilter'!B1614,'Kilter Holds'!$P$36:$AB$370,6,0),0)</f>
        <v>0</v>
      </c>
      <c r="G1614" s="2">
        <f t="shared" si="192"/>
        <v>0</v>
      </c>
      <c r="H1614" s="2">
        <f t="shared" si="193"/>
        <v>0</v>
      </c>
    </row>
    <row r="1615" spans="2:8">
      <c r="B1615" t="s">
        <v>443</v>
      </c>
      <c r="C1615" s="3" t="s">
        <v>2324</v>
      </c>
      <c r="D1615" s="7" t="str">
        <f t="shared" si="194"/>
        <v>15-12</v>
      </c>
      <c r="E1615" s="1">
        <f>_xlfn.IFNA(VLOOKUP('Comp X - Kilter'!B1615,'Kilter Holds'!$P$36:$AB$370,7,0),0)</f>
        <v>6</v>
      </c>
      <c r="G1615" s="2">
        <f t="shared" si="192"/>
        <v>0</v>
      </c>
      <c r="H1615" s="2">
        <f t="shared" si="193"/>
        <v>0</v>
      </c>
    </row>
    <row r="1616" spans="2:8">
      <c r="B1616" t="s">
        <v>443</v>
      </c>
      <c r="C1616" s="3" t="s">
        <v>2324</v>
      </c>
      <c r="D1616" s="8" t="str">
        <f t="shared" si="194"/>
        <v>16-16</v>
      </c>
      <c r="E1616" s="1">
        <f>_xlfn.IFNA(VLOOKUP('Comp X - Kilter'!B1616,'Kilter Holds'!$P$36:$AB$370,8,0),0)</f>
        <v>7</v>
      </c>
      <c r="G1616" s="2">
        <f t="shared" si="192"/>
        <v>0</v>
      </c>
      <c r="H1616" s="2">
        <f t="shared" si="193"/>
        <v>0</v>
      </c>
    </row>
    <row r="1617" spans="2:8">
      <c r="B1617" t="s">
        <v>443</v>
      </c>
      <c r="C1617" s="3" t="s">
        <v>2324</v>
      </c>
      <c r="D1617" s="9" t="str">
        <f t="shared" si="194"/>
        <v>13-01</v>
      </c>
      <c r="E1617" s="1">
        <f>_xlfn.IFNA(VLOOKUP('Comp X - Kilter'!B1617,'Kilter Holds'!$P$36:$AB$370,9,0),0)</f>
        <v>5</v>
      </c>
      <c r="G1617" s="2">
        <f t="shared" si="192"/>
        <v>0</v>
      </c>
      <c r="H1617" s="2">
        <f t="shared" si="193"/>
        <v>0</v>
      </c>
    </row>
    <row r="1618" spans="2:8">
      <c r="B1618" t="s">
        <v>443</v>
      </c>
      <c r="C1618" s="3" t="s">
        <v>2324</v>
      </c>
      <c r="D1618" s="10" t="str">
        <f t="shared" si="194"/>
        <v>07-13</v>
      </c>
      <c r="E1618" s="1">
        <f>_xlfn.IFNA(VLOOKUP('Comp X - Kilter'!B1618,'Kilter Holds'!$P$36:$AB$370,10,0),0)</f>
        <v>5</v>
      </c>
      <c r="G1618" s="2">
        <f t="shared" si="192"/>
        <v>0</v>
      </c>
      <c r="H1618" s="2">
        <f t="shared" si="193"/>
        <v>0</v>
      </c>
    </row>
    <row r="1619" spans="2:8">
      <c r="B1619" t="s">
        <v>443</v>
      </c>
      <c r="C1619" s="3" t="s">
        <v>2324</v>
      </c>
      <c r="D1619" s="11" t="str">
        <f t="shared" si="194"/>
        <v>11-25</v>
      </c>
      <c r="E1619" s="1">
        <f>_xlfn.IFNA(VLOOKUP('Comp X - Kilter'!B1619,'Kilter Holds'!$P$36:$AB$370,11,0),0)</f>
        <v>1</v>
      </c>
      <c r="G1619" s="2">
        <f t="shared" si="192"/>
        <v>0</v>
      </c>
      <c r="H1619" s="2">
        <f t="shared" si="193"/>
        <v>0</v>
      </c>
    </row>
    <row r="1620" spans="2:8">
      <c r="B1620" t="s">
        <v>443</v>
      </c>
      <c r="C1620" s="3" t="s">
        <v>2324</v>
      </c>
      <c r="D1620" s="13" t="str">
        <f t="shared" si="194"/>
        <v>18-01</v>
      </c>
      <c r="E1620" s="1">
        <f>_xlfn.IFNA(VLOOKUP('Comp X - Kilter'!B1620,'Kilter Holds'!$P$36:$AB$370,12,0),0)</f>
        <v>8</v>
      </c>
      <c r="G1620" s="2">
        <f t="shared" si="192"/>
        <v>0</v>
      </c>
      <c r="H1620" s="2">
        <f t="shared" si="193"/>
        <v>0</v>
      </c>
    </row>
    <row r="1621" spans="2:8">
      <c r="B1621" t="s">
        <v>443</v>
      </c>
      <c r="C1621" s="3" t="s">
        <v>2324</v>
      </c>
      <c r="D1621" s="12" t="str">
        <f t="shared" si="194"/>
        <v>12-01</v>
      </c>
      <c r="E1621" s="1">
        <f>_xlfn.IFNA(VLOOKUP('Comp X - Kilter'!B1621,'Kilter Holds'!$P$36:$AB$370,13,0),0)</f>
        <v>0</v>
      </c>
      <c r="G1621" s="2">
        <f t="shared" si="192"/>
        <v>0</v>
      </c>
      <c r="H1621" s="2">
        <f t="shared" si="193"/>
        <v>0</v>
      </c>
    </row>
    <row r="1622" spans="2:8">
      <c r="B1622" t="s">
        <v>1054</v>
      </c>
      <c r="C1622" s="3" t="s">
        <v>2325</v>
      </c>
      <c r="D1622" s="5" t="str">
        <f t="shared" si="194"/>
        <v>11-12</v>
      </c>
      <c r="E1622" s="1">
        <f>_xlfn.IFNA(VLOOKUP('Comp X - Kilter'!B1622,'Kilter Holds'!$P$36:$AB$370,5,0),0)</f>
        <v>4</v>
      </c>
      <c r="G1622" s="2">
        <f t="shared" si="192"/>
        <v>0</v>
      </c>
      <c r="H1622" s="2">
        <f t="shared" si="193"/>
        <v>0</v>
      </c>
    </row>
    <row r="1623" spans="2:8">
      <c r="B1623" t="s">
        <v>1054</v>
      </c>
      <c r="C1623" s="3" t="s">
        <v>2325</v>
      </c>
      <c r="D1623" s="6" t="str">
        <f t="shared" si="194"/>
        <v>14-01</v>
      </c>
      <c r="E1623" s="1">
        <f>_xlfn.IFNA(VLOOKUP('Comp X - Kilter'!B1623,'Kilter Holds'!$P$36:$AB$370,6,0),0)</f>
        <v>0</v>
      </c>
      <c r="G1623" s="2">
        <f t="shared" si="192"/>
        <v>0</v>
      </c>
      <c r="H1623" s="2">
        <f t="shared" si="193"/>
        <v>0</v>
      </c>
    </row>
    <row r="1624" spans="2:8">
      <c r="B1624" t="s">
        <v>1054</v>
      </c>
      <c r="C1624" s="3" t="s">
        <v>2325</v>
      </c>
      <c r="D1624" s="7" t="str">
        <f t="shared" si="194"/>
        <v>15-12</v>
      </c>
      <c r="E1624" s="1">
        <f>_xlfn.IFNA(VLOOKUP('Comp X - Kilter'!B1624,'Kilter Holds'!$P$36:$AB$370,7,0),0)</f>
        <v>4</v>
      </c>
      <c r="G1624" s="2">
        <f t="shared" si="192"/>
        <v>0</v>
      </c>
      <c r="H1624" s="2">
        <f t="shared" si="193"/>
        <v>0</v>
      </c>
    </row>
    <row r="1625" spans="2:8">
      <c r="B1625" t="s">
        <v>1054</v>
      </c>
      <c r="C1625" s="3" t="s">
        <v>2325</v>
      </c>
      <c r="D1625" s="8" t="str">
        <f t="shared" si="194"/>
        <v>16-16</v>
      </c>
      <c r="E1625" s="1">
        <f>_xlfn.IFNA(VLOOKUP('Comp X - Kilter'!B1625,'Kilter Holds'!$P$36:$AB$370,8,0),0)</f>
        <v>5</v>
      </c>
      <c r="G1625" s="2">
        <f t="shared" si="192"/>
        <v>0</v>
      </c>
      <c r="H1625" s="2">
        <f t="shared" si="193"/>
        <v>0</v>
      </c>
    </row>
    <row r="1626" spans="2:8">
      <c r="B1626" t="s">
        <v>1054</v>
      </c>
      <c r="C1626" s="3" t="s">
        <v>2325</v>
      </c>
      <c r="D1626" s="9" t="str">
        <f t="shared" si="194"/>
        <v>13-01</v>
      </c>
      <c r="E1626" s="1">
        <f>_xlfn.IFNA(VLOOKUP('Comp X - Kilter'!B1626,'Kilter Holds'!$P$36:$AB$370,9,0),0)</f>
        <v>5</v>
      </c>
      <c r="G1626" s="2">
        <f t="shared" si="192"/>
        <v>0</v>
      </c>
      <c r="H1626" s="2">
        <f t="shared" si="193"/>
        <v>0</v>
      </c>
    </row>
    <row r="1627" spans="2:8">
      <c r="B1627" t="s">
        <v>1054</v>
      </c>
      <c r="C1627" s="3" t="s">
        <v>2325</v>
      </c>
      <c r="D1627" s="10" t="str">
        <f t="shared" si="194"/>
        <v>07-13</v>
      </c>
      <c r="E1627" s="1">
        <f>_xlfn.IFNA(VLOOKUP('Comp X - Kilter'!B1627,'Kilter Holds'!$P$36:$AB$370,10,0),0)</f>
        <v>5</v>
      </c>
      <c r="G1627" s="2">
        <f t="shared" si="192"/>
        <v>0</v>
      </c>
      <c r="H1627" s="2">
        <f t="shared" si="193"/>
        <v>0</v>
      </c>
    </row>
    <row r="1628" spans="2:8">
      <c r="B1628" t="s">
        <v>1054</v>
      </c>
      <c r="C1628" s="3" t="s">
        <v>2325</v>
      </c>
      <c r="D1628" s="11" t="str">
        <f t="shared" si="194"/>
        <v>11-25</v>
      </c>
      <c r="E1628" s="1">
        <f>_xlfn.IFNA(VLOOKUP('Comp X - Kilter'!B1628,'Kilter Holds'!$P$36:$AB$370,11,0),0)</f>
        <v>5</v>
      </c>
      <c r="G1628" s="2">
        <f t="shared" si="192"/>
        <v>0</v>
      </c>
      <c r="H1628" s="2">
        <f t="shared" si="193"/>
        <v>0</v>
      </c>
    </row>
    <row r="1629" spans="2:8">
      <c r="B1629" t="s">
        <v>1054</v>
      </c>
      <c r="C1629" s="3" t="s">
        <v>2325</v>
      </c>
      <c r="D1629" s="13" t="str">
        <f t="shared" si="194"/>
        <v>18-01</v>
      </c>
      <c r="E1629" s="1">
        <f>_xlfn.IFNA(VLOOKUP('Comp X - Kilter'!B1629,'Kilter Holds'!$P$36:$AB$370,12,0),0)</f>
        <v>5</v>
      </c>
      <c r="G1629" s="2">
        <f t="shared" si="192"/>
        <v>0</v>
      </c>
      <c r="H1629" s="2">
        <f t="shared" si="193"/>
        <v>0</v>
      </c>
    </row>
    <row r="1630" spans="2:8">
      <c r="B1630" t="s">
        <v>1054</v>
      </c>
      <c r="C1630" s="3" t="s">
        <v>2325</v>
      </c>
      <c r="D1630" s="12" t="str">
        <f t="shared" si="194"/>
        <v>12-01</v>
      </c>
      <c r="E1630" s="1">
        <f>_xlfn.IFNA(VLOOKUP('Comp X - Kilter'!B1630,'Kilter Holds'!$P$36:$AB$370,13,0),0)</f>
        <v>0</v>
      </c>
      <c r="G1630" s="2">
        <f t="shared" si="192"/>
        <v>0</v>
      </c>
      <c r="H1630" s="2">
        <f t="shared" si="193"/>
        <v>0</v>
      </c>
    </row>
    <row r="1631" spans="2:8">
      <c r="B1631" t="s">
        <v>1041</v>
      </c>
      <c r="C1631" s="3" t="s">
        <v>2326</v>
      </c>
      <c r="D1631" s="5" t="str">
        <f t="shared" si="194"/>
        <v>11-12</v>
      </c>
      <c r="E1631" s="1">
        <f>_xlfn.IFNA(VLOOKUP('Comp X - Kilter'!B1631,'Kilter Holds'!$P$36:$AB$370,5,0),0)</f>
        <v>5</v>
      </c>
      <c r="G1631" s="2">
        <f t="shared" si="192"/>
        <v>0</v>
      </c>
      <c r="H1631" s="2">
        <f t="shared" si="193"/>
        <v>0</v>
      </c>
    </row>
    <row r="1632" spans="2:8">
      <c r="B1632" t="s">
        <v>1041</v>
      </c>
      <c r="C1632" s="3" t="s">
        <v>2326</v>
      </c>
      <c r="D1632" s="6" t="str">
        <f t="shared" si="194"/>
        <v>14-01</v>
      </c>
      <c r="E1632" s="1">
        <f>_xlfn.IFNA(VLOOKUP('Comp X - Kilter'!B1632,'Kilter Holds'!$P$36:$AB$370,6,0),0)</f>
        <v>0</v>
      </c>
      <c r="G1632" s="2">
        <f t="shared" si="192"/>
        <v>0</v>
      </c>
      <c r="H1632" s="2">
        <f t="shared" si="193"/>
        <v>0</v>
      </c>
    </row>
    <row r="1633" spans="2:8">
      <c r="B1633" t="s">
        <v>1041</v>
      </c>
      <c r="C1633" s="3" t="s">
        <v>2326</v>
      </c>
      <c r="D1633" s="7" t="str">
        <f t="shared" si="194"/>
        <v>15-12</v>
      </c>
      <c r="E1633" s="1">
        <f>_xlfn.IFNA(VLOOKUP('Comp X - Kilter'!B1633,'Kilter Holds'!$P$36:$AB$370,7,0),0)</f>
        <v>3</v>
      </c>
      <c r="G1633" s="2">
        <f t="shared" si="192"/>
        <v>0</v>
      </c>
      <c r="H1633" s="2">
        <f t="shared" si="193"/>
        <v>0</v>
      </c>
    </row>
    <row r="1634" spans="2:8">
      <c r="B1634" t="s">
        <v>1041</v>
      </c>
      <c r="C1634" s="3" t="s">
        <v>2326</v>
      </c>
      <c r="D1634" s="8" t="str">
        <f t="shared" si="194"/>
        <v>16-16</v>
      </c>
      <c r="E1634" s="1">
        <f>_xlfn.IFNA(VLOOKUP('Comp X - Kilter'!B1634,'Kilter Holds'!$P$36:$AB$370,8,0),0)</f>
        <v>4</v>
      </c>
      <c r="G1634" s="2">
        <f t="shared" si="192"/>
        <v>0</v>
      </c>
      <c r="H1634" s="2">
        <f t="shared" si="193"/>
        <v>0</v>
      </c>
    </row>
    <row r="1635" spans="2:8">
      <c r="B1635" t="s">
        <v>1041</v>
      </c>
      <c r="C1635" s="3" t="s">
        <v>2326</v>
      </c>
      <c r="D1635" s="9" t="str">
        <f t="shared" si="194"/>
        <v>13-01</v>
      </c>
      <c r="E1635" s="1">
        <f>_xlfn.IFNA(VLOOKUP('Comp X - Kilter'!B1635,'Kilter Holds'!$P$36:$AB$370,9,0),0)</f>
        <v>7</v>
      </c>
      <c r="G1635" s="2">
        <f t="shared" si="192"/>
        <v>0</v>
      </c>
      <c r="H1635" s="2">
        <f t="shared" si="193"/>
        <v>0</v>
      </c>
    </row>
    <row r="1636" spans="2:8">
      <c r="B1636" t="s">
        <v>1041</v>
      </c>
      <c r="C1636" s="3" t="s">
        <v>2326</v>
      </c>
      <c r="D1636" s="10" t="str">
        <f t="shared" si="194"/>
        <v>07-13</v>
      </c>
      <c r="E1636" s="1">
        <f>_xlfn.IFNA(VLOOKUP('Comp X - Kilter'!B1636,'Kilter Holds'!$P$36:$AB$370,10,0),0)</f>
        <v>2</v>
      </c>
      <c r="G1636" s="2">
        <f t="shared" si="192"/>
        <v>0</v>
      </c>
      <c r="H1636" s="2">
        <f t="shared" si="193"/>
        <v>0</v>
      </c>
    </row>
    <row r="1637" spans="2:8">
      <c r="B1637" t="s">
        <v>1041</v>
      </c>
      <c r="C1637" s="3" t="s">
        <v>2326</v>
      </c>
      <c r="D1637" s="11" t="str">
        <f t="shared" si="194"/>
        <v>11-25</v>
      </c>
      <c r="E1637" s="1">
        <f>_xlfn.IFNA(VLOOKUP('Comp X - Kilter'!B1637,'Kilter Holds'!$P$36:$AB$370,11,0),0)</f>
        <v>0</v>
      </c>
      <c r="G1637" s="2">
        <f t="shared" si="192"/>
        <v>0</v>
      </c>
      <c r="H1637" s="2">
        <f t="shared" si="193"/>
        <v>0</v>
      </c>
    </row>
    <row r="1638" spans="2:8">
      <c r="B1638" t="s">
        <v>1041</v>
      </c>
      <c r="C1638" s="3" t="s">
        <v>2326</v>
      </c>
      <c r="D1638" s="13" t="str">
        <f t="shared" si="194"/>
        <v>18-01</v>
      </c>
      <c r="E1638" s="1">
        <f>_xlfn.IFNA(VLOOKUP('Comp X - Kilter'!B1638,'Kilter Holds'!$P$36:$AB$370,12,0),0)</f>
        <v>5</v>
      </c>
      <c r="G1638" s="2">
        <f t="shared" si="192"/>
        <v>0</v>
      </c>
      <c r="H1638" s="2">
        <f t="shared" si="193"/>
        <v>0</v>
      </c>
    </row>
    <row r="1639" spans="2:8">
      <c r="B1639" t="s">
        <v>1041</v>
      </c>
      <c r="C1639" s="3" t="s">
        <v>2326</v>
      </c>
      <c r="D1639" s="12" t="str">
        <f t="shared" si="194"/>
        <v>12-01</v>
      </c>
      <c r="E1639" s="1">
        <f>_xlfn.IFNA(VLOOKUP('Comp X - Kilter'!B1639,'Kilter Holds'!$P$36:$AB$370,13,0),0)</f>
        <v>0</v>
      </c>
      <c r="G1639" s="2">
        <f t="shared" si="192"/>
        <v>0</v>
      </c>
      <c r="H1639" s="2">
        <f t="shared" si="193"/>
        <v>0</v>
      </c>
    </row>
    <row r="1640" spans="2:8">
      <c r="B1640" t="s">
        <v>3144</v>
      </c>
      <c r="C1640" s="3" t="s">
        <v>3158</v>
      </c>
      <c r="D1640" s="5" t="str">
        <f t="shared" si="194"/>
        <v>11-12</v>
      </c>
      <c r="E1640" s="1">
        <f>_xlfn.IFNA(VLOOKUP('Comp X - Kilter'!B1640,'Kilter Holds'!$P$36:$AB$370,5,0),0)</f>
        <v>0</v>
      </c>
      <c r="G1640" s="2">
        <f t="shared" ref="G1640:G1648" si="195">E1640*F1640</f>
        <v>0</v>
      </c>
      <c r="H1640" s="2">
        <f t="shared" ref="H1640:H1648" si="196">IF($S$11="Y",G1640*0.15,0)</f>
        <v>0</v>
      </c>
    </row>
    <row r="1641" spans="2:8">
      <c r="B1641" t="s">
        <v>3144</v>
      </c>
      <c r="C1641" s="3" t="s">
        <v>3158</v>
      </c>
      <c r="D1641" s="6" t="str">
        <f t="shared" si="194"/>
        <v>14-01</v>
      </c>
      <c r="E1641" s="1">
        <f>_xlfn.IFNA(VLOOKUP('Comp X - Kilter'!B1641,'Kilter Holds'!$P$36:$AB$370,6,0),0)</f>
        <v>0</v>
      </c>
      <c r="G1641" s="2">
        <f t="shared" si="195"/>
        <v>0</v>
      </c>
      <c r="H1641" s="2">
        <f t="shared" si="196"/>
        <v>0</v>
      </c>
    </row>
    <row r="1642" spans="2:8">
      <c r="B1642" t="s">
        <v>3144</v>
      </c>
      <c r="C1642" s="3" t="s">
        <v>3158</v>
      </c>
      <c r="D1642" s="7" t="str">
        <f t="shared" si="194"/>
        <v>15-12</v>
      </c>
      <c r="E1642" s="1">
        <f>_xlfn.IFNA(VLOOKUP('Comp X - Kilter'!B1642,'Kilter Holds'!$P$36:$AB$370,7,0),0)</f>
        <v>0</v>
      </c>
      <c r="G1642" s="2">
        <f t="shared" si="195"/>
        <v>0</v>
      </c>
      <c r="H1642" s="2">
        <f t="shared" si="196"/>
        <v>0</v>
      </c>
    </row>
    <row r="1643" spans="2:8">
      <c r="B1643" t="s">
        <v>3144</v>
      </c>
      <c r="C1643" s="3" t="s">
        <v>3158</v>
      </c>
      <c r="D1643" s="8" t="str">
        <f t="shared" si="194"/>
        <v>16-16</v>
      </c>
      <c r="E1643" s="1">
        <f>_xlfn.IFNA(VLOOKUP('Comp X - Kilter'!B1643,'Kilter Holds'!$P$36:$AB$370,8,0),0)</f>
        <v>0</v>
      </c>
      <c r="G1643" s="2">
        <f t="shared" si="195"/>
        <v>0</v>
      </c>
      <c r="H1643" s="2">
        <f t="shared" si="196"/>
        <v>0</v>
      </c>
    </row>
    <row r="1644" spans="2:8">
      <c r="B1644" t="s">
        <v>3144</v>
      </c>
      <c r="C1644" s="3" t="s">
        <v>3158</v>
      </c>
      <c r="D1644" s="9" t="str">
        <f t="shared" si="194"/>
        <v>13-01</v>
      </c>
      <c r="E1644" s="1">
        <f>_xlfn.IFNA(VLOOKUP('Comp X - Kilter'!B1644,'Kilter Holds'!$P$36:$AB$370,9,0),0)</f>
        <v>0</v>
      </c>
      <c r="G1644" s="2">
        <f t="shared" si="195"/>
        <v>0</v>
      </c>
      <c r="H1644" s="2">
        <f t="shared" si="196"/>
        <v>0</v>
      </c>
    </row>
    <row r="1645" spans="2:8">
      <c r="B1645" t="s">
        <v>3144</v>
      </c>
      <c r="C1645" s="3" t="s">
        <v>3158</v>
      </c>
      <c r="D1645" s="10" t="str">
        <f t="shared" si="194"/>
        <v>07-13</v>
      </c>
      <c r="E1645" s="1">
        <f>_xlfn.IFNA(VLOOKUP('Comp X - Kilter'!B1645,'Kilter Holds'!$P$36:$AB$370,10,0),0)</f>
        <v>0</v>
      </c>
      <c r="G1645" s="2">
        <f t="shared" si="195"/>
        <v>0</v>
      </c>
      <c r="H1645" s="2">
        <f t="shared" si="196"/>
        <v>0</v>
      </c>
    </row>
    <row r="1646" spans="2:8">
      <c r="B1646" t="s">
        <v>3144</v>
      </c>
      <c r="C1646" s="3" t="s">
        <v>3158</v>
      </c>
      <c r="D1646" s="11" t="str">
        <f t="shared" si="194"/>
        <v>11-25</v>
      </c>
      <c r="E1646" s="1">
        <f>_xlfn.IFNA(VLOOKUP('Comp X - Kilter'!B1646,'Kilter Holds'!$P$36:$AB$370,11,0),0)</f>
        <v>0</v>
      </c>
      <c r="G1646" s="2">
        <f t="shared" si="195"/>
        <v>0</v>
      </c>
      <c r="H1646" s="2">
        <f t="shared" si="196"/>
        <v>0</v>
      </c>
    </row>
    <row r="1647" spans="2:8">
      <c r="B1647" t="s">
        <v>3144</v>
      </c>
      <c r="C1647" s="3" t="s">
        <v>3158</v>
      </c>
      <c r="D1647" s="13" t="str">
        <f t="shared" si="194"/>
        <v>18-01</v>
      </c>
      <c r="E1647" s="1">
        <f>_xlfn.IFNA(VLOOKUP('Comp X - Kilter'!B1647,'Kilter Holds'!$P$36:$AB$370,12,0),0)</f>
        <v>0</v>
      </c>
      <c r="G1647" s="2">
        <f t="shared" si="195"/>
        <v>0</v>
      </c>
      <c r="H1647" s="2">
        <f t="shared" si="196"/>
        <v>0</v>
      </c>
    </row>
    <row r="1648" spans="2:8">
      <c r="B1648" t="s">
        <v>3144</v>
      </c>
      <c r="C1648" s="3" t="s">
        <v>3158</v>
      </c>
      <c r="D1648" s="12" t="str">
        <f t="shared" si="194"/>
        <v>12-01</v>
      </c>
      <c r="E1648" s="1">
        <f>_xlfn.IFNA(VLOOKUP('Comp X - Kilter'!B1648,'Kilter Holds'!$P$36:$AB$370,13,0),0)</f>
        <v>0</v>
      </c>
      <c r="G1648" s="2">
        <f t="shared" si="195"/>
        <v>0</v>
      </c>
      <c r="H1648" s="2">
        <f t="shared" si="196"/>
        <v>0</v>
      </c>
    </row>
    <row r="1649" spans="2:8">
      <c r="B1649" s="3" t="s">
        <v>1834</v>
      </c>
      <c r="C1649" s="3" t="s">
        <v>2327</v>
      </c>
      <c r="D1649" s="5" t="str">
        <f t="shared" ref="D1649:D1657" si="197">D1631</f>
        <v>11-12</v>
      </c>
      <c r="E1649" s="1">
        <f>_xlfn.IFNA(VLOOKUP('Comp X - Kilter'!B1649,'Kilter Holds'!$P$36:$AB$370,5,0),0)</f>
        <v>4</v>
      </c>
      <c r="G1649" s="2">
        <f t="shared" ref="G1649:G1666" si="198">E1649*F1649</f>
        <v>0</v>
      </c>
      <c r="H1649" s="2">
        <f t="shared" ref="H1649:H1666" si="199">IF($S$11="Y",G1649*0.15,0)</f>
        <v>0</v>
      </c>
    </row>
    <row r="1650" spans="2:8">
      <c r="B1650" s="3" t="s">
        <v>1834</v>
      </c>
      <c r="C1650" s="3" t="s">
        <v>2327</v>
      </c>
      <c r="D1650" s="6" t="str">
        <f t="shared" si="197"/>
        <v>14-01</v>
      </c>
      <c r="E1650" s="1">
        <f>_xlfn.IFNA(VLOOKUP('Comp X - Kilter'!B1650,'Kilter Holds'!$P$36:$AB$370,6,0),0)</f>
        <v>2</v>
      </c>
      <c r="G1650" s="2">
        <f t="shared" si="198"/>
        <v>0</v>
      </c>
      <c r="H1650" s="2">
        <f t="shared" si="199"/>
        <v>0</v>
      </c>
    </row>
    <row r="1651" spans="2:8">
      <c r="B1651" s="3" t="s">
        <v>1834</v>
      </c>
      <c r="C1651" s="3" t="s">
        <v>2327</v>
      </c>
      <c r="D1651" s="7" t="str">
        <f t="shared" si="197"/>
        <v>15-12</v>
      </c>
      <c r="E1651" s="1">
        <f>_xlfn.IFNA(VLOOKUP('Comp X - Kilter'!B1651,'Kilter Holds'!$P$36:$AB$370,7,0),0)</f>
        <v>6</v>
      </c>
      <c r="G1651" s="2">
        <f t="shared" si="198"/>
        <v>0</v>
      </c>
      <c r="H1651" s="2">
        <f t="shared" si="199"/>
        <v>0</v>
      </c>
    </row>
    <row r="1652" spans="2:8">
      <c r="B1652" s="3" t="s">
        <v>1834</v>
      </c>
      <c r="C1652" s="3" t="s">
        <v>2327</v>
      </c>
      <c r="D1652" s="8" t="str">
        <f t="shared" si="197"/>
        <v>16-16</v>
      </c>
      <c r="E1652" s="1">
        <f>_xlfn.IFNA(VLOOKUP('Comp X - Kilter'!B1652,'Kilter Holds'!$P$36:$AB$370,8,0),0)</f>
        <v>5</v>
      </c>
      <c r="G1652" s="2">
        <f t="shared" si="198"/>
        <v>0</v>
      </c>
      <c r="H1652" s="2">
        <f t="shared" si="199"/>
        <v>0</v>
      </c>
    </row>
    <row r="1653" spans="2:8">
      <c r="B1653" s="3" t="s">
        <v>1834</v>
      </c>
      <c r="C1653" s="3" t="s">
        <v>2327</v>
      </c>
      <c r="D1653" s="9" t="str">
        <f t="shared" si="197"/>
        <v>13-01</v>
      </c>
      <c r="E1653" s="1">
        <f>_xlfn.IFNA(VLOOKUP('Comp X - Kilter'!B1653,'Kilter Holds'!$P$36:$AB$370,9,0),0)</f>
        <v>9</v>
      </c>
      <c r="G1653" s="2">
        <f t="shared" si="198"/>
        <v>0</v>
      </c>
      <c r="H1653" s="2">
        <f t="shared" si="199"/>
        <v>0</v>
      </c>
    </row>
    <row r="1654" spans="2:8">
      <c r="B1654" s="3" t="s">
        <v>1834</v>
      </c>
      <c r="C1654" s="3" t="s">
        <v>2327</v>
      </c>
      <c r="D1654" s="10" t="str">
        <f t="shared" si="197"/>
        <v>07-13</v>
      </c>
      <c r="E1654" s="1">
        <f>_xlfn.IFNA(VLOOKUP('Comp X - Kilter'!B1654,'Kilter Holds'!$P$36:$AB$370,10,0),0)</f>
        <v>5</v>
      </c>
      <c r="G1654" s="2">
        <f t="shared" si="198"/>
        <v>0</v>
      </c>
      <c r="H1654" s="2">
        <f t="shared" si="199"/>
        <v>0</v>
      </c>
    </row>
    <row r="1655" spans="2:8">
      <c r="B1655" s="3" t="s">
        <v>1834</v>
      </c>
      <c r="C1655" s="3" t="s">
        <v>2327</v>
      </c>
      <c r="D1655" s="11" t="str">
        <f t="shared" si="197"/>
        <v>11-25</v>
      </c>
      <c r="E1655" s="1">
        <f>_xlfn.IFNA(VLOOKUP('Comp X - Kilter'!B1655,'Kilter Holds'!$P$36:$AB$370,11,0),0)</f>
        <v>3</v>
      </c>
      <c r="G1655" s="2">
        <f t="shared" si="198"/>
        <v>0</v>
      </c>
      <c r="H1655" s="2">
        <f t="shared" si="199"/>
        <v>0</v>
      </c>
    </row>
    <row r="1656" spans="2:8">
      <c r="B1656" s="3" t="s">
        <v>1834</v>
      </c>
      <c r="C1656" s="3" t="s">
        <v>2327</v>
      </c>
      <c r="D1656" s="13" t="str">
        <f t="shared" si="197"/>
        <v>18-01</v>
      </c>
      <c r="E1656" s="1">
        <f>_xlfn.IFNA(VLOOKUP('Comp X - Kilter'!B1656,'Kilter Holds'!$P$36:$AB$370,12,0),0)</f>
        <v>9</v>
      </c>
      <c r="G1656" s="2">
        <f t="shared" si="198"/>
        <v>0</v>
      </c>
      <c r="H1656" s="2">
        <f t="shared" si="199"/>
        <v>0</v>
      </c>
    </row>
    <row r="1657" spans="2:8">
      <c r="B1657" s="3" t="s">
        <v>1834</v>
      </c>
      <c r="C1657" s="3" t="s">
        <v>2327</v>
      </c>
      <c r="D1657" s="12" t="str">
        <f t="shared" si="197"/>
        <v>12-01</v>
      </c>
      <c r="E1657" s="1">
        <f>_xlfn.IFNA(VLOOKUP('Comp X - Kilter'!B1657,'Kilter Holds'!$P$36:$AB$370,13,0),0)</f>
        <v>0</v>
      </c>
      <c r="G1657" s="2">
        <f t="shared" si="198"/>
        <v>0</v>
      </c>
      <c r="H1657" s="2">
        <f t="shared" si="199"/>
        <v>0</v>
      </c>
    </row>
    <row r="1658" spans="2:8">
      <c r="B1658" s="3" t="s">
        <v>1836</v>
      </c>
      <c r="C1658" s="3" t="s">
        <v>2328</v>
      </c>
      <c r="D1658" s="5" t="str">
        <f t="shared" si="194"/>
        <v>11-12</v>
      </c>
      <c r="E1658" s="1">
        <f>_xlfn.IFNA(VLOOKUP('Comp X - Kilter'!B1658,'Kilter Holds'!$P$36:$AB$370,5,0),0)</f>
        <v>4</v>
      </c>
      <c r="G1658" s="2">
        <f t="shared" si="198"/>
        <v>0</v>
      </c>
      <c r="H1658" s="2">
        <f t="shared" si="199"/>
        <v>0</v>
      </c>
    </row>
    <row r="1659" spans="2:8">
      <c r="B1659" s="3" t="s">
        <v>1836</v>
      </c>
      <c r="C1659" s="3" t="s">
        <v>2328</v>
      </c>
      <c r="D1659" s="6" t="str">
        <f t="shared" si="194"/>
        <v>14-01</v>
      </c>
      <c r="E1659" s="1">
        <f>_xlfn.IFNA(VLOOKUP('Comp X - Kilter'!B1659,'Kilter Holds'!$P$36:$AB$370,6,0),0)</f>
        <v>1</v>
      </c>
      <c r="G1659" s="2">
        <f t="shared" si="198"/>
        <v>0</v>
      </c>
      <c r="H1659" s="2">
        <f t="shared" si="199"/>
        <v>0</v>
      </c>
    </row>
    <row r="1660" spans="2:8">
      <c r="B1660" s="3" t="s">
        <v>1836</v>
      </c>
      <c r="C1660" s="3" t="s">
        <v>2328</v>
      </c>
      <c r="D1660" s="7" t="str">
        <f t="shared" si="194"/>
        <v>15-12</v>
      </c>
      <c r="E1660" s="1">
        <f>_xlfn.IFNA(VLOOKUP('Comp X - Kilter'!B1660,'Kilter Holds'!$P$36:$AB$370,7,0),0)</f>
        <v>9</v>
      </c>
      <c r="G1660" s="2">
        <f t="shared" si="198"/>
        <v>0</v>
      </c>
      <c r="H1660" s="2">
        <f t="shared" si="199"/>
        <v>0</v>
      </c>
    </row>
    <row r="1661" spans="2:8">
      <c r="B1661" s="3" t="s">
        <v>1836</v>
      </c>
      <c r="C1661" s="3" t="s">
        <v>2328</v>
      </c>
      <c r="D1661" s="8" t="str">
        <f t="shared" si="194"/>
        <v>16-16</v>
      </c>
      <c r="E1661" s="1">
        <f>_xlfn.IFNA(VLOOKUP('Comp X - Kilter'!B1661,'Kilter Holds'!$P$36:$AB$370,8,0),0)</f>
        <v>6</v>
      </c>
      <c r="G1661" s="2">
        <f t="shared" si="198"/>
        <v>0</v>
      </c>
      <c r="H1661" s="2">
        <f t="shared" si="199"/>
        <v>0</v>
      </c>
    </row>
    <row r="1662" spans="2:8">
      <c r="B1662" s="3" t="s">
        <v>1836</v>
      </c>
      <c r="C1662" s="3" t="s">
        <v>2328</v>
      </c>
      <c r="D1662" s="9" t="str">
        <f t="shared" si="194"/>
        <v>13-01</v>
      </c>
      <c r="E1662" s="1">
        <f>_xlfn.IFNA(VLOOKUP('Comp X - Kilter'!B1662,'Kilter Holds'!$P$36:$AB$370,9,0),0)</f>
        <v>3</v>
      </c>
      <c r="G1662" s="2">
        <f t="shared" si="198"/>
        <v>0</v>
      </c>
      <c r="H1662" s="2">
        <f t="shared" si="199"/>
        <v>0</v>
      </c>
    </row>
    <row r="1663" spans="2:8">
      <c r="B1663" s="3" t="s">
        <v>1836</v>
      </c>
      <c r="C1663" s="3" t="s">
        <v>2328</v>
      </c>
      <c r="D1663" s="10" t="str">
        <f t="shared" si="194"/>
        <v>07-13</v>
      </c>
      <c r="E1663" s="1">
        <f>_xlfn.IFNA(VLOOKUP('Comp X - Kilter'!B1663,'Kilter Holds'!$P$36:$AB$370,10,0),0)</f>
        <v>5</v>
      </c>
      <c r="G1663" s="2">
        <f t="shared" si="198"/>
        <v>0</v>
      </c>
      <c r="H1663" s="2">
        <f t="shared" si="199"/>
        <v>0</v>
      </c>
    </row>
    <row r="1664" spans="2:8">
      <c r="B1664" s="3" t="s">
        <v>1836</v>
      </c>
      <c r="C1664" s="3" t="s">
        <v>2328</v>
      </c>
      <c r="D1664" s="11" t="str">
        <f t="shared" si="194"/>
        <v>11-25</v>
      </c>
      <c r="E1664" s="1">
        <f>_xlfn.IFNA(VLOOKUP('Comp X - Kilter'!B1664,'Kilter Holds'!$P$36:$AB$370,11,0),0)</f>
        <v>4</v>
      </c>
      <c r="G1664" s="2">
        <f t="shared" si="198"/>
        <v>0</v>
      </c>
      <c r="H1664" s="2">
        <f t="shared" si="199"/>
        <v>0</v>
      </c>
    </row>
    <row r="1665" spans="2:8">
      <c r="B1665" s="3" t="s">
        <v>1836</v>
      </c>
      <c r="C1665" s="3" t="s">
        <v>2328</v>
      </c>
      <c r="D1665" s="13" t="str">
        <f t="shared" si="194"/>
        <v>18-01</v>
      </c>
      <c r="E1665" s="1">
        <f>_xlfn.IFNA(VLOOKUP('Comp X - Kilter'!B1665,'Kilter Holds'!$P$36:$AB$370,12,0),0)</f>
        <v>13</v>
      </c>
      <c r="G1665" s="2">
        <f t="shared" si="198"/>
        <v>0</v>
      </c>
      <c r="H1665" s="2">
        <f t="shared" si="199"/>
        <v>0</v>
      </c>
    </row>
    <row r="1666" spans="2:8">
      <c r="B1666" s="3" t="s">
        <v>1836</v>
      </c>
      <c r="C1666" s="3" t="s">
        <v>2328</v>
      </c>
      <c r="D1666" s="12" t="str">
        <f t="shared" si="194"/>
        <v>12-01</v>
      </c>
      <c r="E1666" s="1">
        <f>_xlfn.IFNA(VLOOKUP('Comp X - Kilter'!B1666,'Kilter Holds'!$P$36:$AB$370,13,0),0)</f>
        <v>0</v>
      </c>
      <c r="G1666" s="2">
        <f t="shared" si="198"/>
        <v>0</v>
      </c>
      <c r="H1666" s="2">
        <f t="shared" si="199"/>
        <v>0</v>
      </c>
    </row>
    <row r="1667" spans="2:8">
      <c r="B1667" s="3" t="s">
        <v>1866</v>
      </c>
      <c r="C1667" s="3" t="s">
        <v>2329</v>
      </c>
      <c r="D1667" s="5" t="str">
        <f t="shared" si="194"/>
        <v>11-12</v>
      </c>
      <c r="E1667" s="1">
        <f>_xlfn.IFNA(VLOOKUP('Comp X - Kilter'!B1667,'Kilter Holds'!$P$36:$AB$370,5,0),0)</f>
        <v>5</v>
      </c>
      <c r="G1667" s="2">
        <f t="shared" ref="G1667:G1675" si="200">E1667*F1667</f>
        <v>0</v>
      </c>
      <c r="H1667" s="2">
        <f t="shared" ref="H1667:H1675" si="201">IF($S$11="Y",G1667*0.15,0)</f>
        <v>0</v>
      </c>
    </row>
    <row r="1668" spans="2:8">
      <c r="B1668" s="3" t="s">
        <v>1866</v>
      </c>
      <c r="C1668" s="3" t="s">
        <v>2329</v>
      </c>
      <c r="D1668" s="6" t="str">
        <f t="shared" si="194"/>
        <v>14-01</v>
      </c>
      <c r="E1668" s="1">
        <f>_xlfn.IFNA(VLOOKUP('Comp X - Kilter'!B1668,'Kilter Holds'!$P$36:$AB$370,6,0),0)</f>
        <v>0</v>
      </c>
      <c r="G1668" s="2">
        <f t="shared" si="200"/>
        <v>0</v>
      </c>
      <c r="H1668" s="2">
        <f t="shared" si="201"/>
        <v>0</v>
      </c>
    </row>
    <row r="1669" spans="2:8">
      <c r="B1669" s="3" t="s">
        <v>1866</v>
      </c>
      <c r="C1669" s="3" t="s">
        <v>2329</v>
      </c>
      <c r="D1669" s="7" t="str">
        <f t="shared" si="194"/>
        <v>15-12</v>
      </c>
      <c r="E1669" s="1">
        <f>_xlfn.IFNA(VLOOKUP('Comp X - Kilter'!B1669,'Kilter Holds'!$P$36:$AB$370,7,0),0)</f>
        <v>5</v>
      </c>
      <c r="G1669" s="2">
        <f t="shared" si="200"/>
        <v>0</v>
      </c>
      <c r="H1669" s="2">
        <f t="shared" si="201"/>
        <v>0</v>
      </c>
    </row>
    <row r="1670" spans="2:8">
      <c r="B1670" s="3" t="s">
        <v>1866</v>
      </c>
      <c r="C1670" s="3" t="s">
        <v>2329</v>
      </c>
      <c r="D1670" s="8" t="str">
        <f t="shared" si="194"/>
        <v>16-16</v>
      </c>
      <c r="E1670" s="1">
        <f>_xlfn.IFNA(VLOOKUP('Comp X - Kilter'!B1670,'Kilter Holds'!$P$36:$AB$370,8,0),0)</f>
        <v>3</v>
      </c>
      <c r="G1670" s="2">
        <f t="shared" si="200"/>
        <v>0</v>
      </c>
      <c r="H1670" s="2">
        <f t="shared" si="201"/>
        <v>0</v>
      </c>
    </row>
    <row r="1671" spans="2:8">
      <c r="B1671" s="3" t="s">
        <v>1866</v>
      </c>
      <c r="C1671" s="3" t="s">
        <v>2329</v>
      </c>
      <c r="D1671" s="9" t="str">
        <f t="shared" si="194"/>
        <v>13-01</v>
      </c>
      <c r="E1671" s="1">
        <f>_xlfn.IFNA(VLOOKUP('Comp X - Kilter'!B1671,'Kilter Holds'!$P$36:$AB$370,9,0),0)</f>
        <v>5</v>
      </c>
      <c r="G1671" s="2">
        <f t="shared" si="200"/>
        <v>0</v>
      </c>
      <c r="H1671" s="2">
        <f t="shared" si="201"/>
        <v>0</v>
      </c>
    </row>
    <row r="1672" spans="2:8">
      <c r="B1672" s="3" t="s">
        <v>1866</v>
      </c>
      <c r="C1672" s="3" t="s">
        <v>2329</v>
      </c>
      <c r="D1672" s="10" t="str">
        <f t="shared" si="194"/>
        <v>07-13</v>
      </c>
      <c r="E1672" s="1">
        <f>_xlfn.IFNA(VLOOKUP('Comp X - Kilter'!B1672,'Kilter Holds'!$P$36:$AB$370,10,0),0)</f>
        <v>0</v>
      </c>
      <c r="G1672" s="2">
        <f t="shared" si="200"/>
        <v>0</v>
      </c>
      <c r="H1672" s="2">
        <f t="shared" si="201"/>
        <v>0</v>
      </c>
    </row>
    <row r="1673" spans="2:8">
      <c r="B1673" s="3" t="s">
        <v>1866</v>
      </c>
      <c r="C1673" s="3" t="s">
        <v>2329</v>
      </c>
      <c r="D1673" s="11" t="str">
        <f t="shared" si="194"/>
        <v>11-25</v>
      </c>
      <c r="E1673" s="1">
        <f>_xlfn.IFNA(VLOOKUP('Comp X - Kilter'!B1673,'Kilter Holds'!$P$36:$AB$370,11,0),0)</f>
        <v>4</v>
      </c>
      <c r="G1673" s="2">
        <f t="shared" si="200"/>
        <v>0</v>
      </c>
      <c r="H1673" s="2">
        <f t="shared" si="201"/>
        <v>0</v>
      </c>
    </row>
    <row r="1674" spans="2:8">
      <c r="B1674" s="3" t="s">
        <v>1866</v>
      </c>
      <c r="C1674" s="3" t="s">
        <v>2329</v>
      </c>
      <c r="D1674" s="13" t="str">
        <f t="shared" si="194"/>
        <v>18-01</v>
      </c>
      <c r="E1674" s="1">
        <f>_xlfn.IFNA(VLOOKUP('Comp X - Kilter'!B1674,'Kilter Holds'!$P$36:$AB$370,12,0),0)</f>
        <v>9</v>
      </c>
      <c r="G1674" s="2">
        <f t="shared" si="200"/>
        <v>0</v>
      </c>
      <c r="H1674" s="2">
        <f t="shared" si="201"/>
        <v>0</v>
      </c>
    </row>
    <row r="1675" spans="2:8">
      <c r="B1675" s="3" t="s">
        <v>1866</v>
      </c>
      <c r="C1675" s="3" t="s">
        <v>2329</v>
      </c>
      <c r="D1675" s="12" t="str">
        <f t="shared" si="194"/>
        <v>12-01</v>
      </c>
      <c r="E1675" s="1">
        <f>_xlfn.IFNA(VLOOKUP('Comp X - Kilter'!B1675,'Kilter Holds'!$P$36:$AB$370,13,0),0)</f>
        <v>0</v>
      </c>
      <c r="G1675" s="2">
        <f t="shared" si="200"/>
        <v>0</v>
      </c>
      <c r="H1675" s="2">
        <f t="shared" si="201"/>
        <v>0</v>
      </c>
    </row>
    <row r="1676" spans="2:8">
      <c r="B1676" s="3" t="s">
        <v>2487</v>
      </c>
      <c r="C1676" s="3" t="s">
        <v>2488</v>
      </c>
      <c r="D1676" s="5" t="str">
        <f t="shared" si="194"/>
        <v>11-12</v>
      </c>
      <c r="E1676" s="1">
        <f>_xlfn.IFNA(VLOOKUP('Comp X - Kilter'!B1676,'Kilter Holds'!$P$36:$AB$370,5,0),0)</f>
        <v>5</v>
      </c>
      <c r="G1676" s="2">
        <f t="shared" ref="G1676:G1684" si="202">E1676*F1676</f>
        <v>0</v>
      </c>
      <c r="H1676" s="2">
        <f t="shared" ref="H1676:H1684" si="203">IF($S$11="Y",G1676*0.15,0)</f>
        <v>0</v>
      </c>
    </row>
    <row r="1677" spans="2:8">
      <c r="B1677" s="3" t="s">
        <v>2487</v>
      </c>
      <c r="C1677" s="3" t="s">
        <v>2488</v>
      </c>
      <c r="D1677" s="6" t="str">
        <f t="shared" si="194"/>
        <v>14-01</v>
      </c>
      <c r="E1677" s="1">
        <f>_xlfn.IFNA(VLOOKUP('Comp X - Kilter'!B1677,'Kilter Holds'!$P$36:$AB$370,6,0),0)</f>
        <v>0</v>
      </c>
      <c r="G1677" s="2">
        <f t="shared" si="202"/>
        <v>0</v>
      </c>
      <c r="H1677" s="2">
        <f t="shared" si="203"/>
        <v>0</v>
      </c>
    </row>
    <row r="1678" spans="2:8">
      <c r="B1678" s="3" t="s">
        <v>2487</v>
      </c>
      <c r="C1678" s="3" t="s">
        <v>2488</v>
      </c>
      <c r="D1678" s="7" t="str">
        <f t="shared" si="194"/>
        <v>15-12</v>
      </c>
      <c r="E1678" s="1">
        <f>_xlfn.IFNA(VLOOKUP('Comp X - Kilter'!B1678,'Kilter Holds'!$P$36:$AB$370,7,0),0)</f>
        <v>4</v>
      </c>
      <c r="G1678" s="2">
        <f t="shared" si="202"/>
        <v>0</v>
      </c>
      <c r="H1678" s="2">
        <f t="shared" si="203"/>
        <v>0</v>
      </c>
    </row>
    <row r="1679" spans="2:8">
      <c r="B1679" s="3" t="s">
        <v>2487</v>
      </c>
      <c r="C1679" s="3" t="s">
        <v>2488</v>
      </c>
      <c r="D1679" s="8" t="str">
        <f t="shared" si="194"/>
        <v>16-16</v>
      </c>
      <c r="E1679" s="1">
        <f>_xlfn.IFNA(VLOOKUP('Comp X - Kilter'!B1679,'Kilter Holds'!$P$36:$AB$370,8,0),0)</f>
        <v>5</v>
      </c>
      <c r="G1679" s="2">
        <f t="shared" si="202"/>
        <v>0</v>
      </c>
      <c r="H1679" s="2">
        <f t="shared" si="203"/>
        <v>0</v>
      </c>
    </row>
    <row r="1680" spans="2:8">
      <c r="B1680" s="3" t="s">
        <v>2487</v>
      </c>
      <c r="C1680" s="3" t="s">
        <v>2488</v>
      </c>
      <c r="D1680" s="9" t="str">
        <f t="shared" si="194"/>
        <v>13-01</v>
      </c>
      <c r="E1680" s="1">
        <f>_xlfn.IFNA(VLOOKUP('Comp X - Kilter'!B1680,'Kilter Holds'!$P$36:$AB$370,9,0),0)</f>
        <v>5</v>
      </c>
      <c r="G1680" s="2">
        <f t="shared" si="202"/>
        <v>0</v>
      </c>
      <c r="H1680" s="2">
        <f t="shared" si="203"/>
        <v>0</v>
      </c>
    </row>
    <row r="1681" spans="2:8">
      <c r="B1681" s="3" t="s">
        <v>2487</v>
      </c>
      <c r="C1681" s="3" t="s">
        <v>2488</v>
      </c>
      <c r="D1681" s="10" t="str">
        <f t="shared" si="194"/>
        <v>07-13</v>
      </c>
      <c r="E1681" s="1">
        <f>_xlfn.IFNA(VLOOKUP('Comp X - Kilter'!B1681,'Kilter Holds'!$P$36:$AB$370,10,0),0)</f>
        <v>5</v>
      </c>
      <c r="G1681" s="2">
        <f t="shared" si="202"/>
        <v>0</v>
      </c>
      <c r="H1681" s="2">
        <f t="shared" si="203"/>
        <v>0</v>
      </c>
    </row>
    <row r="1682" spans="2:8">
      <c r="B1682" s="3" t="s">
        <v>2487</v>
      </c>
      <c r="C1682" s="3" t="s">
        <v>2488</v>
      </c>
      <c r="D1682" s="11" t="str">
        <f t="shared" si="194"/>
        <v>11-25</v>
      </c>
      <c r="E1682" s="1">
        <f>_xlfn.IFNA(VLOOKUP('Comp X - Kilter'!B1682,'Kilter Holds'!$P$36:$AB$370,11,0),0)</f>
        <v>4</v>
      </c>
      <c r="G1682" s="2">
        <f t="shared" si="202"/>
        <v>0</v>
      </c>
      <c r="H1682" s="2">
        <f t="shared" si="203"/>
        <v>0</v>
      </c>
    </row>
    <row r="1683" spans="2:8">
      <c r="B1683" s="3" t="s">
        <v>2487</v>
      </c>
      <c r="C1683" s="3" t="s">
        <v>2488</v>
      </c>
      <c r="D1683" s="13" t="str">
        <f t="shared" si="194"/>
        <v>18-01</v>
      </c>
      <c r="E1683" s="1">
        <f>_xlfn.IFNA(VLOOKUP('Comp X - Kilter'!B1683,'Kilter Holds'!$P$36:$AB$370,12,0),0)</f>
        <v>4</v>
      </c>
      <c r="G1683" s="2">
        <f t="shared" si="202"/>
        <v>0</v>
      </c>
      <c r="H1683" s="2">
        <f t="shared" si="203"/>
        <v>0</v>
      </c>
    </row>
    <row r="1684" spans="2:8">
      <c r="B1684" s="3" t="s">
        <v>2487</v>
      </c>
      <c r="C1684" s="3" t="s">
        <v>2488</v>
      </c>
      <c r="D1684" s="12" t="str">
        <f t="shared" si="194"/>
        <v>12-01</v>
      </c>
      <c r="E1684" s="1">
        <f>_xlfn.IFNA(VLOOKUP('Comp X - Kilter'!B1684,'Kilter Holds'!$P$36:$AB$370,13,0),0)</f>
        <v>0</v>
      </c>
      <c r="G1684" s="2">
        <f t="shared" si="202"/>
        <v>0</v>
      </c>
      <c r="H1684" s="2">
        <f t="shared" si="203"/>
        <v>0</v>
      </c>
    </row>
    <row r="1685" spans="2:8">
      <c r="B1685" s="3" t="s">
        <v>2518</v>
      </c>
      <c r="C1685" s="3" t="s">
        <v>2519</v>
      </c>
      <c r="D1685" s="5" t="str">
        <f t="shared" si="194"/>
        <v>11-12</v>
      </c>
      <c r="E1685" s="1">
        <f>_xlfn.IFNA(VLOOKUP('Comp X - Kilter'!B1685,'Kilter Holds'!$P$36:$AB$370,5,0),0)</f>
        <v>5</v>
      </c>
      <c r="G1685" s="2">
        <f t="shared" ref="G1685:G1693" si="204">E1685*F1685</f>
        <v>0</v>
      </c>
      <c r="H1685" s="2">
        <f t="shared" ref="H1685:H1693" si="205">IF($S$11="Y",G1685*0.15,0)</f>
        <v>0</v>
      </c>
    </row>
    <row r="1686" spans="2:8">
      <c r="B1686" s="3" t="s">
        <v>2518</v>
      </c>
      <c r="C1686" s="3" t="s">
        <v>2519</v>
      </c>
      <c r="D1686" s="6" t="str">
        <f t="shared" si="194"/>
        <v>14-01</v>
      </c>
      <c r="E1686" s="1">
        <f>_xlfn.IFNA(VLOOKUP('Comp X - Kilter'!B1686,'Kilter Holds'!$P$36:$AB$370,6,0),0)</f>
        <v>0</v>
      </c>
      <c r="G1686" s="2">
        <f t="shared" si="204"/>
        <v>0</v>
      </c>
      <c r="H1686" s="2">
        <f t="shared" si="205"/>
        <v>0</v>
      </c>
    </row>
    <row r="1687" spans="2:8">
      <c r="B1687" s="3" t="s">
        <v>2518</v>
      </c>
      <c r="C1687" s="3" t="s">
        <v>2519</v>
      </c>
      <c r="D1687" s="7" t="str">
        <f t="shared" si="194"/>
        <v>15-12</v>
      </c>
      <c r="E1687" s="1">
        <f>_xlfn.IFNA(VLOOKUP('Comp X - Kilter'!B1687,'Kilter Holds'!$P$36:$AB$370,7,0),0)</f>
        <v>5</v>
      </c>
      <c r="G1687" s="2">
        <f t="shared" si="204"/>
        <v>0</v>
      </c>
      <c r="H1687" s="2">
        <f t="shared" si="205"/>
        <v>0</v>
      </c>
    </row>
    <row r="1688" spans="2:8">
      <c r="B1688" s="3" t="s">
        <v>2518</v>
      </c>
      <c r="C1688" s="3" t="s">
        <v>2519</v>
      </c>
      <c r="D1688" s="8" t="str">
        <f t="shared" si="194"/>
        <v>16-16</v>
      </c>
      <c r="E1688" s="1">
        <f>_xlfn.IFNA(VLOOKUP('Comp X - Kilter'!B1688,'Kilter Holds'!$P$36:$AB$370,8,0),0)</f>
        <v>5</v>
      </c>
      <c r="G1688" s="2">
        <f t="shared" si="204"/>
        <v>0</v>
      </c>
      <c r="H1688" s="2">
        <f t="shared" si="205"/>
        <v>0</v>
      </c>
    </row>
    <row r="1689" spans="2:8">
      <c r="B1689" s="3" t="s">
        <v>2518</v>
      </c>
      <c r="C1689" s="3" t="s">
        <v>2519</v>
      </c>
      <c r="D1689" s="9" t="str">
        <f t="shared" si="194"/>
        <v>13-01</v>
      </c>
      <c r="E1689" s="1">
        <f>_xlfn.IFNA(VLOOKUP('Comp X - Kilter'!B1689,'Kilter Holds'!$P$36:$AB$370,9,0),0)</f>
        <v>5</v>
      </c>
      <c r="G1689" s="2">
        <f t="shared" si="204"/>
        <v>0</v>
      </c>
      <c r="H1689" s="2">
        <f t="shared" si="205"/>
        <v>0</v>
      </c>
    </row>
    <row r="1690" spans="2:8">
      <c r="B1690" s="3" t="s">
        <v>2518</v>
      </c>
      <c r="C1690" s="3" t="s">
        <v>2519</v>
      </c>
      <c r="D1690" s="10" t="str">
        <f t="shared" si="194"/>
        <v>07-13</v>
      </c>
      <c r="E1690" s="1">
        <f>_xlfn.IFNA(VLOOKUP('Comp X - Kilter'!B1690,'Kilter Holds'!$P$36:$AB$370,10,0),0)</f>
        <v>0</v>
      </c>
      <c r="G1690" s="2">
        <f t="shared" si="204"/>
        <v>0</v>
      </c>
      <c r="H1690" s="2">
        <f t="shared" si="205"/>
        <v>0</v>
      </c>
    </row>
    <row r="1691" spans="2:8">
      <c r="B1691" s="3" t="s">
        <v>2518</v>
      </c>
      <c r="C1691" s="3" t="s">
        <v>2519</v>
      </c>
      <c r="D1691" s="11" t="str">
        <f t="shared" si="194"/>
        <v>11-25</v>
      </c>
      <c r="E1691" s="1">
        <f>_xlfn.IFNA(VLOOKUP('Comp X - Kilter'!B1691,'Kilter Holds'!$P$36:$AB$370,11,0),0)</f>
        <v>0</v>
      </c>
      <c r="G1691" s="2">
        <f t="shared" si="204"/>
        <v>0</v>
      </c>
      <c r="H1691" s="2">
        <f t="shared" si="205"/>
        <v>0</v>
      </c>
    </row>
    <row r="1692" spans="2:8">
      <c r="B1692" s="3" t="s">
        <v>2518</v>
      </c>
      <c r="C1692" s="3" t="s">
        <v>2519</v>
      </c>
      <c r="D1692" s="13" t="str">
        <f t="shared" si="194"/>
        <v>18-01</v>
      </c>
      <c r="E1692" s="1">
        <f>_xlfn.IFNA(VLOOKUP('Comp X - Kilter'!B1692,'Kilter Holds'!$P$36:$AB$370,12,0),0)</f>
        <v>10</v>
      </c>
      <c r="G1692" s="2">
        <f t="shared" si="204"/>
        <v>0</v>
      </c>
      <c r="H1692" s="2">
        <f t="shared" si="205"/>
        <v>0</v>
      </c>
    </row>
    <row r="1693" spans="2:8">
      <c r="B1693" s="3" t="s">
        <v>2518</v>
      </c>
      <c r="C1693" s="3" t="s">
        <v>2519</v>
      </c>
      <c r="D1693" s="12" t="str">
        <f t="shared" si="194"/>
        <v>12-01</v>
      </c>
      <c r="E1693" s="1">
        <f>_xlfn.IFNA(VLOOKUP('Comp X - Kilter'!B1693,'Kilter Holds'!$P$36:$AB$370,13,0),0)</f>
        <v>0</v>
      </c>
      <c r="G1693" s="2">
        <f t="shared" si="204"/>
        <v>0</v>
      </c>
      <c r="H1693" s="2">
        <f t="shared" si="205"/>
        <v>0</v>
      </c>
    </row>
    <row r="1694" spans="2:8">
      <c r="B1694" s="3" t="s">
        <v>2561</v>
      </c>
      <c r="C1694" s="3" t="s">
        <v>2562</v>
      </c>
      <c r="D1694" s="5" t="str">
        <f t="shared" si="194"/>
        <v>11-12</v>
      </c>
      <c r="E1694" s="1">
        <f>_xlfn.IFNA(VLOOKUP('Comp X - Kilter'!B1694,'Kilter Holds'!$P$36:$AB$370,5,0),0)</f>
        <v>10</v>
      </c>
      <c r="G1694" s="2">
        <f t="shared" ref="G1694:G1729" si="206">E1694*F1694</f>
        <v>0</v>
      </c>
      <c r="H1694" s="2">
        <f t="shared" ref="H1694:H1729" si="207">IF($S$11="Y",G1694*0.15,0)</f>
        <v>0</v>
      </c>
    </row>
    <row r="1695" spans="2:8">
      <c r="B1695" s="3" t="s">
        <v>2561</v>
      </c>
      <c r="C1695" s="3" t="s">
        <v>2562</v>
      </c>
      <c r="D1695" s="6" t="str">
        <f t="shared" si="194"/>
        <v>14-01</v>
      </c>
      <c r="E1695" s="1">
        <f>_xlfn.IFNA(VLOOKUP('Comp X - Kilter'!B1695,'Kilter Holds'!$P$36:$AB$370,6,0),0)</f>
        <v>3</v>
      </c>
      <c r="G1695" s="2">
        <f t="shared" si="206"/>
        <v>0</v>
      </c>
      <c r="H1695" s="2">
        <f t="shared" si="207"/>
        <v>0</v>
      </c>
    </row>
    <row r="1696" spans="2:8">
      <c r="B1696" s="3" t="s">
        <v>2561</v>
      </c>
      <c r="C1696" s="3" t="s">
        <v>2562</v>
      </c>
      <c r="D1696" s="7" t="str">
        <f t="shared" si="194"/>
        <v>15-12</v>
      </c>
      <c r="E1696" s="1">
        <f>_xlfn.IFNA(VLOOKUP('Comp X - Kilter'!B1696,'Kilter Holds'!$P$36:$AB$370,7,0),0)</f>
        <v>11</v>
      </c>
      <c r="G1696" s="2">
        <f t="shared" si="206"/>
        <v>0</v>
      </c>
      <c r="H1696" s="2">
        <f t="shared" si="207"/>
        <v>0</v>
      </c>
    </row>
    <row r="1697" spans="2:8">
      <c r="B1697" s="3" t="s">
        <v>2561</v>
      </c>
      <c r="C1697" s="3" t="s">
        <v>2562</v>
      </c>
      <c r="D1697" s="8" t="str">
        <f t="shared" si="194"/>
        <v>16-16</v>
      </c>
      <c r="E1697" s="1">
        <f>_xlfn.IFNA(VLOOKUP('Comp X - Kilter'!B1697,'Kilter Holds'!$P$36:$AB$370,8,0),0)</f>
        <v>5</v>
      </c>
      <c r="G1697" s="2">
        <f t="shared" si="206"/>
        <v>0</v>
      </c>
      <c r="H1697" s="2">
        <f t="shared" si="207"/>
        <v>0</v>
      </c>
    </row>
    <row r="1698" spans="2:8">
      <c r="B1698" s="3" t="s">
        <v>2561</v>
      </c>
      <c r="C1698" s="3" t="s">
        <v>2562</v>
      </c>
      <c r="D1698" s="9" t="str">
        <f t="shared" si="194"/>
        <v>13-01</v>
      </c>
      <c r="E1698" s="1">
        <f>_xlfn.IFNA(VLOOKUP('Comp X - Kilter'!B1698,'Kilter Holds'!$P$36:$AB$370,9,0),0)</f>
        <v>5</v>
      </c>
      <c r="G1698" s="2">
        <f t="shared" si="206"/>
        <v>0</v>
      </c>
      <c r="H1698" s="2">
        <f t="shared" si="207"/>
        <v>0</v>
      </c>
    </row>
    <row r="1699" spans="2:8">
      <c r="B1699" s="3" t="s">
        <v>2561</v>
      </c>
      <c r="C1699" s="3" t="s">
        <v>2562</v>
      </c>
      <c r="D1699" s="10" t="str">
        <f t="shared" si="194"/>
        <v>07-13</v>
      </c>
      <c r="E1699" s="1">
        <f>_xlfn.IFNA(VLOOKUP('Comp X - Kilter'!B1699,'Kilter Holds'!$P$36:$AB$370,10,0),0)</f>
        <v>4</v>
      </c>
      <c r="G1699" s="2">
        <f t="shared" si="206"/>
        <v>0</v>
      </c>
      <c r="H1699" s="2">
        <f t="shared" si="207"/>
        <v>0</v>
      </c>
    </row>
    <row r="1700" spans="2:8">
      <c r="B1700" s="3" t="s">
        <v>2561</v>
      </c>
      <c r="C1700" s="3" t="s">
        <v>2562</v>
      </c>
      <c r="D1700" s="11" t="str">
        <f t="shared" si="194"/>
        <v>11-25</v>
      </c>
      <c r="E1700" s="1">
        <f>_xlfn.IFNA(VLOOKUP('Comp X - Kilter'!B1700,'Kilter Holds'!$P$36:$AB$370,11,0),0)</f>
        <v>1</v>
      </c>
      <c r="G1700" s="2">
        <f t="shared" si="206"/>
        <v>0</v>
      </c>
      <c r="H1700" s="2">
        <f t="shared" si="207"/>
        <v>0</v>
      </c>
    </row>
    <row r="1701" spans="2:8">
      <c r="B1701" s="3" t="s">
        <v>2561</v>
      </c>
      <c r="C1701" s="3" t="s">
        <v>2562</v>
      </c>
      <c r="D1701" s="13" t="str">
        <f t="shared" si="194"/>
        <v>18-01</v>
      </c>
      <c r="E1701" s="1">
        <f>_xlfn.IFNA(VLOOKUP('Comp X - Kilter'!B1701,'Kilter Holds'!$P$36:$AB$370,12,0),0)</f>
        <v>10</v>
      </c>
      <c r="G1701" s="2">
        <f t="shared" si="206"/>
        <v>0</v>
      </c>
      <c r="H1701" s="2">
        <f t="shared" si="207"/>
        <v>0</v>
      </c>
    </row>
    <row r="1702" spans="2:8">
      <c r="B1702" s="3" t="s">
        <v>2561</v>
      </c>
      <c r="C1702" s="3" t="s">
        <v>2562</v>
      </c>
      <c r="D1702" s="12" t="str">
        <f t="shared" si="194"/>
        <v>12-01</v>
      </c>
      <c r="E1702" s="1">
        <f>_xlfn.IFNA(VLOOKUP('Comp X - Kilter'!B1702,'Kilter Holds'!$P$36:$AB$370,13,0),0)</f>
        <v>1</v>
      </c>
      <c r="G1702" s="2">
        <f t="shared" si="206"/>
        <v>0</v>
      </c>
      <c r="H1702" s="2">
        <f t="shared" si="207"/>
        <v>0</v>
      </c>
    </row>
    <row r="1703" spans="2:8">
      <c r="B1703" s="3" t="s">
        <v>2563</v>
      </c>
      <c r="C1703" s="3" t="s">
        <v>2564</v>
      </c>
      <c r="D1703" s="5" t="str">
        <f t="shared" si="194"/>
        <v>11-12</v>
      </c>
      <c r="E1703" s="1">
        <f>_xlfn.IFNA(VLOOKUP('Comp X - Kilter'!B1703,'Kilter Holds'!$P$36:$AB$370,5,0),0)</f>
        <v>13</v>
      </c>
      <c r="G1703" s="2">
        <f t="shared" si="206"/>
        <v>0</v>
      </c>
      <c r="H1703" s="2">
        <f t="shared" si="207"/>
        <v>0</v>
      </c>
    </row>
    <row r="1704" spans="2:8">
      <c r="B1704" s="3" t="s">
        <v>2563</v>
      </c>
      <c r="C1704" s="3" t="s">
        <v>2564</v>
      </c>
      <c r="D1704" s="6" t="str">
        <f t="shared" si="194"/>
        <v>14-01</v>
      </c>
      <c r="E1704" s="1">
        <f>_xlfn.IFNA(VLOOKUP('Comp X - Kilter'!B1704,'Kilter Holds'!$P$36:$AB$370,6,0),0)</f>
        <v>4</v>
      </c>
      <c r="G1704" s="2">
        <f t="shared" si="206"/>
        <v>0</v>
      </c>
      <c r="H1704" s="2">
        <f t="shared" si="207"/>
        <v>0</v>
      </c>
    </row>
    <row r="1705" spans="2:8">
      <c r="B1705" s="3" t="s">
        <v>2563</v>
      </c>
      <c r="C1705" s="3" t="s">
        <v>2564</v>
      </c>
      <c r="D1705" s="7" t="str">
        <f t="shared" si="194"/>
        <v>15-12</v>
      </c>
      <c r="E1705" s="1">
        <f>_xlfn.IFNA(VLOOKUP('Comp X - Kilter'!B1705,'Kilter Holds'!$P$36:$AB$370,7,0),0)</f>
        <v>7</v>
      </c>
      <c r="G1705" s="2">
        <f t="shared" si="206"/>
        <v>0</v>
      </c>
      <c r="H1705" s="2">
        <f t="shared" si="207"/>
        <v>0</v>
      </c>
    </row>
    <row r="1706" spans="2:8">
      <c r="B1706" s="3" t="s">
        <v>2563</v>
      </c>
      <c r="C1706" s="3" t="s">
        <v>2564</v>
      </c>
      <c r="D1706" s="8" t="str">
        <f t="shared" si="194"/>
        <v>16-16</v>
      </c>
      <c r="E1706" s="1">
        <f>_xlfn.IFNA(VLOOKUP('Comp X - Kilter'!B1706,'Kilter Holds'!$P$36:$AB$370,8,0),0)</f>
        <v>9</v>
      </c>
      <c r="G1706" s="2">
        <f t="shared" si="206"/>
        <v>0</v>
      </c>
      <c r="H1706" s="2">
        <f t="shared" si="207"/>
        <v>0</v>
      </c>
    </row>
    <row r="1707" spans="2:8">
      <c r="B1707" s="3" t="s">
        <v>2563</v>
      </c>
      <c r="C1707" s="3" t="s">
        <v>2564</v>
      </c>
      <c r="D1707" s="9" t="str">
        <f t="shared" si="194"/>
        <v>13-01</v>
      </c>
      <c r="E1707" s="1">
        <f>_xlfn.IFNA(VLOOKUP('Comp X - Kilter'!B1707,'Kilter Holds'!$P$36:$AB$370,9,0),0)</f>
        <v>14</v>
      </c>
      <c r="G1707" s="2">
        <f t="shared" si="206"/>
        <v>0</v>
      </c>
      <c r="H1707" s="2">
        <f t="shared" si="207"/>
        <v>0</v>
      </c>
    </row>
    <row r="1708" spans="2:8">
      <c r="B1708" s="3" t="s">
        <v>2563</v>
      </c>
      <c r="C1708" s="3" t="s">
        <v>2564</v>
      </c>
      <c r="D1708" s="10" t="str">
        <f t="shared" si="194"/>
        <v>07-13</v>
      </c>
      <c r="E1708" s="1">
        <f>_xlfn.IFNA(VLOOKUP('Comp X - Kilter'!B1708,'Kilter Holds'!$P$36:$AB$370,10,0),0)</f>
        <v>6</v>
      </c>
      <c r="G1708" s="2">
        <f t="shared" si="206"/>
        <v>0</v>
      </c>
      <c r="H1708" s="2">
        <f t="shared" si="207"/>
        <v>0</v>
      </c>
    </row>
    <row r="1709" spans="2:8">
      <c r="B1709" s="3" t="s">
        <v>2563</v>
      </c>
      <c r="C1709" s="3" t="s">
        <v>2564</v>
      </c>
      <c r="D1709" s="11" t="str">
        <f t="shared" si="194"/>
        <v>11-25</v>
      </c>
      <c r="E1709" s="1">
        <f>_xlfn.IFNA(VLOOKUP('Comp X - Kilter'!B1709,'Kilter Holds'!$P$36:$AB$370,11,0),0)</f>
        <v>4</v>
      </c>
      <c r="G1709" s="2">
        <f t="shared" si="206"/>
        <v>0</v>
      </c>
      <c r="H1709" s="2">
        <f t="shared" si="207"/>
        <v>0</v>
      </c>
    </row>
    <row r="1710" spans="2:8">
      <c r="B1710" s="3" t="s">
        <v>2563</v>
      </c>
      <c r="C1710" s="3" t="s">
        <v>2564</v>
      </c>
      <c r="D1710" s="13" t="str">
        <f t="shared" si="194"/>
        <v>18-01</v>
      </c>
      <c r="E1710" s="1">
        <f>_xlfn.IFNA(VLOOKUP('Comp X - Kilter'!B1710,'Kilter Holds'!$P$36:$AB$370,12,0),0)</f>
        <v>17</v>
      </c>
      <c r="G1710" s="2">
        <f t="shared" si="206"/>
        <v>0</v>
      </c>
      <c r="H1710" s="2">
        <f t="shared" si="207"/>
        <v>0</v>
      </c>
    </row>
    <row r="1711" spans="2:8">
      <c r="B1711" s="3" t="s">
        <v>2563</v>
      </c>
      <c r="C1711" s="3" t="s">
        <v>2564</v>
      </c>
      <c r="D1711" s="12" t="str">
        <f t="shared" si="194"/>
        <v>12-01</v>
      </c>
      <c r="E1711" s="1">
        <f>_xlfn.IFNA(VLOOKUP('Comp X - Kilter'!B1711,'Kilter Holds'!$P$36:$AB$370,13,0),0)</f>
        <v>4</v>
      </c>
      <c r="G1711" s="2">
        <f t="shared" si="206"/>
        <v>0</v>
      </c>
      <c r="H1711" s="2">
        <f t="shared" si="207"/>
        <v>0</v>
      </c>
    </row>
    <row r="1712" spans="2:8">
      <c r="B1712" s="3" t="s">
        <v>2565</v>
      </c>
      <c r="C1712" s="3" t="s">
        <v>2566</v>
      </c>
      <c r="D1712" s="5" t="str">
        <f t="shared" si="194"/>
        <v>11-12</v>
      </c>
      <c r="E1712" s="1">
        <f>_xlfn.IFNA(VLOOKUP('Comp X - Kilter'!B1712,'Kilter Holds'!$P$36:$AB$370,5,0),0)</f>
        <v>10</v>
      </c>
      <c r="G1712" s="2">
        <f t="shared" si="206"/>
        <v>0</v>
      </c>
      <c r="H1712" s="2">
        <f t="shared" si="207"/>
        <v>0</v>
      </c>
    </row>
    <row r="1713" spans="2:8">
      <c r="B1713" s="3" t="s">
        <v>2565</v>
      </c>
      <c r="C1713" s="3" t="s">
        <v>2566</v>
      </c>
      <c r="D1713" s="6" t="str">
        <f t="shared" si="194"/>
        <v>14-01</v>
      </c>
      <c r="E1713" s="1">
        <f>_xlfn.IFNA(VLOOKUP('Comp X - Kilter'!B1713,'Kilter Holds'!$P$36:$AB$370,6,0),0)</f>
        <v>0</v>
      </c>
      <c r="G1713" s="2">
        <f t="shared" si="206"/>
        <v>0</v>
      </c>
      <c r="H1713" s="2">
        <f t="shared" si="207"/>
        <v>0</v>
      </c>
    </row>
    <row r="1714" spans="2:8">
      <c r="B1714" s="3" t="s">
        <v>2565</v>
      </c>
      <c r="C1714" s="3" t="s">
        <v>2566</v>
      </c>
      <c r="D1714" s="7" t="str">
        <f t="shared" si="194"/>
        <v>15-12</v>
      </c>
      <c r="E1714" s="1">
        <f>_xlfn.IFNA(VLOOKUP('Comp X - Kilter'!B1714,'Kilter Holds'!$P$36:$AB$370,7,0),0)</f>
        <v>1</v>
      </c>
      <c r="G1714" s="2">
        <f t="shared" si="206"/>
        <v>0</v>
      </c>
      <c r="H1714" s="2">
        <f t="shared" si="207"/>
        <v>0</v>
      </c>
    </row>
    <row r="1715" spans="2:8">
      <c r="B1715" s="3" t="s">
        <v>2565</v>
      </c>
      <c r="C1715" s="3" t="s">
        <v>2566</v>
      </c>
      <c r="D1715" s="8" t="str">
        <f t="shared" si="194"/>
        <v>16-16</v>
      </c>
      <c r="E1715" s="1">
        <f>_xlfn.IFNA(VLOOKUP('Comp X - Kilter'!B1715,'Kilter Holds'!$P$36:$AB$370,8,0),0)</f>
        <v>11</v>
      </c>
      <c r="G1715" s="2">
        <f t="shared" si="206"/>
        <v>0</v>
      </c>
      <c r="H1715" s="2">
        <f t="shared" si="207"/>
        <v>0</v>
      </c>
    </row>
    <row r="1716" spans="2:8">
      <c r="B1716" s="3" t="s">
        <v>2565</v>
      </c>
      <c r="C1716" s="3" t="s">
        <v>2566</v>
      </c>
      <c r="D1716" s="9" t="str">
        <f t="shared" si="194"/>
        <v>13-01</v>
      </c>
      <c r="E1716" s="1">
        <f>_xlfn.IFNA(VLOOKUP('Comp X - Kilter'!B1716,'Kilter Holds'!$P$36:$AB$370,9,0),0)</f>
        <v>8</v>
      </c>
      <c r="G1716" s="2">
        <f t="shared" si="206"/>
        <v>0</v>
      </c>
      <c r="H1716" s="2">
        <f t="shared" si="207"/>
        <v>0</v>
      </c>
    </row>
    <row r="1717" spans="2:8">
      <c r="B1717" s="3" t="s">
        <v>2565</v>
      </c>
      <c r="C1717" s="3" t="s">
        <v>2566</v>
      </c>
      <c r="D1717" s="10" t="str">
        <f t="shared" si="194"/>
        <v>07-13</v>
      </c>
      <c r="E1717" s="1">
        <f>_xlfn.IFNA(VLOOKUP('Comp X - Kilter'!B1717,'Kilter Holds'!$P$36:$AB$370,10,0),0)</f>
        <v>1</v>
      </c>
      <c r="G1717" s="2">
        <f t="shared" si="206"/>
        <v>0</v>
      </c>
      <c r="H1717" s="2">
        <f t="shared" si="207"/>
        <v>0</v>
      </c>
    </row>
    <row r="1718" spans="2:8">
      <c r="B1718" s="3" t="s">
        <v>2565</v>
      </c>
      <c r="C1718" s="3" t="s">
        <v>2566</v>
      </c>
      <c r="D1718" s="11" t="str">
        <f t="shared" si="194"/>
        <v>11-25</v>
      </c>
      <c r="E1718" s="1">
        <f>_xlfn.IFNA(VLOOKUP('Comp X - Kilter'!B1718,'Kilter Holds'!$P$36:$AB$370,11,0),0)</f>
        <v>3</v>
      </c>
      <c r="G1718" s="2">
        <f t="shared" si="206"/>
        <v>0</v>
      </c>
      <c r="H1718" s="2">
        <f t="shared" si="207"/>
        <v>0</v>
      </c>
    </row>
    <row r="1719" spans="2:8">
      <c r="B1719" s="3" t="s">
        <v>2565</v>
      </c>
      <c r="C1719" s="3" t="s">
        <v>2566</v>
      </c>
      <c r="D1719" s="13" t="str">
        <f t="shared" si="194"/>
        <v>18-01</v>
      </c>
      <c r="E1719" s="1">
        <f>_xlfn.IFNA(VLOOKUP('Comp X - Kilter'!B1719,'Kilter Holds'!$P$36:$AB$370,12,0),0)</f>
        <v>8</v>
      </c>
      <c r="G1719" s="2">
        <f t="shared" si="206"/>
        <v>0</v>
      </c>
      <c r="H1719" s="2">
        <f t="shared" si="207"/>
        <v>0</v>
      </c>
    </row>
    <row r="1720" spans="2:8">
      <c r="B1720" s="3" t="s">
        <v>2565</v>
      </c>
      <c r="C1720" s="3" t="s">
        <v>2566</v>
      </c>
      <c r="D1720" s="12" t="str">
        <f t="shared" si="194"/>
        <v>12-01</v>
      </c>
      <c r="E1720" s="1">
        <f>_xlfn.IFNA(VLOOKUP('Comp X - Kilter'!B1720,'Kilter Holds'!$P$36:$AB$370,13,0),0)</f>
        <v>0</v>
      </c>
      <c r="G1720" s="2">
        <f t="shared" si="206"/>
        <v>0</v>
      </c>
      <c r="H1720" s="2">
        <f t="shared" si="207"/>
        <v>0</v>
      </c>
    </row>
    <row r="1721" spans="2:8">
      <c r="B1721" s="3" t="s">
        <v>2567</v>
      </c>
      <c r="C1721" s="3" t="s">
        <v>2568</v>
      </c>
      <c r="D1721" s="5" t="str">
        <f t="shared" si="194"/>
        <v>11-12</v>
      </c>
      <c r="E1721" s="1">
        <f>_xlfn.IFNA(VLOOKUP('Comp X - Kilter'!B1721,'Kilter Holds'!$P$36:$AB$370,5,0),0)</f>
        <v>12</v>
      </c>
      <c r="G1721" s="2">
        <f t="shared" si="206"/>
        <v>0</v>
      </c>
      <c r="H1721" s="2">
        <f t="shared" si="207"/>
        <v>0</v>
      </c>
    </row>
    <row r="1722" spans="2:8">
      <c r="B1722" s="3" t="s">
        <v>2567</v>
      </c>
      <c r="C1722" s="3" t="s">
        <v>2568</v>
      </c>
      <c r="D1722" s="6" t="str">
        <f t="shared" si="194"/>
        <v>14-01</v>
      </c>
      <c r="E1722" s="1">
        <f>_xlfn.IFNA(VLOOKUP('Comp X - Kilter'!B1722,'Kilter Holds'!$P$36:$AB$370,6,0),0)</f>
        <v>3</v>
      </c>
      <c r="G1722" s="2">
        <f t="shared" si="206"/>
        <v>0</v>
      </c>
      <c r="H1722" s="2">
        <f t="shared" si="207"/>
        <v>0</v>
      </c>
    </row>
    <row r="1723" spans="2:8">
      <c r="B1723" s="3" t="s">
        <v>2567</v>
      </c>
      <c r="C1723" s="3" t="s">
        <v>2568</v>
      </c>
      <c r="D1723" s="7" t="str">
        <f t="shared" si="194"/>
        <v>15-12</v>
      </c>
      <c r="E1723" s="1">
        <f>_xlfn.IFNA(VLOOKUP('Comp X - Kilter'!B1723,'Kilter Holds'!$P$36:$AB$370,7,0),0)</f>
        <v>12</v>
      </c>
      <c r="G1723" s="2">
        <f t="shared" si="206"/>
        <v>0</v>
      </c>
      <c r="H1723" s="2">
        <f t="shared" si="207"/>
        <v>0</v>
      </c>
    </row>
    <row r="1724" spans="2:8">
      <c r="B1724" s="3" t="s">
        <v>2567</v>
      </c>
      <c r="C1724" s="3" t="s">
        <v>2568</v>
      </c>
      <c r="D1724" s="8" t="str">
        <f t="shared" si="194"/>
        <v>16-16</v>
      </c>
      <c r="E1724" s="1">
        <f>_xlfn.IFNA(VLOOKUP('Comp X - Kilter'!B1724,'Kilter Holds'!$P$36:$AB$370,8,0),0)</f>
        <v>7</v>
      </c>
      <c r="G1724" s="2">
        <f t="shared" si="206"/>
        <v>0</v>
      </c>
      <c r="H1724" s="2">
        <f t="shared" si="207"/>
        <v>0</v>
      </c>
    </row>
    <row r="1725" spans="2:8">
      <c r="B1725" s="3" t="s">
        <v>2567</v>
      </c>
      <c r="C1725" s="3" t="s">
        <v>2568</v>
      </c>
      <c r="D1725" s="9" t="str">
        <f t="shared" si="194"/>
        <v>13-01</v>
      </c>
      <c r="E1725" s="1">
        <f>_xlfn.IFNA(VLOOKUP('Comp X - Kilter'!B1725,'Kilter Holds'!$P$36:$AB$370,9,0),0)</f>
        <v>11</v>
      </c>
      <c r="G1725" s="2">
        <f t="shared" si="206"/>
        <v>0</v>
      </c>
      <c r="H1725" s="2">
        <f t="shared" si="207"/>
        <v>0</v>
      </c>
    </row>
    <row r="1726" spans="2:8">
      <c r="B1726" s="3" t="s">
        <v>2567</v>
      </c>
      <c r="C1726" s="3" t="s">
        <v>2568</v>
      </c>
      <c r="D1726" s="10" t="str">
        <f t="shared" si="194"/>
        <v>07-13</v>
      </c>
      <c r="E1726" s="1">
        <f>_xlfn.IFNA(VLOOKUP('Comp X - Kilter'!B1726,'Kilter Holds'!$P$36:$AB$370,10,0),0)</f>
        <v>5</v>
      </c>
      <c r="G1726" s="2">
        <f t="shared" si="206"/>
        <v>0</v>
      </c>
      <c r="H1726" s="2">
        <f t="shared" si="207"/>
        <v>0</v>
      </c>
    </row>
    <row r="1727" spans="2:8">
      <c r="B1727" s="3" t="s">
        <v>2567</v>
      </c>
      <c r="C1727" s="3" t="s">
        <v>2568</v>
      </c>
      <c r="D1727" s="11" t="str">
        <f t="shared" si="194"/>
        <v>11-25</v>
      </c>
      <c r="E1727" s="1">
        <f>_xlfn.IFNA(VLOOKUP('Comp X - Kilter'!B1727,'Kilter Holds'!$P$36:$AB$370,11,0),0)</f>
        <v>6</v>
      </c>
      <c r="G1727" s="2">
        <f t="shared" si="206"/>
        <v>0</v>
      </c>
      <c r="H1727" s="2">
        <f t="shared" si="207"/>
        <v>0</v>
      </c>
    </row>
    <row r="1728" spans="2:8">
      <c r="B1728" s="3" t="s">
        <v>2567</v>
      </c>
      <c r="C1728" s="3" t="s">
        <v>2568</v>
      </c>
      <c r="D1728" s="13" t="str">
        <f t="shared" si="194"/>
        <v>18-01</v>
      </c>
      <c r="E1728" s="1">
        <f>_xlfn.IFNA(VLOOKUP('Comp X - Kilter'!B1728,'Kilter Holds'!$P$36:$AB$370,12,0),0)</f>
        <v>17</v>
      </c>
      <c r="G1728" s="2">
        <f t="shared" si="206"/>
        <v>0</v>
      </c>
      <c r="H1728" s="2">
        <f t="shared" si="207"/>
        <v>0</v>
      </c>
    </row>
    <row r="1729" spans="2:8">
      <c r="B1729" s="3" t="s">
        <v>2567</v>
      </c>
      <c r="C1729" s="3" t="s">
        <v>2568</v>
      </c>
      <c r="D1729" s="12" t="str">
        <f t="shared" si="194"/>
        <v>12-01</v>
      </c>
      <c r="E1729" s="1">
        <f>_xlfn.IFNA(VLOOKUP('Comp X - Kilter'!B1729,'Kilter Holds'!$P$36:$AB$370,13,0),0)</f>
        <v>3</v>
      </c>
      <c r="G1729" s="2">
        <f t="shared" si="206"/>
        <v>0</v>
      </c>
      <c r="H1729" s="2">
        <f t="shared" si="207"/>
        <v>0</v>
      </c>
    </row>
    <row r="1730" spans="2:8">
      <c r="B1730" s="3" t="s">
        <v>2896</v>
      </c>
      <c r="C1730" s="3" t="s">
        <v>2897</v>
      </c>
      <c r="D1730" s="5" t="str">
        <f t="shared" si="194"/>
        <v>11-12</v>
      </c>
      <c r="E1730" s="1">
        <f>_xlfn.IFNA(VLOOKUP('Comp X - Kilter'!B1730,'Kilter Holds'!$P$36:$AB$370,5,0),0)</f>
        <v>9</v>
      </c>
      <c r="G1730" s="2">
        <f t="shared" ref="G1730:G1738" si="208">E1730*F1730</f>
        <v>0</v>
      </c>
      <c r="H1730" s="2">
        <f t="shared" ref="H1730:H1738" si="209">IF($S$11="Y",G1730*0.15,0)</f>
        <v>0</v>
      </c>
    </row>
    <row r="1731" spans="2:8">
      <c r="B1731" s="3" t="s">
        <v>2896</v>
      </c>
      <c r="C1731" s="3" t="s">
        <v>2897</v>
      </c>
      <c r="D1731" s="6" t="str">
        <f t="shared" si="194"/>
        <v>14-01</v>
      </c>
      <c r="E1731" s="1">
        <f>_xlfn.IFNA(VLOOKUP('Comp X - Kilter'!B1731,'Kilter Holds'!$P$36:$AB$370,6,0),0)</f>
        <v>0</v>
      </c>
      <c r="G1731" s="2">
        <f t="shared" si="208"/>
        <v>0</v>
      </c>
      <c r="H1731" s="2">
        <f t="shared" si="209"/>
        <v>0</v>
      </c>
    </row>
    <row r="1732" spans="2:8">
      <c r="B1732" s="3" t="s">
        <v>2896</v>
      </c>
      <c r="C1732" s="3" t="s">
        <v>2897</v>
      </c>
      <c r="D1732" s="7" t="str">
        <f t="shared" si="194"/>
        <v>15-12</v>
      </c>
      <c r="E1732" s="1">
        <f>_xlfn.IFNA(VLOOKUP('Comp X - Kilter'!B1732,'Kilter Holds'!$P$36:$AB$370,7,0),0)</f>
        <v>9</v>
      </c>
      <c r="G1732" s="2">
        <f t="shared" si="208"/>
        <v>0</v>
      </c>
      <c r="H1732" s="2">
        <f t="shared" si="209"/>
        <v>0</v>
      </c>
    </row>
    <row r="1733" spans="2:8">
      <c r="B1733" s="3" t="s">
        <v>2896</v>
      </c>
      <c r="C1733" s="3" t="s">
        <v>2897</v>
      </c>
      <c r="D1733" s="8" t="str">
        <f t="shared" si="194"/>
        <v>16-16</v>
      </c>
      <c r="E1733" s="1">
        <f>_xlfn.IFNA(VLOOKUP('Comp X - Kilter'!B1733,'Kilter Holds'!$P$36:$AB$370,8,0),0)</f>
        <v>10</v>
      </c>
      <c r="G1733" s="2">
        <f t="shared" si="208"/>
        <v>0</v>
      </c>
      <c r="H1733" s="2">
        <f t="shared" si="209"/>
        <v>0</v>
      </c>
    </row>
    <row r="1734" spans="2:8">
      <c r="B1734" s="3" t="s">
        <v>2896</v>
      </c>
      <c r="C1734" s="3" t="s">
        <v>2897</v>
      </c>
      <c r="D1734" s="9" t="str">
        <f t="shared" si="194"/>
        <v>13-01</v>
      </c>
      <c r="E1734" s="1">
        <f>_xlfn.IFNA(VLOOKUP('Comp X - Kilter'!B1734,'Kilter Holds'!$P$36:$AB$370,9,0),0)</f>
        <v>10</v>
      </c>
      <c r="G1734" s="2">
        <f t="shared" si="208"/>
        <v>0</v>
      </c>
      <c r="H1734" s="2">
        <f t="shared" si="209"/>
        <v>0</v>
      </c>
    </row>
    <row r="1735" spans="2:8">
      <c r="B1735" s="3" t="s">
        <v>2896</v>
      </c>
      <c r="C1735" s="3" t="s">
        <v>2897</v>
      </c>
      <c r="D1735" s="10" t="str">
        <f t="shared" si="194"/>
        <v>07-13</v>
      </c>
      <c r="E1735" s="1">
        <f>_xlfn.IFNA(VLOOKUP('Comp X - Kilter'!B1735,'Kilter Holds'!$P$36:$AB$370,10,0),0)</f>
        <v>5</v>
      </c>
      <c r="G1735" s="2">
        <f t="shared" si="208"/>
        <v>0</v>
      </c>
      <c r="H1735" s="2">
        <f t="shared" si="209"/>
        <v>0</v>
      </c>
    </row>
    <row r="1736" spans="2:8">
      <c r="B1736" s="3" t="s">
        <v>2896</v>
      </c>
      <c r="C1736" s="3" t="s">
        <v>2897</v>
      </c>
      <c r="D1736" s="11" t="str">
        <f t="shared" si="194"/>
        <v>11-25</v>
      </c>
      <c r="E1736" s="1">
        <f>_xlfn.IFNA(VLOOKUP('Comp X - Kilter'!B1736,'Kilter Holds'!$P$36:$AB$370,11,0),0)</f>
        <v>3</v>
      </c>
      <c r="G1736" s="2">
        <f t="shared" si="208"/>
        <v>0</v>
      </c>
      <c r="H1736" s="2">
        <f t="shared" si="209"/>
        <v>0</v>
      </c>
    </row>
    <row r="1737" spans="2:8">
      <c r="B1737" s="3" t="s">
        <v>2896</v>
      </c>
      <c r="C1737" s="3" t="s">
        <v>2897</v>
      </c>
      <c r="D1737" s="13" t="str">
        <f t="shared" si="194"/>
        <v>18-01</v>
      </c>
      <c r="E1737" s="1">
        <f>_xlfn.IFNA(VLOOKUP('Comp X - Kilter'!B1737,'Kilter Holds'!$P$36:$AB$370,12,0),0)</f>
        <v>9</v>
      </c>
      <c r="G1737" s="2">
        <f t="shared" si="208"/>
        <v>0</v>
      </c>
      <c r="H1737" s="2">
        <f t="shared" si="209"/>
        <v>0</v>
      </c>
    </row>
    <row r="1738" spans="2:8">
      <c r="B1738" s="3" t="s">
        <v>2896</v>
      </c>
      <c r="C1738" s="3" t="s">
        <v>2897</v>
      </c>
      <c r="D1738" s="12" t="str">
        <f t="shared" si="194"/>
        <v>12-01</v>
      </c>
      <c r="E1738" s="1">
        <f>_xlfn.IFNA(VLOOKUP('Comp X - Kilter'!B1738,'Kilter Holds'!$P$36:$AB$370,13,0),0)</f>
        <v>5</v>
      </c>
      <c r="G1738" s="2">
        <f t="shared" si="208"/>
        <v>0</v>
      </c>
      <c r="H1738" s="2">
        <f t="shared" si="209"/>
        <v>0</v>
      </c>
    </row>
    <row r="1739" spans="2:8">
      <c r="B1739" s="3" t="s">
        <v>2292</v>
      </c>
      <c r="C1739" s="3" t="s">
        <v>2330</v>
      </c>
      <c r="D1739" s="5" t="str">
        <f t="shared" ref="D1739:D1747" si="210">D1667</f>
        <v>11-12</v>
      </c>
      <c r="E1739" s="1">
        <f>_xlfn.IFNA(VLOOKUP('Comp X - Kilter'!B1739,'Kilter Holds'!$P$36:$AB$370,5,0),0)</f>
        <v>5</v>
      </c>
      <c r="G1739" s="2">
        <f t="shared" ref="G1739:G1747" si="211">E1739*F1739</f>
        <v>0</v>
      </c>
      <c r="H1739" s="2">
        <f t="shared" ref="H1739:H1747" si="212">IF($S$11="Y",G1739*0.15,0)</f>
        <v>0</v>
      </c>
    </row>
    <row r="1740" spans="2:8">
      <c r="B1740" s="3" t="s">
        <v>2292</v>
      </c>
      <c r="C1740" s="3" t="s">
        <v>2330</v>
      </c>
      <c r="D1740" s="6" t="str">
        <f t="shared" si="210"/>
        <v>14-01</v>
      </c>
      <c r="E1740" s="1">
        <f>_xlfn.IFNA(VLOOKUP('Comp X - Kilter'!B1740,'Kilter Holds'!$P$36:$AB$370,6,0),0)</f>
        <v>2</v>
      </c>
      <c r="G1740" s="2">
        <f t="shared" si="211"/>
        <v>0</v>
      </c>
      <c r="H1740" s="2">
        <f t="shared" si="212"/>
        <v>0</v>
      </c>
    </row>
    <row r="1741" spans="2:8">
      <c r="B1741" s="3" t="s">
        <v>2292</v>
      </c>
      <c r="C1741" s="3" t="s">
        <v>2330</v>
      </c>
      <c r="D1741" s="7" t="str">
        <f t="shared" si="210"/>
        <v>15-12</v>
      </c>
      <c r="E1741" s="1">
        <f>_xlfn.IFNA(VLOOKUP('Comp X - Kilter'!B1741,'Kilter Holds'!$P$36:$AB$370,7,0),0)</f>
        <v>3</v>
      </c>
      <c r="G1741" s="2">
        <f t="shared" si="211"/>
        <v>0</v>
      </c>
      <c r="H1741" s="2">
        <f t="shared" si="212"/>
        <v>0</v>
      </c>
    </row>
    <row r="1742" spans="2:8">
      <c r="B1742" s="3" t="s">
        <v>2292</v>
      </c>
      <c r="C1742" s="3" t="s">
        <v>2330</v>
      </c>
      <c r="D1742" s="8" t="str">
        <f t="shared" si="210"/>
        <v>16-16</v>
      </c>
      <c r="E1742" s="1">
        <f>_xlfn.IFNA(VLOOKUP('Comp X - Kilter'!B1742,'Kilter Holds'!$P$36:$AB$370,8,0),0)</f>
        <v>7</v>
      </c>
      <c r="G1742" s="2">
        <f t="shared" si="211"/>
        <v>0</v>
      </c>
      <c r="H1742" s="2">
        <f t="shared" si="212"/>
        <v>0</v>
      </c>
    </row>
    <row r="1743" spans="2:8">
      <c r="B1743" s="3" t="s">
        <v>2292</v>
      </c>
      <c r="C1743" s="3" t="s">
        <v>2330</v>
      </c>
      <c r="D1743" s="9" t="str">
        <f t="shared" si="210"/>
        <v>13-01</v>
      </c>
      <c r="E1743" s="1">
        <f>_xlfn.IFNA(VLOOKUP('Comp X - Kilter'!B1743,'Kilter Holds'!$P$36:$AB$370,9,0),0)</f>
        <v>4</v>
      </c>
      <c r="G1743" s="2">
        <f t="shared" si="211"/>
        <v>0</v>
      </c>
      <c r="H1743" s="2">
        <f t="shared" si="212"/>
        <v>0</v>
      </c>
    </row>
    <row r="1744" spans="2:8">
      <c r="B1744" s="3" t="s">
        <v>2292</v>
      </c>
      <c r="C1744" s="3" t="s">
        <v>2330</v>
      </c>
      <c r="D1744" s="10" t="str">
        <f t="shared" si="210"/>
        <v>07-13</v>
      </c>
      <c r="E1744" s="1">
        <f>_xlfn.IFNA(VLOOKUP('Comp X - Kilter'!B1744,'Kilter Holds'!$P$36:$AB$370,10,0),0)</f>
        <v>5</v>
      </c>
      <c r="G1744" s="2">
        <f t="shared" si="211"/>
        <v>0</v>
      </c>
      <c r="H1744" s="2">
        <f t="shared" si="212"/>
        <v>0</v>
      </c>
    </row>
    <row r="1745" spans="2:8">
      <c r="B1745" s="3" t="s">
        <v>2292</v>
      </c>
      <c r="C1745" s="3" t="s">
        <v>2330</v>
      </c>
      <c r="D1745" s="11" t="str">
        <f t="shared" si="210"/>
        <v>11-25</v>
      </c>
      <c r="E1745" s="1">
        <f>_xlfn.IFNA(VLOOKUP('Comp X - Kilter'!B1745,'Kilter Holds'!$P$36:$AB$370,11,0),0)</f>
        <v>5</v>
      </c>
      <c r="G1745" s="2">
        <f t="shared" si="211"/>
        <v>0</v>
      </c>
      <c r="H1745" s="2">
        <f t="shared" si="212"/>
        <v>0</v>
      </c>
    </row>
    <row r="1746" spans="2:8">
      <c r="B1746" s="3" t="s">
        <v>2292</v>
      </c>
      <c r="C1746" s="3" t="s">
        <v>2330</v>
      </c>
      <c r="D1746" s="13" t="str">
        <f t="shared" si="210"/>
        <v>18-01</v>
      </c>
      <c r="E1746" s="1">
        <f>_xlfn.IFNA(VLOOKUP('Comp X - Kilter'!B1746,'Kilter Holds'!$P$36:$AB$370,12,0),0)</f>
        <v>6</v>
      </c>
      <c r="G1746" s="2">
        <f t="shared" si="211"/>
        <v>0</v>
      </c>
      <c r="H1746" s="2">
        <f t="shared" si="212"/>
        <v>0</v>
      </c>
    </row>
    <row r="1747" spans="2:8">
      <c r="B1747" s="3" t="s">
        <v>2292</v>
      </c>
      <c r="C1747" s="3" t="s">
        <v>2330</v>
      </c>
      <c r="D1747" s="12" t="str">
        <f t="shared" si="210"/>
        <v>12-01</v>
      </c>
      <c r="E1747" s="1">
        <f>_xlfn.IFNA(VLOOKUP('Comp X - Kilter'!B1747,'Kilter Holds'!$P$36:$AB$370,13,0),0)</f>
        <v>0</v>
      </c>
      <c r="G1747" s="2">
        <f t="shared" si="211"/>
        <v>0</v>
      </c>
      <c r="H1747" s="2">
        <f t="shared" si="212"/>
        <v>0</v>
      </c>
    </row>
    <row r="1748" spans="2:8">
      <c r="B1748" t="s">
        <v>1843</v>
      </c>
      <c r="C1748" t="s">
        <v>1844</v>
      </c>
      <c r="D1748" s="5" t="str">
        <f t="shared" ref="D1748:D1756" si="213">D1658</f>
        <v>11-12</v>
      </c>
      <c r="E1748" s="1">
        <f>_xlfn.IFNA(VLOOKUP('Comp X - Kilter'!B1748,'Kilter Holds'!$P$36:$AB$370,5,0),0)</f>
        <v>6</v>
      </c>
      <c r="G1748" s="2">
        <f t="shared" ref="G1748:G1756" si="214">E1748*F1748</f>
        <v>0</v>
      </c>
      <c r="H1748" s="2">
        <f t="shared" ref="H1748:H1756" si="215">IF($S$11="Y",G1748*0.15,0)</f>
        <v>0</v>
      </c>
    </row>
    <row r="1749" spans="2:8">
      <c r="B1749" t="s">
        <v>1843</v>
      </c>
      <c r="C1749" t="s">
        <v>1844</v>
      </c>
      <c r="D1749" s="6" t="str">
        <f t="shared" si="213"/>
        <v>14-01</v>
      </c>
      <c r="E1749" s="1">
        <f>_xlfn.IFNA(VLOOKUP('Comp X - Kilter'!B1749,'Kilter Holds'!$P$36:$AB$370,6,0),0)</f>
        <v>0</v>
      </c>
      <c r="G1749" s="2">
        <f t="shared" si="214"/>
        <v>0</v>
      </c>
      <c r="H1749" s="2">
        <f t="shared" si="215"/>
        <v>0</v>
      </c>
    </row>
    <row r="1750" spans="2:8">
      <c r="B1750" t="s">
        <v>1843</v>
      </c>
      <c r="C1750" t="s">
        <v>1844</v>
      </c>
      <c r="D1750" s="7" t="str">
        <f t="shared" si="213"/>
        <v>15-12</v>
      </c>
      <c r="E1750" s="1">
        <f>_xlfn.IFNA(VLOOKUP('Comp X - Kilter'!B1750,'Kilter Holds'!$P$36:$AB$370,7,0),0)</f>
        <v>5</v>
      </c>
      <c r="G1750" s="2">
        <f t="shared" si="214"/>
        <v>0</v>
      </c>
      <c r="H1750" s="2">
        <f t="shared" si="215"/>
        <v>0</v>
      </c>
    </row>
    <row r="1751" spans="2:8">
      <c r="B1751" t="s">
        <v>1843</v>
      </c>
      <c r="C1751" t="s">
        <v>1844</v>
      </c>
      <c r="D1751" s="8" t="str">
        <f t="shared" si="213"/>
        <v>16-16</v>
      </c>
      <c r="E1751" s="1">
        <f>_xlfn.IFNA(VLOOKUP('Comp X - Kilter'!B1751,'Kilter Holds'!$P$36:$AB$370,8,0),0)</f>
        <v>0</v>
      </c>
      <c r="G1751" s="2">
        <f t="shared" si="214"/>
        <v>0</v>
      </c>
      <c r="H1751" s="2">
        <f t="shared" si="215"/>
        <v>0</v>
      </c>
    </row>
    <row r="1752" spans="2:8">
      <c r="B1752" t="s">
        <v>1843</v>
      </c>
      <c r="C1752" t="s">
        <v>1844</v>
      </c>
      <c r="D1752" s="9" t="str">
        <f t="shared" si="213"/>
        <v>13-01</v>
      </c>
      <c r="E1752" s="1">
        <f>_xlfn.IFNA(VLOOKUP('Comp X - Kilter'!B1752,'Kilter Holds'!$P$36:$AB$370,9,0),0)</f>
        <v>5</v>
      </c>
      <c r="G1752" s="2">
        <f t="shared" si="214"/>
        <v>0</v>
      </c>
      <c r="H1752" s="2">
        <f t="shared" si="215"/>
        <v>0</v>
      </c>
    </row>
    <row r="1753" spans="2:8">
      <c r="B1753" t="s">
        <v>1843</v>
      </c>
      <c r="C1753" t="s">
        <v>1844</v>
      </c>
      <c r="D1753" s="10" t="str">
        <f t="shared" si="213"/>
        <v>07-13</v>
      </c>
      <c r="E1753" s="1">
        <f>_xlfn.IFNA(VLOOKUP('Comp X - Kilter'!B1753,'Kilter Holds'!$P$36:$AB$370,10,0),0)</f>
        <v>0</v>
      </c>
      <c r="G1753" s="2">
        <f t="shared" si="214"/>
        <v>0</v>
      </c>
      <c r="H1753" s="2">
        <f t="shared" si="215"/>
        <v>0</v>
      </c>
    </row>
    <row r="1754" spans="2:8">
      <c r="B1754" t="s">
        <v>1843</v>
      </c>
      <c r="C1754" t="s">
        <v>1844</v>
      </c>
      <c r="D1754" s="11" t="str">
        <f t="shared" si="213"/>
        <v>11-25</v>
      </c>
      <c r="E1754" s="1">
        <f>_xlfn.IFNA(VLOOKUP('Comp X - Kilter'!B1754,'Kilter Holds'!$P$36:$AB$370,11,0),0)</f>
        <v>0</v>
      </c>
      <c r="G1754" s="2">
        <f t="shared" si="214"/>
        <v>0</v>
      </c>
      <c r="H1754" s="2">
        <f t="shared" si="215"/>
        <v>0</v>
      </c>
    </row>
    <row r="1755" spans="2:8">
      <c r="B1755" t="s">
        <v>1843</v>
      </c>
      <c r="C1755" t="s">
        <v>1844</v>
      </c>
      <c r="D1755" s="13" t="str">
        <f t="shared" si="213"/>
        <v>18-01</v>
      </c>
      <c r="E1755" s="1">
        <f>_xlfn.IFNA(VLOOKUP('Comp X - Kilter'!B1755,'Kilter Holds'!$P$36:$AB$370,12,0),0)</f>
        <v>8</v>
      </c>
      <c r="G1755" s="2">
        <f t="shared" si="214"/>
        <v>0</v>
      </c>
      <c r="H1755" s="2">
        <f t="shared" si="215"/>
        <v>0</v>
      </c>
    </row>
    <row r="1756" spans="2:8">
      <c r="B1756" t="s">
        <v>1843</v>
      </c>
      <c r="C1756" t="s">
        <v>1844</v>
      </c>
      <c r="D1756" s="12" t="str">
        <f t="shared" si="213"/>
        <v>12-01</v>
      </c>
      <c r="E1756" s="1">
        <f>_xlfn.IFNA(VLOOKUP('Comp X - Kilter'!B1756,'Kilter Holds'!$P$36:$AB$370,13,0),0)</f>
        <v>1</v>
      </c>
      <c r="G1756" s="2">
        <f t="shared" si="214"/>
        <v>0</v>
      </c>
      <c r="H1756" s="2">
        <f t="shared" si="215"/>
        <v>0</v>
      </c>
    </row>
    <row r="1757" spans="2:8">
      <c r="B1757" t="s">
        <v>1803</v>
      </c>
      <c r="C1757" t="s">
        <v>1804</v>
      </c>
      <c r="D1757" s="5" t="str">
        <f t="shared" ref="D1757:D1765" si="216">D1631</f>
        <v>11-12</v>
      </c>
      <c r="E1757" s="1">
        <f>_xlfn.IFNA(VLOOKUP('Comp X - Kilter'!B1757,'Kilter Holds'!$P$36:$AB$370,5,0),0)</f>
        <v>6</v>
      </c>
      <c r="G1757" s="2">
        <f t="shared" ref="G1757:G1765" si="217">E1757*F1757</f>
        <v>0</v>
      </c>
      <c r="H1757" s="2">
        <f t="shared" ref="H1757:H1765" si="218">IF($S$11="Y",G1757*0.15,0)</f>
        <v>0</v>
      </c>
    </row>
    <row r="1758" spans="2:8">
      <c r="B1758" t="s">
        <v>1803</v>
      </c>
      <c r="C1758" t="s">
        <v>1804</v>
      </c>
      <c r="D1758" s="6" t="str">
        <f t="shared" si="216"/>
        <v>14-01</v>
      </c>
      <c r="E1758" s="1">
        <f>_xlfn.IFNA(VLOOKUP('Comp X - Kilter'!B1758,'Kilter Holds'!$P$36:$AB$370,6,0),0)</f>
        <v>0</v>
      </c>
      <c r="G1758" s="2">
        <f t="shared" si="217"/>
        <v>0</v>
      </c>
      <c r="H1758" s="2">
        <f t="shared" si="218"/>
        <v>0</v>
      </c>
    </row>
    <row r="1759" spans="2:8">
      <c r="B1759" t="s">
        <v>1803</v>
      </c>
      <c r="C1759" t="s">
        <v>1804</v>
      </c>
      <c r="D1759" s="7" t="str">
        <f t="shared" si="216"/>
        <v>15-12</v>
      </c>
      <c r="E1759" s="1">
        <f>_xlfn.IFNA(VLOOKUP('Comp X - Kilter'!B1759,'Kilter Holds'!$P$36:$AB$370,7,0),0)</f>
        <v>5</v>
      </c>
      <c r="G1759" s="2">
        <f t="shared" si="217"/>
        <v>0</v>
      </c>
      <c r="H1759" s="2">
        <f t="shared" si="218"/>
        <v>0</v>
      </c>
    </row>
    <row r="1760" spans="2:8">
      <c r="B1760" t="s">
        <v>1803</v>
      </c>
      <c r="C1760" t="s">
        <v>1804</v>
      </c>
      <c r="D1760" s="8" t="str">
        <f t="shared" si="216"/>
        <v>16-16</v>
      </c>
      <c r="E1760" s="1">
        <f>_xlfn.IFNA(VLOOKUP('Comp X - Kilter'!B1760,'Kilter Holds'!$P$36:$AB$370,8,0),0)</f>
        <v>0</v>
      </c>
      <c r="G1760" s="2">
        <f t="shared" si="217"/>
        <v>0</v>
      </c>
      <c r="H1760" s="2">
        <f t="shared" si="218"/>
        <v>0</v>
      </c>
    </row>
    <row r="1761" spans="2:8">
      <c r="B1761" t="s">
        <v>1803</v>
      </c>
      <c r="C1761" t="s">
        <v>1804</v>
      </c>
      <c r="D1761" s="9" t="str">
        <f t="shared" si="216"/>
        <v>13-01</v>
      </c>
      <c r="E1761" s="1">
        <f>_xlfn.IFNA(VLOOKUP('Comp X - Kilter'!B1761,'Kilter Holds'!$P$36:$AB$370,9,0),0)</f>
        <v>6</v>
      </c>
      <c r="G1761" s="2">
        <f t="shared" si="217"/>
        <v>0</v>
      </c>
      <c r="H1761" s="2">
        <f t="shared" si="218"/>
        <v>0</v>
      </c>
    </row>
    <row r="1762" spans="2:8">
      <c r="B1762" t="s">
        <v>1803</v>
      </c>
      <c r="C1762" t="s">
        <v>1804</v>
      </c>
      <c r="D1762" s="10" t="str">
        <f t="shared" si="216"/>
        <v>07-13</v>
      </c>
      <c r="E1762" s="1">
        <f>_xlfn.IFNA(VLOOKUP('Comp X - Kilter'!B1762,'Kilter Holds'!$P$36:$AB$370,10,0),0)</f>
        <v>0</v>
      </c>
      <c r="G1762" s="2">
        <f t="shared" si="217"/>
        <v>0</v>
      </c>
      <c r="H1762" s="2">
        <f t="shared" si="218"/>
        <v>0</v>
      </c>
    </row>
    <row r="1763" spans="2:8">
      <c r="B1763" t="s">
        <v>1803</v>
      </c>
      <c r="C1763" t="s">
        <v>1804</v>
      </c>
      <c r="D1763" s="11" t="str">
        <f t="shared" si="216"/>
        <v>11-25</v>
      </c>
      <c r="E1763" s="1">
        <f>_xlfn.IFNA(VLOOKUP('Comp X - Kilter'!B1763,'Kilter Holds'!$P$36:$AB$370,11,0),0)</f>
        <v>0</v>
      </c>
      <c r="G1763" s="2">
        <f t="shared" si="217"/>
        <v>0</v>
      </c>
      <c r="H1763" s="2">
        <f t="shared" si="218"/>
        <v>0</v>
      </c>
    </row>
    <row r="1764" spans="2:8">
      <c r="B1764" t="s">
        <v>1803</v>
      </c>
      <c r="C1764" t="s">
        <v>1804</v>
      </c>
      <c r="D1764" s="13" t="str">
        <f t="shared" si="216"/>
        <v>18-01</v>
      </c>
      <c r="E1764" s="1">
        <f>_xlfn.IFNA(VLOOKUP('Comp X - Kilter'!B1764,'Kilter Holds'!$P$36:$AB$370,12,0),0)</f>
        <v>7</v>
      </c>
      <c r="G1764" s="2">
        <f t="shared" si="217"/>
        <v>0</v>
      </c>
      <c r="H1764" s="2">
        <f t="shared" si="218"/>
        <v>0</v>
      </c>
    </row>
    <row r="1765" spans="2:8">
      <c r="B1765" t="s">
        <v>1803</v>
      </c>
      <c r="C1765" t="s">
        <v>1804</v>
      </c>
      <c r="D1765" s="12" t="str">
        <f t="shared" si="216"/>
        <v>12-01</v>
      </c>
      <c r="E1765" s="1">
        <f>_xlfn.IFNA(VLOOKUP('Comp X - Kilter'!B1765,'Kilter Holds'!$P$36:$AB$370,13,0),0)</f>
        <v>1</v>
      </c>
      <c r="G1765" s="2">
        <f t="shared" si="217"/>
        <v>0</v>
      </c>
      <c r="H1765" s="2">
        <f t="shared" si="218"/>
        <v>0</v>
      </c>
    </row>
    <row r="1766" spans="2:8">
      <c r="B1766" t="s">
        <v>1654</v>
      </c>
      <c r="C1766" t="s">
        <v>1668</v>
      </c>
      <c r="D1766" s="5" t="str">
        <f t="shared" ref="D1766:D1774" si="219">D1631</f>
        <v>11-12</v>
      </c>
      <c r="E1766" s="1">
        <f>_xlfn.IFNA(VLOOKUP('Comp X - Kilter'!B1766,'Kilter Holds'!$P$36:$AB$370,5,0),0)</f>
        <v>4</v>
      </c>
      <c r="G1766" s="2">
        <f t="shared" ref="G1766:G1801" si="220">E1766*F1766</f>
        <v>0</v>
      </c>
      <c r="H1766" s="2">
        <f t="shared" ref="H1766:H1801" si="221">IF($S$11="Y",G1766*0.15,0)</f>
        <v>0</v>
      </c>
    </row>
    <row r="1767" spans="2:8">
      <c r="B1767" t="s">
        <v>1654</v>
      </c>
      <c r="C1767" t="s">
        <v>1668</v>
      </c>
      <c r="D1767" s="6" t="str">
        <f t="shared" si="219"/>
        <v>14-01</v>
      </c>
      <c r="E1767" s="1">
        <f>_xlfn.IFNA(VLOOKUP('Comp X - Kilter'!B1767,'Kilter Holds'!$P$36:$AB$370,6,0),0)</f>
        <v>0</v>
      </c>
      <c r="G1767" s="2">
        <f t="shared" si="220"/>
        <v>0</v>
      </c>
      <c r="H1767" s="2">
        <f t="shared" si="221"/>
        <v>0</v>
      </c>
    </row>
    <row r="1768" spans="2:8">
      <c r="B1768" t="s">
        <v>1654</v>
      </c>
      <c r="C1768" t="s">
        <v>1668</v>
      </c>
      <c r="D1768" s="7" t="str">
        <f t="shared" si="219"/>
        <v>15-12</v>
      </c>
      <c r="E1768" s="1">
        <f>_xlfn.IFNA(VLOOKUP('Comp X - Kilter'!B1768,'Kilter Holds'!$P$36:$AB$370,7,0),0)</f>
        <v>3</v>
      </c>
      <c r="G1768" s="2">
        <f t="shared" si="220"/>
        <v>0</v>
      </c>
      <c r="H1768" s="2">
        <f t="shared" si="221"/>
        <v>0</v>
      </c>
    </row>
    <row r="1769" spans="2:8">
      <c r="B1769" t="s">
        <v>1654</v>
      </c>
      <c r="C1769" t="s">
        <v>1668</v>
      </c>
      <c r="D1769" s="8" t="str">
        <f t="shared" si="219"/>
        <v>16-16</v>
      </c>
      <c r="E1769" s="1">
        <f>_xlfn.IFNA(VLOOKUP('Comp X - Kilter'!B1769,'Kilter Holds'!$P$36:$AB$370,8,0),0)</f>
        <v>0</v>
      </c>
      <c r="G1769" s="2">
        <f t="shared" si="220"/>
        <v>0</v>
      </c>
      <c r="H1769" s="2">
        <f t="shared" si="221"/>
        <v>0</v>
      </c>
    </row>
    <row r="1770" spans="2:8">
      <c r="B1770" t="s">
        <v>1654</v>
      </c>
      <c r="C1770" t="s">
        <v>1668</v>
      </c>
      <c r="D1770" s="9" t="str">
        <f t="shared" si="219"/>
        <v>13-01</v>
      </c>
      <c r="E1770" s="1">
        <f>_xlfn.IFNA(VLOOKUP('Comp X - Kilter'!B1770,'Kilter Holds'!$P$36:$AB$370,9,0),0)</f>
        <v>6</v>
      </c>
      <c r="G1770" s="2">
        <f t="shared" si="220"/>
        <v>0</v>
      </c>
      <c r="H1770" s="2">
        <f t="shared" si="221"/>
        <v>0</v>
      </c>
    </row>
    <row r="1771" spans="2:8">
      <c r="B1771" t="s">
        <v>1654</v>
      </c>
      <c r="C1771" t="s">
        <v>1668</v>
      </c>
      <c r="D1771" s="10" t="str">
        <f t="shared" si="219"/>
        <v>07-13</v>
      </c>
      <c r="E1771" s="1">
        <f>_xlfn.IFNA(VLOOKUP('Comp X - Kilter'!B1771,'Kilter Holds'!$P$36:$AB$370,10,0),0)</f>
        <v>0</v>
      </c>
      <c r="G1771" s="2">
        <f t="shared" si="220"/>
        <v>0</v>
      </c>
      <c r="H1771" s="2">
        <f t="shared" si="221"/>
        <v>0</v>
      </c>
    </row>
    <row r="1772" spans="2:8">
      <c r="B1772" t="s">
        <v>1654</v>
      </c>
      <c r="C1772" t="s">
        <v>1668</v>
      </c>
      <c r="D1772" s="11" t="str">
        <f t="shared" si="219"/>
        <v>11-25</v>
      </c>
      <c r="E1772" s="1">
        <f>_xlfn.IFNA(VLOOKUP('Comp X - Kilter'!B1772,'Kilter Holds'!$P$36:$AB$370,11,0),0)</f>
        <v>0</v>
      </c>
      <c r="G1772" s="2">
        <f t="shared" si="220"/>
        <v>0</v>
      </c>
      <c r="H1772" s="2">
        <f t="shared" si="221"/>
        <v>0</v>
      </c>
    </row>
    <row r="1773" spans="2:8">
      <c r="B1773" t="s">
        <v>1654</v>
      </c>
      <c r="C1773" t="s">
        <v>1668</v>
      </c>
      <c r="D1773" s="13" t="str">
        <f t="shared" si="219"/>
        <v>18-01</v>
      </c>
      <c r="E1773" s="1">
        <f>_xlfn.IFNA(VLOOKUP('Comp X - Kilter'!B1773,'Kilter Holds'!$P$36:$AB$370,12,0),0)</f>
        <v>11</v>
      </c>
      <c r="G1773" s="2">
        <f t="shared" si="220"/>
        <v>0</v>
      </c>
      <c r="H1773" s="2">
        <f t="shared" si="221"/>
        <v>0</v>
      </c>
    </row>
    <row r="1774" spans="2:8">
      <c r="B1774" t="s">
        <v>1654</v>
      </c>
      <c r="C1774" t="s">
        <v>1668</v>
      </c>
      <c r="D1774" s="12" t="str">
        <f t="shared" si="219"/>
        <v>12-01</v>
      </c>
      <c r="E1774" s="1">
        <f>_xlfn.IFNA(VLOOKUP('Comp X - Kilter'!B1774,'Kilter Holds'!$P$36:$AB$370,13,0),0)</f>
        <v>0</v>
      </c>
      <c r="G1774" s="2">
        <f t="shared" si="220"/>
        <v>0</v>
      </c>
      <c r="H1774" s="2">
        <f t="shared" si="221"/>
        <v>0</v>
      </c>
    </row>
    <row r="1775" spans="2:8">
      <c r="B1775" t="s">
        <v>1861</v>
      </c>
      <c r="C1775" t="s">
        <v>2004</v>
      </c>
      <c r="D1775" s="5" t="str">
        <f t="shared" ref="D1775:D1783" si="222">D1649</f>
        <v>11-12</v>
      </c>
      <c r="E1775" s="1">
        <f>_xlfn.IFNA(VLOOKUP('Comp X - Kilter'!B1775,'Kilter Holds'!$P$36:$AB$370,5,0),0)</f>
        <v>5</v>
      </c>
      <c r="G1775" s="2">
        <f t="shared" ref="G1775:G1783" si="223">E1775*F1775</f>
        <v>0</v>
      </c>
      <c r="H1775" s="2">
        <f t="shared" ref="H1775:H1783" si="224">IF($S$11="Y",G1775*0.15,0)</f>
        <v>0</v>
      </c>
    </row>
    <row r="1776" spans="2:8">
      <c r="B1776" t="s">
        <v>1861</v>
      </c>
      <c r="C1776" t="s">
        <v>2004</v>
      </c>
      <c r="D1776" s="6" t="str">
        <f t="shared" si="222"/>
        <v>14-01</v>
      </c>
      <c r="E1776" s="1">
        <f>_xlfn.IFNA(VLOOKUP('Comp X - Kilter'!B1776,'Kilter Holds'!$P$36:$AB$370,6,0),0)</f>
        <v>0</v>
      </c>
      <c r="G1776" s="2">
        <f t="shared" si="223"/>
        <v>0</v>
      </c>
      <c r="H1776" s="2">
        <f t="shared" si="224"/>
        <v>0</v>
      </c>
    </row>
    <row r="1777" spans="2:8">
      <c r="B1777" t="s">
        <v>1861</v>
      </c>
      <c r="C1777" t="s">
        <v>2004</v>
      </c>
      <c r="D1777" s="7" t="str">
        <f t="shared" si="222"/>
        <v>15-12</v>
      </c>
      <c r="E1777" s="1">
        <f>_xlfn.IFNA(VLOOKUP('Comp X - Kilter'!B1777,'Kilter Holds'!$P$36:$AB$370,7,0),0)</f>
        <v>5</v>
      </c>
      <c r="G1777" s="2">
        <f t="shared" si="223"/>
        <v>0</v>
      </c>
      <c r="H1777" s="2">
        <f t="shared" si="224"/>
        <v>0</v>
      </c>
    </row>
    <row r="1778" spans="2:8">
      <c r="B1778" t="s">
        <v>1861</v>
      </c>
      <c r="C1778" t="s">
        <v>2004</v>
      </c>
      <c r="D1778" s="8" t="str">
        <f t="shared" si="222"/>
        <v>16-16</v>
      </c>
      <c r="E1778" s="1">
        <f>_xlfn.IFNA(VLOOKUP('Comp X - Kilter'!B1778,'Kilter Holds'!$P$36:$AB$370,8,0),0)</f>
        <v>0</v>
      </c>
      <c r="G1778" s="2">
        <f t="shared" si="223"/>
        <v>0</v>
      </c>
      <c r="H1778" s="2">
        <f t="shared" si="224"/>
        <v>0</v>
      </c>
    </row>
    <row r="1779" spans="2:8">
      <c r="B1779" t="s">
        <v>1861</v>
      </c>
      <c r="C1779" t="s">
        <v>2004</v>
      </c>
      <c r="D1779" s="9" t="str">
        <f t="shared" si="222"/>
        <v>13-01</v>
      </c>
      <c r="E1779" s="1">
        <f>_xlfn.IFNA(VLOOKUP('Comp X - Kilter'!B1779,'Kilter Holds'!$P$36:$AB$370,9,0),0)</f>
        <v>4</v>
      </c>
      <c r="G1779" s="2">
        <f t="shared" si="223"/>
        <v>0</v>
      </c>
      <c r="H1779" s="2">
        <f t="shared" si="224"/>
        <v>0</v>
      </c>
    </row>
    <row r="1780" spans="2:8">
      <c r="B1780" t="s">
        <v>1861</v>
      </c>
      <c r="C1780" t="s">
        <v>2004</v>
      </c>
      <c r="D1780" s="10" t="str">
        <f t="shared" si="222"/>
        <v>07-13</v>
      </c>
      <c r="E1780" s="1">
        <f>_xlfn.IFNA(VLOOKUP('Comp X - Kilter'!B1780,'Kilter Holds'!$P$36:$AB$370,10,0),0)</f>
        <v>1</v>
      </c>
      <c r="G1780" s="2">
        <f t="shared" si="223"/>
        <v>0</v>
      </c>
      <c r="H1780" s="2">
        <f t="shared" si="224"/>
        <v>0</v>
      </c>
    </row>
    <row r="1781" spans="2:8">
      <c r="B1781" t="s">
        <v>1861</v>
      </c>
      <c r="C1781" t="s">
        <v>2004</v>
      </c>
      <c r="D1781" s="11" t="str">
        <f t="shared" si="222"/>
        <v>11-25</v>
      </c>
      <c r="E1781" s="1">
        <f>_xlfn.IFNA(VLOOKUP('Comp X - Kilter'!B1781,'Kilter Holds'!$P$36:$AB$370,11,0),0)</f>
        <v>0</v>
      </c>
      <c r="G1781" s="2">
        <f t="shared" si="223"/>
        <v>0</v>
      </c>
      <c r="H1781" s="2">
        <f t="shared" si="224"/>
        <v>0</v>
      </c>
    </row>
    <row r="1782" spans="2:8">
      <c r="B1782" t="s">
        <v>1861</v>
      </c>
      <c r="C1782" t="s">
        <v>2004</v>
      </c>
      <c r="D1782" s="13" t="str">
        <f t="shared" si="222"/>
        <v>18-01</v>
      </c>
      <c r="E1782" s="1">
        <f>_xlfn.IFNA(VLOOKUP('Comp X - Kilter'!B1782,'Kilter Holds'!$P$36:$AB$370,12,0),0)</f>
        <v>11</v>
      </c>
      <c r="G1782" s="2">
        <f t="shared" si="223"/>
        <v>0</v>
      </c>
      <c r="H1782" s="2">
        <f t="shared" si="224"/>
        <v>0</v>
      </c>
    </row>
    <row r="1783" spans="2:8">
      <c r="B1783" t="s">
        <v>1861</v>
      </c>
      <c r="C1783" t="s">
        <v>2004</v>
      </c>
      <c r="D1783" s="12" t="str">
        <f t="shared" si="222"/>
        <v>12-01</v>
      </c>
      <c r="E1783" s="1">
        <f>_xlfn.IFNA(VLOOKUP('Comp X - Kilter'!B1783,'Kilter Holds'!$P$36:$AB$370,13,0),0)</f>
        <v>0</v>
      </c>
      <c r="G1783" s="2">
        <f t="shared" si="223"/>
        <v>0</v>
      </c>
      <c r="H1783" s="2">
        <f t="shared" si="224"/>
        <v>0</v>
      </c>
    </row>
    <row r="1784" spans="2:8">
      <c r="B1784" t="s">
        <v>1805</v>
      </c>
      <c r="C1784" t="s">
        <v>1806</v>
      </c>
      <c r="D1784" s="5" t="str">
        <f t="shared" ref="D1784:D1801" si="225">D1757</f>
        <v>11-12</v>
      </c>
      <c r="E1784" s="1">
        <f>_xlfn.IFNA(VLOOKUP('Comp X - Kilter'!B1784,'Kilter Holds'!$P$36:$AB$370,5,0),0)</f>
        <v>5</v>
      </c>
      <c r="G1784" s="2">
        <f t="shared" ref="G1784:G1792" si="226">E1784*F1784</f>
        <v>0</v>
      </c>
      <c r="H1784" s="2">
        <f t="shared" ref="H1784:H1792" si="227">IF($S$11="Y",G1784*0.15,0)</f>
        <v>0</v>
      </c>
    </row>
    <row r="1785" spans="2:8">
      <c r="B1785" t="s">
        <v>1805</v>
      </c>
      <c r="C1785" t="s">
        <v>1806</v>
      </c>
      <c r="D1785" s="6" t="str">
        <f t="shared" si="225"/>
        <v>14-01</v>
      </c>
      <c r="E1785" s="1">
        <f>_xlfn.IFNA(VLOOKUP('Comp X - Kilter'!B1785,'Kilter Holds'!$P$36:$AB$370,6,0),0)</f>
        <v>0</v>
      </c>
      <c r="G1785" s="2">
        <f t="shared" si="226"/>
        <v>0</v>
      </c>
      <c r="H1785" s="2">
        <f t="shared" si="227"/>
        <v>0</v>
      </c>
    </row>
    <row r="1786" spans="2:8">
      <c r="B1786" t="s">
        <v>1805</v>
      </c>
      <c r="C1786" t="s">
        <v>1806</v>
      </c>
      <c r="D1786" s="7" t="str">
        <f t="shared" si="225"/>
        <v>15-12</v>
      </c>
      <c r="E1786" s="1">
        <f>_xlfn.IFNA(VLOOKUP('Comp X - Kilter'!B1786,'Kilter Holds'!$P$36:$AB$370,7,0),0)</f>
        <v>5</v>
      </c>
      <c r="G1786" s="2">
        <f t="shared" si="226"/>
        <v>0</v>
      </c>
      <c r="H1786" s="2">
        <f t="shared" si="227"/>
        <v>0</v>
      </c>
    </row>
    <row r="1787" spans="2:8">
      <c r="B1787" t="s">
        <v>1805</v>
      </c>
      <c r="C1787" t="s">
        <v>1806</v>
      </c>
      <c r="D1787" s="8" t="str">
        <f t="shared" si="225"/>
        <v>16-16</v>
      </c>
      <c r="E1787" s="1">
        <f>_xlfn.IFNA(VLOOKUP('Comp X - Kilter'!B1787,'Kilter Holds'!$P$36:$AB$370,8,0),0)</f>
        <v>0</v>
      </c>
      <c r="G1787" s="2">
        <f t="shared" si="226"/>
        <v>0</v>
      </c>
      <c r="H1787" s="2">
        <f t="shared" si="227"/>
        <v>0</v>
      </c>
    </row>
    <row r="1788" spans="2:8">
      <c r="B1788" t="s">
        <v>1805</v>
      </c>
      <c r="C1788" t="s">
        <v>1806</v>
      </c>
      <c r="D1788" s="9" t="str">
        <f t="shared" si="225"/>
        <v>13-01</v>
      </c>
      <c r="E1788" s="1">
        <f>_xlfn.IFNA(VLOOKUP('Comp X - Kilter'!B1788,'Kilter Holds'!$P$36:$AB$370,9,0),0)</f>
        <v>4</v>
      </c>
      <c r="G1788" s="2">
        <f t="shared" si="226"/>
        <v>0</v>
      </c>
      <c r="H1788" s="2">
        <f t="shared" si="227"/>
        <v>0</v>
      </c>
    </row>
    <row r="1789" spans="2:8">
      <c r="B1789" t="s">
        <v>1805</v>
      </c>
      <c r="C1789" t="s">
        <v>1806</v>
      </c>
      <c r="D1789" s="10" t="str">
        <f t="shared" si="225"/>
        <v>07-13</v>
      </c>
      <c r="E1789" s="1">
        <f>_xlfn.IFNA(VLOOKUP('Comp X - Kilter'!B1789,'Kilter Holds'!$P$36:$AB$370,10,0),0)</f>
        <v>0</v>
      </c>
      <c r="G1789" s="2">
        <f t="shared" si="226"/>
        <v>0</v>
      </c>
      <c r="H1789" s="2">
        <f t="shared" si="227"/>
        <v>0</v>
      </c>
    </row>
    <row r="1790" spans="2:8">
      <c r="B1790" t="s">
        <v>1805</v>
      </c>
      <c r="C1790" t="s">
        <v>1806</v>
      </c>
      <c r="D1790" s="11" t="str">
        <f t="shared" si="225"/>
        <v>11-25</v>
      </c>
      <c r="E1790" s="1">
        <f>_xlfn.IFNA(VLOOKUP('Comp X - Kilter'!B1790,'Kilter Holds'!$P$36:$AB$370,11,0),0)</f>
        <v>0</v>
      </c>
      <c r="G1790" s="2">
        <f t="shared" si="226"/>
        <v>0</v>
      </c>
      <c r="H1790" s="2">
        <f t="shared" si="227"/>
        <v>0</v>
      </c>
    </row>
    <row r="1791" spans="2:8">
      <c r="B1791" t="s">
        <v>1805</v>
      </c>
      <c r="C1791" t="s">
        <v>1806</v>
      </c>
      <c r="D1791" s="13" t="str">
        <f t="shared" si="225"/>
        <v>18-01</v>
      </c>
      <c r="E1791" s="1">
        <f>_xlfn.IFNA(VLOOKUP('Comp X - Kilter'!B1791,'Kilter Holds'!$P$36:$AB$370,12,0),0)</f>
        <v>6</v>
      </c>
      <c r="G1791" s="2">
        <f t="shared" si="226"/>
        <v>0</v>
      </c>
      <c r="H1791" s="2">
        <f t="shared" si="227"/>
        <v>0</v>
      </c>
    </row>
    <row r="1792" spans="2:8">
      <c r="B1792" t="s">
        <v>1805</v>
      </c>
      <c r="C1792" t="s">
        <v>1806</v>
      </c>
      <c r="D1792" s="12" t="str">
        <f t="shared" si="225"/>
        <v>12-01</v>
      </c>
      <c r="E1792" s="1">
        <f>_xlfn.IFNA(VLOOKUP('Comp X - Kilter'!B1792,'Kilter Holds'!$P$36:$AB$370,13,0),0)</f>
        <v>0</v>
      </c>
      <c r="G1792" s="2">
        <f t="shared" si="226"/>
        <v>0</v>
      </c>
      <c r="H1792" s="2">
        <f t="shared" si="227"/>
        <v>0</v>
      </c>
    </row>
    <row r="1793" spans="2:8">
      <c r="B1793" t="s">
        <v>1657</v>
      </c>
      <c r="C1793" t="s">
        <v>1669</v>
      </c>
      <c r="D1793" s="5" t="str">
        <f t="shared" si="225"/>
        <v>11-12</v>
      </c>
      <c r="E1793" s="1">
        <f>_xlfn.IFNA(VLOOKUP('Comp X - Kilter'!B1793,'Kilter Holds'!$P$36:$AB$370,5,0),0)</f>
        <v>6</v>
      </c>
      <c r="G1793" s="2">
        <f t="shared" si="220"/>
        <v>0</v>
      </c>
      <c r="H1793" s="2">
        <f t="shared" si="221"/>
        <v>0</v>
      </c>
    </row>
    <row r="1794" spans="2:8">
      <c r="B1794" t="s">
        <v>1657</v>
      </c>
      <c r="C1794" t="s">
        <v>1669</v>
      </c>
      <c r="D1794" s="6" t="str">
        <f t="shared" si="225"/>
        <v>14-01</v>
      </c>
      <c r="E1794" s="1">
        <f>_xlfn.IFNA(VLOOKUP('Comp X - Kilter'!B1794,'Kilter Holds'!$P$36:$AB$370,6,0),0)</f>
        <v>0</v>
      </c>
      <c r="G1794" s="2">
        <f t="shared" si="220"/>
        <v>0</v>
      </c>
      <c r="H1794" s="2">
        <f t="shared" si="221"/>
        <v>0</v>
      </c>
    </row>
    <row r="1795" spans="2:8">
      <c r="B1795" t="s">
        <v>1657</v>
      </c>
      <c r="C1795" t="s">
        <v>1669</v>
      </c>
      <c r="D1795" s="7" t="str">
        <f t="shared" si="225"/>
        <v>15-12</v>
      </c>
      <c r="E1795" s="1">
        <f>_xlfn.IFNA(VLOOKUP('Comp X - Kilter'!B1795,'Kilter Holds'!$P$36:$AB$370,7,0),0)</f>
        <v>6</v>
      </c>
      <c r="G1795" s="2">
        <f t="shared" si="220"/>
        <v>0</v>
      </c>
      <c r="H1795" s="2">
        <f t="shared" si="221"/>
        <v>0</v>
      </c>
    </row>
    <row r="1796" spans="2:8">
      <c r="B1796" t="s">
        <v>1657</v>
      </c>
      <c r="C1796" t="s">
        <v>1669</v>
      </c>
      <c r="D1796" s="8" t="str">
        <f t="shared" si="225"/>
        <v>16-16</v>
      </c>
      <c r="E1796" s="1">
        <f>_xlfn.IFNA(VLOOKUP('Comp X - Kilter'!B1796,'Kilter Holds'!$P$36:$AB$370,8,0),0)</f>
        <v>0</v>
      </c>
      <c r="G1796" s="2">
        <f t="shared" si="220"/>
        <v>0</v>
      </c>
      <c r="H1796" s="2">
        <f t="shared" si="221"/>
        <v>0</v>
      </c>
    </row>
    <row r="1797" spans="2:8">
      <c r="B1797" t="s">
        <v>1657</v>
      </c>
      <c r="C1797" t="s">
        <v>1669</v>
      </c>
      <c r="D1797" s="9" t="str">
        <f t="shared" si="225"/>
        <v>13-01</v>
      </c>
      <c r="E1797" s="1">
        <f>_xlfn.IFNA(VLOOKUP('Comp X - Kilter'!B1797,'Kilter Holds'!$P$36:$AB$370,9,0),0)</f>
        <v>5</v>
      </c>
      <c r="G1797" s="2">
        <f t="shared" si="220"/>
        <v>0</v>
      </c>
      <c r="H1797" s="2">
        <f t="shared" si="221"/>
        <v>0</v>
      </c>
    </row>
    <row r="1798" spans="2:8">
      <c r="B1798" t="s">
        <v>1657</v>
      </c>
      <c r="C1798" t="s">
        <v>1669</v>
      </c>
      <c r="D1798" s="10" t="str">
        <f t="shared" si="225"/>
        <v>07-13</v>
      </c>
      <c r="E1798" s="1">
        <f>_xlfn.IFNA(VLOOKUP('Comp X - Kilter'!B1798,'Kilter Holds'!$P$36:$AB$370,10,0),0)</f>
        <v>0</v>
      </c>
      <c r="G1798" s="2">
        <f t="shared" si="220"/>
        <v>0</v>
      </c>
      <c r="H1798" s="2">
        <f t="shared" si="221"/>
        <v>0</v>
      </c>
    </row>
    <row r="1799" spans="2:8">
      <c r="B1799" t="s">
        <v>1657</v>
      </c>
      <c r="C1799" t="s">
        <v>1669</v>
      </c>
      <c r="D1799" s="11" t="str">
        <f t="shared" si="225"/>
        <v>11-25</v>
      </c>
      <c r="E1799" s="1">
        <f>_xlfn.IFNA(VLOOKUP('Comp X - Kilter'!B1799,'Kilter Holds'!$P$36:$AB$370,11,0),0)</f>
        <v>0</v>
      </c>
      <c r="G1799" s="2">
        <f t="shared" si="220"/>
        <v>0</v>
      </c>
      <c r="H1799" s="2">
        <f t="shared" si="221"/>
        <v>0</v>
      </c>
    </row>
    <row r="1800" spans="2:8">
      <c r="B1800" t="s">
        <v>1657</v>
      </c>
      <c r="C1800" t="s">
        <v>1669</v>
      </c>
      <c r="D1800" s="13" t="str">
        <f t="shared" si="225"/>
        <v>18-01</v>
      </c>
      <c r="E1800" s="1">
        <f>_xlfn.IFNA(VLOOKUP('Comp X - Kilter'!B1800,'Kilter Holds'!$P$36:$AB$370,12,0),0)</f>
        <v>7</v>
      </c>
      <c r="G1800" s="2">
        <f t="shared" si="220"/>
        <v>0</v>
      </c>
      <c r="H1800" s="2">
        <f t="shared" si="221"/>
        <v>0</v>
      </c>
    </row>
    <row r="1801" spans="2:8">
      <c r="B1801" t="s">
        <v>1657</v>
      </c>
      <c r="C1801" t="s">
        <v>1669</v>
      </c>
      <c r="D1801" s="12" t="str">
        <f t="shared" si="225"/>
        <v>12-01</v>
      </c>
      <c r="E1801" s="1">
        <f>_xlfn.IFNA(VLOOKUP('Comp X - Kilter'!B1801,'Kilter Holds'!$P$36:$AB$370,13,0),0)</f>
        <v>0</v>
      </c>
      <c r="G1801" s="2">
        <f t="shared" si="220"/>
        <v>0</v>
      </c>
      <c r="H1801" s="2">
        <f t="shared" si="221"/>
        <v>0</v>
      </c>
    </row>
    <row r="1802" spans="2:8">
      <c r="B1802" t="s">
        <v>1658</v>
      </c>
      <c r="C1802" t="s">
        <v>1670</v>
      </c>
      <c r="D1802" s="5" t="str">
        <f t="shared" si="194"/>
        <v>11-12</v>
      </c>
      <c r="E1802" s="1">
        <f>_xlfn.IFNA(VLOOKUP('Comp X - Kilter'!B1802,'Kilter Holds'!$P$36:$AB$370,5,0),0)</f>
        <v>5</v>
      </c>
      <c r="G1802" s="2">
        <f t="shared" ref="G1802:G1810" si="228">E1802*F1802</f>
        <v>0</v>
      </c>
      <c r="H1802" s="2">
        <f t="shared" ref="H1802:H1810" si="229">IF($S$11="Y",G1802*0.15,0)</f>
        <v>0</v>
      </c>
    </row>
    <row r="1803" spans="2:8">
      <c r="B1803" t="s">
        <v>1658</v>
      </c>
      <c r="C1803" t="s">
        <v>1670</v>
      </c>
      <c r="D1803" s="6" t="str">
        <f t="shared" si="194"/>
        <v>14-01</v>
      </c>
      <c r="E1803" s="1">
        <f>_xlfn.IFNA(VLOOKUP('Comp X - Kilter'!B1803,'Kilter Holds'!$P$36:$AB$370,6,0),0)</f>
        <v>0</v>
      </c>
      <c r="G1803" s="2">
        <f t="shared" si="228"/>
        <v>0</v>
      </c>
      <c r="H1803" s="2">
        <f t="shared" si="229"/>
        <v>0</v>
      </c>
    </row>
    <row r="1804" spans="2:8">
      <c r="B1804" t="s">
        <v>1658</v>
      </c>
      <c r="C1804" t="s">
        <v>1670</v>
      </c>
      <c r="D1804" s="7" t="str">
        <f t="shared" si="194"/>
        <v>15-12</v>
      </c>
      <c r="E1804" s="1">
        <f>_xlfn.IFNA(VLOOKUP('Comp X - Kilter'!B1804,'Kilter Holds'!$P$36:$AB$370,7,0),0)</f>
        <v>4</v>
      </c>
      <c r="G1804" s="2">
        <f t="shared" si="228"/>
        <v>0</v>
      </c>
      <c r="H1804" s="2">
        <f t="shared" si="229"/>
        <v>0</v>
      </c>
    </row>
    <row r="1805" spans="2:8">
      <c r="B1805" t="s">
        <v>1658</v>
      </c>
      <c r="C1805" t="s">
        <v>1670</v>
      </c>
      <c r="D1805" s="8" t="str">
        <f t="shared" si="194"/>
        <v>16-16</v>
      </c>
      <c r="E1805" s="1">
        <f>_xlfn.IFNA(VLOOKUP('Comp X - Kilter'!B1805,'Kilter Holds'!$P$36:$AB$370,8,0),0)</f>
        <v>0</v>
      </c>
      <c r="G1805" s="2">
        <f t="shared" si="228"/>
        <v>0</v>
      </c>
      <c r="H1805" s="2">
        <f t="shared" si="229"/>
        <v>0</v>
      </c>
    </row>
    <row r="1806" spans="2:8">
      <c r="B1806" t="s">
        <v>1658</v>
      </c>
      <c r="C1806" t="s">
        <v>1670</v>
      </c>
      <c r="D1806" s="9" t="str">
        <f t="shared" si="194"/>
        <v>13-01</v>
      </c>
      <c r="E1806" s="1">
        <f>_xlfn.IFNA(VLOOKUP('Comp X - Kilter'!B1806,'Kilter Holds'!$P$36:$AB$370,9,0),0)</f>
        <v>4</v>
      </c>
      <c r="G1806" s="2">
        <f t="shared" si="228"/>
        <v>0</v>
      </c>
      <c r="H1806" s="2">
        <f t="shared" si="229"/>
        <v>0</v>
      </c>
    </row>
    <row r="1807" spans="2:8">
      <c r="B1807" t="s">
        <v>1658</v>
      </c>
      <c r="C1807" t="s">
        <v>1670</v>
      </c>
      <c r="D1807" s="10" t="str">
        <f t="shared" si="194"/>
        <v>07-13</v>
      </c>
      <c r="E1807" s="1">
        <f>_xlfn.IFNA(VLOOKUP('Comp X - Kilter'!B1807,'Kilter Holds'!$P$36:$AB$370,10,0),0)</f>
        <v>1</v>
      </c>
      <c r="G1807" s="2">
        <f t="shared" si="228"/>
        <v>0</v>
      </c>
      <c r="H1807" s="2">
        <f t="shared" si="229"/>
        <v>0</v>
      </c>
    </row>
    <row r="1808" spans="2:8">
      <c r="B1808" t="s">
        <v>1658</v>
      </c>
      <c r="C1808" t="s">
        <v>1670</v>
      </c>
      <c r="D1808" s="11" t="str">
        <f t="shared" si="194"/>
        <v>11-25</v>
      </c>
      <c r="E1808" s="1">
        <f>_xlfn.IFNA(VLOOKUP('Comp X - Kilter'!B1808,'Kilter Holds'!$P$36:$AB$370,11,0),0)</f>
        <v>0</v>
      </c>
      <c r="G1808" s="2">
        <f t="shared" si="228"/>
        <v>0</v>
      </c>
      <c r="H1808" s="2">
        <f t="shared" si="229"/>
        <v>0</v>
      </c>
    </row>
    <row r="1809" spans="2:8">
      <c r="B1809" t="s">
        <v>1658</v>
      </c>
      <c r="C1809" t="s">
        <v>1670</v>
      </c>
      <c r="D1809" s="13" t="str">
        <f t="shared" si="194"/>
        <v>18-01</v>
      </c>
      <c r="E1809" s="1">
        <f>_xlfn.IFNA(VLOOKUP('Comp X - Kilter'!B1809,'Kilter Holds'!$P$36:$AB$370,12,0),0)</f>
        <v>10</v>
      </c>
      <c r="G1809" s="2">
        <f t="shared" si="228"/>
        <v>0</v>
      </c>
      <c r="H1809" s="2">
        <f t="shared" si="229"/>
        <v>0</v>
      </c>
    </row>
    <row r="1810" spans="2:8">
      <c r="B1810" t="s">
        <v>1658</v>
      </c>
      <c r="C1810" t="s">
        <v>1670</v>
      </c>
      <c r="D1810" s="12" t="str">
        <f t="shared" si="194"/>
        <v>12-01</v>
      </c>
      <c r="E1810" s="1">
        <f>_xlfn.IFNA(VLOOKUP('Comp X - Kilter'!B1810,'Kilter Holds'!$P$36:$AB$370,13,0),0)</f>
        <v>0</v>
      </c>
      <c r="G1810" s="2">
        <f t="shared" si="228"/>
        <v>0</v>
      </c>
      <c r="H1810" s="2">
        <f t="shared" si="229"/>
        <v>0</v>
      </c>
    </row>
    <row r="1811" spans="2:8">
      <c r="B1811" t="s">
        <v>1719</v>
      </c>
      <c r="C1811" t="s">
        <v>1729</v>
      </c>
      <c r="D1811" s="5" t="str">
        <f t="shared" si="194"/>
        <v>11-12</v>
      </c>
      <c r="E1811" s="1">
        <f>_xlfn.IFNA(VLOOKUP('Comp X - Kilter'!B1811,'Kilter Holds'!$P$36:$AB$370,5,0),0)</f>
        <v>5</v>
      </c>
      <c r="G1811" s="2">
        <f t="shared" ref="G1811:G1819" si="230">E1811*F1811</f>
        <v>0</v>
      </c>
      <c r="H1811" s="2">
        <f t="shared" ref="H1811:H1819" si="231">IF($S$11="Y",G1811*0.15,0)</f>
        <v>0</v>
      </c>
    </row>
    <row r="1812" spans="2:8">
      <c r="B1812" t="s">
        <v>1719</v>
      </c>
      <c r="C1812" t="s">
        <v>1729</v>
      </c>
      <c r="D1812" s="6" t="str">
        <f t="shared" ref="D1812:D1837" si="232">D1803</f>
        <v>14-01</v>
      </c>
      <c r="E1812" s="1">
        <f>_xlfn.IFNA(VLOOKUP('Comp X - Kilter'!B1812,'Kilter Holds'!$P$36:$AB$370,6,0),0)</f>
        <v>0</v>
      </c>
      <c r="G1812" s="2">
        <f t="shared" si="230"/>
        <v>0</v>
      </c>
      <c r="H1812" s="2">
        <f t="shared" si="231"/>
        <v>0</v>
      </c>
    </row>
    <row r="1813" spans="2:8">
      <c r="B1813" t="s">
        <v>1719</v>
      </c>
      <c r="C1813" t="s">
        <v>1729</v>
      </c>
      <c r="D1813" s="7" t="str">
        <f t="shared" si="232"/>
        <v>15-12</v>
      </c>
      <c r="E1813" s="1">
        <f>_xlfn.IFNA(VLOOKUP('Comp X - Kilter'!B1813,'Kilter Holds'!$P$36:$AB$370,7,0),0)</f>
        <v>4</v>
      </c>
      <c r="G1813" s="2">
        <f t="shared" si="230"/>
        <v>0</v>
      </c>
      <c r="H1813" s="2">
        <f t="shared" si="231"/>
        <v>0</v>
      </c>
    </row>
    <row r="1814" spans="2:8">
      <c r="B1814" t="s">
        <v>1719</v>
      </c>
      <c r="C1814" t="s">
        <v>1729</v>
      </c>
      <c r="D1814" s="8" t="str">
        <f t="shared" si="232"/>
        <v>16-16</v>
      </c>
      <c r="E1814" s="1">
        <f>_xlfn.IFNA(VLOOKUP('Comp X - Kilter'!B1814,'Kilter Holds'!$P$36:$AB$370,8,0),0)</f>
        <v>0</v>
      </c>
      <c r="G1814" s="2">
        <f t="shared" si="230"/>
        <v>0</v>
      </c>
      <c r="H1814" s="2">
        <f t="shared" si="231"/>
        <v>0</v>
      </c>
    </row>
    <row r="1815" spans="2:8">
      <c r="B1815" t="s">
        <v>1719</v>
      </c>
      <c r="C1815" t="s">
        <v>1729</v>
      </c>
      <c r="D1815" s="9" t="str">
        <f t="shared" si="232"/>
        <v>13-01</v>
      </c>
      <c r="E1815" s="1">
        <f>_xlfn.IFNA(VLOOKUP('Comp X - Kilter'!B1815,'Kilter Holds'!$P$36:$AB$370,9,0),0)</f>
        <v>3</v>
      </c>
      <c r="G1815" s="2">
        <f t="shared" si="230"/>
        <v>0</v>
      </c>
      <c r="H1815" s="2">
        <f t="shared" si="231"/>
        <v>0</v>
      </c>
    </row>
    <row r="1816" spans="2:8">
      <c r="B1816" t="s">
        <v>1719</v>
      </c>
      <c r="C1816" t="s">
        <v>1729</v>
      </c>
      <c r="D1816" s="10" t="str">
        <f t="shared" si="232"/>
        <v>07-13</v>
      </c>
      <c r="E1816" s="1">
        <f>_xlfn.IFNA(VLOOKUP('Comp X - Kilter'!B1816,'Kilter Holds'!$P$36:$AB$370,10,0),0)</f>
        <v>0</v>
      </c>
      <c r="G1816" s="2">
        <f t="shared" si="230"/>
        <v>0</v>
      </c>
      <c r="H1816" s="2">
        <f t="shared" si="231"/>
        <v>0</v>
      </c>
    </row>
    <row r="1817" spans="2:8">
      <c r="B1817" t="s">
        <v>1719</v>
      </c>
      <c r="C1817" t="s">
        <v>1729</v>
      </c>
      <c r="D1817" s="11" t="str">
        <f t="shared" si="232"/>
        <v>11-25</v>
      </c>
      <c r="E1817" s="1">
        <f>_xlfn.IFNA(VLOOKUP('Comp X - Kilter'!B1817,'Kilter Holds'!$P$36:$AB$370,11,0),0)</f>
        <v>0</v>
      </c>
      <c r="G1817" s="2">
        <f t="shared" si="230"/>
        <v>0</v>
      </c>
      <c r="H1817" s="2">
        <f t="shared" si="231"/>
        <v>0</v>
      </c>
    </row>
    <row r="1818" spans="2:8">
      <c r="B1818" t="s">
        <v>1719</v>
      </c>
      <c r="C1818" t="s">
        <v>1729</v>
      </c>
      <c r="D1818" s="13" t="str">
        <f t="shared" si="232"/>
        <v>18-01</v>
      </c>
      <c r="E1818" s="1">
        <f>_xlfn.IFNA(VLOOKUP('Comp X - Kilter'!B1818,'Kilter Holds'!$P$36:$AB$370,12,0),0)</f>
        <v>10</v>
      </c>
      <c r="G1818" s="2">
        <f t="shared" si="230"/>
        <v>0</v>
      </c>
      <c r="H1818" s="2">
        <f t="shared" si="231"/>
        <v>0</v>
      </c>
    </row>
    <row r="1819" spans="2:8">
      <c r="B1819" t="s">
        <v>1719</v>
      </c>
      <c r="C1819" t="s">
        <v>1729</v>
      </c>
      <c r="D1819" s="12" t="str">
        <f t="shared" si="232"/>
        <v>12-01</v>
      </c>
      <c r="E1819" s="1">
        <f>_xlfn.IFNA(VLOOKUP('Comp X - Kilter'!B1819,'Kilter Holds'!$P$36:$AB$370,13,0),0)</f>
        <v>0</v>
      </c>
      <c r="G1819" s="2">
        <f t="shared" si="230"/>
        <v>0</v>
      </c>
      <c r="H1819" s="2">
        <f t="shared" si="231"/>
        <v>0</v>
      </c>
    </row>
    <row r="1820" spans="2:8">
      <c r="B1820" t="s">
        <v>1846</v>
      </c>
      <c r="C1820" t="s">
        <v>1847</v>
      </c>
      <c r="D1820" s="5" t="str">
        <f t="shared" si="232"/>
        <v>11-12</v>
      </c>
      <c r="E1820" s="1">
        <f>_xlfn.IFNA(VLOOKUP('Comp X - Kilter'!B1820,'Kilter Holds'!$P$36:$AB$370,5,0),0)</f>
        <v>5</v>
      </c>
      <c r="G1820" s="2">
        <f t="shared" ref="G1820:G1837" si="233">E1820*F1820</f>
        <v>0</v>
      </c>
      <c r="H1820" s="2">
        <f t="shared" ref="H1820:H1837" si="234">IF($S$11="Y",G1820*0.15,0)</f>
        <v>0</v>
      </c>
    </row>
    <row r="1821" spans="2:8">
      <c r="B1821" t="s">
        <v>1846</v>
      </c>
      <c r="C1821" t="s">
        <v>1847</v>
      </c>
      <c r="D1821" s="6" t="str">
        <f t="shared" si="232"/>
        <v>14-01</v>
      </c>
      <c r="E1821" s="1">
        <f>_xlfn.IFNA(VLOOKUP('Comp X - Kilter'!B1821,'Kilter Holds'!$P$36:$AB$370,6,0),0)</f>
        <v>0</v>
      </c>
      <c r="G1821" s="2">
        <f t="shared" si="233"/>
        <v>0</v>
      </c>
      <c r="H1821" s="2">
        <f t="shared" si="234"/>
        <v>0</v>
      </c>
    </row>
    <row r="1822" spans="2:8">
      <c r="B1822" t="s">
        <v>1846</v>
      </c>
      <c r="C1822" t="s">
        <v>1847</v>
      </c>
      <c r="D1822" s="7" t="str">
        <f t="shared" si="232"/>
        <v>15-12</v>
      </c>
      <c r="E1822" s="1">
        <f>_xlfn.IFNA(VLOOKUP('Comp X - Kilter'!B1822,'Kilter Holds'!$P$36:$AB$370,7,0),0)</f>
        <v>4</v>
      </c>
      <c r="G1822" s="2">
        <f t="shared" si="233"/>
        <v>0</v>
      </c>
      <c r="H1822" s="2">
        <f t="shared" si="234"/>
        <v>0</v>
      </c>
    </row>
    <row r="1823" spans="2:8">
      <c r="B1823" t="s">
        <v>1846</v>
      </c>
      <c r="C1823" t="s">
        <v>1847</v>
      </c>
      <c r="D1823" s="8" t="str">
        <f t="shared" si="232"/>
        <v>16-16</v>
      </c>
      <c r="E1823" s="1">
        <f>_xlfn.IFNA(VLOOKUP('Comp X - Kilter'!B1823,'Kilter Holds'!$P$36:$AB$370,8,0),0)</f>
        <v>0</v>
      </c>
      <c r="G1823" s="2">
        <f t="shared" si="233"/>
        <v>0</v>
      </c>
      <c r="H1823" s="2">
        <f t="shared" si="234"/>
        <v>0</v>
      </c>
    </row>
    <row r="1824" spans="2:8">
      <c r="B1824" t="s">
        <v>1846</v>
      </c>
      <c r="C1824" t="s">
        <v>1847</v>
      </c>
      <c r="D1824" s="9" t="str">
        <f t="shared" si="232"/>
        <v>13-01</v>
      </c>
      <c r="E1824" s="1">
        <f>_xlfn.IFNA(VLOOKUP('Comp X - Kilter'!B1824,'Kilter Holds'!$P$36:$AB$370,9,0),0)</f>
        <v>5</v>
      </c>
      <c r="G1824" s="2">
        <f t="shared" si="233"/>
        <v>0</v>
      </c>
      <c r="H1824" s="2">
        <f t="shared" si="234"/>
        <v>0</v>
      </c>
    </row>
    <row r="1825" spans="2:8">
      <c r="B1825" t="s">
        <v>1846</v>
      </c>
      <c r="C1825" t="s">
        <v>1847</v>
      </c>
      <c r="D1825" s="10" t="str">
        <f t="shared" si="232"/>
        <v>07-13</v>
      </c>
      <c r="E1825" s="1">
        <f>_xlfn.IFNA(VLOOKUP('Comp X - Kilter'!B1825,'Kilter Holds'!$P$36:$AB$370,10,0),0)</f>
        <v>0</v>
      </c>
      <c r="G1825" s="2">
        <f t="shared" si="233"/>
        <v>0</v>
      </c>
      <c r="H1825" s="2">
        <f t="shared" si="234"/>
        <v>0</v>
      </c>
    </row>
    <row r="1826" spans="2:8">
      <c r="B1826" t="s">
        <v>1846</v>
      </c>
      <c r="C1826" t="s">
        <v>1847</v>
      </c>
      <c r="D1826" s="11" t="str">
        <f t="shared" si="232"/>
        <v>11-25</v>
      </c>
      <c r="E1826" s="1">
        <f>_xlfn.IFNA(VLOOKUP('Comp X - Kilter'!B1826,'Kilter Holds'!$P$36:$AB$370,11,0),0)</f>
        <v>0</v>
      </c>
      <c r="G1826" s="2">
        <f t="shared" si="233"/>
        <v>0</v>
      </c>
      <c r="H1826" s="2">
        <f t="shared" si="234"/>
        <v>0</v>
      </c>
    </row>
    <row r="1827" spans="2:8">
      <c r="B1827" t="s">
        <v>1846</v>
      </c>
      <c r="C1827" t="s">
        <v>1847</v>
      </c>
      <c r="D1827" s="13" t="str">
        <f t="shared" si="232"/>
        <v>18-01</v>
      </c>
      <c r="E1827" s="1">
        <f>_xlfn.IFNA(VLOOKUP('Comp X - Kilter'!B1827,'Kilter Holds'!$P$36:$AB$370,12,0),0)</f>
        <v>9</v>
      </c>
      <c r="G1827" s="2">
        <f t="shared" si="233"/>
        <v>0</v>
      </c>
      <c r="H1827" s="2">
        <f t="shared" si="234"/>
        <v>0</v>
      </c>
    </row>
    <row r="1828" spans="2:8">
      <c r="B1828" t="s">
        <v>1846</v>
      </c>
      <c r="C1828" t="s">
        <v>1847</v>
      </c>
      <c r="D1828" s="12" t="str">
        <f t="shared" si="232"/>
        <v>12-01</v>
      </c>
      <c r="E1828" s="1">
        <f>_xlfn.IFNA(VLOOKUP('Comp X - Kilter'!B1828,'Kilter Holds'!$P$36:$AB$370,13,0),0)</f>
        <v>0</v>
      </c>
      <c r="G1828" s="2">
        <f t="shared" si="233"/>
        <v>0</v>
      </c>
      <c r="H1828" s="2">
        <f t="shared" si="234"/>
        <v>0</v>
      </c>
    </row>
    <row r="1829" spans="2:8">
      <c r="B1829" t="s">
        <v>1845</v>
      </c>
      <c r="C1829" t="s">
        <v>1848</v>
      </c>
      <c r="D1829" s="5" t="str">
        <f t="shared" si="232"/>
        <v>11-12</v>
      </c>
      <c r="E1829" s="1">
        <f>_xlfn.IFNA(VLOOKUP('Comp X - Kilter'!B1829,'Kilter Holds'!$P$36:$AB$370,5,0),0)</f>
        <v>4</v>
      </c>
      <c r="G1829" s="2">
        <f t="shared" si="233"/>
        <v>0</v>
      </c>
      <c r="H1829" s="2">
        <f t="shared" si="234"/>
        <v>0</v>
      </c>
    </row>
    <row r="1830" spans="2:8">
      <c r="B1830" t="s">
        <v>1845</v>
      </c>
      <c r="C1830" t="s">
        <v>1848</v>
      </c>
      <c r="D1830" s="6" t="str">
        <f t="shared" si="232"/>
        <v>14-01</v>
      </c>
      <c r="E1830" s="1">
        <f>_xlfn.IFNA(VLOOKUP('Comp X - Kilter'!B1830,'Kilter Holds'!$P$36:$AB$370,6,0),0)</f>
        <v>0</v>
      </c>
      <c r="G1830" s="2">
        <f t="shared" si="233"/>
        <v>0</v>
      </c>
      <c r="H1830" s="2">
        <f t="shared" si="234"/>
        <v>0</v>
      </c>
    </row>
    <row r="1831" spans="2:8">
      <c r="B1831" t="s">
        <v>1845</v>
      </c>
      <c r="C1831" t="s">
        <v>1848</v>
      </c>
      <c r="D1831" s="7" t="str">
        <f t="shared" si="232"/>
        <v>15-12</v>
      </c>
      <c r="E1831" s="1">
        <f>_xlfn.IFNA(VLOOKUP('Comp X - Kilter'!B1831,'Kilter Holds'!$P$36:$AB$370,7,0),0)</f>
        <v>4</v>
      </c>
      <c r="G1831" s="2">
        <f t="shared" si="233"/>
        <v>0</v>
      </c>
      <c r="H1831" s="2">
        <f t="shared" si="234"/>
        <v>0</v>
      </c>
    </row>
    <row r="1832" spans="2:8">
      <c r="B1832" t="s">
        <v>1845</v>
      </c>
      <c r="C1832" t="s">
        <v>1848</v>
      </c>
      <c r="D1832" s="8" t="str">
        <f t="shared" si="232"/>
        <v>16-16</v>
      </c>
      <c r="E1832" s="1">
        <f>_xlfn.IFNA(VLOOKUP('Comp X - Kilter'!B1832,'Kilter Holds'!$P$36:$AB$370,8,0),0)</f>
        <v>0</v>
      </c>
      <c r="G1832" s="2">
        <f t="shared" si="233"/>
        <v>0</v>
      </c>
      <c r="H1832" s="2">
        <f t="shared" si="234"/>
        <v>0</v>
      </c>
    </row>
    <row r="1833" spans="2:8">
      <c r="B1833" t="s">
        <v>1845</v>
      </c>
      <c r="C1833" t="s">
        <v>1848</v>
      </c>
      <c r="D1833" s="9" t="str">
        <f t="shared" si="232"/>
        <v>13-01</v>
      </c>
      <c r="E1833" s="1">
        <f>_xlfn.IFNA(VLOOKUP('Comp X - Kilter'!B1833,'Kilter Holds'!$P$36:$AB$370,9,0),0)</f>
        <v>4</v>
      </c>
      <c r="G1833" s="2">
        <f t="shared" si="233"/>
        <v>0</v>
      </c>
      <c r="H1833" s="2">
        <f t="shared" si="234"/>
        <v>0</v>
      </c>
    </row>
    <row r="1834" spans="2:8">
      <c r="B1834" t="s">
        <v>1845</v>
      </c>
      <c r="C1834" t="s">
        <v>1848</v>
      </c>
      <c r="D1834" s="10" t="str">
        <f t="shared" si="232"/>
        <v>07-13</v>
      </c>
      <c r="E1834" s="1">
        <f>_xlfn.IFNA(VLOOKUP('Comp X - Kilter'!B1834,'Kilter Holds'!$P$36:$AB$370,10,0),0)</f>
        <v>0</v>
      </c>
      <c r="G1834" s="2">
        <f t="shared" si="233"/>
        <v>0</v>
      </c>
      <c r="H1834" s="2">
        <f t="shared" si="234"/>
        <v>0</v>
      </c>
    </row>
    <row r="1835" spans="2:8">
      <c r="B1835" t="s">
        <v>1845</v>
      </c>
      <c r="C1835" t="s">
        <v>1848</v>
      </c>
      <c r="D1835" s="11" t="str">
        <f t="shared" si="232"/>
        <v>11-25</v>
      </c>
      <c r="E1835" s="1">
        <f>_xlfn.IFNA(VLOOKUP('Comp X - Kilter'!B1835,'Kilter Holds'!$P$36:$AB$370,11,0),0)</f>
        <v>0</v>
      </c>
      <c r="G1835" s="2">
        <f t="shared" si="233"/>
        <v>0</v>
      </c>
      <c r="H1835" s="2">
        <f t="shared" si="234"/>
        <v>0</v>
      </c>
    </row>
    <row r="1836" spans="2:8">
      <c r="B1836" t="s">
        <v>1845</v>
      </c>
      <c r="C1836" t="s">
        <v>1848</v>
      </c>
      <c r="D1836" s="13" t="str">
        <f t="shared" si="232"/>
        <v>18-01</v>
      </c>
      <c r="E1836" s="1">
        <f>_xlfn.IFNA(VLOOKUP('Comp X - Kilter'!B1836,'Kilter Holds'!$P$36:$AB$370,12,0),0)</f>
        <v>12</v>
      </c>
      <c r="G1836" s="2">
        <f t="shared" si="233"/>
        <v>0</v>
      </c>
      <c r="H1836" s="2">
        <f t="shared" si="234"/>
        <v>0</v>
      </c>
    </row>
    <row r="1837" spans="2:8">
      <c r="B1837" t="s">
        <v>1845</v>
      </c>
      <c r="C1837" t="s">
        <v>1848</v>
      </c>
      <c r="D1837" s="12" t="str">
        <f t="shared" si="232"/>
        <v>12-01</v>
      </c>
      <c r="E1837" s="1">
        <f>_xlfn.IFNA(VLOOKUP('Comp X - Kilter'!B1837,'Kilter Holds'!$P$36:$AB$370,13,0),0)</f>
        <v>0</v>
      </c>
      <c r="G1837" s="2">
        <f t="shared" si="233"/>
        <v>0</v>
      </c>
      <c r="H1837" s="2">
        <f t="shared" si="234"/>
        <v>0</v>
      </c>
    </row>
    <row r="1838" spans="2:8">
      <c r="B1838" t="s">
        <v>1653</v>
      </c>
      <c r="C1838" t="s">
        <v>1666</v>
      </c>
      <c r="D1838" s="5" t="str">
        <f t="shared" ref="D1838:D1846" si="235">D1631</f>
        <v>11-12</v>
      </c>
      <c r="E1838" s="1">
        <f>_xlfn.IFNA(VLOOKUP('Comp X - Kilter'!B1838,'Kilter Holds'!$P$36:$AB$370,5,0),0)</f>
        <v>6</v>
      </c>
      <c r="G1838" s="2">
        <f t="shared" ref="G1838:G2107" si="236">E1838*F1838</f>
        <v>0</v>
      </c>
      <c r="H1838" s="2">
        <f t="shared" ref="H1838:H2107" si="237">IF($S$11="Y",G1838*0.15,0)</f>
        <v>0</v>
      </c>
    </row>
    <row r="1839" spans="2:8">
      <c r="B1839" t="s">
        <v>1653</v>
      </c>
      <c r="C1839" t="s">
        <v>1666</v>
      </c>
      <c r="D1839" s="6" t="str">
        <f t="shared" si="235"/>
        <v>14-01</v>
      </c>
      <c r="E1839" s="1">
        <f>_xlfn.IFNA(VLOOKUP('Comp X - Kilter'!B1839,'Kilter Holds'!$P$36:$AB$370,6,0),0)</f>
        <v>0</v>
      </c>
      <c r="G1839" s="2">
        <f t="shared" si="236"/>
        <v>0</v>
      </c>
      <c r="H1839" s="2">
        <f t="shared" si="237"/>
        <v>0</v>
      </c>
    </row>
    <row r="1840" spans="2:8">
      <c r="B1840" t="s">
        <v>1653</v>
      </c>
      <c r="C1840" t="s">
        <v>1666</v>
      </c>
      <c r="D1840" s="7" t="str">
        <f t="shared" si="235"/>
        <v>15-12</v>
      </c>
      <c r="E1840" s="1">
        <f>_xlfn.IFNA(VLOOKUP('Comp X - Kilter'!B1840,'Kilter Holds'!$P$36:$AB$370,7,0),0)</f>
        <v>4</v>
      </c>
      <c r="G1840" s="2">
        <f t="shared" si="236"/>
        <v>0</v>
      </c>
      <c r="H1840" s="2">
        <f t="shared" si="237"/>
        <v>0</v>
      </c>
    </row>
    <row r="1841" spans="2:8">
      <c r="B1841" t="s">
        <v>1653</v>
      </c>
      <c r="C1841" t="s">
        <v>1666</v>
      </c>
      <c r="D1841" s="8" t="str">
        <f t="shared" si="235"/>
        <v>16-16</v>
      </c>
      <c r="E1841" s="1">
        <f>_xlfn.IFNA(VLOOKUP('Comp X - Kilter'!B1841,'Kilter Holds'!$P$36:$AB$370,8,0),0)</f>
        <v>0</v>
      </c>
      <c r="G1841" s="2">
        <f t="shared" si="236"/>
        <v>0</v>
      </c>
      <c r="H1841" s="2">
        <f t="shared" si="237"/>
        <v>0</v>
      </c>
    </row>
    <row r="1842" spans="2:8">
      <c r="B1842" t="s">
        <v>1653</v>
      </c>
      <c r="C1842" t="s">
        <v>1666</v>
      </c>
      <c r="D1842" s="9" t="str">
        <f t="shared" si="235"/>
        <v>13-01</v>
      </c>
      <c r="E1842" s="1">
        <f>_xlfn.IFNA(VLOOKUP('Comp X - Kilter'!B1842,'Kilter Holds'!$P$36:$AB$370,9,0),0)</f>
        <v>4</v>
      </c>
      <c r="G1842" s="2">
        <f t="shared" si="236"/>
        <v>0</v>
      </c>
      <c r="H1842" s="2">
        <f t="shared" si="237"/>
        <v>0</v>
      </c>
    </row>
    <row r="1843" spans="2:8">
      <c r="B1843" t="s">
        <v>1653</v>
      </c>
      <c r="C1843" t="s">
        <v>1666</v>
      </c>
      <c r="D1843" s="10" t="str">
        <f t="shared" si="235"/>
        <v>07-13</v>
      </c>
      <c r="E1843" s="1">
        <f>_xlfn.IFNA(VLOOKUP('Comp X - Kilter'!B1843,'Kilter Holds'!$P$36:$AB$370,10,0),0)</f>
        <v>0</v>
      </c>
      <c r="G1843" s="2">
        <f t="shared" si="236"/>
        <v>0</v>
      </c>
      <c r="H1843" s="2">
        <f t="shared" si="237"/>
        <v>0</v>
      </c>
    </row>
    <row r="1844" spans="2:8">
      <c r="B1844" t="s">
        <v>1653</v>
      </c>
      <c r="C1844" t="s">
        <v>1666</v>
      </c>
      <c r="D1844" s="11" t="str">
        <f t="shared" si="235"/>
        <v>11-25</v>
      </c>
      <c r="E1844" s="1">
        <f>_xlfn.IFNA(VLOOKUP('Comp X - Kilter'!B1844,'Kilter Holds'!$P$36:$AB$370,11,0),0)</f>
        <v>0</v>
      </c>
      <c r="G1844" s="2">
        <f t="shared" si="236"/>
        <v>0</v>
      </c>
      <c r="H1844" s="2">
        <f t="shared" si="237"/>
        <v>0</v>
      </c>
    </row>
    <row r="1845" spans="2:8">
      <c r="B1845" t="s">
        <v>1653</v>
      </c>
      <c r="C1845" t="s">
        <v>1666</v>
      </c>
      <c r="D1845" s="13" t="str">
        <f t="shared" si="235"/>
        <v>18-01</v>
      </c>
      <c r="E1845" s="1">
        <f>_xlfn.IFNA(VLOOKUP('Comp X - Kilter'!B1845,'Kilter Holds'!$P$36:$AB$370,12,0),0)</f>
        <v>12</v>
      </c>
      <c r="G1845" s="2">
        <f t="shared" si="236"/>
        <v>0</v>
      </c>
      <c r="H1845" s="2">
        <f t="shared" si="237"/>
        <v>0</v>
      </c>
    </row>
    <row r="1846" spans="2:8">
      <c r="B1846" t="s">
        <v>1653</v>
      </c>
      <c r="C1846" t="s">
        <v>1666</v>
      </c>
      <c r="D1846" s="12" t="str">
        <f t="shared" si="235"/>
        <v>12-01</v>
      </c>
      <c r="E1846" s="1">
        <f>_xlfn.IFNA(VLOOKUP('Comp X - Kilter'!B1846,'Kilter Holds'!$P$36:$AB$370,13,0),0)</f>
        <v>0</v>
      </c>
      <c r="G1846" s="2">
        <f t="shared" si="236"/>
        <v>0</v>
      </c>
      <c r="H1846" s="2">
        <f t="shared" si="237"/>
        <v>0</v>
      </c>
    </row>
    <row r="1847" spans="2:8">
      <c r="B1847" t="s">
        <v>1703</v>
      </c>
      <c r="C1847" t="s">
        <v>1704</v>
      </c>
      <c r="D1847" s="5" t="str">
        <f t="shared" ref="D1847:D1855" si="238">D1766</f>
        <v>11-12</v>
      </c>
      <c r="E1847" s="1">
        <f>_xlfn.IFNA(VLOOKUP('Comp X - Kilter'!B1847,'Kilter Holds'!$P$36:$AB$370,5,0),0)</f>
        <v>5</v>
      </c>
      <c r="G1847" s="2">
        <f t="shared" ref="G1847:G1963" si="239">E1847*F1847</f>
        <v>0</v>
      </c>
      <c r="H1847" s="2">
        <f t="shared" ref="H1847:H1963" si="240">IF($S$11="Y",G1847*0.15,0)</f>
        <v>0</v>
      </c>
    </row>
    <row r="1848" spans="2:8">
      <c r="B1848" t="s">
        <v>1703</v>
      </c>
      <c r="C1848" t="s">
        <v>1704</v>
      </c>
      <c r="D1848" s="6" t="str">
        <f t="shared" si="238"/>
        <v>14-01</v>
      </c>
      <c r="E1848" s="1">
        <f>_xlfn.IFNA(VLOOKUP('Comp X - Kilter'!B1848,'Kilter Holds'!$P$36:$AB$370,6,0),0)</f>
        <v>0</v>
      </c>
      <c r="G1848" s="2">
        <f t="shared" si="239"/>
        <v>0</v>
      </c>
      <c r="H1848" s="2">
        <f t="shared" si="240"/>
        <v>0</v>
      </c>
    </row>
    <row r="1849" spans="2:8">
      <c r="B1849" t="s">
        <v>1703</v>
      </c>
      <c r="C1849" t="s">
        <v>1704</v>
      </c>
      <c r="D1849" s="7" t="str">
        <f t="shared" si="238"/>
        <v>15-12</v>
      </c>
      <c r="E1849" s="1">
        <f>_xlfn.IFNA(VLOOKUP('Comp X - Kilter'!B1849,'Kilter Holds'!$P$36:$AB$370,7,0),0)</f>
        <v>4</v>
      </c>
      <c r="G1849" s="2">
        <f t="shared" si="239"/>
        <v>0</v>
      </c>
      <c r="H1849" s="2">
        <f t="shared" si="240"/>
        <v>0</v>
      </c>
    </row>
    <row r="1850" spans="2:8">
      <c r="B1850" t="s">
        <v>1703</v>
      </c>
      <c r="C1850" t="s">
        <v>1704</v>
      </c>
      <c r="D1850" s="8" t="str">
        <f t="shared" si="238"/>
        <v>16-16</v>
      </c>
      <c r="E1850" s="1">
        <f>_xlfn.IFNA(VLOOKUP('Comp X - Kilter'!B1850,'Kilter Holds'!$P$36:$AB$370,8,0),0)</f>
        <v>0</v>
      </c>
      <c r="G1850" s="2">
        <f t="shared" si="239"/>
        <v>0</v>
      </c>
      <c r="H1850" s="2">
        <f t="shared" si="240"/>
        <v>0</v>
      </c>
    </row>
    <row r="1851" spans="2:8">
      <c r="B1851" t="s">
        <v>1703</v>
      </c>
      <c r="C1851" t="s">
        <v>1704</v>
      </c>
      <c r="D1851" s="9" t="str">
        <f t="shared" si="238"/>
        <v>13-01</v>
      </c>
      <c r="E1851" s="1">
        <f>_xlfn.IFNA(VLOOKUP('Comp X - Kilter'!B1851,'Kilter Holds'!$P$36:$AB$370,9,0),0)</f>
        <v>4</v>
      </c>
      <c r="G1851" s="2">
        <f t="shared" si="239"/>
        <v>0</v>
      </c>
      <c r="H1851" s="2">
        <f t="shared" si="240"/>
        <v>0</v>
      </c>
    </row>
    <row r="1852" spans="2:8">
      <c r="B1852" t="s">
        <v>1703</v>
      </c>
      <c r="C1852" t="s">
        <v>1704</v>
      </c>
      <c r="D1852" s="10" t="str">
        <f t="shared" si="238"/>
        <v>07-13</v>
      </c>
      <c r="E1852" s="1">
        <f>_xlfn.IFNA(VLOOKUP('Comp X - Kilter'!B1852,'Kilter Holds'!$P$36:$AB$370,10,0),0)</f>
        <v>0</v>
      </c>
      <c r="G1852" s="2">
        <f t="shared" si="239"/>
        <v>0</v>
      </c>
      <c r="H1852" s="2">
        <f t="shared" si="240"/>
        <v>0</v>
      </c>
    </row>
    <row r="1853" spans="2:8">
      <c r="B1853" t="s">
        <v>1703</v>
      </c>
      <c r="C1853" t="s">
        <v>1704</v>
      </c>
      <c r="D1853" s="11" t="str">
        <f t="shared" si="238"/>
        <v>11-25</v>
      </c>
      <c r="E1853" s="1">
        <f>_xlfn.IFNA(VLOOKUP('Comp X - Kilter'!B1853,'Kilter Holds'!$P$36:$AB$370,11,0),0)</f>
        <v>0</v>
      </c>
      <c r="G1853" s="2">
        <f t="shared" si="239"/>
        <v>0</v>
      </c>
      <c r="H1853" s="2">
        <f t="shared" si="240"/>
        <v>0</v>
      </c>
    </row>
    <row r="1854" spans="2:8">
      <c r="B1854" t="s">
        <v>1703</v>
      </c>
      <c r="C1854" t="s">
        <v>1704</v>
      </c>
      <c r="D1854" s="13" t="str">
        <f t="shared" si="238"/>
        <v>18-01</v>
      </c>
      <c r="E1854" s="1">
        <f>_xlfn.IFNA(VLOOKUP('Comp X - Kilter'!B1854,'Kilter Holds'!$P$36:$AB$370,12,0),0)</f>
        <v>9</v>
      </c>
      <c r="G1854" s="2">
        <f t="shared" si="239"/>
        <v>0</v>
      </c>
      <c r="H1854" s="2">
        <f t="shared" si="240"/>
        <v>0</v>
      </c>
    </row>
    <row r="1855" spans="2:8">
      <c r="B1855" t="s">
        <v>1703</v>
      </c>
      <c r="C1855" t="s">
        <v>1704</v>
      </c>
      <c r="D1855" s="12" t="str">
        <f t="shared" si="238"/>
        <v>12-01</v>
      </c>
      <c r="E1855" s="1">
        <f>_xlfn.IFNA(VLOOKUP('Comp X - Kilter'!B1855,'Kilter Holds'!$P$36:$AB$370,13,0),0)</f>
        <v>1</v>
      </c>
      <c r="G1855" s="2">
        <f t="shared" si="239"/>
        <v>0</v>
      </c>
      <c r="H1855" s="2">
        <f t="shared" si="240"/>
        <v>0</v>
      </c>
    </row>
    <row r="1856" spans="2:8">
      <c r="B1856" t="s">
        <v>1850</v>
      </c>
      <c r="C1856" t="s">
        <v>1851</v>
      </c>
      <c r="D1856" s="5" t="str">
        <f t="shared" ref="D1856:D1873" si="241">D1784</f>
        <v>11-12</v>
      </c>
      <c r="E1856" s="1">
        <f>_xlfn.IFNA(VLOOKUP('Comp X - Kilter'!B1856,'Kilter Holds'!$P$36:$AB$370,5,0),0)</f>
        <v>6</v>
      </c>
      <c r="G1856" s="2">
        <f t="shared" ref="G1856:G1882" si="242">E1856*F1856</f>
        <v>0</v>
      </c>
      <c r="H1856" s="2">
        <f t="shared" ref="H1856:H1882" si="243">IF($S$11="Y",G1856*0.15,0)</f>
        <v>0</v>
      </c>
    </row>
    <row r="1857" spans="2:8">
      <c r="B1857" t="s">
        <v>1850</v>
      </c>
      <c r="C1857" t="s">
        <v>1851</v>
      </c>
      <c r="D1857" s="6" t="str">
        <f t="shared" si="241"/>
        <v>14-01</v>
      </c>
      <c r="E1857" s="1">
        <f>_xlfn.IFNA(VLOOKUP('Comp X - Kilter'!B1857,'Kilter Holds'!$P$36:$AB$370,6,0),0)</f>
        <v>0</v>
      </c>
      <c r="G1857" s="2">
        <f t="shared" si="242"/>
        <v>0</v>
      </c>
      <c r="H1857" s="2">
        <f t="shared" si="243"/>
        <v>0</v>
      </c>
    </row>
    <row r="1858" spans="2:8">
      <c r="B1858" t="s">
        <v>1850</v>
      </c>
      <c r="C1858" t="s">
        <v>1851</v>
      </c>
      <c r="D1858" s="7" t="str">
        <f t="shared" si="241"/>
        <v>15-12</v>
      </c>
      <c r="E1858" s="1">
        <f>_xlfn.IFNA(VLOOKUP('Comp X - Kilter'!B1858,'Kilter Holds'!$P$36:$AB$370,7,0),0)</f>
        <v>5</v>
      </c>
      <c r="G1858" s="2">
        <f t="shared" si="242"/>
        <v>0</v>
      </c>
      <c r="H1858" s="2">
        <f t="shared" si="243"/>
        <v>0</v>
      </c>
    </row>
    <row r="1859" spans="2:8">
      <c r="B1859" t="s">
        <v>1850</v>
      </c>
      <c r="C1859" t="s">
        <v>1851</v>
      </c>
      <c r="D1859" s="8" t="str">
        <f t="shared" si="241"/>
        <v>16-16</v>
      </c>
      <c r="E1859" s="1">
        <f>_xlfn.IFNA(VLOOKUP('Comp X - Kilter'!B1859,'Kilter Holds'!$P$36:$AB$370,8,0),0)</f>
        <v>0</v>
      </c>
      <c r="G1859" s="2">
        <f t="shared" si="242"/>
        <v>0</v>
      </c>
      <c r="H1859" s="2">
        <f t="shared" si="243"/>
        <v>0</v>
      </c>
    </row>
    <row r="1860" spans="2:8">
      <c r="B1860" t="s">
        <v>1850</v>
      </c>
      <c r="C1860" t="s">
        <v>1851</v>
      </c>
      <c r="D1860" s="9" t="str">
        <f t="shared" si="241"/>
        <v>13-01</v>
      </c>
      <c r="E1860" s="1">
        <f>_xlfn.IFNA(VLOOKUP('Comp X - Kilter'!B1860,'Kilter Holds'!$P$36:$AB$370,9,0),0)</f>
        <v>4</v>
      </c>
      <c r="G1860" s="2">
        <f t="shared" si="242"/>
        <v>0</v>
      </c>
      <c r="H1860" s="2">
        <f t="shared" si="243"/>
        <v>0</v>
      </c>
    </row>
    <row r="1861" spans="2:8">
      <c r="B1861" t="s">
        <v>1850</v>
      </c>
      <c r="C1861" t="s">
        <v>1851</v>
      </c>
      <c r="D1861" s="10" t="str">
        <f t="shared" si="241"/>
        <v>07-13</v>
      </c>
      <c r="E1861" s="1">
        <f>_xlfn.IFNA(VLOOKUP('Comp X - Kilter'!B1861,'Kilter Holds'!$P$36:$AB$370,10,0),0)</f>
        <v>0</v>
      </c>
      <c r="G1861" s="2">
        <f t="shared" si="242"/>
        <v>0</v>
      </c>
      <c r="H1861" s="2">
        <f t="shared" si="243"/>
        <v>0</v>
      </c>
    </row>
    <row r="1862" spans="2:8">
      <c r="B1862" t="s">
        <v>1850</v>
      </c>
      <c r="C1862" t="s">
        <v>1851</v>
      </c>
      <c r="D1862" s="11" t="str">
        <f t="shared" si="241"/>
        <v>11-25</v>
      </c>
      <c r="E1862" s="1">
        <f>_xlfn.IFNA(VLOOKUP('Comp X - Kilter'!B1862,'Kilter Holds'!$P$36:$AB$370,11,0),0)</f>
        <v>0</v>
      </c>
      <c r="G1862" s="2">
        <f t="shared" si="242"/>
        <v>0</v>
      </c>
      <c r="H1862" s="2">
        <f t="shared" si="243"/>
        <v>0</v>
      </c>
    </row>
    <row r="1863" spans="2:8">
      <c r="B1863" t="s">
        <v>1850</v>
      </c>
      <c r="C1863" t="s">
        <v>1851</v>
      </c>
      <c r="D1863" s="13" t="str">
        <f t="shared" si="241"/>
        <v>18-01</v>
      </c>
      <c r="E1863" s="1">
        <f>_xlfn.IFNA(VLOOKUP('Comp X - Kilter'!B1863,'Kilter Holds'!$P$36:$AB$370,12,0),0)</f>
        <v>8</v>
      </c>
      <c r="G1863" s="2">
        <f t="shared" si="242"/>
        <v>0</v>
      </c>
      <c r="H1863" s="2">
        <f t="shared" si="243"/>
        <v>0</v>
      </c>
    </row>
    <row r="1864" spans="2:8">
      <c r="B1864" t="s">
        <v>1850</v>
      </c>
      <c r="C1864" t="s">
        <v>1851</v>
      </c>
      <c r="D1864" s="12" t="str">
        <f t="shared" si="241"/>
        <v>12-01</v>
      </c>
      <c r="E1864" s="1">
        <f>_xlfn.IFNA(VLOOKUP('Comp X - Kilter'!B1864,'Kilter Holds'!$P$36:$AB$370,13,0),0)</f>
        <v>0</v>
      </c>
      <c r="G1864" s="2">
        <f t="shared" si="242"/>
        <v>0</v>
      </c>
      <c r="H1864" s="2">
        <f t="shared" si="243"/>
        <v>0</v>
      </c>
    </row>
    <row r="1865" spans="2:8">
      <c r="B1865" t="s">
        <v>1899</v>
      </c>
      <c r="C1865" t="s">
        <v>1900</v>
      </c>
      <c r="D1865" s="5" t="str">
        <f t="shared" si="241"/>
        <v>11-12</v>
      </c>
      <c r="E1865" s="1">
        <f>_xlfn.IFNA(VLOOKUP('Comp X - Kilter'!B1865,'Kilter Holds'!$P$36:$AB$370,5,0),0)</f>
        <v>5</v>
      </c>
      <c r="G1865" s="2">
        <f t="shared" ref="G1865:G1873" si="244">E1865*F1865</f>
        <v>0</v>
      </c>
      <c r="H1865" s="2">
        <f t="shared" ref="H1865:H1873" si="245">IF($S$11="Y",G1865*0.15,0)</f>
        <v>0</v>
      </c>
    </row>
    <row r="1866" spans="2:8">
      <c r="B1866" t="s">
        <v>1899</v>
      </c>
      <c r="C1866" t="s">
        <v>1900</v>
      </c>
      <c r="D1866" s="6" t="str">
        <f t="shared" si="241"/>
        <v>14-01</v>
      </c>
      <c r="E1866" s="1">
        <f>_xlfn.IFNA(VLOOKUP('Comp X - Kilter'!B1866,'Kilter Holds'!$P$36:$AB$370,6,0),0)</f>
        <v>0</v>
      </c>
      <c r="G1866" s="2">
        <f t="shared" si="244"/>
        <v>0</v>
      </c>
      <c r="H1866" s="2">
        <f t="shared" si="245"/>
        <v>0</v>
      </c>
    </row>
    <row r="1867" spans="2:8">
      <c r="B1867" t="s">
        <v>1899</v>
      </c>
      <c r="C1867" t="s">
        <v>1900</v>
      </c>
      <c r="D1867" s="7" t="str">
        <f t="shared" si="241"/>
        <v>15-12</v>
      </c>
      <c r="E1867" s="1">
        <f>_xlfn.IFNA(VLOOKUP('Comp X - Kilter'!B1867,'Kilter Holds'!$P$36:$AB$370,7,0),0)</f>
        <v>4</v>
      </c>
      <c r="G1867" s="2">
        <f t="shared" si="244"/>
        <v>0</v>
      </c>
      <c r="H1867" s="2">
        <f t="shared" si="245"/>
        <v>0</v>
      </c>
    </row>
    <row r="1868" spans="2:8">
      <c r="B1868" t="s">
        <v>1899</v>
      </c>
      <c r="C1868" t="s">
        <v>1900</v>
      </c>
      <c r="D1868" s="8" t="str">
        <f t="shared" si="241"/>
        <v>16-16</v>
      </c>
      <c r="E1868" s="1">
        <f>_xlfn.IFNA(VLOOKUP('Comp X - Kilter'!B1868,'Kilter Holds'!$P$36:$AB$370,8,0),0)</f>
        <v>0</v>
      </c>
      <c r="G1868" s="2">
        <f t="shared" si="244"/>
        <v>0</v>
      </c>
      <c r="H1868" s="2">
        <f t="shared" si="245"/>
        <v>0</v>
      </c>
    </row>
    <row r="1869" spans="2:8">
      <c r="B1869" t="s">
        <v>1899</v>
      </c>
      <c r="C1869" t="s">
        <v>1900</v>
      </c>
      <c r="D1869" s="9" t="str">
        <f t="shared" si="241"/>
        <v>13-01</v>
      </c>
      <c r="E1869" s="1">
        <f>_xlfn.IFNA(VLOOKUP('Comp X - Kilter'!B1869,'Kilter Holds'!$P$36:$AB$370,9,0),0)</f>
        <v>4</v>
      </c>
      <c r="G1869" s="2">
        <f t="shared" si="244"/>
        <v>0</v>
      </c>
      <c r="H1869" s="2">
        <f t="shared" si="245"/>
        <v>0</v>
      </c>
    </row>
    <row r="1870" spans="2:8">
      <c r="B1870" t="s">
        <v>1899</v>
      </c>
      <c r="C1870" t="s">
        <v>1900</v>
      </c>
      <c r="D1870" s="10" t="str">
        <f t="shared" si="241"/>
        <v>07-13</v>
      </c>
      <c r="E1870" s="1">
        <f>_xlfn.IFNA(VLOOKUP('Comp X - Kilter'!B1870,'Kilter Holds'!$P$36:$AB$370,10,0),0)</f>
        <v>0</v>
      </c>
      <c r="G1870" s="2">
        <f t="shared" si="244"/>
        <v>0</v>
      </c>
      <c r="H1870" s="2">
        <f t="shared" si="245"/>
        <v>0</v>
      </c>
    </row>
    <row r="1871" spans="2:8">
      <c r="B1871" t="s">
        <v>1899</v>
      </c>
      <c r="C1871" t="s">
        <v>1900</v>
      </c>
      <c r="D1871" s="11" t="str">
        <f t="shared" si="241"/>
        <v>11-25</v>
      </c>
      <c r="E1871" s="1">
        <f>_xlfn.IFNA(VLOOKUP('Comp X - Kilter'!B1871,'Kilter Holds'!$P$36:$AB$370,11,0),0)</f>
        <v>0</v>
      </c>
      <c r="G1871" s="2">
        <f t="shared" si="244"/>
        <v>0</v>
      </c>
      <c r="H1871" s="2">
        <f t="shared" si="245"/>
        <v>0</v>
      </c>
    </row>
    <row r="1872" spans="2:8">
      <c r="B1872" t="s">
        <v>1899</v>
      </c>
      <c r="C1872" t="s">
        <v>1900</v>
      </c>
      <c r="D1872" s="13" t="str">
        <f t="shared" si="241"/>
        <v>18-01</v>
      </c>
      <c r="E1872" s="1">
        <f>_xlfn.IFNA(VLOOKUP('Comp X - Kilter'!B1872,'Kilter Holds'!$P$36:$AB$370,12,0),0)</f>
        <v>9</v>
      </c>
      <c r="G1872" s="2">
        <f t="shared" si="244"/>
        <v>0</v>
      </c>
      <c r="H1872" s="2">
        <f t="shared" si="245"/>
        <v>0</v>
      </c>
    </row>
    <row r="1873" spans="2:8">
      <c r="B1873" t="s">
        <v>1899</v>
      </c>
      <c r="C1873" t="s">
        <v>1900</v>
      </c>
      <c r="D1873" s="12" t="str">
        <f t="shared" si="241"/>
        <v>12-01</v>
      </c>
      <c r="E1873" s="1">
        <f>_xlfn.IFNA(VLOOKUP('Comp X - Kilter'!B1873,'Kilter Holds'!$P$36:$AB$370,13,0),0)</f>
        <v>0</v>
      </c>
      <c r="G1873" s="2">
        <f t="shared" si="244"/>
        <v>0</v>
      </c>
      <c r="H1873" s="2">
        <f t="shared" si="245"/>
        <v>0</v>
      </c>
    </row>
    <row r="1874" spans="2:8">
      <c r="B1874" s="3" t="s">
        <v>1852</v>
      </c>
      <c r="C1874" s="3" t="s">
        <v>1853</v>
      </c>
      <c r="D1874" s="5" t="str">
        <f t="shared" ref="D1874:D1882" si="246">D1793</f>
        <v>11-12</v>
      </c>
      <c r="E1874" s="1">
        <f>_xlfn.IFNA(VLOOKUP('Comp X - Kilter'!B1874,'Kilter Holds'!$P$36:$AB$370,5,0),0)</f>
        <v>5</v>
      </c>
      <c r="G1874" s="2">
        <f t="shared" si="242"/>
        <v>0</v>
      </c>
      <c r="H1874" s="2">
        <f t="shared" si="243"/>
        <v>0</v>
      </c>
    </row>
    <row r="1875" spans="2:8">
      <c r="B1875" s="3" t="s">
        <v>1852</v>
      </c>
      <c r="C1875" s="3" t="s">
        <v>1853</v>
      </c>
      <c r="D1875" s="6" t="str">
        <f t="shared" si="246"/>
        <v>14-01</v>
      </c>
      <c r="E1875" s="1">
        <f>_xlfn.IFNA(VLOOKUP('Comp X - Kilter'!B1875,'Kilter Holds'!$P$36:$AB$370,6,0),0)</f>
        <v>0</v>
      </c>
      <c r="G1875" s="2">
        <f t="shared" si="242"/>
        <v>0</v>
      </c>
      <c r="H1875" s="2">
        <f t="shared" si="243"/>
        <v>0</v>
      </c>
    </row>
    <row r="1876" spans="2:8">
      <c r="B1876" s="3" t="s">
        <v>1852</v>
      </c>
      <c r="C1876" s="3" t="s">
        <v>1853</v>
      </c>
      <c r="D1876" s="7" t="str">
        <f t="shared" si="246"/>
        <v>15-12</v>
      </c>
      <c r="E1876" s="1">
        <f>_xlfn.IFNA(VLOOKUP('Comp X - Kilter'!B1876,'Kilter Holds'!$P$36:$AB$370,7,0),0)</f>
        <v>4</v>
      </c>
      <c r="G1876" s="2">
        <f t="shared" si="242"/>
        <v>0</v>
      </c>
      <c r="H1876" s="2">
        <f t="shared" si="243"/>
        <v>0</v>
      </c>
    </row>
    <row r="1877" spans="2:8">
      <c r="B1877" s="3" t="s">
        <v>1852</v>
      </c>
      <c r="C1877" s="3" t="s">
        <v>1853</v>
      </c>
      <c r="D1877" s="8" t="str">
        <f t="shared" si="246"/>
        <v>16-16</v>
      </c>
      <c r="E1877" s="1">
        <f>_xlfn.IFNA(VLOOKUP('Comp X - Kilter'!B1877,'Kilter Holds'!$P$36:$AB$370,8,0),0)</f>
        <v>1</v>
      </c>
      <c r="G1877" s="2">
        <f t="shared" si="242"/>
        <v>0</v>
      </c>
      <c r="H1877" s="2">
        <f t="shared" si="243"/>
        <v>0</v>
      </c>
    </row>
    <row r="1878" spans="2:8">
      <c r="B1878" s="3" t="s">
        <v>1852</v>
      </c>
      <c r="C1878" s="3" t="s">
        <v>1853</v>
      </c>
      <c r="D1878" s="9" t="str">
        <f t="shared" si="246"/>
        <v>13-01</v>
      </c>
      <c r="E1878" s="1">
        <f>_xlfn.IFNA(VLOOKUP('Comp X - Kilter'!B1878,'Kilter Holds'!$P$36:$AB$370,9,0),0)</f>
        <v>4</v>
      </c>
      <c r="G1878" s="2">
        <f t="shared" si="242"/>
        <v>0</v>
      </c>
      <c r="H1878" s="2">
        <f t="shared" si="243"/>
        <v>0</v>
      </c>
    </row>
    <row r="1879" spans="2:8">
      <c r="B1879" s="3" t="s">
        <v>1852</v>
      </c>
      <c r="C1879" s="3" t="s">
        <v>1853</v>
      </c>
      <c r="D1879" s="10" t="str">
        <f t="shared" si="246"/>
        <v>07-13</v>
      </c>
      <c r="E1879" s="1">
        <f>_xlfn.IFNA(VLOOKUP('Comp X - Kilter'!B1879,'Kilter Holds'!$P$36:$AB$370,10,0),0)</f>
        <v>0</v>
      </c>
      <c r="G1879" s="2">
        <f t="shared" si="242"/>
        <v>0</v>
      </c>
      <c r="H1879" s="2">
        <f t="shared" si="243"/>
        <v>0</v>
      </c>
    </row>
    <row r="1880" spans="2:8">
      <c r="B1880" s="3" t="s">
        <v>1852</v>
      </c>
      <c r="C1880" s="3" t="s">
        <v>1853</v>
      </c>
      <c r="D1880" s="11" t="str">
        <f t="shared" si="246"/>
        <v>11-25</v>
      </c>
      <c r="E1880" s="1">
        <f>_xlfn.IFNA(VLOOKUP('Comp X - Kilter'!B1880,'Kilter Holds'!$P$36:$AB$370,11,0),0)</f>
        <v>0</v>
      </c>
      <c r="G1880" s="2">
        <f t="shared" si="242"/>
        <v>0</v>
      </c>
      <c r="H1880" s="2">
        <f t="shared" si="243"/>
        <v>0</v>
      </c>
    </row>
    <row r="1881" spans="2:8">
      <c r="B1881" s="3" t="s">
        <v>1852</v>
      </c>
      <c r="C1881" s="3" t="s">
        <v>1853</v>
      </c>
      <c r="D1881" s="13" t="str">
        <f t="shared" si="246"/>
        <v>18-01</v>
      </c>
      <c r="E1881" s="1">
        <f>_xlfn.IFNA(VLOOKUP('Comp X - Kilter'!B1881,'Kilter Holds'!$P$36:$AB$370,12,0),0)</f>
        <v>6</v>
      </c>
      <c r="G1881" s="2">
        <f t="shared" si="242"/>
        <v>0</v>
      </c>
      <c r="H1881" s="2">
        <f t="shared" si="243"/>
        <v>0</v>
      </c>
    </row>
    <row r="1882" spans="2:8">
      <c r="B1882" s="3" t="s">
        <v>1852</v>
      </c>
      <c r="C1882" s="3" t="s">
        <v>1853</v>
      </c>
      <c r="D1882" s="12" t="str">
        <f t="shared" si="246"/>
        <v>12-01</v>
      </c>
      <c r="E1882" s="1">
        <f>_xlfn.IFNA(VLOOKUP('Comp X - Kilter'!B1882,'Kilter Holds'!$P$36:$AB$370,13,0),0)</f>
        <v>1</v>
      </c>
      <c r="G1882" s="2">
        <f t="shared" si="242"/>
        <v>0</v>
      </c>
      <c r="H1882" s="2">
        <f t="shared" si="243"/>
        <v>0</v>
      </c>
    </row>
    <row r="1883" spans="2:8">
      <c r="B1883" s="3" t="s">
        <v>1734</v>
      </c>
      <c r="C1883" s="3" t="s">
        <v>1735</v>
      </c>
      <c r="D1883" s="5" t="str">
        <f t="shared" ref="D1883:D1891" si="247">D1793</f>
        <v>11-12</v>
      </c>
      <c r="E1883" s="1">
        <f>_xlfn.IFNA(VLOOKUP('Comp X - Kilter'!B1883,'Kilter Holds'!$P$36:$AB$370,5,0),0)</f>
        <v>5</v>
      </c>
      <c r="G1883" s="2">
        <f t="shared" ref="G1883:G1891" si="248">E1883*F1883</f>
        <v>0</v>
      </c>
      <c r="H1883" s="2">
        <f t="shared" ref="H1883:H1891" si="249">IF($S$11="Y",G1883*0.15,0)</f>
        <v>0</v>
      </c>
    </row>
    <row r="1884" spans="2:8">
      <c r="B1884" s="3" t="s">
        <v>1734</v>
      </c>
      <c r="C1884" s="3" t="s">
        <v>1735</v>
      </c>
      <c r="D1884" s="6" t="str">
        <f t="shared" si="247"/>
        <v>14-01</v>
      </c>
      <c r="E1884" s="1">
        <f>_xlfn.IFNA(VLOOKUP('Comp X - Kilter'!B1884,'Kilter Holds'!$P$36:$AB$370,6,0),0)</f>
        <v>0</v>
      </c>
      <c r="G1884" s="2">
        <f t="shared" si="248"/>
        <v>0</v>
      </c>
      <c r="H1884" s="2">
        <f t="shared" si="249"/>
        <v>0</v>
      </c>
    </row>
    <row r="1885" spans="2:8">
      <c r="B1885" s="3" t="s">
        <v>1734</v>
      </c>
      <c r="C1885" s="3" t="s">
        <v>1735</v>
      </c>
      <c r="D1885" s="7" t="str">
        <f t="shared" si="247"/>
        <v>15-12</v>
      </c>
      <c r="E1885" s="1">
        <f>_xlfn.IFNA(VLOOKUP('Comp X - Kilter'!B1885,'Kilter Holds'!$P$36:$AB$370,7,0),0)</f>
        <v>5</v>
      </c>
      <c r="G1885" s="2">
        <f t="shared" si="248"/>
        <v>0</v>
      </c>
      <c r="H1885" s="2">
        <f t="shared" si="249"/>
        <v>0</v>
      </c>
    </row>
    <row r="1886" spans="2:8">
      <c r="B1886" s="3" t="s">
        <v>1734</v>
      </c>
      <c r="C1886" s="3" t="s">
        <v>1735</v>
      </c>
      <c r="D1886" s="8" t="str">
        <f t="shared" si="247"/>
        <v>16-16</v>
      </c>
      <c r="E1886" s="1">
        <f>_xlfn.IFNA(VLOOKUP('Comp X - Kilter'!B1886,'Kilter Holds'!$P$36:$AB$370,8,0),0)</f>
        <v>0</v>
      </c>
      <c r="G1886" s="2">
        <f t="shared" si="248"/>
        <v>0</v>
      </c>
      <c r="H1886" s="2">
        <f t="shared" si="249"/>
        <v>0</v>
      </c>
    </row>
    <row r="1887" spans="2:8">
      <c r="B1887" s="3" t="s">
        <v>1734</v>
      </c>
      <c r="C1887" s="3" t="s">
        <v>1735</v>
      </c>
      <c r="D1887" s="9" t="str">
        <f t="shared" si="247"/>
        <v>13-01</v>
      </c>
      <c r="E1887" s="1">
        <f>_xlfn.IFNA(VLOOKUP('Comp X - Kilter'!B1887,'Kilter Holds'!$P$36:$AB$370,9,0),0)</f>
        <v>5</v>
      </c>
      <c r="G1887" s="2">
        <f t="shared" si="248"/>
        <v>0</v>
      </c>
      <c r="H1887" s="2">
        <f t="shared" si="249"/>
        <v>0</v>
      </c>
    </row>
    <row r="1888" spans="2:8">
      <c r="B1888" s="3" t="s">
        <v>1734</v>
      </c>
      <c r="C1888" s="3" t="s">
        <v>1735</v>
      </c>
      <c r="D1888" s="10" t="str">
        <f t="shared" si="247"/>
        <v>07-13</v>
      </c>
      <c r="E1888" s="1">
        <f>_xlfn.IFNA(VLOOKUP('Comp X - Kilter'!B1888,'Kilter Holds'!$P$36:$AB$370,10,0),0)</f>
        <v>0</v>
      </c>
      <c r="G1888" s="2">
        <f t="shared" si="248"/>
        <v>0</v>
      </c>
      <c r="H1888" s="2">
        <f t="shared" si="249"/>
        <v>0</v>
      </c>
    </row>
    <row r="1889" spans="2:8">
      <c r="B1889" s="3" t="s">
        <v>1734</v>
      </c>
      <c r="C1889" s="3" t="s">
        <v>1735</v>
      </c>
      <c r="D1889" s="11" t="str">
        <f t="shared" si="247"/>
        <v>11-25</v>
      </c>
      <c r="E1889" s="1">
        <f>_xlfn.IFNA(VLOOKUP('Comp X - Kilter'!B1889,'Kilter Holds'!$P$36:$AB$370,11,0),0)</f>
        <v>0</v>
      </c>
      <c r="G1889" s="2">
        <f t="shared" si="248"/>
        <v>0</v>
      </c>
      <c r="H1889" s="2">
        <f t="shared" si="249"/>
        <v>0</v>
      </c>
    </row>
    <row r="1890" spans="2:8">
      <c r="B1890" s="3" t="s">
        <v>1734</v>
      </c>
      <c r="C1890" s="3" t="s">
        <v>1735</v>
      </c>
      <c r="D1890" s="13" t="str">
        <f t="shared" si="247"/>
        <v>18-01</v>
      </c>
      <c r="E1890" s="1">
        <f>_xlfn.IFNA(VLOOKUP('Comp X - Kilter'!B1890,'Kilter Holds'!$P$36:$AB$370,12,0),0)</f>
        <v>7</v>
      </c>
      <c r="G1890" s="2">
        <f t="shared" si="248"/>
        <v>0</v>
      </c>
      <c r="H1890" s="2">
        <f t="shared" si="249"/>
        <v>0</v>
      </c>
    </row>
    <row r="1891" spans="2:8">
      <c r="B1891" s="3" t="s">
        <v>1734</v>
      </c>
      <c r="C1891" s="3" t="s">
        <v>1735</v>
      </c>
      <c r="D1891" s="12" t="str">
        <f t="shared" si="247"/>
        <v>12-01</v>
      </c>
      <c r="E1891" s="1">
        <f>_xlfn.IFNA(VLOOKUP('Comp X - Kilter'!B1891,'Kilter Holds'!$P$36:$AB$370,13,0),0)</f>
        <v>0</v>
      </c>
      <c r="G1891" s="2">
        <f t="shared" si="248"/>
        <v>0</v>
      </c>
      <c r="H1891" s="2">
        <f t="shared" si="249"/>
        <v>0</v>
      </c>
    </row>
    <row r="1892" spans="2:8">
      <c r="B1892" s="3" t="s">
        <v>1705</v>
      </c>
      <c r="C1892" s="3" t="s">
        <v>1706</v>
      </c>
      <c r="D1892" s="5" t="str">
        <f t="shared" ref="D1892:D1936" si="250">D1793</f>
        <v>11-12</v>
      </c>
      <c r="E1892" s="1">
        <f>_xlfn.IFNA(VLOOKUP('Comp X - Kilter'!B1892,'Kilter Holds'!$P$36:$AB$370,5,0),0)</f>
        <v>5</v>
      </c>
      <c r="G1892" s="2">
        <f t="shared" si="239"/>
        <v>0</v>
      </c>
      <c r="H1892" s="2">
        <f t="shared" si="240"/>
        <v>0</v>
      </c>
    </row>
    <row r="1893" spans="2:8">
      <c r="B1893" s="3" t="s">
        <v>1705</v>
      </c>
      <c r="C1893" s="3" t="s">
        <v>1706</v>
      </c>
      <c r="D1893" s="6" t="str">
        <f t="shared" si="250"/>
        <v>14-01</v>
      </c>
      <c r="E1893" s="1">
        <f>_xlfn.IFNA(VLOOKUP('Comp X - Kilter'!B1893,'Kilter Holds'!$P$36:$AB$370,6,0),0)</f>
        <v>0</v>
      </c>
      <c r="G1893" s="2">
        <f t="shared" si="239"/>
        <v>0</v>
      </c>
      <c r="H1893" s="2">
        <f t="shared" si="240"/>
        <v>0</v>
      </c>
    </row>
    <row r="1894" spans="2:8">
      <c r="B1894" s="3" t="s">
        <v>1705</v>
      </c>
      <c r="C1894" s="3" t="s">
        <v>1706</v>
      </c>
      <c r="D1894" s="7" t="str">
        <f t="shared" si="250"/>
        <v>15-12</v>
      </c>
      <c r="E1894" s="1">
        <f>_xlfn.IFNA(VLOOKUP('Comp X - Kilter'!B1894,'Kilter Holds'!$P$36:$AB$370,7,0),0)</f>
        <v>6</v>
      </c>
      <c r="G1894" s="2">
        <f t="shared" si="239"/>
        <v>0</v>
      </c>
      <c r="H1894" s="2">
        <f t="shared" si="240"/>
        <v>0</v>
      </c>
    </row>
    <row r="1895" spans="2:8">
      <c r="B1895" s="3" t="s">
        <v>1705</v>
      </c>
      <c r="C1895" s="3" t="s">
        <v>1706</v>
      </c>
      <c r="D1895" s="8" t="str">
        <f t="shared" si="250"/>
        <v>16-16</v>
      </c>
      <c r="E1895" s="1">
        <f>_xlfn.IFNA(VLOOKUP('Comp X - Kilter'!B1895,'Kilter Holds'!$P$36:$AB$370,8,0),0)</f>
        <v>0</v>
      </c>
      <c r="G1895" s="2">
        <f t="shared" si="239"/>
        <v>0</v>
      </c>
      <c r="H1895" s="2">
        <f t="shared" si="240"/>
        <v>0</v>
      </c>
    </row>
    <row r="1896" spans="2:8">
      <c r="B1896" s="3" t="s">
        <v>1705</v>
      </c>
      <c r="C1896" s="3" t="s">
        <v>1706</v>
      </c>
      <c r="D1896" s="9" t="str">
        <f t="shared" si="250"/>
        <v>13-01</v>
      </c>
      <c r="E1896" s="1">
        <f>_xlfn.IFNA(VLOOKUP('Comp X - Kilter'!B1896,'Kilter Holds'!$P$36:$AB$370,9,0),0)</f>
        <v>3</v>
      </c>
      <c r="G1896" s="2">
        <f t="shared" si="239"/>
        <v>0</v>
      </c>
      <c r="H1896" s="2">
        <f t="shared" si="240"/>
        <v>0</v>
      </c>
    </row>
    <row r="1897" spans="2:8">
      <c r="B1897" s="3" t="s">
        <v>1705</v>
      </c>
      <c r="C1897" s="3" t="s">
        <v>1706</v>
      </c>
      <c r="D1897" s="10" t="str">
        <f t="shared" si="250"/>
        <v>07-13</v>
      </c>
      <c r="E1897" s="1">
        <f>_xlfn.IFNA(VLOOKUP('Comp X - Kilter'!B1897,'Kilter Holds'!$P$36:$AB$370,10,0),0)</f>
        <v>0</v>
      </c>
      <c r="G1897" s="2">
        <f t="shared" si="239"/>
        <v>0</v>
      </c>
      <c r="H1897" s="2">
        <f t="shared" si="240"/>
        <v>0</v>
      </c>
    </row>
    <row r="1898" spans="2:8">
      <c r="B1898" s="3" t="s">
        <v>1705</v>
      </c>
      <c r="C1898" s="3" t="s">
        <v>1706</v>
      </c>
      <c r="D1898" s="11" t="str">
        <f t="shared" si="250"/>
        <v>11-25</v>
      </c>
      <c r="E1898" s="1">
        <f>_xlfn.IFNA(VLOOKUP('Comp X - Kilter'!B1898,'Kilter Holds'!$P$36:$AB$370,11,0),0)</f>
        <v>0</v>
      </c>
      <c r="G1898" s="2">
        <f t="shared" si="239"/>
        <v>0</v>
      </c>
      <c r="H1898" s="2">
        <f t="shared" si="240"/>
        <v>0</v>
      </c>
    </row>
    <row r="1899" spans="2:8">
      <c r="B1899" s="3" t="s">
        <v>1705</v>
      </c>
      <c r="C1899" s="3" t="s">
        <v>1706</v>
      </c>
      <c r="D1899" s="13" t="str">
        <f t="shared" si="250"/>
        <v>18-01</v>
      </c>
      <c r="E1899" s="1">
        <f>_xlfn.IFNA(VLOOKUP('Comp X - Kilter'!B1899,'Kilter Holds'!$P$36:$AB$370,12,0),0)</f>
        <v>7</v>
      </c>
      <c r="G1899" s="2">
        <f t="shared" si="239"/>
        <v>0</v>
      </c>
      <c r="H1899" s="2">
        <f t="shared" si="240"/>
        <v>0</v>
      </c>
    </row>
    <row r="1900" spans="2:8">
      <c r="B1900" s="3" t="s">
        <v>1705</v>
      </c>
      <c r="C1900" s="3" t="s">
        <v>1706</v>
      </c>
      <c r="D1900" s="12" t="str">
        <f t="shared" si="250"/>
        <v>12-01</v>
      </c>
      <c r="E1900" s="1">
        <f>_xlfn.IFNA(VLOOKUP('Comp X - Kilter'!B1900,'Kilter Holds'!$P$36:$AB$370,13,0),0)</f>
        <v>0</v>
      </c>
      <c r="G1900" s="2">
        <f t="shared" si="239"/>
        <v>0</v>
      </c>
      <c r="H1900" s="2">
        <f t="shared" si="240"/>
        <v>0</v>
      </c>
    </row>
    <row r="1901" spans="2:8">
      <c r="B1901" s="3" t="s">
        <v>1798</v>
      </c>
      <c r="C1901" s="3" t="s">
        <v>1799</v>
      </c>
      <c r="D1901" s="5" t="str">
        <f t="shared" si="250"/>
        <v>11-12</v>
      </c>
      <c r="E1901" s="1">
        <f>_xlfn.IFNA(VLOOKUP('Comp X - Kilter'!B1901,'Kilter Holds'!$P$36:$AB$370,5,0),0)</f>
        <v>5</v>
      </c>
      <c r="G1901" s="2">
        <f t="shared" ref="G1901:G1954" si="251">E1901*F1901</f>
        <v>0</v>
      </c>
      <c r="H1901" s="2">
        <f t="shared" ref="H1901:H1954" si="252">IF($S$11="Y",G1901*0.15,0)</f>
        <v>0</v>
      </c>
    </row>
    <row r="1902" spans="2:8">
      <c r="B1902" s="3" t="s">
        <v>1798</v>
      </c>
      <c r="C1902" s="3" t="s">
        <v>1799</v>
      </c>
      <c r="D1902" s="6" t="str">
        <f t="shared" si="250"/>
        <v>14-01</v>
      </c>
      <c r="E1902" s="1">
        <f>_xlfn.IFNA(VLOOKUP('Comp X - Kilter'!B1902,'Kilter Holds'!$P$36:$AB$370,6,0),0)</f>
        <v>0</v>
      </c>
      <c r="G1902" s="2">
        <f t="shared" si="251"/>
        <v>0</v>
      </c>
      <c r="H1902" s="2">
        <f t="shared" si="252"/>
        <v>0</v>
      </c>
    </row>
    <row r="1903" spans="2:8">
      <c r="B1903" s="3" t="s">
        <v>1798</v>
      </c>
      <c r="C1903" s="3" t="s">
        <v>1799</v>
      </c>
      <c r="D1903" s="7" t="str">
        <f t="shared" si="250"/>
        <v>15-12</v>
      </c>
      <c r="E1903" s="1">
        <f>_xlfn.IFNA(VLOOKUP('Comp X - Kilter'!B1903,'Kilter Holds'!$P$36:$AB$370,7,0),0)</f>
        <v>5</v>
      </c>
      <c r="G1903" s="2">
        <f t="shared" si="251"/>
        <v>0</v>
      </c>
      <c r="H1903" s="2">
        <f t="shared" si="252"/>
        <v>0</v>
      </c>
    </row>
    <row r="1904" spans="2:8">
      <c r="B1904" s="3" t="s">
        <v>1798</v>
      </c>
      <c r="C1904" s="3" t="s">
        <v>1799</v>
      </c>
      <c r="D1904" s="8" t="str">
        <f t="shared" si="250"/>
        <v>16-16</v>
      </c>
      <c r="E1904" s="1">
        <f>_xlfn.IFNA(VLOOKUP('Comp X - Kilter'!B1904,'Kilter Holds'!$P$36:$AB$370,8,0),0)</f>
        <v>0</v>
      </c>
      <c r="G1904" s="2">
        <f t="shared" si="251"/>
        <v>0</v>
      </c>
      <c r="H1904" s="2">
        <f t="shared" si="252"/>
        <v>0</v>
      </c>
    </row>
    <row r="1905" spans="2:8">
      <c r="B1905" s="3" t="s">
        <v>1798</v>
      </c>
      <c r="C1905" s="3" t="s">
        <v>1799</v>
      </c>
      <c r="D1905" s="9" t="str">
        <f t="shared" si="250"/>
        <v>13-01</v>
      </c>
      <c r="E1905" s="1">
        <f>_xlfn.IFNA(VLOOKUP('Comp X - Kilter'!B1905,'Kilter Holds'!$P$36:$AB$370,9,0),0)</f>
        <v>5</v>
      </c>
      <c r="G1905" s="2">
        <f t="shared" si="251"/>
        <v>0</v>
      </c>
      <c r="H1905" s="2">
        <f t="shared" si="252"/>
        <v>0</v>
      </c>
    </row>
    <row r="1906" spans="2:8">
      <c r="B1906" s="3" t="s">
        <v>1798</v>
      </c>
      <c r="C1906" s="3" t="s">
        <v>1799</v>
      </c>
      <c r="D1906" s="10" t="str">
        <f t="shared" si="250"/>
        <v>07-13</v>
      </c>
      <c r="E1906" s="1">
        <f>_xlfn.IFNA(VLOOKUP('Comp X - Kilter'!B1906,'Kilter Holds'!$P$36:$AB$370,10,0),0)</f>
        <v>0</v>
      </c>
      <c r="G1906" s="2">
        <f t="shared" si="251"/>
        <v>0</v>
      </c>
      <c r="H1906" s="2">
        <f t="shared" si="252"/>
        <v>0</v>
      </c>
    </row>
    <row r="1907" spans="2:8">
      <c r="B1907" s="3" t="s">
        <v>1798</v>
      </c>
      <c r="C1907" s="3" t="s">
        <v>1799</v>
      </c>
      <c r="D1907" s="11" t="str">
        <f t="shared" si="250"/>
        <v>11-25</v>
      </c>
      <c r="E1907" s="1">
        <f>_xlfn.IFNA(VLOOKUP('Comp X - Kilter'!B1907,'Kilter Holds'!$P$36:$AB$370,11,0),0)</f>
        <v>0</v>
      </c>
      <c r="G1907" s="2">
        <f t="shared" si="251"/>
        <v>0</v>
      </c>
      <c r="H1907" s="2">
        <f t="shared" si="252"/>
        <v>0</v>
      </c>
    </row>
    <row r="1908" spans="2:8">
      <c r="B1908" s="3" t="s">
        <v>1798</v>
      </c>
      <c r="C1908" s="3" t="s">
        <v>1799</v>
      </c>
      <c r="D1908" s="13" t="str">
        <f t="shared" si="250"/>
        <v>18-01</v>
      </c>
      <c r="E1908" s="1">
        <f>_xlfn.IFNA(VLOOKUP('Comp X - Kilter'!B1908,'Kilter Holds'!$P$36:$AB$370,12,0),0)</f>
        <v>9</v>
      </c>
      <c r="G1908" s="2">
        <f t="shared" si="251"/>
        <v>0</v>
      </c>
      <c r="H1908" s="2">
        <f t="shared" si="252"/>
        <v>0</v>
      </c>
    </row>
    <row r="1909" spans="2:8">
      <c r="B1909" s="3" t="s">
        <v>1798</v>
      </c>
      <c r="C1909" s="3" t="s">
        <v>1799</v>
      </c>
      <c r="D1909" s="12" t="str">
        <f t="shared" si="250"/>
        <v>12-01</v>
      </c>
      <c r="E1909" s="1">
        <f>_xlfn.IFNA(VLOOKUP('Comp X - Kilter'!B1909,'Kilter Holds'!$P$36:$AB$370,13,0),0)</f>
        <v>1</v>
      </c>
      <c r="G1909" s="2">
        <f t="shared" si="251"/>
        <v>0</v>
      </c>
      <c r="H1909" s="2">
        <f t="shared" si="252"/>
        <v>0</v>
      </c>
    </row>
    <row r="1910" spans="2:8">
      <c r="B1910" s="3" t="s">
        <v>1963</v>
      </c>
      <c r="C1910" s="3" t="s">
        <v>1964</v>
      </c>
      <c r="D1910" s="5" t="str">
        <f t="shared" si="250"/>
        <v>11-12</v>
      </c>
      <c r="E1910" s="1">
        <f>_xlfn.IFNA(VLOOKUP('Comp X - Kilter'!B1910,'Kilter Holds'!$P$36:$AB$370,5,0),0)</f>
        <v>6</v>
      </c>
      <c r="G1910" s="2">
        <f t="shared" ref="G1910:G1945" si="253">E1910*F1910</f>
        <v>0</v>
      </c>
      <c r="H1910" s="2">
        <f t="shared" ref="H1910:H1945" si="254">IF($S$11="Y",G1910*0.15,0)</f>
        <v>0</v>
      </c>
    </row>
    <row r="1911" spans="2:8">
      <c r="B1911" s="3" t="s">
        <v>1963</v>
      </c>
      <c r="C1911" s="3" t="s">
        <v>1964</v>
      </c>
      <c r="D1911" s="6" t="str">
        <f t="shared" si="250"/>
        <v>14-01</v>
      </c>
      <c r="E1911" s="1">
        <f>_xlfn.IFNA(VLOOKUP('Comp X - Kilter'!B1911,'Kilter Holds'!$P$36:$AB$370,6,0),0)</f>
        <v>0</v>
      </c>
      <c r="G1911" s="2">
        <f t="shared" si="253"/>
        <v>0</v>
      </c>
      <c r="H1911" s="2">
        <f t="shared" si="254"/>
        <v>0</v>
      </c>
    </row>
    <row r="1912" spans="2:8">
      <c r="B1912" s="3" t="s">
        <v>1963</v>
      </c>
      <c r="C1912" s="3" t="s">
        <v>1964</v>
      </c>
      <c r="D1912" s="7" t="str">
        <f t="shared" si="250"/>
        <v>15-12</v>
      </c>
      <c r="E1912" s="1">
        <f>_xlfn.IFNA(VLOOKUP('Comp X - Kilter'!B1912,'Kilter Holds'!$P$36:$AB$370,7,0),0)</f>
        <v>8</v>
      </c>
      <c r="G1912" s="2">
        <f t="shared" si="253"/>
        <v>0</v>
      </c>
      <c r="H1912" s="2">
        <f t="shared" si="254"/>
        <v>0</v>
      </c>
    </row>
    <row r="1913" spans="2:8">
      <c r="B1913" s="3" t="s">
        <v>1963</v>
      </c>
      <c r="C1913" s="3" t="s">
        <v>1964</v>
      </c>
      <c r="D1913" s="8" t="str">
        <f t="shared" si="250"/>
        <v>16-16</v>
      </c>
      <c r="E1913" s="1">
        <f>_xlfn.IFNA(VLOOKUP('Comp X - Kilter'!B1913,'Kilter Holds'!$P$36:$AB$370,8,0),0)</f>
        <v>0</v>
      </c>
      <c r="G1913" s="2">
        <f t="shared" si="253"/>
        <v>0</v>
      </c>
      <c r="H1913" s="2">
        <f t="shared" si="254"/>
        <v>0</v>
      </c>
    </row>
    <row r="1914" spans="2:8">
      <c r="B1914" s="3" t="s">
        <v>1963</v>
      </c>
      <c r="C1914" s="3" t="s">
        <v>1964</v>
      </c>
      <c r="D1914" s="9" t="str">
        <f t="shared" si="250"/>
        <v>13-01</v>
      </c>
      <c r="E1914" s="1">
        <f>_xlfn.IFNA(VLOOKUP('Comp X - Kilter'!B1914,'Kilter Holds'!$P$36:$AB$370,9,0),0)</f>
        <v>5</v>
      </c>
      <c r="G1914" s="2">
        <f t="shared" si="253"/>
        <v>0</v>
      </c>
      <c r="H1914" s="2">
        <f t="shared" si="254"/>
        <v>0</v>
      </c>
    </row>
    <row r="1915" spans="2:8">
      <c r="B1915" s="3" t="s">
        <v>1963</v>
      </c>
      <c r="C1915" s="3" t="s">
        <v>1964</v>
      </c>
      <c r="D1915" s="10" t="str">
        <f t="shared" si="250"/>
        <v>07-13</v>
      </c>
      <c r="E1915" s="1">
        <f>_xlfn.IFNA(VLOOKUP('Comp X - Kilter'!B1915,'Kilter Holds'!$P$36:$AB$370,10,0),0)</f>
        <v>0</v>
      </c>
      <c r="G1915" s="2">
        <f t="shared" si="253"/>
        <v>0</v>
      </c>
      <c r="H1915" s="2">
        <f t="shared" si="254"/>
        <v>0</v>
      </c>
    </row>
    <row r="1916" spans="2:8">
      <c r="B1916" s="3" t="s">
        <v>1963</v>
      </c>
      <c r="C1916" s="3" t="s">
        <v>1964</v>
      </c>
      <c r="D1916" s="11" t="str">
        <f t="shared" si="250"/>
        <v>11-25</v>
      </c>
      <c r="E1916" s="1">
        <f>_xlfn.IFNA(VLOOKUP('Comp X - Kilter'!B1916,'Kilter Holds'!$P$36:$AB$370,11,0),0)</f>
        <v>0</v>
      </c>
      <c r="G1916" s="2">
        <f t="shared" si="253"/>
        <v>0</v>
      </c>
      <c r="H1916" s="2">
        <f t="shared" si="254"/>
        <v>0</v>
      </c>
    </row>
    <row r="1917" spans="2:8">
      <c r="B1917" s="3" t="s">
        <v>1963</v>
      </c>
      <c r="C1917" s="3" t="s">
        <v>1964</v>
      </c>
      <c r="D1917" s="13" t="str">
        <f t="shared" si="250"/>
        <v>18-01</v>
      </c>
      <c r="E1917" s="1">
        <f>_xlfn.IFNA(VLOOKUP('Comp X - Kilter'!B1917,'Kilter Holds'!$P$36:$AB$370,12,0),0)</f>
        <v>9</v>
      </c>
      <c r="G1917" s="2">
        <f t="shared" si="253"/>
        <v>0</v>
      </c>
      <c r="H1917" s="2">
        <f t="shared" si="254"/>
        <v>0</v>
      </c>
    </row>
    <row r="1918" spans="2:8">
      <c r="B1918" s="3" t="s">
        <v>1963</v>
      </c>
      <c r="C1918" s="3" t="s">
        <v>1964</v>
      </c>
      <c r="D1918" s="12" t="str">
        <f t="shared" si="250"/>
        <v>12-01</v>
      </c>
      <c r="E1918" s="1">
        <f>_xlfn.IFNA(VLOOKUP('Comp X - Kilter'!B1918,'Kilter Holds'!$P$36:$AB$370,13,0),0)</f>
        <v>0</v>
      </c>
      <c r="G1918" s="2">
        <f t="shared" si="253"/>
        <v>0</v>
      </c>
      <c r="H1918" s="2">
        <f t="shared" si="254"/>
        <v>0</v>
      </c>
    </row>
    <row r="1919" spans="2:8">
      <c r="B1919" s="3" t="s">
        <v>2129</v>
      </c>
      <c r="C1919" s="3" t="s">
        <v>2131</v>
      </c>
      <c r="D1919" s="5" t="str">
        <f t="shared" si="250"/>
        <v>11-12</v>
      </c>
      <c r="E1919" s="1">
        <f>_xlfn.IFNA(VLOOKUP('Comp X - Kilter'!B1919,'Kilter Holds'!$P$36:$AB$370,5,0),0)</f>
        <v>5</v>
      </c>
      <c r="G1919" s="2">
        <f t="shared" ref="G1919:G1927" si="255">E1919*F1919</f>
        <v>0</v>
      </c>
      <c r="H1919" s="2">
        <f t="shared" ref="H1919:H1927" si="256">IF($S$11="Y",G1919*0.15,0)</f>
        <v>0</v>
      </c>
    </row>
    <row r="1920" spans="2:8">
      <c r="B1920" s="3" t="s">
        <v>2129</v>
      </c>
      <c r="C1920" s="3" t="s">
        <v>2131</v>
      </c>
      <c r="D1920" s="6" t="str">
        <f t="shared" si="250"/>
        <v>14-01</v>
      </c>
      <c r="E1920" s="1">
        <f>_xlfn.IFNA(VLOOKUP('Comp X - Kilter'!B1920,'Kilter Holds'!$P$36:$AB$370,6,0),0)</f>
        <v>0</v>
      </c>
      <c r="G1920" s="2">
        <f t="shared" si="255"/>
        <v>0</v>
      </c>
      <c r="H1920" s="2">
        <f t="shared" si="256"/>
        <v>0</v>
      </c>
    </row>
    <row r="1921" spans="2:8">
      <c r="B1921" s="3" t="s">
        <v>2129</v>
      </c>
      <c r="C1921" s="3" t="s">
        <v>2131</v>
      </c>
      <c r="D1921" s="7" t="str">
        <f t="shared" si="250"/>
        <v>15-12</v>
      </c>
      <c r="E1921" s="1">
        <f>_xlfn.IFNA(VLOOKUP('Comp X - Kilter'!B1921,'Kilter Holds'!$P$36:$AB$370,7,0),0)</f>
        <v>5</v>
      </c>
      <c r="G1921" s="2">
        <f t="shared" si="255"/>
        <v>0</v>
      </c>
      <c r="H1921" s="2">
        <f t="shared" si="256"/>
        <v>0</v>
      </c>
    </row>
    <row r="1922" spans="2:8">
      <c r="B1922" s="3" t="s">
        <v>2129</v>
      </c>
      <c r="C1922" s="3" t="s">
        <v>2131</v>
      </c>
      <c r="D1922" s="8" t="str">
        <f t="shared" si="250"/>
        <v>16-16</v>
      </c>
      <c r="E1922" s="1">
        <f>_xlfn.IFNA(VLOOKUP('Comp X - Kilter'!B1922,'Kilter Holds'!$P$36:$AB$370,8,0),0)</f>
        <v>0</v>
      </c>
      <c r="G1922" s="2">
        <f t="shared" si="255"/>
        <v>0</v>
      </c>
      <c r="H1922" s="2">
        <f t="shared" si="256"/>
        <v>0</v>
      </c>
    </row>
    <row r="1923" spans="2:8">
      <c r="B1923" s="3" t="s">
        <v>2129</v>
      </c>
      <c r="C1923" s="3" t="s">
        <v>2131</v>
      </c>
      <c r="D1923" s="9" t="str">
        <f t="shared" si="250"/>
        <v>13-01</v>
      </c>
      <c r="E1923" s="1">
        <f>_xlfn.IFNA(VLOOKUP('Comp X - Kilter'!B1923,'Kilter Holds'!$P$36:$AB$370,9,0),0)</f>
        <v>5</v>
      </c>
      <c r="G1923" s="2">
        <f t="shared" si="255"/>
        <v>0</v>
      </c>
      <c r="H1923" s="2">
        <f t="shared" si="256"/>
        <v>0</v>
      </c>
    </row>
    <row r="1924" spans="2:8">
      <c r="B1924" s="3" t="s">
        <v>2129</v>
      </c>
      <c r="C1924" s="3" t="s">
        <v>2131</v>
      </c>
      <c r="D1924" s="10" t="str">
        <f t="shared" si="250"/>
        <v>07-13</v>
      </c>
      <c r="E1924" s="1">
        <f>_xlfn.IFNA(VLOOKUP('Comp X - Kilter'!B1924,'Kilter Holds'!$P$36:$AB$370,10,0),0)</f>
        <v>0</v>
      </c>
      <c r="G1924" s="2">
        <f t="shared" si="255"/>
        <v>0</v>
      </c>
      <c r="H1924" s="2">
        <f t="shared" si="256"/>
        <v>0</v>
      </c>
    </row>
    <row r="1925" spans="2:8">
      <c r="B1925" s="3" t="s">
        <v>2129</v>
      </c>
      <c r="C1925" s="3" t="s">
        <v>2131</v>
      </c>
      <c r="D1925" s="11" t="str">
        <f t="shared" si="250"/>
        <v>11-25</v>
      </c>
      <c r="E1925" s="1">
        <f>_xlfn.IFNA(VLOOKUP('Comp X - Kilter'!B1925,'Kilter Holds'!$P$36:$AB$370,11,0),0)</f>
        <v>0</v>
      </c>
      <c r="G1925" s="2">
        <f t="shared" si="255"/>
        <v>0</v>
      </c>
      <c r="H1925" s="2">
        <f t="shared" si="256"/>
        <v>0</v>
      </c>
    </row>
    <row r="1926" spans="2:8">
      <c r="B1926" s="3" t="s">
        <v>2129</v>
      </c>
      <c r="C1926" s="3" t="s">
        <v>2131</v>
      </c>
      <c r="D1926" s="13" t="str">
        <f t="shared" si="250"/>
        <v>18-01</v>
      </c>
      <c r="E1926" s="1">
        <f>_xlfn.IFNA(VLOOKUP('Comp X - Kilter'!B1926,'Kilter Holds'!$P$36:$AB$370,12,0),0)</f>
        <v>7</v>
      </c>
      <c r="G1926" s="2">
        <f t="shared" si="255"/>
        <v>0</v>
      </c>
      <c r="H1926" s="2">
        <f t="shared" si="256"/>
        <v>0</v>
      </c>
    </row>
    <row r="1927" spans="2:8">
      <c r="B1927" s="3" t="s">
        <v>2129</v>
      </c>
      <c r="C1927" s="3" t="s">
        <v>2131</v>
      </c>
      <c r="D1927" s="12" t="str">
        <f t="shared" si="250"/>
        <v>12-01</v>
      </c>
      <c r="E1927" s="1">
        <f>_xlfn.IFNA(VLOOKUP('Comp X - Kilter'!B1927,'Kilter Holds'!$P$36:$AB$370,13,0),0)</f>
        <v>0</v>
      </c>
      <c r="G1927" s="2">
        <f t="shared" si="255"/>
        <v>0</v>
      </c>
      <c r="H1927" s="2">
        <f t="shared" si="256"/>
        <v>0</v>
      </c>
    </row>
    <row r="1928" spans="2:8">
      <c r="B1928" s="3" t="s">
        <v>3086</v>
      </c>
      <c r="C1928" s="3" t="s">
        <v>3087</v>
      </c>
      <c r="D1928" s="5" t="str">
        <f t="shared" si="250"/>
        <v>11-12</v>
      </c>
      <c r="E1928" s="1">
        <f>_xlfn.IFNA(VLOOKUP('Comp X - Kilter'!B1928,'Kilter Holds'!$P$36:$AB$370,5,0),0)</f>
        <v>0</v>
      </c>
      <c r="G1928" s="2">
        <f t="shared" ref="G1928:G1936" si="257">E1928*F1928</f>
        <v>0</v>
      </c>
      <c r="H1928" s="2">
        <f t="shared" ref="H1928:H1936" si="258">IF($S$11="Y",G1928*0.15,0)</f>
        <v>0</v>
      </c>
    </row>
    <row r="1929" spans="2:8">
      <c r="B1929" s="3" t="s">
        <v>3086</v>
      </c>
      <c r="C1929" s="3" t="s">
        <v>3087</v>
      </c>
      <c r="D1929" s="6" t="str">
        <f t="shared" si="250"/>
        <v>14-01</v>
      </c>
      <c r="E1929" s="1">
        <f>_xlfn.IFNA(VLOOKUP('Comp X - Kilter'!B1929,'Kilter Holds'!$P$36:$AB$370,6,0),0)</f>
        <v>0</v>
      </c>
      <c r="G1929" s="2">
        <f t="shared" si="257"/>
        <v>0</v>
      </c>
      <c r="H1929" s="2">
        <f t="shared" si="258"/>
        <v>0</v>
      </c>
    </row>
    <row r="1930" spans="2:8">
      <c r="B1930" s="3" t="s">
        <v>3086</v>
      </c>
      <c r="C1930" s="3" t="s">
        <v>3087</v>
      </c>
      <c r="D1930" s="7" t="str">
        <f t="shared" si="250"/>
        <v>15-12</v>
      </c>
      <c r="E1930" s="1">
        <f>_xlfn.IFNA(VLOOKUP('Comp X - Kilter'!B1930,'Kilter Holds'!$P$36:$AB$370,7,0),0)</f>
        <v>0</v>
      </c>
      <c r="G1930" s="2">
        <f t="shared" si="257"/>
        <v>0</v>
      </c>
      <c r="H1930" s="2">
        <f t="shared" si="258"/>
        <v>0</v>
      </c>
    </row>
    <row r="1931" spans="2:8">
      <c r="B1931" s="3" t="s">
        <v>3086</v>
      </c>
      <c r="C1931" s="3" t="s">
        <v>3087</v>
      </c>
      <c r="D1931" s="8" t="str">
        <f t="shared" si="250"/>
        <v>16-16</v>
      </c>
      <c r="E1931" s="1">
        <f>_xlfn.IFNA(VLOOKUP('Comp X - Kilter'!B1931,'Kilter Holds'!$P$36:$AB$370,8,0),0)</f>
        <v>0</v>
      </c>
      <c r="G1931" s="2">
        <f t="shared" si="257"/>
        <v>0</v>
      </c>
      <c r="H1931" s="2">
        <f t="shared" si="258"/>
        <v>0</v>
      </c>
    </row>
    <row r="1932" spans="2:8">
      <c r="B1932" s="3" t="s">
        <v>3086</v>
      </c>
      <c r="C1932" s="3" t="s">
        <v>3087</v>
      </c>
      <c r="D1932" s="9" t="str">
        <f t="shared" si="250"/>
        <v>13-01</v>
      </c>
      <c r="E1932" s="1">
        <f>_xlfn.IFNA(VLOOKUP('Comp X - Kilter'!B1932,'Kilter Holds'!$P$36:$AB$370,9,0),0)</f>
        <v>0</v>
      </c>
      <c r="G1932" s="2">
        <f t="shared" si="257"/>
        <v>0</v>
      </c>
      <c r="H1932" s="2">
        <f t="shared" si="258"/>
        <v>0</v>
      </c>
    </row>
    <row r="1933" spans="2:8">
      <c r="B1933" s="3" t="s">
        <v>3086</v>
      </c>
      <c r="C1933" s="3" t="s">
        <v>3087</v>
      </c>
      <c r="D1933" s="10" t="str">
        <f t="shared" si="250"/>
        <v>07-13</v>
      </c>
      <c r="E1933" s="1">
        <f>_xlfn.IFNA(VLOOKUP('Comp X - Kilter'!B1933,'Kilter Holds'!$P$36:$AB$370,10,0),0)</f>
        <v>0</v>
      </c>
      <c r="G1933" s="2">
        <f t="shared" si="257"/>
        <v>0</v>
      </c>
      <c r="H1933" s="2">
        <f t="shared" si="258"/>
        <v>0</v>
      </c>
    </row>
    <row r="1934" spans="2:8">
      <c r="B1934" s="3" t="s">
        <v>3086</v>
      </c>
      <c r="C1934" s="3" t="s">
        <v>3087</v>
      </c>
      <c r="D1934" s="11" t="str">
        <f t="shared" si="250"/>
        <v>11-25</v>
      </c>
      <c r="E1934" s="1">
        <f>_xlfn.IFNA(VLOOKUP('Comp X - Kilter'!B1934,'Kilter Holds'!$P$36:$AB$370,11,0),0)</f>
        <v>0</v>
      </c>
      <c r="G1934" s="2">
        <f t="shared" si="257"/>
        <v>0</v>
      </c>
      <c r="H1934" s="2">
        <f t="shared" si="258"/>
        <v>0</v>
      </c>
    </row>
    <row r="1935" spans="2:8">
      <c r="B1935" s="3" t="s">
        <v>3086</v>
      </c>
      <c r="C1935" s="3" t="s">
        <v>3087</v>
      </c>
      <c r="D1935" s="13" t="str">
        <f t="shared" si="250"/>
        <v>18-01</v>
      </c>
      <c r="E1935" s="1">
        <f>_xlfn.IFNA(VLOOKUP('Comp X - Kilter'!B1935,'Kilter Holds'!$P$36:$AB$370,12,0),0)</f>
        <v>0</v>
      </c>
      <c r="G1935" s="2">
        <f t="shared" si="257"/>
        <v>0</v>
      </c>
      <c r="H1935" s="2">
        <f t="shared" si="258"/>
        <v>0</v>
      </c>
    </row>
    <row r="1936" spans="2:8">
      <c r="B1936" s="3" t="s">
        <v>3086</v>
      </c>
      <c r="C1936" s="3" t="s">
        <v>3087</v>
      </c>
      <c r="D1936" s="12" t="str">
        <f t="shared" si="250"/>
        <v>12-01</v>
      </c>
      <c r="E1936" s="1">
        <f>_xlfn.IFNA(VLOOKUP('Comp X - Kilter'!B1936,'Kilter Holds'!$P$36:$AB$370,13,0),0)</f>
        <v>0</v>
      </c>
      <c r="G1936" s="2">
        <f t="shared" si="257"/>
        <v>0</v>
      </c>
      <c r="H1936" s="2">
        <f t="shared" si="258"/>
        <v>0</v>
      </c>
    </row>
    <row r="1937" spans="2:8">
      <c r="B1937" s="3" t="s">
        <v>1965</v>
      </c>
      <c r="C1937" s="3" t="s">
        <v>1966</v>
      </c>
      <c r="D1937" s="5" t="str">
        <f t="shared" ref="D1937:D1945" si="259">D1820</f>
        <v>11-12</v>
      </c>
      <c r="E1937" s="1">
        <f>_xlfn.IFNA(VLOOKUP('Comp X - Kilter'!B1937,'Kilter Holds'!$P$36:$AB$370,5,0),0)</f>
        <v>4</v>
      </c>
      <c r="G1937" s="2">
        <f t="shared" si="253"/>
        <v>0</v>
      </c>
      <c r="H1937" s="2">
        <f t="shared" si="254"/>
        <v>0</v>
      </c>
    </row>
    <row r="1938" spans="2:8">
      <c r="B1938" s="3" t="s">
        <v>1965</v>
      </c>
      <c r="C1938" s="3" t="s">
        <v>1966</v>
      </c>
      <c r="D1938" s="6" t="str">
        <f t="shared" si="259"/>
        <v>14-01</v>
      </c>
      <c r="E1938" s="1">
        <f>_xlfn.IFNA(VLOOKUP('Comp X - Kilter'!B1938,'Kilter Holds'!$P$36:$AB$370,6,0),0)</f>
        <v>0</v>
      </c>
      <c r="G1938" s="2">
        <f t="shared" si="253"/>
        <v>0</v>
      </c>
      <c r="H1938" s="2">
        <f t="shared" si="254"/>
        <v>0</v>
      </c>
    </row>
    <row r="1939" spans="2:8">
      <c r="B1939" s="3" t="s">
        <v>1965</v>
      </c>
      <c r="C1939" s="3" t="s">
        <v>1966</v>
      </c>
      <c r="D1939" s="7" t="str">
        <f t="shared" si="259"/>
        <v>15-12</v>
      </c>
      <c r="E1939" s="1">
        <f>_xlfn.IFNA(VLOOKUP('Comp X - Kilter'!B1939,'Kilter Holds'!$P$36:$AB$370,7,0),0)</f>
        <v>7</v>
      </c>
      <c r="G1939" s="2">
        <f t="shared" si="253"/>
        <v>0</v>
      </c>
      <c r="H1939" s="2">
        <f t="shared" si="254"/>
        <v>0</v>
      </c>
    </row>
    <row r="1940" spans="2:8">
      <c r="B1940" s="3" t="s">
        <v>1965</v>
      </c>
      <c r="C1940" s="3" t="s">
        <v>1966</v>
      </c>
      <c r="D1940" s="8" t="str">
        <f t="shared" si="259"/>
        <v>16-16</v>
      </c>
      <c r="E1940" s="1">
        <f>_xlfn.IFNA(VLOOKUP('Comp X - Kilter'!B1940,'Kilter Holds'!$P$36:$AB$370,8,0),0)</f>
        <v>0</v>
      </c>
      <c r="G1940" s="2">
        <f t="shared" si="253"/>
        <v>0</v>
      </c>
      <c r="H1940" s="2">
        <f t="shared" si="254"/>
        <v>0</v>
      </c>
    </row>
    <row r="1941" spans="2:8">
      <c r="B1941" s="3" t="s">
        <v>1965</v>
      </c>
      <c r="C1941" s="3" t="s">
        <v>1966</v>
      </c>
      <c r="D1941" s="9" t="str">
        <f t="shared" si="259"/>
        <v>13-01</v>
      </c>
      <c r="E1941" s="1">
        <f>_xlfn.IFNA(VLOOKUP('Comp X - Kilter'!B1941,'Kilter Holds'!$P$36:$AB$370,9,0),0)</f>
        <v>4</v>
      </c>
      <c r="G1941" s="2">
        <f t="shared" si="253"/>
        <v>0</v>
      </c>
      <c r="H1941" s="2">
        <f t="shared" si="254"/>
        <v>0</v>
      </c>
    </row>
    <row r="1942" spans="2:8">
      <c r="B1942" s="3" t="s">
        <v>1965</v>
      </c>
      <c r="C1942" s="3" t="s">
        <v>1966</v>
      </c>
      <c r="D1942" s="10" t="str">
        <f t="shared" si="259"/>
        <v>07-13</v>
      </c>
      <c r="E1942" s="1">
        <f>_xlfn.IFNA(VLOOKUP('Comp X - Kilter'!B1942,'Kilter Holds'!$P$36:$AB$370,10,0),0)</f>
        <v>0</v>
      </c>
      <c r="G1942" s="2">
        <f t="shared" si="253"/>
        <v>0</v>
      </c>
      <c r="H1942" s="2">
        <f t="shared" si="254"/>
        <v>0</v>
      </c>
    </row>
    <row r="1943" spans="2:8">
      <c r="B1943" s="3" t="s">
        <v>1965</v>
      </c>
      <c r="C1943" s="3" t="s">
        <v>1966</v>
      </c>
      <c r="D1943" s="11" t="str">
        <f t="shared" si="259"/>
        <v>11-25</v>
      </c>
      <c r="E1943" s="1">
        <f>_xlfn.IFNA(VLOOKUP('Comp X - Kilter'!B1943,'Kilter Holds'!$P$36:$AB$370,11,0),0)</f>
        <v>0</v>
      </c>
      <c r="G1943" s="2">
        <f t="shared" si="253"/>
        <v>0</v>
      </c>
      <c r="H1943" s="2">
        <f t="shared" si="254"/>
        <v>0</v>
      </c>
    </row>
    <row r="1944" spans="2:8">
      <c r="B1944" s="3" t="s">
        <v>1965</v>
      </c>
      <c r="C1944" s="3" t="s">
        <v>1966</v>
      </c>
      <c r="D1944" s="13" t="str">
        <f t="shared" si="259"/>
        <v>18-01</v>
      </c>
      <c r="E1944" s="1">
        <f>_xlfn.IFNA(VLOOKUP('Comp X - Kilter'!B1944,'Kilter Holds'!$P$36:$AB$370,12,0),0)</f>
        <v>8</v>
      </c>
      <c r="G1944" s="2">
        <f t="shared" si="253"/>
        <v>0</v>
      </c>
      <c r="H1944" s="2">
        <f t="shared" si="254"/>
        <v>0</v>
      </c>
    </row>
    <row r="1945" spans="2:8">
      <c r="B1945" s="3" t="s">
        <v>1965</v>
      </c>
      <c r="C1945" s="3" t="s">
        <v>1966</v>
      </c>
      <c r="D1945" s="12" t="str">
        <f t="shared" si="259"/>
        <v>12-01</v>
      </c>
      <c r="E1945" s="1">
        <f>_xlfn.IFNA(VLOOKUP('Comp X - Kilter'!B1945,'Kilter Holds'!$P$36:$AB$370,13,0),0)</f>
        <v>0</v>
      </c>
      <c r="G1945" s="2">
        <f t="shared" si="253"/>
        <v>0</v>
      </c>
      <c r="H1945" s="2">
        <f t="shared" si="254"/>
        <v>0</v>
      </c>
    </row>
    <row r="1946" spans="2:8">
      <c r="B1946" s="3" t="s">
        <v>1856</v>
      </c>
      <c r="C1946" s="3" t="s">
        <v>1857</v>
      </c>
      <c r="D1946" s="5" t="str">
        <f t="shared" ref="D1946:D1963" si="260">D1793</f>
        <v>11-12</v>
      </c>
      <c r="E1946" s="1">
        <f>_xlfn.IFNA(VLOOKUP('Comp X - Kilter'!B1946,'Kilter Holds'!$P$36:$AB$370,5,0),0)</f>
        <v>4</v>
      </c>
      <c r="G1946" s="2">
        <f t="shared" si="251"/>
        <v>0</v>
      </c>
      <c r="H1946" s="2">
        <f t="shared" si="252"/>
        <v>0</v>
      </c>
    </row>
    <row r="1947" spans="2:8">
      <c r="B1947" s="3" t="s">
        <v>1856</v>
      </c>
      <c r="C1947" s="3" t="s">
        <v>1857</v>
      </c>
      <c r="D1947" s="6" t="str">
        <f t="shared" si="260"/>
        <v>14-01</v>
      </c>
      <c r="E1947" s="1">
        <f>_xlfn.IFNA(VLOOKUP('Comp X - Kilter'!B1947,'Kilter Holds'!$P$36:$AB$370,6,0),0)</f>
        <v>0</v>
      </c>
      <c r="G1947" s="2">
        <f t="shared" si="251"/>
        <v>0</v>
      </c>
      <c r="H1947" s="2">
        <f t="shared" si="252"/>
        <v>0</v>
      </c>
    </row>
    <row r="1948" spans="2:8">
      <c r="B1948" s="3" t="s">
        <v>1856</v>
      </c>
      <c r="C1948" s="3" t="s">
        <v>1857</v>
      </c>
      <c r="D1948" s="7" t="str">
        <f t="shared" si="260"/>
        <v>15-12</v>
      </c>
      <c r="E1948" s="1">
        <f>_xlfn.IFNA(VLOOKUP('Comp X - Kilter'!B1948,'Kilter Holds'!$P$36:$AB$370,7,0),0)</f>
        <v>4</v>
      </c>
      <c r="G1948" s="2">
        <f t="shared" si="251"/>
        <v>0</v>
      </c>
      <c r="H1948" s="2">
        <f t="shared" si="252"/>
        <v>0</v>
      </c>
    </row>
    <row r="1949" spans="2:8">
      <c r="B1949" s="3" t="s">
        <v>1856</v>
      </c>
      <c r="C1949" s="3" t="s">
        <v>1857</v>
      </c>
      <c r="D1949" s="8" t="str">
        <f t="shared" si="260"/>
        <v>16-16</v>
      </c>
      <c r="E1949" s="1">
        <f>_xlfn.IFNA(VLOOKUP('Comp X - Kilter'!B1949,'Kilter Holds'!$P$36:$AB$370,8,0),0)</f>
        <v>0</v>
      </c>
      <c r="G1949" s="2">
        <f t="shared" si="251"/>
        <v>0</v>
      </c>
      <c r="H1949" s="2">
        <f t="shared" si="252"/>
        <v>0</v>
      </c>
    </row>
    <row r="1950" spans="2:8">
      <c r="B1950" s="3" t="s">
        <v>1856</v>
      </c>
      <c r="C1950" s="3" t="s">
        <v>1857</v>
      </c>
      <c r="D1950" s="9" t="str">
        <f t="shared" si="260"/>
        <v>13-01</v>
      </c>
      <c r="E1950" s="1">
        <f>_xlfn.IFNA(VLOOKUP('Comp X - Kilter'!B1950,'Kilter Holds'!$P$36:$AB$370,9,0),0)</f>
        <v>5</v>
      </c>
      <c r="G1950" s="2">
        <f t="shared" si="251"/>
        <v>0</v>
      </c>
      <c r="H1950" s="2">
        <f t="shared" si="252"/>
        <v>0</v>
      </c>
    </row>
    <row r="1951" spans="2:8">
      <c r="B1951" s="3" t="s">
        <v>1856</v>
      </c>
      <c r="C1951" s="3" t="s">
        <v>1857</v>
      </c>
      <c r="D1951" s="10" t="str">
        <f t="shared" si="260"/>
        <v>07-13</v>
      </c>
      <c r="E1951" s="1">
        <f>_xlfn.IFNA(VLOOKUP('Comp X - Kilter'!B1951,'Kilter Holds'!$P$36:$AB$370,10,0),0)</f>
        <v>0</v>
      </c>
      <c r="G1951" s="2">
        <f t="shared" si="251"/>
        <v>0</v>
      </c>
      <c r="H1951" s="2">
        <f t="shared" si="252"/>
        <v>0</v>
      </c>
    </row>
    <row r="1952" spans="2:8">
      <c r="B1952" s="3" t="s">
        <v>1856</v>
      </c>
      <c r="C1952" s="3" t="s">
        <v>1857</v>
      </c>
      <c r="D1952" s="11" t="str">
        <f t="shared" si="260"/>
        <v>11-25</v>
      </c>
      <c r="E1952" s="1">
        <f>_xlfn.IFNA(VLOOKUP('Comp X - Kilter'!B1952,'Kilter Holds'!$P$36:$AB$370,11,0),0)</f>
        <v>0</v>
      </c>
      <c r="G1952" s="2">
        <f t="shared" si="251"/>
        <v>0</v>
      </c>
      <c r="H1952" s="2">
        <f t="shared" si="252"/>
        <v>0</v>
      </c>
    </row>
    <row r="1953" spans="2:8">
      <c r="B1953" s="3" t="s">
        <v>1856</v>
      </c>
      <c r="C1953" s="3" t="s">
        <v>1857</v>
      </c>
      <c r="D1953" s="13" t="str">
        <f t="shared" si="260"/>
        <v>18-01</v>
      </c>
      <c r="E1953" s="1">
        <f>_xlfn.IFNA(VLOOKUP('Comp X - Kilter'!B1953,'Kilter Holds'!$P$36:$AB$370,12,0),0)</f>
        <v>7</v>
      </c>
      <c r="G1953" s="2">
        <f t="shared" si="251"/>
        <v>0</v>
      </c>
      <c r="H1953" s="2">
        <f t="shared" si="252"/>
        <v>0</v>
      </c>
    </row>
    <row r="1954" spans="2:8">
      <c r="B1954" s="3" t="s">
        <v>1856</v>
      </c>
      <c r="C1954" s="3" t="s">
        <v>1857</v>
      </c>
      <c r="D1954" s="12" t="str">
        <f t="shared" si="260"/>
        <v>12-01</v>
      </c>
      <c r="E1954" s="1">
        <f>_xlfn.IFNA(VLOOKUP('Comp X - Kilter'!B1954,'Kilter Holds'!$P$36:$AB$370,13,0),0)</f>
        <v>1</v>
      </c>
      <c r="G1954" s="2">
        <f t="shared" si="251"/>
        <v>0</v>
      </c>
      <c r="H1954" s="2">
        <f t="shared" si="252"/>
        <v>0</v>
      </c>
    </row>
    <row r="1955" spans="2:8">
      <c r="B1955" s="3" t="s">
        <v>1707</v>
      </c>
      <c r="C1955" s="3" t="s">
        <v>1708</v>
      </c>
      <c r="D1955" s="5" t="str">
        <f t="shared" si="260"/>
        <v>11-12</v>
      </c>
      <c r="E1955" s="1">
        <f>_xlfn.IFNA(VLOOKUP('Comp X - Kilter'!B1955,'Kilter Holds'!$P$36:$AB$370,5,0),0)</f>
        <v>6</v>
      </c>
      <c r="G1955" s="2">
        <f t="shared" si="239"/>
        <v>0</v>
      </c>
      <c r="H1955" s="2">
        <f t="shared" si="240"/>
        <v>0</v>
      </c>
    </row>
    <row r="1956" spans="2:8">
      <c r="B1956" s="3" t="s">
        <v>1707</v>
      </c>
      <c r="C1956" s="3" t="s">
        <v>1708</v>
      </c>
      <c r="D1956" s="6" t="str">
        <f t="shared" si="260"/>
        <v>14-01</v>
      </c>
      <c r="E1956" s="1">
        <f>_xlfn.IFNA(VLOOKUP('Comp X - Kilter'!B1956,'Kilter Holds'!$P$36:$AB$370,6,0),0)</f>
        <v>0</v>
      </c>
      <c r="G1956" s="2">
        <f t="shared" si="239"/>
        <v>0</v>
      </c>
      <c r="H1956" s="2">
        <f t="shared" si="240"/>
        <v>0</v>
      </c>
    </row>
    <row r="1957" spans="2:8">
      <c r="B1957" s="3" t="s">
        <v>1707</v>
      </c>
      <c r="C1957" s="3" t="s">
        <v>1708</v>
      </c>
      <c r="D1957" s="7" t="str">
        <f t="shared" si="260"/>
        <v>15-12</v>
      </c>
      <c r="E1957" s="1">
        <f>_xlfn.IFNA(VLOOKUP('Comp X - Kilter'!B1957,'Kilter Holds'!$P$36:$AB$370,7,0),0)</f>
        <v>5</v>
      </c>
      <c r="G1957" s="2">
        <f t="shared" si="239"/>
        <v>0</v>
      </c>
      <c r="H1957" s="2">
        <f t="shared" si="240"/>
        <v>0</v>
      </c>
    </row>
    <row r="1958" spans="2:8">
      <c r="B1958" s="3" t="s">
        <v>1707</v>
      </c>
      <c r="C1958" s="3" t="s">
        <v>1708</v>
      </c>
      <c r="D1958" s="8" t="str">
        <f t="shared" si="260"/>
        <v>16-16</v>
      </c>
      <c r="E1958" s="1">
        <f>_xlfn.IFNA(VLOOKUP('Comp X - Kilter'!B1958,'Kilter Holds'!$P$36:$AB$370,8,0),0)</f>
        <v>0</v>
      </c>
      <c r="G1958" s="2">
        <f t="shared" si="239"/>
        <v>0</v>
      </c>
      <c r="H1958" s="2">
        <f t="shared" si="240"/>
        <v>0</v>
      </c>
    </row>
    <row r="1959" spans="2:8">
      <c r="B1959" s="3" t="s">
        <v>1707</v>
      </c>
      <c r="C1959" s="3" t="s">
        <v>1708</v>
      </c>
      <c r="D1959" s="9" t="str">
        <f t="shared" si="260"/>
        <v>13-01</v>
      </c>
      <c r="E1959" s="1">
        <f>_xlfn.IFNA(VLOOKUP('Comp X - Kilter'!B1959,'Kilter Holds'!$P$36:$AB$370,9,0),0)</f>
        <v>5</v>
      </c>
      <c r="G1959" s="2">
        <f t="shared" si="239"/>
        <v>0</v>
      </c>
      <c r="H1959" s="2">
        <f t="shared" si="240"/>
        <v>0</v>
      </c>
    </row>
    <row r="1960" spans="2:8">
      <c r="B1960" s="3" t="s">
        <v>1707</v>
      </c>
      <c r="C1960" s="3" t="s">
        <v>1708</v>
      </c>
      <c r="D1960" s="10" t="str">
        <f t="shared" si="260"/>
        <v>07-13</v>
      </c>
      <c r="E1960" s="1">
        <f>_xlfn.IFNA(VLOOKUP('Comp X - Kilter'!B1960,'Kilter Holds'!$P$36:$AB$370,10,0),0)</f>
        <v>0</v>
      </c>
      <c r="G1960" s="2">
        <f t="shared" si="239"/>
        <v>0</v>
      </c>
      <c r="H1960" s="2">
        <f t="shared" si="240"/>
        <v>0</v>
      </c>
    </row>
    <row r="1961" spans="2:8">
      <c r="B1961" s="3" t="s">
        <v>1707</v>
      </c>
      <c r="C1961" s="3" t="s">
        <v>1708</v>
      </c>
      <c r="D1961" s="11" t="str">
        <f t="shared" si="260"/>
        <v>11-25</v>
      </c>
      <c r="E1961" s="1">
        <f>_xlfn.IFNA(VLOOKUP('Comp X - Kilter'!B1961,'Kilter Holds'!$P$36:$AB$370,11,0),0)</f>
        <v>0</v>
      </c>
      <c r="G1961" s="2">
        <f t="shared" si="239"/>
        <v>0</v>
      </c>
      <c r="H1961" s="2">
        <f t="shared" si="240"/>
        <v>0</v>
      </c>
    </row>
    <row r="1962" spans="2:8">
      <c r="B1962" s="3" t="s">
        <v>1707</v>
      </c>
      <c r="C1962" s="3" t="s">
        <v>1708</v>
      </c>
      <c r="D1962" s="13" t="str">
        <f t="shared" si="260"/>
        <v>18-01</v>
      </c>
      <c r="E1962" s="1">
        <f>_xlfn.IFNA(VLOOKUP('Comp X - Kilter'!B1962,'Kilter Holds'!$P$36:$AB$370,12,0),0)</f>
        <v>10</v>
      </c>
      <c r="G1962" s="2">
        <f t="shared" si="239"/>
        <v>0</v>
      </c>
      <c r="H1962" s="2">
        <f t="shared" si="240"/>
        <v>0</v>
      </c>
    </row>
    <row r="1963" spans="2:8">
      <c r="B1963" s="3" t="s">
        <v>1707</v>
      </c>
      <c r="C1963" s="3" t="s">
        <v>1708</v>
      </c>
      <c r="D1963" s="12" t="str">
        <f t="shared" si="260"/>
        <v>12-01</v>
      </c>
      <c r="E1963" s="1">
        <f>_xlfn.IFNA(VLOOKUP('Comp X - Kilter'!B1963,'Kilter Holds'!$P$36:$AB$370,13,0),0)</f>
        <v>1</v>
      </c>
      <c r="G1963" s="2">
        <f t="shared" si="239"/>
        <v>0</v>
      </c>
      <c r="H1963" s="2">
        <f t="shared" si="240"/>
        <v>0</v>
      </c>
    </row>
    <row r="1964" spans="2:8">
      <c r="B1964" s="3" t="s">
        <v>1721</v>
      </c>
      <c r="C1964" s="3" t="s">
        <v>1728</v>
      </c>
      <c r="D1964" s="5" t="str">
        <f t="shared" ref="D1964:D1981" si="261">D1838</f>
        <v>11-12</v>
      </c>
      <c r="E1964" s="1">
        <f>_xlfn.IFNA(VLOOKUP('Comp X - Kilter'!B1964,'Kilter Holds'!$P$36:$AB$370,5,0),0)</f>
        <v>6</v>
      </c>
      <c r="G1964" s="2">
        <f t="shared" ref="G1964:G1972" si="262">E1964*F1964</f>
        <v>0</v>
      </c>
      <c r="H1964" s="2">
        <f t="shared" ref="H1964:H1972" si="263">IF($S$11="Y",G1964*0.15,0)</f>
        <v>0</v>
      </c>
    </row>
    <row r="1965" spans="2:8">
      <c r="B1965" s="3" t="s">
        <v>1721</v>
      </c>
      <c r="C1965" s="3" t="s">
        <v>1728</v>
      </c>
      <c r="D1965" s="6" t="str">
        <f t="shared" si="261"/>
        <v>14-01</v>
      </c>
      <c r="E1965" s="1">
        <f>_xlfn.IFNA(VLOOKUP('Comp X - Kilter'!B1965,'Kilter Holds'!$P$36:$AB$370,6,0),0)</f>
        <v>0</v>
      </c>
      <c r="G1965" s="2">
        <f t="shared" si="262"/>
        <v>0</v>
      </c>
      <c r="H1965" s="2">
        <f t="shared" si="263"/>
        <v>0</v>
      </c>
    </row>
    <row r="1966" spans="2:8">
      <c r="B1966" s="3" t="s">
        <v>1721</v>
      </c>
      <c r="C1966" s="3" t="s">
        <v>1728</v>
      </c>
      <c r="D1966" s="7" t="str">
        <f t="shared" si="261"/>
        <v>15-12</v>
      </c>
      <c r="E1966" s="1">
        <f>_xlfn.IFNA(VLOOKUP('Comp X - Kilter'!B1966,'Kilter Holds'!$P$36:$AB$370,7,0),0)</f>
        <v>6</v>
      </c>
      <c r="G1966" s="2">
        <f t="shared" si="262"/>
        <v>0</v>
      </c>
      <c r="H1966" s="2">
        <f t="shared" si="263"/>
        <v>0</v>
      </c>
    </row>
    <row r="1967" spans="2:8">
      <c r="B1967" s="3" t="s">
        <v>1721</v>
      </c>
      <c r="C1967" s="3" t="s">
        <v>1728</v>
      </c>
      <c r="D1967" s="8" t="str">
        <f t="shared" si="261"/>
        <v>16-16</v>
      </c>
      <c r="E1967" s="1">
        <f>_xlfn.IFNA(VLOOKUP('Comp X - Kilter'!B1967,'Kilter Holds'!$P$36:$AB$370,8,0),0)</f>
        <v>0</v>
      </c>
      <c r="G1967" s="2">
        <f t="shared" si="262"/>
        <v>0</v>
      </c>
      <c r="H1967" s="2">
        <f t="shared" si="263"/>
        <v>0</v>
      </c>
    </row>
    <row r="1968" spans="2:8">
      <c r="B1968" s="3" t="s">
        <v>1721</v>
      </c>
      <c r="C1968" s="3" t="s">
        <v>1728</v>
      </c>
      <c r="D1968" s="9" t="str">
        <f t="shared" si="261"/>
        <v>13-01</v>
      </c>
      <c r="E1968" s="1">
        <f>_xlfn.IFNA(VLOOKUP('Comp X - Kilter'!B1968,'Kilter Holds'!$P$36:$AB$370,9,0),0)</f>
        <v>4</v>
      </c>
      <c r="G1968" s="2">
        <f t="shared" si="262"/>
        <v>0</v>
      </c>
      <c r="H1968" s="2">
        <f t="shared" si="263"/>
        <v>0</v>
      </c>
    </row>
    <row r="1969" spans="2:8">
      <c r="B1969" s="3" t="s">
        <v>1721</v>
      </c>
      <c r="C1969" s="3" t="s">
        <v>1728</v>
      </c>
      <c r="D1969" s="10" t="str">
        <f t="shared" si="261"/>
        <v>07-13</v>
      </c>
      <c r="E1969" s="1">
        <f>_xlfn.IFNA(VLOOKUP('Comp X - Kilter'!B1969,'Kilter Holds'!$P$36:$AB$370,10,0),0)</f>
        <v>0</v>
      </c>
      <c r="G1969" s="2">
        <f t="shared" si="262"/>
        <v>0</v>
      </c>
      <c r="H1969" s="2">
        <f t="shared" si="263"/>
        <v>0</v>
      </c>
    </row>
    <row r="1970" spans="2:8">
      <c r="B1970" s="3" t="s">
        <v>1721</v>
      </c>
      <c r="C1970" s="3" t="s">
        <v>1728</v>
      </c>
      <c r="D1970" s="11" t="str">
        <f t="shared" si="261"/>
        <v>11-25</v>
      </c>
      <c r="E1970" s="1">
        <f>_xlfn.IFNA(VLOOKUP('Comp X - Kilter'!B1970,'Kilter Holds'!$P$36:$AB$370,11,0),0)</f>
        <v>0</v>
      </c>
      <c r="G1970" s="2">
        <f t="shared" si="262"/>
        <v>0</v>
      </c>
      <c r="H1970" s="2">
        <f t="shared" si="263"/>
        <v>0</v>
      </c>
    </row>
    <row r="1971" spans="2:8">
      <c r="B1971" s="3" t="s">
        <v>1721</v>
      </c>
      <c r="C1971" s="3" t="s">
        <v>1728</v>
      </c>
      <c r="D1971" s="13" t="str">
        <f t="shared" si="261"/>
        <v>18-01</v>
      </c>
      <c r="E1971" s="1">
        <f>_xlfn.IFNA(VLOOKUP('Comp X - Kilter'!B1971,'Kilter Holds'!$P$36:$AB$370,12,0),0)</f>
        <v>13</v>
      </c>
      <c r="G1971" s="2">
        <f t="shared" si="262"/>
        <v>0</v>
      </c>
      <c r="H1971" s="2">
        <f t="shared" si="263"/>
        <v>0</v>
      </c>
    </row>
    <row r="1972" spans="2:8">
      <c r="B1972" s="3" t="s">
        <v>1721</v>
      </c>
      <c r="C1972" s="3" t="s">
        <v>1728</v>
      </c>
      <c r="D1972" s="12" t="str">
        <f t="shared" si="261"/>
        <v>12-01</v>
      </c>
      <c r="E1972" s="1">
        <f>_xlfn.IFNA(VLOOKUP('Comp X - Kilter'!B1972,'Kilter Holds'!$P$36:$AB$370,13,0),0)</f>
        <v>0</v>
      </c>
      <c r="G1972" s="2">
        <f t="shared" si="262"/>
        <v>0</v>
      </c>
      <c r="H1972" s="2">
        <f t="shared" si="263"/>
        <v>0</v>
      </c>
    </row>
    <row r="1973" spans="2:8">
      <c r="B1973" t="s">
        <v>1859</v>
      </c>
      <c r="C1973" t="s">
        <v>1860</v>
      </c>
      <c r="D1973" s="5" t="str">
        <f t="shared" si="261"/>
        <v>11-12</v>
      </c>
      <c r="E1973" s="1">
        <f>_xlfn.IFNA(VLOOKUP('Comp X - Kilter'!B1973,'Kilter Holds'!$P$36:$AB$370,5,0),0)</f>
        <v>5</v>
      </c>
      <c r="G1973" s="2">
        <f t="shared" ref="G1973:G1981" si="264">E1973*F1973</f>
        <v>0</v>
      </c>
      <c r="H1973" s="2">
        <f t="shared" ref="H1973:H1981" si="265">IF($S$11="Y",G1973*0.15,0)</f>
        <v>0</v>
      </c>
    </row>
    <row r="1974" spans="2:8">
      <c r="B1974" t="s">
        <v>1859</v>
      </c>
      <c r="C1974" t="s">
        <v>1860</v>
      </c>
      <c r="D1974" s="6" t="str">
        <f t="shared" si="261"/>
        <v>14-01</v>
      </c>
      <c r="E1974" s="1">
        <f>_xlfn.IFNA(VLOOKUP('Comp X - Kilter'!B1974,'Kilter Holds'!$P$36:$AB$370,6,0),0)</f>
        <v>0</v>
      </c>
      <c r="G1974" s="2">
        <f t="shared" si="264"/>
        <v>0</v>
      </c>
      <c r="H1974" s="2">
        <f t="shared" si="265"/>
        <v>0</v>
      </c>
    </row>
    <row r="1975" spans="2:8">
      <c r="B1975" t="s">
        <v>1859</v>
      </c>
      <c r="C1975" t="s">
        <v>1860</v>
      </c>
      <c r="D1975" s="7" t="str">
        <f t="shared" si="261"/>
        <v>15-12</v>
      </c>
      <c r="E1975" s="1">
        <f>_xlfn.IFNA(VLOOKUP('Comp X - Kilter'!B1975,'Kilter Holds'!$P$36:$AB$370,7,0),0)</f>
        <v>7</v>
      </c>
      <c r="G1975" s="2">
        <f t="shared" si="264"/>
        <v>0</v>
      </c>
      <c r="H1975" s="2">
        <f t="shared" si="265"/>
        <v>0</v>
      </c>
    </row>
    <row r="1976" spans="2:8">
      <c r="B1976" t="s">
        <v>1859</v>
      </c>
      <c r="C1976" t="s">
        <v>1860</v>
      </c>
      <c r="D1976" s="8" t="str">
        <f t="shared" si="261"/>
        <v>16-16</v>
      </c>
      <c r="E1976" s="1">
        <f>_xlfn.IFNA(VLOOKUP('Comp X - Kilter'!B1976,'Kilter Holds'!$P$36:$AB$370,8,0),0)</f>
        <v>0</v>
      </c>
      <c r="G1976" s="2">
        <f t="shared" si="264"/>
        <v>0</v>
      </c>
      <c r="H1976" s="2">
        <f t="shared" si="265"/>
        <v>0</v>
      </c>
    </row>
    <row r="1977" spans="2:8">
      <c r="B1977" t="s">
        <v>1859</v>
      </c>
      <c r="C1977" t="s">
        <v>1860</v>
      </c>
      <c r="D1977" s="9" t="str">
        <f t="shared" si="261"/>
        <v>13-01</v>
      </c>
      <c r="E1977" s="1">
        <f>_xlfn.IFNA(VLOOKUP('Comp X - Kilter'!B1977,'Kilter Holds'!$P$36:$AB$370,9,0),0)</f>
        <v>4</v>
      </c>
      <c r="G1977" s="2">
        <f t="shared" si="264"/>
        <v>0</v>
      </c>
      <c r="H1977" s="2">
        <f t="shared" si="265"/>
        <v>0</v>
      </c>
    </row>
    <row r="1978" spans="2:8">
      <c r="B1978" t="s">
        <v>1859</v>
      </c>
      <c r="C1978" t="s">
        <v>1860</v>
      </c>
      <c r="D1978" s="10" t="str">
        <f t="shared" si="261"/>
        <v>07-13</v>
      </c>
      <c r="E1978" s="1">
        <f>_xlfn.IFNA(VLOOKUP('Comp X - Kilter'!B1978,'Kilter Holds'!$P$36:$AB$370,10,0),0)</f>
        <v>0</v>
      </c>
      <c r="G1978" s="2">
        <f t="shared" si="264"/>
        <v>0</v>
      </c>
      <c r="H1978" s="2">
        <f t="shared" si="265"/>
        <v>0</v>
      </c>
    </row>
    <row r="1979" spans="2:8">
      <c r="B1979" t="s">
        <v>1859</v>
      </c>
      <c r="C1979" t="s">
        <v>1860</v>
      </c>
      <c r="D1979" s="11" t="str">
        <f t="shared" si="261"/>
        <v>11-25</v>
      </c>
      <c r="E1979" s="1">
        <f>_xlfn.IFNA(VLOOKUP('Comp X - Kilter'!B1979,'Kilter Holds'!$P$36:$AB$370,11,0),0)</f>
        <v>0</v>
      </c>
      <c r="G1979" s="2">
        <f t="shared" si="264"/>
        <v>0</v>
      </c>
      <c r="H1979" s="2">
        <f t="shared" si="265"/>
        <v>0</v>
      </c>
    </row>
    <row r="1980" spans="2:8">
      <c r="B1980" t="s">
        <v>1859</v>
      </c>
      <c r="C1980" t="s">
        <v>1860</v>
      </c>
      <c r="D1980" s="13" t="str">
        <f t="shared" si="261"/>
        <v>18-01</v>
      </c>
      <c r="E1980" s="1">
        <f>_xlfn.IFNA(VLOOKUP('Comp X - Kilter'!B1980,'Kilter Holds'!$P$36:$AB$370,12,0),0)</f>
        <v>6</v>
      </c>
      <c r="G1980" s="2">
        <f t="shared" si="264"/>
        <v>0</v>
      </c>
      <c r="H1980" s="2">
        <f t="shared" si="265"/>
        <v>0</v>
      </c>
    </row>
    <row r="1981" spans="2:8">
      <c r="B1981" t="s">
        <v>1859</v>
      </c>
      <c r="C1981" t="s">
        <v>1860</v>
      </c>
      <c r="D1981" s="12" t="str">
        <f t="shared" si="261"/>
        <v>12-01</v>
      </c>
      <c r="E1981" s="1">
        <f>_xlfn.IFNA(VLOOKUP('Comp X - Kilter'!B1981,'Kilter Holds'!$P$36:$AB$370,13,0),0)</f>
        <v>1</v>
      </c>
      <c r="G1981" s="2">
        <f t="shared" si="264"/>
        <v>0</v>
      </c>
      <c r="H1981" s="2">
        <f t="shared" si="265"/>
        <v>0</v>
      </c>
    </row>
    <row r="1982" spans="2:8">
      <c r="B1982" t="s">
        <v>1723</v>
      </c>
      <c r="C1982" t="s">
        <v>1727</v>
      </c>
      <c r="D1982" s="5" t="str">
        <f t="shared" ref="D1982:D1990" si="266">D1838</f>
        <v>11-12</v>
      </c>
      <c r="E1982" s="1">
        <f>_xlfn.IFNA(VLOOKUP('Comp X - Kilter'!B1982,'Kilter Holds'!$P$36:$AB$370,5,0),0)</f>
        <v>6</v>
      </c>
      <c r="G1982" s="2">
        <f t="shared" ref="G1982:G1990" si="267">E1982*F1982</f>
        <v>0</v>
      </c>
      <c r="H1982" s="2">
        <f t="shared" ref="H1982:H1990" si="268">IF($S$11="Y",G1982*0.15,0)</f>
        <v>0</v>
      </c>
    </row>
    <row r="1983" spans="2:8">
      <c r="B1983" t="s">
        <v>1723</v>
      </c>
      <c r="C1983" t="s">
        <v>1727</v>
      </c>
      <c r="D1983" s="6" t="str">
        <f t="shared" si="266"/>
        <v>14-01</v>
      </c>
      <c r="E1983" s="1">
        <f>_xlfn.IFNA(VLOOKUP('Comp X - Kilter'!B1983,'Kilter Holds'!$P$36:$AB$370,6,0),0)</f>
        <v>0</v>
      </c>
      <c r="G1983" s="2">
        <f t="shared" si="267"/>
        <v>0</v>
      </c>
      <c r="H1983" s="2">
        <f t="shared" si="268"/>
        <v>0</v>
      </c>
    </row>
    <row r="1984" spans="2:8">
      <c r="B1984" t="s">
        <v>1723</v>
      </c>
      <c r="C1984" t="s">
        <v>1727</v>
      </c>
      <c r="D1984" s="7" t="str">
        <f t="shared" si="266"/>
        <v>15-12</v>
      </c>
      <c r="E1984" s="1">
        <f>_xlfn.IFNA(VLOOKUP('Comp X - Kilter'!B1984,'Kilter Holds'!$P$36:$AB$370,7,0),0)</f>
        <v>4</v>
      </c>
      <c r="G1984" s="2">
        <f t="shared" si="267"/>
        <v>0</v>
      </c>
      <c r="H1984" s="2">
        <f t="shared" si="268"/>
        <v>0</v>
      </c>
    </row>
    <row r="1985" spans="2:8">
      <c r="B1985" t="s">
        <v>1723</v>
      </c>
      <c r="C1985" t="s">
        <v>1727</v>
      </c>
      <c r="D1985" s="8" t="str">
        <f t="shared" si="266"/>
        <v>16-16</v>
      </c>
      <c r="E1985" s="1">
        <f>_xlfn.IFNA(VLOOKUP('Comp X - Kilter'!B1985,'Kilter Holds'!$P$36:$AB$370,8,0),0)</f>
        <v>0</v>
      </c>
      <c r="G1985" s="2">
        <f t="shared" si="267"/>
        <v>0</v>
      </c>
      <c r="H1985" s="2">
        <f t="shared" si="268"/>
        <v>0</v>
      </c>
    </row>
    <row r="1986" spans="2:8">
      <c r="B1986" t="s">
        <v>1723</v>
      </c>
      <c r="C1986" t="s">
        <v>1727</v>
      </c>
      <c r="D1986" s="9" t="str">
        <f t="shared" si="266"/>
        <v>13-01</v>
      </c>
      <c r="E1986" s="1">
        <f>_xlfn.IFNA(VLOOKUP('Comp X - Kilter'!B1986,'Kilter Holds'!$P$36:$AB$370,9,0),0)</f>
        <v>4</v>
      </c>
      <c r="G1986" s="2">
        <f t="shared" si="267"/>
        <v>0</v>
      </c>
      <c r="H1986" s="2">
        <f t="shared" si="268"/>
        <v>0</v>
      </c>
    </row>
    <row r="1987" spans="2:8">
      <c r="B1987" t="s">
        <v>1723</v>
      </c>
      <c r="C1987" t="s">
        <v>1727</v>
      </c>
      <c r="D1987" s="10" t="str">
        <f t="shared" si="266"/>
        <v>07-13</v>
      </c>
      <c r="E1987" s="1">
        <f>_xlfn.IFNA(VLOOKUP('Comp X - Kilter'!B1987,'Kilter Holds'!$P$36:$AB$370,10,0),0)</f>
        <v>0</v>
      </c>
      <c r="G1987" s="2">
        <f t="shared" si="267"/>
        <v>0</v>
      </c>
      <c r="H1987" s="2">
        <f t="shared" si="268"/>
        <v>0</v>
      </c>
    </row>
    <row r="1988" spans="2:8">
      <c r="B1988" t="s">
        <v>1723</v>
      </c>
      <c r="C1988" t="s">
        <v>1727</v>
      </c>
      <c r="D1988" s="11" t="str">
        <f t="shared" si="266"/>
        <v>11-25</v>
      </c>
      <c r="E1988" s="1">
        <f>_xlfn.IFNA(VLOOKUP('Comp X - Kilter'!B1988,'Kilter Holds'!$P$36:$AB$370,11,0),0)</f>
        <v>0</v>
      </c>
      <c r="G1988" s="2">
        <f t="shared" si="267"/>
        <v>0</v>
      </c>
      <c r="H1988" s="2">
        <f t="shared" si="268"/>
        <v>0</v>
      </c>
    </row>
    <row r="1989" spans="2:8">
      <c r="B1989" t="s">
        <v>1723</v>
      </c>
      <c r="C1989" t="s">
        <v>1727</v>
      </c>
      <c r="D1989" s="13" t="str">
        <f t="shared" si="266"/>
        <v>18-01</v>
      </c>
      <c r="E1989" s="1">
        <f>_xlfn.IFNA(VLOOKUP('Comp X - Kilter'!B1989,'Kilter Holds'!$P$36:$AB$370,12,0),0)</f>
        <v>6</v>
      </c>
      <c r="G1989" s="2">
        <f t="shared" si="267"/>
        <v>0</v>
      </c>
      <c r="H1989" s="2">
        <f t="shared" si="268"/>
        <v>0</v>
      </c>
    </row>
    <row r="1990" spans="2:8">
      <c r="B1990" t="s">
        <v>1723</v>
      </c>
      <c r="C1990" t="s">
        <v>1727</v>
      </c>
      <c r="D1990" s="12" t="str">
        <f t="shared" si="266"/>
        <v>12-01</v>
      </c>
      <c r="E1990" s="1">
        <f>_xlfn.IFNA(VLOOKUP('Comp X - Kilter'!B1990,'Kilter Holds'!$P$36:$AB$370,13,0),0)</f>
        <v>0</v>
      </c>
      <c r="G1990" s="2">
        <f t="shared" si="267"/>
        <v>0</v>
      </c>
      <c r="H1990" s="2">
        <f t="shared" si="268"/>
        <v>0</v>
      </c>
    </row>
    <row r="1991" spans="2:8">
      <c r="B1991" t="s">
        <v>1568</v>
      </c>
      <c r="C1991" t="s">
        <v>1667</v>
      </c>
      <c r="D1991" s="5" t="str">
        <f t="shared" ref="D1991:D2008" si="269">D1838</f>
        <v>11-12</v>
      </c>
      <c r="E1991" s="1">
        <f>_xlfn.IFNA(VLOOKUP('Comp X - Kilter'!B1991,'Kilter Holds'!$P$36:$AB$370,5,0),0)</f>
        <v>5</v>
      </c>
      <c r="G1991" s="2">
        <f t="shared" si="236"/>
        <v>0</v>
      </c>
      <c r="H1991" s="2">
        <f t="shared" si="237"/>
        <v>0</v>
      </c>
    </row>
    <row r="1992" spans="2:8">
      <c r="B1992" t="s">
        <v>1568</v>
      </c>
      <c r="C1992" t="s">
        <v>1667</v>
      </c>
      <c r="D1992" s="6" t="str">
        <f t="shared" si="269"/>
        <v>14-01</v>
      </c>
      <c r="E1992" s="1">
        <f>_xlfn.IFNA(VLOOKUP('Comp X - Kilter'!B1992,'Kilter Holds'!$P$36:$AB$370,6,0),0)</f>
        <v>0</v>
      </c>
      <c r="G1992" s="2">
        <f t="shared" si="236"/>
        <v>0</v>
      </c>
      <c r="H1992" s="2">
        <f t="shared" si="237"/>
        <v>0</v>
      </c>
    </row>
    <row r="1993" spans="2:8">
      <c r="B1993" t="s">
        <v>1568</v>
      </c>
      <c r="C1993" t="s">
        <v>1667</v>
      </c>
      <c r="D1993" s="7" t="str">
        <f t="shared" si="269"/>
        <v>15-12</v>
      </c>
      <c r="E1993" s="1">
        <f>_xlfn.IFNA(VLOOKUP('Comp X - Kilter'!B1993,'Kilter Holds'!$P$36:$AB$370,7,0),0)</f>
        <v>5</v>
      </c>
      <c r="G1993" s="2">
        <f t="shared" si="236"/>
        <v>0</v>
      </c>
      <c r="H1993" s="2">
        <f t="shared" si="237"/>
        <v>0</v>
      </c>
    </row>
    <row r="1994" spans="2:8">
      <c r="B1994" t="s">
        <v>1568</v>
      </c>
      <c r="C1994" t="s">
        <v>1667</v>
      </c>
      <c r="D1994" s="8" t="str">
        <f t="shared" si="269"/>
        <v>16-16</v>
      </c>
      <c r="E1994" s="1">
        <f>_xlfn.IFNA(VLOOKUP('Comp X - Kilter'!B1994,'Kilter Holds'!$P$36:$AB$370,8,0),0)</f>
        <v>0</v>
      </c>
      <c r="G1994" s="2">
        <f t="shared" si="236"/>
        <v>0</v>
      </c>
      <c r="H1994" s="2">
        <f t="shared" si="237"/>
        <v>0</v>
      </c>
    </row>
    <row r="1995" spans="2:8">
      <c r="B1995" t="s">
        <v>1568</v>
      </c>
      <c r="C1995" t="s">
        <v>1667</v>
      </c>
      <c r="D1995" s="9" t="str">
        <f t="shared" si="269"/>
        <v>13-01</v>
      </c>
      <c r="E1995" s="1">
        <f>_xlfn.IFNA(VLOOKUP('Comp X - Kilter'!B1995,'Kilter Holds'!$P$36:$AB$370,9,0),0)</f>
        <v>2</v>
      </c>
      <c r="G1995" s="2">
        <f t="shared" si="236"/>
        <v>0</v>
      </c>
      <c r="H1995" s="2">
        <f t="shared" si="237"/>
        <v>0</v>
      </c>
    </row>
    <row r="1996" spans="2:8">
      <c r="B1996" t="s">
        <v>1568</v>
      </c>
      <c r="C1996" t="s">
        <v>1667</v>
      </c>
      <c r="D1996" s="10" t="str">
        <f t="shared" si="269"/>
        <v>07-13</v>
      </c>
      <c r="E1996" s="1">
        <f>_xlfn.IFNA(VLOOKUP('Comp X - Kilter'!B1996,'Kilter Holds'!$P$36:$AB$370,10,0),0)</f>
        <v>0</v>
      </c>
      <c r="G1996" s="2">
        <f t="shared" si="236"/>
        <v>0</v>
      </c>
      <c r="H1996" s="2">
        <f t="shared" si="237"/>
        <v>0</v>
      </c>
    </row>
    <row r="1997" spans="2:8">
      <c r="B1997" t="s">
        <v>1568</v>
      </c>
      <c r="C1997" t="s">
        <v>1667</v>
      </c>
      <c r="D1997" s="11" t="str">
        <f t="shared" si="269"/>
        <v>11-25</v>
      </c>
      <c r="E1997" s="1">
        <f>_xlfn.IFNA(VLOOKUP('Comp X - Kilter'!B1997,'Kilter Holds'!$P$36:$AB$370,11,0),0)</f>
        <v>0</v>
      </c>
      <c r="G1997" s="2">
        <f t="shared" si="236"/>
        <v>0</v>
      </c>
      <c r="H1997" s="2">
        <f t="shared" si="237"/>
        <v>0</v>
      </c>
    </row>
    <row r="1998" spans="2:8">
      <c r="B1998" t="s">
        <v>1568</v>
      </c>
      <c r="C1998" t="s">
        <v>1667</v>
      </c>
      <c r="D1998" s="13" t="str">
        <f t="shared" si="269"/>
        <v>18-01</v>
      </c>
      <c r="E1998" s="1">
        <f>_xlfn.IFNA(VLOOKUP('Comp X - Kilter'!B1998,'Kilter Holds'!$P$36:$AB$370,12,0),0)</f>
        <v>10</v>
      </c>
      <c r="G1998" s="2">
        <f t="shared" si="236"/>
        <v>0</v>
      </c>
      <c r="H1998" s="2">
        <f t="shared" si="237"/>
        <v>0</v>
      </c>
    </row>
    <row r="1999" spans="2:8">
      <c r="B1999" t="s">
        <v>1568</v>
      </c>
      <c r="C1999" t="s">
        <v>1667</v>
      </c>
      <c r="D1999" s="12" t="str">
        <f t="shared" si="269"/>
        <v>12-01</v>
      </c>
      <c r="E1999" s="1">
        <f>_xlfn.IFNA(VLOOKUP('Comp X - Kilter'!B1999,'Kilter Holds'!$P$36:$AB$370,13,0),0)</f>
        <v>0</v>
      </c>
      <c r="G1999" s="2">
        <f t="shared" si="236"/>
        <v>0</v>
      </c>
      <c r="H1999" s="2">
        <f t="shared" si="237"/>
        <v>0</v>
      </c>
    </row>
    <row r="2000" spans="2:8">
      <c r="B2000" t="s">
        <v>1736</v>
      </c>
      <c r="C2000" t="s">
        <v>1737</v>
      </c>
      <c r="D2000" s="5" t="str">
        <f t="shared" si="269"/>
        <v>11-12</v>
      </c>
      <c r="E2000" s="1">
        <f>_xlfn.IFNA(VLOOKUP('Comp X - Kilter'!B2000,'Kilter Holds'!$P$36:$AB$370,5,0),0)</f>
        <v>5</v>
      </c>
      <c r="G2000" s="2">
        <f t="shared" ref="G2000:G2008" si="270">E2000*F2000</f>
        <v>0</v>
      </c>
      <c r="H2000" s="2">
        <f t="shared" ref="H2000:H2008" si="271">IF($S$11="Y",G2000*0.15,0)</f>
        <v>0</v>
      </c>
    </row>
    <row r="2001" spans="2:8">
      <c r="B2001" t="s">
        <v>1736</v>
      </c>
      <c r="C2001" t="s">
        <v>1737</v>
      </c>
      <c r="D2001" s="6" t="str">
        <f t="shared" si="269"/>
        <v>14-01</v>
      </c>
      <c r="E2001" s="1">
        <f>_xlfn.IFNA(VLOOKUP('Comp X - Kilter'!B2001,'Kilter Holds'!$P$36:$AB$370,6,0),0)</f>
        <v>0</v>
      </c>
      <c r="G2001" s="2">
        <f t="shared" si="270"/>
        <v>0</v>
      </c>
      <c r="H2001" s="2">
        <f t="shared" si="271"/>
        <v>0</v>
      </c>
    </row>
    <row r="2002" spans="2:8">
      <c r="B2002" t="s">
        <v>1736</v>
      </c>
      <c r="C2002" t="s">
        <v>1737</v>
      </c>
      <c r="D2002" s="7" t="str">
        <f t="shared" si="269"/>
        <v>15-12</v>
      </c>
      <c r="E2002" s="1">
        <f>_xlfn.IFNA(VLOOKUP('Comp X - Kilter'!B2002,'Kilter Holds'!$P$36:$AB$370,7,0),0)</f>
        <v>5</v>
      </c>
      <c r="G2002" s="2">
        <f t="shared" si="270"/>
        <v>0</v>
      </c>
      <c r="H2002" s="2">
        <f t="shared" si="271"/>
        <v>0</v>
      </c>
    </row>
    <row r="2003" spans="2:8">
      <c r="B2003" t="s">
        <v>1736</v>
      </c>
      <c r="C2003" t="s">
        <v>1737</v>
      </c>
      <c r="D2003" s="8" t="str">
        <f t="shared" si="269"/>
        <v>16-16</v>
      </c>
      <c r="E2003" s="1">
        <f>_xlfn.IFNA(VLOOKUP('Comp X - Kilter'!B2003,'Kilter Holds'!$P$36:$AB$370,8,0),0)</f>
        <v>0</v>
      </c>
      <c r="G2003" s="2">
        <f t="shared" si="270"/>
        <v>0</v>
      </c>
      <c r="H2003" s="2">
        <f t="shared" si="271"/>
        <v>0</v>
      </c>
    </row>
    <row r="2004" spans="2:8">
      <c r="B2004" t="s">
        <v>1736</v>
      </c>
      <c r="C2004" t="s">
        <v>1737</v>
      </c>
      <c r="D2004" s="9" t="str">
        <f t="shared" si="269"/>
        <v>13-01</v>
      </c>
      <c r="E2004" s="1">
        <f>_xlfn.IFNA(VLOOKUP('Comp X - Kilter'!B2004,'Kilter Holds'!$P$36:$AB$370,9,0),0)</f>
        <v>4</v>
      </c>
      <c r="G2004" s="2">
        <f t="shared" si="270"/>
        <v>0</v>
      </c>
      <c r="H2004" s="2">
        <f t="shared" si="271"/>
        <v>0</v>
      </c>
    </row>
    <row r="2005" spans="2:8">
      <c r="B2005" t="s">
        <v>1736</v>
      </c>
      <c r="C2005" t="s">
        <v>1737</v>
      </c>
      <c r="D2005" s="10" t="str">
        <f t="shared" si="269"/>
        <v>07-13</v>
      </c>
      <c r="E2005" s="1">
        <f>_xlfn.IFNA(VLOOKUP('Comp X - Kilter'!B2005,'Kilter Holds'!$P$36:$AB$370,10,0),0)</f>
        <v>0</v>
      </c>
      <c r="G2005" s="2">
        <f t="shared" si="270"/>
        <v>0</v>
      </c>
      <c r="H2005" s="2">
        <f t="shared" si="271"/>
        <v>0</v>
      </c>
    </row>
    <row r="2006" spans="2:8">
      <c r="B2006" t="s">
        <v>1736</v>
      </c>
      <c r="C2006" t="s">
        <v>1737</v>
      </c>
      <c r="D2006" s="11" t="str">
        <f t="shared" si="269"/>
        <v>11-25</v>
      </c>
      <c r="E2006" s="1">
        <f>_xlfn.IFNA(VLOOKUP('Comp X - Kilter'!B2006,'Kilter Holds'!$P$36:$AB$370,11,0),0)</f>
        <v>0</v>
      </c>
      <c r="G2006" s="2">
        <f t="shared" si="270"/>
        <v>0</v>
      </c>
      <c r="H2006" s="2">
        <f t="shared" si="271"/>
        <v>0</v>
      </c>
    </row>
    <row r="2007" spans="2:8">
      <c r="B2007" t="s">
        <v>1736</v>
      </c>
      <c r="C2007" t="s">
        <v>1737</v>
      </c>
      <c r="D2007" s="13" t="str">
        <f t="shared" si="269"/>
        <v>18-01</v>
      </c>
      <c r="E2007" s="1">
        <f>_xlfn.IFNA(VLOOKUP('Comp X - Kilter'!B2007,'Kilter Holds'!$P$36:$AB$370,12,0),0)</f>
        <v>8</v>
      </c>
      <c r="G2007" s="2">
        <f t="shared" si="270"/>
        <v>0</v>
      </c>
      <c r="H2007" s="2">
        <f t="shared" si="271"/>
        <v>0</v>
      </c>
    </row>
    <row r="2008" spans="2:8">
      <c r="B2008" t="s">
        <v>1736</v>
      </c>
      <c r="C2008" t="s">
        <v>1737</v>
      </c>
      <c r="D2008" s="12" t="str">
        <f t="shared" si="269"/>
        <v>12-01</v>
      </c>
      <c r="E2008" s="1">
        <f>_xlfn.IFNA(VLOOKUP('Comp X - Kilter'!B2008,'Kilter Holds'!$P$36:$AB$370,13,0),0)</f>
        <v>0</v>
      </c>
      <c r="G2008" s="2">
        <f t="shared" si="270"/>
        <v>0</v>
      </c>
      <c r="H2008" s="2">
        <f t="shared" si="271"/>
        <v>0</v>
      </c>
    </row>
    <row r="2009" spans="2:8">
      <c r="B2009" t="s">
        <v>1800</v>
      </c>
      <c r="C2009" t="s">
        <v>1801</v>
      </c>
      <c r="D2009" s="5" t="str">
        <f t="shared" ref="D2009:D2044" si="272">D1883</f>
        <v>11-12</v>
      </c>
      <c r="E2009" s="1">
        <f>_xlfn.IFNA(VLOOKUP('Comp X - Kilter'!B2009,'Kilter Holds'!$P$36:$AB$370,5,0),0)</f>
        <v>5</v>
      </c>
      <c r="G2009" s="2">
        <f t="shared" ref="G2009:G2017" si="273">E2009*F2009</f>
        <v>0</v>
      </c>
      <c r="H2009" s="2">
        <f t="shared" ref="H2009:H2017" si="274">IF($S$11="Y",G2009*0.15,0)</f>
        <v>0</v>
      </c>
    </row>
    <row r="2010" spans="2:8">
      <c r="B2010" t="s">
        <v>1800</v>
      </c>
      <c r="C2010" t="s">
        <v>1801</v>
      </c>
      <c r="D2010" s="6" t="str">
        <f t="shared" si="272"/>
        <v>14-01</v>
      </c>
      <c r="E2010" s="1">
        <f>_xlfn.IFNA(VLOOKUP('Comp X - Kilter'!B2010,'Kilter Holds'!$P$36:$AB$370,6,0),0)</f>
        <v>0</v>
      </c>
      <c r="G2010" s="2">
        <f t="shared" si="273"/>
        <v>0</v>
      </c>
      <c r="H2010" s="2">
        <f t="shared" si="274"/>
        <v>0</v>
      </c>
    </row>
    <row r="2011" spans="2:8">
      <c r="B2011" t="s">
        <v>1800</v>
      </c>
      <c r="C2011" t="s">
        <v>1801</v>
      </c>
      <c r="D2011" s="7" t="str">
        <f t="shared" si="272"/>
        <v>15-12</v>
      </c>
      <c r="E2011" s="1">
        <f>_xlfn.IFNA(VLOOKUP('Comp X - Kilter'!B2011,'Kilter Holds'!$P$36:$AB$370,7,0),0)</f>
        <v>5</v>
      </c>
      <c r="G2011" s="2">
        <f t="shared" si="273"/>
        <v>0</v>
      </c>
      <c r="H2011" s="2">
        <f t="shared" si="274"/>
        <v>0</v>
      </c>
    </row>
    <row r="2012" spans="2:8">
      <c r="B2012" t="s">
        <v>1800</v>
      </c>
      <c r="C2012" t="s">
        <v>1801</v>
      </c>
      <c r="D2012" s="8" t="str">
        <f t="shared" si="272"/>
        <v>16-16</v>
      </c>
      <c r="E2012" s="1">
        <f>_xlfn.IFNA(VLOOKUP('Comp X - Kilter'!B2012,'Kilter Holds'!$P$36:$AB$370,8,0),0)</f>
        <v>0</v>
      </c>
      <c r="G2012" s="2">
        <f t="shared" si="273"/>
        <v>0</v>
      </c>
      <c r="H2012" s="2">
        <f t="shared" si="274"/>
        <v>0</v>
      </c>
    </row>
    <row r="2013" spans="2:8">
      <c r="B2013" t="s">
        <v>1800</v>
      </c>
      <c r="C2013" t="s">
        <v>1801</v>
      </c>
      <c r="D2013" s="9" t="str">
        <f t="shared" si="272"/>
        <v>13-01</v>
      </c>
      <c r="E2013" s="1">
        <f>_xlfn.IFNA(VLOOKUP('Comp X - Kilter'!B2013,'Kilter Holds'!$P$36:$AB$370,9,0),0)</f>
        <v>4</v>
      </c>
      <c r="G2013" s="2">
        <f t="shared" si="273"/>
        <v>0</v>
      </c>
      <c r="H2013" s="2">
        <f t="shared" si="274"/>
        <v>0</v>
      </c>
    </row>
    <row r="2014" spans="2:8">
      <c r="B2014" t="s">
        <v>1800</v>
      </c>
      <c r="C2014" t="s">
        <v>1801</v>
      </c>
      <c r="D2014" s="10" t="str">
        <f t="shared" si="272"/>
        <v>07-13</v>
      </c>
      <c r="E2014" s="1">
        <f>_xlfn.IFNA(VLOOKUP('Comp X - Kilter'!B2014,'Kilter Holds'!$P$36:$AB$370,10,0),0)</f>
        <v>0</v>
      </c>
      <c r="G2014" s="2">
        <f t="shared" si="273"/>
        <v>0</v>
      </c>
      <c r="H2014" s="2">
        <f t="shared" si="274"/>
        <v>0</v>
      </c>
    </row>
    <row r="2015" spans="2:8">
      <c r="B2015" t="s">
        <v>1800</v>
      </c>
      <c r="C2015" t="s">
        <v>1801</v>
      </c>
      <c r="D2015" s="11" t="str">
        <f t="shared" si="272"/>
        <v>11-25</v>
      </c>
      <c r="E2015" s="1">
        <f>_xlfn.IFNA(VLOOKUP('Comp X - Kilter'!B2015,'Kilter Holds'!$P$36:$AB$370,11,0),0)</f>
        <v>0</v>
      </c>
      <c r="G2015" s="2">
        <f t="shared" si="273"/>
        <v>0</v>
      </c>
      <c r="H2015" s="2">
        <f t="shared" si="274"/>
        <v>0</v>
      </c>
    </row>
    <row r="2016" spans="2:8">
      <c r="B2016" t="s">
        <v>1800</v>
      </c>
      <c r="C2016" t="s">
        <v>1801</v>
      </c>
      <c r="D2016" s="13" t="str">
        <f t="shared" si="272"/>
        <v>18-01</v>
      </c>
      <c r="E2016" s="1">
        <f>_xlfn.IFNA(VLOOKUP('Comp X - Kilter'!B2016,'Kilter Holds'!$P$36:$AB$370,12,0),0)</f>
        <v>11</v>
      </c>
      <c r="G2016" s="2">
        <f t="shared" si="273"/>
        <v>0</v>
      </c>
      <c r="H2016" s="2">
        <f t="shared" si="274"/>
        <v>0</v>
      </c>
    </row>
    <row r="2017" spans="2:8">
      <c r="B2017" t="s">
        <v>1800</v>
      </c>
      <c r="C2017" t="s">
        <v>1801</v>
      </c>
      <c r="D2017" s="12" t="str">
        <f t="shared" si="272"/>
        <v>12-01</v>
      </c>
      <c r="E2017" s="1">
        <f>_xlfn.IFNA(VLOOKUP('Comp X - Kilter'!B2017,'Kilter Holds'!$P$36:$AB$370,13,0),0)</f>
        <v>0</v>
      </c>
      <c r="G2017" s="2">
        <f t="shared" si="273"/>
        <v>0</v>
      </c>
      <c r="H2017" s="2">
        <f t="shared" si="274"/>
        <v>0</v>
      </c>
    </row>
    <row r="2018" spans="2:8">
      <c r="B2018" t="s">
        <v>1871</v>
      </c>
      <c r="C2018" t="s">
        <v>1872</v>
      </c>
      <c r="D2018" s="5" t="str">
        <f t="shared" si="272"/>
        <v>11-12</v>
      </c>
      <c r="E2018" s="1">
        <f>_xlfn.IFNA(VLOOKUP('Comp X - Kilter'!B2018,'Kilter Holds'!$P$36:$AB$370,5,0),0)</f>
        <v>5</v>
      </c>
      <c r="G2018" s="2">
        <f t="shared" ref="G2018:G2026" si="275">E2018*F2018</f>
        <v>0</v>
      </c>
      <c r="H2018" s="2">
        <f t="shared" ref="H2018:H2026" si="276">IF($S$11="Y",G2018*0.15,0)</f>
        <v>0</v>
      </c>
    </row>
    <row r="2019" spans="2:8">
      <c r="B2019" t="s">
        <v>1871</v>
      </c>
      <c r="C2019" t="s">
        <v>1872</v>
      </c>
      <c r="D2019" s="6" t="str">
        <f t="shared" si="272"/>
        <v>14-01</v>
      </c>
      <c r="E2019" s="1">
        <f>_xlfn.IFNA(VLOOKUP('Comp X - Kilter'!B2019,'Kilter Holds'!$P$36:$AB$370,6,0),0)</f>
        <v>0</v>
      </c>
      <c r="G2019" s="2">
        <f t="shared" si="275"/>
        <v>0</v>
      </c>
      <c r="H2019" s="2">
        <f t="shared" si="276"/>
        <v>0</v>
      </c>
    </row>
    <row r="2020" spans="2:8">
      <c r="B2020" t="s">
        <v>1871</v>
      </c>
      <c r="C2020" t="s">
        <v>1872</v>
      </c>
      <c r="D2020" s="7" t="str">
        <f t="shared" si="272"/>
        <v>15-12</v>
      </c>
      <c r="E2020" s="1">
        <f>_xlfn.IFNA(VLOOKUP('Comp X - Kilter'!B2020,'Kilter Holds'!$P$36:$AB$370,7,0),0)</f>
        <v>4</v>
      </c>
      <c r="G2020" s="2">
        <f t="shared" si="275"/>
        <v>0</v>
      </c>
      <c r="H2020" s="2">
        <f t="shared" si="276"/>
        <v>0</v>
      </c>
    </row>
    <row r="2021" spans="2:8">
      <c r="B2021" t="s">
        <v>1871</v>
      </c>
      <c r="C2021" t="s">
        <v>1872</v>
      </c>
      <c r="D2021" s="8" t="str">
        <f t="shared" si="272"/>
        <v>16-16</v>
      </c>
      <c r="E2021" s="1">
        <f>_xlfn.IFNA(VLOOKUP('Comp X - Kilter'!B2021,'Kilter Holds'!$P$36:$AB$370,8,0),0)</f>
        <v>0</v>
      </c>
      <c r="G2021" s="2">
        <f t="shared" si="275"/>
        <v>0</v>
      </c>
      <c r="H2021" s="2">
        <f t="shared" si="276"/>
        <v>0</v>
      </c>
    </row>
    <row r="2022" spans="2:8">
      <c r="B2022" t="s">
        <v>1871</v>
      </c>
      <c r="C2022" t="s">
        <v>1872</v>
      </c>
      <c r="D2022" s="9" t="str">
        <f t="shared" si="272"/>
        <v>13-01</v>
      </c>
      <c r="E2022" s="1">
        <f>_xlfn.IFNA(VLOOKUP('Comp X - Kilter'!B2022,'Kilter Holds'!$P$36:$AB$370,9,0),0)</f>
        <v>5</v>
      </c>
      <c r="G2022" s="2">
        <f t="shared" si="275"/>
        <v>0</v>
      </c>
      <c r="H2022" s="2">
        <f t="shared" si="276"/>
        <v>0</v>
      </c>
    </row>
    <row r="2023" spans="2:8">
      <c r="B2023" t="s">
        <v>1871</v>
      </c>
      <c r="C2023" t="s">
        <v>1872</v>
      </c>
      <c r="D2023" s="10" t="str">
        <f t="shared" si="272"/>
        <v>07-13</v>
      </c>
      <c r="E2023" s="1">
        <f>_xlfn.IFNA(VLOOKUP('Comp X - Kilter'!B2023,'Kilter Holds'!$P$36:$AB$370,10,0),0)</f>
        <v>0</v>
      </c>
      <c r="G2023" s="2">
        <f t="shared" si="275"/>
        <v>0</v>
      </c>
      <c r="H2023" s="2">
        <f t="shared" si="276"/>
        <v>0</v>
      </c>
    </row>
    <row r="2024" spans="2:8">
      <c r="B2024" t="s">
        <v>1871</v>
      </c>
      <c r="C2024" t="s">
        <v>1872</v>
      </c>
      <c r="D2024" s="11" t="str">
        <f t="shared" si="272"/>
        <v>11-25</v>
      </c>
      <c r="E2024" s="1">
        <f>_xlfn.IFNA(VLOOKUP('Comp X - Kilter'!B2024,'Kilter Holds'!$P$36:$AB$370,11,0),0)</f>
        <v>0</v>
      </c>
      <c r="G2024" s="2">
        <f t="shared" si="275"/>
        <v>0</v>
      </c>
      <c r="H2024" s="2">
        <f t="shared" si="276"/>
        <v>0</v>
      </c>
    </row>
    <row r="2025" spans="2:8">
      <c r="B2025" t="s">
        <v>1871</v>
      </c>
      <c r="C2025" t="s">
        <v>1872</v>
      </c>
      <c r="D2025" s="13" t="str">
        <f t="shared" si="272"/>
        <v>18-01</v>
      </c>
      <c r="E2025" s="1">
        <f>_xlfn.IFNA(VLOOKUP('Comp X - Kilter'!B2025,'Kilter Holds'!$P$36:$AB$370,12,0),0)</f>
        <v>9</v>
      </c>
      <c r="G2025" s="2">
        <f t="shared" si="275"/>
        <v>0</v>
      </c>
      <c r="H2025" s="2">
        <f t="shared" si="276"/>
        <v>0</v>
      </c>
    </row>
    <row r="2026" spans="2:8">
      <c r="B2026" t="s">
        <v>1871</v>
      </c>
      <c r="C2026" t="s">
        <v>1872</v>
      </c>
      <c r="D2026" s="12" t="str">
        <f t="shared" si="272"/>
        <v>12-01</v>
      </c>
      <c r="E2026" s="1">
        <f>_xlfn.IFNA(VLOOKUP('Comp X - Kilter'!B2026,'Kilter Holds'!$P$36:$AB$370,13,0),0)</f>
        <v>0</v>
      </c>
      <c r="G2026" s="2">
        <f t="shared" si="275"/>
        <v>0</v>
      </c>
      <c r="H2026" s="2">
        <f t="shared" si="276"/>
        <v>0</v>
      </c>
    </row>
    <row r="2027" spans="2:8">
      <c r="B2027" t="s">
        <v>1901</v>
      </c>
      <c r="C2027" t="s">
        <v>1902</v>
      </c>
      <c r="D2027" s="5" t="str">
        <f t="shared" si="272"/>
        <v>11-12</v>
      </c>
      <c r="E2027" s="1">
        <f>_xlfn.IFNA(VLOOKUP('Comp X - Kilter'!B2027,'Kilter Holds'!$P$36:$AB$370,5,0),0)</f>
        <v>4</v>
      </c>
      <c r="G2027" s="2">
        <f t="shared" ref="G2027:G2053" si="277">E2027*F2027</f>
        <v>0</v>
      </c>
      <c r="H2027" s="2">
        <f t="shared" ref="H2027:H2053" si="278">IF($S$11="Y",G2027*0.15,0)</f>
        <v>0</v>
      </c>
    </row>
    <row r="2028" spans="2:8">
      <c r="B2028" t="s">
        <v>1901</v>
      </c>
      <c r="C2028" t="s">
        <v>1902</v>
      </c>
      <c r="D2028" s="6" t="str">
        <f t="shared" si="272"/>
        <v>14-01</v>
      </c>
      <c r="E2028" s="1">
        <f>_xlfn.IFNA(VLOOKUP('Comp X - Kilter'!B2028,'Kilter Holds'!$P$36:$AB$370,6,0),0)</f>
        <v>0</v>
      </c>
      <c r="G2028" s="2">
        <f t="shared" si="277"/>
        <v>0</v>
      </c>
      <c r="H2028" s="2">
        <f t="shared" si="278"/>
        <v>0</v>
      </c>
    </row>
    <row r="2029" spans="2:8">
      <c r="B2029" t="s">
        <v>1901</v>
      </c>
      <c r="C2029" t="s">
        <v>1902</v>
      </c>
      <c r="D2029" s="7" t="str">
        <f t="shared" si="272"/>
        <v>15-12</v>
      </c>
      <c r="E2029" s="1">
        <f>_xlfn.IFNA(VLOOKUP('Comp X - Kilter'!B2029,'Kilter Holds'!$P$36:$AB$370,7,0),0)</f>
        <v>3</v>
      </c>
      <c r="G2029" s="2">
        <f t="shared" si="277"/>
        <v>0</v>
      </c>
      <c r="H2029" s="2">
        <f t="shared" si="278"/>
        <v>0</v>
      </c>
    </row>
    <row r="2030" spans="2:8">
      <c r="B2030" t="s">
        <v>1901</v>
      </c>
      <c r="C2030" t="s">
        <v>1902</v>
      </c>
      <c r="D2030" s="8" t="str">
        <f t="shared" si="272"/>
        <v>16-16</v>
      </c>
      <c r="E2030" s="1">
        <f>_xlfn.IFNA(VLOOKUP('Comp X - Kilter'!B2030,'Kilter Holds'!$P$36:$AB$370,8,0),0)</f>
        <v>1</v>
      </c>
      <c r="G2030" s="2">
        <f t="shared" si="277"/>
        <v>0</v>
      </c>
      <c r="H2030" s="2">
        <f t="shared" si="278"/>
        <v>0</v>
      </c>
    </row>
    <row r="2031" spans="2:8">
      <c r="B2031" t="s">
        <v>1901</v>
      </c>
      <c r="C2031" t="s">
        <v>1902</v>
      </c>
      <c r="D2031" s="9" t="str">
        <f t="shared" si="272"/>
        <v>13-01</v>
      </c>
      <c r="E2031" s="1">
        <f>_xlfn.IFNA(VLOOKUP('Comp X - Kilter'!B2031,'Kilter Holds'!$P$36:$AB$370,9,0),0)</f>
        <v>4</v>
      </c>
      <c r="G2031" s="2">
        <f t="shared" si="277"/>
        <v>0</v>
      </c>
      <c r="H2031" s="2">
        <f t="shared" si="278"/>
        <v>0</v>
      </c>
    </row>
    <row r="2032" spans="2:8">
      <c r="B2032" t="s">
        <v>1901</v>
      </c>
      <c r="C2032" t="s">
        <v>1902</v>
      </c>
      <c r="D2032" s="10" t="str">
        <f t="shared" si="272"/>
        <v>07-13</v>
      </c>
      <c r="E2032" s="1">
        <f>_xlfn.IFNA(VLOOKUP('Comp X - Kilter'!B2032,'Kilter Holds'!$P$36:$AB$370,10,0),0)</f>
        <v>0</v>
      </c>
      <c r="G2032" s="2">
        <f t="shared" si="277"/>
        <v>0</v>
      </c>
      <c r="H2032" s="2">
        <f t="shared" si="278"/>
        <v>0</v>
      </c>
    </row>
    <row r="2033" spans="2:8">
      <c r="B2033" t="s">
        <v>1901</v>
      </c>
      <c r="C2033" t="s">
        <v>1902</v>
      </c>
      <c r="D2033" s="11" t="str">
        <f t="shared" si="272"/>
        <v>11-25</v>
      </c>
      <c r="E2033" s="1">
        <f>_xlfn.IFNA(VLOOKUP('Comp X - Kilter'!B2033,'Kilter Holds'!$P$36:$AB$370,11,0),0)</f>
        <v>0</v>
      </c>
      <c r="G2033" s="2">
        <f t="shared" si="277"/>
        <v>0</v>
      </c>
      <c r="H2033" s="2">
        <f t="shared" si="278"/>
        <v>0</v>
      </c>
    </row>
    <row r="2034" spans="2:8">
      <c r="B2034" t="s">
        <v>1901</v>
      </c>
      <c r="C2034" t="s">
        <v>1902</v>
      </c>
      <c r="D2034" s="13" t="str">
        <f t="shared" si="272"/>
        <v>18-01</v>
      </c>
      <c r="E2034" s="1">
        <f>_xlfn.IFNA(VLOOKUP('Comp X - Kilter'!B2034,'Kilter Holds'!$P$36:$AB$370,12,0),0)</f>
        <v>5</v>
      </c>
      <c r="G2034" s="2">
        <f t="shared" si="277"/>
        <v>0</v>
      </c>
      <c r="H2034" s="2">
        <f t="shared" si="278"/>
        <v>0</v>
      </c>
    </row>
    <row r="2035" spans="2:8">
      <c r="B2035" t="s">
        <v>1901</v>
      </c>
      <c r="C2035" t="s">
        <v>1902</v>
      </c>
      <c r="D2035" s="12" t="str">
        <f t="shared" si="272"/>
        <v>12-01</v>
      </c>
      <c r="E2035" s="1">
        <f>_xlfn.IFNA(VLOOKUP('Comp X - Kilter'!B2035,'Kilter Holds'!$P$36:$AB$370,13,0),0)</f>
        <v>0</v>
      </c>
      <c r="G2035" s="2">
        <f t="shared" si="277"/>
        <v>0</v>
      </c>
      <c r="H2035" s="2">
        <f t="shared" si="278"/>
        <v>0</v>
      </c>
    </row>
    <row r="2036" spans="2:8">
      <c r="B2036" t="s">
        <v>2130</v>
      </c>
      <c r="C2036" t="s">
        <v>2132</v>
      </c>
      <c r="D2036" s="5" t="str">
        <f t="shared" si="272"/>
        <v>11-12</v>
      </c>
      <c r="E2036" s="1">
        <f>_xlfn.IFNA(VLOOKUP('Comp X - Kilter'!B2036,'Kilter Holds'!$P$36:$AB$370,5,0),0)</f>
        <v>5</v>
      </c>
      <c r="G2036" s="2">
        <f t="shared" ref="G2036:G2044" si="279">E2036*F2036</f>
        <v>0</v>
      </c>
      <c r="H2036" s="2">
        <f t="shared" ref="H2036:H2044" si="280">IF($S$11="Y",G2036*0.15,0)</f>
        <v>0</v>
      </c>
    </row>
    <row r="2037" spans="2:8">
      <c r="B2037" t="s">
        <v>2130</v>
      </c>
      <c r="C2037" t="s">
        <v>2132</v>
      </c>
      <c r="D2037" s="6" t="str">
        <f t="shared" si="272"/>
        <v>14-01</v>
      </c>
      <c r="E2037" s="1">
        <f>_xlfn.IFNA(VLOOKUP('Comp X - Kilter'!B2037,'Kilter Holds'!$P$36:$AB$370,6,0),0)</f>
        <v>0</v>
      </c>
      <c r="G2037" s="2">
        <f t="shared" si="279"/>
        <v>0</v>
      </c>
      <c r="H2037" s="2">
        <f t="shared" si="280"/>
        <v>0</v>
      </c>
    </row>
    <row r="2038" spans="2:8">
      <c r="B2038" t="s">
        <v>2130</v>
      </c>
      <c r="C2038" t="s">
        <v>2132</v>
      </c>
      <c r="D2038" s="7" t="str">
        <f t="shared" si="272"/>
        <v>15-12</v>
      </c>
      <c r="E2038" s="1">
        <f>_xlfn.IFNA(VLOOKUP('Comp X - Kilter'!B2038,'Kilter Holds'!$P$36:$AB$370,7,0),0)</f>
        <v>4</v>
      </c>
      <c r="G2038" s="2">
        <f t="shared" si="279"/>
        <v>0</v>
      </c>
      <c r="H2038" s="2">
        <f t="shared" si="280"/>
        <v>0</v>
      </c>
    </row>
    <row r="2039" spans="2:8">
      <c r="B2039" t="s">
        <v>2130</v>
      </c>
      <c r="C2039" t="s">
        <v>2132</v>
      </c>
      <c r="D2039" s="8" t="str">
        <f t="shared" si="272"/>
        <v>16-16</v>
      </c>
      <c r="E2039" s="1">
        <f>_xlfn.IFNA(VLOOKUP('Comp X - Kilter'!B2039,'Kilter Holds'!$P$36:$AB$370,8,0),0)</f>
        <v>0</v>
      </c>
      <c r="G2039" s="2">
        <f t="shared" si="279"/>
        <v>0</v>
      </c>
      <c r="H2039" s="2">
        <f t="shared" si="280"/>
        <v>0</v>
      </c>
    </row>
    <row r="2040" spans="2:8">
      <c r="B2040" t="s">
        <v>2130</v>
      </c>
      <c r="C2040" t="s">
        <v>2132</v>
      </c>
      <c r="D2040" s="9" t="str">
        <f t="shared" si="272"/>
        <v>13-01</v>
      </c>
      <c r="E2040" s="1">
        <f>_xlfn.IFNA(VLOOKUP('Comp X - Kilter'!B2040,'Kilter Holds'!$P$36:$AB$370,9,0),0)</f>
        <v>5</v>
      </c>
      <c r="G2040" s="2">
        <f t="shared" si="279"/>
        <v>0</v>
      </c>
      <c r="H2040" s="2">
        <f t="shared" si="280"/>
        <v>0</v>
      </c>
    </row>
    <row r="2041" spans="2:8">
      <c r="B2041" t="s">
        <v>2130</v>
      </c>
      <c r="C2041" t="s">
        <v>2132</v>
      </c>
      <c r="D2041" s="10" t="str">
        <f t="shared" si="272"/>
        <v>07-13</v>
      </c>
      <c r="E2041" s="1">
        <f>_xlfn.IFNA(VLOOKUP('Comp X - Kilter'!B2041,'Kilter Holds'!$P$36:$AB$370,10,0),0)</f>
        <v>0</v>
      </c>
      <c r="G2041" s="2">
        <f t="shared" si="279"/>
        <v>0</v>
      </c>
      <c r="H2041" s="2">
        <f t="shared" si="280"/>
        <v>0</v>
      </c>
    </row>
    <row r="2042" spans="2:8">
      <c r="B2042" t="s">
        <v>2130</v>
      </c>
      <c r="C2042" t="s">
        <v>2132</v>
      </c>
      <c r="D2042" s="11" t="str">
        <f t="shared" si="272"/>
        <v>11-25</v>
      </c>
      <c r="E2042" s="1">
        <f>_xlfn.IFNA(VLOOKUP('Comp X - Kilter'!B2042,'Kilter Holds'!$P$36:$AB$370,11,0),0)</f>
        <v>0</v>
      </c>
      <c r="G2042" s="2">
        <f t="shared" si="279"/>
        <v>0</v>
      </c>
      <c r="H2042" s="2">
        <f t="shared" si="280"/>
        <v>0</v>
      </c>
    </row>
    <row r="2043" spans="2:8">
      <c r="B2043" t="s">
        <v>2130</v>
      </c>
      <c r="C2043" t="s">
        <v>2132</v>
      </c>
      <c r="D2043" s="13" t="str">
        <f t="shared" si="272"/>
        <v>18-01</v>
      </c>
      <c r="E2043" s="1">
        <f>_xlfn.IFNA(VLOOKUP('Comp X - Kilter'!B2043,'Kilter Holds'!$P$36:$AB$370,12,0),0)</f>
        <v>10</v>
      </c>
      <c r="G2043" s="2">
        <f t="shared" si="279"/>
        <v>0</v>
      </c>
      <c r="H2043" s="2">
        <f t="shared" si="280"/>
        <v>0</v>
      </c>
    </row>
    <row r="2044" spans="2:8">
      <c r="B2044" t="s">
        <v>2130</v>
      </c>
      <c r="C2044" t="s">
        <v>2132</v>
      </c>
      <c r="D2044" s="12" t="str">
        <f t="shared" si="272"/>
        <v>12-01</v>
      </c>
      <c r="E2044" s="1">
        <f>_xlfn.IFNA(VLOOKUP('Comp X - Kilter'!B2044,'Kilter Holds'!$P$36:$AB$370,13,0),0)</f>
        <v>0</v>
      </c>
      <c r="G2044" s="2">
        <f t="shared" si="279"/>
        <v>0</v>
      </c>
      <c r="H2044" s="2">
        <f t="shared" si="280"/>
        <v>0</v>
      </c>
    </row>
    <row r="2045" spans="2:8">
      <c r="B2045" s="3" t="s">
        <v>1903</v>
      </c>
      <c r="C2045" s="3" t="s">
        <v>1904</v>
      </c>
      <c r="D2045" s="5" t="str">
        <f t="shared" ref="D2045:D2062" si="281">D1946</f>
        <v>11-12</v>
      </c>
      <c r="E2045" s="1">
        <f>_xlfn.IFNA(VLOOKUP('Comp X - Kilter'!B2045,'Kilter Holds'!$P$36:$AB$370,5,0),0)</f>
        <v>5</v>
      </c>
      <c r="G2045" s="2">
        <f t="shared" si="277"/>
        <v>0</v>
      </c>
      <c r="H2045" s="2">
        <f t="shared" si="278"/>
        <v>0</v>
      </c>
    </row>
    <row r="2046" spans="2:8">
      <c r="B2046" s="3" t="s">
        <v>1903</v>
      </c>
      <c r="C2046" s="3" t="s">
        <v>1904</v>
      </c>
      <c r="D2046" s="6" t="str">
        <f t="shared" si="281"/>
        <v>14-01</v>
      </c>
      <c r="E2046" s="1">
        <f>_xlfn.IFNA(VLOOKUP('Comp X - Kilter'!B2046,'Kilter Holds'!$P$36:$AB$370,6,0),0)</f>
        <v>0</v>
      </c>
      <c r="G2046" s="2">
        <f t="shared" si="277"/>
        <v>0</v>
      </c>
      <c r="H2046" s="2">
        <f t="shared" si="278"/>
        <v>0</v>
      </c>
    </row>
    <row r="2047" spans="2:8">
      <c r="B2047" s="3" t="s">
        <v>1903</v>
      </c>
      <c r="C2047" s="3" t="s">
        <v>1904</v>
      </c>
      <c r="D2047" s="7" t="str">
        <f t="shared" si="281"/>
        <v>15-12</v>
      </c>
      <c r="E2047" s="1">
        <f>_xlfn.IFNA(VLOOKUP('Comp X - Kilter'!B2047,'Kilter Holds'!$P$36:$AB$370,7,0),0)</f>
        <v>5</v>
      </c>
      <c r="G2047" s="2">
        <f t="shared" si="277"/>
        <v>0</v>
      </c>
      <c r="H2047" s="2">
        <f t="shared" si="278"/>
        <v>0</v>
      </c>
    </row>
    <row r="2048" spans="2:8">
      <c r="B2048" s="3" t="s">
        <v>1903</v>
      </c>
      <c r="C2048" s="3" t="s">
        <v>1904</v>
      </c>
      <c r="D2048" s="8" t="str">
        <f t="shared" si="281"/>
        <v>16-16</v>
      </c>
      <c r="E2048" s="1">
        <f>_xlfn.IFNA(VLOOKUP('Comp X - Kilter'!B2048,'Kilter Holds'!$P$36:$AB$370,8,0),0)</f>
        <v>0</v>
      </c>
      <c r="G2048" s="2">
        <f t="shared" si="277"/>
        <v>0</v>
      </c>
      <c r="H2048" s="2">
        <f t="shared" si="278"/>
        <v>0</v>
      </c>
    </row>
    <row r="2049" spans="2:8">
      <c r="B2049" s="3" t="s">
        <v>1903</v>
      </c>
      <c r="C2049" s="3" t="s">
        <v>1904</v>
      </c>
      <c r="D2049" s="9" t="str">
        <f t="shared" si="281"/>
        <v>13-01</v>
      </c>
      <c r="E2049" s="1">
        <f>_xlfn.IFNA(VLOOKUP('Comp X - Kilter'!B2049,'Kilter Holds'!$P$36:$AB$370,9,0),0)</f>
        <v>5</v>
      </c>
      <c r="G2049" s="2">
        <f t="shared" si="277"/>
        <v>0</v>
      </c>
      <c r="H2049" s="2">
        <f t="shared" si="278"/>
        <v>0</v>
      </c>
    </row>
    <row r="2050" spans="2:8">
      <c r="B2050" s="3" t="s">
        <v>1903</v>
      </c>
      <c r="C2050" s="3" t="s">
        <v>1904</v>
      </c>
      <c r="D2050" s="10" t="str">
        <f t="shared" si="281"/>
        <v>07-13</v>
      </c>
      <c r="E2050" s="1">
        <f>_xlfn.IFNA(VLOOKUP('Comp X - Kilter'!B2050,'Kilter Holds'!$P$36:$AB$370,10,0),0)</f>
        <v>0</v>
      </c>
      <c r="G2050" s="2">
        <f t="shared" si="277"/>
        <v>0</v>
      </c>
      <c r="H2050" s="2">
        <f t="shared" si="278"/>
        <v>0</v>
      </c>
    </row>
    <row r="2051" spans="2:8">
      <c r="B2051" s="3" t="s">
        <v>1903</v>
      </c>
      <c r="C2051" s="3" t="s">
        <v>1904</v>
      </c>
      <c r="D2051" s="11" t="str">
        <f t="shared" si="281"/>
        <v>11-25</v>
      </c>
      <c r="E2051" s="1">
        <f>_xlfn.IFNA(VLOOKUP('Comp X - Kilter'!B2051,'Kilter Holds'!$P$36:$AB$370,11,0),0)</f>
        <v>0</v>
      </c>
      <c r="G2051" s="2">
        <f t="shared" si="277"/>
        <v>0</v>
      </c>
      <c r="H2051" s="2">
        <f t="shared" si="278"/>
        <v>0</v>
      </c>
    </row>
    <row r="2052" spans="2:8">
      <c r="B2052" s="3" t="s">
        <v>1903</v>
      </c>
      <c r="C2052" s="3" t="s">
        <v>1904</v>
      </c>
      <c r="D2052" s="13" t="str">
        <f t="shared" si="281"/>
        <v>18-01</v>
      </c>
      <c r="E2052" s="1">
        <f>_xlfn.IFNA(VLOOKUP('Comp X - Kilter'!B2052,'Kilter Holds'!$P$36:$AB$370,12,0),0)</f>
        <v>11</v>
      </c>
      <c r="G2052" s="2">
        <f t="shared" si="277"/>
        <v>0</v>
      </c>
      <c r="H2052" s="2">
        <f t="shared" si="278"/>
        <v>0</v>
      </c>
    </row>
    <row r="2053" spans="2:8">
      <c r="B2053" s="3" t="s">
        <v>1903</v>
      </c>
      <c r="C2053" s="3" t="s">
        <v>1904</v>
      </c>
      <c r="D2053" s="12" t="str">
        <f t="shared" si="281"/>
        <v>12-01</v>
      </c>
      <c r="E2053" s="1">
        <f>_xlfn.IFNA(VLOOKUP('Comp X - Kilter'!B2053,'Kilter Holds'!$P$36:$AB$370,13,0),0)</f>
        <v>0</v>
      </c>
      <c r="G2053" s="2">
        <f t="shared" si="277"/>
        <v>0</v>
      </c>
      <c r="H2053" s="2">
        <f t="shared" si="278"/>
        <v>0</v>
      </c>
    </row>
    <row r="2054" spans="2:8">
      <c r="B2054" s="3" t="s">
        <v>1967</v>
      </c>
      <c r="C2054" s="3" t="s">
        <v>1968</v>
      </c>
      <c r="D2054" s="5" t="str">
        <f t="shared" si="281"/>
        <v>11-12</v>
      </c>
      <c r="E2054" s="1">
        <f>_xlfn.IFNA(VLOOKUP('Comp X - Kilter'!B2054,'Kilter Holds'!$P$36:$AB$370,5,0),0)</f>
        <v>4</v>
      </c>
      <c r="G2054" s="2">
        <f t="shared" ref="G2054:G2062" si="282">E2054*F2054</f>
        <v>0</v>
      </c>
      <c r="H2054" s="2">
        <f t="shared" ref="H2054:H2062" si="283">IF($S$11="Y",G2054*0.15,0)</f>
        <v>0</v>
      </c>
    </row>
    <row r="2055" spans="2:8">
      <c r="B2055" s="3" t="s">
        <v>1967</v>
      </c>
      <c r="C2055" s="3" t="s">
        <v>1968</v>
      </c>
      <c r="D2055" s="6" t="str">
        <f t="shared" si="281"/>
        <v>14-01</v>
      </c>
      <c r="E2055" s="1">
        <f>_xlfn.IFNA(VLOOKUP('Comp X - Kilter'!B2055,'Kilter Holds'!$P$36:$AB$370,6,0),0)</f>
        <v>0</v>
      </c>
      <c r="G2055" s="2">
        <f t="shared" si="282"/>
        <v>0</v>
      </c>
      <c r="H2055" s="2">
        <f t="shared" si="283"/>
        <v>0</v>
      </c>
    </row>
    <row r="2056" spans="2:8">
      <c r="B2056" s="3" t="s">
        <v>1967</v>
      </c>
      <c r="C2056" s="3" t="s">
        <v>1968</v>
      </c>
      <c r="D2056" s="7" t="str">
        <f t="shared" si="281"/>
        <v>15-12</v>
      </c>
      <c r="E2056" s="1">
        <f>_xlfn.IFNA(VLOOKUP('Comp X - Kilter'!B2056,'Kilter Holds'!$P$36:$AB$370,7,0),0)</f>
        <v>7</v>
      </c>
      <c r="G2056" s="2">
        <f t="shared" si="282"/>
        <v>0</v>
      </c>
      <c r="H2056" s="2">
        <f t="shared" si="283"/>
        <v>0</v>
      </c>
    </row>
    <row r="2057" spans="2:8">
      <c r="B2057" s="3" t="s">
        <v>1967</v>
      </c>
      <c r="C2057" s="3" t="s">
        <v>1968</v>
      </c>
      <c r="D2057" s="8" t="str">
        <f t="shared" si="281"/>
        <v>16-16</v>
      </c>
      <c r="E2057" s="1">
        <f>_xlfn.IFNA(VLOOKUP('Comp X - Kilter'!B2057,'Kilter Holds'!$P$36:$AB$370,8,0),0)</f>
        <v>0</v>
      </c>
      <c r="G2057" s="2">
        <f t="shared" si="282"/>
        <v>0</v>
      </c>
      <c r="H2057" s="2">
        <f t="shared" si="283"/>
        <v>0</v>
      </c>
    </row>
    <row r="2058" spans="2:8">
      <c r="B2058" s="3" t="s">
        <v>1967</v>
      </c>
      <c r="C2058" s="3" t="s">
        <v>1968</v>
      </c>
      <c r="D2058" s="9" t="str">
        <f t="shared" si="281"/>
        <v>13-01</v>
      </c>
      <c r="E2058" s="1">
        <f>_xlfn.IFNA(VLOOKUP('Comp X - Kilter'!B2058,'Kilter Holds'!$P$36:$AB$370,9,0),0)</f>
        <v>5</v>
      </c>
      <c r="G2058" s="2">
        <f t="shared" si="282"/>
        <v>0</v>
      </c>
      <c r="H2058" s="2">
        <f t="shared" si="283"/>
        <v>0</v>
      </c>
    </row>
    <row r="2059" spans="2:8">
      <c r="B2059" s="3" t="s">
        <v>1967</v>
      </c>
      <c r="C2059" s="3" t="s">
        <v>1968</v>
      </c>
      <c r="D2059" s="10" t="str">
        <f t="shared" si="281"/>
        <v>07-13</v>
      </c>
      <c r="E2059" s="1">
        <f>_xlfn.IFNA(VLOOKUP('Comp X - Kilter'!B2059,'Kilter Holds'!$P$36:$AB$370,10,0),0)</f>
        <v>0</v>
      </c>
      <c r="G2059" s="2">
        <f t="shared" si="282"/>
        <v>0</v>
      </c>
      <c r="H2059" s="2">
        <f t="shared" si="283"/>
        <v>0</v>
      </c>
    </row>
    <row r="2060" spans="2:8">
      <c r="B2060" s="3" t="s">
        <v>1967</v>
      </c>
      <c r="C2060" s="3" t="s">
        <v>1968</v>
      </c>
      <c r="D2060" s="11" t="str">
        <f t="shared" si="281"/>
        <v>11-25</v>
      </c>
      <c r="E2060" s="1">
        <f>_xlfn.IFNA(VLOOKUP('Comp X - Kilter'!B2060,'Kilter Holds'!$P$36:$AB$370,11,0),0)</f>
        <v>0</v>
      </c>
      <c r="G2060" s="2">
        <f t="shared" si="282"/>
        <v>0</v>
      </c>
      <c r="H2060" s="2">
        <f t="shared" si="283"/>
        <v>0</v>
      </c>
    </row>
    <row r="2061" spans="2:8">
      <c r="B2061" s="3" t="s">
        <v>1967</v>
      </c>
      <c r="C2061" s="3" t="s">
        <v>1968</v>
      </c>
      <c r="D2061" s="13" t="str">
        <f t="shared" si="281"/>
        <v>18-01</v>
      </c>
      <c r="E2061" s="1">
        <f>_xlfn.IFNA(VLOOKUP('Comp X - Kilter'!B2061,'Kilter Holds'!$P$36:$AB$370,12,0),0)</f>
        <v>11</v>
      </c>
      <c r="G2061" s="2">
        <f t="shared" si="282"/>
        <v>0</v>
      </c>
      <c r="H2061" s="2">
        <f t="shared" si="283"/>
        <v>0</v>
      </c>
    </row>
    <row r="2062" spans="2:8">
      <c r="B2062" s="3" t="s">
        <v>1967</v>
      </c>
      <c r="C2062" s="3" t="s">
        <v>1968</v>
      </c>
      <c r="D2062" s="12" t="str">
        <f t="shared" si="281"/>
        <v>12-01</v>
      </c>
      <c r="E2062" s="1">
        <f>_xlfn.IFNA(VLOOKUP('Comp X - Kilter'!B2062,'Kilter Holds'!$P$36:$AB$370,13,0),0)</f>
        <v>0</v>
      </c>
      <c r="G2062" s="2">
        <f t="shared" si="282"/>
        <v>0</v>
      </c>
      <c r="H2062" s="2">
        <f t="shared" si="283"/>
        <v>0</v>
      </c>
    </row>
    <row r="2063" spans="2:8">
      <c r="B2063" s="3" t="s">
        <v>1709</v>
      </c>
      <c r="C2063" s="3" t="s">
        <v>1710</v>
      </c>
      <c r="D2063" s="5" t="str">
        <f t="shared" ref="D2063:D2071" si="284">D1847</f>
        <v>11-12</v>
      </c>
      <c r="E2063" s="1">
        <f>_xlfn.IFNA(VLOOKUP('Comp X - Kilter'!B2063,'Kilter Holds'!$P$36:$AB$370,5,0),0)</f>
        <v>5</v>
      </c>
      <c r="G2063" s="2">
        <f t="shared" ref="G2063:G2071" si="285">E2063*F2063</f>
        <v>0</v>
      </c>
      <c r="H2063" s="2">
        <f t="shared" ref="H2063:H2071" si="286">IF($S$11="Y",G2063*0.15,0)</f>
        <v>0</v>
      </c>
    </row>
    <row r="2064" spans="2:8">
      <c r="B2064" s="3" t="s">
        <v>1709</v>
      </c>
      <c r="C2064" s="3" t="s">
        <v>1710</v>
      </c>
      <c r="D2064" s="6" t="str">
        <f t="shared" si="284"/>
        <v>14-01</v>
      </c>
      <c r="E2064" s="1">
        <f>_xlfn.IFNA(VLOOKUP('Comp X - Kilter'!B2064,'Kilter Holds'!$P$36:$AB$370,6,0),0)</f>
        <v>0</v>
      </c>
      <c r="G2064" s="2">
        <f t="shared" si="285"/>
        <v>0</v>
      </c>
      <c r="H2064" s="2">
        <f t="shared" si="286"/>
        <v>0</v>
      </c>
    </row>
    <row r="2065" spans="2:8">
      <c r="B2065" s="3" t="s">
        <v>1709</v>
      </c>
      <c r="C2065" s="3" t="s">
        <v>1710</v>
      </c>
      <c r="D2065" s="7" t="str">
        <f t="shared" si="284"/>
        <v>15-12</v>
      </c>
      <c r="E2065" s="1">
        <f>_xlfn.IFNA(VLOOKUP('Comp X - Kilter'!B2065,'Kilter Holds'!$P$36:$AB$370,7,0),0)</f>
        <v>4</v>
      </c>
      <c r="G2065" s="2">
        <f t="shared" si="285"/>
        <v>0</v>
      </c>
      <c r="H2065" s="2">
        <f t="shared" si="286"/>
        <v>0</v>
      </c>
    </row>
    <row r="2066" spans="2:8">
      <c r="B2066" s="3" t="s">
        <v>1709</v>
      </c>
      <c r="C2066" s="3" t="s">
        <v>1710</v>
      </c>
      <c r="D2066" s="8" t="str">
        <f t="shared" si="284"/>
        <v>16-16</v>
      </c>
      <c r="E2066" s="1">
        <f>_xlfn.IFNA(VLOOKUP('Comp X - Kilter'!B2066,'Kilter Holds'!$P$36:$AB$370,8,0),0)</f>
        <v>0</v>
      </c>
      <c r="G2066" s="2">
        <f t="shared" si="285"/>
        <v>0</v>
      </c>
      <c r="H2066" s="2">
        <f t="shared" si="286"/>
        <v>0</v>
      </c>
    </row>
    <row r="2067" spans="2:8">
      <c r="B2067" s="3" t="s">
        <v>1709</v>
      </c>
      <c r="C2067" s="3" t="s">
        <v>1710</v>
      </c>
      <c r="D2067" s="9" t="str">
        <f t="shared" si="284"/>
        <v>13-01</v>
      </c>
      <c r="E2067" s="1">
        <f>_xlfn.IFNA(VLOOKUP('Comp X - Kilter'!B2067,'Kilter Holds'!$P$36:$AB$370,9,0),0)</f>
        <v>4</v>
      </c>
      <c r="G2067" s="2">
        <f t="shared" si="285"/>
        <v>0</v>
      </c>
      <c r="H2067" s="2">
        <f t="shared" si="286"/>
        <v>0</v>
      </c>
    </row>
    <row r="2068" spans="2:8">
      <c r="B2068" s="3" t="s">
        <v>1709</v>
      </c>
      <c r="C2068" s="3" t="s">
        <v>1710</v>
      </c>
      <c r="D2068" s="10" t="str">
        <f t="shared" si="284"/>
        <v>07-13</v>
      </c>
      <c r="E2068" s="1">
        <f>_xlfn.IFNA(VLOOKUP('Comp X - Kilter'!B2068,'Kilter Holds'!$P$36:$AB$370,10,0),0)</f>
        <v>0</v>
      </c>
      <c r="G2068" s="2">
        <f t="shared" si="285"/>
        <v>0</v>
      </c>
      <c r="H2068" s="2">
        <f t="shared" si="286"/>
        <v>0</v>
      </c>
    </row>
    <row r="2069" spans="2:8">
      <c r="B2069" s="3" t="s">
        <v>1709</v>
      </c>
      <c r="C2069" s="3" t="s">
        <v>1710</v>
      </c>
      <c r="D2069" s="11" t="str">
        <f t="shared" si="284"/>
        <v>11-25</v>
      </c>
      <c r="E2069" s="1">
        <f>_xlfn.IFNA(VLOOKUP('Comp X - Kilter'!B2069,'Kilter Holds'!$P$36:$AB$370,11,0),0)</f>
        <v>0</v>
      </c>
      <c r="G2069" s="2">
        <f t="shared" si="285"/>
        <v>0</v>
      </c>
      <c r="H2069" s="2">
        <f t="shared" si="286"/>
        <v>0</v>
      </c>
    </row>
    <row r="2070" spans="2:8">
      <c r="B2070" s="3" t="s">
        <v>1709</v>
      </c>
      <c r="C2070" s="3" t="s">
        <v>1710</v>
      </c>
      <c r="D2070" s="13" t="str">
        <f t="shared" si="284"/>
        <v>18-01</v>
      </c>
      <c r="E2070" s="1">
        <f>_xlfn.IFNA(VLOOKUP('Comp X - Kilter'!B2070,'Kilter Holds'!$P$36:$AB$370,12,0),0)</f>
        <v>10</v>
      </c>
      <c r="G2070" s="2">
        <f t="shared" si="285"/>
        <v>0</v>
      </c>
      <c r="H2070" s="2">
        <f t="shared" si="286"/>
        <v>0</v>
      </c>
    </row>
    <row r="2071" spans="2:8">
      <c r="B2071" s="3" t="s">
        <v>1709</v>
      </c>
      <c r="C2071" s="3" t="s">
        <v>1710</v>
      </c>
      <c r="D2071" s="12" t="str">
        <f t="shared" si="284"/>
        <v>12-01</v>
      </c>
      <c r="E2071" s="1">
        <f>_xlfn.IFNA(VLOOKUP('Comp X - Kilter'!B2071,'Kilter Holds'!$P$36:$AB$370,13,0),0)</f>
        <v>0</v>
      </c>
      <c r="G2071" s="2">
        <f t="shared" si="285"/>
        <v>0</v>
      </c>
      <c r="H2071" s="2">
        <f t="shared" si="286"/>
        <v>0</v>
      </c>
    </row>
    <row r="2072" spans="2:8">
      <c r="B2072" s="3" t="s">
        <v>1725</v>
      </c>
      <c r="C2072" s="3" t="s">
        <v>1726</v>
      </c>
      <c r="D2072" s="5" t="str">
        <f t="shared" ref="D2072:D2080" si="287">D1892</f>
        <v>11-12</v>
      </c>
      <c r="E2072" s="1">
        <f>_xlfn.IFNA(VLOOKUP('Comp X - Kilter'!B2072,'Kilter Holds'!$P$36:$AB$370,5,0),0)</f>
        <v>5</v>
      </c>
      <c r="G2072" s="2">
        <f t="shared" ref="G2072:G2080" si="288">E2072*F2072</f>
        <v>0</v>
      </c>
      <c r="H2072" s="2">
        <f t="shared" ref="H2072:H2080" si="289">IF($S$11="Y",G2072*0.15,0)</f>
        <v>0</v>
      </c>
    </row>
    <row r="2073" spans="2:8">
      <c r="B2073" s="3" t="s">
        <v>1725</v>
      </c>
      <c r="C2073" s="3" t="s">
        <v>1726</v>
      </c>
      <c r="D2073" s="6" t="str">
        <f t="shared" si="287"/>
        <v>14-01</v>
      </c>
      <c r="E2073" s="1">
        <f>_xlfn.IFNA(VLOOKUP('Comp X - Kilter'!B2073,'Kilter Holds'!$P$36:$AB$370,6,0),0)</f>
        <v>0</v>
      </c>
      <c r="G2073" s="2">
        <f t="shared" si="288"/>
        <v>0</v>
      </c>
      <c r="H2073" s="2">
        <f t="shared" si="289"/>
        <v>0</v>
      </c>
    </row>
    <row r="2074" spans="2:8">
      <c r="B2074" s="3" t="s">
        <v>1725</v>
      </c>
      <c r="C2074" s="3" t="s">
        <v>1726</v>
      </c>
      <c r="D2074" s="7" t="str">
        <f t="shared" si="287"/>
        <v>15-12</v>
      </c>
      <c r="E2074" s="1">
        <f>_xlfn.IFNA(VLOOKUP('Comp X - Kilter'!B2074,'Kilter Holds'!$P$36:$AB$370,7,0),0)</f>
        <v>5</v>
      </c>
      <c r="G2074" s="2">
        <f t="shared" si="288"/>
        <v>0</v>
      </c>
      <c r="H2074" s="2">
        <f t="shared" si="289"/>
        <v>0</v>
      </c>
    </row>
    <row r="2075" spans="2:8">
      <c r="B2075" s="3" t="s">
        <v>1725</v>
      </c>
      <c r="C2075" s="3" t="s">
        <v>1726</v>
      </c>
      <c r="D2075" s="8" t="str">
        <f t="shared" si="287"/>
        <v>16-16</v>
      </c>
      <c r="E2075" s="1">
        <f>_xlfn.IFNA(VLOOKUP('Comp X - Kilter'!B2075,'Kilter Holds'!$P$36:$AB$370,8,0),0)</f>
        <v>0</v>
      </c>
      <c r="G2075" s="2">
        <f t="shared" si="288"/>
        <v>0</v>
      </c>
      <c r="H2075" s="2">
        <f t="shared" si="289"/>
        <v>0</v>
      </c>
    </row>
    <row r="2076" spans="2:8">
      <c r="B2076" s="3" t="s">
        <v>1725</v>
      </c>
      <c r="C2076" s="3" t="s">
        <v>1726</v>
      </c>
      <c r="D2076" s="9" t="str">
        <f t="shared" si="287"/>
        <v>13-01</v>
      </c>
      <c r="E2076" s="1">
        <f>_xlfn.IFNA(VLOOKUP('Comp X - Kilter'!B2076,'Kilter Holds'!$P$36:$AB$370,9,0),0)</f>
        <v>4</v>
      </c>
      <c r="G2076" s="2">
        <f t="shared" si="288"/>
        <v>0</v>
      </c>
      <c r="H2076" s="2">
        <f t="shared" si="289"/>
        <v>0</v>
      </c>
    </row>
    <row r="2077" spans="2:8">
      <c r="B2077" s="3" t="s">
        <v>1725</v>
      </c>
      <c r="C2077" s="3" t="s">
        <v>1726</v>
      </c>
      <c r="D2077" s="10" t="str">
        <f t="shared" si="287"/>
        <v>07-13</v>
      </c>
      <c r="E2077" s="1">
        <f>_xlfn.IFNA(VLOOKUP('Comp X - Kilter'!B2077,'Kilter Holds'!$P$36:$AB$370,10,0),0)</f>
        <v>0</v>
      </c>
      <c r="G2077" s="2">
        <f t="shared" si="288"/>
        <v>0</v>
      </c>
      <c r="H2077" s="2">
        <f t="shared" si="289"/>
        <v>0</v>
      </c>
    </row>
    <row r="2078" spans="2:8">
      <c r="B2078" s="3" t="s">
        <v>1725</v>
      </c>
      <c r="C2078" s="3" t="s">
        <v>1726</v>
      </c>
      <c r="D2078" s="11" t="str">
        <f t="shared" si="287"/>
        <v>11-25</v>
      </c>
      <c r="E2078" s="1">
        <f>_xlfn.IFNA(VLOOKUP('Comp X - Kilter'!B2078,'Kilter Holds'!$P$36:$AB$370,11,0),0)</f>
        <v>0</v>
      </c>
      <c r="G2078" s="2">
        <f t="shared" si="288"/>
        <v>0</v>
      </c>
      <c r="H2078" s="2">
        <f t="shared" si="289"/>
        <v>0</v>
      </c>
    </row>
    <row r="2079" spans="2:8">
      <c r="B2079" s="3" t="s">
        <v>1725</v>
      </c>
      <c r="C2079" s="3" t="s">
        <v>1726</v>
      </c>
      <c r="D2079" s="13" t="str">
        <f t="shared" si="287"/>
        <v>18-01</v>
      </c>
      <c r="E2079" s="1">
        <f>_xlfn.IFNA(VLOOKUP('Comp X - Kilter'!B2079,'Kilter Holds'!$P$36:$AB$370,12,0),0)</f>
        <v>9</v>
      </c>
      <c r="G2079" s="2">
        <f t="shared" si="288"/>
        <v>0</v>
      </c>
      <c r="H2079" s="2">
        <f t="shared" si="289"/>
        <v>0</v>
      </c>
    </row>
    <row r="2080" spans="2:8">
      <c r="B2080" s="3" t="s">
        <v>1725</v>
      </c>
      <c r="C2080" s="3" t="s">
        <v>1726</v>
      </c>
      <c r="D2080" s="12" t="str">
        <f t="shared" si="287"/>
        <v>12-01</v>
      </c>
      <c r="E2080" s="1">
        <f>_xlfn.IFNA(VLOOKUP('Comp X - Kilter'!B2080,'Kilter Holds'!$P$36:$AB$370,13,0),0)</f>
        <v>0</v>
      </c>
      <c r="G2080" s="2">
        <f t="shared" si="288"/>
        <v>0</v>
      </c>
      <c r="H2080" s="2">
        <f t="shared" si="289"/>
        <v>0</v>
      </c>
    </row>
    <row r="2081" spans="2:8">
      <c r="B2081" t="s">
        <v>1655</v>
      </c>
      <c r="C2081" t="s">
        <v>1671</v>
      </c>
      <c r="D2081" s="5" t="str">
        <f t="shared" ref="D2081:D2098" si="290">D1991</f>
        <v>11-12</v>
      </c>
      <c r="E2081" s="1">
        <f>_xlfn.IFNA(VLOOKUP('Comp X - Kilter'!B2081,'Kilter Holds'!$P$36:$AB$370,5,0),0)</f>
        <v>5</v>
      </c>
      <c r="G2081" s="2">
        <f t="shared" si="236"/>
        <v>0</v>
      </c>
      <c r="H2081" s="2">
        <f t="shared" si="237"/>
        <v>0</v>
      </c>
    </row>
    <row r="2082" spans="2:8">
      <c r="B2082" t="s">
        <v>1655</v>
      </c>
      <c r="C2082" t="s">
        <v>1671</v>
      </c>
      <c r="D2082" s="6" t="str">
        <f t="shared" si="290"/>
        <v>14-01</v>
      </c>
      <c r="E2082" s="1">
        <f>_xlfn.IFNA(VLOOKUP('Comp X - Kilter'!B2082,'Kilter Holds'!$P$36:$AB$370,6,0),0)</f>
        <v>0</v>
      </c>
      <c r="G2082" s="2">
        <f t="shared" si="236"/>
        <v>0</v>
      </c>
      <c r="H2082" s="2">
        <f t="shared" si="237"/>
        <v>0</v>
      </c>
    </row>
    <row r="2083" spans="2:8">
      <c r="B2083" t="s">
        <v>1655</v>
      </c>
      <c r="C2083" t="s">
        <v>1671</v>
      </c>
      <c r="D2083" s="7" t="str">
        <f t="shared" si="290"/>
        <v>15-12</v>
      </c>
      <c r="E2083" s="1">
        <f>_xlfn.IFNA(VLOOKUP('Comp X - Kilter'!B2083,'Kilter Holds'!$P$36:$AB$370,7,0),0)</f>
        <v>5</v>
      </c>
      <c r="G2083" s="2">
        <f t="shared" si="236"/>
        <v>0</v>
      </c>
      <c r="H2083" s="2">
        <f t="shared" si="237"/>
        <v>0</v>
      </c>
    </row>
    <row r="2084" spans="2:8">
      <c r="B2084" t="s">
        <v>1655</v>
      </c>
      <c r="C2084" t="s">
        <v>1671</v>
      </c>
      <c r="D2084" s="8" t="str">
        <f t="shared" si="290"/>
        <v>16-16</v>
      </c>
      <c r="E2084" s="1">
        <f>_xlfn.IFNA(VLOOKUP('Comp X - Kilter'!B2084,'Kilter Holds'!$P$36:$AB$370,8,0),0)</f>
        <v>0</v>
      </c>
      <c r="G2084" s="2">
        <f t="shared" si="236"/>
        <v>0</v>
      </c>
      <c r="H2084" s="2">
        <f t="shared" si="237"/>
        <v>0</v>
      </c>
    </row>
    <row r="2085" spans="2:8">
      <c r="B2085" t="s">
        <v>1655</v>
      </c>
      <c r="C2085" t="s">
        <v>1671</v>
      </c>
      <c r="D2085" s="9" t="str">
        <f t="shared" si="290"/>
        <v>13-01</v>
      </c>
      <c r="E2085" s="1">
        <f>_xlfn.IFNA(VLOOKUP('Comp X - Kilter'!B2085,'Kilter Holds'!$P$36:$AB$370,9,0),0)</f>
        <v>4</v>
      </c>
      <c r="G2085" s="2">
        <f t="shared" si="236"/>
        <v>0</v>
      </c>
      <c r="H2085" s="2">
        <f t="shared" si="237"/>
        <v>0</v>
      </c>
    </row>
    <row r="2086" spans="2:8">
      <c r="B2086" t="s">
        <v>1655</v>
      </c>
      <c r="C2086" t="s">
        <v>1671</v>
      </c>
      <c r="D2086" s="10" t="str">
        <f t="shared" si="290"/>
        <v>07-13</v>
      </c>
      <c r="E2086" s="1">
        <f>_xlfn.IFNA(VLOOKUP('Comp X - Kilter'!B2086,'Kilter Holds'!$P$36:$AB$370,10,0),0)</f>
        <v>0</v>
      </c>
      <c r="G2086" s="2">
        <f t="shared" si="236"/>
        <v>0</v>
      </c>
      <c r="H2086" s="2">
        <f t="shared" si="237"/>
        <v>0</v>
      </c>
    </row>
    <row r="2087" spans="2:8">
      <c r="B2087" t="s">
        <v>1655</v>
      </c>
      <c r="C2087" t="s">
        <v>1671</v>
      </c>
      <c r="D2087" s="11" t="str">
        <f t="shared" si="290"/>
        <v>11-25</v>
      </c>
      <c r="E2087" s="1">
        <f>_xlfn.IFNA(VLOOKUP('Comp X - Kilter'!B2087,'Kilter Holds'!$P$36:$AB$370,11,0),0)</f>
        <v>0</v>
      </c>
      <c r="G2087" s="2">
        <f t="shared" si="236"/>
        <v>0</v>
      </c>
      <c r="H2087" s="2">
        <f t="shared" si="237"/>
        <v>0</v>
      </c>
    </row>
    <row r="2088" spans="2:8">
      <c r="B2088" t="s">
        <v>1655</v>
      </c>
      <c r="C2088" t="s">
        <v>1671</v>
      </c>
      <c r="D2088" s="13" t="str">
        <f t="shared" si="290"/>
        <v>18-01</v>
      </c>
      <c r="E2088" s="1">
        <f>_xlfn.IFNA(VLOOKUP('Comp X - Kilter'!B2088,'Kilter Holds'!$P$36:$AB$370,12,0),0)</f>
        <v>10</v>
      </c>
      <c r="G2088" s="2">
        <f t="shared" si="236"/>
        <v>0</v>
      </c>
      <c r="H2088" s="2">
        <f t="shared" si="237"/>
        <v>0</v>
      </c>
    </row>
    <row r="2089" spans="2:8">
      <c r="B2089" t="s">
        <v>1655</v>
      </c>
      <c r="C2089" t="s">
        <v>1671</v>
      </c>
      <c r="D2089" s="12" t="str">
        <f t="shared" si="290"/>
        <v>12-01</v>
      </c>
      <c r="E2089" s="1">
        <f>_xlfn.IFNA(VLOOKUP('Comp X - Kilter'!B2089,'Kilter Holds'!$P$36:$AB$370,13,0),0)</f>
        <v>0</v>
      </c>
      <c r="G2089" s="2">
        <f t="shared" si="236"/>
        <v>0</v>
      </c>
      <c r="H2089" s="2">
        <f t="shared" si="237"/>
        <v>0</v>
      </c>
    </row>
    <row r="2090" spans="2:8">
      <c r="B2090" t="s">
        <v>1808</v>
      </c>
      <c r="C2090" t="s">
        <v>1809</v>
      </c>
      <c r="D2090" s="5" t="str">
        <f t="shared" si="290"/>
        <v>11-12</v>
      </c>
      <c r="E2090" s="1">
        <f>_xlfn.IFNA(VLOOKUP('Comp X - Kilter'!B2090,'Kilter Holds'!$P$36:$AB$370,5,0),0)</f>
        <v>4</v>
      </c>
      <c r="G2090" s="2">
        <f t="shared" ref="G2090:G2098" si="291">E2090*F2090</f>
        <v>0</v>
      </c>
      <c r="H2090" s="2">
        <f t="shared" ref="H2090:H2098" si="292">IF($S$11="Y",G2090*0.15,0)</f>
        <v>0</v>
      </c>
    </row>
    <row r="2091" spans="2:8">
      <c r="B2091" t="s">
        <v>1808</v>
      </c>
      <c r="C2091" t="s">
        <v>1809</v>
      </c>
      <c r="D2091" s="6" t="str">
        <f t="shared" si="290"/>
        <v>14-01</v>
      </c>
      <c r="E2091" s="1">
        <f>_xlfn.IFNA(VLOOKUP('Comp X - Kilter'!B2091,'Kilter Holds'!$P$36:$AB$370,6,0),0)</f>
        <v>0</v>
      </c>
      <c r="G2091" s="2">
        <f t="shared" si="291"/>
        <v>0</v>
      </c>
      <c r="H2091" s="2">
        <f t="shared" si="292"/>
        <v>0</v>
      </c>
    </row>
    <row r="2092" spans="2:8">
      <c r="B2092" t="s">
        <v>1808</v>
      </c>
      <c r="C2092" t="s">
        <v>1809</v>
      </c>
      <c r="D2092" s="7" t="str">
        <f t="shared" si="290"/>
        <v>15-12</v>
      </c>
      <c r="E2092" s="1">
        <f>_xlfn.IFNA(VLOOKUP('Comp X - Kilter'!B2092,'Kilter Holds'!$P$36:$AB$370,7,0),0)</f>
        <v>3</v>
      </c>
      <c r="G2092" s="2">
        <f t="shared" si="291"/>
        <v>0</v>
      </c>
      <c r="H2092" s="2">
        <f t="shared" si="292"/>
        <v>0</v>
      </c>
    </row>
    <row r="2093" spans="2:8">
      <c r="B2093" t="s">
        <v>1808</v>
      </c>
      <c r="C2093" t="s">
        <v>1809</v>
      </c>
      <c r="D2093" s="8" t="str">
        <f t="shared" si="290"/>
        <v>16-16</v>
      </c>
      <c r="E2093" s="1">
        <f>_xlfn.IFNA(VLOOKUP('Comp X - Kilter'!B2093,'Kilter Holds'!$P$36:$AB$370,8,0),0)</f>
        <v>0</v>
      </c>
      <c r="G2093" s="2">
        <f t="shared" si="291"/>
        <v>0</v>
      </c>
      <c r="H2093" s="2">
        <f t="shared" si="292"/>
        <v>0</v>
      </c>
    </row>
    <row r="2094" spans="2:8">
      <c r="B2094" t="s">
        <v>1808</v>
      </c>
      <c r="C2094" t="s">
        <v>1809</v>
      </c>
      <c r="D2094" s="9" t="str">
        <f t="shared" si="290"/>
        <v>13-01</v>
      </c>
      <c r="E2094" s="1">
        <f>_xlfn.IFNA(VLOOKUP('Comp X - Kilter'!B2094,'Kilter Holds'!$P$36:$AB$370,9,0),0)</f>
        <v>6</v>
      </c>
      <c r="G2094" s="2">
        <f t="shared" si="291"/>
        <v>0</v>
      </c>
      <c r="H2094" s="2">
        <f t="shared" si="292"/>
        <v>0</v>
      </c>
    </row>
    <row r="2095" spans="2:8">
      <c r="B2095" t="s">
        <v>1808</v>
      </c>
      <c r="C2095" t="s">
        <v>1809</v>
      </c>
      <c r="D2095" s="10" t="str">
        <f t="shared" si="290"/>
        <v>07-13</v>
      </c>
      <c r="E2095" s="1">
        <f>_xlfn.IFNA(VLOOKUP('Comp X - Kilter'!B2095,'Kilter Holds'!$P$36:$AB$370,10,0),0)</f>
        <v>0</v>
      </c>
      <c r="G2095" s="2">
        <f t="shared" si="291"/>
        <v>0</v>
      </c>
      <c r="H2095" s="2">
        <f t="shared" si="292"/>
        <v>0</v>
      </c>
    </row>
    <row r="2096" spans="2:8">
      <c r="B2096" t="s">
        <v>1808</v>
      </c>
      <c r="C2096" t="s">
        <v>1809</v>
      </c>
      <c r="D2096" s="11" t="str">
        <f t="shared" si="290"/>
        <v>11-25</v>
      </c>
      <c r="E2096" s="1">
        <f>_xlfn.IFNA(VLOOKUP('Comp X - Kilter'!B2096,'Kilter Holds'!$P$36:$AB$370,11,0),0)</f>
        <v>0</v>
      </c>
      <c r="G2096" s="2">
        <f t="shared" si="291"/>
        <v>0</v>
      </c>
      <c r="H2096" s="2">
        <f t="shared" si="292"/>
        <v>0</v>
      </c>
    </row>
    <row r="2097" spans="2:8">
      <c r="B2097" t="s">
        <v>1808</v>
      </c>
      <c r="C2097" t="s">
        <v>1809</v>
      </c>
      <c r="D2097" s="13" t="str">
        <f t="shared" si="290"/>
        <v>18-01</v>
      </c>
      <c r="E2097" s="1">
        <f>_xlfn.IFNA(VLOOKUP('Comp X - Kilter'!B2097,'Kilter Holds'!$P$36:$AB$370,12,0),0)</f>
        <v>5</v>
      </c>
      <c r="G2097" s="2">
        <f t="shared" si="291"/>
        <v>0</v>
      </c>
      <c r="H2097" s="2">
        <f t="shared" si="292"/>
        <v>0</v>
      </c>
    </row>
    <row r="2098" spans="2:8">
      <c r="B2098" t="s">
        <v>1808</v>
      </c>
      <c r="C2098" t="s">
        <v>1809</v>
      </c>
      <c r="D2098" s="12" t="str">
        <f t="shared" si="290"/>
        <v>12-01</v>
      </c>
      <c r="E2098" s="1">
        <f>_xlfn.IFNA(VLOOKUP('Comp X - Kilter'!B2098,'Kilter Holds'!$P$36:$AB$370,13,0),0)</f>
        <v>0</v>
      </c>
      <c r="G2098" s="2">
        <f t="shared" si="291"/>
        <v>0</v>
      </c>
      <c r="H2098" s="2">
        <f t="shared" si="292"/>
        <v>0</v>
      </c>
    </row>
    <row r="2099" spans="2:8">
      <c r="B2099" t="s">
        <v>1656</v>
      </c>
      <c r="C2099" t="s">
        <v>1672</v>
      </c>
      <c r="D2099" s="5" t="str">
        <f t="shared" ref="D2099:D2107" si="293">D2081</f>
        <v>11-12</v>
      </c>
      <c r="E2099" s="1">
        <f>_xlfn.IFNA(VLOOKUP('Comp X - Kilter'!B2099,'Kilter Holds'!$P$36:$AB$370,5,0),0)</f>
        <v>5</v>
      </c>
      <c r="G2099" s="2">
        <f t="shared" si="236"/>
        <v>0</v>
      </c>
      <c r="H2099" s="2">
        <f t="shared" si="237"/>
        <v>0</v>
      </c>
    </row>
    <row r="2100" spans="2:8">
      <c r="B2100" t="s">
        <v>1656</v>
      </c>
      <c r="C2100" t="s">
        <v>1672</v>
      </c>
      <c r="D2100" s="6" t="str">
        <f t="shared" si="293"/>
        <v>14-01</v>
      </c>
      <c r="E2100" s="1">
        <f>_xlfn.IFNA(VLOOKUP('Comp X - Kilter'!B2100,'Kilter Holds'!$P$36:$AB$370,6,0),0)</f>
        <v>0</v>
      </c>
      <c r="G2100" s="2">
        <f t="shared" si="236"/>
        <v>0</v>
      </c>
      <c r="H2100" s="2">
        <f t="shared" si="237"/>
        <v>0</v>
      </c>
    </row>
    <row r="2101" spans="2:8">
      <c r="B2101" t="s">
        <v>1656</v>
      </c>
      <c r="C2101" t="s">
        <v>1672</v>
      </c>
      <c r="D2101" s="7" t="str">
        <f t="shared" si="293"/>
        <v>15-12</v>
      </c>
      <c r="E2101" s="1">
        <f>_xlfn.IFNA(VLOOKUP('Comp X - Kilter'!B2101,'Kilter Holds'!$P$36:$AB$370,7,0),0)</f>
        <v>2</v>
      </c>
      <c r="G2101" s="2">
        <f t="shared" si="236"/>
        <v>0</v>
      </c>
      <c r="H2101" s="2">
        <f t="shared" si="237"/>
        <v>0</v>
      </c>
    </row>
    <row r="2102" spans="2:8">
      <c r="B2102" t="s">
        <v>1656</v>
      </c>
      <c r="C2102" t="s">
        <v>1672</v>
      </c>
      <c r="D2102" s="8" t="str">
        <f t="shared" si="293"/>
        <v>16-16</v>
      </c>
      <c r="E2102" s="1">
        <f>_xlfn.IFNA(VLOOKUP('Comp X - Kilter'!B2102,'Kilter Holds'!$P$36:$AB$370,8,0),0)</f>
        <v>0</v>
      </c>
      <c r="G2102" s="2">
        <f t="shared" si="236"/>
        <v>0</v>
      </c>
      <c r="H2102" s="2">
        <f t="shared" si="237"/>
        <v>0</v>
      </c>
    </row>
    <row r="2103" spans="2:8">
      <c r="B2103" t="s">
        <v>1656</v>
      </c>
      <c r="C2103" t="s">
        <v>1672</v>
      </c>
      <c r="D2103" s="9" t="str">
        <f t="shared" si="293"/>
        <v>13-01</v>
      </c>
      <c r="E2103" s="1">
        <f>_xlfn.IFNA(VLOOKUP('Comp X - Kilter'!B2103,'Kilter Holds'!$P$36:$AB$370,9,0),0)</f>
        <v>9</v>
      </c>
      <c r="G2103" s="2">
        <f t="shared" si="236"/>
        <v>0</v>
      </c>
      <c r="H2103" s="2">
        <f t="shared" si="237"/>
        <v>0</v>
      </c>
    </row>
    <row r="2104" spans="2:8">
      <c r="B2104" t="s">
        <v>1656</v>
      </c>
      <c r="C2104" t="s">
        <v>1672</v>
      </c>
      <c r="D2104" s="10" t="str">
        <f t="shared" si="293"/>
        <v>07-13</v>
      </c>
      <c r="E2104" s="1">
        <f>_xlfn.IFNA(VLOOKUP('Comp X - Kilter'!B2104,'Kilter Holds'!$P$36:$AB$370,10,0),0)</f>
        <v>0</v>
      </c>
      <c r="G2104" s="2">
        <f t="shared" si="236"/>
        <v>0</v>
      </c>
      <c r="H2104" s="2">
        <f t="shared" si="237"/>
        <v>0</v>
      </c>
    </row>
    <row r="2105" spans="2:8">
      <c r="B2105" t="s">
        <v>1656</v>
      </c>
      <c r="C2105" t="s">
        <v>1672</v>
      </c>
      <c r="D2105" s="11" t="str">
        <f t="shared" si="293"/>
        <v>11-25</v>
      </c>
      <c r="E2105" s="1">
        <f>_xlfn.IFNA(VLOOKUP('Comp X - Kilter'!B2105,'Kilter Holds'!$P$36:$AB$370,11,0),0)</f>
        <v>0</v>
      </c>
      <c r="G2105" s="2">
        <f t="shared" si="236"/>
        <v>0</v>
      </c>
      <c r="H2105" s="2">
        <f t="shared" si="237"/>
        <v>0</v>
      </c>
    </row>
    <row r="2106" spans="2:8">
      <c r="B2106" t="s">
        <v>1656</v>
      </c>
      <c r="C2106" t="s">
        <v>1672</v>
      </c>
      <c r="D2106" s="13" t="str">
        <f t="shared" si="293"/>
        <v>18-01</v>
      </c>
      <c r="E2106" s="1">
        <f>_xlfn.IFNA(VLOOKUP('Comp X - Kilter'!B2106,'Kilter Holds'!$P$36:$AB$370,12,0),0)</f>
        <v>6</v>
      </c>
      <c r="G2106" s="2">
        <f t="shared" si="236"/>
        <v>0</v>
      </c>
      <c r="H2106" s="2">
        <f t="shared" si="237"/>
        <v>0</v>
      </c>
    </row>
    <row r="2107" spans="2:8">
      <c r="B2107" t="s">
        <v>1656</v>
      </c>
      <c r="C2107" t="s">
        <v>1672</v>
      </c>
      <c r="D2107" s="12" t="str">
        <f t="shared" si="293"/>
        <v>12-01</v>
      </c>
      <c r="E2107" s="1">
        <f>_xlfn.IFNA(VLOOKUP('Comp X - Kilter'!B2107,'Kilter Holds'!$P$36:$AB$370,13,0),0)</f>
        <v>0</v>
      </c>
      <c r="G2107" s="2">
        <f t="shared" si="236"/>
        <v>0</v>
      </c>
      <c r="H2107" s="2">
        <f t="shared" si="237"/>
        <v>0</v>
      </c>
    </row>
    <row r="2108" spans="2:8">
      <c r="B2108" t="s">
        <v>1738</v>
      </c>
      <c r="C2108" t="s">
        <v>1739</v>
      </c>
      <c r="D2108" s="5" t="str">
        <f t="shared" ref="D2108:D2133" si="294">D2099</f>
        <v>11-12</v>
      </c>
      <c r="E2108" s="1">
        <f>_xlfn.IFNA(VLOOKUP('Comp X - Kilter'!B2108,'Kilter Holds'!$P$36:$AB$370,5,0),0)</f>
        <v>5</v>
      </c>
      <c r="G2108" s="2">
        <f t="shared" ref="G2108:G2143" si="295">E2108*F2108</f>
        <v>0</v>
      </c>
      <c r="H2108" s="2">
        <f t="shared" ref="H2108:H2143" si="296">IF($S$11="Y",G2108*0.15,0)</f>
        <v>0</v>
      </c>
    </row>
    <row r="2109" spans="2:8">
      <c r="B2109" t="s">
        <v>1738</v>
      </c>
      <c r="C2109" t="s">
        <v>1739</v>
      </c>
      <c r="D2109" s="6" t="str">
        <f t="shared" si="294"/>
        <v>14-01</v>
      </c>
      <c r="E2109" s="1">
        <f>_xlfn.IFNA(VLOOKUP('Comp X - Kilter'!B2109,'Kilter Holds'!$P$36:$AB$370,6,0),0)</f>
        <v>0</v>
      </c>
      <c r="G2109" s="2">
        <f t="shared" si="295"/>
        <v>0</v>
      </c>
      <c r="H2109" s="2">
        <f t="shared" si="296"/>
        <v>0</v>
      </c>
    </row>
    <row r="2110" spans="2:8">
      <c r="B2110" t="s">
        <v>1738</v>
      </c>
      <c r="C2110" t="s">
        <v>1739</v>
      </c>
      <c r="D2110" s="7" t="str">
        <f t="shared" si="294"/>
        <v>15-12</v>
      </c>
      <c r="E2110" s="1">
        <f>_xlfn.IFNA(VLOOKUP('Comp X - Kilter'!B2110,'Kilter Holds'!$P$36:$AB$370,7,0),0)</f>
        <v>5</v>
      </c>
      <c r="G2110" s="2">
        <f t="shared" si="295"/>
        <v>0</v>
      </c>
      <c r="H2110" s="2">
        <f t="shared" si="296"/>
        <v>0</v>
      </c>
    </row>
    <row r="2111" spans="2:8">
      <c r="B2111" t="s">
        <v>1738</v>
      </c>
      <c r="C2111" t="s">
        <v>1739</v>
      </c>
      <c r="D2111" s="8" t="str">
        <f t="shared" si="294"/>
        <v>16-16</v>
      </c>
      <c r="E2111" s="1">
        <f>_xlfn.IFNA(VLOOKUP('Comp X - Kilter'!B2111,'Kilter Holds'!$P$36:$AB$370,8,0),0)</f>
        <v>0</v>
      </c>
      <c r="G2111" s="2">
        <f t="shared" si="295"/>
        <v>0</v>
      </c>
      <c r="H2111" s="2">
        <f t="shared" si="296"/>
        <v>0</v>
      </c>
    </row>
    <row r="2112" spans="2:8">
      <c r="B2112" t="s">
        <v>1738</v>
      </c>
      <c r="C2112" t="s">
        <v>1739</v>
      </c>
      <c r="D2112" s="9" t="str">
        <f t="shared" si="294"/>
        <v>13-01</v>
      </c>
      <c r="E2112" s="1">
        <f>_xlfn.IFNA(VLOOKUP('Comp X - Kilter'!B2112,'Kilter Holds'!$P$36:$AB$370,9,0),0)</f>
        <v>3</v>
      </c>
      <c r="G2112" s="2">
        <f t="shared" si="295"/>
        <v>0</v>
      </c>
      <c r="H2112" s="2">
        <f t="shared" si="296"/>
        <v>0</v>
      </c>
    </row>
    <row r="2113" spans="2:8">
      <c r="B2113" t="s">
        <v>1738</v>
      </c>
      <c r="C2113" t="s">
        <v>1739</v>
      </c>
      <c r="D2113" s="10" t="str">
        <f t="shared" si="294"/>
        <v>07-13</v>
      </c>
      <c r="E2113" s="1">
        <f>_xlfn.IFNA(VLOOKUP('Comp X - Kilter'!B2113,'Kilter Holds'!$P$36:$AB$370,10,0),0)</f>
        <v>0</v>
      </c>
      <c r="G2113" s="2">
        <f t="shared" si="295"/>
        <v>0</v>
      </c>
      <c r="H2113" s="2">
        <f t="shared" si="296"/>
        <v>0</v>
      </c>
    </row>
    <row r="2114" spans="2:8">
      <c r="B2114" t="s">
        <v>1738</v>
      </c>
      <c r="C2114" t="s">
        <v>1739</v>
      </c>
      <c r="D2114" s="11" t="str">
        <f t="shared" si="294"/>
        <v>11-25</v>
      </c>
      <c r="E2114" s="1">
        <f>_xlfn.IFNA(VLOOKUP('Comp X - Kilter'!B2114,'Kilter Holds'!$P$36:$AB$370,11,0),0)</f>
        <v>0</v>
      </c>
      <c r="G2114" s="2">
        <f t="shared" si="295"/>
        <v>0</v>
      </c>
      <c r="H2114" s="2">
        <f t="shared" si="296"/>
        <v>0</v>
      </c>
    </row>
    <row r="2115" spans="2:8">
      <c r="B2115" t="s">
        <v>1738</v>
      </c>
      <c r="C2115" t="s">
        <v>1739</v>
      </c>
      <c r="D2115" s="13" t="str">
        <f t="shared" si="294"/>
        <v>18-01</v>
      </c>
      <c r="E2115" s="1">
        <f>_xlfn.IFNA(VLOOKUP('Comp X - Kilter'!B2115,'Kilter Holds'!$P$36:$AB$370,12,0),0)</f>
        <v>6</v>
      </c>
      <c r="G2115" s="2">
        <f t="shared" si="295"/>
        <v>0</v>
      </c>
      <c r="H2115" s="2">
        <f t="shared" si="296"/>
        <v>0</v>
      </c>
    </row>
    <row r="2116" spans="2:8">
      <c r="B2116" t="s">
        <v>1738</v>
      </c>
      <c r="C2116" t="s">
        <v>1739</v>
      </c>
      <c r="D2116" s="12" t="str">
        <f t="shared" si="294"/>
        <v>12-01</v>
      </c>
      <c r="E2116" s="1">
        <f>_xlfn.IFNA(VLOOKUP('Comp X - Kilter'!B2116,'Kilter Holds'!$P$36:$AB$370,13,0),0)</f>
        <v>0</v>
      </c>
      <c r="G2116" s="2">
        <f t="shared" si="295"/>
        <v>0</v>
      </c>
      <c r="H2116" s="2">
        <f t="shared" si="296"/>
        <v>0</v>
      </c>
    </row>
    <row r="2117" spans="2:8">
      <c r="B2117" t="s">
        <v>1863</v>
      </c>
      <c r="C2117" t="s">
        <v>1864</v>
      </c>
      <c r="D2117" s="5" t="str">
        <f t="shared" si="294"/>
        <v>11-12</v>
      </c>
      <c r="E2117" s="1">
        <f>_xlfn.IFNA(VLOOKUP('Comp X - Kilter'!B2117,'Kilter Holds'!$P$36:$AB$370,5,0),0)</f>
        <v>5</v>
      </c>
      <c r="G2117" s="2">
        <f t="shared" ref="G2117:G2125" si="297">E2117*F2117</f>
        <v>0</v>
      </c>
      <c r="H2117" s="2">
        <f t="shared" ref="H2117:H2125" si="298">IF($S$11="Y",G2117*0.15,0)</f>
        <v>0</v>
      </c>
    </row>
    <row r="2118" spans="2:8">
      <c r="B2118" t="s">
        <v>1863</v>
      </c>
      <c r="C2118" t="s">
        <v>1864</v>
      </c>
      <c r="D2118" s="6" t="str">
        <f t="shared" si="294"/>
        <v>14-01</v>
      </c>
      <c r="E2118" s="1">
        <f>_xlfn.IFNA(VLOOKUP('Comp X - Kilter'!B2118,'Kilter Holds'!$P$36:$AB$370,6,0),0)</f>
        <v>0</v>
      </c>
      <c r="G2118" s="2">
        <f t="shared" si="297"/>
        <v>0</v>
      </c>
      <c r="H2118" s="2">
        <f t="shared" si="298"/>
        <v>0</v>
      </c>
    </row>
    <row r="2119" spans="2:8">
      <c r="B2119" t="s">
        <v>1863</v>
      </c>
      <c r="C2119" t="s">
        <v>1864</v>
      </c>
      <c r="D2119" s="7" t="str">
        <f t="shared" si="294"/>
        <v>15-12</v>
      </c>
      <c r="E2119" s="1">
        <f>_xlfn.IFNA(VLOOKUP('Comp X - Kilter'!B2119,'Kilter Holds'!$P$36:$AB$370,7,0),0)</f>
        <v>3</v>
      </c>
      <c r="G2119" s="2">
        <f t="shared" si="297"/>
        <v>0</v>
      </c>
      <c r="H2119" s="2">
        <f t="shared" si="298"/>
        <v>0</v>
      </c>
    </row>
    <row r="2120" spans="2:8">
      <c r="B2120" t="s">
        <v>1863</v>
      </c>
      <c r="C2120" t="s">
        <v>1864</v>
      </c>
      <c r="D2120" s="8" t="str">
        <f t="shared" si="294"/>
        <v>16-16</v>
      </c>
      <c r="E2120" s="1">
        <f>_xlfn.IFNA(VLOOKUP('Comp X - Kilter'!B2120,'Kilter Holds'!$P$36:$AB$370,8,0),0)</f>
        <v>0</v>
      </c>
      <c r="G2120" s="2">
        <f t="shared" si="297"/>
        <v>0</v>
      </c>
      <c r="H2120" s="2">
        <f t="shared" si="298"/>
        <v>0</v>
      </c>
    </row>
    <row r="2121" spans="2:8">
      <c r="B2121" t="s">
        <v>1863</v>
      </c>
      <c r="C2121" t="s">
        <v>1864</v>
      </c>
      <c r="D2121" s="9" t="str">
        <f t="shared" si="294"/>
        <v>13-01</v>
      </c>
      <c r="E2121" s="1">
        <f>_xlfn.IFNA(VLOOKUP('Comp X - Kilter'!B2121,'Kilter Holds'!$P$36:$AB$370,9,0),0)</f>
        <v>8</v>
      </c>
      <c r="G2121" s="2">
        <f t="shared" si="297"/>
        <v>0</v>
      </c>
      <c r="H2121" s="2">
        <f t="shared" si="298"/>
        <v>0</v>
      </c>
    </row>
    <row r="2122" spans="2:8">
      <c r="B2122" t="s">
        <v>1863</v>
      </c>
      <c r="C2122" t="s">
        <v>1864</v>
      </c>
      <c r="D2122" s="10" t="str">
        <f t="shared" si="294"/>
        <v>07-13</v>
      </c>
      <c r="E2122" s="1">
        <f>_xlfn.IFNA(VLOOKUP('Comp X - Kilter'!B2122,'Kilter Holds'!$P$36:$AB$370,10,0),0)</f>
        <v>0</v>
      </c>
      <c r="G2122" s="2">
        <f t="shared" si="297"/>
        <v>0</v>
      </c>
      <c r="H2122" s="2">
        <f t="shared" si="298"/>
        <v>0</v>
      </c>
    </row>
    <row r="2123" spans="2:8">
      <c r="B2123" t="s">
        <v>1863</v>
      </c>
      <c r="C2123" t="s">
        <v>1864</v>
      </c>
      <c r="D2123" s="11" t="str">
        <f t="shared" si="294"/>
        <v>11-25</v>
      </c>
      <c r="E2123" s="1">
        <f>_xlfn.IFNA(VLOOKUP('Comp X - Kilter'!B2123,'Kilter Holds'!$P$36:$AB$370,11,0),0)</f>
        <v>0</v>
      </c>
      <c r="G2123" s="2">
        <f t="shared" si="297"/>
        <v>0</v>
      </c>
      <c r="H2123" s="2">
        <f t="shared" si="298"/>
        <v>0</v>
      </c>
    </row>
    <row r="2124" spans="2:8">
      <c r="B2124" t="s">
        <v>1863</v>
      </c>
      <c r="C2124" t="s">
        <v>1864</v>
      </c>
      <c r="D2124" s="13" t="str">
        <f t="shared" si="294"/>
        <v>18-01</v>
      </c>
      <c r="E2124" s="1">
        <f>_xlfn.IFNA(VLOOKUP('Comp X - Kilter'!B2124,'Kilter Holds'!$P$36:$AB$370,12,0),0)</f>
        <v>10</v>
      </c>
      <c r="G2124" s="2">
        <f t="shared" si="297"/>
        <v>0</v>
      </c>
      <c r="H2124" s="2">
        <f t="shared" si="298"/>
        <v>0</v>
      </c>
    </row>
    <row r="2125" spans="2:8">
      <c r="B2125" t="s">
        <v>1863</v>
      </c>
      <c r="C2125" t="s">
        <v>1864</v>
      </c>
      <c r="D2125" s="12" t="str">
        <f>D2116</f>
        <v>12-01</v>
      </c>
      <c r="E2125" s="1">
        <f>_xlfn.IFNA(VLOOKUP('Comp X - Kilter'!B2125,'Kilter Holds'!$P$36:$AB$370,13,0),0)</f>
        <v>0</v>
      </c>
      <c r="G2125" s="2">
        <f t="shared" si="297"/>
        <v>0</v>
      </c>
      <c r="H2125" s="2">
        <f t="shared" si="298"/>
        <v>0</v>
      </c>
    </row>
    <row r="2126" spans="2:8">
      <c r="B2126" t="s">
        <v>2096</v>
      </c>
      <c r="C2126" t="s">
        <v>2098</v>
      </c>
      <c r="D2126" s="5" t="str">
        <f t="shared" si="294"/>
        <v>11-12</v>
      </c>
      <c r="E2126" s="1">
        <f>_xlfn.IFNA(VLOOKUP('Comp X - Kilter'!B2126,'Kilter Holds'!$P$36:$AB$370,5,0),0)</f>
        <v>5</v>
      </c>
      <c r="G2126" s="2">
        <f t="shared" ref="G2126:G2134" si="299">E2126*F2126</f>
        <v>0</v>
      </c>
      <c r="H2126" s="2">
        <f t="shared" ref="H2126:H2134" si="300">IF($S$11="Y",G2126*0.15,0)</f>
        <v>0</v>
      </c>
    </row>
    <row r="2127" spans="2:8">
      <c r="B2127" t="s">
        <v>2096</v>
      </c>
      <c r="C2127" t="s">
        <v>2098</v>
      </c>
      <c r="D2127" s="6" t="str">
        <f t="shared" si="294"/>
        <v>14-01</v>
      </c>
      <c r="E2127" s="1">
        <f>_xlfn.IFNA(VLOOKUP('Comp X - Kilter'!B2127,'Kilter Holds'!$P$36:$AB$370,6,0),0)</f>
        <v>0</v>
      </c>
      <c r="G2127" s="2">
        <f t="shared" si="299"/>
        <v>0</v>
      </c>
      <c r="H2127" s="2">
        <f t="shared" si="300"/>
        <v>0</v>
      </c>
    </row>
    <row r="2128" spans="2:8">
      <c r="B2128" t="s">
        <v>2096</v>
      </c>
      <c r="C2128" t="s">
        <v>2098</v>
      </c>
      <c r="D2128" s="7" t="str">
        <f t="shared" si="294"/>
        <v>15-12</v>
      </c>
      <c r="E2128" s="1">
        <f>_xlfn.IFNA(VLOOKUP('Comp X - Kilter'!B2128,'Kilter Holds'!$P$36:$AB$370,7,0),0)</f>
        <v>3</v>
      </c>
      <c r="G2128" s="2">
        <f t="shared" si="299"/>
        <v>0</v>
      </c>
      <c r="H2128" s="2">
        <f t="shared" si="300"/>
        <v>0</v>
      </c>
    </row>
    <row r="2129" spans="2:8">
      <c r="B2129" t="s">
        <v>2096</v>
      </c>
      <c r="C2129" t="s">
        <v>2098</v>
      </c>
      <c r="D2129" s="8" t="str">
        <f t="shared" si="294"/>
        <v>16-16</v>
      </c>
      <c r="E2129" s="1">
        <f>_xlfn.IFNA(VLOOKUP('Comp X - Kilter'!B2129,'Kilter Holds'!$P$36:$AB$370,8,0),0)</f>
        <v>0</v>
      </c>
      <c r="G2129" s="2">
        <f t="shared" si="299"/>
        <v>0</v>
      </c>
      <c r="H2129" s="2">
        <f t="shared" si="300"/>
        <v>0</v>
      </c>
    </row>
    <row r="2130" spans="2:8">
      <c r="B2130" t="s">
        <v>2096</v>
      </c>
      <c r="C2130" t="s">
        <v>2098</v>
      </c>
      <c r="D2130" s="9" t="str">
        <f t="shared" si="294"/>
        <v>13-01</v>
      </c>
      <c r="E2130" s="1">
        <f>_xlfn.IFNA(VLOOKUP('Comp X - Kilter'!B2130,'Kilter Holds'!$P$36:$AB$370,9,0),0)</f>
        <v>9</v>
      </c>
      <c r="G2130" s="2">
        <f t="shared" si="299"/>
        <v>0</v>
      </c>
      <c r="H2130" s="2">
        <f t="shared" si="300"/>
        <v>0</v>
      </c>
    </row>
    <row r="2131" spans="2:8">
      <c r="B2131" t="s">
        <v>2096</v>
      </c>
      <c r="C2131" t="s">
        <v>2098</v>
      </c>
      <c r="D2131" s="10" t="str">
        <f t="shared" si="294"/>
        <v>07-13</v>
      </c>
      <c r="E2131" s="1">
        <f>_xlfn.IFNA(VLOOKUP('Comp X - Kilter'!B2131,'Kilter Holds'!$P$36:$AB$370,10,0),0)</f>
        <v>0</v>
      </c>
      <c r="G2131" s="2">
        <f t="shared" si="299"/>
        <v>0</v>
      </c>
      <c r="H2131" s="2">
        <f t="shared" si="300"/>
        <v>0</v>
      </c>
    </row>
    <row r="2132" spans="2:8">
      <c r="B2132" t="s">
        <v>2096</v>
      </c>
      <c r="C2132" t="s">
        <v>2098</v>
      </c>
      <c r="D2132" s="11" t="str">
        <f t="shared" si="294"/>
        <v>11-25</v>
      </c>
      <c r="E2132" s="1">
        <f>_xlfn.IFNA(VLOOKUP('Comp X - Kilter'!B2132,'Kilter Holds'!$P$36:$AB$370,11,0),0)</f>
        <v>0</v>
      </c>
      <c r="G2132" s="2">
        <f t="shared" si="299"/>
        <v>0</v>
      </c>
      <c r="H2132" s="2">
        <f t="shared" si="300"/>
        <v>0</v>
      </c>
    </row>
    <row r="2133" spans="2:8">
      <c r="B2133" t="s">
        <v>2096</v>
      </c>
      <c r="C2133" t="s">
        <v>2098</v>
      </c>
      <c r="D2133" s="13" t="str">
        <f t="shared" si="294"/>
        <v>18-01</v>
      </c>
      <c r="E2133" s="1">
        <f>_xlfn.IFNA(VLOOKUP('Comp X - Kilter'!B2133,'Kilter Holds'!$P$36:$AB$370,12,0),0)</f>
        <v>5</v>
      </c>
      <c r="G2133" s="2">
        <f t="shared" si="299"/>
        <v>0</v>
      </c>
      <c r="H2133" s="2">
        <f t="shared" si="300"/>
        <v>0</v>
      </c>
    </row>
    <row r="2134" spans="2:8">
      <c r="B2134" t="s">
        <v>2096</v>
      </c>
      <c r="C2134" t="s">
        <v>2098</v>
      </c>
      <c r="D2134" s="12" t="str">
        <f>D2125</f>
        <v>12-01</v>
      </c>
      <c r="E2134" s="1">
        <f>_xlfn.IFNA(VLOOKUP('Comp X - Kilter'!B2134,'Kilter Holds'!$P$36:$AB$370,13,0),0)</f>
        <v>0</v>
      </c>
      <c r="G2134" s="2">
        <f t="shared" si="299"/>
        <v>0</v>
      </c>
      <c r="H2134" s="2">
        <f t="shared" si="300"/>
        <v>0</v>
      </c>
    </row>
    <row r="2135" spans="2:8">
      <c r="B2135" t="s">
        <v>1742</v>
      </c>
      <c r="C2135" t="s">
        <v>1743</v>
      </c>
      <c r="D2135" s="5" t="str">
        <f t="shared" ref="D2135:D2143" si="301">D2108</f>
        <v>11-12</v>
      </c>
      <c r="E2135" s="1">
        <f>_xlfn.IFNA(VLOOKUP('Comp X - Kilter'!B2135,'Kilter Holds'!$P$36:$AB$370,5,0),0)</f>
        <v>5</v>
      </c>
      <c r="G2135" s="2">
        <f t="shared" si="295"/>
        <v>0</v>
      </c>
      <c r="H2135" s="2">
        <f t="shared" si="296"/>
        <v>0</v>
      </c>
    </row>
    <row r="2136" spans="2:8">
      <c r="B2136" t="s">
        <v>1742</v>
      </c>
      <c r="C2136" t="s">
        <v>1743</v>
      </c>
      <c r="D2136" s="6" t="str">
        <f t="shared" si="301"/>
        <v>14-01</v>
      </c>
      <c r="E2136" s="1">
        <f>_xlfn.IFNA(VLOOKUP('Comp X - Kilter'!B2136,'Kilter Holds'!$P$36:$AB$370,6,0),0)</f>
        <v>0</v>
      </c>
      <c r="G2136" s="2">
        <f t="shared" si="295"/>
        <v>0</v>
      </c>
      <c r="H2136" s="2">
        <f t="shared" si="296"/>
        <v>0</v>
      </c>
    </row>
    <row r="2137" spans="2:8">
      <c r="B2137" t="s">
        <v>1742</v>
      </c>
      <c r="C2137" t="s">
        <v>1743</v>
      </c>
      <c r="D2137" s="7" t="str">
        <f t="shared" si="301"/>
        <v>15-12</v>
      </c>
      <c r="E2137" s="1">
        <f>_xlfn.IFNA(VLOOKUP('Comp X - Kilter'!B2137,'Kilter Holds'!$P$36:$AB$370,7,0),0)</f>
        <v>6</v>
      </c>
      <c r="G2137" s="2">
        <f t="shared" si="295"/>
        <v>0</v>
      </c>
      <c r="H2137" s="2">
        <f t="shared" si="296"/>
        <v>0</v>
      </c>
    </row>
    <row r="2138" spans="2:8">
      <c r="B2138" t="s">
        <v>1742</v>
      </c>
      <c r="C2138" t="s">
        <v>1743</v>
      </c>
      <c r="D2138" s="8" t="str">
        <f t="shared" si="301"/>
        <v>16-16</v>
      </c>
      <c r="E2138" s="1">
        <f>_xlfn.IFNA(VLOOKUP('Comp X - Kilter'!B2138,'Kilter Holds'!$P$36:$AB$370,8,0),0)</f>
        <v>0</v>
      </c>
      <c r="G2138" s="2">
        <f t="shared" si="295"/>
        <v>0</v>
      </c>
      <c r="H2138" s="2">
        <f t="shared" si="296"/>
        <v>0</v>
      </c>
    </row>
    <row r="2139" spans="2:8">
      <c r="B2139" t="s">
        <v>1742</v>
      </c>
      <c r="C2139" t="s">
        <v>1743</v>
      </c>
      <c r="D2139" s="9" t="str">
        <f t="shared" si="301"/>
        <v>13-01</v>
      </c>
      <c r="E2139" s="1">
        <f>_xlfn.IFNA(VLOOKUP('Comp X - Kilter'!B2139,'Kilter Holds'!$P$36:$AB$370,9,0),0)</f>
        <v>7</v>
      </c>
      <c r="G2139" s="2">
        <f t="shared" si="295"/>
        <v>0</v>
      </c>
      <c r="H2139" s="2">
        <f t="shared" si="296"/>
        <v>0</v>
      </c>
    </row>
    <row r="2140" spans="2:8">
      <c r="B2140" t="s">
        <v>1742</v>
      </c>
      <c r="C2140" t="s">
        <v>1743</v>
      </c>
      <c r="D2140" s="10" t="str">
        <f t="shared" si="301"/>
        <v>07-13</v>
      </c>
      <c r="E2140" s="1">
        <f>_xlfn.IFNA(VLOOKUP('Comp X - Kilter'!B2140,'Kilter Holds'!$P$36:$AB$370,10,0),0)</f>
        <v>0</v>
      </c>
      <c r="G2140" s="2">
        <f t="shared" si="295"/>
        <v>0</v>
      </c>
      <c r="H2140" s="2">
        <f t="shared" si="296"/>
        <v>0</v>
      </c>
    </row>
    <row r="2141" spans="2:8">
      <c r="B2141" t="s">
        <v>1742</v>
      </c>
      <c r="C2141" t="s">
        <v>1743</v>
      </c>
      <c r="D2141" s="11" t="str">
        <f t="shared" si="301"/>
        <v>11-25</v>
      </c>
      <c r="E2141" s="1">
        <f>_xlfn.IFNA(VLOOKUP('Comp X - Kilter'!B2141,'Kilter Holds'!$P$36:$AB$370,11,0),0)</f>
        <v>0</v>
      </c>
      <c r="G2141" s="2">
        <f t="shared" si="295"/>
        <v>0</v>
      </c>
      <c r="H2141" s="2">
        <f t="shared" si="296"/>
        <v>0</v>
      </c>
    </row>
    <row r="2142" spans="2:8">
      <c r="B2142" t="s">
        <v>1742</v>
      </c>
      <c r="C2142" t="s">
        <v>1743</v>
      </c>
      <c r="D2142" s="13" t="str">
        <f t="shared" si="301"/>
        <v>18-01</v>
      </c>
      <c r="E2142" s="1">
        <f>_xlfn.IFNA(VLOOKUP('Comp X - Kilter'!B2142,'Kilter Holds'!$P$36:$AB$370,12,0),0)</f>
        <v>5</v>
      </c>
      <c r="G2142" s="2">
        <f t="shared" si="295"/>
        <v>0</v>
      </c>
      <c r="H2142" s="2">
        <f t="shared" si="296"/>
        <v>0</v>
      </c>
    </row>
    <row r="2143" spans="2:8">
      <c r="B2143" t="s">
        <v>1742</v>
      </c>
      <c r="C2143" t="s">
        <v>1743</v>
      </c>
      <c r="D2143" s="12" t="str">
        <f t="shared" si="301"/>
        <v>12-01</v>
      </c>
      <c r="E2143" s="1">
        <f>_xlfn.IFNA(VLOOKUP('Comp X - Kilter'!B2143,'Kilter Holds'!$P$36:$AB$370,13,0),0)</f>
        <v>0</v>
      </c>
      <c r="G2143" s="2">
        <f t="shared" si="295"/>
        <v>0</v>
      </c>
      <c r="H2143" s="2">
        <f t="shared" si="296"/>
        <v>0</v>
      </c>
    </row>
    <row r="2144" spans="2:8">
      <c r="B2144" t="s">
        <v>1740</v>
      </c>
      <c r="C2144" t="s">
        <v>1741</v>
      </c>
      <c r="D2144" s="5" t="str">
        <f t="shared" ref="D2144:D2170" si="302">D2099</f>
        <v>11-12</v>
      </c>
      <c r="E2144" s="1">
        <f>_xlfn.IFNA(VLOOKUP('Comp X - Kilter'!B2144,'Kilter Holds'!$P$36:$AB$370,5,0),0)</f>
        <v>4</v>
      </c>
      <c r="G2144" s="2">
        <f t="shared" ref="G2144:G2152" si="303">E2144*F2144</f>
        <v>0</v>
      </c>
      <c r="H2144" s="2">
        <f t="shared" ref="H2144:H2152" si="304">IF($S$11="Y",G2144*0.15,0)</f>
        <v>0</v>
      </c>
    </row>
    <row r="2145" spans="2:8">
      <c r="B2145" t="s">
        <v>1740</v>
      </c>
      <c r="C2145" t="s">
        <v>1741</v>
      </c>
      <c r="D2145" s="6" t="str">
        <f t="shared" si="302"/>
        <v>14-01</v>
      </c>
      <c r="E2145" s="1">
        <f>_xlfn.IFNA(VLOOKUP('Comp X - Kilter'!B2145,'Kilter Holds'!$P$36:$AB$370,6,0),0)</f>
        <v>0</v>
      </c>
      <c r="G2145" s="2">
        <f t="shared" si="303"/>
        <v>0</v>
      </c>
      <c r="H2145" s="2">
        <f t="shared" si="304"/>
        <v>0</v>
      </c>
    </row>
    <row r="2146" spans="2:8">
      <c r="B2146" t="s">
        <v>1740</v>
      </c>
      <c r="C2146" t="s">
        <v>1741</v>
      </c>
      <c r="D2146" s="7" t="str">
        <f t="shared" si="302"/>
        <v>15-12</v>
      </c>
      <c r="E2146" s="1">
        <f>_xlfn.IFNA(VLOOKUP('Comp X - Kilter'!B2146,'Kilter Holds'!$P$36:$AB$370,7,0),0)</f>
        <v>1</v>
      </c>
      <c r="G2146" s="2">
        <f t="shared" si="303"/>
        <v>0</v>
      </c>
      <c r="H2146" s="2">
        <f t="shared" si="304"/>
        <v>0</v>
      </c>
    </row>
    <row r="2147" spans="2:8">
      <c r="B2147" t="s">
        <v>1740</v>
      </c>
      <c r="C2147" t="s">
        <v>1741</v>
      </c>
      <c r="D2147" s="8" t="str">
        <f t="shared" si="302"/>
        <v>16-16</v>
      </c>
      <c r="E2147" s="1">
        <f>_xlfn.IFNA(VLOOKUP('Comp X - Kilter'!B2147,'Kilter Holds'!$P$36:$AB$370,8,0),0)</f>
        <v>0</v>
      </c>
      <c r="G2147" s="2">
        <f t="shared" si="303"/>
        <v>0</v>
      </c>
      <c r="H2147" s="2">
        <f t="shared" si="304"/>
        <v>0</v>
      </c>
    </row>
    <row r="2148" spans="2:8">
      <c r="B2148" t="s">
        <v>1740</v>
      </c>
      <c r="C2148" t="s">
        <v>1741</v>
      </c>
      <c r="D2148" s="9" t="str">
        <f t="shared" si="302"/>
        <v>13-01</v>
      </c>
      <c r="E2148" s="1">
        <f>_xlfn.IFNA(VLOOKUP('Comp X - Kilter'!B2148,'Kilter Holds'!$P$36:$AB$370,9,0),0)</f>
        <v>6</v>
      </c>
      <c r="G2148" s="2">
        <f t="shared" si="303"/>
        <v>0</v>
      </c>
      <c r="H2148" s="2">
        <f t="shared" si="304"/>
        <v>0</v>
      </c>
    </row>
    <row r="2149" spans="2:8">
      <c r="B2149" t="s">
        <v>1740</v>
      </c>
      <c r="C2149" t="s">
        <v>1741</v>
      </c>
      <c r="D2149" s="10" t="str">
        <f t="shared" si="302"/>
        <v>07-13</v>
      </c>
      <c r="E2149" s="1">
        <f>_xlfn.IFNA(VLOOKUP('Comp X - Kilter'!B2149,'Kilter Holds'!$P$36:$AB$370,10,0),0)</f>
        <v>0</v>
      </c>
      <c r="G2149" s="2">
        <f t="shared" si="303"/>
        <v>0</v>
      </c>
      <c r="H2149" s="2">
        <f t="shared" si="304"/>
        <v>0</v>
      </c>
    </row>
    <row r="2150" spans="2:8">
      <c r="B2150" t="s">
        <v>1740</v>
      </c>
      <c r="C2150" t="s">
        <v>1741</v>
      </c>
      <c r="D2150" s="11" t="str">
        <f t="shared" si="302"/>
        <v>11-25</v>
      </c>
      <c r="E2150" s="1">
        <f>_xlfn.IFNA(VLOOKUP('Comp X - Kilter'!B2150,'Kilter Holds'!$P$36:$AB$370,11,0),0)</f>
        <v>0</v>
      </c>
      <c r="G2150" s="2">
        <f t="shared" si="303"/>
        <v>0</v>
      </c>
      <c r="H2150" s="2">
        <f t="shared" si="304"/>
        <v>0</v>
      </c>
    </row>
    <row r="2151" spans="2:8">
      <c r="B2151" t="s">
        <v>1740</v>
      </c>
      <c r="C2151" t="s">
        <v>1741</v>
      </c>
      <c r="D2151" s="13" t="str">
        <f t="shared" si="302"/>
        <v>18-01</v>
      </c>
      <c r="E2151" s="1">
        <f>_xlfn.IFNA(VLOOKUP('Comp X - Kilter'!B2151,'Kilter Holds'!$P$36:$AB$370,12,0),0)</f>
        <v>8</v>
      </c>
      <c r="G2151" s="2">
        <f t="shared" si="303"/>
        <v>0</v>
      </c>
      <c r="H2151" s="2">
        <f t="shared" si="304"/>
        <v>0</v>
      </c>
    </row>
    <row r="2152" spans="2:8">
      <c r="B2152" t="s">
        <v>1740</v>
      </c>
      <c r="C2152" t="s">
        <v>1741</v>
      </c>
      <c r="D2152" s="12" t="str">
        <f t="shared" si="302"/>
        <v>12-01</v>
      </c>
      <c r="E2152" s="1">
        <f>_xlfn.IFNA(VLOOKUP('Comp X - Kilter'!B2152,'Kilter Holds'!$P$36:$AB$370,13,0),0)</f>
        <v>0</v>
      </c>
      <c r="G2152" s="2">
        <f t="shared" si="303"/>
        <v>0</v>
      </c>
      <c r="H2152" s="2">
        <f t="shared" si="304"/>
        <v>0</v>
      </c>
    </row>
    <row r="2153" spans="2:8">
      <c r="B2153" t="s">
        <v>1905</v>
      </c>
      <c r="C2153" t="s">
        <v>1906</v>
      </c>
      <c r="D2153" s="5" t="str">
        <f t="shared" si="302"/>
        <v>11-12</v>
      </c>
      <c r="E2153" s="1">
        <f>_xlfn.IFNA(VLOOKUP('Comp X - Kilter'!B2153,'Kilter Holds'!$P$36:$AB$370,5,0),0)</f>
        <v>5</v>
      </c>
      <c r="G2153" s="2">
        <f t="shared" ref="G2153:G2224" si="305">E2153*F2153</f>
        <v>0</v>
      </c>
      <c r="H2153" s="2">
        <f t="shared" ref="H2153:H2224" si="306">IF($S$11="Y",G2153*0.15,0)</f>
        <v>0</v>
      </c>
    </row>
    <row r="2154" spans="2:8">
      <c r="B2154" t="s">
        <v>1905</v>
      </c>
      <c r="C2154" t="s">
        <v>1906</v>
      </c>
      <c r="D2154" s="6" t="str">
        <f t="shared" si="302"/>
        <v>14-01</v>
      </c>
      <c r="E2154" s="1">
        <f>_xlfn.IFNA(VLOOKUP('Comp X - Kilter'!B2154,'Kilter Holds'!$P$36:$AB$370,6,0),0)</f>
        <v>0</v>
      </c>
      <c r="G2154" s="2">
        <f t="shared" si="305"/>
        <v>0</v>
      </c>
      <c r="H2154" s="2">
        <f t="shared" si="306"/>
        <v>0</v>
      </c>
    </row>
    <row r="2155" spans="2:8">
      <c r="B2155" t="s">
        <v>1905</v>
      </c>
      <c r="C2155" t="s">
        <v>1906</v>
      </c>
      <c r="D2155" s="7" t="str">
        <f t="shared" si="302"/>
        <v>15-12</v>
      </c>
      <c r="E2155" s="1">
        <f>_xlfn.IFNA(VLOOKUP('Comp X - Kilter'!B2155,'Kilter Holds'!$P$36:$AB$370,7,0),0)</f>
        <v>6</v>
      </c>
      <c r="G2155" s="2">
        <f t="shared" si="305"/>
        <v>0</v>
      </c>
      <c r="H2155" s="2">
        <f t="shared" si="306"/>
        <v>0</v>
      </c>
    </row>
    <row r="2156" spans="2:8">
      <c r="B2156" t="s">
        <v>1905</v>
      </c>
      <c r="C2156" t="s">
        <v>1906</v>
      </c>
      <c r="D2156" s="8" t="str">
        <f t="shared" si="302"/>
        <v>16-16</v>
      </c>
      <c r="E2156" s="1">
        <f>_xlfn.IFNA(VLOOKUP('Comp X - Kilter'!B2156,'Kilter Holds'!$P$36:$AB$370,8,0),0)</f>
        <v>0</v>
      </c>
      <c r="G2156" s="2">
        <f t="shared" si="305"/>
        <v>0</v>
      </c>
      <c r="H2156" s="2">
        <f t="shared" si="306"/>
        <v>0</v>
      </c>
    </row>
    <row r="2157" spans="2:8">
      <c r="B2157" t="s">
        <v>1905</v>
      </c>
      <c r="C2157" t="s">
        <v>1906</v>
      </c>
      <c r="D2157" s="9" t="str">
        <f t="shared" si="302"/>
        <v>13-01</v>
      </c>
      <c r="E2157" s="1">
        <f>_xlfn.IFNA(VLOOKUP('Comp X - Kilter'!B2157,'Kilter Holds'!$P$36:$AB$370,9,0),0)</f>
        <v>4</v>
      </c>
      <c r="G2157" s="2">
        <f t="shared" si="305"/>
        <v>0</v>
      </c>
      <c r="H2157" s="2">
        <f t="shared" si="306"/>
        <v>0</v>
      </c>
    </row>
    <row r="2158" spans="2:8">
      <c r="B2158" t="s">
        <v>1905</v>
      </c>
      <c r="C2158" t="s">
        <v>1906</v>
      </c>
      <c r="D2158" s="10" t="str">
        <f t="shared" si="302"/>
        <v>07-13</v>
      </c>
      <c r="E2158" s="1">
        <f>_xlfn.IFNA(VLOOKUP('Comp X - Kilter'!B2158,'Kilter Holds'!$P$36:$AB$370,10,0),0)</f>
        <v>0</v>
      </c>
      <c r="G2158" s="2">
        <f t="shared" si="305"/>
        <v>0</v>
      </c>
      <c r="H2158" s="2">
        <f t="shared" si="306"/>
        <v>0</v>
      </c>
    </row>
    <row r="2159" spans="2:8">
      <c r="B2159" t="s">
        <v>1905</v>
      </c>
      <c r="C2159" t="s">
        <v>1906</v>
      </c>
      <c r="D2159" s="11" t="str">
        <f t="shared" si="302"/>
        <v>11-25</v>
      </c>
      <c r="E2159" s="1">
        <f>_xlfn.IFNA(VLOOKUP('Comp X - Kilter'!B2159,'Kilter Holds'!$P$36:$AB$370,11,0),0)</f>
        <v>0</v>
      </c>
      <c r="G2159" s="2">
        <f t="shared" si="305"/>
        <v>0</v>
      </c>
      <c r="H2159" s="2">
        <f t="shared" si="306"/>
        <v>0</v>
      </c>
    </row>
    <row r="2160" spans="2:8">
      <c r="B2160" t="s">
        <v>1905</v>
      </c>
      <c r="C2160" t="s">
        <v>1906</v>
      </c>
      <c r="D2160" s="13" t="str">
        <f t="shared" si="302"/>
        <v>18-01</v>
      </c>
      <c r="E2160" s="1">
        <f>_xlfn.IFNA(VLOOKUP('Comp X - Kilter'!B2160,'Kilter Holds'!$P$36:$AB$370,12,0),0)</f>
        <v>11</v>
      </c>
      <c r="G2160" s="2">
        <f t="shared" si="305"/>
        <v>0</v>
      </c>
      <c r="H2160" s="2">
        <f t="shared" si="306"/>
        <v>0</v>
      </c>
    </row>
    <row r="2161" spans="2:8">
      <c r="B2161" t="s">
        <v>1905</v>
      </c>
      <c r="C2161" t="s">
        <v>1906</v>
      </c>
      <c r="D2161" s="12" t="str">
        <f t="shared" si="302"/>
        <v>12-01</v>
      </c>
      <c r="E2161" s="1">
        <f>_xlfn.IFNA(VLOOKUP('Comp X - Kilter'!B2161,'Kilter Holds'!$P$36:$AB$370,13,0),0)</f>
        <v>0</v>
      </c>
      <c r="G2161" s="2">
        <f t="shared" si="305"/>
        <v>0</v>
      </c>
      <c r="H2161" s="2">
        <f t="shared" si="306"/>
        <v>0</v>
      </c>
    </row>
    <row r="2162" spans="2:8">
      <c r="B2162" t="s">
        <v>1969</v>
      </c>
      <c r="C2162" t="s">
        <v>1970</v>
      </c>
      <c r="D2162" s="5" t="str">
        <f t="shared" si="302"/>
        <v>11-12</v>
      </c>
      <c r="E2162" s="1">
        <f>_xlfn.IFNA(VLOOKUP('Comp X - Kilter'!B2162,'Kilter Holds'!$P$36:$AB$370,5,0),0)</f>
        <v>5</v>
      </c>
      <c r="G2162" s="2">
        <f t="shared" ref="G2162:G2179" si="307">E2162*F2162</f>
        <v>0</v>
      </c>
      <c r="H2162" s="2">
        <f t="shared" ref="H2162:H2179" si="308">IF($S$11="Y",G2162*0.15,0)</f>
        <v>0</v>
      </c>
    </row>
    <row r="2163" spans="2:8">
      <c r="B2163" t="s">
        <v>1969</v>
      </c>
      <c r="C2163" t="s">
        <v>1970</v>
      </c>
      <c r="D2163" s="6" t="str">
        <f t="shared" si="302"/>
        <v>14-01</v>
      </c>
      <c r="E2163" s="1">
        <f>_xlfn.IFNA(VLOOKUP('Comp X - Kilter'!B2163,'Kilter Holds'!$P$36:$AB$370,6,0),0)</f>
        <v>0</v>
      </c>
      <c r="G2163" s="2">
        <f t="shared" si="307"/>
        <v>0</v>
      </c>
      <c r="H2163" s="2">
        <f t="shared" si="308"/>
        <v>0</v>
      </c>
    </row>
    <row r="2164" spans="2:8">
      <c r="B2164" t="s">
        <v>1969</v>
      </c>
      <c r="C2164" t="s">
        <v>1970</v>
      </c>
      <c r="D2164" s="7" t="str">
        <f t="shared" si="302"/>
        <v>15-12</v>
      </c>
      <c r="E2164" s="1">
        <f>_xlfn.IFNA(VLOOKUP('Comp X - Kilter'!B2164,'Kilter Holds'!$P$36:$AB$370,7,0),0)</f>
        <v>7</v>
      </c>
      <c r="G2164" s="2">
        <f t="shared" si="307"/>
        <v>0</v>
      </c>
      <c r="H2164" s="2">
        <f t="shared" si="308"/>
        <v>0</v>
      </c>
    </row>
    <row r="2165" spans="2:8">
      <c r="B2165" t="s">
        <v>1969</v>
      </c>
      <c r="C2165" t="s">
        <v>1970</v>
      </c>
      <c r="D2165" s="8" t="str">
        <f t="shared" si="302"/>
        <v>16-16</v>
      </c>
      <c r="E2165" s="1">
        <f>_xlfn.IFNA(VLOOKUP('Comp X - Kilter'!B2165,'Kilter Holds'!$P$36:$AB$370,8,0),0)</f>
        <v>0</v>
      </c>
      <c r="G2165" s="2">
        <f t="shared" si="307"/>
        <v>0</v>
      </c>
      <c r="H2165" s="2">
        <f t="shared" si="308"/>
        <v>0</v>
      </c>
    </row>
    <row r="2166" spans="2:8">
      <c r="B2166" t="s">
        <v>1969</v>
      </c>
      <c r="C2166" t="s">
        <v>1970</v>
      </c>
      <c r="D2166" s="9" t="str">
        <f t="shared" si="302"/>
        <v>13-01</v>
      </c>
      <c r="E2166" s="1">
        <f>_xlfn.IFNA(VLOOKUP('Comp X - Kilter'!B2166,'Kilter Holds'!$P$36:$AB$370,9,0),0)</f>
        <v>4</v>
      </c>
      <c r="G2166" s="2">
        <f t="shared" si="307"/>
        <v>0</v>
      </c>
      <c r="H2166" s="2">
        <f t="shared" si="308"/>
        <v>0</v>
      </c>
    </row>
    <row r="2167" spans="2:8">
      <c r="B2167" t="s">
        <v>1969</v>
      </c>
      <c r="C2167" t="s">
        <v>1970</v>
      </c>
      <c r="D2167" s="10" t="str">
        <f t="shared" si="302"/>
        <v>07-13</v>
      </c>
      <c r="E2167" s="1">
        <f>_xlfn.IFNA(VLOOKUP('Comp X - Kilter'!B2167,'Kilter Holds'!$P$36:$AB$370,10,0),0)</f>
        <v>0</v>
      </c>
      <c r="G2167" s="2">
        <f t="shared" si="307"/>
        <v>0</v>
      </c>
      <c r="H2167" s="2">
        <f t="shared" si="308"/>
        <v>0</v>
      </c>
    </row>
    <row r="2168" spans="2:8">
      <c r="B2168" t="s">
        <v>1969</v>
      </c>
      <c r="C2168" t="s">
        <v>1970</v>
      </c>
      <c r="D2168" s="11" t="str">
        <f t="shared" si="302"/>
        <v>11-25</v>
      </c>
      <c r="E2168" s="1">
        <f>_xlfn.IFNA(VLOOKUP('Comp X - Kilter'!B2168,'Kilter Holds'!$P$36:$AB$370,11,0),0)</f>
        <v>0</v>
      </c>
      <c r="G2168" s="2">
        <f t="shared" si="307"/>
        <v>0</v>
      </c>
      <c r="H2168" s="2">
        <f t="shared" si="308"/>
        <v>0</v>
      </c>
    </row>
    <row r="2169" spans="2:8">
      <c r="B2169" t="s">
        <v>1969</v>
      </c>
      <c r="C2169" t="s">
        <v>1970</v>
      </c>
      <c r="D2169" s="13" t="str">
        <f t="shared" si="302"/>
        <v>18-01</v>
      </c>
      <c r="E2169" s="1">
        <f>_xlfn.IFNA(VLOOKUP('Comp X - Kilter'!B2169,'Kilter Holds'!$P$36:$AB$370,12,0),0)</f>
        <v>11</v>
      </c>
      <c r="G2169" s="2">
        <f t="shared" si="307"/>
        <v>0</v>
      </c>
      <c r="H2169" s="2">
        <f t="shared" si="308"/>
        <v>0</v>
      </c>
    </row>
    <row r="2170" spans="2:8">
      <c r="B2170" t="s">
        <v>1969</v>
      </c>
      <c r="C2170" t="s">
        <v>1970</v>
      </c>
      <c r="D2170" s="12" t="str">
        <f t="shared" si="302"/>
        <v>12-01</v>
      </c>
      <c r="E2170" s="1">
        <f>_xlfn.IFNA(VLOOKUP('Comp X - Kilter'!B2170,'Kilter Holds'!$P$36:$AB$370,13,0),0)</f>
        <v>0</v>
      </c>
      <c r="G2170" s="2">
        <f t="shared" si="307"/>
        <v>0</v>
      </c>
      <c r="H2170" s="2">
        <f t="shared" si="308"/>
        <v>0</v>
      </c>
    </row>
    <row r="2171" spans="2:8">
      <c r="B2171" t="s">
        <v>1971</v>
      </c>
      <c r="C2171" t="s">
        <v>1972</v>
      </c>
      <c r="D2171" s="5" t="str">
        <f t="shared" ref="D2171:D2188" si="309">D2135</f>
        <v>11-12</v>
      </c>
      <c r="E2171" s="1">
        <f>_xlfn.IFNA(VLOOKUP('Comp X - Kilter'!B2171,'Kilter Holds'!$P$36:$AB$370,5,0),0)</f>
        <v>0</v>
      </c>
      <c r="G2171" s="2">
        <f t="shared" si="307"/>
        <v>0</v>
      </c>
      <c r="H2171" s="2">
        <f t="shared" si="308"/>
        <v>0</v>
      </c>
    </row>
    <row r="2172" spans="2:8">
      <c r="B2172" t="s">
        <v>1971</v>
      </c>
      <c r="C2172" t="s">
        <v>1972</v>
      </c>
      <c r="D2172" s="6" t="str">
        <f t="shared" si="309"/>
        <v>14-01</v>
      </c>
      <c r="E2172" s="1">
        <f>_xlfn.IFNA(VLOOKUP('Comp X - Kilter'!B2172,'Kilter Holds'!$P$36:$AB$370,6,0),0)</f>
        <v>1</v>
      </c>
      <c r="G2172" s="2">
        <f t="shared" si="307"/>
        <v>0</v>
      </c>
      <c r="H2172" s="2">
        <f t="shared" si="308"/>
        <v>0</v>
      </c>
    </row>
    <row r="2173" spans="2:8">
      <c r="B2173" t="s">
        <v>1971</v>
      </c>
      <c r="C2173" t="s">
        <v>1972</v>
      </c>
      <c r="D2173" s="7" t="str">
        <f t="shared" si="309"/>
        <v>15-12</v>
      </c>
      <c r="E2173" s="1">
        <f>_xlfn.IFNA(VLOOKUP('Comp X - Kilter'!B2173,'Kilter Holds'!$P$36:$AB$370,7,0),0)</f>
        <v>0</v>
      </c>
      <c r="G2173" s="2">
        <f t="shared" si="307"/>
        <v>0</v>
      </c>
      <c r="H2173" s="2">
        <f t="shared" si="308"/>
        <v>0</v>
      </c>
    </row>
    <row r="2174" spans="2:8">
      <c r="B2174" t="s">
        <v>1971</v>
      </c>
      <c r="C2174" t="s">
        <v>1972</v>
      </c>
      <c r="D2174" s="8" t="str">
        <f t="shared" si="309"/>
        <v>16-16</v>
      </c>
      <c r="E2174" s="1">
        <f>_xlfn.IFNA(VLOOKUP('Comp X - Kilter'!B2174,'Kilter Holds'!$P$36:$AB$370,8,0),0)</f>
        <v>1</v>
      </c>
      <c r="G2174" s="2">
        <f t="shared" si="307"/>
        <v>0</v>
      </c>
      <c r="H2174" s="2">
        <f t="shared" si="308"/>
        <v>0</v>
      </c>
    </row>
    <row r="2175" spans="2:8">
      <c r="B2175" t="s">
        <v>1971</v>
      </c>
      <c r="C2175" t="s">
        <v>1972</v>
      </c>
      <c r="D2175" s="9" t="str">
        <f t="shared" si="309"/>
        <v>13-01</v>
      </c>
      <c r="E2175" s="1">
        <f>_xlfn.IFNA(VLOOKUP('Comp X - Kilter'!B2175,'Kilter Holds'!$P$36:$AB$370,9,0),0)</f>
        <v>0</v>
      </c>
      <c r="G2175" s="2">
        <f t="shared" si="307"/>
        <v>0</v>
      </c>
      <c r="H2175" s="2">
        <f t="shared" si="308"/>
        <v>0</v>
      </c>
    </row>
    <row r="2176" spans="2:8">
      <c r="B2176" t="s">
        <v>1971</v>
      </c>
      <c r="C2176" t="s">
        <v>1972</v>
      </c>
      <c r="D2176" s="10" t="str">
        <f t="shared" si="309"/>
        <v>07-13</v>
      </c>
      <c r="E2176" s="1">
        <f>_xlfn.IFNA(VLOOKUP('Comp X - Kilter'!B2176,'Kilter Holds'!$P$36:$AB$370,10,0),0)</f>
        <v>0</v>
      </c>
      <c r="G2176" s="2">
        <f t="shared" si="307"/>
        <v>0</v>
      </c>
      <c r="H2176" s="2">
        <f t="shared" si="308"/>
        <v>0</v>
      </c>
    </row>
    <row r="2177" spans="2:8">
      <c r="B2177" t="s">
        <v>1971</v>
      </c>
      <c r="C2177" t="s">
        <v>1972</v>
      </c>
      <c r="D2177" s="11" t="str">
        <f t="shared" si="309"/>
        <v>11-25</v>
      </c>
      <c r="E2177" s="1">
        <f>_xlfn.IFNA(VLOOKUP('Comp X - Kilter'!B2177,'Kilter Holds'!$P$36:$AB$370,11,0),0)</f>
        <v>0</v>
      </c>
      <c r="G2177" s="2">
        <f t="shared" si="307"/>
        <v>0</v>
      </c>
      <c r="H2177" s="2">
        <f t="shared" si="308"/>
        <v>0</v>
      </c>
    </row>
    <row r="2178" spans="2:8">
      <c r="B2178" t="s">
        <v>1971</v>
      </c>
      <c r="C2178" t="s">
        <v>1972</v>
      </c>
      <c r="D2178" s="13" t="str">
        <f t="shared" si="309"/>
        <v>18-01</v>
      </c>
      <c r="E2178" s="1">
        <f>_xlfn.IFNA(VLOOKUP('Comp X - Kilter'!B2178,'Kilter Holds'!$P$36:$AB$370,12,0),0)</f>
        <v>0</v>
      </c>
      <c r="G2178" s="2">
        <f t="shared" si="307"/>
        <v>0</v>
      </c>
      <c r="H2178" s="2">
        <f t="shared" si="308"/>
        <v>0</v>
      </c>
    </row>
    <row r="2179" spans="2:8">
      <c r="B2179" t="s">
        <v>1971</v>
      </c>
      <c r="C2179" t="s">
        <v>1972</v>
      </c>
      <c r="D2179" s="12" t="str">
        <f t="shared" si="309"/>
        <v>12-01</v>
      </c>
      <c r="E2179" s="1">
        <f>_xlfn.IFNA(VLOOKUP('Comp X - Kilter'!B2179,'Kilter Holds'!$P$36:$AB$370,13,0),0)</f>
        <v>1</v>
      </c>
      <c r="G2179" s="2">
        <f t="shared" si="307"/>
        <v>0</v>
      </c>
      <c r="H2179" s="2">
        <f t="shared" si="308"/>
        <v>0</v>
      </c>
    </row>
    <row r="2180" spans="2:8">
      <c r="B2180" s="3" t="s">
        <v>2203</v>
      </c>
      <c r="C2180" s="3" t="s">
        <v>2204</v>
      </c>
      <c r="D2180" s="5" t="str">
        <f t="shared" si="309"/>
        <v>11-12</v>
      </c>
      <c r="E2180" s="1">
        <f>_xlfn.IFNA(VLOOKUP('Comp X - Kilter'!B2180,'Kilter Holds'!$P$36:$AB$370,5,0),0)</f>
        <v>5</v>
      </c>
      <c r="G2180" s="2">
        <f t="shared" ref="G2180:G2188" si="310">E2180*F2180</f>
        <v>0</v>
      </c>
      <c r="H2180" s="2">
        <f t="shared" ref="H2180:H2188" si="311">IF($S$11="Y",G2180*0.15,0)</f>
        <v>0</v>
      </c>
    </row>
    <row r="2181" spans="2:8">
      <c r="B2181" s="3" t="s">
        <v>2203</v>
      </c>
      <c r="C2181" s="3" t="s">
        <v>2204</v>
      </c>
      <c r="D2181" s="6" t="str">
        <f t="shared" si="309"/>
        <v>14-01</v>
      </c>
      <c r="E2181" s="1">
        <f>_xlfn.IFNA(VLOOKUP('Comp X - Kilter'!B2181,'Kilter Holds'!$P$36:$AB$370,6,0),0)</f>
        <v>0</v>
      </c>
      <c r="G2181" s="2">
        <f t="shared" si="310"/>
        <v>0</v>
      </c>
      <c r="H2181" s="2">
        <f t="shared" si="311"/>
        <v>0</v>
      </c>
    </row>
    <row r="2182" spans="2:8">
      <c r="B2182" s="3" t="s">
        <v>2203</v>
      </c>
      <c r="C2182" s="3" t="s">
        <v>2204</v>
      </c>
      <c r="D2182" s="7" t="str">
        <f t="shared" si="309"/>
        <v>15-12</v>
      </c>
      <c r="E2182" s="1">
        <f>_xlfn.IFNA(VLOOKUP('Comp X - Kilter'!B2182,'Kilter Holds'!$P$36:$AB$370,7,0),0)</f>
        <v>3</v>
      </c>
      <c r="G2182" s="2">
        <f t="shared" si="310"/>
        <v>0</v>
      </c>
      <c r="H2182" s="2">
        <f t="shared" si="311"/>
        <v>0</v>
      </c>
    </row>
    <row r="2183" spans="2:8">
      <c r="B2183" s="3" t="s">
        <v>2203</v>
      </c>
      <c r="C2183" s="3" t="s">
        <v>2204</v>
      </c>
      <c r="D2183" s="8" t="str">
        <f t="shared" si="309"/>
        <v>16-16</v>
      </c>
      <c r="E2183" s="1">
        <f>_xlfn.IFNA(VLOOKUP('Comp X - Kilter'!B2183,'Kilter Holds'!$P$36:$AB$370,8,0),0)</f>
        <v>0</v>
      </c>
      <c r="G2183" s="2">
        <f t="shared" si="310"/>
        <v>0</v>
      </c>
      <c r="H2183" s="2">
        <f t="shared" si="311"/>
        <v>0</v>
      </c>
    </row>
    <row r="2184" spans="2:8">
      <c r="B2184" s="3" t="s">
        <v>2203</v>
      </c>
      <c r="C2184" s="3" t="s">
        <v>2204</v>
      </c>
      <c r="D2184" s="9" t="str">
        <f t="shared" si="309"/>
        <v>13-01</v>
      </c>
      <c r="E2184" s="1">
        <f>_xlfn.IFNA(VLOOKUP('Comp X - Kilter'!B2184,'Kilter Holds'!$P$36:$AB$370,9,0),0)</f>
        <v>4</v>
      </c>
      <c r="G2184" s="2">
        <f t="shared" si="310"/>
        <v>0</v>
      </c>
      <c r="H2184" s="2">
        <f t="shared" si="311"/>
        <v>0</v>
      </c>
    </row>
    <row r="2185" spans="2:8">
      <c r="B2185" s="3" t="s">
        <v>2203</v>
      </c>
      <c r="C2185" s="3" t="s">
        <v>2204</v>
      </c>
      <c r="D2185" s="10" t="str">
        <f t="shared" si="309"/>
        <v>07-13</v>
      </c>
      <c r="E2185" s="1">
        <f>_xlfn.IFNA(VLOOKUP('Comp X - Kilter'!B2185,'Kilter Holds'!$P$36:$AB$370,10,0),0)</f>
        <v>0</v>
      </c>
      <c r="G2185" s="2">
        <f t="shared" si="310"/>
        <v>0</v>
      </c>
      <c r="H2185" s="2">
        <f t="shared" si="311"/>
        <v>0</v>
      </c>
    </row>
    <row r="2186" spans="2:8">
      <c r="B2186" s="3" t="s">
        <v>2203</v>
      </c>
      <c r="C2186" s="3" t="s">
        <v>2204</v>
      </c>
      <c r="D2186" s="11" t="str">
        <f t="shared" si="309"/>
        <v>11-25</v>
      </c>
      <c r="E2186" s="1">
        <f>_xlfn.IFNA(VLOOKUP('Comp X - Kilter'!B2186,'Kilter Holds'!$P$36:$AB$370,11,0),0)</f>
        <v>0</v>
      </c>
      <c r="G2186" s="2">
        <f t="shared" si="310"/>
        <v>0</v>
      </c>
      <c r="H2186" s="2">
        <f t="shared" si="311"/>
        <v>0</v>
      </c>
    </row>
    <row r="2187" spans="2:8">
      <c r="B2187" s="3" t="s">
        <v>2203</v>
      </c>
      <c r="C2187" s="3" t="s">
        <v>2204</v>
      </c>
      <c r="D2187" s="13" t="str">
        <f t="shared" si="309"/>
        <v>18-01</v>
      </c>
      <c r="E2187" s="1">
        <f>_xlfn.IFNA(VLOOKUP('Comp X - Kilter'!B2187,'Kilter Holds'!$P$36:$AB$370,12,0),0)</f>
        <v>10</v>
      </c>
      <c r="G2187" s="2">
        <f t="shared" si="310"/>
        <v>0</v>
      </c>
      <c r="H2187" s="2">
        <f t="shared" si="311"/>
        <v>0</v>
      </c>
    </row>
    <row r="2188" spans="2:8">
      <c r="B2188" s="3" t="s">
        <v>2203</v>
      </c>
      <c r="C2188" s="3" t="s">
        <v>2204</v>
      </c>
      <c r="D2188" s="12" t="str">
        <f t="shared" si="309"/>
        <v>12-01</v>
      </c>
      <c r="E2188" s="1">
        <f>_xlfn.IFNA(VLOOKUP('Comp X - Kilter'!B2188,'Kilter Holds'!$P$36:$AB$370,13,0),0)</f>
        <v>0</v>
      </c>
      <c r="G2188" s="2">
        <f t="shared" si="310"/>
        <v>0</v>
      </c>
      <c r="H2188" s="2">
        <f t="shared" si="311"/>
        <v>0</v>
      </c>
    </row>
    <row r="2189" spans="2:8">
      <c r="B2189" t="s">
        <v>1997</v>
      </c>
      <c r="C2189" t="s">
        <v>1999</v>
      </c>
      <c r="D2189" s="5" t="str">
        <f t="shared" ref="D2189:D2206" si="312">D2144</f>
        <v>11-12</v>
      </c>
      <c r="E2189" s="1">
        <f>_xlfn.IFNA(VLOOKUP('Comp X - Kilter'!B2189,'Kilter Holds'!$P$36:$AB$370,5,0),0)</f>
        <v>6</v>
      </c>
      <c r="G2189" s="2">
        <f t="shared" ref="G2189:G2197" si="313">E2189*F2189</f>
        <v>0</v>
      </c>
      <c r="H2189" s="2">
        <f t="shared" ref="H2189:H2197" si="314">IF($S$11="Y",G2189*0.15,0)</f>
        <v>0</v>
      </c>
    </row>
    <row r="2190" spans="2:8">
      <c r="B2190" t="s">
        <v>1997</v>
      </c>
      <c r="C2190" t="s">
        <v>1999</v>
      </c>
      <c r="D2190" s="6" t="str">
        <f t="shared" si="312"/>
        <v>14-01</v>
      </c>
      <c r="E2190" s="1">
        <f>_xlfn.IFNA(VLOOKUP('Comp X - Kilter'!B2190,'Kilter Holds'!$P$36:$AB$370,6,0),0)</f>
        <v>0</v>
      </c>
      <c r="G2190" s="2">
        <f t="shared" si="313"/>
        <v>0</v>
      </c>
      <c r="H2190" s="2">
        <f t="shared" si="314"/>
        <v>0</v>
      </c>
    </row>
    <row r="2191" spans="2:8">
      <c r="B2191" t="s">
        <v>1997</v>
      </c>
      <c r="C2191" t="s">
        <v>1999</v>
      </c>
      <c r="D2191" s="7" t="str">
        <f t="shared" si="312"/>
        <v>15-12</v>
      </c>
      <c r="E2191" s="1">
        <f>_xlfn.IFNA(VLOOKUP('Comp X - Kilter'!B2191,'Kilter Holds'!$P$36:$AB$370,7,0),0)</f>
        <v>5</v>
      </c>
      <c r="G2191" s="2">
        <f t="shared" si="313"/>
        <v>0</v>
      </c>
      <c r="H2191" s="2">
        <f t="shared" si="314"/>
        <v>0</v>
      </c>
    </row>
    <row r="2192" spans="2:8">
      <c r="B2192" t="s">
        <v>1997</v>
      </c>
      <c r="C2192" t="s">
        <v>1999</v>
      </c>
      <c r="D2192" s="8" t="str">
        <f t="shared" si="312"/>
        <v>16-16</v>
      </c>
      <c r="E2192" s="1">
        <f>_xlfn.IFNA(VLOOKUP('Comp X - Kilter'!B2192,'Kilter Holds'!$P$36:$AB$370,8,0),0)</f>
        <v>0</v>
      </c>
      <c r="G2192" s="2">
        <f t="shared" si="313"/>
        <v>0</v>
      </c>
      <c r="H2192" s="2">
        <f t="shared" si="314"/>
        <v>0</v>
      </c>
    </row>
    <row r="2193" spans="2:8">
      <c r="B2193" t="s">
        <v>1997</v>
      </c>
      <c r="C2193" t="s">
        <v>1999</v>
      </c>
      <c r="D2193" s="9" t="str">
        <f t="shared" si="312"/>
        <v>13-01</v>
      </c>
      <c r="E2193" s="1">
        <f>_xlfn.IFNA(VLOOKUP('Comp X - Kilter'!B2193,'Kilter Holds'!$P$36:$AB$370,9,0),0)</f>
        <v>3</v>
      </c>
      <c r="G2193" s="2">
        <f t="shared" si="313"/>
        <v>0</v>
      </c>
      <c r="H2193" s="2">
        <f t="shared" si="314"/>
        <v>0</v>
      </c>
    </row>
    <row r="2194" spans="2:8">
      <c r="B2194" t="s">
        <v>1997</v>
      </c>
      <c r="C2194" t="s">
        <v>1999</v>
      </c>
      <c r="D2194" s="10" t="str">
        <f t="shared" si="312"/>
        <v>07-13</v>
      </c>
      <c r="E2194" s="1">
        <f>_xlfn.IFNA(VLOOKUP('Comp X - Kilter'!B2194,'Kilter Holds'!$P$36:$AB$370,10,0),0)</f>
        <v>0</v>
      </c>
      <c r="G2194" s="2">
        <f t="shared" si="313"/>
        <v>0</v>
      </c>
      <c r="H2194" s="2">
        <f t="shared" si="314"/>
        <v>0</v>
      </c>
    </row>
    <row r="2195" spans="2:8">
      <c r="B2195" t="s">
        <v>1997</v>
      </c>
      <c r="C2195" t="s">
        <v>1999</v>
      </c>
      <c r="D2195" s="11" t="str">
        <f t="shared" si="312"/>
        <v>11-25</v>
      </c>
      <c r="E2195" s="1">
        <f>_xlfn.IFNA(VLOOKUP('Comp X - Kilter'!B2195,'Kilter Holds'!$P$36:$AB$370,11,0),0)</f>
        <v>1</v>
      </c>
      <c r="G2195" s="2">
        <f t="shared" si="313"/>
        <v>0</v>
      </c>
      <c r="H2195" s="2">
        <f t="shared" si="314"/>
        <v>0</v>
      </c>
    </row>
    <row r="2196" spans="2:8">
      <c r="B2196" t="s">
        <v>1997</v>
      </c>
      <c r="C2196" t="s">
        <v>1999</v>
      </c>
      <c r="D2196" s="13" t="str">
        <f t="shared" si="312"/>
        <v>18-01</v>
      </c>
      <c r="E2196" s="1">
        <f>_xlfn.IFNA(VLOOKUP('Comp X - Kilter'!B2196,'Kilter Holds'!$P$36:$AB$370,12,0),0)</f>
        <v>11</v>
      </c>
      <c r="G2196" s="2">
        <f t="shared" si="313"/>
        <v>0</v>
      </c>
      <c r="H2196" s="2">
        <f t="shared" si="314"/>
        <v>0</v>
      </c>
    </row>
    <row r="2197" spans="2:8">
      <c r="B2197" t="s">
        <v>1997</v>
      </c>
      <c r="C2197" t="s">
        <v>1999</v>
      </c>
      <c r="D2197" s="12" t="str">
        <f t="shared" si="312"/>
        <v>12-01</v>
      </c>
      <c r="E2197" s="1">
        <f>_xlfn.IFNA(VLOOKUP('Comp X - Kilter'!B2197,'Kilter Holds'!$P$36:$AB$370,13,0),0)</f>
        <v>0</v>
      </c>
      <c r="G2197" s="2">
        <f t="shared" si="313"/>
        <v>0</v>
      </c>
      <c r="H2197" s="2">
        <f t="shared" si="314"/>
        <v>0</v>
      </c>
    </row>
    <row r="2198" spans="2:8">
      <c r="B2198" t="s">
        <v>2503</v>
      </c>
      <c r="C2198" t="s">
        <v>2507</v>
      </c>
      <c r="D2198" s="5" t="str">
        <f t="shared" si="312"/>
        <v>11-12</v>
      </c>
      <c r="E2198" s="1">
        <f>_xlfn.IFNA(VLOOKUP('Comp X - Kilter'!B2198,'Kilter Holds'!$P$36:$AB$370,5,0),0)</f>
        <v>4</v>
      </c>
      <c r="G2198" s="2">
        <f t="shared" ref="G2198:G2206" si="315">E2198*F2198</f>
        <v>0</v>
      </c>
      <c r="H2198" s="2">
        <f t="shared" ref="H2198:H2206" si="316">IF($S$11="Y",G2198*0.15,0)</f>
        <v>0</v>
      </c>
    </row>
    <row r="2199" spans="2:8">
      <c r="B2199" t="s">
        <v>2503</v>
      </c>
      <c r="C2199" t="s">
        <v>2507</v>
      </c>
      <c r="D2199" s="6" t="str">
        <f t="shared" si="312"/>
        <v>14-01</v>
      </c>
      <c r="E2199" s="1">
        <f>_xlfn.IFNA(VLOOKUP('Comp X - Kilter'!B2199,'Kilter Holds'!$P$36:$AB$370,6,0),0)</f>
        <v>0</v>
      </c>
      <c r="G2199" s="2">
        <f t="shared" si="315"/>
        <v>0</v>
      </c>
      <c r="H2199" s="2">
        <f t="shared" si="316"/>
        <v>0</v>
      </c>
    </row>
    <row r="2200" spans="2:8">
      <c r="B2200" t="s">
        <v>2503</v>
      </c>
      <c r="C2200" t="s">
        <v>2507</v>
      </c>
      <c r="D2200" s="7" t="str">
        <f t="shared" si="312"/>
        <v>15-12</v>
      </c>
      <c r="E2200" s="1">
        <f>_xlfn.IFNA(VLOOKUP('Comp X - Kilter'!B2200,'Kilter Holds'!$P$36:$AB$370,7,0),0)</f>
        <v>4</v>
      </c>
      <c r="G2200" s="2">
        <f t="shared" si="315"/>
        <v>0</v>
      </c>
      <c r="H2200" s="2">
        <f t="shared" si="316"/>
        <v>0</v>
      </c>
    </row>
    <row r="2201" spans="2:8">
      <c r="B2201" t="s">
        <v>2503</v>
      </c>
      <c r="C2201" t="s">
        <v>2507</v>
      </c>
      <c r="D2201" s="8" t="str">
        <f t="shared" si="312"/>
        <v>16-16</v>
      </c>
      <c r="E2201" s="1">
        <f>_xlfn.IFNA(VLOOKUP('Comp X - Kilter'!B2201,'Kilter Holds'!$P$36:$AB$370,8,0),0)</f>
        <v>0</v>
      </c>
      <c r="G2201" s="2">
        <f t="shared" si="315"/>
        <v>0</v>
      </c>
      <c r="H2201" s="2">
        <f t="shared" si="316"/>
        <v>0</v>
      </c>
    </row>
    <row r="2202" spans="2:8">
      <c r="B2202" t="s">
        <v>2503</v>
      </c>
      <c r="C2202" t="s">
        <v>2507</v>
      </c>
      <c r="D2202" s="9" t="str">
        <f t="shared" si="312"/>
        <v>13-01</v>
      </c>
      <c r="E2202" s="1">
        <f>_xlfn.IFNA(VLOOKUP('Comp X - Kilter'!B2202,'Kilter Holds'!$P$36:$AB$370,9,0),0)</f>
        <v>4</v>
      </c>
      <c r="G2202" s="2">
        <f t="shared" si="315"/>
        <v>0</v>
      </c>
      <c r="H2202" s="2">
        <f t="shared" si="316"/>
        <v>0</v>
      </c>
    </row>
    <row r="2203" spans="2:8">
      <c r="B2203" t="s">
        <v>2503</v>
      </c>
      <c r="C2203" t="s">
        <v>2507</v>
      </c>
      <c r="D2203" s="10" t="str">
        <f t="shared" si="312"/>
        <v>07-13</v>
      </c>
      <c r="E2203" s="1">
        <f>_xlfn.IFNA(VLOOKUP('Comp X - Kilter'!B2203,'Kilter Holds'!$P$36:$AB$370,10,0),0)</f>
        <v>0</v>
      </c>
      <c r="G2203" s="2">
        <f t="shared" si="315"/>
        <v>0</v>
      </c>
      <c r="H2203" s="2">
        <f t="shared" si="316"/>
        <v>0</v>
      </c>
    </row>
    <row r="2204" spans="2:8">
      <c r="B2204" t="s">
        <v>2503</v>
      </c>
      <c r="C2204" t="s">
        <v>2507</v>
      </c>
      <c r="D2204" s="11" t="str">
        <f t="shared" si="312"/>
        <v>11-25</v>
      </c>
      <c r="E2204" s="1">
        <f>_xlfn.IFNA(VLOOKUP('Comp X - Kilter'!B2204,'Kilter Holds'!$P$36:$AB$370,11,0),0)</f>
        <v>0</v>
      </c>
      <c r="G2204" s="2">
        <f t="shared" si="315"/>
        <v>0</v>
      </c>
      <c r="H2204" s="2">
        <f t="shared" si="316"/>
        <v>0</v>
      </c>
    </row>
    <row r="2205" spans="2:8">
      <c r="B2205" t="s">
        <v>2503</v>
      </c>
      <c r="C2205" t="s">
        <v>2507</v>
      </c>
      <c r="D2205" s="13" t="str">
        <f t="shared" si="312"/>
        <v>18-01</v>
      </c>
      <c r="E2205" s="1">
        <f>_xlfn.IFNA(VLOOKUP('Comp X - Kilter'!B2205,'Kilter Holds'!$P$36:$AB$370,12,0),0)</f>
        <v>8</v>
      </c>
      <c r="G2205" s="2">
        <f t="shared" si="315"/>
        <v>0</v>
      </c>
      <c r="H2205" s="2">
        <f t="shared" si="316"/>
        <v>0</v>
      </c>
    </row>
    <row r="2206" spans="2:8">
      <c r="B2206" t="s">
        <v>2503</v>
      </c>
      <c r="C2206" t="s">
        <v>2507</v>
      </c>
      <c r="D2206" s="12" t="str">
        <f t="shared" si="312"/>
        <v>12-01</v>
      </c>
      <c r="E2206" s="1">
        <f>_xlfn.IFNA(VLOOKUP('Comp X - Kilter'!B2206,'Kilter Holds'!$P$36:$AB$370,13,0),0)</f>
        <v>0</v>
      </c>
      <c r="G2206" s="2">
        <f t="shared" si="315"/>
        <v>0</v>
      </c>
      <c r="H2206" s="2">
        <f t="shared" si="316"/>
        <v>0</v>
      </c>
    </row>
    <row r="2207" spans="2:8">
      <c r="B2207" s="3" t="s">
        <v>2489</v>
      </c>
      <c r="C2207" s="3" t="s">
        <v>2490</v>
      </c>
      <c r="D2207" s="5" t="str">
        <f t="shared" ref="D2207:D2215" si="317">D2153</f>
        <v>11-12</v>
      </c>
      <c r="E2207" s="1">
        <f>_xlfn.IFNA(VLOOKUP('Comp X - Kilter'!B2207,'Kilter Holds'!$P$36:$AB$370,5,0),0)</f>
        <v>4</v>
      </c>
      <c r="G2207" s="2">
        <f t="shared" ref="G2207:G2215" si="318">E2207*F2207</f>
        <v>0</v>
      </c>
      <c r="H2207" s="2">
        <f t="shared" ref="H2207:H2215" si="319">IF($S$11="Y",G2207*0.15,0)</f>
        <v>0</v>
      </c>
    </row>
    <row r="2208" spans="2:8">
      <c r="B2208" s="3" t="s">
        <v>2489</v>
      </c>
      <c r="C2208" s="3" t="s">
        <v>2490</v>
      </c>
      <c r="D2208" s="6" t="str">
        <f t="shared" si="317"/>
        <v>14-01</v>
      </c>
      <c r="E2208" s="1">
        <f>_xlfn.IFNA(VLOOKUP('Comp X - Kilter'!B2208,'Kilter Holds'!$P$36:$AB$370,6,0),0)</f>
        <v>0</v>
      </c>
      <c r="G2208" s="2">
        <f t="shared" si="318"/>
        <v>0</v>
      </c>
      <c r="H2208" s="2">
        <f t="shared" si="319"/>
        <v>0</v>
      </c>
    </row>
    <row r="2209" spans="2:8">
      <c r="B2209" s="3" t="s">
        <v>2489</v>
      </c>
      <c r="C2209" s="3" t="s">
        <v>2490</v>
      </c>
      <c r="D2209" s="7" t="str">
        <f t="shared" si="317"/>
        <v>15-12</v>
      </c>
      <c r="E2209" s="1">
        <f>_xlfn.IFNA(VLOOKUP('Comp X - Kilter'!B2209,'Kilter Holds'!$P$36:$AB$370,7,0),0)</f>
        <v>4</v>
      </c>
      <c r="G2209" s="2">
        <f t="shared" si="318"/>
        <v>0</v>
      </c>
      <c r="H2209" s="2">
        <f t="shared" si="319"/>
        <v>0</v>
      </c>
    </row>
    <row r="2210" spans="2:8">
      <c r="B2210" s="3" t="s">
        <v>2489</v>
      </c>
      <c r="C2210" s="3" t="s">
        <v>2490</v>
      </c>
      <c r="D2210" s="8" t="str">
        <f t="shared" si="317"/>
        <v>16-16</v>
      </c>
      <c r="E2210" s="1">
        <f>_xlfn.IFNA(VLOOKUP('Comp X - Kilter'!B2210,'Kilter Holds'!$P$36:$AB$370,8,0),0)</f>
        <v>0</v>
      </c>
      <c r="G2210" s="2">
        <f t="shared" si="318"/>
        <v>0</v>
      </c>
      <c r="H2210" s="2">
        <f t="shared" si="319"/>
        <v>0</v>
      </c>
    </row>
    <row r="2211" spans="2:8">
      <c r="B2211" s="3" t="s">
        <v>2489</v>
      </c>
      <c r="C2211" s="3" t="s">
        <v>2490</v>
      </c>
      <c r="D2211" s="9" t="str">
        <f t="shared" si="317"/>
        <v>13-01</v>
      </c>
      <c r="E2211" s="1">
        <f>_xlfn.IFNA(VLOOKUP('Comp X - Kilter'!B2211,'Kilter Holds'!$P$36:$AB$370,9,0),0)</f>
        <v>5</v>
      </c>
      <c r="G2211" s="2">
        <f t="shared" si="318"/>
        <v>0</v>
      </c>
      <c r="H2211" s="2">
        <f t="shared" si="319"/>
        <v>0</v>
      </c>
    </row>
    <row r="2212" spans="2:8">
      <c r="B2212" s="3" t="s">
        <v>2489</v>
      </c>
      <c r="C2212" s="3" t="s">
        <v>2490</v>
      </c>
      <c r="D2212" s="10" t="str">
        <f t="shared" si="317"/>
        <v>07-13</v>
      </c>
      <c r="E2212" s="1">
        <f>_xlfn.IFNA(VLOOKUP('Comp X - Kilter'!B2212,'Kilter Holds'!$P$36:$AB$370,10,0),0)</f>
        <v>0</v>
      </c>
      <c r="G2212" s="2">
        <f t="shared" si="318"/>
        <v>0</v>
      </c>
      <c r="H2212" s="2">
        <f t="shared" si="319"/>
        <v>0</v>
      </c>
    </row>
    <row r="2213" spans="2:8">
      <c r="B2213" s="3" t="s">
        <v>2489</v>
      </c>
      <c r="C2213" s="3" t="s">
        <v>2490</v>
      </c>
      <c r="D2213" s="11" t="str">
        <f t="shared" si="317"/>
        <v>11-25</v>
      </c>
      <c r="E2213" s="1">
        <f>_xlfn.IFNA(VLOOKUP('Comp X - Kilter'!B2213,'Kilter Holds'!$P$36:$AB$370,11,0),0)</f>
        <v>0</v>
      </c>
      <c r="G2213" s="2">
        <f t="shared" si="318"/>
        <v>0</v>
      </c>
      <c r="H2213" s="2">
        <f t="shared" si="319"/>
        <v>0</v>
      </c>
    </row>
    <row r="2214" spans="2:8">
      <c r="B2214" s="3" t="s">
        <v>2489</v>
      </c>
      <c r="C2214" s="3" t="s">
        <v>2490</v>
      </c>
      <c r="D2214" s="13" t="str">
        <f t="shared" si="317"/>
        <v>18-01</v>
      </c>
      <c r="E2214" s="1">
        <f>_xlfn.IFNA(VLOOKUP('Comp X - Kilter'!B2214,'Kilter Holds'!$P$36:$AB$370,12,0),0)</f>
        <v>11</v>
      </c>
      <c r="G2214" s="2">
        <f t="shared" si="318"/>
        <v>0</v>
      </c>
      <c r="H2214" s="2">
        <f t="shared" si="319"/>
        <v>0</v>
      </c>
    </row>
    <row r="2215" spans="2:8">
      <c r="B2215" s="3" t="s">
        <v>2489</v>
      </c>
      <c r="C2215" s="3" t="s">
        <v>2490</v>
      </c>
      <c r="D2215" s="12" t="str">
        <f t="shared" si="317"/>
        <v>12-01</v>
      </c>
      <c r="E2215" s="1">
        <f>_xlfn.IFNA(VLOOKUP('Comp X - Kilter'!B2215,'Kilter Holds'!$P$36:$AB$370,13,0),0)</f>
        <v>0</v>
      </c>
      <c r="G2215" s="2">
        <f t="shared" si="318"/>
        <v>0</v>
      </c>
      <c r="H2215" s="2">
        <f t="shared" si="319"/>
        <v>0</v>
      </c>
    </row>
    <row r="2216" spans="2:8">
      <c r="B2216" s="3" t="s">
        <v>1907</v>
      </c>
      <c r="C2216" s="3" t="s">
        <v>1908</v>
      </c>
      <c r="D2216" s="5" t="str">
        <f t="shared" ref="D2216:D2251" si="320">D2117</f>
        <v>11-12</v>
      </c>
      <c r="E2216" s="1">
        <f>_xlfn.IFNA(VLOOKUP('Comp X - Kilter'!B2216,'Kilter Holds'!$P$36:$AB$370,5,0),0)</f>
        <v>5</v>
      </c>
      <c r="G2216" s="2">
        <f t="shared" si="305"/>
        <v>0</v>
      </c>
      <c r="H2216" s="2">
        <f t="shared" si="306"/>
        <v>0</v>
      </c>
    </row>
    <row r="2217" spans="2:8">
      <c r="B2217" s="3" t="s">
        <v>1907</v>
      </c>
      <c r="C2217" s="3" t="s">
        <v>1908</v>
      </c>
      <c r="D2217" s="6" t="str">
        <f t="shared" si="320"/>
        <v>14-01</v>
      </c>
      <c r="E2217" s="1">
        <f>_xlfn.IFNA(VLOOKUP('Comp X - Kilter'!B2217,'Kilter Holds'!$P$36:$AB$370,6,0),0)</f>
        <v>0</v>
      </c>
      <c r="G2217" s="2">
        <f t="shared" si="305"/>
        <v>0</v>
      </c>
      <c r="H2217" s="2">
        <f t="shared" si="306"/>
        <v>0</v>
      </c>
    </row>
    <row r="2218" spans="2:8">
      <c r="B2218" s="3" t="s">
        <v>1907</v>
      </c>
      <c r="C2218" s="3" t="s">
        <v>1908</v>
      </c>
      <c r="D2218" s="7" t="str">
        <f t="shared" si="320"/>
        <v>15-12</v>
      </c>
      <c r="E2218" s="1">
        <f>_xlfn.IFNA(VLOOKUP('Comp X - Kilter'!B2218,'Kilter Holds'!$P$36:$AB$370,7,0),0)</f>
        <v>4</v>
      </c>
      <c r="G2218" s="2">
        <f t="shared" si="305"/>
        <v>0</v>
      </c>
      <c r="H2218" s="2">
        <f t="shared" si="306"/>
        <v>0</v>
      </c>
    </row>
    <row r="2219" spans="2:8">
      <c r="B2219" s="3" t="s">
        <v>1907</v>
      </c>
      <c r="C2219" s="3" t="s">
        <v>1908</v>
      </c>
      <c r="D2219" s="8" t="str">
        <f t="shared" si="320"/>
        <v>16-16</v>
      </c>
      <c r="E2219" s="1">
        <f>_xlfn.IFNA(VLOOKUP('Comp X - Kilter'!B2219,'Kilter Holds'!$P$36:$AB$370,8,0),0)</f>
        <v>0</v>
      </c>
      <c r="G2219" s="2">
        <f t="shared" si="305"/>
        <v>0</v>
      </c>
      <c r="H2219" s="2">
        <f t="shared" si="306"/>
        <v>0</v>
      </c>
    </row>
    <row r="2220" spans="2:8">
      <c r="B2220" s="3" t="s">
        <v>1907</v>
      </c>
      <c r="C2220" s="3" t="s">
        <v>1908</v>
      </c>
      <c r="D2220" s="9" t="str">
        <f t="shared" si="320"/>
        <v>13-01</v>
      </c>
      <c r="E2220" s="1">
        <f>_xlfn.IFNA(VLOOKUP('Comp X - Kilter'!B2220,'Kilter Holds'!$P$36:$AB$370,9,0),0)</f>
        <v>4</v>
      </c>
      <c r="G2220" s="2">
        <f t="shared" si="305"/>
        <v>0</v>
      </c>
      <c r="H2220" s="2">
        <f t="shared" si="306"/>
        <v>0</v>
      </c>
    </row>
    <row r="2221" spans="2:8">
      <c r="B2221" s="3" t="s">
        <v>1907</v>
      </c>
      <c r="C2221" s="3" t="s">
        <v>1908</v>
      </c>
      <c r="D2221" s="10" t="str">
        <f t="shared" si="320"/>
        <v>07-13</v>
      </c>
      <c r="E2221" s="1">
        <f>_xlfn.IFNA(VLOOKUP('Comp X - Kilter'!B2221,'Kilter Holds'!$P$36:$AB$370,10,0),0)</f>
        <v>0</v>
      </c>
      <c r="G2221" s="2">
        <f t="shared" si="305"/>
        <v>0</v>
      </c>
      <c r="H2221" s="2">
        <f t="shared" si="306"/>
        <v>0</v>
      </c>
    </row>
    <row r="2222" spans="2:8">
      <c r="B2222" s="3" t="s">
        <v>1907</v>
      </c>
      <c r="C2222" s="3" t="s">
        <v>1908</v>
      </c>
      <c r="D2222" s="11" t="str">
        <f t="shared" si="320"/>
        <v>11-25</v>
      </c>
      <c r="E2222" s="1">
        <f>_xlfn.IFNA(VLOOKUP('Comp X - Kilter'!B2222,'Kilter Holds'!$P$36:$AB$370,11,0),0)</f>
        <v>0</v>
      </c>
      <c r="G2222" s="2">
        <f t="shared" si="305"/>
        <v>0</v>
      </c>
      <c r="H2222" s="2">
        <f t="shared" si="306"/>
        <v>0</v>
      </c>
    </row>
    <row r="2223" spans="2:8">
      <c r="B2223" s="3" t="s">
        <v>1907</v>
      </c>
      <c r="C2223" s="3" t="s">
        <v>1908</v>
      </c>
      <c r="D2223" s="13" t="str">
        <f t="shared" si="320"/>
        <v>18-01</v>
      </c>
      <c r="E2223" s="1">
        <f>_xlfn.IFNA(VLOOKUP('Comp X - Kilter'!B2223,'Kilter Holds'!$P$36:$AB$370,12,0),0)</f>
        <v>10</v>
      </c>
      <c r="G2223" s="2">
        <f t="shared" si="305"/>
        <v>0</v>
      </c>
      <c r="H2223" s="2">
        <f t="shared" si="306"/>
        <v>0</v>
      </c>
    </row>
    <row r="2224" spans="2:8">
      <c r="B2224" s="3" t="s">
        <v>1907</v>
      </c>
      <c r="C2224" s="3" t="s">
        <v>1908</v>
      </c>
      <c r="D2224" s="12" t="str">
        <f t="shared" si="320"/>
        <v>12-01</v>
      </c>
      <c r="E2224" s="1">
        <f>_xlfn.IFNA(VLOOKUP('Comp X - Kilter'!B2224,'Kilter Holds'!$P$36:$AB$370,13,0),0)</f>
        <v>0</v>
      </c>
      <c r="G2224" s="2">
        <f t="shared" si="305"/>
        <v>0</v>
      </c>
      <c r="H2224" s="2">
        <f t="shared" si="306"/>
        <v>0</v>
      </c>
    </row>
    <row r="2225" spans="2:8">
      <c r="B2225" s="3" t="s">
        <v>2505</v>
      </c>
      <c r="C2225" s="3" t="s">
        <v>2508</v>
      </c>
      <c r="D2225" s="5" t="str">
        <f t="shared" si="320"/>
        <v>11-12</v>
      </c>
      <c r="E2225" s="1">
        <f>_xlfn.IFNA(VLOOKUP('Comp X - Kilter'!B2225,'Kilter Holds'!$P$36:$AB$370,5,0),0)</f>
        <v>5</v>
      </c>
      <c r="G2225" s="2">
        <f t="shared" ref="G2225:G2233" si="321">E2225*F2225</f>
        <v>0</v>
      </c>
      <c r="H2225" s="2">
        <f t="shared" ref="H2225:H2233" si="322">IF($S$11="Y",G2225*0.15,0)</f>
        <v>0</v>
      </c>
    </row>
    <row r="2226" spans="2:8">
      <c r="B2226" s="3" t="s">
        <v>2505</v>
      </c>
      <c r="C2226" s="3" t="s">
        <v>2508</v>
      </c>
      <c r="D2226" s="6" t="str">
        <f t="shared" si="320"/>
        <v>14-01</v>
      </c>
      <c r="E2226" s="1">
        <f>_xlfn.IFNA(VLOOKUP('Comp X - Kilter'!B2226,'Kilter Holds'!$P$36:$AB$370,6,0),0)</f>
        <v>0</v>
      </c>
      <c r="G2226" s="2">
        <f t="shared" si="321"/>
        <v>0</v>
      </c>
      <c r="H2226" s="2">
        <f t="shared" si="322"/>
        <v>0</v>
      </c>
    </row>
    <row r="2227" spans="2:8">
      <c r="B2227" s="3" t="s">
        <v>2505</v>
      </c>
      <c r="C2227" s="3" t="s">
        <v>2508</v>
      </c>
      <c r="D2227" s="7" t="str">
        <f t="shared" si="320"/>
        <v>15-12</v>
      </c>
      <c r="E2227" s="1">
        <f>_xlfn.IFNA(VLOOKUP('Comp X - Kilter'!B2227,'Kilter Holds'!$P$36:$AB$370,7,0),0)</f>
        <v>5</v>
      </c>
      <c r="G2227" s="2">
        <f t="shared" si="321"/>
        <v>0</v>
      </c>
      <c r="H2227" s="2">
        <f t="shared" si="322"/>
        <v>0</v>
      </c>
    </row>
    <row r="2228" spans="2:8">
      <c r="B2228" s="3" t="s">
        <v>2505</v>
      </c>
      <c r="C2228" s="3" t="s">
        <v>2508</v>
      </c>
      <c r="D2228" s="8" t="str">
        <f t="shared" si="320"/>
        <v>16-16</v>
      </c>
      <c r="E2228" s="1">
        <f>_xlfn.IFNA(VLOOKUP('Comp X - Kilter'!B2228,'Kilter Holds'!$P$36:$AB$370,8,0),0)</f>
        <v>0</v>
      </c>
      <c r="G2228" s="2">
        <f t="shared" si="321"/>
        <v>0</v>
      </c>
      <c r="H2228" s="2">
        <f t="shared" si="322"/>
        <v>0</v>
      </c>
    </row>
    <row r="2229" spans="2:8">
      <c r="B2229" s="3" t="s">
        <v>2505</v>
      </c>
      <c r="C2229" s="3" t="s">
        <v>2508</v>
      </c>
      <c r="D2229" s="9" t="str">
        <f t="shared" si="320"/>
        <v>13-01</v>
      </c>
      <c r="E2229" s="1">
        <f>_xlfn.IFNA(VLOOKUP('Comp X - Kilter'!B2229,'Kilter Holds'!$P$36:$AB$370,9,0),0)</f>
        <v>6</v>
      </c>
      <c r="G2229" s="2">
        <f t="shared" si="321"/>
        <v>0</v>
      </c>
      <c r="H2229" s="2">
        <f t="shared" si="322"/>
        <v>0</v>
      </c>
    </row>
    <row r="2230" spans="2:8">
      <c r="B2230" s="3" t="s">
        <v>2505</v>
      </c>
      <c r="C2230" s="3" t="s">
        <v>2508</v>
      </c>
      <c r="D2230" s="10" t="str">
        <f t="shared" si="320"/>
        <v>07-13</v>
      </c>
      <c r="E2230" s="1">
        <f>_xlfn.IFNA(VLOOKUP('Comp X - Kilter'!B2230,'Kilter Holds'!$P$36:$AB$370,10,0),0)</f>
        <v>0</v>
      </c>
      <c r="G2230" s="2">
        <f t="shared" si="321"/>
        <v>0</v>
      </c>
      <c r="H2230" s="2">
        <f t="shared" si="322"/>
        <v>0</v>
      </c>
    </row>
    <row r="2231" spans="2:8">
      <c r="B2231" s="3" t="s">
        <v>2505</v>
      </c>
      <c r="C2231" s="3" t="s">
        <v>2508</v>
      </c>
      <c r="D2231" s="11" t="str">
        <f t="shared" si="320"/>
        <v>11-25</v>
      </c>
      <c r="E2231" s="1">
        <f>_xlfn.IFNA(VLOOKUP('Comp X - Kilter'!B2231,'Kilter Holds'!$P$36:$AB$370,11,0),0)</f>
        <v>0</v>
      </c>
      <c r="G2231" s="2">
        <f t="shared" si="321"/>
        <v>0</v>
      </c>
      <c r="H2231" s="2">
        <f t="shared" si="322"/>
        <v>0</v>
      </c>
    </row>
    <row r="2232" spans="2:8">
      <c r="B2232" s="3" t="s">
        <v>2505</v>
      </c>
      <c r="C2232" s="3" t="s">
        <v>2508</v>
      </c>
      <c r="D2232" s="13" t="str">
        <f t="shared" si="320"/>
        <v>18-01</v>
      </c>
      <c r="E2232" s="1">
        <f>_xlfn.IFNA(VLOOKUP('Comp X - Kilter'!B2232,'Kilter Holds'!$P$36:$AB$370,12,0),0)</f>
        <v>12</v>
      </c>
      <c r="G2232" s="2">
        <f t="shared" si="321"/>
        <v>0</v>
      </c>
      <c r="H2232" s="2">
        <f t="shared" si="322"/>
        <v>0</v>
      </c>
    </row>
    <row r="2233" spans="2:8">
      <c r="B2233" s="3" t="s">
        <v>2505</v>
      </c>
      <c r="C2233" s="3" t="s">
        <v>2508</v>
      </c>
      <c r="D2233" s="12" t="str">
        <f t="shared" si="320"/>
        <v>12-01</v>
      </c>
      <c r="E2233" s="1">
        <f>_xlfn.IFNA(VLOOKUP('Comp X - Kilter'!B2233,'Kilter Holds'!$P$36:$AB$370,13,0),0)</f>
        <v>0</v>
      </c>
      <c r="G2233" s="2">
        <f t="shared" si="321"/>
        <v>0</v>
      </c>
      <c r="H2233" s="2">
        <f t="shared" si="322"/>
        <v>0</v>
      </c>
    </row>
    <row r="2234" spans="2:8">
      <c r="B2234" s="3" t="s">
        <v>1973</v>
      </c>
      <c r="C2234" s="3" t="s">
        <v>1974</v>
      </c>
      <c r="D2234" s="5" t="str">
        <f t="shared" si="320"/>
        <v>11-12</v>
      </c>
      <c r="E2234" s="1">
        <f>_xlfn.IFNA(VLOOKUP('Comp X - Kilter'!B2234,'Kilter Holds'!$P$36:$AB$370,5,0),0)</f>
        <v>5</v>
      </c>
      <c r="G2234" s="2">
        <f t="shared" ref="G2234:G2314" si="323">E2234*F2234</f>
        <v>0</v>
      </c>
      <c r="H2234" s="2">
        <f t="shared" ref="H2234:H2314" si="324">IF($S$11="Y",G2234*0.15,0)</f>
        <v>0</v>
      </c>
    </row>
    <row r="2235" spans="2:8">
      <c r="B2235" s="3" t="s">
        <v>1973</v>
      </c>
      <c r="C2235" s="3" t="s">
        <v>1974</v>
      </c>
      <c r="D2235" s="6" t="str">
        <f t="shared" si="320"/>
        <v>14-01</v>
      </c>
      <c r="E2235" s="1">
        <f>_xlfn.IFNA(VLOOKUP('Comp X - Kilter'!B2235,'Kilter Holds'!$P$36:$AB$370,6,0),0)</f>
        <v>0</v>
      </c>
      <c r="G2235" s="2">
        <f t="shared" si="323"/>
        <v>0</v>
      </c>
      <c r="H2235" s="2">
        <f t="shared" si="324"/>
        <v>0</v>
      </c>
    </row>
    <row r="2236" spans="2:8">
      <c r="B2236" s="3" t="s">
        <v>1973</v>
      </c>
      <c r="C2236" s="3" t="s">
        <v>1974</v>
      </c>
      <c r="D2236" s="7" t="str">
        <f t="shared" si="320"/>
        <v>15-12</v>
      </c>
      <c r="E2236" s="1">
        <f>_xlfn.IFNA(VLOOKUP('Comp X - Kilter'!B2236,'Kilter Holds'!$P$36:$AB$370,7,0),0)</f>
        <v>3</v>
      </c>
      <c r="G2236" s="2">
        <f t="shared" si="323"/>
        <v>0</v>
      </c>
      <c r="H2236" s="2">
        <f t="shared" si="324"/>
        <v>0</v>
      </c>
    </row>
    <row r="2237" spans="2:8">
      <c r="B2237" s="3" t="s">
        <v>1973</v>
      </c>
      <c r="C2237" s="3" t="s">
        <v>1974</v>
      </c>
      <c r="D2237" s="8" t="str">
        <f t="shared" si="320"/>
        <v>16-16</v>
      </c>
      <c r="E2237" s="1">
        <f>_xlfn.IFNA(VLOOKUP('Comp X - Kilter'!B2237,'Kilter Holds'!$P$36:$AB$370,8,0),0)</f>
        <v>0</v>
      </c>
      <c r="G2237" s="2">
        <f t="shared" si="323"/>
        <v>0</v>
      </c>
      <c r="H2237" s="2">
        <f t="shared" si="324"/>
        <v>0</v>
      </c>
    </row>
    <row r="2238" spans="2:8">
      <c r="B2238" s="3" t="s">
        <v>1973</v>
      </c>
      <c r="C2238" s="3" t="s">
        <v>1974</v>
      </c>
      <c r="D2238" s="9" t="str">
        <f t="shared" si="320"/>
        <v>13-01</v>
      </c>
      <c r="E2238" s="1">
        <f>_xlfn.IFNA(VLOOKUP('Comp X - Kilter'!B2238,'Kilter Holds'!$P$36:$AB$370,9,0),0)</f>
        <v>4</v>
      </c>
      <c r="G2238" s="2">
        <f t="shared" si="323"/>
        <v>0</v>
      </c>
      <c r="H2238" s="2">
        <f t="shared" si="324"/>
        <v>0</v>
      </c>
    </row>
    <row r="2239" spans="2:8">
      <c r="B2239" s="3" t="s">
        <v>1973</v>
      </c>
      <c r="C2239" s="3" t="s">
        <v>1974</v>
      </c>
      <c r="D2239" s="10" t="str">
        <f t="shared" si="320"/>
        <v>07-13</v>
      </c>
      <c r="E2239" s="1">
        <f>_xlfn.IFNA(VLOOKUP('Comp X - Kilter'!B2239,'Kilter Holds'!$P$36:$AB$370,10,0),0)</f>
        <v>0</v>
      </c>
      <c r="G2239" s="2">
        <f t="shared" si="323"/>
        <v>0</v>
      </c>
      <c r="H2239" s="2">
        <f t="shared" si="324"/>
        <v>0</v>
      </c>
    </row>
    <row r="2240" spans="2:8">
      <c r="B2240" s="3" t="s">
        <v>1973</v>
      </c>
      <c r="C2240" s="3" t="s">
        <v>1974</v>
      </c>
      <c r="D2240" s="11" t="str">
        <f t="shared" si="320"/>
        <v>11-25</v>
      </c>
      <c r="E2240" s="1">
        <f>_xlfn.IFNA(VLOOKUP('Comp X - Kilter'!B2240,'Kilter Holds'!$P$36:$AB$370,11,0),0)</f>
        <v>0</v>
      </c>
      <c r="G2240" s="2">
        <f t="shared" si="323"/>
        <v>0</v>
      </c>
      <c r="H2240" s="2">
        <f t="shared" si="324"/>
        <v>0</v>
      </c>
    </row>
    <row r="2241" spans="2:8">
      <c r="B2241" s="3" t="s">
        <v>1973</v>
      </c>
      <c r="C2241" s="3" t="s">
        <v>1974</v>
      </c>
      <c r="D2241" s="13" t="str">
        <f t="shared" si="320"/>
        <v>18-01</v>
      </c>
      <c r="E2241" s="1">
        <f>_xlfn.IFNA(VLOOKUP('Comp X - Kilter'!B2241,'Kilter Holds'!$P$36:$AB$370,12,0),0)</f>
        <v>8</v>
      </c>
      <c r="G2241" s="2">
        <f t="shared" si="323"/>
        <v>0</v>
      </c>
      <c r="H2241" s="2">
        <f t="shared" si="324"/>
        <v>0</v>
      </c>
    </row>
    <row r="2242" spans="2:8">
      <c r="B2242" s="3" t="s">
        <v>1973</v>
      </c>
      <c r="C2242" s="3" t="s">
        <v>1974</v>
      </c>
      <c r="D2242" s="12" t="str">
        <f t="shared" si="320"/>
        <v>12-01</v>
      </c>
      <c r="E2242" s="1">
        <f>_xlfn.IFNA(VLOOKUP('Comp X - Kilter'!B2242,'Kilter Holds'!$P$36:$AB$370,13,0),0)</f>
        <v>0</v>
      </c>
      <c r="G2242" s="2">
        <f t="shared" si="323"/>
        <v>0</v>
      </c>
      <c r="H2242" s="2">
        <f t="shared" si="324"/>
        <v>0</v>
      </c>
    </row>
    <row r="2243" spans="2:8">
      <c r="B2243" s="3" t="s">
        <v>2133</v>
      </c>
      <c r="C2243" s="3" t="s">
        <v>2134</v>
      </c>
      <c r="D2243" s="5" t="str">
        <f t="shared" si="320"/>
        <v>11-12</v>
      </c>
      <c r="E2243" s="1">
        <f>_xlfn.IFNA(VLOOKUP('Comp X - Kilter'!B2243,'Kilter Holds'!$P$36:$AB$370,5,0),0)</f>
        <v>5</v>
      </c>
      <c r="G2243" s="2">
        <f t="shared" ref="G2243:G2251" si="325">E2243*F2243</f>
        <v>0</v>
      </c>
      <c r="H2243" s="2">
        <f t="shared" ref="H2243:H2251" si="326">IF($S$11="Y",G2243*0.15,0)</f>
        <v>0</v>
      </c>
    </row>
    <row r="2244" spans="2:8">
      <c r="B2244" s="3" t="s">
        <v>2133</v>
      </c>
      <c r="C2244" s="3" t="s">
        <v>2134</v>
      </c>
      <c r="D2244" s="6" t="str">
        <f t="shared" si="320"/>
        <v>14-01</v>
      </c>
      <c r="E2244" s="1">
        <f>_xlfn.IFNA(VLOOKUP('Comp X - Kilter'!B2244,'Kilter Holds'!$P$36:$AB$370,6,0),0)</f>
        <v>0</v>
      </c>
      <c r="G2244" s="2">
        <f t="shared" si="325"/>
        <v>0</v>
      </c>
      <c r="H2244" s="2">
        <f t="shared" si="326"/>
        <v>0</v>
      </c>
    </row>
    <row r="2245" spans="2:8">
      <c r="B2245" s="3" t="s">
        <v>2133</v>
      </c>
      <c r="C2245" s="3" t="s">
        <v>2134</v>
      </c>
      <c r="D2245" s="7" t="str">
        <f t="shared" si="320"/>
        <v>15-12</v>
      </c>
      <c r="E2245" s="1">
        <f>_xlfn.IFNA(VLOOKUP('Comp X - Kilter'!B2245,'Kilter Holds'!$P$36:$AB$370,7,0),0)</f>
        <v>5</v>
      </c>
      <c r="G2245" s="2">
        <f t="shared" si="325"/>
        <v>0</v>
      </c>
      <c r="H2245" s="2">
        <f t="shared" si="326"/>
        <v>0</v>
      </c>
    </row>
    <row r="2246" spans="2:8">
      <c r="B2246" s="3" t="s">
        <v>2133</v>
      </c>
      <c r="C2246" s="3" t="s">
        <v>2134</v>
      </c>
      <c r="D2246" s="8" t="str">
        <f t="shared" si="320"/>
        <v>16-16</v>
      </c>
      <c r="E2246" s="1">
        <f>_xlfn.IFNA(VLOOKUP('Comp X - Kilter'!B2246,'Kilter Holds'!$P$36:$AB$370,8,0),0)</f>
        <v>0</v>
      </c>
      <c r="G2246" s="2">
        <f t="shared" si="325"/>
        <v>0</v>
      </c>
      <c r="H2246" s="2">
        <f t="shared" si="326"/>
        <v>0</v>
      </c>
    </row>
    <row r="2247" spans="2:8">
      <c r="B2247" s="3" t="s">
        <v>2133</v>
      </c>
      <c r="C2247" s="3" t="s">
        <v>2134</v>
      </c>
      <c r="D2247" s="9" t="str">
        <f t="shared" si="320"/>
        <v>13-01</v>
      </c>
      <c r="E2247" s="1">
        <f>_xlfn.IFNA(VLOOKUP('Comp X - Kilter'!B2247,'Kilter Holds'!$P$36:$AB$370,9,0),0)</f>
        <v>5</v>
      </c>
      <c r="G2247" s="2">
        <f t="shared" si="325"/>
        <v>0</v>
      </c>
      <c r="H2247" s="2">
        <f t="shared" si="326"/>
        <v>0</v>
      </c>
    </row>
    <row r="2248" spans="2:8">
      <c r="B2248" s="3" t="s">
        <v>2133</v>
      </c>
      <c r="C2248" s="3" t="s">
        <v>2134</v>
      </c>
      <c r="D2248" s="10" t="str">
        <f t="shared" si="320"/>
        <v>07-13</v>
      </c>
      <c r="E2248" s="1">
        <f>_xlfn.IFNA(VLOOKUP('Comp X - Kilter'!B2248,'Kilter Holds'!$P$36:$AB$370,10,0),0)</f>
        <v>0</v>
      </c>
      <c r="G2248" s="2">
        <f t="shared" si="325"/>
        <v>0</v>
      </c>
      <c r="H2248" s="2">
        <f t="shared" si="326"/>
        <v>0</v>
      </c>
    </row>
    <row r="2249" spans="2:8">
      <c r="B2249" s="3" t="s">
        <v>2133</v>
      </c>
      <c r="C2249" s="3" t="s">
        <v>2134</v>
      </c>
      <c r="D2249" s="11" t="str">
        <f t="shared" si="320"/>
        <v>11-25</v>
      </c>
      <c r="E2249" s="1">
        <f>_xlfn.IFNA(VLOOKUP('Comp X - Kilter'!B2249,'Kilter Holds'!$P$36:$AB$370,11,0),0)</f>
        <v>0</v>
      </c>
      <c r="G2249" s="2">
        <f t="shared" si="325"/>
        <v>0</v>
      </c>
      <c r="H2249" s="2">
        <f t="shared" si="326"/>
        <v>0</v>
      </c>
    </row>
    <row r="2250" spans="2:8">
      <c r="B2250" s="3" t="s">
        <v>2133</v>
      </c>
      <c r="C2250" s="3" t="s">
        <v>2134</v>
      </c>
      <c r="D2250" s="13" t="str">
        <f t="shared" si="320"/>
        <v>18-01</v>
      </c>
      <c r="E2250" s="1">
        <f>_xlfn.IFNA(VLOOKUP('Comp X - Kilter'!B2250,'Kilter Holds'!$P$36:$AB$370,12,0),0)</f>
        <v>12</v>
      </c>
      <c r="G2250" s="2">
        <f t="shared" si="325"/>
        <v>0</v>
      </c>
      <c r="H2250" s="2">
        <f t="shared" si="326"/>
        <v>0</v>
      </c>
    </row>
    <row r="2251" spans="2:8">
      <c r="B2251" s="3" t="s">
        <v>2133</v>
      </c>
      <c r="C2251" s="3" t="s">
        <v>2134</v>
      </c>
      <c r="D2251" s="12" t="str">
        <f t="shared" si="320"/>
        <v>12-01</v>
      </c>
      <c r="E2251" s="1">
        <f>_xlfn.IFNA(VLOOKUP('Comp X - Kilter'!B2251,'Kilter Holds'!$P$36:$AB$370,13,0),0)</f>
        <v>1</v>
      </c>
      <c r="G2251" s="2">
        <f t="shared" si="325"/>
        <v>0</v>
      </c>
      <c r="H2251" s="2">
        <f t="shared" si="326"/>
        <v>0</v>
      </c>
    </row>
    <row r="2252" spans="2:8">
      <c r="B2252" s="3" t="s">
        <v>2106</v>
      </c>
      <c r="C2252" s="3" t="s">
        <v>2108</v>
      </c>
      <c r="D2252" s="5" t="str">
        <f t="shared" ref="D2252:D2269" si="327">D2144</f>
        <v>11-12</v>
      </c>
      <c r="E2252" s="1">
        <f>_xlfn.IFNA(VLOOKUP('Comp X - Kilter'!B2252,'Kilter Holds'!$P$36:$AB$370,5,0),0)</f>
        <v>5</v>
      </c>
      <c r="G2252" s="2">
        <f t="shared" ref="G2252:G2260" si="328">E2252*F2252</f>
        <v>0</v>
      </c>
      <c r="H2252" s="2">
        <f t="shared" ref="H2252:H2260" si="329">IF($S$11="Y",G2252*0.15,0)</f>
        <v>0</v>
      </c>
    </row>
    <row r="2253" spans="2:8">
      <c r="B2253" s="3" t="s">
        <v>2106</v>
      </c>
      <c r="C2253" s="3" t="s">
        <v>2108</v>
      </c>
      <c r="D2253" s="6" t="str">
        <f t="shared" si="327"/>
        <v>14-01</v>
      </c>
      <c r="E2253" s="1">
        <f>_xlfn.IFNA(VLOOKUP('Comp X - Kilter'!B2253,'Kilter Holds'!$P$36:$AB$370,6,0),0)</f>
        <v>0</v>
      </c>
      <c r="G2253" s="2">
        <f t="shared" si="328"/>
        <v>0</v>
      </c>
      <c r="H2253" s="2">
        <f t="shared" si="329"/>
        <v>0</v>
      </c>
    </row>
    <row r="2254" spans="2:8">
      <c r="B2254" s="3" t="s">
        <v>2106</v>
      </c>
      <c r="C2254" s="3" t="s">
        <v>2108</v>
      </c>
      <c r="D2254" s="7" t="str">
        <f t="shared" si="327"/>
        <v>15-12</v>
      </c>
      <c r="E2254" s="1">
        <f>_xlfn.IFNA(VLOOKUP('Comp X - Kilter'!B2254,'Kilter Holds'!$P$36:$AB$370,7,0),0)</f>
        <v>5</v>
      </c>
      <c r="G2254" s="2">
        <f t="shared" si="328"/>
        <v>0</v>
      </c>
      <c r="H2254" s="2">
        <f t="shared" si="329"/>
        <v>0</v>
      </c>
    </row>
    <row r="2255" spans="2:8">
      <c r="B2255" s="3" t="s">
        <v>2106</v>
      </c>
      <c r="C2255" s="3" t="s">
        <v>2108</v>
      </c>
      <c r="D2255" s="8" t="str">
        <f t="shared" si="327"/>
        <v>16-16</v>
      </c>
      <c r="E2255" s="1">
        <f>_xlfn.IFNA(VLOOKUP('Comp X - Kilter'!B2255,'Kilter Holds'!$P$36:$AB$370,8,0),0)</f>
        <v>0</v>
      </c>
      <c r="G2255" s="2">
        <f t="shared" si="328"/>
        <v>0</v>
      </c>
      <c r="H2255" s="2">
        <f t="shared" si="329"/>
        <v>0</v>
      </c>
    </row>
    <row r="2256" spans="2:8">
      <c r="B2256" s="3" t="s">
        <v>2106</v>
      </c>
      <c r="C2256" s="3" t="s">
        <v>2108</v>
      </c>
      <c r="D2256" s="9" t="str">
        <f t="shared" si="327"/>
        <v>13-01</v>
      </c>
      <c r="E2256" s="1">
        <f>_xlfn.IFNA(VLOOKUP('Comp X - Kilter'!B2256,'Kilter Holds'!$P$36:$AB$370,9,0),0)</f>
        <v>4</v>
      </c>
      <c r="G2256" s="2">
        <f t="shared" si="328"/>
        <v>0</v>
      </c>
      <c r="H2256" s="2">
        <f t="shared" si="329"/>
        <v>0</v>
      </c>
    </row>
    <row r="2257" spans="2:8">
      <c r="B2257" s="3" t="s">
        <v>2106</v>
      </c>
      <c r="C2257" s="3" t="s">
        <v>2108</v>
      </c>
      <c r="D2257" s="10" t="str">
        <f t="shared" si="327"/>
        <v>07-13</v>
      </c>
      <c r="E2257" s="1">
        <f>_xlfn.IFNA(VLOOKUP('Comp X - Kilter'!B2257,'Kilter Holds'!$P$36:$AB$370,10,0),0)</f>
        <v>0</v>
      </c>
      <c r="G2257" s="2">
        <f t="shared" si="328"/>
        <v>0</v>
      </c>
      <c r="H2257" s="2">
        <f t="shared" si="329"/>
        <v>0</v>
      </c>
    </row>
    <row r="2258" spans="2:8">
      <c r="B2258" s="3" t="s">
        <v>2106</v>
      </c>
      <c r="C2258" s="3" t="s">
        <v>2108</v>
      </c>
      <c r="D2258" s="11" t="str">
        <f t="shared" si="327"/>
        <v>11-25</v>
      </c>
      <c r="E2258" s="1">
        <f>_xlfn.IFNA(VLOOKUP('Comp X - Kilter'!B2258,'Kilter Holds'!$P$36:$AB$370,11,0),0)</f>
        <v>0</v>
      </c>
      <c r="G2258" s="2">
        <f t="shared" si="328"/>
        <v>0</v>
      </c>
      <c r="H2258" s="2">
        <f t="shared" si="329"/>
        <v>0</v>
      </c>
    </row>
    <row r="2259" spans="2:8">
      <c r="B2259" s="3" t="s">
        <v>2106</v>
      </c>
      <c r="C2259" s="3" t="s">
        <v>2108</v>
      </c>
      <c r="D2259" s="13" t="str">
        <f t="shared" si="327"/>
        <v>18-01</v>
      </c>
      <c r="E2259" s="1">
        <f>_xlfn.IFNA(VLOOKUP('Comp X - Kilter'!B2259,'Kilter Holds'!$P$36:$AB$370,12,0),0)</f>
        <v>10</v>
      </c>
      <c r="G2259" s="2">
        <f t="shared" si="328"/>
        <v>0</v>
      </c>
      <c r="H2259" s="2">
        <f t="shared" si="329"/>
        <v>0</v>
      </c>
    </row>
    <row r="2260" spans="2:8">
      <c r="B2260" s="3" t="s">
        <v>2106</v>
      </c>
      <c r="C2260" s="3" t="s">
        <v>2108</v>
      </c>
      <c r="D2260" s="12" t="str">
        <f t="shared" si="327"/>
        <v>12-01</v>
      </c>
      <c r="E2260" s="1">
        <f>_xlfn.IFNA(VLOOKUP('Comp X - Kilter'!B2260,'Kilter Holds'!$P$36:$AB$370,13,0),0)</f>
        <v>0</v>
      </c>
      <c r="G2260" s="2">
        <f t="shared" si="328"/>
        <v>0</v>
      </c>
      <c r="H2260" s="2">
        <f t="shared" si="329"/>
        <v>0</v>
      </c>
    </row>
    <row r="2261" spans="2:8">
      <c r="B2261" s="3" t="s">
        <v>2506</v>
      </c>
      <c r="C2261" s="3" t="s">
        <v>2509</v>
      </c>
      <c r="D2261" s="5" t="str">
        <f t="shared" si="327"/>
        <v>11-12</v>
      </c>
      <c r="E2261" s="1">
        <f>_xlfn.IFNA(VLOOKUP('Comp X - Kilter'!B2261,'Kilter Holds'!$P$36:$AB$370,5,0),0)</f>
        <v>4</v>
      </c>
      <c r="G2261" s="2">
        <f t="shared" ref="G2261:G2269" si="330">E2261*F2261</f>
        <v>0</v>
      </c>
      <c r="H2261" s="2">
        <f t="shared" ref="H2261:H2269" si="331">IF($S$11="Y",G2261*0.15,0)</f>
        <v>0</v>
      </c>
    </row>
    <row r="2262" spans="2:8">
      <c r="B2262" s="3" t="s">
        <v>2506</v>
      </c>
      <c r="C2262" s="3" t="s">
        <v>2509</v>
      </c>
      <c r="D2262" s="6" t="str">
        <f t="shared" si="327"/>
        <v>14-01</v>
      </c>
      <c r="E2262" s="1">
        <f>_xlfn.IFNA(VLOOKUP('Comp X - Kilter'!B2262,'Kilter Holds'!$P$36:$AB$370,6,0),0)</f>
        <v>0</v>
      </c>
      <c r="G2262" s="2">
        <f t="shared" si="330"/>
        <v>0</v>
      </c>
      <c r="H2262" s="2">
        <f t="shared" si="331"/>
        <v>0</v>
      </c>
    </row>
    <row r="2263" spans="2:8">
      <c r="B2263" s="3" t="s">
        <v>2506</v>
      </c>
      <c r="C2263" s="3" t="s">
        <v>2509</v>
      </c>
      <c r="D2263" s="7" t="str">
        <f t="shared" si="327"/>
        <v>15-12</v>
      </c>
      <c r="E2263" s="1">
        <f>_xlfn.IFNA(VLOOKUP('Comp X - Kilter'!B2263,'Kilter Holds'!$P$36:$AB$370,7,0),0)</f>
        <v>4</v>
      </c>
      <c r="G2263" s="2">
        <f t="shared" si="330"/>
        <v>0</v>
      </c>
      <c r="H2263" s="2">
        <f t="shared" si="331"/>
        <v>0</v>
      </c>
    </row>
    <row r="2264" spans="2:8">
      <c r="B2264" s="3" t="s">
        <v>2506</v>
      </c>
      <c r="C2264" s="3" t="s">
        <v>2509</v>
      </c>
      <c r="D2264" s="8" t="str">
        <f t="shared" si="327"/>
        <v>16-16</v>
      </c>
      <c r="E2264" s="1">
        <f>_xlfn.IFNA(VLOOKUP('Comp X - Kilter'!B2264,'Kilter Holds'!$P$36:$AB$370,8,0),0)</f>
        <v>0</v>
      </c>
      <c r="G2264" s="2">
        <f t="shared" si="330"/>
        <v>0</v>
      </c>
      <c r="H2264" s="2">
        <f t="shared" si="331"/>
        <v>0</v>
      </c>
    </row>
    <row r="2265" spans="2:8">
      <c r="B2265" s="3" t="s">
        <v>2506</v>
      </c>
      <c r="C2265" s="3" t="s">
        <v>2509</v>
      </c>
      <c r="D2265" s="9" t="str">
        <f t="shared" si="327"/>
        <v>13-01</v>
      </c>
      <c r="E2265" s="1">
        <f>_xlfn.IFNA(VLOOKUP('Comp X - Kilter'!B2265,'Kilter Holds'!$P$36:$AB$370,9,0),0)</f>
        <v>5</v>
      </c>
      <c r="G2265" s="2">
        <f t="shared" si="330"/>
        <v>0</v>
      </c>
      <c r="H2265" s="2">
        <f t="shared" si="331"/>
        <v>0</v>
      </c>
    </row>
    <row r="2266" spans="2:8">
      <c r="B2266" s="3" t="s">
        <v>2506</v>
      </c>
      <c r="C2266" s="3" t="s">
        <v>2509</v>
      </c>
      <c r="D2266" s="10" t="str">
        <f t="shared" si="327"/>
        <v>07-13</v>
      </c>
      <c r="E2266" s="1">
        <f>_xlfn.IFNA(VLOOKUP('Comp X - Kilter'!B2266,'Kilter Holds'!$P$36:$AB$370,10,0),0)</f>
        <v>0</v>
      </c>
      <c r="G2266" s="2">
        <f t="shared" si="330"/>
        <v>0</v>
      </c>
      <c r="H2266" s="2">
        <f t="shared" si="331"/>
        <v>0</v>
      </c>
    </row>
    <row r="2267" spans="2:8">
      <c r="B2267" s="3" t="s">
        <v>2506</v>
      </c>
      <c r="C2267" s="3" t="s">
        <v>2509</v>
      </c>
      <c r="D2267" s="11" t="str">
        <f t="shared" si="327"/>
        <v>11-25</v>
      </c>
      <c r="E2267" s="1">
        <f>_xlfn.IFNA(VLOOKUP('Comp X - Kilter'!B2267,'Kilter Holds'!$P$36:$AB$370,11,0),0)</f>
        <v>0</v>
      </c>
      <c r="G2267" s="2">
        <f t="shared" si="330"/>
        <v>0</v>
      </c>
      <c r="H2267" s="2">
        <f t="shared" si="331"/>
        <v>0</v>
      </c>
    </row>
    <row r="2268" spans="2:8">
      <c r="B2268" s="3" t="s">
        <v>2506</v>
      </c>
      <c r="C2268" s="3" t="s">
        <v>2509</v>
      </c>
      <c r="D2268" s="13" t="str">
        <f t="shared" si="327"/>
        <v>18-01</v>
      </c>
      <c r="E2268" s="1">
        <f>_xlfn.IFNA(VLOOKUP('Comp X - Kilter'!B2268,'Kilter Holds'!$P$36:$AB$370,12,0),0)</f>
        <v>10</v>
      </c>
      <c r="G2268" s="2">
        <f t="shared" si="330"/>
        <v>0</v>
      </c>
      <c r="H2268" s="2">
        <f t="shared" si="331"/>
        <v>0</v>
      </c>
    </row>
    <row r="2269" spans="2:8">
      <c r="B2269" s="3" t="s">
        <v>2506</v>
      </c>
      <c r="C2269" s="3" t="s">
        <v>2509</v>
      </c>
      <c r="D2269" s="12" t="str">
        <f t="shared" si="327"/>
        <v>12-01</v>
      </c>
      <c r="E2269" s="1">
        <f>_xlfn.IFNA(VLOOKUP('Comp X - Kilter'!B2269,'Kilter Holds'!$P$36:$AB$370,13,0),0)</f>
        <v>0</v>
      </c>
      <c r="G2269" s="2">
        <f t="shared" si="330"/>
        <v>0</v>
      </c>
      <c r="H2269" s="2">
        <f t="shared" si="331"/>
        <v>0</v>
      </c>
    </row>
    <row r="2270" spans="2:8">
      <c r="B2270" s="3" t="s">
        <v>1998</v>
      </c>
      <c r="C2270" s="3" t="s">
        <v>2000</v>
      </c>
      <c r="D2270" s="5" t="str">
        <f t="shared" ref="D2270:D2287" si="332">D2144</f>
        <v>11-12</v>
      </c>
      <c r="E2270" s="1">
        <f>_xlfn.IFNA(VLOOKUP('Comp X - Kilter'!B2270,'Kilter Holds'!$P$36:$AB$370,5,0),0)</f>
        <v>7</v>
      </c>
      <c r="G2270" s="2">
        <f t="shared" ref="G2270:G2278" si="333">E2270*F2270</f>
        <v>0</v>
      </c>
      <c r="H2270" s="2">
        <f t="shared" ref="H2270:H2278" si="334">IF($S$11="Y",G2270*0.15,0)</f>
        <v>0</v>
      </c>
    </row>
    <row r="2271" spans="2:8">
      <c r="B2271" s="3" t="s">
        <v>1998</v>
      </c>
      <c r="C2271" s="3" t="s">
        <v>2000</v>
      </c>
      <c r="D2271" s="6" t="str">
        <f t="shared" si="332"/>
        <v>14-01</v>
      </c>
      <c r="E2271" s="1">
        <f>_xlfn.IFNA(VLOOKUP('Comp X - Kilter'!B2271,'Kilter Holds'!$P$36:$AB$370,6,0),0)</f>
        <v>0</v>
      </c>
      <c r="G2271" s="2">
        <f t="shared" si="333"/>
        <v>0</v>
      </c>
      <c r="H2271" s="2">
        <f t="shared" si="334"/>
        <v>0</v>
      </c>
    </row>
    <row r="2272" spans="2:8">
      <c r="B2272" s="3" t="s">
        <v>1998</v>
      </c>
      <c r="C2272" s="3" t="s">
        <v>2000</v>
      </c>
      <c r="D2272" s="7" t="str">
        <f t="shared" si="332"/>
        <v>15-12</v>
      </c>
      <c r="E2272" s="1">
        <f>_xlfn.IFNA(VLOOKUP('Comp X - Kilter'!B2272,'Kilter Holds'!$P$36:$AB$370,7,0),0)</f>
        <v>7</v>
      </c>
      <c r="G2272" s="2">
        <f t="shared" si="333"/>
        <v>0</v>
      </c>
      <c r="H2272" s="2">
        <f t="shared" si="334"/>
        <v>0</v>
      </c>
    </row>
    <row r="2273" spans="2:8">
      <c r="B2273" s="3" t="s">
        <v>1998</v>
      </c>
      <c r="C2273" s="3" t="s">
        <v>2000</v>
      </c>
      <c r="D2273" s="8" t="str">
        <f t="shared" si="332"/>
        <v>16-16</v>
      </c>
      <c r="E2273" s="1">
        <f>_xlfn.IFNA(VLOOKUP('Comp X - Kilter'!B2273,'Kilter Holds'!$P$36:$AB$370,8,0),0)</f>
        <v>0</v>
      </c>
      <c r="G2273" s="2">
        <f t="shared" si="333"/>
        <v>0</v>
      </c>
      <c r="H2273" s="2">
        <f t="shared" si="334"/>
        <v>0</v>
      </c>
    </row>
    <row r="2274" spans="2:8">
      <c r="B2274" s="3" t="s">
        <v>1998</v>
      </c>
      <c r="C2274" s="3" t="s">
        <v>2000</v>
      </c>
      <c r="D2274" s="9" t="str">
        <f t="shared" si="332"/>
        <v>13-01</v>
      </c>
      <c r="E2274" s="1">
        <f>_xlfn.IFNA(VLOOKUP('Comp X - Kilter'!B2274,'Kilter Holds'!$P$36:$AB$370,9,0),0)</f>
        <v>4</v>
      </c>
      <c r="G2274" s="2">
        <f t="shared" si="333"/>
        <v>0</v>
      </c>
      <c r="H2274" s="2">
        <f t="shared" si="334"/>
        <v>0</v>
      </c>
    </row>
    <row r="2275" spans="2:8">
      <c r="B2275" s="3" t="s">
        <v>1998</v>
      </c>
      <c r="C2275" s="3" t="s">
        <v>2000</v>
      </c>
      <c r="D2275" s="10" t="str">
        <f t="shared" si="332"/>
        <v>07-13</v>
      </c>
      <c r="E2275" s="1">
        <f>_xlfn.IFNA(VLOOKUP('Comp X - Kilter'!B2275,'Kilter Holds'!$P$36:$AB$370,10,0),0)</f>
        <v>0</v>
      </c>
      <c r="G2275" s="2">
        <f t="shared" si="333"/>
        <v>0</v>
      </c>
      <c r="H2275" s="2">
        <f t="shared" si="334"/>
        <v>0</v>
      </c>
    </row>
    <row r="2276" spans="2:8">
      <c r="B2276" s="3" t="s">
        <v>1998</v>
      </c>
      <c r="C2276" s="3" t="s">
        <v>2000</v>
      </c>
      <c r="D2276" s="11" t="str">
        <f t="shared" si="332"/>
        <v>11-25</v>
      </c>
      <c r="E2276" s="1">
        <f>_xlfn.IFNA(VLOOKUP('Comp X - Kilter'!B2276,'Kilter Holds'!$P$36:$AB$370,11,0),0)</f>
        <v>0</v>
      </c>
      <c r="G2276" s="2">
        <f t="shared" si="333"/>
        <v>0</v>
      </c>
      <c r="H2276" s="2">
        <f t="shared" si="334"/>
        <v>0</v>
      </c>
    </row>
    <row r="2277" spans="2:8">
      <c r="B2277" s="3" t="s">
        <v>1998</v>
      </c>
      <c r="C2277" s="3" t="s">
        <v>2000</v>
      </c>
      <c r="D2277" s="13" t="str">
        <f t="shared" si="332"/>
        <v>18-01</v>
      </c>
      <c r="E2277" s="1">
        <f>_xlfn.IFNA(VLOOKUP('Comp X - Kilter'!B2277,'Kilter Holds'!$P$36:$AB$370,12,0),0)</f>
        <v>6</v>
      </c>
      <c r="G2277" s="2">
        <f t="shared" si="333"/>
        <v>0</v>
      </c>
      <c r="H2277" s="2">
        <f t="shared" si="334"/>
        <v>0</v>
      </c>
    </row>
    <row r="2278" spans="2:8">
      <c r="B2278" s="3" t="s">
        <v>1998</v>
      </c>
      <c r="C2278" s="3" t="s">
        <v>2000</v>
      </c>
      <c r="D2278" s="12" t="str">
        <f t="shared" si="332"/>
        <v>12-01</v>
      </c>
      <c r="E2278" s="1">
        <f>_xlfn.IFNA(VLOOKUP('Comp X - Kilter'!B2278,'Kilter Holds'!$P$36:$AB$370,13,0),0)</f>
        <v>0</v>
      </c>
      <c r="G2278" s="2">
        <f t="shared" si="333"/>
        <v>0</v>
      </c>
      <c r="H2278" s="2">
        <f t="shared" si="334"/>
        <v>0</v>
      </c>
    </row>
    <row r="2279" spans="2:8">
      <c r="B2279" s="3" t="s">
        <v>2491</v>
      </c>
      <c r="C2279" s="3" t="s">
        <v>2492</v>
      </c>
      <c r="D2279" s="5" t="str">
        <f t="shared" si="332"/>
        <v>11-12</v>
      </c>
      <c r="E2279" s="1">
        <f>_xlfn.IFNA(VLOOKUP('Comp X - Kilter'!B2279,'Kilter Holds'!$P$36:$AB$370,5,0),0)</f>
        <v>6</v>
      </c>
      <c r="G2279" s="2">
        <f t="shared" ref="G2279:G2287" si="335">E2279*F2279</f>
        <v>0</v>
      </c>
      <c r="H2279" s="2">
        <f t="shared" ref="H2279:H2287" si="336">IF($S$11="Y",G2279*0.15,0)</f>
        <v>0</v>
      </c>
    </row>
    <row r="2280" spans="2:8">
      <c r="B2280" s="3" t="s">
        <v>2491</v>
      </c>
      <c r="C2280" s="3" t="s">
        <v>2492</v>
      </c>
      <c r="D2280" s="6" t="str">
        <f t="shared" si="332"/>
        <v>14-01</v>
      </c>
      <c r="E2280" s="1">
        <f>_xlfn.IFNA(VLOOKUP('Comp X - Kilter'!B2280,'Kilter Holds'!$P$36:$AB$370,6,0),0)</f>
        <v>0</v>
      </c>
      <c r="G2280" s="2">
        <f t="shared" si="335"/>
        <v>0</v>
      </c>
      <c r="H2280" s="2">
        <f t="shared" si="336"/>
        <v>0</v>
      </c>
    </row>
    <row r="2281" spans="2:8">
      <c r="B2281" s="3" t="s">
        <v>2491</v>
      </c>
      <c r="C2281" s="3" t="s">
        <v>2492</v>
      </c>
      <c r="D2281" s="7" t="str">
        <f t="shared" si="332"/>
        <v>15-12</v>
      </c>
      <c r="E2281" s="1">
        <f>_xlfn.IFNA(VLOOKUP('Comp X - Kilter'!B2281,'Kilter Holds'!$P$36:$AB$370,7,0),0)</f>
        <v>4</v>
      </c>
      <c r="G2281" s="2">
        <f t="shared" si="335"/>
        <v>0</v>
      </c>
      <c r="H2281" s="2">
        <f t="shared" si="336"/>
        <v>0</v>
      </c>
    </row>
    <row r="2282" spans="2:8">
      <c r="B2282" s="3" t="s">
        <v>2491</v>
      </c>
      <c r="C2282" s="3" t="s">
        <v>2492</v>
      </c>
      <c r="D2282" s="8" t="str">
        <f t="shared" si="332"/>
        <v>16-16</v>
      </c>
      <c r="E2282" s="1">
        <f>_xlfn.IFNA(VLOOKUP('Comp X - Kilter'!B2282,'Kilter Holds'!$P$36:$AB$370,8,0),0)</f>
        <v>0</v>
      </c>
      <c r="G2282" s="2">
        <f t="shared" si="335"/>
        <v>0</v>
      </c>
      <c r="H2282" s="2">
        <f t="shared" si="336"/>
        <v>0</v>
      </c>
    </row>
    <row r="2283" spans="2:8">
      <c r="B2283" s="3" t="s">
        <v>2491</v>
      </c>
      <c r="C2283" s="3" t="s">
        <v>2492</v>
      </c>
      <c r="D2283" s="9" t="str">
        <f t="shared" si="332"/>
        <v>13-01</v>
      </c>
      <c r="E2283" s="1">
        <f>_xlfn.IFNA(VLOOKUP('Comp X - Kilter'!B2283,'Kilter Holds'!$P$36:$AB$370,9,0),0)</f>
        <v>5</v>
      </c>
      <c r="G2283" s="2">
        <f t="shared" si="335"/>
        <v>0</v>
      </c>
      <c r="H2283" s="2">
        <f t="shared" si="336"/>
        <v>0</v>
      </c>
    </row>
    <row r="2284" spans="2:8">
      <c r="B2284" s="3" t="s">
        <v>2491</v>
      </c>
      <c r="C2284" s="3" t="s">
        <v>2492</v>
      </c>
      <c r="D2284" s="10" t="str">
        <f t="shared" si="332"/>
        <v>07-13</v>
      </c>
      <c r="E2284" s="1">
        <f>_xlfn.IFNA(VLOOKUP('Comp X - Kilter'!B2284,'Kilter Holds'!$P$36:$AB$370,10,0),0)</f>
        <v>0</v>
      </c>
      <c r="G2284" s="2">
        <f t="shared" si="335"/>
        <v>0</v>
      </c>
      <c r="H2284" s="2">
        <f t="shared" si="336"/>
        <v>0</v>
      </c>
    </row>
    <row r="2285" spans="2:8">
      <c r="B2285" s="3" t="s">
        <v>2491</v>
      </c>
      <c r="C2285" s="3" t="s">
        <v>2492</v>
      </c>
      <c r="D2285" s="11" t="str">
        <f t="shared" si="332"/>
        <v>11-25</v>
      </c>
      <c r="E2285" s="1">
        <f>_xlfn.IFNA(VLOOKUP('Comp X - Kilter'!B2285,'Kilter Holds'!$P$36:$AB$370,11,0),0)</f>
        <v>0</v>
      </c>
      <c r="G2285" s="2">
        <f t="shared" si="335"/>
        <v>0</v>
      </c>
      <c r="H2285" s="2">
        <f t="shared" si="336"/>
        <v>0</v>
      </c>
    </row>
    <row r="2286" spans="2:8">
      <c r="B2286" s="3" t="s">
        <v>2491</v>
      </c>
      <c r="C2286" s="3" t="s">
        <v>2492</v>
      </c>
      <c r="D2286" s="13" t="str">
        <f t="shared" si="332"/>
        <v>18-01</v>
      </c>
      <c r="E2286" s="1">
        <f>_xlfn.IFNA(VLOOKUP('Comp X - Kilter'!B2286,'Kilter Holds'!$P$36:$AB$370,12,0),0)</f>
        <v>10</v>
      </c>
      <c r="G2286" s="2">
        <f t="shared" si="335"/>
        <v>0</v>
      </c>
      <c r="H2286" s="2">
        <f t="shared" si="336"/>
        <v>0</v>
      </c>
    </row>
    <row r="2287" spans="2:8">
      <c r="B2287" s="3" t="s">
        <v>2491</v>
      </c>
      <c r="C2287" s="3" t="s">
        <v>2492</v>
      </c>
      <c r="D2287" s="12" t="str">
        <f t="shared" si="332"/>
        <v>12-01</v>
      </c>
      <c r="E2287" s="1">
        <f>_xlfn.IFNA(VLOOKUP('Comp X - Kilter'!B2287,'Kilter Holds'!$P$36:$AB$370,13,0),0)</f>
        <v>0</v>
      </c>
      <c r="G2287" s="2">
        <f t="shared" si="335"/>
        <v>0</v>
      </c>
      <c r="H2287" s="2">
        <f t="shared" si="336"/>
        <v>0</v>
      </c>
    </row>
    <row r="2288" spans="2:8">
      <c r="B2288" s="3" t="s">
        <v>2293</v>
      </c>
      <c r="C2288" s="3" t="s">
        <v>2294</v>
      </c>
      <c r="D2288" s="5" t="str">
        <f t="shared" ref="D2288:D2296" si="337">D2153</f>
        <v>11-12</v>
      </c>
      <c r="E2288" s="1">
        <f>_xlfn.IFNA(VLOOKUP('Comp X - Kilter'!B2288,'Kilter Holds'!$P$36:$AB$370,5,0),0)</f>
        <v>5</v>
      </c>
      <c r="G2288" s="2">
        <f t="shared" ref="G2288:G2296" si="338">E2288*F2288</f>
        <v>0</v>
      </c>
      <c r="H2288" s="2">
        <f t="shared" ref="H2288:H2296" si="339">IF($S$11="Y",G2288*0.15,0)</f>
        <v>0</v>
      </c>
    </row>
    <row r="2289" spans="2:8">
      <c r="B2289" s="3" t="s">
        <v>2293</v>
      </c>
      <c r="C2289" s="3" t="s">
        <v>2294</v>
      </c>
      <c r="D2289" s="6" t="str">
        <f t="shared" si="337"/>
        <v>14-01</v>
      </c>
      <c r="E2289" s="1">
        <f>_xlfn.IFNA(VLOOKUP('Comp X - Kilter'!B2289,'Kilter Holds'!$P$36:$AB$370,6,0),0)</f>
        <v>0</v>
      </c>
      <c r="G2289" s="2">
        <f t="shared" si="338"/>
        <v>0</v>
      </c>
      <c r="H2289" s="2">
        <f t="shared" si="339"/>
        <v>0</v>
      </c>
    </row>
    <row r="2290" spans="2:8">
      <c r="B2290" s="3" t="s">
        <v>2293</v>
      </c>
      <c r="C2290" s="3" t="s">
        <v>2294</v>
      </c>
      <c r="D2290" s="7" t="str">
        <f t="shared" si="337"/>
        <v>15-12</v>
      </c>
      <c r="E2290" s="1">
        <f>_xlfn.IFNA(VLOOKUP('Comp X - Kilter'!B2290,'Kilter Holds'!$P$36:$AB$370,7,0),0)</f>
        <v>3</v>
      </c>
      <c r="G2290" s="2">
        <f t="shared" si="338"/>
        <v>0</v>
      </c>
      <c r="H2290" s="2">
        <f t="shared" si="339"/>
        <v>0</v>
      </c>
    </row>
    <row r="2291" spans="2:8">
      <c r="B2291" s="3" t="s">
        <v>2293</v>
      </c>
      <c r="C2291" s="3" t="s">
        <v>2294</v>
      </c>
      <c r="D2291" s="8" t="str">
        <f t="shared" si="337"/>
        <v>16-16</v>
      </c>
      <c r="E2291" s="1">
        <f>_xlfn.IFNA(VLOOKUP('Comp X - Kilter'!B2291,'Kilter Holds'!$P$36:$AB$370,8,0),0)</f>
        <v>0</v>
      </c>
      <c r="G2291" s="2">
        <f t="shared" si="338"/>
        <v>0</v>
      </c>
      <c r="H2291" s="2">
        <f t="shared" si="339"/>
        <v>0</v>
      </c>
    </row>
    <row r="2292" spans="2:8">
      <c r="B2292" s="3" t="s">
        <v>2293</v>
      </c>
      <c r="C2292" s="3" t="s">
        <v>2294</v>
      </c>
      <c r="D2292" s="9" t="str">
        <f t="shared" si="337"/>
        <v>13-01</v>
      </c>
      <c r="E2292" s="1">
        <f>_xlfn.IFNA(VLOOKUP('Comp X - Kilter'!B2292,'Kilter Holds'!$P$36:$AB$370,9,0),0)</f>
        <v>4</v>
      </c>
      <c r="G2292" s="2">
        <f t="shared" si="338"/>
        <v>0</v>
      </c>
      <c r="H2292" s="2">
        <f t="shared" si="339"/>
        <v>0</v>
      </c>
    </row>
    <row r="2293" spans="2:8">
      <c r="B2293" s="3" t="s">
        <v>2293</v>
      </c>
      <c r="C2293" s="3" t="s">
        <v>2294</v>
      </c>
      <c r="D2293" s="10" t="str">
        <f t="shared" si="337"/>
        <v>07-13</v>
      </c>
      <c r="E2293" s="1">
        <f>_xlfn.IFNA(VLOOKUP('Comp X - Kilter'!B2293,'Kilter Holds'!$P$36:$AB$370,10,0),0)</f>
        <v>0</v>
      </c>
      <c r="G2293" s="2">
        <f t="shared" si="338"/>
        <v>0</v>
      </c>
      <c r="H2293" s="2">
        <f t="shared" si="339"/>
        <v>0</v>
      </c>
    </row>
    <row r="2294" spans="2:8">
      <c r="B2294" s="3" t="s">
        <v>2293</v>
      </c>
      <c r="C2294" s="3" t="s">
        <v>2294</v>
      </c>
      <c r="D2294" s="11" t="str">
        <f t="shared" si="337"/>
        <v>11-25</v>
      </c>
      <c r="E2294" s="1">
        <f>_xlfn.IFNA(VLOOKUP('Comp X - Kilter'!B2294,'Kilter Holds'!$P$36:$AB$370,11,0),0)</f>
        <v>0</v>
      </c>
      <c r="G2294" s="2">
        <f t="shared" si="338"/>
        <v>0</v>
      </c>
      <c r="H2294" s="2">
        <f t="shared" si="339"/>
        <v>0</v>
      </c>
    </row>
    <row r="2295" spans="2:8">
      <c r="B2295" s="3" t="s">
        <v>2293</v>
      </c>
      <c r="C2295" s="3" t="s">
        <v>2294</v>
      </c>
      <c r="D2295" s="13" t="str">
        <f t="shared" si="337"/>
        <v>18-01</v>
      </c>
      <c r="E2295" s="1">
        <f>_xlfn.IFNA(VLOOKUP('Comp X - Kilter'!B2295,'Kilter Holds'!$P$36:$AB$370,12,0),0)</f>
        <v>9</v>
      </c>
      <c r="G2295" s="2">
        <f t="shared" si="338"/>
        <v>0</v>
      </c>
      <c r="H2295" s="2">
        <f t="shared" si="339"/>
        <v>0</v>
      </c>
    </row>
    <row r="2296" spans="2:8">
      <c r="B2296" s="3" t="s">
        <v>2293</v>
      </c>
      <c r="C2296" s="3" t="s">
        <v>2294</v>
      </c>
      <c r="D2296" s="12" t="str">
        <f t="shared" si="337"/>
        <v>12-01</v>
      </c>
      <c r="E2296" s="1">
        <f>_xlfn.IFNA(VLOOKUP('Comp X - Kilter'!B2296,'Kilter Holds'!$P$36:$AB$370,13,0),0)</f>
        <v>0</v>
      </c>
      <c r="G2296" s="2">
        <f t="shared" si="338"/>
        <v>0</v>
      </c>
      <c r="H2296" s="2">
        <f t="shared" si="339"/>
        <v>0</v>
      </c>
    </row>
    <row r="2297" spans="2:8">
      <c r="B2297" s="3" t="s">
        <v>2107</v>
      </c>
      <c r="C2297" s="3" t="s">
        <v>2109</v>
      </c>
      <c r="D2297" s="5" t="str">
        <f t="shared" ref="D2297:D2305" si="340">D2153</f>
        <v>11-12</v>
      </c>
      <c r="E2297" s="1">
        <f>_xlfn.IFNA(VLOOKUP('Comp X - Kilter'!B2297,'Kilter Holds'!$P$36:$AB$370,5,0),0)</f>
        <v>4</v>
      </c>
      <c r="G2297" s="2">
        <f t="shared" ref="G2297:G2305" si="341">E2297*F2297</f>
        <v>0</v>
      </c>
      <c r="H2297" s="2">
        <f t="shared" ref="H2297:H2305" si="342">IF($S$11="Y",G2297*0.15,0)</f>
        <v>0</v>
      </c>
    </row>
    <row r="2298" spans="2:8">
      <c r="B2298" s="3" t="s">
        <v>2107</v>
      </c>
      <c r="C2298" s="3" t="s">
        <v>2109</v>
      </c>
      <c r="D2298" s="6" t="str">
        <f t="shared" si="340"/>
        <v>14-01</v>
      </c>
      <c r="E2298" s="1">
        <f>_xlfn.IFNA(VLOOKUP('Comp X - Kilter'!B2298,'Kilter Holds'!$P$36:$AB$370,6,0),0)</f>
        <v>0</v>
      </c>
      <c r="G2298" s="2">
        <f t="shared" si="341"/>
        <v>0</v>
      </c>
      <c r="H2298" s="2">
        <f t="shared" si="342"/>
        <v>0</v>
      </c>
    </row>
    <row r="2299" spans="2:8">
      <c r="B2299" s="3" t="s">
        <v>2107</v>
      </c>
      <c r="C2299" s="3" t="s">
        <v>2109</v>
      </c>
      <c r="D2299" s="7" t="str">
        <f t="shared" si="340"/>
        <v>15-12</v>
      </c>
      <c r="E2299" s="1">
        <f>_xlfn.IFNA(VLOOKUP('Comp X - Kilter'!B2299,'Kilter Holds'!$P$36:$AB$370,7,0),0)</f>
        <v>5</v>
      </c>
      <c r="G2299" s="2">
        <f t="shared" si="341"/>
        <v>0</v>
      </c>
      <c r="H2299" s="2">
        <f t="shared" si="342"/>
        <v>0</v>
      </c>
    </row>
    <row r="2300" spans="2:8">
      <c r="B2300" s="3" t="s">
        <v>2107</v>
      </c>
      <c r="C2300" s="3" t="s">
        <v>2109</v>
      </c>
      <c r="D2300" s="8" t="str">
        <f t="shared" si="340"/>
        <v>16-16</v>
      </c>
      <c r="E2300" s="1">
        <f>_xlfn.IFNA(VLOOKUP('Comp X - Kilter'!B2300,'Kilter Holds'!$P$36:$AB$370,8,0),0)</f>
        <v>0</v>
      </c>
      <c r="G2300" s="2">
        <f t="shared" si="341"/>
        <v>0</v>
      </c>
      <c r="H2300" s="2">
        <f t="shared" si="342"/>
        <v>0</v>
      </c>
    </row>
    <row r="2301" spans="2:8">
      <c r="B2301" s="3" t="s">
        <v>2107</v>
      </c>
      <c r="C2301" s="3" t="s">
        <v>2109</v>
      </c>
      <c r="D2301" s="9" t="str">
        <f t="shared" si="340"/>
        <v>13-01</v>
      </c>
      <c r="E2301" s="1">
        <f>_xlfn.IFNA(VLOOKUP('Comp X - Kilter'!B2301,'Kilter Holds'!$P$36:$AB$370,9,0),0)</f>
        <v>4</v>
      </c>
      <c r="G2301" s="2">
        <f t="shared" si="341"/>
        <v>0</v>
      </c>
      <c r="H2301" s="2">
        <f t="shared" si="342"/>
        <v>0</v>
      </c>
    </row>
    <row r="2302" spans="2:8">
      <c r="B2302" s="3" t="s">
        <v>2107</v>
      </c>
      <c r="C2302" s="3" t="s">
        <v>2109</v>
      </c>
      <c r="D2302" s="10" t="str">
        <f t="shared" si="340"/>
        <v>07-13</v>
      </c>
      <c r="E2302" s="1">
        <f>_xlfn.IFNA(VLOOKUP('Comp X - Kilter'!B2302,'Kilter Holds'!$P$36:$AB$370,10,0),0)</f>
        <v>0</v>
      </c>
      <c r="G2302" s="2">
        <f t="shared" si="341"/>
        <v>0</v>
      </c>
      <c r="H2302" s="2">
        <f t="shared" si="342"/>
        <v>0</v>
      </c>
    </row>
    <row r="2303" spans="2:8">
      <c r="B2303" s="3" t="s">
        <v>2107</v>
      </c>
      <c r="C2303" s="3" t="s">
        <v>2109</v>
      </c>
      <c r="D2303" s="11" t="str">
        <f t="shared" si="340"/>
        <v>11-25</v>
      </c>
      <c r="E2303" s="1">
        <f>_xlfn.IFNA(VLOOKUP('Comp X - Kilter'!B2303,'Kilter Holds'!$P$36:$AB$370,11,0),0)</f>
        <v>0</v>
      </c>
      <c r="G2303" s="2">
        <f t="shared" si="341"/>
        <v>0</v>
      </c>
      <c r="H2303" s="2">
        <f t="shared" si="342"/>
        <v>0</v>
      </c>
    </row>
    <row r="2304" spans="2:8">
      <c r="B2304" s="3" t="s">
        <v>2107</v>
      </c>
      <c r="C2304" s="3" t="s">
        <v>2109</v>
      </c>
      <c r="D2304" s="13" t="str">
        <f t="shared" si="340"/>
        <v>18-01</v>
      </c>
      <c r="E2304" s="1">
        <f>_xlfn.IFNA(VLOOKUP('Comp X - Kilter'!B2304,'Kilter Holds'!$P$36:$AB$370,12,0),0)</f>
        <v>9</v>
      </c>
      <c r="G2304" s="2">
        <f t="shared" si="341"/>
        <v>0</v>
      </c>
      <c r="H2304" s="2">
        <f t="shared" si="342"/>
        <v>0</v>
      </c>
    </row>
    <row r="2305" spans="2:8">
      <c r="B2305" s="3" t="s">
        <v>2107</v>
      </c>
      <c r="C2305" s="3" t="s">
        <v>2109</v>
      </c>
      <c r="D2305" s="12" t="str">
        <f t="shared" si="340"/>
        <v>12-01</v>
      </c>
      <c r="E2305" s="1">
        <f>_xlfn.IFNA(VLOOKUP('Comp X - Kilter'!B2305,'Kilter Holds'!$P$36:$AB$370,13,0),0)</f>
        <v>0</v>
      </c>
      <c r="G2305" s="2">
        <f t="shared" si="341"/>
        <v>0</v>
      </c>
      <c r="H2305" s="2">
        <f t="shared" si="342"/>
        <v>0</v>
      </c>
    </row>
    <row r="2306" spans="2:8">
      <c r="B2306" s="3" t="s">
        <v>1975</v>
      </c>
      <c r="C2306" s="3" t="s">
        <v>1976</v>
      </c>
      <c r="D2306" s="5" t="str">
        <f t="shared" ref="D2306:D2314" si="343">D2144</f>
        <v>11-12</v>
      </c>
      <c r="E2306" s="1">
        <f>_xlfn.IFNA(VLOOKUP('Comp X - Kilter'!B2306,'Kilter Holds'!$P$36:$AB$370,5,0),0)</f>
        <v>5</v>
      </c>
      <c r="G2306" s="2">
        <f t="shared" si="323"/>
        <v>0</v>
      </c>
      <c r="H2306" s="2">
        <f t="shared" si="324"/>
        <v>0</v>
      </c>
    </row>
    <row r="2307" spans="2:8">
      <c r="B2307" s="3" t="s">
        <v>1975</v>
      </c>
      <c r="C2307" s="3" t="s">
        <v>1976</v>
      </c>
      <c r="D2307" s="6" t="str">
        <f t="shared" si="343"/>
        <v>14-01</v>
      </c>
      <c r="E2307" s="1">
        <f>_xlfn.IFNA(VLOOKUP('Comp X - Kilter'!B2307,'Kilter Holds'!$P$36:$AB$370,6,0),0)</f>
        <v>0</v>
      </c>
      <c r="G2307" s="2">
        <f t="shared" si="323"/>
        <v>0</v>
      </c>
      <c r="H2307" s="2">
        <f t="shared" si="324"/>
        <v>0</v>
      </c>
    </row>
    <row r="2308" spans="2:8">
      <c r="B2308" s="3" t="s">
        <v>1975</v>
      </c>
      <c r="C2308" s="3" t="s">
        <v>1976</v>
      </c>
      <c r="D2308" s="7" t="str">
        <f t="shared" si="343"/>
        <v>15-12</v>
      </c>
      <c r="E2308" s="1">
        <f>_xlfn.IFNA(VLOOKUP('Comp X - Kilter'!B2308,'Kilter Holds'!$P$36:$AB$370,7,0),0)</f>
        <v>6</v>
      </c>
      <c r="G2308" s="2">
        <f t="shared" si="323"/>
        <v>0</v>
      </c>
      <c r="H2308" s="2">
        <f t="shared" si="324"/>
        <v>0</v>
      </c>
    </row>
    <row r="2309" spans="2:8">
      <c r="B2309" s="3" t="s">
        <v>1975</v>
      </c>
      <c r="C2309" s="3" t="s">
        <v>1976</v>
      </c>
      <c r="D2309" s="8" t="str">
        <f t="shared" si="343"/>
        <v>16-16</v>
      </c>
      <c r="E2309" s="1">
        <f>_xlfn.IFNA(VLOOKUP('Comp X - Kilter'!B2309,'Kilter Holds'!$P$36:$AB$370,8,0),0)</f>
        <v>0</v>
      </c>
      <c r="G2309" s="2">
        <f t="shared" si="323"/>
        <v>0</v>
      </c>
      <c r="H2309" s="2">
        <f t="shared" si="324"/>
        <v>0</v>
      </c>
    </row>
    <row r="2310" spans="2:8">
      <c r="B2310" s="3" t="s">
        <v>1975</v>
      </c>
      <c r="C2310" s="3" t="s">
        <v>1976</v>
      </c>
      <c r="D2310" s="9" t="str">
        <f t="shared" si="343"/>
        <v>13-01</v>
      </c>
      <c r="E2310" s="1">
        <f>_xlfn.IFNA(VLOOKUP('Comp X - Kilter'!B2310,'Kilter Holds'!$P$36:$AB$370,9,0),0)</f>
        <v>5</v>
      </c>
      <c r="G2310" s="2">
        <f t="shared" si="323"/>
        <v>0</v>
      </c>
      <c r="H2310" s="2">
        <f t="shared" si="324"/>
        <v>0</v>
      </c>
    </row>
    <row r="2311" spans="2:8">
      <c r="B2311" s="3" t="s">
        <v>1975</v>
      </c>
      <c r="C2311" s="3" t="s">
        <v>1976</v>
      </c>
      <c r="D2311" s="10" t="str">
        <f t="shared" si="343"/>
        <v>07-13</v>
      </c>
      <c r="E2311" s="1">
        <f>_xlfn.IFNA(VLOOKUP('Comp X - Kilter'!B2311,'Kilter Holds'!$P$36:$AB$370,10,0),0)</f>
        <v>0</v>
      </c>
      <c r="G2311" s="2">
        <f t="shared" si="323"/>
        <v>0</v>
      </c>
      <c r="H2311" s="2">
        <f t="shared" si="324"/>
        <v>0</v>
      </c>
    </row>
    <row r="2312" spans="2:8">
      <c r="B2312" s="3" t="s">
        <v>1975</v>
      </c>
      <c r="C2312" s="3" t="s">
        <v>1976</v>
      </c>
      <c r="D2312" s="11" t="str">
        <f t="shared" si="343"/>
        <v>11-25</v>
      </c>
      <c r="E2312" s="1">
        <f>_xlfn.IFNA(VLOOKUP('Comp X - Kilter'!B2312,'Kilter Holds'!$P$36:$AB$370,11,0),0)</f>
        <v>0</v>
      </c>
      <c r="G2312" s="2">
        <f t="shared" si="323"/>
        <v>0</v>
      </c>
      <c r="H2312" s="2">
        <f t="shared" si="324"/>
        <v>0</v>
      </c>
    </row>
    <row r="2313" spans="2:8">
      <c r="B2313" s="3" t="s">
        <v>1975</v>
      </c>
      <c r="C2313" s="3" t="s">
        <v>1976</v>
      </c>
      <c r="D2313" s="13" t="str">
        <f t="shared" si="343"/>
        <v>18-01</v>
      </c>
      <c r="E2313" s="1">
        <f>_xlfn.IFNA(VLOOKUP('Comp X - Kilter'!B2313,'Kilter Holds'!$P$36:$AB$370,12,0),0)</f>
        <v>10</v>
      </c>
      <c r="G2313" s="2">
        <f t="shared" si="323"/>
        <v>0</v>
      </c>
      <c r="H2313" s="2">
        <f t="shared" si="324"/>
        <v>0</v>
      </c>
    </row>
    <row r="2314" spans="2:8">
      <c r="B2314" s="3" t="s">
        <v>1975</v>
      </c>
      <c r="C2314" s="3" t="s">
        <v>1976</v>
      </c>
      <c r="D2314" s="12" t="str">
        <f t="shared" si="343"/>
        <v>12-01</v>
      </c>
      <c r="E2314" s="1">
        <f>_xlfn.IFNA(VLOOKUP('Comp X - Kilter'!B2314,'Kilter Holds'!$P$36:$AB$370,13,0),0)</f>
        <v>0</v>
      </c>
      <c r="G2314" s="2">
        <f t="shared" si="323"/>
        <v>0</v>
      </c>
      <c r="H2314" s="2">
        <f t="shared" si="324"/>
        <v>0</v>
      </c>
    </row>
  </sheetData>
  <autoFilter ref="B1:K1" xr:uid="{2465840D-FF07-44DC-9CA4-CD12F4FC4617}"/>
  <phoneticPr fontId="39" type="noConversion"/>
  <conditionalFormatting sqref="N19:N88">
    <cfRule type="cellIs" dxfId="3" priority="1" operator="lessThan">
      <formula>0</formula>
    </cfRule>
    <cfRule type="cellIs" dxfId="2" priority="2" operator="greaterThan">
      <formula>0</formula>
    </cfRule>
  </conditionalFormatting>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8193" r:id="rId3" name="Button 1">
              <controlPr defaultSize="0" print="0" autoFill="0" autoPict="0" macro="[0]!FinalSort">
                <anchor moveWithCells="1" sizeWithCells="1">
                  <from>
                    <xdr:col>11</xdr:col>
                    <xdr:colOff>1009650</xdr:colOff>
                    <xdr:row>9</xdr:row>
                    <xdr:rowOff>0</xdr:rowOff>
                  </from>
                  <to>
                    <xdr:col>15</xdr:col>
                    <xdr:colOff>0</xdr:colOff>
                    <xdr:row>13</xdr:row>
                    <xdr:rowOff>146050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58D6F-C5B8-4F18-BA67-FA8D2A7F18C9}">
  <sheetPr codeName="Sheet9"/>
  <dimension ref="A1:S4384"/>
  <sheetViews>
    <sheetView topLeftCell="B1" workbookViewId="0">
      <selection activeCell="O29" sqref="O29"/>
    </sheetView>
  </sheetViews>
  <sheetFormatPr defaultColWidth="8.84375" defaultRowHeight="13.5"/>
  <cols>
    <col min="1" max="1" width="13" hidden="1" customWidth="1"/>
    <col min="2" max="2" width="13.84375" bestFit="1" customWidth="1"/>
    <col min="3" max="3" width="34.4609375" bestFit="1" customWidth="1"/>
    <col min="4" max="4" width="10.15234375" bestFit="1" customWidth="1"/>
    <col min="5" max="5" width="8" style="1" bestFit="1" customWidth="1"/>
    <col min="6" max="7" width="9" style="2" bestFit="1" customWidth="1"/>
    <col min="8" max="8" width="12.15234375" style="2" bestFit="1" customWidth="1"/>
    <col min="9" max="9" width="8.61328125" bestFit="1" customWidth="1"/>
    <col min="10" max="10" width="6.61328125" bestFit="1" customWidth="1"/>
    <col min="11" max="11" width="8.84375" style="2"/>
    <col min="12" max="13" width="13.3828125" bestFit="1" customWidth="1"/>
    <col min="14" max="14" width="11.61328125" bestFit="1" customWidth="1"/>
    <col min="18" max="18" width="11.3828125" bestFit="1" customWidth="1"/>
  </cols>
  <sheetData>
    <row r="1" spans="2:19">
      <c r="B1" s="3" t="s">
        <v>31</v>
      </c>
      <c r="C1" s="3" t="s">
        <v>522</v>
      </c>
      <c r="D1" s="3" t="s">
        <v>483</v>
      </c>
      <c r="E1" s="14" t="s">
        <v>484</v>
      </c>
      <c r="F1" s="4" t="s">
        <v>523</v>
      </c>
      <c r="G1" s="4" t="s">
        <v>524</v>
      </c>
      <c r="H1" s="4" t="s">
        <v>528</v>
      </c>
      <c r="I1" s="3" t="s">
        <v>525</v>
      </c>
      <c r="J1" s="3" t="s">
        <v>526</v>
      </c>
      <c r="K1" s="410" t="s">
        <v>1538</v>
      </c>
      <c r="M1" s="15" t="s">
        <v>532</v>
      </c>
      <c r="N1" s="16">
        <f>SUM(G2:G4339)</f>
        <v>0</v>
      </c>
      <c r="R1" s="3" t="s">
        <v>527</v>
      </c>
      <c r="S1" s="3" t="s">
        <v>447</v>
      </c>
    </row>
    <row r="2" spans="2:19">
      <c r="B2" t="s">
        <v>168</v>
      </c>
      <c r="C2" t="s">
        <v>550</v>
      </c>
      <c r="D2" s="5" t="s">
        <v>474</v>
      </c>
      <c r="E2" s="1">
        <v>0</v>
      </c>
      <c r="G2" s="2">
        <f t="shared" ref="G2:G65" si="0">E2*F2</f>
        <v>0</v>
      </c>
      <c r="H2" s="2">
        <v>0</v>
      </c>
      <c r="M2" s="17" t="s">
        <v>351</v>
      </c>
      <c r="N2" s="18">
        <f>_xlfn.IFS((N1)&lt;11999.99,0,AND((N1)&gt;11999.99,(N1)&lt;25000),N1*-0.04,(N1)&gt;24999.99,N1*-0.08)</f>
        <v>0</v>
      </c>
      <c r="R2" s="22" t="str">
        <f>'Kilter Holds'!T35</f>
        <v>11-12</v>
      </c>
      <c r="S2" s="3" t="s">
        <v>531</v>
      </c>
    </row>
    <row r="3" spans="2:19">
      <c r="B3" t="s">
        <v>168</v>
      </c>
      <c r="C3" t="s">
        <v>550</v>
      </c>
      <c r="D3" s="6" t="s">
        <v>475</v>
      </c>
      <c r="E3" s="1">
        <v>0</v>
      </c>
      <c r="G3" s="2">
        <f t="shared" si="0"/>
        <v>0</v>
      </c>
      <c r="H3" s="2">
        <v>0</v>
      </c>
      <c r="M3" s="17" t="s">
        <v>528</v>
      </c>
      <c r="N3" s="18">
        <f>SUM(H2:H4339)</f>
        <v>0</v>
      </c>
      <c r="R3" s="23" t="str">
        <f>'Kilter Holds'!U35</f>
        <v>14-01</v>
      </c>
      <c r="S3" s="3" t="s">
        <v>531</v>
      </c>
    </row>
    <row r="4" spans="2:19">
      <c r="B4" t="s">
        <v>168</v>
      </c>
      <c r="C4" t="s">
        <v>550</v>
      </c>
      <c r="D4" s="7" t="s">
        <v>476</v>
      </c>
      <c r="E4" s="1">
        <v>0</v>
      </c>
      <c r="G4" s="2">
        <f t="shared" si="0"/>
        <v>0</v>
      </c>
      <c r="H4" s="2">
        <v>0</v>
      </c>
      <c r="M4" s="17" t="s">
        <v>534</v>
      </c>
      <c r="N4" s="21">
        <v>0</v>
      </c>
      <c r="R4" s="24" t="str">
        <f>'Kilter Holds'!V35</f>
        <v>15-12</v>
      </c>
      <c r="S4" s="3" t="s">
        <v>531</v>
      </c>
    </row>
    <row r="5" spans="2:19">
      <c r="B5" t="s">
        <v>168</v>
      </c>
      <c r="C5" t="s">
        <v>550</v>
      </c>
      <c r="D5" s="8" t="s">
        <v>477</v>
      </c>
      <c r="E5" s="1">
        <v>0</v>
      </c>
      <c r="G5" s="2">
        <f t="shared" si="0"/>
        <v>0</v>
      </c>
      <c r="H5" s="2">
        <v>0</v>
      </c>
      <c r="M5" s="17" t="s">
        <v>485</v>
      </c>
      <c r="N5" s="18">
        <f>Bolts!B1163</f>
        <v>3</v>
      </c>
      <c r="R5" s="25" t="str">
        <f>'Kilter Holds'!W35</f>
        <v>16-16</v>
      </c>
      <c r="S5" s="3" t="s">
        <v>531</v>
      </c>
    </row>
    <row r="6" spans="2:19">
      <c r="B6" t="s">
        <v>168</v>
      </c>
      <c r="C6" t="s">
        <v>550</v>
      </c>
      <c r="D6" s="9" t="s">
        <v>478</v>
      </c>
      <c r="E6" s="1">
        <v>0</v>
      </c>
      <c r="G6" s="2">
        <f t="shared" si="0"/>
        <v>0</v>
      </c>
      <c r="H6" s="2">
        <v>0</v>
      </c>
      <c r="M6" s="17" t="s">
        <v>533</v>
      </c>
      <c r="N6" s="18"/>
      <c r="R6" s="26" t="str">
        <f>'Kilter Holds'!X35</f>
        <v>13-01</v>
      </c>
      <c r="S6" s="3" t="s">
        <v>531</v>
      </c>
    </row>
    <row r="7" spans="2:19" ht="14" thickBot="1">
      <c r="B7" t="s">
        <v>168</v>
      </c>
      <c r="C7" t="s">
        <v>550</v>
      </c>
      <c r="D7" s="10" t="s">
        <v>479</v>
      </c>
      <c r="E7" s="1">
        <v>0</v>
      </c>
      <c r="G7" s="2">
        <f t="shared" si="0"/>
        <v>0</v>
      </c>
      <c r="H7" s="2">
        <v>0</v>
      </c>
      <c r="M7" s="19" t="s">
        <v>79</v>
      </c>
      <c r="N7" s="20">
        <f>SUM(N1:N6)</f>
        <v>3</v>
      </c>
      <c r="R7" s="27" t="str">
        <f>'Kilter Holds'!Y35</f>
        <v>07-13</v>
      </c>
      <c r="S7" s="3" t="s">
        <v>531</v>
      </c>
    </row>
    <row r="8" spans="2:19">
      <c r="B8" t="s">
        <v>168</v>
      </c>
      <c r="C8" t="s">
        <v>550</v>
      </c>
      <c r="D8" s="11" t="s">
        <v>480</v>
      </c>
      <c r="E8" s="1">
        <v>0</v>
      </c>
      <c r="G8" s="2">
        <f t="shared" si="0"/>
        <v>0</v>
      </c>
      <c r="H8" s="2">
        <v>0</v>
      </c>
      <c r="R8" s="28" t="str">
        <f>'Kilter Holds'!Z35</f>
        <v>11-25</v>
      </c>
      <c r="S8" s="3" t="s">
        <v>531</v>
      </c>
    </row>
    <row r="9" spans="2:19">
      <c r="B9" t="s">
        <v>168</v>
      </c>
      <c r="C9" t="s">
        <v>550</v>
      </c>
      <c r="D9" s="13" t="s">
        <v>481</v>
      </c>
      <c r="E9" s="1">
        <v>0</v>
      </c>
      <c r="G9" s="2">
        <f t="shared" si="0"/>
        <v>0</v>
      </c>
      <c r="H9" s="2">
        <v>0</v>
      </c>
      <c r="R9" s="29" t="str">
        <f>'Kilter Holds'!AA35</f>
        <v>18-01</v>
      </c>
      <c r="S9" s="3" t="s">
        <v>531</v>
      </c>
    </row>
    <row r="10" spans="2:19">
      <c r="B10" t="s">
        <v>168</v>
      </c>
      <c r="C10" t="s">
        <v>550</v>
      </c>
      <c r="D10" s="12" t="s">
        <v>1033</v>
      </c>
      <c r="E10" s="1">
        <v>0</v>
      </c>
      <c r="G10" s="2">
        <f t="shared" si="0"/>
        <v>0</v>
      </c>
      <c r="H10" s="2">
        <v>0</v>
      </c>
      <c r="R10" s="12" t="str">
        <f>'Kilter Holds'!AB35</f>
        <v>12-01</v>
      </c>
      <c r="S10" s="3" t="s">
        <v>530</v>
      </c>
    </row>
    <row r="11" spans="2:19">
      <c r="B11" t="s">
        <v>246</v>
      </c>
      <c r="C11" t="s">
        <v>551</v>
      </c>
      <c r="D11" s="5" t="s">
        <v>474</v>
      </c>
      <c r="E11" s="1">
        <v>0</v>
      </c>
      <c r="G11" s="2">
        <f t="shared" si="0"/>
        <v>0</v>
      </c>
      <c r="H11" s="2">
        <v>0</v>
      </c>
      <c r="R11" t="s">
        <v>529</v>
      </c>
      <c r="S11" s="3" t="s">
        <v>531</v>
      </c>
    </row>
    <row r="12" spans="2:19">
      <c r="B12" t="s">
        <v>246</v>
      </c>
      <c r="C12" t="s">
        <v>551</v>
      </c>
      <c r="D12" s="6" t="s">
        <v>475</v>
      </c>
      <c r="E12" s="1">
        <v>0</v>
      </c>
      <c r="G12" s="2">
        <f t="shared" si="0"/>
        <v>0</v>
      </c>
      <c r="H12" s="2">
        <v>0</v>
      </c>
      <c r="S12" s="3"/>
    </row>
    <row r="13" spans="2:19">
      <c r="B13" t="s">
        <v>246</v>
      </c>
      <c r="C13" t="s">
        <v>551</v>
      </c>
      <c r="D13" s="7" t="s">
        <v>476</v>
      </c>
      <c r="E13" s="1">
        <v>0</v>
      </c>
      <c r="G13" s="2">
        <f t="shared" si="0"/>
        <v>0</v>
      </c>
      <c r="H13" s="2">
        <v>0</v>
      </c>
    </row>
    <row r="14" spans="2:19">
      <c r="B14" t="s">
        <v>246</v>
      </c>
      <c r="C14" t="s">
        <v>551</v>
      </c>
      <c r="D14" s="8" t="s">
        <v>477</v>
      </c>
      <c r="E14" s="1">
        <v>0</v>
      </c>
      <c r="G14" s="2">
        <f t="shared" si="0"/>
        <v>0</v>
      </c>
      <c r="H14" s="2">
        <v>0</v>
      </c>
    </row>
    <row r="15" spans="2:19">
      <c r="B15" t="s">
        <v>246</v>
      </c>
      <c r="C15" t="s">
        <v>551</v>
      </c>
      <c r="D15" s="9" t="s">
        <v>478</v>
      </c>
      <c r="E15" s="1">
        <v>0</v>
      </c>
      <c r="G15" s="2">
        <f t="shared" si="0"/>
        <v>0</v>
      </c>
      <c r="H15" s="2">
        <v>0</v>
      </c>
    </row>
    <row r="16" spans="2:19">
      <c r="B16" t="s">
        <v>246</v>
      </c>
      <c r="C16" t="s">
        <v>551</v>
      </c>
      <c r="D16" s="10" t="s">
        <v>479</v>
      </c>
      <c r="E16" s="1">
        <v>0</v>
      </c>
      <c r="G16" s="2">
        <f t="shared" si="0"/>
        <v>0</v>
      </c>
      <c r="H16" s="2">
        <v>0</v>
      </c>
    </row>
    <row r="17" spans="2:13">
      <c r="B17" t="s">
        <v>246</v>
      </c>
      <c r="C17" t="s">
        <v>551</v>
      </c>
      <c r="D17" s="11" t="s">
        <v>480</v>
      </c>
      <c r="E17" s="1">
        <v>0</v>
      </c>
      <c r="G17" s="2">
        <f t="shared" si="0"/>
        <v>0</v>
      </c>
      <c r="H17" s="2">
        <v>0</v>
      </c>
    </row>
    <row r="18" spans="2:13">
      <c r="B18" t="s">
        <v>246</v>
      </c>
      <c r="C18" t="s">
        <v>551</v>
      </c>
      <c r="D18" s="13" t="s">
        <v>481</v>
      </c>
      <c r="E18" s="1">
        <v>0</v>
      </c>
      <c r="G18" s="2">
        <f t="shared" si="0"/>
        <v>0</v>
      </c>
      <c r="H18" s="2">
        <v>0</v>
      </c>
    </row>
    <row r="19" spans="2:13">
      <c r="B19" t="s">
        <v>246</v>
      </c>
      <c r="C19" t="s">
        <v>551</v>
      </c>
      <c r="D19" s="12" t="s">
        <v>1033</v>
      </c>
      <c r="E19" s="1">
        <v>0</v>
      </c>
      <c r="G19" s="2">
        <f t="shared" si="0"/>
        <v>0</v>
      </c>
      <c r="H19" s="2">
        <v>0</v>
      </c>
    </row>
    <row r="20" spans="2:13">
      <c r="B20" t="s">
        <v>178</v>
      </c>
      <c r="C20" t="s">
        <v>552</v>
      </c>
      <c r="D20" s="5" t="s">
        <v>474</v>
      </c>
      <c r="E20" s="1">
        <v>0</v>
      </c>
      <c r="G20" s="2">
        <f t="shared" si="0"/>
        <v>0</v>
      </c>
      <c r="H20" s="2">
        <v>0</v>
      </c>
    </row>
    <row r="21" spans="2:13">
      <c r="B21" t="s">
        <v>178</v>
      </c>
      <c r="C21" t="s">
        <v>552</v>
      </c>
      <c r="D21" s="6" t="s">
        <v>475</v>
      </c>
      <c r="E21" s="1">
        <v>0</v>
      </c>
      <c r="G21" s="2">
        <f t="shared" si="0"/>
        <v>0</v>
      </c>
      <c r="H21" s="2">
        <v>0</v>
      </c>
    </row>
    <row r="22" spans="2:13">
      <c r="B22" t="s">
        <v>178</v>
      </c>
      <c r="C22" t="s">
        <v>552</v>
      </c>
      <c r="D22" s="7" t="s">
        <v>476</v>
      </c>
      <c r="E22" s="1">
        <v>0</v>
      </c>
      <c r="G22" s="2">
        <f t="shared" si="0"/>
        <v>0</v>
      </c>
      <c r="H22" s="2">
        <v>0</v>
      </c>
    </row>
    <row r="23" spans="2:13">
      <c r="B23" t="s">
        <v>178</v>
      </c>
      <c r="C23" t="s">
        <v>552</v>
      </c>
      <c r="D23" s="8" t="s">
        <v>477</v>
      </c>
      <c r="E23" s="1">
        <v>0</v>
      </c>
      <c r="G23" s="2">
        <f t="shared" si="0"/>
        <v>0</v>
      </c>
      <c r="H23" s="2">
        <v>0</v>
      </c>
    </row>
    <row r="24" spans="2:13">
      <c r="B24" t="s">
        <v>178</v>
      </c>
      <c r="C24" t="s">
        <v>552</v>
      </c>
      <c r="D24" s="9" t="s">
        <v>478</v>
      </c>
      <c r="E24" s="1">
        <v>0</v>
      </c>
      <c r="G24" s="2">
        <f t="shared" si="0"/>
        <v>0</v>
      </c>
      <c r="H24" s="2">
        <v>0</v>
      </c>
    </row>
    <row r="25" spans="2:13">
      <c r="B25" t="s">
        <v>178</v>
      </c>
      <c r="C25" t="s">
        <v>552</v>
      </c>
      <c r="D25" s="10" t="s">
        <v>479</v>
      </c>
      <c r="E25" s="1">
        <v>0</v>
      </c>
      <c r="G25" s="2">
        <f t="shared" si="0"/>
        <v>0</v>
      </c>
      <c r="H25" s="2">
        <v>0</v>
      </c>
      <c r="M25" s="3"/>
    </row>
    <row r="26" spans="2:13">
      <c r="B26" t="s">
        <v>178</v>
      </c>
      <c r="C26" t="s">
        <v>552</v>
      </c>
      <c r="D26" s="11" t="s">
        <v>480</v>
      </c>
      <c r="E26" s="1">
        <v>0</v>
      </c>
      <c r="G26" s="2">
        <f t="shared" si="0"/>
        <v>0</v>
      </c>
      <c r="H26" s="2">
        <v>0</v>
      </c>
      <c r="K26" s="410"/>
      <c r="L26" s="3"/>
    </row>
    <row r="27" spans="2:13">
      <c r="B27" t="s">
        <v>178</v>
      </c>
      <c r="C27" t="s">
        <v>552</v>
      </c>
      <c r="D27" s="13" t="s">
        <v>481</v>
      </c>
      <c r="E27" s="1">
        <v>0</v>
      </c>
      <c r="G27" s="2">
        <f t="shared" si="0"/>
        <v>0</v>
      </c>
      <c r="H27" s="2">
        <v>0</v>
      </c>
    </row>
    <row r="28" spans="2:13">
      <c r="B28" t="s">
        <v>178</v>
      </c>
      <c r="C28" t="s">
        <v>552</v>
      </c>
      <c r="D28" s="12" t="s">
        <v>1033</v>
      </c>
      <c r="E28" s="1">
        <v>0</v>
      </c>
      <c r="G28" s="2">
        <f t="shared" si="0"/>
        <v>0</v>
      </c>
      <c r="H28" s="2">
        <v>0</v>
      </c>
    </row>
    <row r="29" spans="2:13">
      <c r="B29" t="s">
        <v>328</v>
      </c>
      <c r="C29" t="s">
        <v>553</v>
      </c>
      <c r="D29" s="5" t="s">
        <v>474</v>
      </c>
      <c r="E29" s="1">
        <v>0</v>
      </c>
      <c r="G29" s="2">
        <f t="shared" si="0"/>
        <v>0</v>
      </c>
      <c r="H29" s="2">
        <v>0</v>
      </c>
    </row>
    <row r="30" spans="2:13">
      <c r="B30" t="s">
        <v>328</v>
      </c>
      <c r="C30" t="s">
        <v>553</v>
      </c>
      <c r="D30" s="6" t="s">
        <v>475</v>
      </c>
      <c r="E30" s="1">
        <v>0</v>
      </c>
      <c r="G30" s="2">
        <f t="shared" si="0"/>
        <v>0</v>
      </c>
      <c r="H30" s="2">
        <v>0</v>
      </c>
    </row>
    <row r="31" spans="2:13">
      <c r="B31" t="s">
        <v>328</v>
      </c>
      <c r="C31" t="s">
        <v>553</v>
      </c>
      <c r="D31" s="7" t="s">
        <v>476</v>
      </c>
      <c r="E31" s="1">
        <v>0</v>
      </c>
      <c r="G31" s="2">
        <f t="shared" si="0"/>
        <v>0</v>
      </c>
      <c r="H31" s="2">
        <v>0</v>
      </c>
    </row>
    <row r="32" spans="2:13">
      <c r="B32" t="s">
        <v>328</v>
      </c>
      <c r="C32" t="s">
        <v>553</v>
      </c>
      <c r="D32" s="8" t="s">
        <v>477</v>
      </c>
      <c r="E32" s="1">
        <v>0</v>
      </c>
      <c r="G32" s="2">
        <f t="shared" si="0"/>
        <v>0</v>
      </c>
      <c r="H32" s="2">
        <v>0</v>
      </c>
    </row>
    <row r="33" spans="2:8">
      <c r="B33" t="s">
        <v>328</v>
      </c>
      <c r="C33" t="s">
        <v>553</v>
      </c>
      <c r="D33" s="9" t="s">
        <v>478</v>
      </c>
      <c r="E33" s="1">
        <v>0</v>
      </c>
      <c r="G33" s="2">
        <f t="shared" si="0"/>
        <v>0</v>
      </c>
      <c r="H33" s="2">
        <v>0</v>
      </c>
    </row>
    <row r="34" spans="2:8">
      <c r="B34" t="s">
        <v>328</v>
      </c>
      <c r="C34" t="s">
        <v>553</v>
      </c>
      <c r="D34" s="10" t="s">
        <v>479</v>
      </c>
      <c r="E34" s="1">
        <v>0</v>
      </c>
      <c r="G34" s="2">
        <f t="shared" si="0"/>
        <v>0</v>
      </c>
      <c r="H34" s="2">
        <v>0</v>
      </c>
    </row>
    <row r="35" spans="2:8">
      <c r="B35" t="s">
        <v>328</v>
      </c>
      <c r="C35" t="s">
        <v>553</v>
      </c>
      <c r="D35" s="11" t="s">
        <v>480</v>
      </c>
      <c r="E35" s="1">
        <v>0</v>
      </c>
      <c r="G35" s="2">
        <f t="shared" si="0"/>
        <v>0</v>
      </c>
      <c r="H35" s="2">
        <v>0</v>
      </c>
    </row>
    <row r="36" spans="2:8">
      <c r="B36" t="s">
        <v>328</v>
      </c>
      <c r="C36" t="s">
        <v>553</v>
      </c>
      <c r="D36" s="13" t="s">
        <v>481</v>
      </c>
      <c r="E36" s="1">
        <v>0</v>
      </c>
      <c r="G36" s="2">
        <f t="shared" si="0"/>
        <v>0</v>
      </c>
      <c r="H36" s="2">
        <v>0</v>
      </c>
    </row>
    <row r="37" spans="2:8">
      <c r="B37" t="s">
        <v>328</v>
      </c>
      <c r="C37" t="s">
        <v>553</v>
      </c>
      <c r="D37" s="12" t="s">
        <v>1033</v>
      </c>
      <c r="E37" s="1">
        <v>0</v>
      </c>
      <c r="G37" s="2">
        <f t="shared" si="0"/>
        <v>0</v>
      </c>
      <c r="H37" s="2">
        <v>0</v>
      </c>
    </row>
    <row r="38" spans="2:8">
      <c r="B38" t="s">
        <v>298</v>
      </c>
      <c r="C38" t="s">
        <v>554</v>
      </c>
      <c r="D38" s="5" t="s">
        <v>474</v>
      </c>
      <c r="E38" s="1">
        <v>0</v>
      </c>
      <c r="G38" s="2">
        <f t="shared" si="0"/>
        <v>0</v>
      </c>
      <c r="H38" s="2">
        <v>0</v>
      </c>
    </row>
    <row r="39" spans="2:8">
      <c r="B39" t="s">
        <v>298</v>
      </c>
      <c r="C39" t="s">
        <v>554</v>
      </c>
      <c r="D39" s="6" t="s">
        <v>475</v>
      </c>
      <c r="E39" s="1">
        <v>0</v>
      </c>
      <c r="G39" s="2">
        <f t="shared" si="0"/>
        <v>0</v>
      </c>
      <c r="H39" s="2">
        <v>0</v>
      </c>
    </row>
    <row r="40" spans="2:8">
      <c r="B40" t="s">
        <v>298</v>
      </c>
      <c r="C40" t="s">
        <v>554</v>
      </c>
      <c r="D40" s="7" t="s">
        <v>476</v>
      </c>
      <c r="E40" s="1">
        <v>0</v>
      </c>
      <c r="G40" s="2">
        <f t="shared" si="0"/>
        <v>0</v>
      </c>
      <c r="H40" s="2">
        <v>0</v>
      </c>
    </row>
    <row r="41" spans="2:8">
      <c r="B41" t="s">
        <v>298</v>
      </c>
      <c r="C41" t="s">
        <v>554</v>
      </c>
      <c r="D41" s="8" t="s">
        <v>477</v>
      </c>
      <c r="E41" s="1">
        <v>0</v>
      </c>
      <c r="G41" s="2">
        <f t="shared" si="0"/>
        <v>0</v>
      </c>
      <c r="H41" s="2">
        <v>0</v>
      </c>
    </row>
    <row r="42" spans="2:8">
      <c r="B42" t="s">
        <v>298</v>
      </c>
      <c r="C42" t="s">
        <v>554</v>
      </c>
      <c r="D42" s="9" t="s">
        <v>478</v>
      </c>
      <c r="E42" s="1">
        <v>0</v>
      </c>
      <c r="G42" s="2">
        <f t="shared" si="0"/>
        <v>0</v>
      </c>
      <c r="H42" s="2">
        <v>0</v>
      </c>
    </row>
    <row r="43" spans="2:8">
      <c r="B43" t="s">
        <v>298</v>
      </c>
      <c r="C43" t="s">
        <v>554</v>
      </c>
      <c r="D43" s="10" t="s">
        <v>479</v>
      </c>
      <c r="E43" s="1">
        <v>0</v>
      </c>
      <c r="G43" s="2">
        <f t="shared" si="0"/>
        <v>0</v>
      </c>
      <c r="H43" s="2">
        <v>0</v>
      </c>
    </row>
    <row r="44" spans="2:8">
      <c r="B44" t="s">
        <v>298</v>
      </c>
      <c r="C44" t="s">
        <v>554</v>
      </c>
      <c r="D44" s="11" t="s">
        <v>480</v>
      </c>
      <c r="E44" s="1">
        <v>0</v>
      </c>
      <c r="G44" s="2">
        <f t="shared" si="0"/>
        <v>0</v>
      </c>
      <c r="H44" s="2">
        <v>0</v>
      </c>
    </row>
    <row r="45" spans="2:8">
      <c r="B45" t="s">
        <v>298</v>
      </c>
      <c r="C45" t="s">
        <v>554</v>
      </c>
      <c r="D45" s="13" t="s">
        <v>481</v>
      </c>
      <c r="E45" s="1">
        <v>0</v>
      </c>
      <c r="G45" s="2">
        <f t="shared" si="0"/>
        <v>0</v>
      </c>
      <c r="H45" s="2">
        <v>0</v>
      </c>
    </row>
    <row r="46" spans="2:8">
      <c r="B46" t="s">
        <v>298</v>
      </c>
      <c r="C46" t="s">
        <v>554</v>
      </c>
      <c r="D46" s="12" t="s">
        <v>1033</v>
      </c>
      <c r="E46" s="1">
        <v>0</v>
      </c>
      <c r="G46" s="2">
        <f t="shared" si="0"/>
        <v>0</v>
      </c>
      <c r="H46" s="2">
        <v>0</v>
      </c>
    </row>
    <row r="47" spans="2:8">
      <c r="B47" t="s">
        <v>299</v>
      </c>
      <c r="C47" t="s">
        <v>555</v>
      </c>
      <c r="D47" s="5" t="s">
        <v>474</v>
      </c>
      <c r="E47" s="1">
        <v>0</v>
      </c>
      <c r="G47" s="2">
        <f t="shared" si="0"/>
        <v>0</v>
      </c>
      <c r="H47" s="2">
        <v>0</v>
      </c>
    </row>
    <row r="48" spans="2:8">
      <c r="B48" t="s">
        <v>299</v>
      </c>
      <c r="C48" t="s">
        <v>555</v>
      </c>
      <c r="D48" s="6" t="s">
        <v>475</v>
      </c>
      <c r="E48" s="1">
        <v>0</v>
      </c>
      <c r="G48" s="2">
        <f t="shared" si="0"/>
        <v>0</v>
      </c>
      <c r="H48" s="2">
        <v>0</v>
      </c>
    </row>
    <row r="49" spans="2:8">
      <c r="B49" t="s">
        <v>299</v>
      </c>
      <c r="C49" t="s">
        <v>555</v>
      </c>
      <c r="D49" s="7" t="s">
        <v>476</v>
      </c>
      <c r="E49" s="1">
        <v>0</v>
      </c>
      <c r="G49" s="2">
        <f t="shared" si="0"/>
        <v>0</v>
      </c>
      <c r="H49" s="2">
        <v>0</v>
      </c>
    </row>
    <row r="50" spans="2:8">
      <c r="B50" t="s">
        <v>299</v>
      </c>
      <c r="C50" t="s">
        <v>555</v>
      </c>
      <c r="D50" s="8" t="s">
        <v>477</v>
      </c>
      <c r="E50" s="1">
        <v>0</v>
      </c>
      <c r="G50" s="2">
        <f t="shared" si="0"/>
        <v>0</v>
      </c>
      <c r="H50" s="2">
        <v>0</v>
      </c>
    </row>
    <row r="51" spans="2:8">
      <c r="B51" t="s">
        <v>299</v>
      </c>
      <c r="C51" t="s">
        <v>555</v>
      </c>
      <c r="D51" s="9" t="s">
        <v>478</v>
      </c>
      <c r="E51" s="1">
        <v>0</v>
      </c>
      <c r="G51" s="2">
        <f t="shared" si="0"/>
        <v>0</v>
      </c>
      <c r="H51" s="2">
        <v>0</v>
      </c>
    </row>
    <row r="52" spans="2:8">
      <c r="B52" t="s">
        <v>299</v>
      </c>
      <c r="C52" t="s">
        <v>555</v>
      </c>
      <c r="D52" s="10" t="s">
        <v>479</v>
      </c>
      <c r="E52" s="1">
        <v>0</v>
      </c>
      <c r="G52" s="2">
        <f t="shared" si="0"/>
        <v>0</v>
      </c>
      <c r="H52" s="2">
        <v>0</v>
      </c>
    </row>
    <row r="53" spans="2:8">
      <c r="B53" t="s">
        <v>299</v>
      </c>
      <c r="C53" t="s">
        <v>555</v>
      </c>
      <c r="D53" s="11" t="s">
        <v>480</v>
      </c>
      <c r="E53" s="1">
        <v>0</v>
      </c>
      <c r="G53" s="2">
        <f t="shared" si="0"/>
        <v>0</v>
      </c>
      <c r="H53" s="2">
        <v>0</v>
      </c>
    </row>
    <row r="54" spans="2:8">
      <c r="B54" t="s">
        <v>299</v>
      </c>
      <c r="C54" t="s">
        <v>555</v>
      </c>
      <c r="D54" s="13" t="s">
        <v>481</v>
      </c>
      <c r="E54" s="1">
        <v>0</v>
      </c>
      <c r="G54" s="2">
        <f t="shared" si="0"/>
        <v>0</v>
      </c>
      <c r="H54" s="2">
        <v>0</v>
      </c>
    </row>
    <row r="55" spans="2:8">
      <c r="B55" t="s">
        <v>299</v>
      </c>
      <c r="C55" t="s">
        <v>555</v>
      </c>
      <c r="D55" s="12" t="s">
        <v>1033</v>
      </c>
      <c r="E55" s="1">
        <v>0</v>
      </c>
      <c r="G55" s="2">
        <f t="shared" si="0"/>
        <v>0</v>
      </c>
      <c r="H55" s="2">
        <v>0</v>
      </c>
    </row>
    <row r="56" spans="2:8">
      <c r="B56" t="s">
        <v>169</v>
      </c>
      <c r="C56" t="s">
        <v>556</v>
      </c>
      <c r="D56" s="5" t="s">
        <v>474</v>
      </c>
      <c r="E56" s="1">
        <v>0</v>
      </c>
      <c r="G56" s="2">
        <f t="shared" si="0"/>
        <v>0</v>
      </c>
      <c r="H56" s="2">
        <v>0</v>
      </c>
    </row>
    <row r="57" spans="2:8">
      <c r="B57" t="s">
        <v>169</v>
      </c>
      <c r="C57" t="s">
        <v>556</v>
      </c>
      <c r="D57" s="6" t="s">
        <v>475</v>
      </c>
      <c r="E57" s="1">
        <v>0</v>
      </c>
      <c r="G57" s="2">
        <f t="shared" si="0"/>
        <v>0</v>
      </c>
      <c r="H57" s="2">
        <v>0</v>
      </c>
    </row>
    <row r="58" spans="2:8">
      <c r="B58" t="s">
        <v>169</v>
      </c>
      <c r="C58" t="s">
        <v>556</v>
      </c>
      <c r="D58" s="7" t="s">
        <v>476</v>
      </c>
      <c r="E58" s="1">
        <v>0</v>
      </c>
      <c r="G58" s="2">
        <f t="shared" si="0"/>
        <v>0</v>
      </c>
      <c r="H58" s="2">
        <v>0</v>
      </c>
    </row>
    <row r="59" spans="2:8">
      <c r="B59" t="s">
        <v>169</v>
      </c>
      <c r="C59" t="s">
        <v>556</v>
      </c>
      <c r="D59" s="8" t="s">
        <v>477</v>
      </c>
      <c r="E59" s="1">
        <v>0</v>
      </c>
      <c r="G59" s="2">
        <f t="shared" si="0"/>
        <v>0</v>
      </c>
      <c r="H59" s="2">
        <v>0</v>
      </c>
    </row>
    <row r="60" spans="2:8">
      <c r="B60" t="s">
        <v>169</v>
      </c>
      <c r="C60" t="s">
        <v>556</v>
      </c>
      <c r="D60" s="9" t="s">
        <v>478</v>
      </c>
      <c r="E60" s="1">
        <v>0</v>
      </c>
      <c r="G60" s="2">
        <f t="shared" si="0"/>
        <v>0</v>
      </c>
      <c r="H60" s="2">
        <v>0</v>
      </c>
    </row>
    <row r="61" spans="2:8">
      <c r="B61" t="s">
        <v>169</v>
      </c>
      <c r="C61" t="s">
        <v>556</v>
      </c>
      <c r="D61" s="10" t="s">
        <v>479</v>
      </c>
      <c r="E61" s="1">
        <v>0</v>
      </c>
      <c r="G61" s="2">
        <f t="shared" si="0"/>
        <v>0</v>
      </c>
      <c r="H61" s="2">
        <v>0</v>
      </c>
    </row>
    <row r="62" spans="2:8">
      <c r="B62" t="s">
        <v>169</v>
      </c>
      <c r="C62" t="s">
        <v>556</v>
      </c>
      <c r="D62" s="11" t="s">
        <v>480</v>
      </c>
      <c r="E62" s="1">
        <v>0</v>
      </c>
      <c r="G62" s="2">
        <f t="shared" si="0"/>
        <v>0</v>
      </c>
      <c r="H62" s="2">
        <v>0</v>
      </c>
    </row>
    <row r="63" spans="2:8">
      <c r="B63" t="s">
        <v>169</v>
      </c>
      <c r="C63" t="s">
        <v>556</v>
      </c>
      <c r="D63" s="13" t="s">
        <v>481</v>
      </c>
      <c r="E63" s="1">
        <v>0</v>
      </c>
      <c r="G63" s="2">
        <f t="shared" si="0"/>
        <v>0</v>
      </c>
      <c r="H63" s="2">
        <v>0</v>
      </c>
    </row>
    <row r="64" spans="2:8">
      <c r="B64" t="s">
        <v>169</v>
      </c>
      <c r="C64" t="s">
        <v>556</v>
      </c>
      <c r="D64" s="12" t="s">
        <v>1033</v>
      </c>
      <c r="E64" s="1">
        <v>0</v>
      </c>
      <c r="G64" s="2">
        <f t="shared" si="0"/>
        <v>0</v>
      </c>
      <c r="H64" s="2">
        <v>0</v>
      </c>
    </row>
    <row r="65" spans="2:8">
      <c r="B65" t="s">
        <v>170</v>
      </c>
      <c r="C65" t="s">
        <v>557</v>
      </c>
      <c r="D65" s="5" t="s">
        <v>474</v>
      </c>
      <c r="E65" s="1">
        <v>0</v>
      </c>
      <c r="G65" s="2">
        <f t="shared" si="0"/>
        <v>0</v>
      </c>
      <c r="H65" s="2">
        <v>0</v>
      </c>
    </row>
    <row r="66" spans="2:8">
      <c r="B66" t="s">
        <v>170</v>
      </c>
      <c r="C66" t="s">
        <v>557</v>
      </c>
      <c r="D66" s="6" t="s">
        <v>475</v>
      </c>
      <c r="E66" s="1">
        <v>0</v>
      </c>
      <c r="G66" s="2">
        <f t="shared" ref="G66:G129" si="1">E66*F66</f>
        <v>0</v>
      </c>
      <c r="H66" s="2">
        <v>0</v>
      </c>
    </row>
    <row r="67" spans="2:8">
      <c r="B67" t="s">
        <v>170</v>
      </c>
      <c r="C67" t="s">
        <v>557</v>
      </c>
      <c r="D67" s="7" t="s">
        <v>476</v>
      </c>
      <c r="E67" s="1">
        <v>0</v>
      </c>
      <c r="G67" s="2">
        <f t="shared" si="1"/>
        <v>0</v>
      </c>
      <c r="H67" s="2">
        <v>0</v>
      </c>
    </row>
    <row r="68" spans="2:8">
      <c r="B68" t="s">
        <v>170</v>
      </c>
      <c r="C68" t="s">
        <v>557</v>
      </c>
      <c r="D68" s="8" t="s">
        <v>477</v>
      </c>
      <c r="E68" s="1">
        <v>0</v>
      </c>
      <c r="G68" s="2">
        <f t="shared" si="1"/>
        <v>0</v>
      </c>
      <c r="H68" s="2">
        <v>0</v>
      </c>
    </row>
    <row r="69" spans="2:8">
      <c r="B69" t="s">
        <v>170</v>
      </c>
      <c r="C69" t="s">
        <v>557</v>
      </c>
      <c r="D69" s="9" t="s">
        <v>478</v>
      </c>
      <c r="E69" s="1">
        <v>0</v>
      </c>
      <c r="G69" s="2">
        <f t="shared" si="1"/>
        <v>0</v>
      </c>
      <c r="H69" s="2">
        <v>0</v>
      </c>
    </row>
    <row r="70" spans="2:8">
      <c r="B70" t="s">
        <v>170</v>
      </c>
      <c r="C70" t="s">
        <v>557</v>
      </c>
      <c r="D70" s="10" t="s">
        <v>479</v>
      </c>
      <c r="E70" s="1">
        <v>0</v>
      </c>
      <c r="G70" s="2">
        <f t="shared" si="1"/>
        <v>0</v>
      </c>
      <c r="H70" s="2">
        <v>0</v>
      </c>
    </row>
    <row r="71" spans="2:8">
      <c r="B71" t="s">
        <v>170</v>
      </c>
      <c r="C71" t="s">
        <v>557</v>
      </c>
      <c r="D71" s="11" t="s">
        <v>480</v>
      </c>
      <c r="E71" s="1">
        <v>0</v>
      </c>
      <c r="G71" s="2">
        <f t="shared" si="1"/>
        <v>0</v>
      </c>
      <c r="H71" s="2">
        <v>0</v>
      </c>
    </row>
    <row r="72" spans="2:8">
      <c r="B72" t="s">
        <v>170</v>
      </c>
      <c r="C72" t="s">
        <v>557</v>
      </c>
      <c r="D72" s="13" t="s">
        <v>481</v>
      </c>
      <c r="E72" s="1">
        <v>0</v>
      </c>
      <c r="G72" s="2">
        <f t="shared" si="1"/>
        <v>0</v>
      </c>
      <c r="H72" s="2">
        <v>0</v>
      </c>
    </row>
    <row r="73" spans="2:8">
      <c r="B73" t="s">
        <v>170</v>
      </c>
      <c r="C73" t="s">
        <v>557</v>
      </c>
      <c r="D73" s="12" t="s">
        <v>1033</v>
      </c>
      <c r="E73" s="1">
        <v>0</v>
      </c>
      <c r="G73" s="2">
        <f t="shared" si="1"/>
        <v>0</v>
      </c>
      <c r="H73" s="2">
        <v>0</v>
      </c>
    </row>
    <row r="74" spans="2:8">
      <c r="B74" t="s">
        <v>179</v>
      </c>
      <c r="C74" t="s">
        <v>558</v>
      </c>
      <c r="D74" s="5" t="s">
        <v>474</v>
      </c>
      <c r="E74" s="1">
        <v>0</v>
      </c>
      <c r="G74" s="2">
        <f t="shared" si="1"/>
        <v>0</v>
      </c>
      <c r="H74" s="2">
        <v>0</v>
      </c>
    </row>
    <row r="75" spans="2:8">
      <c r="B75" t="s">
        <v>179</v>
      </c>
      <c r="C75" t="s">
        <v>558</v>
      </c>
      <c r="D75" s="6" t="s">
        <v>475</v>
      </c>
      <c r="E75" s="1">
        <v>0</v>
      </c>
      <c r="G75" s="2">
        <f t="shared" si="1"/>
        <v>0</v>
      </c>
      <c r="H75" s="2">
        <v>0</v>
      </c>
    </row>
    <row r="76" spans="2:8">
      <c r="B76" t="s">
        <v>179</v>
      </c>
      <c r="C76" t="s">
        <v>558</v>
      </c>
      <c r="D76" s="7" t="s">
        <v>476</v>
      </c>
      <c r="E76" s="1">
        <v>0</v>
      </c>
      <c r="G76" s="2">
        <f t="shared" si="1"/>
        <v>0</v>
      </c>
      <c r="H76" s="2">
        <v>0</v>
      </c>
    </row>
    <row r="77" spans="2:8">
      <c r="B77" t="s">
        <v>179</v>
      </c>
      <c r="C77" t="s">
        <v>558</v>
      </c>
      <c r="D77" s="8" t="s">
        <v>477</v>
      </c>
      <c r="E77" s="1">
        <v>0</v>
      </c>
      <c r="G77" s="2">
        <f t="shared" si="1"/>
        <v>0</v>
      </c>
      <c r="H77" s="2">
        <v>0</v>
      </c>
    </row>
    <row r="78" spans="2:8">
      <c r="B78" t="s">
        <v>179</v>
      </c>
      <c r="C78" t="s">
        <v>558</v>
      </c>
      <c r="D78" s="9" t="s">
        <v>478</v>
      </c>
      <c r="E78" s="1">
        <v>0</v>
      </c>
      <c r="G78" s="2">
        <f t="shared" si="1"/>
        <v>0</v>
      </c>
      <c r="H78" s="2">
        <v>0</v>
      </c>
    </row>
    <row r="79" spans="2:8">
      <c r="B79" t="s">
        <v>179</v>
      </c>
      <c r="C79" t="s">
        <v>558</v>
      </c>
      <c r="D79" s="10" t="s">
        <v>479</v>
      </c>
      <c r="E79" s="1">
        <v>0</v>
      </c>
      <c r="G79" s="2">
        <f t="shared" si="1"/>
        <v>0</v>
      </c>
      <c r="H79" s="2">
        <v>0</v>
      </c>
    </row>
    <row r="80" spans="2:8">
      <c r="B80" t="s">
        <v>179</v>
      </c>
      <c r="C80" t="s">
        <v>558</v>
      </c>
      <c r="D80" s="11" t="s">
        <v>480</v>
      </c>
      <c r="E80" s="1">
        <v>0</v>
      </c>
      <c r="G80" s="2">
        <f t="shared" si="1"/>
        <v>0</v>
      </c>
      <c r="H80" s="2">
        <v>0</v>
      </c>
    </row>
    <row r="81" spans="2:8">
      <c r="B81" t="s">
        <v>179</v>
      </c>
      <c r="C81" t="s">
        <v>558</v>
      </c>
      <c r="D81" s="13" t="s">
        <v>481</v>
      </c>
      <c r="E81" s="1">
        <v>0</v>
      </c>
      <c r="G81" s="2">
        <f t="shared" si="1"/>
        <v>0</v>
      </c>
      <c r="H81" s="2">
        <v>0</v>
      </c>
    </row>
    <row r="82" spans="2:8">
      <c r="B82" t="s">
        <v>179</v>
      </c>
      <c r="C82" t="s">
        <v>558</v>
      </c>
      <c r="D82" s="12" t="s">
        <v>1033</v>
      </c>
      <c r="E82" s="1">
        <v>0</v>
      </c>
      <c r="G82" s="2">
        <f t="shared" si="1"/>
        <v>0</v>
      </c>
      <c r="H82" s="2">
        <v>0</v>
      </c>
    </row>
    <row r="83" spans="2:8">
      <c r="B83" t="s">
        <v>309</v>
      </c>
      <c r="C83" t="s">
        <v>559</v>
      </c>
      <c r="D83" s="5" t="s">
        <v>474</v>
      </c>
      <c r="E83" s="1">
        <v>0</v>
      </c>
      <c r="G83" s="2">
        <f t="shared" si="1"/>
        <v>0</v>
      </c>
      <c r="H83" s="2">
        <v>0</v>
      </c>
    </row>
    <row r="84" spans="2:8">
      <c r="B84" t="s">
        <v>309</v>
      </c>
      <c r="C84" t="s">
        <v>559</v>
      </c>
      <c r="D84" s="6" t="s">
        <v>475</v>
      </c>
      <c r="E84" s="1">
        <v>0</v>
      </c>
      <c r="G84" s="2">
        <f t="shared" si="1"/>
        <v>0</v>
      </c>
      <c r="H84" s="2">
        <v>0</v>
      </c>
    </row>
    <row r="85" spans="2:8">
      <c r="B85" t="s">
        <v>309</v>
      </c>
      <c r="C85" t="s">
        <v>559</v>
      </c>
      <c r="D85" s="7" t="s">
        <v>476</v>
      </c>
      <c r="E85" s="1">
        <v>0</v>
      </c>
      <c r="G85" s="2">
        <f t="shared" si="1"/>
        <v>0</v>
      </c>
      <c r="H85" s="2">
        <v>0</v>
      </c>
    </row>
    <row r="86" spans="2:8">
      <c r="B86" t="s">
        <v>309</v>
      </c>
      <c r="C86" t="s">
        <v>559</v>
      </c>
      <c r="D86" s="8" t="s">
        <v>477</v>
      </c>
      <c r="E86" s="1">
        <v>0</v>
      </c>
      <c r="G86" s="2">
        <f t="shared" si="1"/>
        <v>0</v>
      </c>
      <c r="H86" s="2">
        <v>0</v>
      </c>
    </row>
    <row r="87" spans="2:8">
      <c r="B87" t="s">
        <v>309</v>
      </c>
      <c r="C87" t="s">
        <v>559</v>
      </c>
      <c r="D87" s="9" t="s">
        <v>478</v>
      </c>
      <c r="E87" s="1">
        <v>0</v>
      </c>
      <c r="G87" s="2">
        <f t="shared" si="1"/>
        <v>0</v>
      </c>
      <c r="H87" s="2">
        <v>0</v>
      </c>
    </row>
    <row r="88" spans="2:8">
      <c r="B88" t="s">
        <v>309</v>
      </c>
      <c r="C88" t="s">
        <v>559</v>
      </c>
      <c r="D88" s="10" t="s">
        <v>479</v>
      </c>
      <c r="E88" s="1">
        <v>0</v>
      </c>
      <c r="G88" s="2">
        <f t="shared" si="1"/>
        <v>0</v>
      </c>
      <c r="H88" s="2">
        <v>0</v>
      </c>
    </row>
    <row r="89" spans="2:8">
      <c r="B89" t="s">
        <v>309</v>
      </c>
      <c r="C89" t="s">
        <v>559</v>
      </c>
      <c r="D89" s="11" t="s">
        <v>480</v>
      </c>
      <c r="E89" s="1">
        <v>0</v>
      </c>
      <c r="G89" s="2">
        <f t="shared" si="1"/>
        <v>0</v>
      </c>
      <c r="H89" s="2">
        <v>0</v>
      </c>
    </row>
    <row r="90" spans="2:8">
      <c r="B90" t="s">
        <v>309</v>
      </c>
      <c r="C90" t="s">
        <v>559</v>
      </c>
      <c r="D90" s="13" t="s">
        <v>481</v>
      </c>
      <c r="E90" s="1">
        <v>0</v>
      </c>
      <c r="G90" s="2">
        <f t="shared" si="1"/>
        <v>0</v>
      </c>
      <c r="H90" s="2">
        <v>0</v>
      </c>
    </row>
    <row r="91" spans="2:8">
      <c r="B91" t="s">
        <v>309</v>
      </c>
      <c r="C91" t="s">
        <v>559</v>
      </c>
      <c r="D91" s="12" t="s">
        <v>1033</v>
      </c>
      <c r="E91" s="1">
        <v>0</v>
      </c>
      <c r="G91" s="2">
        <f t="shared" si="1"/>
        <v>0</v>
      </c>
      <c r="H91" s="2">
        <v>0</v>
      </c>
    </row>
    <row r="92" spans="2:8">
      <c r="B92" t="s">
        <v>171</v>
      </c>
      <c r="C92" t="s">
        <v>560</v>
      </c>
      <c r="D92" s="5" t="s">
        <v>474</v>
      </c>
      <c r="E92" s="1">
        <v>0</v>
      </c>
      <c r="G92" s="2">
        <f t="shared" si="1"/>
        <v>0</v>
      </c>
      <c r="H92" s="2">
        <v>0</v>
      </c>
    </row>
    <row r="93" spans="2:8">
      <c r="B93" t="s">
        <v>171</v>
      </c>
      <c r="C93" t="s">
        <v>560</v>
      </c>
      <c r="D93" s="6" t="s">
        <v>475</v>
      </c>
      <c r="E93" s="1">
        <v>0</v>
      </c>
      <c r="G93" s="2">
        <f t="shared" si="1"/>
        <v>0</v>
      </c>
      <c r="H93" s="2">
        <v>0</v>
      </c>
    </row>
    <row r="94" spans="2:8">
      <c r="B94" t="s">
        <v>171</v>
      </c>
      <c r="C94" t="s">
        <v>560</v>
      </c>
      <c r="D94" s="7" t="s">
        <v>476</v>
      </c>
      <c r="E94" s="1">
        <v>0</v>
      </c>
      <c r="G94" s="2">
        <f t="shared" si="1"/>
        <v>0</v>
      </c>
      <c r="H94" s="2">
        <v>0</v>
      </c>
    </row>
    <row r="95" spans="2:8">
      <c r="B95" t="s">
        <v>171</v>
      </c>
      <c r="C95" t="s">
        <v>560</v>
      </c>
      <c r="D95" s="8" t="s">
        <v>477</v>
      </c>
      <c r="E95" s="1">
        <v>0</v>
      </c>
      <c r="G95" s="2">
        <f t="shared" si="1"/>
        <v>0</v>
      </c>
      <c r="H95" s="2">
        <v>0</v>
      </c>
    </row>
    <row r="96" spans="2:8">
      <c r="B96" t="s">
        <v>171</v>
      </c>
      <c r="C96" t="s">
        <v>560</v>
      </c>
      <c r="D96" s="9" t="s">
        <v>478</v>
      </c>
      <c r="E96" s="1">
        <v>0</v>
      </c>
      <c r="G96" s="2">
        <f t="shared" si="1"/>
        <v>0</v>
      </c>
      <c r="H96" s="2">
        <v>0</v>
      </c>
    </row>
    <row r="97" spans="2:8">
      <c r="B97" t="s">
        <v>171</v>
      </c>
      <c r="C97" t="s">
        <v>560</v>
      </c>
      <c r="D97" s="10" t="s">
        <v>479</v>
      </c>
      <c r="E97" s="1">
        <v>0</v>
      </c>
      <c r="G97" s="2">
        <f t="shared" si="1"/>
        <v>0</v>
      </c>
      <c r="H97" s="2">
        <v>0</v>
      </c>
    </row>
    <row r="98" spans="2:8">
      <c r="B98" t="s">
        <v>171</v>
      </c>
      <c r="C98" t="s">
        <v>560</v>
      </c>
      <c r="D98" s="11" t="s">
        <v>480</v>
      </c>
      <c r="E98" s="1">
        <v>0</v>
      </c>
      <c r="G98" s="2">
        <f t="shared" si="1"/>
        <v>0</v>
      </c>
      <c r="H98" s="2">
        <v>0</v>
      </c>
    </row>
    <row r="99" spans="2:8">
      <c r="B99" t="s">
        <v>171</v>
      </c>
      <c r="C99" t="s">
        <v>560</v>
      </c>
      <c r="D99" s="13" t="s">
        <v>481</v>
      </c>
      <c r="E99" s="1">
        <v>0</v>
      </c>
      <c r="G99" s="2">
        <f t="shared" si="1"/>
        <v>0</v>
      </c>
      <c r="H99" s="2">
        <v>0</v>
      </c>
    </row>
    <row r="100" spans="2:8">
      <c r="B100" t="s">
        <v>171</v>
      </c>
      <c r="C100" t="s">
        <v>560</v>
      </c>
      <c r="D100" s="12" t="s">
        <v>1033</v>
      </c>
      <c r="E100" s="1">
        <v>0</v>
      </c>
      <c r="G100" s="2">
        <f t="shared" si="1"/>
        <v>0</v>
      </c>
      <c r="H100" s="2">
        <v>0</v>
      </c>
    </row>
    <row r="101" spans="2:8">
      <c r="B101" t="s">
        <v>180</v>
      </c>
      <c r="C101" t="s">
        <v>561</v>
      </c>
      <c r="D101" s="5" t="s">
        <v>474</v>
      </c>
      <c r="E101" s="1">
        <v>0</v>
      </c>
      <c r="G101" s="2">
        <f t="shared" si="1"/>
        <v>0</v>
      </c>
      <c r="H101" s="2">
        <v>0</v>
      </c>
    </row>
    <row r="102" spans="2:8">
      <c r="B102" t="s">
        <v>180</v>
      </c>
      <c r="C102" t="s">
        <v>561</v>
      </c>
      <c r="D102" s="6" t="s">
        <v>475</v>
      </c>
      <c r="E102" s="1">
        <v>0</v>
      </c>
      <c r="G102" s="2">
        <f t="shared" si="1"/>
        <v>0</v>
      </c>
      <c r="H102" s="2">
        <v>0</v>
      </c>
    </row>
    <row r="103" spans="2:8">
      <c r="B103" t="s">
        <v>180</v>
      </c>
      <c r="C103" t="s">
        <v>561</v>
      </c>
      <c r="D103" s="7" t="s">
        <v>476</v>
      </c>
      <c r="E103" s="1">
        <v>0</v>
      </c>
      <c r="G103" s="2">
        <f t="shared" si="1"/>
        <v>0</v>
      </c>
      <c r="H103" s="2">
        <v>0</v>
      </c>
    </row>
    <row r="104" spans="2:8">
      <c r="B104" t="s">
        <v>180</v>
      </c>
      <c r="C104" t="s">
        <v>561</v>
      </c>
      <c r="D104" s="8" t="s">
        <v>477</v>
      </c>
      <c r="E104" s="1">
        <v>0</v>
      </c>
      <c r="G104" s="2">
        <f t="shared" si="1"/>
        <v>0</v>
      </c>
      <c r="H104" s="2">
        <v>0</v>
      </c>
    </row>
    <row r="105" spans="2:8">
      <c r="B105" t="s">
        <v>180</v>
      </c>
      <c r="C105" t="s">
        <v>561</v>
      </c>
      <c r="D105" s="9" t="s">
        <v>478</v>
      </c>
      <c r="E105" s="1">
        <v>0</v>
      </c>
      <c r="G105" s="2">
        <f t="shared" si="1"/>
        <v>0</v>
      </c>
      <c r="H105" s="2">
        <v>0</v>
      </c>
    </row>
    <row r="106" spans="2:8">
      <c r="B106" t="s">
        <v>180</v>
      </c>
      <c r="C106" t="s">
        <v>561</v>
      </c>
      <c r="D106" s="10" t="s">
        <v>479</v>
      </c>
      <c r="E106" s="1">
        <v>0</v>
      </c>
      <c r="G106" s="2">
        <f t="shared" si="1"/>
        <v>0</v>
      </c>
      <c r="H106" s="2">
        <v>0</v>
      </c>
    </row>
    <row r="107" spans="2:8">
      <c r="B107" t="s">
        <v>180</v>
      </c>
      <c r="C107" t="s">
        <v>561</v>
      </c>
      <c r="D107" s="11" t="s">
        <v>480</v>
      </c>
      <c r="E107" s="1">
        <v>0</v>
      </c>
      <c r="G107" s="2">
        <f t="shared" si="1"/>
        <v>0</v>
      </c>
      <c r="H107" s="2">
        <v>0</v>
      </c>
    </row>
    <row r="108" spans="2:8">
      <c r="B108" t="s">
        <v>180</v>
      </c>
      <c r="C108" t="s">
        <v>561</v>
      </c>
      <c r="D108" s="13" t="s">
        <v>481</v>
      </c>
      <c r="E108" s="1">
        <v>0</v>
      </c>
      <c r="G108" s="2">
        <f t="shared" si="1"/>
        <v>0</v>
      </c>
      <c r="H108" s="2">
        <v>0</v>
      </c>
    </row>
    <row r="109" spans="2:8">
      <c r="B109" t="s">
        <v>180</v>
      </c>
      <c r="C109" t="s">
        <v>561</v>
      </c>
      <c r="D109" s="12" t="s">
        <v>1033</v>
      </c>
      <c r="E109" s="1">
        <v>0</v>
      </c>
      <c r="G109" s="2">
        <f t="shared" si="1"/>
        <v>0</v>
      </c>
      <c r="H109" s="2">
        <v>0</v>
      </c>
    </row>
    <row r="110" spans="2:8">
      <c r="B110" t="s">
        <v>279</v>
      </c>
      <c r="C110" t="s">
        <v>562</v>
      </c>
      <c r="D110" s="5" t="s">
        <v>474</v>
      </c>
      <c r="E110" s="1">
        <v>0</v>
      </c>
      <c r="G110" s="2">
        <f t="shared" si="1"/>
        <v>0</v>
      </c>
      <c r="H110" s="2">
        <v>0</v>
      </c>
    </row>
    <row r="111" spans="2:8">
      <c r="B111" t="s">
        <v>279</v>
      </c>
      <c r="C111" t="s">
        <v>562</v>
      </c>
      <c r="D111" s="6" t="s">
        <v>475</v>
      </c>
      <c r="E111" s="1">
        <v>0</v>
      </c>
      <c r="G111" s="2">
        <f t="shared" si="1"/>
        <v>0</v>
      </c>
      <c r="H111" s="2">
        <v>0</v>
      </c>
    </row>
    <row r="112" spans="2:8">
      <c r="B112" t="s">
        <v>279</v>
      </c>
      <c r="C112" t="s">
        <v>562</v>
      </c>
      <c r="D112" s="7" t="s">
        <v>476</v>
      </c>
      <c r="E112" s="1">
        <v>0</v>
      </c>
      <c r="G112" s="2">
        <f t="shared" si="1"/>
        <v>0</v>
      </c>
      <c r="H112" s="2">
        <v>0</v>
      </c>
    </row>
    <row r="113" spans="2:8">
      <c r="B113" t="s">
        <v>279</v>
      </c>
      <c r="C113" t="s">
        <v>562</v>
      </c>
      <c r="D113" s="8" t="s">
        <v>477</v>
      </c>
      <c r="E113" s="1">
        <v>0</v>
      </c>
      <c r="G113" s="2">
        <f t="shared" si="1"/>
        <v>0</v>
      </c>
      <c r="H113" s="2">
        <v>0</v>
      </c>
    </row>
    <row r="114" spans="2:8">
      <c r="B114" t="s">
        <v>279</v>
      </c>
      <c r="C114" t="s">
        <v>562</v>
      </c>
      <c r="D114" s="9" t="s">
        <v>478</v>
      </c>
      <c r="E114" s="1">
        <v>0</v>
      </c>
      <c r="G114" s="2">
        <f t="shared" si="1"/>
        <v>0</v>
      </c>
      <c r="H114" s="2">
        <v>0</v>
      </c>
    </row>
    <row r="115" spans="2:8">
      <c r="B115" t="s">
        <v>279</v>
      </c>
      <c r="C115" t="s">
        <v>562</v>
      </c>
      <c r="D115" s="10" t="s">
        <v>479</v>
      </c>
      <c r="E115" s="1">
        <v>0</v>
      </c>
      <c r="G115" s="2">
        <f t="shared" si="1"/>
        <v>0</v>
      </c>
      <c r="H115" s="2">
        <v>0</v>
      </c>
    </row>
    <row r="116" spans="2:8">
      <c r="B116" t="s">
        <v>279</v>
      </c>
      <c r="C116" t="s">
        <v>562</v>
      </c>
      <c r="D116" s="11" t="s">
        <v>480</v>
      </c>
      <c r="E116" s="1">
        <v>0</v>
      </c>
      <c r="G116" s="2">
        <f t="shared" si="1"/>
        <v>0</v>
      </c>
      <c r="H116" s="2">
        <v>0</v>
      </c>
    </row>
    <row r="117" spans="2:8">
      <c r="B117" t="s">
        <v>279</v>
      </c>
      <c r="C117" t="s">
        <v>562</v>
      </c>
      <c r="D117" s="13" t="s">
        <v>481</v>
      </c>
      <c r="E117" s="1">
        <v>0</v>
      </c>
      <c r="G117" s="2">
        <f t="shared" si="1"/>
        <v>0</v>
      </c>
      <c r="H117" s="2">
        <v>0</v>
      </c>
    </row>
    <row r="118" spans="2:8">
      <c r="B118" t="s">
        <v>279</v>
      </c>
      <c r="C118" t="s">
        <v>562</v>
      </c>
      <c r="D118" s="12" t="s">
        <v>1033</v>
      </c>
      <c r="E118" s="1">
        <v>0</v>
      </c>
      <c r="G118" s="2">
        <f t="shared" si="1"/>
        <v>0</v>
      </c>
      <c r="H118" s="2">
        <v>0</v>
      </c>
    </row>
    <row r="119" spans="2:8">
      <c r="B119" t="s">
        <v>181</v>
      </c>
      <c r="C119" t="s">
        <v>563</v>
      </c>
      <c r="D119" s="5" t="s">
        <v>474</v>
      </c>
      <c r="E119" s="1">
        <v>0</v>
      </c>
      <c r="G119" s="2">
        <f t="shared" si="1"/>
        <v>0</v>
      </c>
      <c r="H119" s="2">
        <v>0</v>
      </c>
    </row>
    <row r="120" spans="2:8">
      <c r="B120" t="s">
        <v>181</v>
      </c>
      <c r="C120" t="s">
        <v>563</v>
      </c>
      <c r="D120" s="6" t="s">
        <v>475</v>
      </c>
      <c r="E120" s="1">
        <v>0</v>
      </c>
      <c r="G120" s="2">
        <f t="shared" si="1"/>
        <v>0</v>
      </c>
      <c r="H120" s="2">
        <v>0</v>
      </c>
    </row>
    <row r="121" spans="2:8">
      <c r="B121" t="s">
        <v>181</v>
      </c>
      <c r="C121" t="s">
        <v>563</v>
      </c>
      <c r="D121" s="7" t="s">
        <v>476</v>
      </c>
      <c r="E121" s="1">
        <v>0</v>
      </c>
      <c r="G121" s="2">
        <f t="shared" si="1"/>
        <v>0</v>
      </c>
      <c r="H121" s="2">
        <v>0</v>
      </c>
    </row>
    <row r="122" spans="2:8">
      <c r="B122" t="s">
        <v>181</v>
      </c>
      <c r="C122" t="s">
        <v>563</v>
      </c>
      <c r="D122" s="8" t="s">
        <v>477</v>
      </c>
      <c r="E122" s="1">
        <v>0</v>
      </c>
      <c r="G122" s="2">
        <f t="shared" si="1"/>
        <v>0</v>
      </c>
      <c r="H122" s="2">
        <v>0</v>
      </c>
    </row>
    <row r="123" spans="2:8">
      <c r="B123" t="s">
        <v>181</v>
      </c>
      <c r="C123" t="s">
        <v>563</v>
      </c>
      <c r="D123" s="9" t="s">
        <v>478</v>
      </c>
      <c r="E123" s="1">
        <v>0</v>
      </c>
      <c r="G123" s="2">
        <f t="shared" si="1"/>
        <v>0</v>
      </c>
      <c r="H123" s="2">
        <v>0</v>
      </c>
    </row>
    <row r="124" spans="2:8">
      <c r="B124" t="s">
        <v>181</v>
      </c>
      <c r="C124" t="s">
        <v>563</v>
      </c>
      <c r="D124" s="10" t="s">
        <v>479</v>
      </c>
      <c r="E124" s="1">
        <v>0</v>
      </c>
      <c r="G124" s="2">
        <f t="shared" si="1"/>
        <v>0</v>
      </c>
      <c r="H124" s="2">
        <v>0</v>
      </c>
    </row>
    <row r="125" spans="2:8">
      <c r="B125" t="s">
        <v>181</v>
      </c>
      <c r="C125" t="s">
        <v>563</v>
      </c>
      <c r="D125" s="11" t="s">
        <v>480</v>
      </c>
      <c r="E125" s="1">
        <v>0</v>
      </c>
      <c r="G125" s="2">
        <f t="shared" si="1"/>
        <v>0</v>
      </c>
      <c r="H125" s="2">
        <v>0</v>
      </c>
    </row>
    <row r="126" spans="2:8">
      <c r="B126" t="s">
        <v>181</v>
      </c>
      <c r="C126" t="s">
        <v>563</v>
      </c>
      <c r="D126" s="13" t="s">
        <v>481</v>
      </c>
      <c r="E126" s="1">
        <v>0</v>
      </c>
      <c r="G126" s="2">
        <f t="shared" si="1"/>
        <v>0</v>
      </c>
      <c r="H126" s="2">
        <v>0</v>
      </c>
    </row>
    <row r="127" spans="2:8">
      <c r="B127" t="s">
        <v>181</v>
      </c>
      <c r="C127" t="s">
        <v>563</v>
      </c>
      <c r="D127" s="12" t="s">
        <v>1033</v>
      </c>
      <c r="E127" s="1">
        <v>0</v>
      </c>
      <c r="G127" s="2">
        <f t="shared" si="1"/>
        <v>0</v>
      </c>
      <c r="H127" s="2">
        <v>0</v>
      </c>
    </row>
    <row r="128" spans="2:8">
      <c r="B128" t="s">
        <v>310</v>
      </c>
      <c r="C128" t="s">
        <v>564</v>
      </c>
      <c r="D128" s="5" t="s">
        <v>474</v>
      </c>
      <c r="E128" s="1">
        <v>0</v>
      </c>
      <c r="G128" s="2">
        <f t="shared" si="1"/>
        <v>0</v>
      </c>
      <c r="H128" s="2">
        <v>0</v>
      </c>
    </row>
    <row r="129" spans="2:8">
      <c r="B129" t="s">
        <v>310</v>
      </c>
      <c r="C129" t="s">
        <v>564</v>
      </c>
      <c r="D129" s="6" t="s">
        <v>475</v>
      </c>
      <c r="E129" s="1">
        <v>0</v>
      </c>
      <c r="G129" s="2">
        <f t="shared" si="1"/>
        <v>0</v>
      </c>
      <c r="H129" s="2">
        <v>0</v>
      </c>
    </row>
    <row r="130" spans="2:8">
      <c r="B130" t="s">
        <v>310</v>
      </c>
      <c r="C130" t="s">
        <v>564</v>
      </c>
      <c r="D130" s="7" t="s">
        <v>476</v>
      </c>
      <c r="E130" s="1">
        <v>0</v>
      </c>
      <c r="G130" s="2">
        <f t="shared" ref="G130:G193" si="2">E130*F130</f>
        <v>0</v>
      </c>
      <c r="H130" s="2">
        <v>0</v>
      </c>
    </row>
    <row r="131" spans="2:8">
      <c r="B131" t="s">
        <v>310</v>
      </c>
      <c r="C131" t="s">
        <v>564</v>
      </c>
      <c r="D131" s="8" t="s">
        <v>477</v>
      </c>
      <c r="E131" s="1">
        <v>0</v>
      </c>
      <c r="G131" s="2">
        <f t="shared" si="2"/>
        <v>0</v>
      </c>
      <c r="H131" s="2">
        <v>0</v>
      </c>
    </row>
    <row r="132" spans="2:8">
      <c r="B132" t="s">
        <v>310</v>
      </c>
      <c r="C132" t="s">
        <v>564</v>
      </c>
      <c r="D132" s="9" t="s">
        <v>478</v>
      </c>
      <c r="E132" s="1">
        <v>0</v>
      </c>
      <c r="G132" s="2">
        <f t="shared" si="2"/>
        <v>0</v>
      </c>
      <c r="H132" s="2">
        <v>0</v>
      </c>
    </row>
    <row r="133" spans="2:8">
      <c r="B133" t="s">
        <v>310</v>
      </c>
      <c r="C133" t="s">
        <v>564</v>
      </c>
      <c r="D133" s="10" t="s">
        <v>479</v>
      </c>
      <c r="E133" s="1">
        <v>0</v>
      </c>
      <c r="G133" s="2">
        <f t="shared" si="2"/>
        <v>0</v>
      </c>
      <c r="H133" s="2">
        <v>0</v>
      </c>
    </row>
    <row r="134" spans="2:8">
      <c r="B134" t="s">
        <v>310</v>
      </c>
      <c r="C134" t="s">
        <v>564</v>
      </c>
      <c r="D134" s="11" t="s">
        <v>480</v>
      </c>
      <c r="E134" s="1">
        <v>0</v>
      </c>
      <c r="G134" s="2">
        <f t="shared" si="2"/>
        <v>0</v>
      </c>
      <c r="H134" s="2">
        <v>0</v>
      </c>
    </row>
    <row r="135" spans="2:8">
      <c r="B135" t="s">
        <v>310</v>
      </c>
      <c r="C135" t="s">
        <v>564</v>
      </c>
      <c r="D135" s="13" t="s">
        <v>481</v>
      </c>
      <c r="E135" s="1">
        <v>0</v>
      </c>
      <c r="G135" s="2">
        <f t="shared" si="2"/>
        <v>0</v>
      </c>
      <c r="H135" s="2">
        <v>0</v>
      </c>
    </row>
    <row r="136" spans="2:8">
      <c r="B136" t="s">
        <v>310</v>
      </c>
      <c r="C136" t="s">
        <v>564</v>
      </c>
      <c r="D136" s="12" t="s">
        <v>1033</v>
      </c>
      <c r="E136" s="1">
        <v>0</v>
      </c>
      <c r="G136" s="2">
        <f t="shared" si="2"/>
        <v>0</v>
      </c>
      <c r="H136" s="2">
        <v>0</v>
      </c>
    </row>
    <row r="137" spans="2:8">
      <c r="B137" t="s">
        <v>329</v>
      </c>
      <c r="C137" t="s">
        <v>565</v>
      </c>
      <c r="D137" s="5" t="s">
        <v>474</v>
      </c>
      <c r="E137" s="1">
        <v>0</v>
      </c>
      <c r="G137" s="2">
        <f t="shared" si="2"/>
        <v>0</v>
      </c>
      <c r="H137" s="2">
        <v>0</v>
      </c>
    </row>
    <row r="138" spans="2:8">
      <c r="B138" t="s">
        <v>329</v>
      </c>
      <c r="C138" t="s">
        <v>565</v>
      </c>
      <c r="D138" s="6" t="s">
        <v>475</v>
      </c>
      <c r="E138" s="1">
        <v>0</v>
      </c>
      <c r="G138" s="2">
        <f t="shared" si="2"/>
        <v>0</v>
      </c>
      <c r="H138" s="2">
        <v>0</v>
      </c>
    </row>
    <row r="139" spans="2:8">
      <c r="B139" t="s">
        <v>329</v>
      </c>
      <c r="C139" t="s">
        <v>565</v>
      </c>
      <c r="D139" s="7" t="s">
        <v>476</v>
      </c>
      <c r="E139" s="1">
        <v>0</v>
      </c>
      <c r="G139" s="2">
        <f t="shared" si="2"/>
        <v>0</v>
      </c>
      <c r="H139" s="2">
        <v>0</v>
      </c>
    </row>
    <row r="140" spans="2:8">
      <c r="B140" t="s">
        <v>329</v>
      </c>
      <c r="C140" t="s">
        <v>565</v>
      </c>
      <c r="D140" s="8" t="s">
        <v>477</v>
      </c>
      <c r="E140" s="1">
        <v>0</v>
      </c>
      <c r="G140" s="2">
        <f t="shared" si="2"/>
        <v>0</v>
      </c>
      <c r="H140" s="2">
        <v>0</v>
      </c>
    </row>
    <row r="141" spans="2:8">
      <c r="B141" t="s">
        <v>329</v>
      </c>
      <c r="C141" t="s">
        <v>565</v>
      </c>
      <c r="D141" s="9" t="s">
        <v>478</v>
      </c>
      <c r="E141" s="1">
        <v>0</v>
      </c>
      <c r="G141" s="2">
        <f t="shared" si="2"/>
        <v>0</v>
      </c>
      <c r="H141" s="2">
        <v>0</v>
      </c>
    </row>
    <row r="142" spans="2:8">
      <c r="B142" t="s">
        <v>329</v>
      </c>
      <c r="C142" t="s">
        <v>565</v>
      </c>
      <c r="D142" s="10" t="s">
        <v>479</v>
      </c>
      <c r="E142" s="1">
        <v>0</v>
      </c>
      <c r="G142" s="2">
        <f t="shared" si="2"/>
        <v>0</v>
      </c>
      <c r="H142" s="2">
        <v>0</v>
      </c>
    </row>
    <row r="143" spans="2:8">
      <c r="B143" t="s">
        <v>329</v>
      </c>
      <c r="C143" t="s">
        <v>565</v>
      </c>
      <c r="D143" s="11" t="s">
        <v>480</v>
      </c>
      <c r="E143" s="1">
        <v>0</v>
      </c>
      <c r="G143" s="2">
        <f t="shared" si="2"/>
        <v>0</v>
      </c>
      <c r="H143" s="2">
        <v>0</v>
      </c>
    </row>
    <row r="144" spans="2:8">
      <c r="B144" t="s">
        <v>329</v>
      </c>
      <c r="C144" t="s">
        <v>565</v>
      </c>
      <c r="D144" s="13" t="s">
        <v>481</v>
      </c>
      <c r="E144" s="1">
        <v>0</v>
      </c>
      <c r="G144" s="2">
        <f t="shared" si="2"/>
        <v>0</v>
      </c>
      <c r="H144" s="2">
        <v>0</v>
      </c>
    </row>
    <row r="145" spans="2:8">
      <c r="B145" t="s">
        <v>329</v>
      </c>
      <c r="C145" t="s">
        <v>565</v>
      </c>
      <c r="D145" s="12" t="s">
        <v>1033</v>
      </c>
      <c r="E145" s="1">
        <v>0</v>
      </c>
      <c r="G145" s="2">
        <f t="shared" si="2"/>
        <v>0</v>
      </c>
      <c r="H145" s="2">
        <v>0</v>
      </c>
    </row>
    <row r="146" spans="2:8">
      <c r="B146" t="s">
        <v>330</v>
      </c>
      <c r="C146" t="s">
        <v>566</v>
      </c>
      <c r="D146" s="5" t="s">
        <v>474</v>
      </c>
      <c r="E146" s="1">
        <v>0</v>
      </c>
      <c r="G146" s="2">
        <f t="shared" si="2"/>
        <v>0</v>
      </c>
      <c r="H146" s="2">
        <v>0</v>
      </c>
    </row>
    <row r="147" spans="2:8">
      <c r="B147" t="s">
        <v>330</v>
      </c>
      <c r="C147" t="s">
        <v>566</v>
      </c>
      <c r="D147" s="6" t="s">
        <v>475</v>
      </c>
      <c r="E147" s="1">
        <v>0</v>
      </c>
      <c r="G147" s="2">
        <f t="shared" si="2"/>
        <v>0</v>
      </c>
      <c r="H147" s="2">
        <v>0</v>
      </c>
    </row>
    <row r="148" spans="2:8">
      <c r="B148" t="s">
        <v>330</v>
      </c>
      <c r="C148" t="s">
        <v>566</v>
      </c>
      <c r="D148" s="7" t="s">
        <v>476</v>
      </c>
      <c r="E148" s="1">
        <v>0</v>
      </c>
      <c r="G148" s="2">
        <f t="shared" si="2"/>
        <v>0</v>
      </c>
      <c r="H148" s="2">
        <v>0</v>
      </c>
    </row>
    <row r="149" spans="2:8">
      <c r="B149" t="s">
        <v>330</v>
      </c>
      <c r="C149" t="s">
        <v>566</v>
      </c>
      <c r="D149" s="8" t="s">
        <v>477</v>
      </c>
      <c r="E149" s="1">
        <v>0</v>
      </c>
      <c r="G149" s="2">
        <f t="shared" si="2"/>
        <v>0</v>
      </c>
      <c r="H149" s="2">
        <v>0</v>
      </c>
    </row>
    <row r="150" spans="2:8">
      <c r="B150" t="s">
        <v>330</v>
      </c>
      <c r="C150" t="s">
        <v>566</v>
      </c>
      <c r="D150" s="9" t="s">
        <v>478</v>
      </c>
      <c r="E150" s="1">
        <v>0</v>
      </c>
      <c r="G150" s="2">
        <f t="shared" si="2"/>
        <v>0</v>
      </c>
      <c r="H150" s="2">
        <v>0</v>
      </c>
    </row>
    <row r="151" spans="2:8">
      <c r="B151" t="s">
        <v>330</v>
      </c>
      <c r="C151" t="s">
        <v>566</v>
      </c>
      <c r="D151" s="10" t="s">
        <v>479</v>
      </c>
      <c r="E151" s="1">
        <v>0</v>
      </c>
      <c r="G151" s="2">
        <f t="shared" si="2"/>
        <v>0</v>
      </c>
      <c r="H151" s="2">
        <v>0</v>
      </c>
    </row>
    <row r="152" spans="2:8">
      <c r="B152" t="s">
        <v>330</v>
      </c>
      <c r="C152" t="s">
        <v>566</v>
      </c>
      <c r="D152" s="11" t="s">
        <v>480</v>
      </c>
      <c r="E152" s="1">
        <v>0</v>
      </c>
      <c r="G152" s="2">
        <f t="shared" si="2"/>
        <v>0</v>
      </c>
      <c r="H152" s="2">
        <v>0</v>
      </c>
    </row>
    <row r="153" spans="2:8">
      <c r="B153" t="s">
        <v>330</v>
      </c>
      <c r="C153" t="s">
        <v>566</v>
      </c>
      <c r="D153" s="13" t="s">
        <v>481</v>
      </c>
      <c r="E153" s="1">
        <v>0</v>
      </c>
      <c r="G153" s="2">
        <f t="shared" si="2"/>
        <v>0</v>
      </c>
      <c r="H153" s="2">
        <v>0</v>
      </c>
    </row>
    <row r="154" spans="2:8">
      <c r="B154" t="s">
        <v>330</v>
      </c>
      <c r="C154" t="s">
        <v>566</v>
      </c>
      <c r="D154" s="12" t="s">
        <v>1033</v>
      </c>
      <c r="E154" s="1">
        <v>0</v>
      </c>
      <c r="G154" s="2">
        <f t="shared" si="2"/>
        <v>0</v>
      </c>
      <c r="H154" s="2">
        <v>0</v>
      </c>
    </row>
    <row r="155" spans="2:8">
      <c r="B155" t="s">
        <v>285</v>
      </c>
      <c r="C155" t="s">
        <v>567</v>
      </c>
      <c r="D155" s="5" t="s">
        <v>474</v>
      </c>
      <c r="E155" s="1">
        <v>0</v>
      </c>
      <c r="G155" s="2">
        <f t="shared" si="2"/>
        <v>0</v>
      </c>
      <c r="H155" s="2">
        <v>0</v>
      </c>
    </row>
    <row r="156" spans="2:8">
      <c r="B156" t="s">
        <v>285</v>
      </c>
      <c r="C156" t="s">
        <v>567</v>
      </c>
      <c r="D156" s="6" t="s">
        <v>475</v>
      </c>
      <c r="E156" s="1">
        <v>0</v>
      </c>
      <c r="G156" s="2">
        <f t="shared" si="2"/>
        <v>0</v>
      </c>
      <c r="H156" s="2">
        <v>0</v>
      </c>
    </row>
    <row r="157" spans="2:8">
      <c r="B157" t="s">
        <v>285</v>
      </c>
      <c r="C157" t="s">
        <v>567</v>
      </c>
      <c r="D157" s="7" t="s">
        <v>476</v>
      </c>
      <c r="E157" s="1">
        <v>0</v>
      </c>
      <c r="G157" s="2">
        <f t="shared" si="2"/>
        <v>0</v>
      </c>
      <c r="H157" s="2">
        <v>0</v>
      </c>
    </row>
    <row r="158" spans="2:8">
      <c r="B158" t="s">
        <v>285</v>
      </c>
      <c r="C158" t="s">
        <v>567</v>
      </c>
      <c r="D158" s="8" t="s">
        <v>477</v>
      </c>
      <c r="E158" s="1">
        <v>0</v>
      </c>
      <c r="G158" s="2">
        <f t="shared" si="2"/>
        <v>0</v>
      </c>
      <c r="H158" s="2">
        <v>0</v>
      </c>
    </row>
    <row r="159" spans="2:8">
      <c r="B159" t="s">
        <v>285</v>
      </c>
      <c r="C159" t="s">
        <v>567</v>
      </c>
      <c r="D159" s="9" t="s">
        <v>478</v>
      </c>
      <c r="E159" s="1">
        <v>0</v>
      </c>
      <c r="G159" s="2">
        <f t="shared" si="2"/>
        <v>0</v>
      </c>
      <c r="H159" s="2">
        <v>0</v>
      </c>
    </row>
    <row r="160" spans="2:8">
      <c r="B160" t="s">
        <v>285</v>
      </c>
      <c r="C160" t="s">
        <v>567</v>
      </c>
      <c r="D160" s="10" t="s">
        <v>479</v>
      </c>
      <c r="E160" s="1">
        <v>0</v>
      </c>
      <c r="G160" s="2">
        <f t="shared" si="2"/>
        <v>0</v>
      </c>
      <c r="H160" s="2">
        <v>0</v>
      </c>
    </row>
    <row r="161" spans="2:8">
      <c r="B161" t="s">
        <v>285</v>
      </c>
      <c r="C161" t="s">
        <v>567</v>
      </c>
      <c r="D161" s="11" t="s">
        <v>480</v>
      </c>
      <c r="E161" s="1">
        <v>0</v>
      </c>
      <c r="G161" s="2">
        <f t="shared" si="2"/>
        <v>0</v>
      </c>
      <c r="H161" s="2">
        <v>0</v>
      </c>
    </row>
    <row r="162" spans="2:8">
      <c r="B162" t="s">
        <v>285</v>
      </c>
      <c r="C162" t="s">
        <v>567</v>
      </c>
      <c r="D162" s="13" t="s">
        <v>481</v>
      </c>
      <c r="E162" s="1">
        <v>0</v>
      </c>
      <c r="G162" s="2">
        <f t="shared" si="2"/>
        <v>0</v>
      </c>
      <c r="H162" s="2">
        <v>0</v>
      </c>
    </row>
    <row r="163" spans="2:8">
      <c r="B163" t="s">
        <v>285</v>
      </c>
      <c r="C163" t="s">
        <v>567</v>
      </c>
      <c r="D163" s="12" t="s">
        <v>1033</v>
      </c>
      <c r="E163" s="1">
        <v>0</v>
      </c>
      <c r="G163" s="2">
        <f t="shared" si="2"/>
        <v>0</v>
      </c>
      <c r="H163" s="2">
        <v>0</v>
      </c>
    </row>
    <row r="164" spans="2:8">
      <c r="B164" t="s">
        <v>286</v>
      </c>
      <c r="C164" t="s">
        <v>568</v>
      </c>
      <c r="D164" s="5" t="s">
        <v>474</v>
      </c>
      <c r="E164" s="1">
        <v>0</v>
      </c>
      <c r="G164" s="2">
        <f t="shared" si="2"/>
        <v>0</v>
      </c>
      <c r="H164" s="2">
        <v>0</v>
      </c>
    </row>
    <row r="165" spans="2:8">
      <c r="B165" t="s">
        <v>286</v>
      </c>
      <c r="C165" t="s">
        <v>568</v>
      </c>
      <c r="D165" s="6" t="s">
        <v>475</v>
      </c>
      <c r="E165" s="1">
        <v>0</v>
      </c>
      <c r="G165" s="2">
        <f t="shared" si="2"/>
        <v>0</v>
      </c>
      <c r="H165" s="2">
        <v>0</v>
      </c>
    </row>
    <row r="166" spans="2:8">
      <c r="B166" t="s">
        <v>286</v>
      </c>
      <c r="C166" t="s">
        <v>568</v>
      </c>
      <c r="D166" s="7" t="s">
        <v>476</v>
      </c>
      <c r="E166" s="1">
        <v>0</v>
      </c>
      <c r="G166" s="2">
        <f t="shared" si="2"/>
        <v>0</v>
      </c>
      <c r="H166" s="2">
        <v>0</v>
      </c>
    </row>
    <row r="167" spans="2:8">
      <c r="B167" t="s">
        <v>286</v>
      </c>
      <c r="C167" t="s">
        <v>568</v>
      </c>
      <c r="D167" s="8" t="s">
        <v>477</v>
      </c>
      <c r="E167" s="1">
        <v>0</v>
      </c>
      <c r="G167" s="2">
        <f t="shared" si="2"/>
        <v>0</v>
      </c>
      <c r="H167" s="2">
        <v>0</v>
      </c>
    </row>
    <row r="168" spans="2:8">
      <c r="B168" t="s">
        <v>286</v>
      </c>
      <c r="C168" t="s">
        <v>568</v>
      </c>
      <c r="D168" s="9" t="s">
        <v>478</v>
      </c>
      <c r="E168" s="1">
        <v>0</v>
      </c>
      <c r="G168" s="2">
        <f t="shared" si="2"/>
        <v>0</v>
      </c>
      <c r="H168" s="2">
        <v>0</v>
      </c>
    </row>
    <row r="169" spans="2:8">
      <c r="B169" t="s">
        <v>286</v>
      </c>
      <c r="C169" t="s">
        <v>568</v>
      </c>
      <c r="D169" s="10" t="s">
        <v>479</v>
      </c>
      <c r="E169" s="1">
        <v>0</v>
      </c>
      <c r="G169" s="2">
        <f t="shared" si="2"/>
        <v>0</v>
      </c>
      <c r="H169" s="2">
        <v>0</v>
      </c>
    </row>
    <row r="170" spans="2:8">
      <c r="B170" t="s">
        <v>286</v>
      </c>
      <c r="C170" t="s">
        <v>568</v>
      </c>
      <c r="D170" s="11" t="s">
        <v>480</v>
      </c>
      <c r="E170" s="1">
        <v>0</v>
      </c>
      <c r="G170" s="2">
        <f t="shared" si="2"/>
        <v>0</v>
      </c>
      <c r="H170" s="2">
        <v>0</v>
      </c>
    </row>
    <row r="171" spans="2:8">
      <c r="B171" t="s">
        <v>286</v>
      </c>
      <c r="C171" t="s">
        <v>568</v>
      </c>
      <c r="D171" s="13" t="s">
        <v>481</v>
      </c>
      <c r="E171" s="1">
        <v>0</v>
      </c>
      <c r="G171" s="2">
        <f t="shared" si="2"/>
        <v>0</v>
      </c>
      <c r="H171" s="2">
        <v>0</v>
      </c>
    </row>
    <row r="172" spans="2:8">
      <c r="B172" t="s">
        <v>286</v>
      </c>
      <c r="C172" t="s">
        <v>568</v>
      </c>
      <c r="D172" s="12" t="s">
        <v>1033</v>
      </c>
      <c r="E172" s="1">
        <v>0</v>
      </c>
      <c r="G172" s="2">
        <f t="shared" si="2"/>
        <v>0</v>
      </c>
      <c r="H172" s="2">
        <v>0</v>
      </c>
    </row>
    <row r="173" spans="2:8">
      <c r="B173" t="s">
        <v>212</v>
      </c>
      <c r="C173" t="s">
        <v>569</v>
      </c>
      <c r="D173" s="5" t="s">
        <v>474</v>
      </c>
      <c r="E173" s="1">
        <v>0</v>
      </c>
      <c r="G173" s="2">
        <f t="shared" si="2"/>
        <v>0</v>
      </c>
      <c r="H173" s="2">
        <v>0</v>
      </c>
    </row>
    <row r="174" spans="2:8">
      <c r="B174" t="s">
        <v>212</v>
      </c>
      <c r="C174" t="s">
        <v>569</v>
      </c>
      <c r="D174" s="6" t="s">
        <v>475</v>
      </c>
      <c r="E174" s="1">
        <v>0</v>
      </c>
      <c r="G174" s="2">
        <f t="shared" si="2"/>
        <v>0</v>
      </c>
      <c r="H174" s="2">
        <v>0</v>
      </c>
    </row>
    <row r="175" spans="2:8">
      <c r="B175" t="s">
        <v>212</v>
      </c>
      <c r="C175" t="s">
        <v>569</v>
      </c>
      <c r="D175" s="7" t="s">
        <v>476</v>
      </c>
      <c r="E175" s="1">
        <v>0</v>
      </c>
      <c r="G175" s="2">
        <f t="shared" si="2"/>
        <v>0</v>
      </c>
      <c r="H175" s="2">
        <v>0</v>
      </c>
    </row>
    <row r="176" spans="2:8">
      <c r="B176" t="s">
        <v>212</v>
      </c>
      <c r="C176" t="s">
        <v>569</v>
      </c>
      <c r="D176" s="8" t="s">
        <v>477</v>
      </c>
      <c r="E176" s="1">
        <v>0</v>
      </c>
      <c r="G176" s="2">
        <f t="shared" si="2"/>
        <v>0</v>
      </c>
      <c r="H176" s="2">
        <v>0</v>
      </c>
    </row>
    <row r="177" spans="2:8">
      <c r="B177" t="s">
        <v>212</v>
      </c>
      <c r="C177" t="s">
        <v>569</v>
      </c>
      <c r="D177" s="9" t="s">
        <v>478</v>
      </c>
      <c r="E177" s="1">
        <v>0</v>
      </c>
      <c r="G177" s="2">
        <f t="shared" si="2"/>
        <v>0</v>
      </c>
      <c r="H177" s="2">
        <v>0</v>
      </c>
    </row>
    <row r="178" spans="2:8">
      <c r="B178" t="s">
        <v>212</v>
      </c>
      <c r="C178" t="s">
        <v>569</v>
      </c>
      <c r="D178" s="10" t="s">
        <v>479</v>
      </c>
      <c r="E178" s="1">
        <v>0</v>
      </c>
      <c r="G178" s="2">
        <f t="shared" si="2"/>
        <v>0</v>
      </c>
      <c r="H178" s="2">
        <v>0</v>
      </c>
    </row>
    <row r="179" spans="2:8">
      <c r="B179" t="s">
        <v>212</v>
      </c>
      <c r="C179" t="s">
        <v>569</v>
      </c>
      <c r="D179" s="11" t="s">
        <v>480</v>
      </c>
      <c r="E179" s="1">
        <v>0</v>
      </c>
      <c r="G179" s="2">
        <f t="shared" si="2"/>
        <v>0</v>
      </c>
      <c r="H179" s="2">
        <v>0</v>
      </c>
    </row>
    <row r="180" spans="2:8">
      <c r="B180" t="s">
        <v>212</v>
      </c>
      <c r="C180" t="s">
        <v>569</v>
      </c>
      <c r="D180" s="13" t="s">
        <v>481</v>
      </c>
      <c r="E180" s="1">
        <v>0</v>
      </c>
      <c r="G180" s="2">
        <f t="shared" si="2"/>
        <v>0</v>
      </c>
      <c r="H180" s="2">
        <v>0</v>
      </c>
    </row>
    <row r="181" spans="2:8">
      <c r="B181" t="s">
        <v>212</v>
      </c>
      <c r="C181" t="s">
        <v>569</v>
      </c>
      <c r="D181" s="12" t="s">
        <v>1033</v>
      </c>
      <c r="E181" s="1">
        <v>0</v>
      </c>
      <c r="G181" s="2">
        <f t="shared" si="2"/>
        <v>0</v>
      </c>
      <c r="H181" s="2">
        <v>0</v>
      </c>
    </row>
    <row r="182" spans="2:8">
      <c r="B182" t="s">
        <v>213</v>
      </c>
      <c r="C182" t="s">
        <v>570</v>
      </c>
      <c r="D182" s="5" t="s">
        <v>474</v>
      </c>
      <c r="E182" s="1">
        <v>0</v>
      </c>
      <c r="G182" s="2">
        <f t="shared" si="2"/>
        <v>0</v>
      </c>
      <c r="H182" s="2">
        <v>0</v>
      </c>
    </row>
    <row r="183" spans="2:8">
      <c r="B183" t="s">
        <v>213</v>
      </c>
      <c r="C183" t="s">
        <v>570</v>
      </c>
      <c r="D183" s="6" t="s">
        <v>475</v>
      </c>
      <c r="E183" s="1">
        <v>0</v>
      </c>
      <c r="G183" s="2">
        <f t="shared" si="2"/>
        <v>0</v>
      </c>
      <c r="H183" s="2">
        <v>0</v>
      </c>
    </row>
    <row r="184" spans="2:8">
      <c r="B184" t="s">
        <v>213</v>
      </c>
      <c r="C184" t="s">
        <v>570</v>
      </c>
      <c r="D184" s="7" t="s">
        <v>476</v>
      </c>
      <c r="E184" s="1">
        <v>0</v>
      </c>
      <c r="G184" s="2">
        <f t="shared" si="2"/>
        <v>0</v>
      </c>
      <c r="H184" s="2">
        <v>0</v>
      </c>
    </row>
    <row r="185" spans="2:8">
      <c r="B185" t="s">
        <v>213</v>
      </c>
      <c r="C185" t="s">
        <v>570</v>
      </c>
      <c r="D185" s="8" t="s">
        <v>477</v>
      </c>
      <c r="E185" s="1">
        <v>0</v>
      </c>
      <c r="G185" s="2">
        <f t="shared" si="2"/>
        <v>0</v>
      </c>
      <c r="H185" s="2">
        <v>0</v>
      </c>
    </row>
    <row r="186" spans="2:8">
      <c r="B186" t="s">
        <v>213</v>
      </c>
      <c r="C186" t="s">
        <v>570</v>
      </c>
      <c r="D186" s="9" t="s">
        <v>478</v>
      </c>
      <c r="E186" s="1">
        <v>0</v>
      </c>
      <c r="G186" s="2">
        <f t="shared" si="2"/>
        <v>0</v>
      </c>
      <c r="H186" s="2">
        <v>0</v>
      </c>
    </row>
    <row r="187" spans="2:8">
      <c r="B187" t="s">
        <v>213</v>
      </c>
      <c r="C187" t="s">
        <v>570</v>
      </c>
      <c r="D187" s="10" t="s">
        <v>479</v>
      </c>
      <c r="E187" s="1">
        <v>0</v>
      </c>
      <c r="G187" s="2">
        <f t="shared" si="2"/>
        <v>0</v>
      </c>
      <c r="H187" s="2">
        <v>0</v>
      </c>
    </row>
    <row r="188" spans="2:8">
      <c r="B188" t="s">
        <v>213</v>
      </c>
      <c r="C188" t="s">
        <v>570</v>
      </c>
      <c r="D188" s="11" t="s">
        <v>480</v>
      </c>
      <c r="E188" s="1">
        <v>0</v>
      </c>
      <c r="G188" s="2">
        <f t="shared" si="2"/>
        <v>0</v>
      </c>
      <c r="H188" s="2">
        <v>0</v>
      </c>
    </row>
    <row r="189" spans="2:8">
      <c r="B189" t="s">
        <v>213</v>
      </c>
      <c r="C189" t="s">
        <v>570</v>
      </c>
      <c r="D189" s="13" t="s">
        <v>481</v>
      </c>
      <c r="E189" s="1">
        <v>0</v>
      </c>
      <c r="G189" s="2">
        <f t="shared" si="2"/>
        <v>0</v>
      </c>
      <c r="H189" s="2">
        <v>0</v>
      </c>
    </row>
    <row r="190" spans="2:8">
      <c r="B190" t="s">
        <v>213</v>
      </c>
      <c r="C190" t="s">
        <v>570</v>
      </c>
      <c r="D190" s="12" t="s">
        <v>1033</v>
      </c>
      <c r="E190" s="1">
        <v>0</v>
      </c>
      <c r="G190" s="2">
        <f t="shared" si="2"/>
        <v>0</v>
      </c>
      <c r="H190" s="2">
        <v>0</v>
      </c>
    </row>
    <row r="191" spans="2:8">
      <c r="B191" t="s">
        <v>280</v>
      </c>
      <c r="C191" t="s">
        <v>571</v>
      </c>
      <c r="D191" s="5" t="s">
        <v>474</v>
      </c>
      <c r="E191" s="1">
        <v>0</v>
      </c>
      <c r="G191" s="2">
        <f t="shared" si="2"/>
        <v>0</v>
      </c>
      <c r="H191" s="2">
        <v>0</v>
      </c>
    </row>
    <row r="192" spans="2:8">
      <c r="B192" t="s">
        <v>280</v>
      </c>
      <c r="C192" t="s">
        <v>571</v>
      </c>
      <c r="D192" s="6" t="s">
        <v>475</v>
      </c>
      <c r="E192" s="1">
        <v>0</v>
      </c>
      <c r="G192" s="2">
        <f t="shared" si="2"/>
        <v>0</v>
      </c>
      <c r="H192" s="2">
        <v>0</v>
      </c>
    </row>
    <row r="193" spans="2:8">
      <c r="B193" t="s">
        <v>280</v>
      </c>
      <c r="C193" t="s">
        <v>571</v>
      </c>
      <c r="D193" s="7" t="s">
        <v>476</v>
      </c>
      <c r="E193" s="1">
        <v>0</v>
      </c>
      <c r="G193" s="2">
        <f t="shared" si="2"/>
        <v>0</v>
      </c>
      <c r="H193" s="2">
        <v>0</v>
      </c>
    </row>
    <row r="194" spans="2:8">
      <c r="B194" t="s">
        <v>280</v>
      </c>
      <c r="C194" t="s">
        <v>571</v>
      </c>
      <c r="D194" s="8" t="s">
        <v>477</v>
      </c>
      <c r="E194" s="1">
        <v>0</v>
      </c>
      <c r="G194" s="2">
        <f t="shared" ref="G194:G257" si="3">E194*F194</f>
        <v>0</v>
      </c>
      <c r="H194" s="2">
        <v>0</v>
      </c>
    </row>
    <row r="195" spans="2:8">
      <c r="B195" t="s">
        <v>280</v>
      </c>
      <c r="C195" t="s">
        <v>571</v>
      </c>
      <c r="D195" s="9" t="s">
        <v>478</v>
      </c>
      <c r="E195" s="1">
        <v>0</v>
      </c>
      <c r="G195" s="2">
        <f t="shared" si="3"/>
        <v>0</v>
      </c>
      <c r="H195" s="2">
        <v>0</v>
      </c>
    </row>
    <row r="196" spans="2:8">
      <c r="B196" t="s">
        <v>280</v>
      </c>
      <c r="C196" t="s">
        <v>571</v>
      </c>
      <c r="D196" s="10" t="s">
        <v>479</v>
      </c>
      <c r="E196" s="1">
        <v>0</v>
      </c>
      <c r="G196" s="2">
        <f t="shared" si="3"/>
        <v>0</v>
      </c>
      <c r="H196" s="2">
        <v>0</v>
      </c>
    </row>
    <row r="197" spans="2:8">
      <c r="B197" t="s">
        <v>280</v>
      </c>
      <c r="C197" t="s">
        <v>571</v>
      </c>
      <c r="D197" s="11" t="s">
        <v>480</v>
      </c>
      <c r="E197" s="1">
        <v>0</v>
      </c>
      <c r="G197" s="2">
        <f t="shared" si="3"/>
        <v>0</v>
      </c>
      <c r="H197" s="2">
        <v>0</v>
      </c>
    </row>
    <row r="198" spans="2:8">
      <c r="B198" t="s">
        <v>280</v>
      </c>
      <c r="C198" t="s">
        <v>571</v>
      </c>
      <c r="D198" s="13" t="s">
        <v>481</v>
      </c>
      <c r="E198" s="1">
        <v>0</v>
      </c>
      <c r="G198" s="2">
        <f t="shared" si="3"/>
        <v>0</v>
      </c>
      <c r="H198" s="2">
        <v>0</v>
      </c>
    </row>
    <row r="199" spans="2:8">
      <c r="B199" t="s">
        <v>280</v>
      </c>
      <c r="C199" t="s">
        <v>571</v>
      </c>
      <c r="D199" s="12" t="s">
        <v>1033</v>
      </c>
      <c r="E199" s="1">
        <v>0</v>
      </c>
      <c r="G199" s="2">
        <f t="shared" si="3"/>
        <v>0</v>
      </c>
      <c r="H199" s="2">
        <v>0</v>
      </c>
    </row>
    <row r="200" spans="2:8">
      <c r="B200" t="s">
        <v>311</v>
      </c>
      <c r="C200" t="s">
        <v>572</v>
      </c>
      <c r="D200" s="5" t="s">
        <v>474</v>
      </c>
      <c r="E200" s="1">
        <v>0</v>
      </c>
      <c r="G200" s="2">
        <f t="shared" si="3"/>
        <v>0</v>
      </c>
      <c r="H200" s="2">
        <v>0</v>
      </c>
    </row>
    <row r="201" spans="2:8">
      <c r="B201" t="s">
        <v>311</v>
      </c>
      <c r="C201" t="s">
        <v>572</v>
      </c>
      <c r="D201" s="6" t="s">
        <v>475</v>
      </c>
      <c r="E201" s="1">
        <v>0</v>
      </c>
      <c r="G201" s="2">
        <f t="shared" si="3"/>
        <v>0</v>
      </c>
      <c r="H201" s="2">
        <v>0</v>
      </c>
    </row>
    <row r="202" spans="2:8">
      <c r="B202" t="s">
        <v>311</v>
      </c>
      <c r="C202" t="s">
        <v>572</v>
      </c>
      <c r="D202" s="7" t="s">
        <v>476</v>
      </c>
      <c r="E202" s="1">
        <v>0</v>
      </c>
      <c r="G202" s="2">
        <f t="shared" si="3"/>
        <v>0</v>
      </c>
      <c r="H202" s="2">
        <v>0</v>
      </c>
    </row>
    <row r="203" spans="2:8">
      <c r="B203" t="s">
        <v>311</v>
      </c>
      <c r="C203" t="s">
        <v>572</v>
      </c>
      <c r="D203" s="8" t="s">
        <v>477</v>
      </c>
      <c r="E203" s="1">
        <v>0</v>
      </c>
      <c r="G203" s="2">
        <f t="shared" si="3"/>
        <v>0</v>
      </c>
      <c r="H203" s="2">
        <v>0</v>
      </c>
    </row>
    <row r="204" spans="2:8">
      <c r="B204" t="s">
        <v>311</v>
      </c>
      <c r="C204" t="s">
        <v>572</v>
      </c>
      <c r="D204" s="9" t="s">
        <v>478</v>
      </c>
      <c r="E204" s="1">
        <v>0</v>
      </c>
      <c r="G204" s="2">
        <f t="shared" si="3"/>
        <v>0</v>
      </c>
      <c r="H204" s="2">
        <v>0</v>
      </c>
    </row>
    <row r="205" spans="2:8">
      <c r="B205" t="s">
        <v>311</v>
      </c>
      <c r="C205" t="s">
        <v>572</v>
      </c>
      <c r="D205" s="10" t="s">
        <v>479</v>
      </c>
      <c r="E205" s="1">
        <v>0</v>
      </c>
      <c r="G205" s="2">
        <f t="shared" si="3"/>
        <v>0</v>
      </c>
      <c r="H205" s="2">
        <v>0</v>
      </c>
    </row>
    <row r="206" spans="2:8">
      <c r="B206" t="s">
        <v>311</v>
      </c>
      <c r="C206" t="s">
        <v>572</v>
      </c>
      <c r="D206" s="11" t="s">
        <v>480</v>
      </c>
      <c r="E206" s="1">
        <v>0</v>
      </c>
      <c r="G206" s="2">
        <f t="shared" si="3"/>
        <v>0</v>
      </c>
      <c r="H206" s="2">
        <v>0</v>
      </c>
    </row>
    <row r="207" spans="2:8">
      <c r="B207" t="s">
        <v>311</v>
      </c>
      <c r="C207" t="s">
        <v>572</v>
      </c>
      <c r="D207" s="13" t="s">
        <v>481</v>
      </c>
      <c r="E207" s="1">
        <v>0</v>
      </c>
      <c r="G207" s="2">
        <f t="shared" si="3"/>
        <v>0</v>
      </c>
      <c r="H207" s="2">
        <v>0</v>
      </c>
    </row>
    <row r="208" spans="2:8">
      <c r="B208" t="s">
        <v>311</v>
      </c>
      <c r="C208" t="s">
        <v>572</v>
      </c>
      <c r="D208" s="12" t="s">
        <v>1033</v>
      </c>
      <c r="E208" s="1">
        <v>0</v>
      </c>
      <c r="G208" s="2">
        <f t="shared" si="3"/>
        <v>0</v>
      </c>
      <c r="H208" s="2">
        <v>0</v>
      </c>
    </row>
    <row r="209" spans="2:8">
      <c r="B209" t="s">
        <v>204</v>
      </c>
      <c r="C209" t="s">
        <v>573</v>
      </c>
      <c r="D209" s="5" t="s">
        <v>474</v>
      </c>
      <c r="E209" s="1">
        <v>0</v>
      </c>
      <c r="G209" s="2">
        <f t="shared" si="3"/>
        <v>0</v>
      </c>
      <c r="H209" s="2">
        <v>0</v>
      </c>
    </row>
    <row r="210" spans="2:8">
      <c r="B210" t="s">
        <v>204</v>
      </c>
      <c r="C210" t="s">
        <v>573</v>
      </c>
      <c r="D210" s="6" t="s">
        <v>475</v>
      </c>
      <c r="E210" s="1">
        <v>0</v>
      </c>
      <c r="G210" s="2">
        <f t="shared" si="3"/>
        <v>0</v>
      </c>
      <c r="H210" s="2">
        <v>0</v>
      </c>
    </row>
    <row r="211" spans="2:8">
      <c r="B211" t="s">
        <v>204</v>
      </c>
      <c r="C211" t="s">
        <v>573</v>
      </c>
      <c r="D211" s="7" t="s">
        <v>476</v>
      </c>
      <c r="E211" s="1">
        <v>0</v>
      </c>
      <c r="G211" s="2">
        <f t="shared" si="3"/>
        <v>0</v>
      </c>
      <c r="H211" s="2">
        <v>0</v>
      </c>
    </row>
    <row r="212" spans="2:8">
      <c r="B212" t="s">
        <v>204</v>
      </c>
      <c r="C212" t="s">
        <v>573</v>
      </c>
      <c r="D212" s="8" t="s">
        <v>477</v>
      </c>
      <c r="E212" s="1">
        <v>0</v>
      </c>
      <c r="G212" s="2">
        <f t="shared" si="3"/>
        <v>0</v>
      </c>
      <c r="H212" s="2">
        <v>0</v>
      </c>
    </row>
    <row r="213" spans="2:8">
      <c r="B213" t="s">
        <v>204</v>
      </c>
      <c r="C213" t="s">
        <v>573</v>
      </c>
      <c r="D213" s="9" t="s">
        <v>478</v>
      </c>
      <c r="E213" s="1">
        <v>0</v>
      </c>
      <c r="G213" s="2">
        <f t="shared" si="3"/>
        <v>0</v>
      </c>
      <c r="H213" s="2">
        <v>0</v>
      </c>
    </row>
    <row r="214" spans="2:8">
      <c r="B214" t="s">
        <v>204</v>
      </c>
      <c r="C214" t="s">
        <v>573</v>
      </c>
      <c r="D214" s="10" t="s">
        <v>479</v>
      </c>
      <c r="E214" s="1">
        <v>0</v>
      </c>
      <c r="G214" s="2">
        <f t="shared" si="3"/>
        <v>0</v>
      </c>
      <c r="H214" s="2">
        <v>0</v>
      </c>
    </row>
    <row r="215" spans="2:8">
      <c r="B215" t="s">
        <v>204</v>
      </c>
      <c r="C215" t="s">
        <v>573</v>
      </c>
      <c r="D215" s="11" t="s">
        <v>480</v>
      </c>
      <c r="E215" s="1">
        <v>0</v>
      </c>
      <c r="G215" s="2">
        <f t="shared" si="3"/>
        <v>0</v>
      </c>
      <c r="H215" s="2">
        <v>0</v>
      </c>
    </row>
    <row r="216" spans="2:8">
      <c r="B216" t="s">
        <v>204</v>
      </c>
      <c r="C216" t="s">
        <v>573</v>
      </c>
      <c r="D216" s="13" t="s">
        <v>481</v>
      </c>
      <c r="E216" s="1">
        <v>0</v>
      </c>
      <c r="G216" s="2">
        <f t="shared" si="3"/>
        <v>0</v>
      </c>
      <c r="H216" s="2">
        <v>0</v>
      </c>
    </row>
    <row r="217" spans="2:8">
      <c r="B217" t="s">
        <v>204</v>
      </c>
      <c r="C217" t="s">
        <v>573</v>
      </c>
      <c r="D217" s="12" t="s">
        <v>1033</v>
      </c>
      <c r="E217" s="1">
        <v>0</v>
      </c>
      <c r="G217" s="2">
        <f t="shared" si="3"/>
        <v>0</v>
      </c>
      <c r="H217" s="2">
        <v>0</v>
      </c>
    </row>
    <row r="218" spans="2:8">
      <c r="B218" t="s">
        <v>205</v>
      </c>
      <c r="C218" t="s">
        <v>574</v>
      </c>
      <c r="D218" s="5" t="s">
        <v>474</v>
      </c>
      <c r="E218" s="1">
        <v>0</v>
      </c>
      <c r="G218" s="2">
        <f t="shared" si="3"/>
        <v>0</v>
      </c>
      <c r="H218" s="2">
        <v>0</v>
      </c>
    </row>
    <row r="219" spans="2:8">
      <c r="B219" t="s">
        <v>205</v>
      </c>
      <c r="C219" t="s">
        <v>574</v>
      </c>
      <c r="D219" s="6" t="s">
        <v>475</v>
      </c>
      <c r="E219" s="1">
        <v>0</v>
      </c>
      <c r="G219" s="2">
        <f t="shared" si="3"/>
        <v>0</v>
      </c>
      <c r="H219" s="2">
        <v>0</v>
      </c>
    </row>
    <row r="220" spans="2:8">
      <c r="B220" t="s">
        <v>205</v>
      </c>
      <c r="C220" t="s">
        <v>574</v>
      </c>
      <c r="D220" s="7" t="s">
        <v>476</v>
      </c>
      <c r="E220" s="1">
        <v>0</v>
      </c>
      <c r="G220" s="2">
        <f t="shared" si="3"/>
        <v>0</v>
      </c>
      <c r="H220" s="2">
        <v>0</v>
      </c>
    </row>
    <row r="221" spans="2:8">
      <c r="B221" t="s">
        <v>205</v>
      </c>
      <c r="C221" t="s">
        <v>574</v>
      </c>
      <c r="D221" s="8" t="s">
        <v>477</v>
      </c>
      <c r="E221" s="1">
        <v>0</v>
      </c>
      <c r="G221" s="2">
        <f t="shared" si="3"/>
        <v>0</v>
      </c>
      <c r="H221" s="2">
        <v>0</v>
      </c>
    </row>
    <row r="222" spans="2:8">
      <c r="B222" t="s">
        <v>205</v>
      </c>
      <c r="C222" t="s">
        <v>574</v>
      </c>
      <c r="D222" s="9" t="s">
        <v>478</v>
      </c>
      <c r="E222" s="1">
        <v>0</v>
      </c>
      <c r="G222" s="2">
        <f t="shared" si="3"/>
        <v>0</v>
      </c>
      <c r="H222" s="2">
        <v>0</v>
      </c>
    </row>
    <row r="223" spans="2:8">
      <c r="B223" t="s">
        <v>205</v>
      </c>
      <c r="C223" t="s">
        <v>574</v>
      </c>
      <c r="D223" s="10" t="s">
        <v>479</v>
      </c>
      <c r="E223" s="1">
        <v>0</v>
      </c>
      <c r="G223" s="2">
        <f t="shared" si="3"/>
        <v>0</v>
      </c>
      <c r="H223" s="2">
        <v>0</v>
      </c>
    </row>
    <row r="224" spans="2:8">
      <c r="B224" t="s">
        <v>205</v>
      </c>
      <c r="C224" t="s">
        <v>574</v>
      </c>
      <c r="D224" s="11" t="s">
        <v>480</v>
      </c>
      <c r="E224" s="1">
        <v>0</v>
      </c>
      <c r="G224" s="2">
        <f t="shared" si="3"/>
        <v>0</v>
      </c>
      <c r="H224" s="2">
        <v>0</v>
      </c>
    </row>
    <row r="225" spans="2:8">
      <c r="B225" t="s">
        <v>205</v>
      </c>
      <c r="C225" t="s">
        <v>574</v>
      </c>
      <c r="D225" s="13" t="s">
        <v>481</v>
      </c>
      <c r="E225" s="1">
        <v>0</v>
      </c>
      <c r="G225" s="2">
        <f t="shared" si="3"/>
        <v>0</v>
      </c>
      <c r="H225" s="2">
        <v>0</v>
      </c>
    </row>
    <row r="226" spans="2:8">
      <c r="B226" t="s">
        <v>205</v>
      </c>
      <c r="C226" t="s">
        <v>574</v>
      </c>
      <c r="D226" s="12" t="s">
        <v>1033</v>
      </c>
      <c r="E226" s="1">
        <v>0</v>
      </c>
      <c r="G226" s="2">
        <f t="shared" si="3"/>
        <v>0</v>
      </c>
      <c r="H226" s="2">
        <v>0</v>
      </c>
    </row>
    <row r="227" spans="2:8">
      <c r="B227" t="s">
        <v>281</v>
      </c>
      <c r="C227" t="s">
        <v>575</v>
      </c>
      <c r="D227" s="5" t="s">
        <v>474</v>
      </c>
      <c r="E227" s="1">
        <v>0</v>
      </c>
      <c r="G227" s="2">
        <f t="shared" si="3"/>
        <v>0</v>
      </c>
      <c r="H227" s="2">
        <v>0</v>
      </c>
    </row>
    <row r="228" spans="2:8">
      <c r="B228" t="s">
        <v>281</v>
      </c>
      <c r="C228" t="s">
        <v>575</v>
      </c>
      <c r="D228" s="6" t="s">
        <v>475</v>
      </c>
      <c r="E228" s="1">
        <v>0</v>
      </c>
      <c r="G228" s="2">
        <f t="shared" si="3"/>
        <v>0</v>
      </c>
      <c r="H228" s="2">
        <v>0</v>
      </c>
    </row>
    <row r="229" spans="2:8">
      <c r="B229" t="s">
        <v>281</v>
      </c>
      <c r="C229" t="s">
        <v>575</v>
      </c>
      <c r="D229" s="7" t="s">
        <v>476</v>
      </c>
      <c r="E229" s="1">
        <v>0</v>
      </c>
      <c r="G229" s="2">
        <f t="shared" si="3"/>
        <v>0</v>
      </c>
      <c r="H229" s="2">
        <v>0</v>
      </c>
    </row>
    <row r="230" spans="2:8">
      <c r="B230" t="s">
        <v>281</v>
      </c>
      <c r="C230" t="s">
        <v>575</v>
      </c>
      <c r="D230" s="8" t="s">
        <v>477</v>
      </c>
      <c r="E230" s="1">
        <v>0</v>
      </c>
      <c r="G230" s="2">
        <f t="shared" si="3"/>
        <v>0</v>
      </c>
      <c r="H230" s="2">
        <v>0</v>
      </c>
    </row>
    <row r="231" spans="2:8">
      <c r="B231" t="s">
        <v>281</v>
      </c>
      <c r="C231" t="s">
        <v>575</v>
      </c>
      <c r="D231" s="9" t="s">
        <v>478</v>
      </c>
      <c r="E231" s="1">
        <v>0</v>
      </c>
      <c r="G231" s="2">
        <f t="shared" si="3"/>
        <v>0</v>
      </c>
      <c r="H231" s="2">
        <v>0</v>
      </c>
    </row>
    <row r="232" spans="2:8">
      <c r="B232" t="s">
        <v>281</v>
      </c>
      <c r="C232" t="s">
        <v>575</v>
      </c>
      <c r="D232" s="10" t="s">
        <v>479</v>
      </c>
      <c r="E232" s="1">
        <v>0</v>
      </c>
      <c r="G232" s="2">
        <f t="shared" si="3"/>
        <v>0</v>
      </c>
      <c r="H232" s="2">
        <v>0</v>
      </c>
    </row>
    <row r="233" spans="2:8">
      <c r="B233" t="s">
        <v>281</v>
      </c>
      <c r="C233" t="s">
        <v>575</v>
      </c>
      <c r="D233" s="11" t="s">
        <v>480</v>
      </c>
      <c r="E233" s="1">
        <v>0</v>
      </c>
      <c r="G233" s="2">
        <f t="shared" si="3"/>
        <v>0</v>
      </c>
      <c r="H233" s="2">
        <v>0</v>
      </c>
    </row>
    <row r="234" spans="2:8">
      <c r="B234" t="s">
        <v>281</v>
      </c>
      <c r="C234" t="s">
        <v>575</v>
      </c>
      <c r="D234" s="13" t="s">
        <v>481</v>
      </c>
      <c r="E234" s="1">
        <v>0</v>
      </c>
      <c r="G234" s="2">
        <f t="shared" si="3"/>
        <v>0</v>
      </c>
      <c r="H234" s="2">
        <v>0</v>
      </c>
    </row>
    <row r="235" spans="2:8">
      <c r="B235" t="s">
        <v>281</v>
      </c>
      <c r="C235" t="s">
        <v>575</v>
      </c>
      <c r="D235" s="12" t="s">
        <v>1033</v>
      </c>
      <c r="E235" s="1">
        <v>0</v>
      </c>
      <c r="G235" s="2">
        <f t="shared" si="3"/>
        <v>0</v>
      </c>
      <c r="H235" s="2">
        <v>0</v>
      </c>
    </row>
    <row r="236" spans="2:8">
      <c r="B236" t="s">
        <v>337</v>
      </c>
      <c r="C236" t="s">
        <v>576</v>
      </c>
      <c r="D236" s="5" t="s">
        <v>474</v>
      </c>
      <c r="E236" s="1">
        <v>0</v>
      </c>
      <c r="G236" s="2">
        <f t="shared" si="3"/>
        <v>0</v>
      </c>
      <c r="H236" s="2">
        <v>0</v>
      </c>
    </row>
    <row r="237" spans="2:8">
      <c r="B237" t="s">
        <v>337</v>
      </c>
      <c r="C237" t="s">
        <v>576</v>
      </c>
      <c r="D237" s="6" t="s">
        <v>475</v>
      </c>
      <c r="E237" s="1">
        <v>0</v>
      </c>
      <c r="G237" s="2">
        <f t="shared" si="3"/>
        <v>0</v>
      </c>
      <c r="H237" s="2">
        <v>0</v>
      </c>
    </row>
    <row r="238" spans="2:8">
      <c r="B238" t="s">
        <v>337</v>
      </c>
      <c r="C238" t="s">
        <v>576</v>
      </c>
      <c r="D238" s="7" t="s">
        <v>476</v>
      </c>
      <c r="E238" s="1">
        <v>0</v>
      </c>
      <c r="G238" s="2">
        <f t="shared" si="3"/>
        <v>0</v>
      </c>
      <c r="H238" s="2">
        <v>0</v>
      </c>
    </row>
    <row r="239" spans="2:8">
      <c r="B239" t="s">
        <v>337</v>
      </c>
      <c r="C239" t="s">
        <v>576</v>
      </c>
      <c r="D239" s="8" t="s">
        <v>477</v>
      </c>
      <c r="E239" s="1">
        <v>0</v>
      </c>
      <c r="G239" s="2">
        <f t="shared" si="3"/>
        <v>0</v>
      </c>
      <c r="H239" s="2">
        <v>0</v>
      </c>
    </row>
    <row r="240" spans="2:8">
      <c r="B240" t="s">
        <v>337</v>
      </c>
      <c r="C240" t="s">
        <v>576</v>
      </c>
      <c r="D240" s="9" t="s">
        <v>478</v>
      </c>
      <c r="E240" s="1">
        <v>0</v>
      </c>
      <c r="G240" s="2">
        <f t="shared" si="3"/>
        <v>0</v>
      </c>
      <c r="H240" s="2">
        <v>0</v>
      </c>
    </row>
    <row r="241" spans="2:8">
      <c r="B241" t="s">
        <v>337</v>
      </c>
      <c r="C241" t="s">
        <v>576</v>
      </c>
      <c r="D241" s="10" t="s">
        <v>479</v>
      </c>
      <c r="E241" s="1">
        <v>0</v>
      </c>
      <c r="G241" s="2">
        <f t="shared" si="3"/>
        <v>0</v>
      </c>
      <c r="H241" s="2">
        <v>0</v>
      </c>
    </row>
    <row r="242" spans="2:8">
      <c r="B242" t="s">
        <v>337</v>
      </c>
      <c r="C242" t="s">
        <v>576</v>
      </c>
      <c r="D242" s="11" t="s">
        <v>480</v>
      </c>
      <c r="E242" s="1">
        <v>0</v>
      </c>
      <c r="G242" s="2">
        <f t="shared" si="3"/>
        <v>0</v>
      </c>
      <c r="H242" s="2">
        <v>0</v>
      </c>
    </row>
    <row r="243" spans="2:8">
      <c r="B243" t="s">
        <v>337</v>
      </c>
      <c r="C243" t="s">
        <v>576</v>
      </c>
      <c r="D243" s="13" t="s">
        <v>481</v>
      </c>
      <c r="E243" s="1">
        <v>0</v>
      </c>
      <c r="G243" s="2">
        <f t="shared" si="3"/>
        <v>0</v>
      </c>
      <c r="H243" s="2">
        <v>0</v>
      </c>
    </row>
    <row r="244" spans="2:8">
      <c r="B244" t="s">
        <v>337</v>
      </c>
      <c r="C244" t="s">
        <v>576</v>
      </c>
      <c r="D244" s="12" t="s">
        <v>1033</v>
      </c>
      <c r="E244" s="1">
        <v>0</v>
      </c>
      <c r="G244" s="2">
        <f t="shared" si="3"/>
        <v>0</v>
      </c>
      <c r="H244" s="2">
        <v>0</v>
      </c>
    </row>
    <row r="245" spans="2:8">
      <c r="B245" t="s">
        <v>338</v>
      </c>
      <c r="C245" t="s">
        <v>577</v>
      </c>
      <c r="D245" s="5" t="s">
        <v>474</v>
      </c>
      <c r="E245" s="1">
        <v>0</v>
      </c>
      <c r="G245" s="2">
        <f t="shared" si="3"/>
        <v>0</v>
      </c>
      <c r="H245" s="2">
        <v>0</v>
      </c>
    </row>
    <row r="246" spans="2:8">
      <c r="B246" t="s">
        <v>338</v>
      </c>
      <c r="C246" t="s">
        <v>577</v>
      </c>
      <c r="D246" s="6" t="s">
        <v>475</v>
      </c>
      <c r="E246" s="1">
        <v>0</v>
      </c>
      <c r="G246" s="2">
        <f t="shared" si="3"/>
        <v>0</v>
      </c>
      <c r="H246" s="2">
        <v>0</v>
      </c>
    </row>
    <row r="247" spans="2:8">
      <c r="B247" t="s">
        <v>338</v>
      </c>
      <c r="C247" t="s">
        <v>577</v>
      </c>
      <c r="D247" s="7" t="s">
        <v>476</v>
      </c>
      <c r="E247" s="1">
        <v>0</v>
      </c>
      <c r="G247" s="2">
        <f t="shared" si="3"/>
        <v>0</v>
      </c>
      <c r="H247" s="2">
        <v>0</v>
      </c>
    </row>
    <row r="248" spans="2:8">
      <c r="B248" t="s">
        <v>338</v>
      </c>
      <c r="C248" t="s">
        <v>577</v>
      </c>
      <c r="D248" s="8" t="s">
        <v>477</v>
      </c>
      <c r="E248" s="1">
        <v>0</v>
      </c>
      <c r="G248" s="2">
        <f t="shared" si="3"/>
        <v>0</v>
      </c>
      <c r="H248" s="2">
        <v>0</v>
      </c>
    </row>
    <row r="249" spans="2:8">
      <c r="B249" t="s">
        <v>338</v>
      </c>
      <c r="C249" t="s">
        <v>577</v>
      </c>
      <c r="D249" s="9" t="s">
        <v>478</v>
      </c>
      <c r="E249" s="1">
        <v>0</v>
      </c>
      <c r="G249" s="2">
        <f t="shared" si="3"/>
        <v>0</v>
      </c>
      <c r="H249" s="2">
        <v>0</v>
      </c>
    </row>
    <row r="250" spans="2:8">
      <c r="B250" t="s">
        <v>338</v>
      </c>
      <c r="C250" t="s">
        <v>577</v>
      </c>
      <c r="D250" s="10" t="s">
        <v>479</v>
      </c>
      <c r="E250" s="1">
        <v>0</v>
      </c>
      <c r="G250" s="2">
        <f t="shared" si="3"/>
        <v>0</v>
      </c>
      <c r="H250" s="2">
        <v>0</v>
      </c>
    </row>
    <row r="251" spans="2:8">
      <c r="B251" t="s">
        <v>338</v>
      </c>
      <c r="C251" t="s">
        <v>577</v>
      </c>
      <c r="D251" s="11" t="s">
        <v>480</v>
      </c>
      <c r="E251" s="1">
        <v>0</v>
      </c>
      <c r="G251" s="2">
        <f t="shared" si="3"/>
        <v>0</v>
      </c>
      <c r="H251" s="2">
        <v>0</v>
      </c>
    </row>
    <row r="252" spans="2:8">
      <c r="B252" t="s">
        <v>338</v>
      </c>
      <c r="C252" t="s">
        <v>577</v>
      </c>
      <c r="D252" s="13" t="s">
        <v>481</v>
      </c>
      <c r="E252" s="1">
        <v>0</v>
      </c>
      <c r="G252" s="2">
        <f t="shared" si="3"/>
        <v>0</v>
      </c>
      <c r="H252" s="2">
        <v>0</v>
      </c>
    </row>
    <row r="253" spans="2:8">
      <c r="B253" t="s">
        <v>338</v>
      </c>
      <c r="C253" t="s">
        <v>577</v>
      </c>
      <c r="D253" s="12" t="s">
        <v>1033</v>
      </c>
      <c r="E253" s="1">
        <v>0</v>
      </c>
      <c r="G253" s="2">
        <f t="shared" si="3"/>
        <v>0</v>
      </c>
      <c r="H253" s="2">
        <v>0</v>
      </c>
    </row>
    <row r="254" spans="2:8">
      <c r="B254" t="s">
        <v>300</v>
      </c>
      <c r="C254" t="s">
        <v>578</v>
      </c>
      <c r="D254" s="5" t="s">
        <v>474</v>
      </c>
      <c r="E254" s="1">
        <v>0</v>
      </c>
      <c r="G254" s="2">
        <f t="shared" si="3"/>
        <v>0</v>
      </c>
      <c r="H254" s="2">
        <v>0</v>
      </c>
    </row>
    <row r="255" spans="2:8">
      <c r="B255" t="s">
        <v>300</v>
      </c>
      <c r="C255" t="s">
        <v>578</v>
      </c>
      <c r="D255" s="6" t="s">
        <v>475</v>
      </c>
      <c r="E255" s="1">
        <v>0</v>
      </c>
      <c r="G255" s="2">
        <f t="shared" si="3"/>
        <v>0</v>
      </c>
      <c r="H255" s="2">
        <v>0</v>
      </c>
    </row>
    <row r="256" spans="2:8">
      <c r="B256" t="s">
        <v>300</v>
      </c>
      <c r="C256" t="s">
        <v>578</v>
      </c>
      <c r="D256" s="7" t="s">
        <v>476</v>
      </c>
      <c r="E256" s="1">
        <v>0</v>
      </c>
      <c r="G256" s="2">
        <f t="shared" si="3"/>
        <v>0</v>
      </c>
      <c r="H256" s="2">
        <v>0</v>
      </c>
    </row>
    <row r="257" spans="2:8">
      <c r="B257" t="s">
        <v>300</v>
      </c>
      <c r="C257" t="s">
        <v>578</v>
      </c>
      <c r="D257" s="8" t="s">
        <v>477</v>
      </c>
      <c r="E257" s="1">
        <v>0</v>
      </c>
      <c r="G257" s="2">
        <f t="shared" si="3"/>
        <v>0</v>
      </c>
      <c r="H257" s="2">
        <v>0</v>
      </c>
    </row>
    <row r="258" spans="2:8">
      <c r="B258" t="s">
        <v>300</v>
      </c>
      <c r="C258" t="s">
        <v>578</v>
      </c>
      <c r="D258" s="9" t="s">
        <v>478</v>
      </c>
      <c r="E258" s="1">
        <v>0</v>
      </c>
      <c r="G258" s="2">
        <f t="shared" ref="G258:G321" si="4">E258*F258</f>
        <v>0</v>
      </c>
      <c r="H258" s="2">
        <v>0</v>
      </c>
    </row>
    <row r="259" spans="2:8">
      <c r="B259" t="s">
        <v>300</v>
      </c>
      <c r="C259" t="s">
        <v>578</v>
      </c>
      <c r="D259" s="10" t="s">
        <v>479</v>
      </c>
      <c r="E259" s="1">
        <v>0</v>
      </c>
      <c r="G259" s="2">
        <f t="shared" si="4"/>
        <v>0</v>
      </c>
      <c r="H259" s="2">
        <v>0</v>
      </c>
    </row>
    <row r="260" spans="2:8">
      <c r="B260" t="s">
        <v>300</v>
      </c>
      <c r="C260" t="s">
        <v>578</v>
      </c>
      <c r="D260" s="11" t="s">
        <v>480</v>
      </c>
      <c r="E260" s="1">
        <v>0</v>
      </c>
      <c r="G260" s="2">
        <f t="shared" si="4"/>
        <v>0</v>
      </c>
      <c r="H260" s="2">
        <v>0</v>
      </c>
    </row>
    <row r="261" spans="2:8">
      <c r="B261" t="s">
        <v>300</v>
      </c>
      <c r="C261" t="s">
        <v>578</v>
      </c>
      <c r="D261" s="13" t="s">
        <v>481</v>
      </c>
      <c r="E261" s="1">
        <v>0</v>
      </c>
      <c r="G261" s="2">
        <f t="shared" si="4"/>
        <v>0</v>
      </c>
      <c r="H261" s="2">
        <v>0</v>
      </c>
    </row>
    <row r="262" spans="2:8">
      <c r="B262" t="s">
        <v>300</v>
      </c>
      <c r="C262" t="s">
        <v>578</v>
      </c>
      <c r="D262" s="12" t="s">
        <v>1033</v>
      </c>
      <c r="E262" s="1">
        <v>0</v>
      </c>
      <c r="G262" s="2">
        <f t="shared" si="4"/>
        <v>0</v>
      </c>
      <c r="H262" s="2">
        <v>0</v>
      </c>
    </row>
    <row r="263" spans="2:8">
      <c r="B263" t="s">
        <v>301</v>
      </c>
      <c r="C263" t="s">
        <v>579</v>
      </c>
      <c r="D263" s="5" t="s">
        <v>474</v>
      </c>
      <c r="E263" s="1">
        <v>0</v>
      </c>
      <c r="G263" s="2">
        <f t="shared" si="4"/>
        <v>0</v>
      </c>
      <c r="H263" s="2">
        <v>0</v>
      </c>
    </row>
    <row r="264" spans="2:8">
      <c r="B264" t="s">
        <v>301</v>
      </c>
      <c r="C264" t="s">
        <v>579</v>
      </c>
      <c r="D264" s="6" t="s">
        <v>475</v>
      </c>
      <c r="E264" s="1">
        <v>0</v>
      </c>
      <c r="G264" s="2">
        <f t="shared" si="4"/>
        <v>0</v>
      </c>
      <c r="H264" s="2">
        <v>0</v>
      </c>
    </row>
    <row r="265" spans="2:8">
      <c r="B265" t="s">
        <v>301</v>
      </c>
      <c r="C265" t="s">
        <v>579</v>
      </c>
      <c r="D265" s="7" t="s">
        <v>476</v>
      </c>
      <c r="E265" s="1">
        <v>0</v>
      </c>
      <c r="G265" s="2">
        <f t="shared" si="4"/>
        <v>0</v>
      </c>
      <c r="H265" s="2">
        <v>0</v>
      </c>
    </row>
    <row r="266" spans="2:8">
      <c r="B266" t="s">
        <v>301</v>
      </c>
      <c r="C266" t="s">
        <v>579</v>
      </c>
      <c r="D266" s="8" t="s">
        <v>477</v>
      </c>
      <c r="E266" s="1">
        <v>0</v>
      </c>
      <c r="G266" s="2">
        <f t="shared" si="4"/>
        <v>0</v>
      </c>
      <c r="H266" s="2">
        <v>0</v>
      </c>
    </row>
    <row r="267" spans="2:8">
      <c r="B267" t="s">
        <v>301</v>
      </c>
      <c r="C267" t="s">
        <v>579</v>
      </c>
      <c r="D267" s="9" t="s">
        <v>478</v>
      </c>
      <c r="E267" s="1">
        <v>0</v>
      </c>
      <c r="G267" s="2">
        <f t="shared" si="4"/>
        <v>0</v>
      </c>
      <c r="H267" s="2">
        <v>0</v>
      </c>
    </row>
    <row r="268" spans="2:8">
      <c r="B268" t="s">
        <v>301</v>
      </c>
      <c r="C268" t="s">
        <v>579</v>
      </c>
      <c r="D268" s="10" t="s">
        <v>479</v>
      </c>
      <c r="E268" s="1">
        <v>0</v>
      </c>
      <c r="G268" s="2">
        <f t="shared" si="4"/>
        <v>0</v>
      </c>
      <c r="H268" s="2">
        <v>0</v>
      </c>
    </row>
    <row r="269" spans="2:8">
      <c r="B269" t="s">
        <v>301</v>
      </c>
      <c r="C269" t="s">
        <v>579</v>
      </c>
      <c r="D269" s="11" t="s">
        <v>480</v>
      </c>
      <c r="E269" s="1">
        <v>0</v>
      </c>
      <c r="G269" s="2">
        <f t="shared" si="4"/>
        <v>0</v>
      </c>
      <c r="H269" s="2">
        <v>0</v>
      </c>
    </row>
    <row r="270" spans="2:8">
      <c r="B270" t="s">
        <v>301</v>
      </c>
      <c r="C270" t="s">
        <v>579</v>
      </c>
      <c r="D270" s="13" t="s">
        <v>481</v>
      </c>
      <c r="E270" s="1">
        <v>0</v>
      </c>
      <c r="G270" s="2">
        <f t="shared" si="4"/>
        <v>0</v>
      </c>
      <c r="H270" s="2">
        <v>0</v>
      </c>
    </row>
    <row r="271" spans="2:8">
      <c r="B271" t="s">
        <v>301</v>
      </c>
      <c r="C271" t="s">
        <v>579</v>
      </c>
      <c r="D271" s="12" t="s">
        <v>1033</v>
      </c>
      <c r="E271" s="1">
        <v>0</v>
      </c>
      <c r="G271" s="2">
        <f t="shared" si="4"/>
        <v>0</v>
      </c>
      <c r="H271" s="2">
        <v>0</v>
      </c>
    </row>
    <row r="272" spans="2:8">
      <c r="B272" t="s">
        <v>248</v>
      </c>
      <c r="C272" t="s">
        <v>580</v>
      </c>
      <c r="D272" s="5" t="s">
        <v>474</v>
      </c>
      <c r="E272" s="1">
        <v>0</v>
      </c>
      <c r="G272" s="2">
        <f t="shared" si="4"/>
        <v>0</v>
      </c>
      <c r="H272" s="2">
        <v>0</v>
      </c>
    </row>
    <row r="273" spans="2:8">
      <c r="B273" t="s">
        <v>248</v>
      </c>
      <c r="C273" t="s">
        <v>580</v>
      </c>
      <c r="D273" s="6" t="s">
        <v>475</v>
      </c>
      <c r="E273" s="1">
        <v>0</v>
      </c>
      <c r="G273" s="2">
        <f t="shared" si="4"/>
        <v>0</v>
      </c>
      <c r="H273" s="2">
        <v>0</v>
      </c>
    </row>
    <row r="274" spans="2:8">
      <c r="B274" t="s">
        <v>248</v>
      </c>
      <c r="C274" t="s">
        <v>580</v>
      </c>
      <c r="D274" s="7" t="s">
        <v>476</v>
      </c>
      <c r="E274" s="1">
        <v>0</v>
      </c>
      <c r="G274" s="2">
        <f t="shared" si="4"/>
        <v>0</v>
      </c>
      <c r="H274" s="2">
        <v>0</v>
      </c>
    </row>
    <row r="275" spans="2:8">
      <c r="B275" t="s">
        <v>248</v>
      </c>
      <c r="C275" t="s">
        <v>580</v>
      </c>
      <c r="D275" s="8" t="s">
        <v>477</v>
      </c>
      <c r="E275" s="1">
        <v>0</v>
      </c>
      <c r="G275" s="2">
        <f t="shared" si="4"/>
        <v>0</v>
      </c>
      <c r="H275" s="2">
        <v>0</v>
      </c>
    </row>
    <row r="276" spans="2:8">
      <c r="B276" t="s">
        <v>248</v>
      </c>
      <c r="C276" t="s">
        <v>580</v>
      </c>
      <c r="D276" s="9" t="s">
        <v>478</v>
      </c>
      <c r="E276" s="1">
        <v>0</v>
      </c>
      <c r="G276" s="2">
        <f t="shared" si="4"/>
        <v>0</v>
      </c>
      <c r="H276" s="2">
        <v>0</v>
      </c>
    </row>
    <row r="277" spans="2:8">
      <c r="B277" t="s">
        <v>248</v>
      </c>
      <c r="C277" t="s">
        <v>580</v>
      </c>
      <c r="D277" s="10" t="s">
        <v>479</v>
      </c>
      <c r="E277" s="1">
        <v>0</v>
      </c>
      <c r="G277" s="2">
        <f t="shared" si="4"/>
        <v>0</v>
      </c>
      <c r="H277" s="2">
        <v>0</v>
      </c>
    </row>
    <row r="278" spans="2:8">
      <c r="B278" t="s">
        <v>248</v>
      </c>
      <c r="C278" t="s">
        <v>580</v>
      </c>
      <c r="D278" s="11" t="s">
        <v>480</v>
      </c>
      <c r="E278" s="1">
        <v>0</v>
      </c>
      <c r="G278" s="2">
        <f t="shared" si="4"/>
        <v>0</v>
      </c>
      <c r="H278" s="2">
        <v>0</v>
      </c>
    </row>
    <row r="279" spans="2:8">
      <c r="B279" t="s">
        <v>248</v>
      </c>
      <c r="C279" t="s">
        <v>580</v>
      </c>
      <c r="D279" s="13" t="s">
        <v>481</v>
      </c>
      <c r="E279" s="1">
        <v>0</v>
      </c>
      <c r="G279" s="2">
        <f t="shared" si="4"/>
        <v>0</v>
      </c>
      <c r="H279" s="2">
        <v>0</v>
      </c>
    </row>
    <row r="280" spans="2:8">
      <c r="B280" t="s">
        <v>248</v>
      </c>
      <c r="C280" t="s">
        <v>580</v>
      </c>
      <c r="D280" s="12" t="s">
        <v>1033</v>
      </c>
      <c r="E280" s="1">
        <v>0</v>
      </c>
      <c r="G280" s="2">
        <f t="shared" si="4"/>
        <v>0</v>
      </c>
      <c r="H280" s="2">
        <v>0</v>
      </c>
    </row>
    <row r="281" spans="2:8">
      <c r="B281" t="s">
        <v>234</v>
      </c>
      <c r="C281" t="s">
        <v>581</v>
      </c>
      <c r="D281" s="5" t="s">
        <v>474</v>
      </c>
      <c r="E281" s="1">
        <v>0</v>
      </c>
      <c r="G281" s="2">
        <f t="shared" si="4"/>
        <v>0</v>
      </c>
      <c r="H281" s="2">
        <v>0</v>
      </c>
    </row>
    <row r="282" spans="2:8">
      <c r="B282" t="s">
        <v>234</v>
      </c>
      <c r="C282" t="s">
        <v>581</v>
      </c>
      <c r="D282" s="6" t="s">
        <v>475</v>
      </c>
      <c r="E282" s="1">
        <v>0</v>
      </c>
      <c r="G282" s="2">
        <f t="shared" si="4"/>
        <v>0</v>
      </c>
      <c r="H282" s="2">
        <v>0</v>
      </c>
    </row>
    <row r="283" spans="2:8">
      <c r="B283" t="s">
        <v>234</v>
      </c>
      <c r="C283" t="s">
        <v>581</v>
      </c>
      <c r="D283" s="7" t="s">
        <v>476</v>
      </c>
      <c r="E283" s="1">
        <v>0</v>
      </c>
      <c r="G283" s="2">
        <f t="shared" si="4"/>
        <v>0</v>
      </c>
      <c r="H283" s="2">
        <v>0</v>
      </c>
    </row>
    <row r="284" spans="2:8">
      <c r="B284" t="s">
        <v>234</v>
      </c>
      <c r="C284" t="s">
        <v>581</v>
      </c>
      <c r="D284" s="8" t="s">
        <v>477</v>
      </c>
      <c r="E284" s="1">
        <v>0</v>
      </c>
      <c r="G284" s="2">
        <f t="shared" si="4"/>
        <v>0</v>
      </c>
      <c r="H284" s="2">
        <v>0</v>
      </c>
    </row>
    <row r="285" spans="2:8">
      <c r="B285" t="s">
        <v>234</v>
      </c>
      <c r="C285" t="s">
        <v>581</v>
      </c>
      <c r="D285" s="9" t="s">
        <v>478</v>
      </c>
      <c r="E285" s="1">
        <v>0</v>
      </c>
      <c r="G285" s="2">
        <f t="shared" si="4"/>
        <v>0</v>
      </c>
      <c r="H285" s="2">
        <v>0</v>
      </c>
    </row>
    <row r="286" spans="2:8">
      <c r="B286" t="s">
        <v>234</v>
      </c>
      <c r="C286" t="s">
        <v>581</v>
      </c>
      <c r="D286" s="10" t="s">
        <v>479</v>
      </c>
      <c r="E286" s="1">
        <v>0</v>
      </c>
      <c r="G286" s="2">
        <f t="shared" si="4"/>
        <v>0</v>
      </c>
      <c r="H286" s="2">
        <v>0</v>
      </c>
    </row>
    <row r="287" spans="2:8">
      <c r="B287" t="s">
        <v>234</v>
      </c>
      <c r="C287" t="s">
        <v>581</v>
      </c>
      <c r="D287" s="11" t="s">
        <v>480</v>
      </c>
      <c r="E287" s="1">
        <v>0</v>
      </c>
      <c r="G287" s="2">
        <f t="shared" si="4"/>
        <v>0</v>
      </c>
      <c r="H287" s="2">
        <v>0</v>
      </c>
    </row>
    <row r="288" spans="2:8">
      <c r="B288" t="s">
        <v>234</v>
      </c>
      <c r="C288" t="s">
        <v>581</v>
      </c>
      <c r="D288" s="13" t="s">
        <v>481</v>
      </c>
      <c r="E288" s="1">
        <v>0</v>
      </c>
      <c r="G288" s="2">
        <f t="shared" si="4"/>
        <v>0</v>
      </c>
      <c r="H288" s="2">
        <v>0</v>
      </c>
    </row>
    <row r="289" spans="2:8">
      <c r="B289" t="s">
        <v>234</v>
      </c>
      <c r="C289" t="s">
        <v>581</v>
      </c>
      <c r="D289" s="12" t="s">
        <v>1033</v>
      </c>
      <c r="E289" s="1">
        <v>0</v>
      </c>
      <c r="G289" s="2">
        <f t="shared" si="4"/>
        <v>0</v>
      </c>
      <c r="H289" s="2">
        <v>0</v>
      </c>
    </row>
    <row r="290" spans="2:8">
      <c r="B290" t="s">
        <v>276</v>
      </c>
      <c r="C290" t="s">
        <v>582</v>
      </c>
      <c r="D290" s="5" t="s">
        <v>474</v>
      </c>
      <c r="E290" s="1">
        <v>0</v>
      </c>
      <c r="G290" s="2">
        <f t="shared" si="4"/>
        <v>0</v>
      </c>
      <c r="H290" s="2">
        <v>0</v>
      </c>
    </row>
    <row r="291" spans="2:8">
      <c r="B291" t="s">
        <v>276</v>
      </c>
      <c r="C291" t="s">
        <v>582</v>
      </c>
      <c r="D291" s="6" t="s">
        <v>475</v>
      </c>
      <c r="E291" s="1">
        <v>0</v>
      </c>
      <c r="G291" s="2">
        <f t="shared" si="4"/>
        <v>0</v>
      </c>
      <c r="H291" s="2">
        <v>0</v>
      </c>
    </row>
    <row r="292" spans="2:8">
      <c r="B292" t="s">
        <v>276</v>
      </c>
      <c r="C292" t="s">
        <v>582</v>
      </c>
      <c r="D292" s="7" t="s">
        <v>476</v>
      </c>
      <c r="E292" s="1">
        <v>0</v>
      </c>
      <c r="G292" s="2">
        <f t="shared" si="4"/>
        <v>0</v>
      </c>
      <c r="H292" s="2">
        <v>0</v>
      </c>
    </row>
    <row r="293" spans="2:8">
      <c r="B293" t="s">
        <v>276</v>
      </c>
      <c r="C293" t="s">
        <v>582</v>
      </c>
      <c r="D293" s="8" t="s">
        <v>477</v>
      </c>
      <c r="E293" s="1">
        <v>0</v>
      </c>
      <c r="G293" s="2">
        <f t="shared" si="4"/>
        <v>0</v>
      </c>
      <c r="H293" s="2">
        <v>0</v>
      </c>
    </row>
    <row r="294" spans="2:8">
      <c r="B294" t="s">
        <v>276</v>
      </c>
      <c r="C294" t="s">
        <v>582</v>
      </c>
      <c r="D294" s="9" t="s">
        <v>478</v>
      </c>
      <c r="E294" s="1">
        <v>0</v>
      </c>
      <c r="G294" s="2">
        <f t="shared" si="4"/>
        <v>0</v>
      </c>
      <c r="H294" s="2">
        <v>0</v>
      </c>
    </row>
    <row r="295" spans="2:8">
      <c r="B295" t="s">
        <v>276</v>
      </c>
      <c r="C295" t="s">
        <v>582</v>
      </c>
      <c r="D295" s="10" t="s">
        <v>479</v>
      </c>
      <c r="E295" s="1">
        <v>0</v>
      </c>
      <c r="G295" s="2">
        <f t="shared" si="4"/>
        <v>0</v>
      </c>
      <c r="H295" s="2">
        <v>0</v>
      </c>
    </row>
    <row r="296" spans="2:8">
      <c r="B296" t="s">
        <v>276</v>
      </c>
      <c r="C296" t="s">
        <v>582</v>
      </c>
      <c r="D296" s="11" t="s">
        <v>480</v>
      </c>
      <c r="E296" s="1">
        <v>0</v>
      </c>
      <c r="G296" s="2">
        <f t="shared" si="4"/>
        <v>0</v>
      </c>
      <c r="H296" s="2">
        <v>0</v>
      </c>
    </row>
    <row r="297" spans="2:8">
      <c r="B297" t="s">
        <v>276</v>
      </c>
      <c r="C297" t="s">
        <v>582</v>
      </c>
      <c r="D297" s="13" t="s">
        <v>481</v>
      </c>
      <c r="E297" s="1">
        <v>0</v>
      </c>
      <c r="G297" s="2">
        <f t="shared" si="4"/>
        <v>0</v>
      </c>
      <c r="H297" s="2">
        <v>0</v>
      </c>
    </row>
    <row r="298" spans="2:8">
      <c r="B298" t="s">
        <v>276</v>
      </c>
      <c r="C298" t="s">
        <v>582</v>
      </c>
      <c r="D298" s="12" t="s">
        <v>1033</v>
      </c>
      <c r="E298" s="1">
        <v>0</v>
      </c>
      <c r="G298" s="2">
        <f t="shared" si="4"/>
        <v>0</v>
      </c>
      <c r="H298" s="2">
        <v>0</v>
      </c>
    </row>
    <row r="299" spans="2:8">
      <c r="B299" t="s">
        <v>235</v>
      </c>
      <c r="C299" t="s">
        <v>583</v>
      </c>
      <c r="D299" s="5" t="s">
        <v>474</v>
      </c>
      <c r="E299" s="1">
        <v>0</v>
      </c>
      <c r="G299" s="2">
        <f t="shared" si="4"/>
        <v>0</v>
      </c>
      <c r="H299" s="2">
        <v>0</v>
      </c>
    </row>
    <row r="300" spans="2:8">
      <c r="B300" t="s">
        <v>235</v>
      </c>
      <c r="C300" t="s">
        <v>583</v>
      </c>
      <c r="D300" s="6" t="s">
        <v>475</v>
      </c>
      <c r="E300" s="1">
        <v>0</v>
      </c>
      <c r="G300" s="2">
        <f t="shared" si="4"/>
        <v>0</v>
      </c>
      <c r="H300" s="2">
        <v>0</v>
      </c>
    </row>
    <row r="301" spans="2:8">
      <c r="B301" t="s">
        <v>235</v>
      </c>
      <c r="C301" t="s">
        <v>583</v>
      </c>
      <c r="D301" s="7" t="s">
        <v>476</v>
      </c>
      <c r="E301" s="1">
        <v>0</v>
      </c>
      <c r="G301" s="2">
        <f t="shared" si="4"/>
        <v>0</v>
      </c>
      <c r="H301" s="2">
        <v>0</v>
      </c>
    </row>
    <row r="302" spans="2:8">
      <c r="B302" t="s">
        <v>235</v>
      </c>
      <c r="C302" t="s">
        <v>583</v>
      </c>
      <c r="D302" s="8" t="s">
        <v>477</v>
      </c>
      <c r="E302" s="1">
        <v>0</v>
      </c>
      <c r="G302" s="2">
        <f t="shared" si="4"/>
        <v>0</v>
      </c>
      <c r="H302" s="2">
        <v>0</v>
      </c>
    </row>
    <row r="303" spans="2:8">
      <c r="B303" t="s">
        <v>235</v>
      </c>
      <c r="C303" t="s">
        <v>583</v>
      </c>
      <c r="D303" s="9" t="s">
        <v>478</v>
      </c>
      <c r="E303" s="1">
        <v>0</v>
      </c>
      <c r="G303" s="2">
        <f t="shared" si="4"/>
        <v>0</v>
      </c>
      <c r="H303" s="2">
        <v>0</v>
      </c>
    </row>
    <row r="304" spans="2:8">
      <c r="B304" t="s">
        <v>235</v>
      </c>
      <c r="C304" t="s">
        <v>583</v>
      </c>
      <c r="D304" s="10" t="s">
        <v>479</v>
      </c>
      <c r="E304" s="1">
        <v>0</v>
      </c>
      <c r="G304" s="2">
        <f t="shared" si="4"/>
        <v>0</v>
      </c>
      <c r="H304" s="2">
        <v>0</v>
      </c>
    </row>
    <row r="305" spans="2:8">
      <c r="B305" t="s">
        <v>235</v>
      </c>
      <c r="C305" t="s">
        <v>583</v>
      </c>
      <c r="D305" s="11" t="s">
        <v>480</v>
      </c>
      <c r="E305" s="1">
        <v>0</v>
      </c>
      <c r="G305" s="2">
        <f t="shared" si="4"/>
        <v>0</v>
      </c>
      <c r="H305" s="2">
        <v>0</v>
      </c>
    </row>
    <row r="306" spans="2:8">
      <c r="B306" t="s">
        <v>235</v>
      </c>
      <c r="C306" t="s">
        <v>583</v>
      </c>
      <c r="D306" s="13" t="s">
        <v>481</v>
      </c>
      <c r="E306" s="1">
        <v>0</v>
      </c>
      <c r="G306" s="2">
        <f t="shared" si="4"/>
        <v>0</v>
      </c>
      <c r="H306" s="2">
        <v>0</v>
      </c>
    </row>
    <row r="307" spans="2:8">
      <c r="B307" t="s">
        <v>235</v>
      </c>
      <c r="C307" t="s">
        <v>583</v>
      </c>
      <c r="D307" s="12" t="s">
        <v>1033</v>
      </c>
      <c r="E307" s="1">
        <v>0</v>
      </c>
      <c r="G307" s="2">
        <f t="shared" si="4"/>
        <v>0</v>
      </c>
      <c r="H307" s="2">
        <v>0</v>
      </c>
    </row>
    <row r="308" spans="2:8">
      <c r="B308" t="s">
        <v>277</v>
      </c>
      <c r="C308" t="s">
        <v>584</v>
      </c>
      <c r="D308" s="5" t="s">
        <v>474</v>
      </c>
      <c r="E308" s="1">
        <v>0</v>
      </c>
      <c r="G308" s="2">
        <f t="shared" si="4"/>
        <v>0</v>
      </c>
      <c r="H308" s="2">
        <v>0</v>
      </c>
    </row>
    <row r="309" spans="2:8">
      <c r="B309" t="s">
        <v>277</v>
      </c>
      <c r="C309" t="s">
        <v>584</v>
      </c>
      <c r="D309" s="6" t="s">
        <v>475</v>
      </c>
      <c r="E309" s="1">
        <v>0</v>
      </c>
      <c r="G309" s="2">
        <f t="shared" si="4"/>
        <v>0</v>
      </c>
      <c r="H309" s="2">
        <v>0</v>
      </c>
    </row>
    <row r="310" spans="2:8">
      <c r="B310" t="s">
        <v>277</v>
      </c>
      <c r="C310" t="s">
        <v>584</v>
      </c>
      <c r="D310" s="7" t="s">
        <v>476</v>
      </c>
      <c r="E310" s="1">
        <v>0</v>
      </c>
      <c r="G310" s="2">
        <f t="shared" si="4"/>
        <v>0</v>
      </c>
      <c r="H310" s="2">
        <v>0</v>
      </c>
    </row>
    <row r="311" spans="2:8">
      <c r="B311" t="s">
        <v>277</v>
      </c>
      <c r="C311" t="s">
        <v>584</v>
      </c>
      <c r="D311" s="8" t="s">
        <v>477</v>
      </c>
      <c r="E311" s="1">
        <v>0</v>
      </c>
      <c r="G311" s="2">
        <f t="shared" si="4"/>
        <v>0</v>
      </c>
      <c r="H311" s="2">
        <v>0</v>
      </c>
    </row>
    <row r="312" spans="2:8">
      <c r="B312" t="s">
        <v>277</v>
      </c>
      <c r="C312" t="s">
        <v>584</v>
      </c>
      <c r="D312" s="9" t="s">
        <v>478</v>
      </c>
      <c r="E312" s="1">
        <v>0</v>
      </c>
      <c r="G312" s="2">
        <f t="shared" si="4"/>
        <v>0</v>
      </c>
      <c r="H312" s="2">
        <v>0</v>
      </c>
    </row>
    <row r="313" spans="2:8">
      <c r="B313" t="s">
        <v>277</v>
      </c>
      <c r="C313" t="s">
        <v>584</v>
      </c>
      <c r="D313" s="10" t="s">
        <v>479</v>
      </c>
      <c r="E313" s="1">
        <v>0</v>
      </c>
      <c r="G313" s="2">
        <f t="shared" si="4"/>
        <v>0</v>
      </c>
      <c r="H313" s="2">
        <v>0</v>
      </c>
    </row>
    <row r="314" spans="2:8">
      <c r="B314" t="s">
        <v>277</v>
      </c>
      <c r="C314" t="s">
        <v>584</v>
      </c>
      <c r="D314" s="11" t="s">
        <v>480</v>
      </c>
      <c r="E314" s="1">
        <v>0</v>
      </c>
      <c r="G314" s="2">
        <f t="shared" si="4"/>
        <v>0</v>
      </c>
      <c r="H314" s="2">
        <v>0</v>
      </c>
    </row>
    <row r="315" spans="2:8">
      <c r="B315" t="s">
        <v>277</v>
      </c>
      <c r="C315" t="s">
        <v>584</v>
      </c>
      <c r="D315" s="13" t="s">
        <v>481</v>
      </c>
      <c r="E315" s="1">
        <v>0</v>
      </c>
      <c r="G315" s="2">
        <f t="shared" si="4"/>
        <v>0</v>
      </c>
      <c r="H315" s="2">
        <v>0</v>
      </c>
    </row>
    <row r="316" spans="2:8">
      <c r="B316" t="s">
        <v>277</v>
      </c>
      <c r="C316" t="s">
        <v>584</v>
      </c>
      <c r="D316" s="12" t="s">
        <v>1033</v>
      </c>
      <c r="E316" s="1">
        <v>0</v>
      </c>
      <c r="G316" s="2">
        <f t="shared" si="4"/>
        <v>0</v>
      </c>
      <c r="H316" s="2">
        <v>0</v>
      </c>
    </row>
    <row r="317" spans="2:8">
      <c r="B317" t="s">
        <v>182</v>
      </c>
      <c r="C317" t="s">
        <v>585</v>
      </c>
      <c r="D317" s="5" t="s">
        <v>474</v>
      </c>
      <c r="E317" s="1">
        <v>0</v>
      </c>
      <c r="G317" s="2">
        <f t="shared" si="4"/>
        <v>0</v>
      </c>
      <c r="H317" s="2">
        <v>0</v>
      </c>
    </row>
    <row r="318" spans="2:8">
      <c r="B318" t="s">
        <v>182</v>
      </c>
      <c r="C318" t="s">
        <v>585</v>
      </c>
      <c r="D318" s="6" t="s">
        <v>475</v>
      </c>
      <c r="E318" s="1">
        <v>0</v>
      </c>
      <c r="G318" s="2">
        <f t="shared" si="4"/>
        <v>0</v>
      </c>
      <c r="H318" s="2">
        <v>0</v>
      </c>
    </row>
    <row r="319" spans="2:8">
      <c r="B319" t="s">
        <v>182</v>
      </c>
      <c r="C319" t="s">
        <v>585</v>
      </c>
      <c r="D319" s="7" t="s">
        <v>476</v>
      </c>
      <c r="E319" s="1">
        <v>0</v>
      </c>
      <c r="G319" s="2">
        <f t="shared" si="4"/>
        <v>0</v>
      </c>
      <c r="H319" s="2">
        <v>0</v>
      </c>
    </row>
    <row r="320" spans="2:8">
      <c r="B320" t="s">
        <v>182</v>
      </c>
      <c r="C320" t="s">
        <v>585</v>
      </c>
      <c r="D320" s="8" t="s">
        <v>477</v>
      </c>
      <c r="E320" s="1">
        <v>0</v>
      </c>
      <c r="G320" s="2">
        <f t="shared" si="4"/>
        <v>0</v>
      </c>
      <c r="H320" s="2">
        <v>0</v>
      </c>
    </row>
    <row r="321" spans="2:8">
      <c r="B321" t="s">
        <v>182</v>
      </c>
      <c r="C321" t="s">
        <v>585</v>
      </c>
      <c r="D321" s="9" t="s">
        <v>478</v>
      </c>
      <c r="E321" s="1">
        <v>0</v>
      </c>
      <c r="G321" s="2">
        <f t="shared" si="4"/>
        <v>0</v>
      </c>
      <c r="H321" s="2">
        <v>0</v>
      </c>
    </row>
    <row r="322" spans="2:8">
      <c r="B322" t="s">
        <v>182</v>
      </c>
      <c r="C322" t="s">
        <v>585</v>
      </c>
      <c r="D322" s="10" t="s">
        <v>479</v>
      </c>
      <c r="E322" s="1">
        <v>0</v>
      </c>
      <c r="G322" s="2">
        <f t="shared" ref="G322:G385" si="5">E322*F322</f>
        <v>0</v>
      </c>
      <c r="H322" s="2">
        <v>0</v>
      </c>
    </row>
    <row r="323" spans="2:8">
      <c r="B323" t="s">
        <v>182</v>
      </c>
      <c r="C323" t="s">
        <v>585</v>
      </c>
      <c r="D323" s="11" t="s">
        <v>480</v>
      </c>
      <c r="E323" s="1">
        <v>0</v>
      </c>
      <c r="G323" s="2">
        <f t="shared" si="5"/>
        <v>0</v>
      </c>
      <c r="H323" s="2">
        <v>0</v>
      </c>
    </row>
    <row r="324" spans="2:8">
      <c r="B324" t="s">
        <v>182</v>
      </c>
      <c r="C324" t="s">
        <v>585</v>
      </c>
      <c r="D324" s="13" t="s">
        <v>481</v>
      </c>
      <c r="E324" s="1">
        <v>0</v>
      </c>
      <c r="G324" s="2">
        <f t="shared" si="5"/>
        <v>0</v>
      </c>
      <c r="H324" s="2">
        <v>0</v>
      </c>
    </row>
    <row r="325" spans="2:8">
      <c r="B325" t="s">
        <v>182</v>
      </c>
      <c r="C325" t="s">
        <v>585</v>
      </c>
      <c r="D325" s="12" t="s">
        <v>1033</v>
      </c>
      <c r="E325" s="1">
        <v>0</v>
      </c>
      <c r="G325" s="2">
        <f t="shared" si="5"/>
        <v>0</v>
      </c>
      <c r="H325" s="2">
        <v>0</v>
      </c>
    </row>
    <row r="326" spans="2:8">
      <c r="B326" t="s">
        <v>183</v>
      </c>
      <c r="C326" t="s">
        <v>586</v>
      </c>
      <c r="D326" s="5" t="s">
        <v>474</v>
      </c>
      <c r="E326" s="1">
        <v>0</v>
      </c>
      <c r="G326" s="2">
        <f t="shared" si="5"/>
        <v>0</v>
      </c>
      <c r="H326" s="2">
        <v>0</v>
      </c>
    </row>
    <row r="327" spans="2:8">
      <c r="B327" t="s">
        <v>183</v>
      </c>
      <c r="C327" t="s">
        <v>586</v>
      </c>
      <c r="D327" s="6" t="s">
        <v>475</v>
      </c>
      <c r="E327" s="1">
        <v>0</v>
      </c>
      <c r="G327" s="2">
        <f t="shared" si="5"/>
        <v>0</v>
      </c>
      <c r="H327" s="2">
        <v>0</v>
      </c>
    </row>
    <row r="328" spans="2:8">
      <c r="B328" t="s">
        <v>183</v>
      </c>
      <c r="C328" t="s">
        <v>586</v>
      </c>
      <c r="D328" s="7" t="s">
        <v>476</v>
      </c>
      <c r="E328" s="1">
        <v>0</v>
      </c>
      <c r="G328" s="2">
        <f t="shared" si="5"/>
        <v>0</v>
      </c>
      <c r="H328" s="2">
        <v>0</v>
      </c>
    </row>
    <row r="329" spans="2:8">
      <c r="B329" t="s">
        <v>183</v>
      </c>
      <c r="C329" t="s">
        <v>586</v>
      </c>
      <c r="D329" s="8" t="s">
        <v>477</v>
      </c>
      <c r="E329" s="1">
        <v>0</v>
      </c>
      <c r="G329" s="2">
        <f t="shared" si="5"/>
        <v>0</v>
      </c>
      <c r="H329" s="2">
        <v>0</v>
      </c>
    </row>
    <row r="330" spans="2:8">
      <c r="B330" t="s">
        <v>183</v>
      </c>
      <c r="C330" t="s">
        <v>586</v>
      </c>
      <c r="D330" s="9" t="s">
        <v>478</v>
      </c>
      <c r="E330" s="1">
        <v>0</v>
      </c>
      <c r="G330" s="2">
        <f t="shared" si="5"/>
        <v>0</v>
      </c>
      <c r="H330" s="2">
        <v>0</v>
      </c>
    </row>
    <row r="331" spans="2:8">
      <c r="B331" t="s">
        <v>183</v>
      </c>
      <c r="C331" t="s">
        <v>586</v>
      </c>
      <c r="D331" s="10" t="s">
        <v>479</v>
      </c>
      <c r="E331" s="1">
        <v>0</v>
      </c>
      <c r="G331" s="2">
        <f t="shared" si="5"/>
        <v>0</v>
      </c>
      <c r="H331" s="2">
        <v>0</v>
      </c>
    </row>
    <row r="332" spans="2:8">
      <c r="B332" t="s">
        <v>183</v>
      </c>
      <c r="C332" t="s">
        <v>586</v>
      </c>
      <c r="D332" s="11" t="s">
        <v>480</v>
      </c>
      <c r="E332" s="1">
        <v>0</v>
      </c>
      <c r="G332" s="2">
        <f t="shared" si="5"/>
        <v>0</v>
      </c>
      <c r="H332" s="2">
        <v>0</v>
      </c>
    </row>
    <row r="333" spans="2:8">
      <c r="B333" t="s">
        <v>183</v>
      </c>
      <c r="C333" t="s">
        <v>586</v>
      </c>
      <c r="D333" s="13" t="s">
        <v>481</v>
      </c>
      <c r="E333" s="1">
        <v>0</v>
      </c>
      <c r="G333" s="2">
        <f t="shared" si="5"/>
        <v>0</v>
      </c>
      <c r="H333" s="2">
        <v>0</v>
      </c>
    </row>
    <row r="334" spans="2:8">
      <c r="B334" t="s">
        <v>183</v>
      </c>
      <c r="C334" t="s">
        <v>586</v>
      </c>
      <c r="D334" s="12" t="s">
        <v>1033</v>
      </c>
      <c r="E334" s="1">
        <v>0</v>
      </c>
      <c r="G334" s="2">
        <f t="shared" si="5"/>
        <v>0</v>
      </c>
      <c r="H334" s="2">
        <v>0</v>
      </c>
    </row>
    <row r="335" spans="2:8">
      <c r="B335" t="s">
        <v>331</v>
      </c>
      <c r="C335" t="s">
        <v>587</v>
      </c>
      <c r="D335" s="5" t="s">
        <v>474</v>
      </c>
      <c r="E335" s="1">
        <v>0</v>
      </c>
      <c r="G335" s="2">
        <f t="shared" si="5"/>
        <v>0</v>
      </c>
      <c r="H335" s="2">
        <v>0</v>
      </c>
    </row>
    <row r="336" spans="2:8">
      <c r="B336" t="s">
        <v>331</v>
      </c>
      <c r="C336" t="s">
        <v>587</v>
      </c>
      <c r="D336" s="6" t="s">
        <v>475</v>
      </c>
      <c r="E336" s="1">
        <v>0</v>
      </c>
      <c r="G336" s="2">
        <f t="shared" si="5"/>
        <v>0</v>
      </c>
      <c r="H336" s="2">
        <v>0</v>
      </c>
    </row>
    <row r="337" spans="2:8">
      <c r="B337" t="s">
        <v>331</v>
      </c>
      <c r="C337" t="s">
        <v>587</v>
      </c>
      <c r="D337" s="7" t="s">
        <v>476</v>
      </c>
      <c r="E337" s="1">
        <v>0</v>
      </c>
      <c r="G337" s="2">
        <f t="shared" si="5"/>
        <v>0</v>
      </c>
      <c r="H337" s="2">
        <v>0</v>
      </c>
    </row>
    <row r="338" spans="2:8">
      <c r="B338" t="s">
        <v>331</v>
      </c>
      <c r="C338" t="s">
        <v>587</v>
      </c>
      <c r="D338" s="8" t="s">
        <v>477</v>
      </c>
      <c r="E338" s="1">
        <v>0</v>
      </c>
      <c r="G338" s="2">
        <f t="shared" si="5"/>
        <v>0</v>
      </c>
      <c r="H338" s="2">
        <v>0</v>
      </c>
    </row>
    <row r="339" spans="2:8">
      <c r="B339" t="s">
        <v>331</v>
      </c>
      <c r="C339" t="s">
        <v>587</v>
      </c>
      <c r="D339" s="9" t="s">
        <v>478</v>
      </c>
      <c r="E339" s="1">
        <v>0</v>
      </c>
      <c r="G339" s="2">
        <f t="shared" si="5"/>
        <v>0</v>
      </c>
      <c r="H339" s="2">
        <v>0</v>
      </c>
    </row>
    <row r="340" spans="2:8">
      <c r="B340" t="s">
        <v>331</v>
      </c>
      <c r="C340" t="s">
        <v>587</v>
      </c>
      <c r="D340" s="10" t="s">
        <v>479</v>
      </c>
      <c r="E340" s="1">
        <v>0</v>
      </c>
      <c r="G340" s="2">
        <f t="shared" si="5"/>
        <v>0</v>
      </c>
      <c r="H340" s="2">
        <v>0</v>
      </c>
    </row>
    <row r="341" spans="2:8">
      <c r="B341" t="s">
        <v>331</v>
      </c>
      <c r="C341" t="s">
        <v>587</v>
      </c>
      <c r="D341" s="11" t="s">
        <v>480</v>
      </c>
      <c r="E341" s="1">
        <v>0</v>
      </c>
      <c r="G341" s="2">
        <f t="shared" si="5"/>
        <v>0</v>
      </c>
      <c r="H341" s="2">
        <v>0</v>
      </c>
    </row>
    <row r="342" spans="2:8">
      <c r="B342" t="s">
        <v>331</v>
      </c>
      <c r="C342" t="s">
        <v>587</v>
      </c>
      <c r="D342" s="13" t="s">
        <v>481</v>
      </c>
      <c r="E342" s="1">
        <v>0</v>
      </c>
      <c r="G342" s="2">
        <f t="shared" si="5"/>
        <v>0</v>
      </c>
      <c r="H342" s="2">
        <v>0</v>
      </c>
    </row>
    <row r="343" spans="2:8">
      <c r="B343" t="s">
        <v>331</v>
      </c>
      <c r="C343" t="s">
        <v>587</v>
      </c>
      <c r="D343" s="12" t="s">
        <v>1033</v>
      </c>
      <c r="E343" s="1">
        <v>0</v>
      </c>
      <c r="G343" s="2">
        <f t="shared" si="5"/>
        <v>0</v>
      </c>
      <c r="H343" s="2">
        <v>0</v>
      </c>
    </row>
    <row r="344" spans="2:8">
      <c r="B344" t="s">
        <v>214</v>
      </c>
      <c r="C344" t="s">
        <v>588</v>
      </c>
      <c r="D344" s="5" t="s">
        <v>474</v>
      </c>
      <c r="E344" s="1">
        <v>0</v>
      </c>
      <c r="G344" s="2">
        <f t="shared" si="5"/>
        <v>0</v>
      </c>
      <c r="H344" s="2">
        <v>0</v>
      </c>
    </row>
    <row r="345" spans="2:8">
      <c r="B345" t="s">
        <v>214</v>
      </c>
      <c r="C345" t="s">
        <v>588</v>
      </c>
      <c r="D345" s="6" t="s">
        <v>475</v>
      </c>
      <c r="E345" s="1">
        <v>0</v>
      </c>
      <c r="G345" s="2">
        <f t="shared" si="5"/>
        <v>0</v>
      </c>
      <c r="H345" s="2">
        <v>0</v>
      </c>
    </row>
    <row r="346" spans="2:8">
      <c r="B346" t="s">
        <v>214</v>
      </c>
      <c r="C346" t="s">
        <v>588</v>
      </c>
      <c r="D346" s="7" t="s">
        <v>476</v>
      </c>
      <c r="E346" s="1">
        <v>0</v>
      </c>
      <c r="G346" s="2">
        <f t="shared" si="5"/>
        <v>0</v>
      </c>
      <c r="H346" s="2">
        <v>0</v>
      </c>
    </row>
    <row r="347" spans="2:8">
      <c r="B347" t="s">
        <v>214</v>
      </c>
      <c r="C347" t="s">
        <v>588</v>
      </c>
      <c r="D347" s="8" t="s">
        <v>477</v>
      </c>
      <c r="E347" s="1">
        <v>0</v>
      </c>
      <c r="G347" s="2">
        <f t="shared" si="5"/>
        <v>0</v>
      </c>
      <c r="H347" s="2">
        <v>0</v>
      </c>
    </row>
    <row r="348" spans="2:8">
      <c r="B348" t="s">
        <v>214</v>
      </c>
      <c r="C348" t="s">
        <v>588</v>
      </c>
      <c r="D348" s="9" t="s">
        <v>478</v>
      </c>
      <c r="E348" s="1">
        <v>0</v>
      </c>
      <c r="G348" s="2">
        <f t="shared" si="5"/>
        <v>0</v>
      </c>
      <c r="H348" s="2">
        <v>0</v>
      </c>
    </row>
    <row r="349" spans="2:8">
      <c r="B349" t="s">
        <v>214</v>
      </c>
      <c r="C349" t="s">
        <v>588</v>
      </c>
      <c r="D349" s="10" t="s">
        <v>479</v>
      </c>
      <c r="E349" s="1">
        <v>0</v>
      </c>
      <c r="G349" s="2">
        <f t="shared" si="5"/>
        <v>0</v>
      </c>
      <c r="H349" s="2">
        <v>0</v>
      </c>
    </row>
    <row r="350" spans="2:8">
      <c r="B350" t="s">
        <v>214</v>
      </c>
      <c r="C350" t="s">
        <v>588</v>
      </c>
      <c r="D350" s="11" t="s">
        <v>480</v>
      </c>
      <c r="E350" s="1">
        <v>0</v>
      </c>
      <c r="G350" s="2">
        <f t="shared" si="5"/>
        <v>0</v>
      </c>
      <c r="H350" s="2">
        <v>0</v>
      </c>
    </row>
    <row r="351" spans="2:8">
      <c r="B351" t="s">
        <v>214</v>
      </c>
      <c r="C351" t="s">
        <v>588</v>
      </c>
      <c r="D351" s="13" t="s">
        <v>481</v>
      </c>
      <c r="E351" s="1">
        <v>0</v>
      </c>
      <c r="G351" s="2">
        <f t="shared" si="5"/>
        <v>0</v>
      </c>
      <c r="H351" s="2">
        <v>0</v>
      </c>
    </row>
    <row r="352" spans="2:8">
      <c r="B352" t="s">
        <v>214</v>
      </c>
      <c r="C352" t="s">
        <v>588</v>
      </c>
      <c r="D352" s="12" t="s">
        <v>1033</v>
      </c>
      <c r="E352" s="1">
        <v>0</v>
      </c>
      <c r="G352" s="2">
        <f t="shared" si="5"/>
        <v>0</v>
      </c>
      <c r="H352" s="2">
        <v>0</v>
      </c>
    </row>
    <row r="353" spans="2:8">
      <c r="B353" t="s">
        <v>282</v>
      </c>
      <c r="C353" t="s">
        <v>589</v>
      </c>
      <c r="D353" s="5" t="s">
        <v>474</v>
      </c>
      <c r="E353" s="1">
        <v>0</v>
      </c>
      <c r="G353" s="2">
        <f t="shared" si="5"/>
        <v>0</v>
      </c>
      <c r="H353" s="2">
        <v>0</v>
      </c>
    </row>
    <row r="354" spans="2:8">
      <c r="B354" t="s">
        <v>282</v>
      </c>
      <c r="C354" t="s">
        <v>589</v>
      </c>
      <c r="D354" s="6" t="s">
        <v>475</v>
      </c>
      <c r="E354" s="1">
        <v>0</v>
      </c>
      <c r="G354" s="2">
        <f t="shared" si="5"/>
        <v>0</v>
      </c>
      <c r="H354" s="2">
        <v>0</v>
      </c>
    </row>
    <row r="355" spans="2:8">
      <c r="B355" t="s">
        <v>282</v>
      </c>
      <c r="C355" t="s">
        <v>589</v>
      </c>
      <c r="D355" s="7" t="s">
        <v>476</v>
      </c>
      <c r="E355" s="1">
        <v>0</v>
      </c>
      <c r="G355" s="2">
        <f t="shared" si="5"/>
        <v>0</v>
      </c>
      <c r="H355" s="2">
        <v>0</v>
      </c>
    </row>
    <row r="356" spans="2:8">
      <c r="B356" t="s">
        <v>282</v>
      </c>
      <c r="C356" t="s">
        <v>589</v>
      </c>
      <c r="D356" s="8" t="s">
        <v>477</v>
      </c>
      <c r="E356" s="1">
        <v>0</v>
      </c>
      <c r="G356" s="2">
        <f t="shared" si="5"/>
        <v>0</v>
      </c>
      <c r="H356" s="2">
        <v>0</v>
      </c>
    </row>
    <row r="357" spans="2:8">
      <c r="B357" t="s">
        <v>282</v>
      </c>
      <c r="C357" t="s">
        <v>589</v>
      </c>
      <c r="D357" s="9" t="s">
        <v>478</v>
      </c>
      <c r="E357" s="1">
        <v>0</v>
      </c>
      <c r="G357" s="2">
        <f t="shared" si="5"/>
        <v>0</v>
      </c>
      <c r="H357" s="2">
        <v>0</v>
      </c>
    </row>
    <row r="358" spans="2:8">
      <c r="B358" t="s">
        <v>282</v>
      </c>
      <c r="C358" t="s">
        <v>589</v>
      </c>
      <c r="D358" s="10" t="s">
        <v>479</v>
      </c>
      <c r="E358" s="1">
        <v>0</v>
      </c>
      <c r="G358" s="2">
        <f t="shared" si="5"/>
        <v>0</v>
      </c>
      <c r="H358" s="2">
        <v>0</v>
      </c>
    </row>
    <row r="359" spans="2:8">
      <c r="B359" t="s">
        <v>282</v>
      </c>
      <c r="C359" t="s">
        <v>589</v>
      </c>
      <c r="D359" s="11" t="s">
        <v>480</v>
      </c>
      <c r="E359" s="1">
        <v>0</v>
      </c>
      <c r="G359" s="2">
        <f t="shared" si="5"/>
        <v>0</v>
      </c>
      <c r="H359" s="2">
        <v>0</v>
      </c>
    </row>
    <row r="360" spans="2:8">
      <c r="B360" t="s">
        <v>282</v>
      </c>
      <c r="C360" t="s">
        <v>589</v>
      </c>
      <c r="D360" s="13" t="s">
        <v>481</v>
      </c>
      <c r="E360" s="1">
        <v>0</v>
      </c>
      <c r="G360" s="2">
        <f t="shared" si="5"/>
        <v>0</v>
      </c>
      <c r="H360" s="2">
        <v>0</v>
      </c>
    </row>
    <row r="361" spans="2:8">
      <c r="B361" t="s">
        <v>282</v>
      </c>
      <c r="C361" t="s">
        <v>589</v>
      </c>
      <c r="D361" s="12" t="s">
        <v>1033</v>
      </c>
      <c r="E361" s="1">
        <v>0</v>
      </c>
      <c r="G361" s="2">
        <f t="shared" si="5"/>
        <v>0</v>
      </c>
      <c r="H361" s="2">
        <v>0</v>
      </c>
    </row>
    <row r="362" spans="2:8">
      <c r="B362" t="s">
        <v>184</v>
      </c>
      <c r="C362" t="s">
        <v>590</v>
      </c>
      <c r="D362" s="5" t="s">
        <v>474</v>
      </c>
      <c r="E362" s="1">
        <v>0</v>
      </c>
      <c r="G362" s="2">
        <f t="shared" si="5"/>
        <v>0</v>
      </c>
      <c r="H362" s="2">
        <v>0</v>
      </c>
    </row>
    <row r="363" spans="2:8">
      <c r="B363" t="s">
        <v>184</v>
      </c>
      <c r="C363" t="s">
        <v>590</v>
      </c>
      <c r="D363" s="6" t="s">
        <v>475</v>
      </c>
      <c r="E363" s="1">
        <v>0</v>
      </c>
      <c r="G363" s="2">
        <f t="shared" si="5"/>
        <v>0</v>
      </c>
      <c r="H363" s="2">
        <v>0</v>
      </c>
    </row>
    <row r="364" spans="2:8">
      <c r="B364" t="s">
        <v>184</v>
      </c>
      <c r="C364" t="s">
        <v>590</v>
      </c>
      <c r="D364" s="7" t="s">
        <v>476</v>
      </c>
      <c r="E364" s="1">
        <v>0</v>
      </c>
      <c r="G364" s="2">
        <f t="shared" si="5"/>
        <v>0</v>
      </c>
      <c r="H364" s="2">
        <v>0</v>
      </c>
    </row>
    <row r="365" spans="2:8">
      <c r="B365" t="s">
        <v>184</v>
      </c>
      <c r="C365" t="s">
        <v>590</v>
      </c>
      <c r="D365" s="8" t="s">
        <v>477</v>
      </c>
      <c r="E365" s="1">
        <v>0</v>
      </c>
      <c r="G365" s="2">
        <f t="shared" si="5"/>
        <v>0</v>
      </c>
      <c r="H365" s="2">
        <v>0</v>
      </c>
    </row>
    <row r="366" spans="2:8">
      <c r="B366" t="s">
        <v>184</v>
      </c>
      <c r="C366" t="s">
        <v>590</v>
      </c>
      <c r="D366" s="9" t="s">
        <v>478</v>
      </c>
      <c r="E366" s="1">
        <v>0</v>
      </c>
      <c r="G366" s="2">
        <f t="shared" si="5"/>
        <v>0</v>
      </c>
      <c r="H366" s="2">
        <v>0</v>
      </c>
    </row>
    <row r="367" spans="2:8">
      <c r="B367" t="s">
        <v>184</v>
      </c>
      <c r="C367" t="s">
        <v>590</v>
      </c>
      <c r="D367" s="10" t="s">
        <v>479</v>
      </c>
      <c r="E367" s="1">
        <v>0</v>
      </c>
      <c r="G367" s="2">
        <f t="shared" si="5"/>
        <v>0</v>
      </c>
      <c r="H367" s="2">
        <v>0</v>
      </c>
    </row>
    <row r="368" spans="2:8">
      <c r="B368" t="s">
        <v>184</v>
      </c>
      <c r="C368" t="s">
        <v>590</v>
      </c>
      <c r="D368" s="11" t="s">
        <v>480</v>
      </c>
      <c r="E368" s="1">
        <v>0</v>
      </c>
      <c r="G368" s="2">
        <f t="shared" si="5"/>
        <v>0</v>
      </c>
      <c r="H368" s="2">
        <v>0</v>
      </c>
    </row>
    <row r="369" spans="2:8">
      <c r="B369" t="s">
        <v>184</v>
      </c>
      <c r="C369" t="s">
        <v>590</v>
      </c>
      <c r="D369" s="13" t="s">
        <v>481</v>
      </c>
      <c r="E369" s="1">
        <v>0</v>
      </c>
      <c r="G369" s="2">
        <f t="shared" si="5"/>
        <v>0</v>
      </c>
      <c r="H369" s="2">
        <v>0</v>
      </c>
    </row>
    <row r="370" spans="2:8">
      <c r="B370" t="s">
        <v>184</v>
      </c>
      <c r="C370" t="s">
        <v>590</v>
      </c>
      <c r="D370" s="12" t="s">
        <v>1033</v>
      </c>
      <c r="E370" s="1">
        <v>0</v>
      </c>
      <c r="G370" s="2">
        <f t="shared" si="5"/>
        <v>0</v>
      </c>
      <c r="H370" s="2">
        <v>0</v>
      </c>
    </row>
    <row r="371" spans="2:8">
      <c r="B371" t="s">
        <v>283</v>
      </c>
      <c r="C371" t="s">
        <v>591</v>
      </c>
      <c r="D371" s="5" t="s">
        <v>474</v>
      </c>
      <c r="E371" s="1">
        <v>0</v>
      </c>
      <c r="G371" s="2">
        <f t="shared" si="5"/>
        <v>0</v>
      </c>
      <c r="H371" s="2">
        <v>0</v>
      </c>
    </row>
    <row r="372" spans="2:8">
      <c r="B372" t="s">
        <v>283</v>
      </c>
      <c r="C372" t="s">
        <v>591</v>
      </c>
      <c r="D372" s="6" t="s">
        <v>475</v>
      </c>
      <c r="E372" s="1">
        <v>0</v>
      </c>
      <c r="G372" s="2">
        <f t="shared" si="5"/>
        <v>0</v>
      </c>
      <c r="H372" s="2">
        <v>0</v>
      </c>
    </row>
    <row r="373" spans="2:8">
      <c r="B373" t="s">
        <v>283</v>
      </c>
      <c r="C373" t="s">
        <v>591</v>
      </c>
      <c r="D373" s="7" t="s">
        <v>476</v>
      </c>
      <c r="E373" s="1">
        <v>0</v>
      </c>
      <c r="G373" s="2">
        <f t="shared" si="5"/>
        <v>0</v>
      </c>
      <c r="H373" s="2">
        <v>0</v>
      </c>
    </row>
    <row r="374" spans="2:8">
      <c r="B374" t="s">
        <v>283</v>
      </c>
      <c r="C374" t="s">
        <v>591</v>
      </c>
      <c r="D374" s="8" t="s">
        <v>477</v>
      </c>
      <c r="E374" s="1">
        <v>0</v>
      </c>
      <c r="G374" s="2">
        <f t="shared" si="5"/>
        <v>0</v>
      </c>
      <c r="H374" s="2">
        <v>0</v>
      </c>
    </row>
    <row r="375" spans="2:8">
      <c r="B375" t="s">
        <v>283</v>
      </c>
      <c r="C375" t="s">
        <v>591</v>
      </c>
      <c r="D375" s="9" t="s">
        <v>478</v>
      </c>
      <c r="E375" s="1">
        <v>0</v>
      </c>
      <c r="G375" s="2">
        <f t="shared" si="5"/>
        <v>0</v>
      </c>
      <c r="H375" s="2">
        <v>0</v>
      </c>
    </row>
    <row r="376" spans="2:8">
      <c r="B376" t="s">
        <v>283</v>
      </c>
      <c r="C376" t="s">
        <v>591</v>
      </c>
      <c r="D376" s="10" t="s">
        <v>479</v>
      </c>
      <c r="E376" s="1">
        <v>0</v>
      </c>
      <c r="G376" s="2">
        <f t="shared" si="5"/>
        <v>0</v>
      </c>
      <c r="H376" s="2">
        <v>0</v>
      </c>
    </row>
    <row r="377" spans="2:8">
      <c r="B377" t="s">
        <v>283</v>
      </c>
      <c r="C377" t="s">
        <v>591</v>
      </c>
      <c r="D377" s="11" t="s">
        <v>480</v>
      </c>
      <c r="E377" s="1">
        <v>0</v>
      </c>
      <c r="G377" s="2">
        <f t="shared" si="5"/>
        <v>0</v>
      </c>
      <c r="H377" s="2">
        <v>0</v>
      </c>
    </row>
    <row r="378" spans="2:8">
      <c r="B378" t="s">
        <v>283</v>
      </c>
      <c r="C378" t="s">
        <v>591</v>
      </c>
      <c r="D378" s="13" t="s">
        <v>481</v>
      </c>
      <c r="E378" s="1">
        <v>0</v>
      </c>
      <c r="G378" s="2">
        <f t="shared" si="5"/>
        <v>0</v>
      </c>
      <c r="H378" s="2">
        <v>0</v>
      </c>
    </row>
    <row r="379" spans="2:8">
      <c r="B379" t="s">
        <v>283</v>
      </c>
      <c r="C379" t="s">
        <v>591</v>
      </c>
      <c r="D379" s="12" t="s">
        <v>1033</v>
      </c>
      <c r="E379" s="1">
        <v>0</v>
      </c>
      <c r="G379" s="2">
        <f t="shared" si="5"/>
        <v>0</v>
      </c>
      <c r="H379" s="2">
        <v>0</v>
      </c>
    </row>
    <row r="380" spans="2:8">
      <c r="B380" t="s">
        <v>185</v>
      </c>
      <c r="C380" t="s">
        <v>592</v>
      </c>
      <c r="D380" s="5" t="s">
        <v>474</v>
      </c>
      <c r="E380" s="1">
        <v>0</v>
      </c>
      <c r="G380" s="2">
        <f t="shared" si="5"/>
        <v>0</v>
      </c>
      <c r="H380" s="2">
        <v>0</v>
      </c>
    </row>
    <row r="381" spans="2:8">
      <c r="B381" t="s">
        <v>185</v>
      </c>
      <c r="C381" t="s">
        <v>592</v>
      </c>
      <c r="D381" s="6" t="s">
        <v>475</v>
      </c>
      <c r="E381" s="1">
        <v>0</v>
      </c>
      <c r="G381" s="2">
        <f t="shared" si="5"/>
        <v>0</v>
      </c>
      <c r="H381" s="2">
        <v>0</v>
      </c>
    </row>
    <row r="382" spans="2:8">
      <c r="B382" t="s">
        <v>185</v>
      </c>
      <c r="C382" t="s">
        <v>592</v>
      </c>
      <c r="D382" s="7" t="s">
        <v>476</v>
      </c>
      <c r="E382" s="1">
        <v>0</v>
      </c>
      <c r="G382" s="2">
        <f t="shared" si="5"/>
        <v>0</v>
      </c>
      <c r="H382" s="2">
        <v>0</v>
      </c>
    </row>
    <row r="383" spans="2:8">
      <c r="B383" t="s">
        <v>185</v>
      </c>
      <c r="C383" t="s">
        <v>592</v>
      </c>
      <c r="D383" s="8" t="s">
        <v>477</v>
      </c>
      <c r="E383" s="1">
        <v>0</v>
      </c>
      <c r="G383" s="2">
        <f t="shared" si="5"/>
        <v>0</v>
      </c>
      <c r="H383" s="2">
        <v>0</v>
      </c>
    </row>
    <row r="384" spans="2:8">
      <c r="B384" t="s">
        <v>185</v>
      </c>
      <c r="C384" t="s">
        <v>592</v>
      </c>
      <c r="D384" s="9" t="s">
        <v>478</v>
      </c>
      <c r="E384" s="1">
        <v>0</v>
      </c>
      <c r="G384" s="2">
        <f t="shared" si="5"/>
        <v>0</v>
      </c>
      <c r="H384" s="2">
        <v>0</v>
      </c>
    </row>
    <row r="385" spans="2:8">
      <c r="B385" t="s">
        <v>185</v>
      </c>
      <c r="C385" t="s">
        <v>592</v>
      </c>
      <c r="D385" s="10" t="s">
        <v>479</v>
      </c>
      <c r="E385" s="1">
        <v>0</v>
      </c>
      <c r="G385" s="2">
        <f t="shared" si="5"/>
        <v>0</v>
      </c>
      <c r="H385" s="2">
        <v>0</v>
      </c>
    </row>
    <row r="386" spans="2:8">
      <c r="B386" t="s">
        <v>185</v>
      </c>
      <c r="C386" t="s">
        <v>592</v>
      </c>
      <c r="D386" s="11" t="s">
        <v>480</v>
      </c>
      <c r="E386" s="1">
        <v>0</v>
      </c>
      <c r="G386" s="2">
        <f t="shared" ref="G386:G449" si="6">E386*F386</f>
        <v>0</v>
      </c>
      <c r="H386" s="2">
        <v>0</v>
      </c>
    </row>
    <row r="387" spans="2:8">
      <c r="B387" t="s">
        <v>185</v>
      </c>
      <c r="C387" t="s">
        <v>592</v>
      </c>
      <c r="D387" s="13" t="s">
        <v>481</v>
      </c>
      <c r="E387" s="1">
        <v>0</v>
      </c>
      <c r="G387" s="2">
        <f t="shared" si="6"/>
        <v>0</v>
      </c>
      <c r="H387" s="2">
        <v>0</v>
      </c>
    </row>
    <row r="388" spans="2:8">
      <c r="B388" t="s">
        <v>185</v>
      </c>
      <c r="C388" t="s">
        <v>592</v>
      </c>
      <c r="D388" s="12" t="s">
        <v>1033</v>
      </c>
      <c r="E388" s="1">
        <v>0</v>
      </c>
      <c r="G388" s="2">
        <f t="shared" si="6"/>
        <v>0</v>
      </c>
      <c r="H388" s="2">
        <v>0</v>
      </c>
    </row>
    <row r="389" spans="2:8">
      <c r="B389" t="s">
        <v>284</v>
      </c>
      <c r="C389" t="s">
        <v>593</v>
      </c>
      <c r="D389" s="5" t="s">
        <v>474</v>
      </c>
      <c r="E389" s="1">
        <v>0</v>
      </c>
      <c r="G389" s="2">
        <f t="shared" si="6"/>
        <v>0</v>
      </c>
      <c r="H389" s="2">
        <v>0</v>
      </c>
    </row>
    <row r="390" spans="2:8">
      <c r="B390" t="s">
        <v>284</v>
      </c>
      <c r="C390" t="s">
        <v>593</v>
      </c>
      <c r="D390" s="6" t="s">
        <v>475</v>
      </c>
      <c r="E390" s="1">
        <v>0</v>
      </c>
      <c r="G390" s="2">
        <f t="shared" si="6"/>
        <v>0</v>
      </c>
      <c r="H390" s="2">
        <v>0</v>
      </c>
    </row>
    <row r="391" spans="2:8">
      <c r="B391" t="s">
        <v>284</v>
      </c>
      <c r="C391" t="s">
        <v>593</v>
      </c>
      <c r="D391" s="7" t="s">
        <v>476</v>
      </c>
      <c r="E391" s="1">
        <v>0</v>
      </c>
      <c r="G391" s="2">
        <f t="shared" si="6"/>
        <v>0</v>
      </c>
      <c r="H391" s="2">
        <v>0</v>
      </c>
    </row>
    <row r="392" spans="2:8">
      <c r="B392" t="s">
        <v>284</v>
      </c>
      <c r="C392" t="s">
        <v>593</v>
      </c>
      <c r="D392" s="8" t="s">
        <v>477</v>
      </c>
      <c r="E392" s="1">
        <v>0</v>
      </c>
      <c r="G392" s="2">
        <f t="shared" si="6"/>
        <v>0</v>
      </c>
      <c r="H392" s="2">
        <v>0</v>
      </c>
    </row>
    <row r="393" spans="2:8">
      <c r="B393" t="s">
        <v>284</v>
      </c>
      <c r="C393" t="s">
        <v>593</v>
      </c>
      <c r="D393" s="9" t="s">
        <v>478</v>
      </c>
      <c r="E393" s="1">
        <v>0</v>
      </c>
      <c r="G393" s="2">
        <f t="shared" si="6"/>
        <v>0</v>
      </c>
      <c r="H393" s="2">
        <v>0</v>
      </c>
    </row>
    <row r="394" spans="2:8">
      <c r="B394" t="s">
        <v>284</v>
      </c>
      <c r="C394" t="s">
        <v>593</v>
      </c>
      <c r="D394" s="10" t="s">
        <v>479</v>
      </c>
      <c r="E394" s="1">
        <v>0</v>
      </c>
      <c r="G394" s="2">
        <f t="shared" si="6"/>
        <v>0</v>
      </c>
      <c r="H394" s="2">
        <v>0</v>
      </c>
    </row>
    <row r="395" spans="2:8">
      <c r="B395" t="s">
        <v>284</v>
      </c>
      <c r="C395" t="s">
        <v>593</v>
      </c>
      <c r="D395" s="11" t="s">
        <v>480</v>
      </c>
      <c r="E395" s="1">
        <v>0</v>
      </c>
      <c r="G395" s="2">
        <f t="shared" si="6"/>
        <v>0</v>
      </c>
      <c r="H395" s="2">
        <v>0</v>
      </c>
    </row>
    <row r="396" spans="2:8">
      <c r="B396" t="s">
        <v>284</v>
      </c>
      <c r="C396" t="s">
        <v>593</v>
      </c>
      <c r="D396" s="13" t="s">
        <v>481</v>
      </c>
      <c r="E396" s="1">
        <v>0</v>
      </c>
      <c r="G396" s="2">
        <f t="shared" si="6"/>
        <v>0</v>
      </c>
      <c r="H396" s="2">
        <v>0</v>
      </c>
    </row>
    <row r="397" spans="2:8">
      <c r="B397" t="s">
        <v>284</v>
      </c>
      <c r="C397" t="s">
        <v>593</v>
      </c>
      <c r="D397" s="12" t="s">
        <v>1033</v>
      </c>
      <c r="E397" s="1">
        <v>0</v>
      </c>
      <c r="G397" s="2">
        <f t="shared" si="6"/>
        <v>0</v>
      </c>
      <c r="H397" s="2">
        <v>0</v>
      </c>
    </row>
    <row r="398" spans="2:8">
      <c r="B398" t="s">
        <v>332</v>
      </c>
      <c r="C398" t="s">
        <v>594</v>
      </c>
      <c r="D398" s="5" t="s">
        <v>474</v>
      </c>
      <c r="E398" s="1">
        <v>0</v>
      </c>
      <c r="G398" s="2">
        <f t="shared" si="6"/>
        <v>0</v>
      </c>
      <c r="H398" s="2">
        <v>0</v>
      </c>
    </row>
    <row r="399" spans="2:8">
      <c r="B399" t="s">
        <v>332</v>
      </c>
      <c r="C399" t="s">
        <v>594</v>
      </c>
      <c r="D399" s="6" t="s">
        <v>475</v>
      </c>
      <c r="E399" s="1">
        <v>0</v>
      </c>
      <c r="G399" s="2">
        <f t="shared" si="6"/>
        <v>0</v>
      </c>
      <c r="H399" s="2">
        <v>0</v>
      </c>
    </row>
    <row r="400" spans="2:8">
      <c r="B400" t="s">
        <v>332</v>
      </c>
      <c r="C400" t="s">
        <v>594</v>
      </c>
      <c r="D400" s="7" t="s">
        <v>476</v>
      </c>
      <c r="E400" s="1">
        <v>0</v>
      </c>
      <c r="G400" s="2">
        <f t="shared" si="6"/>
        <v>0</v>
      </c>
      <c r="H400" s="2">
        <v>0</v>
      </c>
    </row>
    <row r="401" spans="2:8">
      <c r="B401" t="s">
        <v>332</v>
      </c>
      <c r="C401" t="s">
        <v>594</v>
      </c>
      <c r="D401" s="8" t="s">
        <v>477</v>
      </c>
      <c r="E401" s="1">
        <v>0</v>
      </c>
      <c r="G401" s="2">
        <f t="shared" si="6"/>
        <v>0</v>
      </c>
      <c r="H401" s="2">
        <v>0</v>
      </c>
    </row>
    <row r="402" spans="2:8">
      <c r="B402" t="s">
        <v>332</v>
      </c>
      <c r="C402" t="s">
        <v>594</v>
      </c>
      <c r="D402" s="9" t="s">
        <v>478</v>
      </c>
      <c r="E402" s="1">
        <v>0</v>
      </c>
      <c r="G402" s="2">
        <f t="shared" si="6"/>
        <v>0</v>
      </c>
      <c r="H402" s="2">
        <v>0</v>
      </c>
    </row>
    <row r="403" spans="2:8">
      <c r="B403" t="s">
        <v>332</v>
      </c>
      <c r="C403" t="s">
        <v>594</v>
      </c>
      <c r="D403" s="10" t="s">
        <v>479</v>
      </c>
      <c r="E403" s="1">
        <v>0</v>
      </c>
      <c r="G403" s="2">
        <f t="shared" si="6"/>
        <v>0</v>
      </c>
      <c r="H403" s="2">
        <v>0</v>
      </c>
    </row>
    <row r="404" spans="2:8">
      <c r="B404" t="s">
        <v>332</v>
      </c>
      <c r="C404" t="s">
        <v>594</v>
      </c>
      <c r="D404" s="11" t="s">
        <v>480</v>
      </c>
      <c r="E404" s="1">
        <v>0</v>
      </c>
      <c r="G404" s="2">
        <f t="shared" si="6"/>
        <v>0</v>
      </c>
      <c r="H404" s="2">
        <v>0</v>
      </c>
    </row>
    <row r="405" spans="2:8">
      <c r="B405" t="s">
        <v>332</v>
      </c>
      <c r="C405" t="s">
        <v>594</v>
      </c>
      <c r="D405" s="13" t="s">
        <v>481</v>
      </c>
      <c r="E405" s="1">
        <v>0</v>
      </c>
      <c r="G405" s="2">
        <f t="shared" si="6"/>
        <v>0</v>
      </c>
      <c r="H405" s="2">
        <v>0</v>
      </c>
    </row>
    <row r="406" spans="2:8">
      <c r="B406" t="s">
        <v>332</v>
      </c>
      <c r="C406" t="s">
        <v>594</v>
      </c>
      <c r="D406" s="12" t="s">
        <v>1033</v>
      </c>
      <c r="E406" s="1">
        <v>0</v>
      </c>
      <c r="G406" s="2">
        <f t="shared" si="6"/>
        <v>0</v>
      </c>
      <c r="H406" s="2">
        <v>0</v>
      </c>
    </row>
    <row r="407" spans="2:8">
      <c r="B407" t="s">
        <v>885</v>
      </c>
      <c r="C407" t="s">
        <v>895</v>
      </c>
      <c r="D407" s="5" t="s">
        <v>474</v>
      </c>
      <c r="E407" s="1">
        <v>0</v>
      </c>
      <c r="G407" s="2">
        <f t="shared" si="6"/>
        <v>0</v>
      </c>
      <c r="H407" s="2">
        <v>0</v>
      </c>
    </row>
    <row r="408" spans="2:8">
      <c r="B408" t="s">
        <v>885</v>
      </c>
      <c r="C408" t="s">
        <v>895</v>
      </c>
      <c r="D408" s="6" t="s">
        <v>475</v>
      </c>
      <c r="E408" s="1">
        <v>0</v>
      </c>
      <c r="G408" s="2">
        <f t="shared" si="6"/>
        <v>0</v>
      </c>
      <c r="H408" s="2">
        <v>0</v>
      </c>
    </row>
    <row r="409" spans="2:8">
      <c r="B409" t="s">
        <v>885</v>
      </c>
      <c r="C409" t="s">
        <v>895</v>
      </c>
      <c r="D409" s="7" t="s">
        <v>476</v>
      </c>
      <c r="E409" s="1">
        <v>0</v>
      </c>
      <c r="G409" s="2">
        <f t="shared" si="6"/>
        <v>0</v>
      </c>
      <c r="H409" s="2">
        <v>0</v>
      </c>
    </row>
    <row r="410" spans="2:8">
      <c r="B410" t="s">
        <v>885</v>
      </c>
      <c r="C410" t="s">
        <v>895</v>
      </c>
      <c r="D410" s="8" t="s">
        <v>477</v>
      </c>
      <c r="E410" s="1">
        <v>0</v>
      </c>
      <c r="G410" s="2">
        <f t="shared" si="6"/>
        <v>0</v>
      </c>
      <c r="H410" s="2">
        <v>0</v>
      </c>
    </row>
    <row r="411" spans="2:8">
      <c r="B411" t="s">
        <v>885</v>
      </c>
      <c r="C411" t="s">
        <v>895</v>
      </c>
      <c r="D411" s="9" t="s">
        <v>478</v>
      </c>
      <c r="E411" s="1">
        <v>0</v>
      </c>
      <c r="G411" s="2">
        <f t="shared" si="6"/>
        <v>0</v>
      </c>
      <c r="H411" s="2">
        <v>0</v>
      </c>
    </row>
    <row r="412" spans="2:8">
      <c r="B412" t="s">
        <v>885</v>
      </c>
      <c r="C412" t="s">
        <v>895</v>
      </c>
      <c r="D412" s="10" t="s">
        <v>479</v>
      </c>
      <c r="E412" s="1">
        <v>0</v>
      </c>
      <c r="G412" s="2">
        <f t="shared" si="6"/>
        <v>0</v>
      </c>
      <c r="H412" s="2">
        <v>0</v>
      </c>
    </row>
    <row r="413" spans="2:8">
      <c r="B413" t="s">
        <v>885</v>
      </c>
      <c r="C413" t="s">
        <v>895</v>
      </c>
      <c r="D413" s="11" t="s">
        <v>480</v>
      </c>
      <c r="E413" s="1">
        <v>0</v>
      </c>
      <c r="G413" s="2">
        <f t="shared" si="6"/>
        <v>0</v>
      </c>
      <c r="H413" s="2">
        <v>0</v>
      </c>
    </row>
    <row r="414" spans="2:8">
      <c r="B414" t="s">
        <v>885</v>
      </c>
      <c r="C414" t="s">
        <v>895</v>
      </c>
      <c r="D414" s="13" t="s">
        <v>481</v>
      </c>
      <c r="E414" s="1">
        <v>0</v>
      </c>
      <c r="G414" s="2">
        <f t="shared" si="6"/>
        <v>0</v>
      </c>
      <c r="H414" s="2">
        <v>0</v>
      </c>
    </row>
    <row r="415" spans="2:8">
      <c r="B415" t="s">
        <v>885</v>
      </c>
      <c r="C415" t="s">
        <v>895</v>
      </c>
      <c r="D415" s="12" t="s">
        <v>1033</v>
      </c>
      <c r="E415" s="1">
        <v>0</v>
      </c>
      <c r="G415" s="2">
        <f t="shared" si="6"/>
        <v>0</v>
      </c>
      <c r="H415" s="2">
        <v>0</v>
      </c>
    </row>
    <row r="416" spans="2:8">
      <c r="B416" t="s">
        <v>272</v>
      </c>
      <c r="C416" t="s">
        <v>595</v>
      </c>
      <c r="D416" s="5" t="s">
        <v>474</v>
      </c>
      <c r="E416" s="1">
        <v>0</v>
      </c>
      <c r="G416" s="2">
        <f t="shared" si="6"/>
        <v>0</v>
      </c>
      <c r="H416" s="2">
        <v>0</v>
      </c>
    </row>
    <row r="417" spans="2:8">
      <c r="B417" t="s">
        <v>272</v>
      </c>
      <c r="C417" t="s">
        <v>595</v>
      </c>
      <c r="D417" s="6" t="s">
        <v>475</v>
      </c>
      <c r="E417" s="1">
        <v>0</v>
      </c>
      <c r="G417" s="2">
        <f t="shared" si="6"/>
        <v>0</v>
      </c>
      <c r="H417" s="2">
        <v>0</v>
      </c>
    </row>
    <row r="418" spans="2:8">
      <c r="B418" t="s">
        <v>272</v>
      </c>
      <c r="C418" t="s">
        <v>595</v>
      </c>
      <c r="D418" s="7" t="s">
        <v>476</v>
      </c>
      <c r="E418" s="1">
        <v>0</v>
      </c>
      <c r="G418" s="2">
        <f t="shared" si="6"/>
        <v>0</v>
      </c>
      <c r="H418" s="2">
        <v>0</v>
      </c>
    </row>
    <row r="419" spans="2:8">
      <c r="B419" t="s">
        <v>272</v>
      </c>
      <c r="C419" t="s">
        <v>595</v>
      </c>
      <c r="D419" s="8" t="s">
        <v>477</v>
      </c>
      <c r="E419" s="1">
        <v>0</v>
      </c>
      <c r="G419" s="2">
        <f t="shared" si="6"/>
        <v>0</v>
      </c>
      <c r="H419" s="2">
        <v>0</v>
      </c>
    </row>
    <row r="420" spans="2:8">
      <c r="B420" t="s">
        <v>272</v>
      </c>
      <c r="C420" t="s">
        <v>595</v>
      </c>
      <c r="D420" s="9" t="s">
        <v>478</v>
      </c>
      <c r="E420" s="1">
        <v>0</v>
      </c>
      <c r="G420" s="2">
        <f t="shared" si="6"/>
        <v>0</v>
      </c>
      <c r="H420" s="2">
        <v>0</v>
      </c>
    </row>
    <row r="421" spans="2:8">
      <c r="B421" t="s">
        <v>272</v>
      </c>
      <c r="C421" t="s">
        <v>595</v>
      </c>
      <c r="D421" s="10" t="s">
        <v>479</v>
      </c>
      <c r="E421" s="1">
        <v>0</v>
      </c>
      <c r="G421" s="2">
        <f t="shared" si="6"/>
        <v>0</v>
      </c>
      <c r="H421" s="2">
        <v>0</v>
      </c>
    </row>
    <row r="422" spans="2:8">
      <c r="B422" t="s">
        <v>272</v>
      </c>
      <c r="C422" t="s">
        <v>595</v>
      </c>
      <c r="D422" s="11" t="s">
        <v>480</v>
      </c>
      <c r="E422" s="1">
        <v>0</v>
      </c>
      <c r="G422" s="2">
        <f t="shared" si="6"/>
        <v>0</v>
      </c>
      <c r="H422" s="2">
        <v>0</v>
      </c>
    </row>
    <row r="423" spans="2:8">
      <c r="B423" t="s">
        <v>272</v>
      </c>
      <c r="C423" t="s">
        <v>595</v>
      </c>
      <c r="D423" s="13" t="s">
        <v>481</v>
      </c>
      <c r="E423" s="1">
        <v>0</v>
      </c>
      <c r="G423" s="2">
        <f t="shared" si="6"/>
        <v>0</v>
      </c>
      <c r="H423" s="2">
        <v>0</v>
      </c>
    </row>
    <row r="424" spans="2:8">
      <c r="B424" t="s">
        <v>272</v>
      </c>
      <c r="C424" t="s">
        <v>595</v>
      </c>
      <c r="D424" s="12" t="s">
        <v>1033</v>
      </c>
      <c r="E424" s="1">
        <v>0</v>
      </c>
      <c r="G424" s="2">
        <f t="shared" si="6"/>
        <v>0</v>
      </c>
      <c r="H424" s="2">
        <v>0</v>
      </c>
    </row>
    <row r="425" spans="2:8">
      <c r="B425" t="s">
        <v>273</v>
      </c>
      <c r="C425" t="s">
        <v>596</v>
      </c>
      <c r="D425" s="5" t="s">
        <v>474</v>
      </c>
      <c r="E425" s="1">
        <v>0</v>
      </c>
      <c r="G425" s="2">
        <f t="shared" si="6"/>
        <v>0</v>
      </c>
      <c r="H425" s="2">
        <v>0</v>
      </c>
    </row>
    <row r="426" spans="2:8">
      <c r="B426" t="s">
        <v>273</v>
      </c>
      <c r="C426" t="s">
        <v>596</v>
      </c>
      <c r="D426" s="6" t="s">
        <v>475</v>
      </c>
      <c r="E426" s="1">
        <v>0</v>
      </c>
      <c r="G426" s="2">
        <f t="shared" si="6"/>
        <v>0</v>
      </c>
      <c r="H426" s="2">
        <v>0</v>
      </c>
    </row>
    <row r="427" spans="2:8">
      <c r="B427" t="s">
        <v>273</v>
      </c>
      <c r="C427" t="s">
        <v>596</v>
      </c>
      <c r="D427" s="7" t="s">
        <v>476</v>
      </c>
      <c r="E427" s="1">
        <v>0</v>
      </c>
      <c r="G427" s="2">
        <f t="shared" si="6"/>
        <v>0</v>
      </c>
      <c r="H427" s="2">
        <v>0</v>
      </c>
    </row>
    <row r="428" spans="2:8">
      <c r="B428" t="s">
        <v>273</v>
      </c>
      <c r="C428" t="s">
        <v>596</v>
      </c>
      <c r="D428" s="8" t="s">
        <v>477</v>
      </c>
      <c r="E428" s="1">
        <v>0</v>
      </c>
      <c r="G428" s="2">
        <f t="shared" si="6"/>
        <v>0</v>
      </c>
      <c r="H428" s="2">
        <v>0</v>
      </c>
    </row>
    <row r="429" spans="2:8">
      <c r="B429" t="s">
        <v>273</v>
      </c>
      <c r="C429" t="s">
        <v>596</v>
      </c>
      <c r="D429" s="9" t="s">
        <v>478</v>
      </c>
      <c r="E429" s="1">
        <v>0</v>
      </c>
      <c r="G429" s="2">
        <f t="shared" si="6"/>
        <v>0</v>
      </c>
      <c r="H429" s="2">
        <v>0</v>
      </c>
    </row>
    <row r="430" spans="2:8">
      <c r="B430" t="s">
        <v>273</v>
      </c>
      <c r="C430" t="s">
        <v>596</v>
      </c>
      <c r="D430" s="10" t="s">
        <v>479</v>
      </c>
      <c r="E430" s="1">
        <v>0</v>
      </c>
      <c r="G430" s="2">
        <f t="shared" si="6"/>
        <v>0</v>
      </c>
      <c r="H430" s="2">
        <v>0</v>
      </c>
    </row>
    <row r="431" spans="2:8">
      <c r="B431" t="s">
        <v>273</v>
      </c>
      <c r="C431" t="s">
        <v>596</v>
      </c>
      <c r="D431" s="11" t="s">
        <v>480</v>
      </c>
      <c r="E431" s="1">
        <v>0</v>
      </c>
      <c r="G431" s="2">
        <f t="shared" si="6"/>
        <v>0</v>
      </c>
      <c r="H431" s="2">
        <v>0</v>
      </c>
    </row>
    <row r="432" spans="2:8">
      <c r="B432" t="s">
        <v>273</v>
      </c>
      <c r="C432" t="s">
        <v>596</v>
      </c>
      <c r="D432" s="13" t="s">
        <v>481</v>
      </c>
      <c r="E432" s="1">
        <v>0</v>
      </c>
      <c r="G432" s="2">
        <f t="shared" si="6"/>
        <v>0</v>
      </c>
      <c r="H432" s="2">
        <v>0</v>
      </c>
    </row>
    <row r="433" spans="2:8">
      <c r="B433" t="s">
        <v>273</v>
      </c>
      <c r="C433" t="s">
        <v>596</v>
      </c>
      <c r="D433" s="12" t="s">
        <v>1033</v>
      </c>
      <c r="E433" s="1">
        <v>0</v>
      </c>
      <c r="G433" s="2">
        <f t="shared" si="6"/>
        <v>0</v>
      </c>
      <c r="H433" s="2">
        <v>0</v>
      </c>
    </row>
    <row r="434" spans="2:8">
      <c r="B434" t="s">
        <v>274</v>
      </c>
      <c r="C434" t="s">
        <v>597</v>
      </c>
      <c r="D434" s="5" t="s">
        <v>474</v>
      </c>
      <c r="E434" s="1">
        <v>0</v>
      </c>
      <c r="G434" s="2">
        <f t="shared" si="6"/>
        <v>0</v>
      </c>
      <c r="H434" s="2">
        <v>0</v>
      </c>
    </row>
    <row r="435" spans="2:8">
      <c r="B435" t="s">
        <v>274</v>
      </c>
      <c r="C435" t="s">
        <v>597</v>
      </c>
      <c r="D435" s="6" t="s">
        <v>475</v>
      </c>
      <c r="E435" s="1">
        <v>0</v>
      </c>
      <c r="G435" s="2">
        <f t="shared" si="6"/>
        <v>0</v>
      </c>
      <c r="H435" s="2">
        <v>0</v>
      </c>
    </row>
    <row r="436" spans="2:8">
      <c r="B436" t="s">
        <v>274</v>
      </c>
      <c r="C436" t="s">
        <v>597</v>
      </c>
      <c r="D436" s="7" t="s">
        <v>476</v>
      </c>
      <c r="E436" s="1">
        <v>0</v>
      </c>
      <c r="G436" s="2">
        <f t="shared" si="6"/>
        <v>0</v>
      </c>
      <c r="H436" s="2">
        <v>0</v>
      </c>
    </row>
    <row r="437" spans="2:8">
      <c r="B437" t="s">
        <v>274</v>
      </c>
      <c r="C437" t="s">
        <v>597</v>
      </c>
      <c r="D437" s="8" t="s">
        <v>477</v>
      </c>
      <c r="E437" s="1">
        <v>0</v>
      </c>
      <c r="G437" s="2">
        <f t="shared" si="6"/>
        <v>0</v>
      </c>
      <c r="H437" s="2">
        <v>0</v>
      </c>
    </row>
    <row r="438" spans="2:8">
      <c r="B438" t="s">
        <v>274</v>
      </c>
      <c r="C438" t="s">
        <v>597</v>
      </c>
      <c r="D438" s="9" t="s">
        <v>478</v>
      </c>
      <c r="E438" s="1">
        <v>0</v>
      </c>
      <c r="G438" s="2">
        <f t="shared" si="6"/>
        <v>0</v>
      </c>
      <c r="H438" s="2">
        <v>0</v>
      </c>
    </row>
    <row r="439" spans="2:8">
      <c r="B439" t="s">
        <v>274</v>
      </c>
      <c r="C439" t="s">
        <v>597</v>
      </c>
      <c r="D439" s="10" t="s">
        <v>479</v>
      </c>
      <c r="E439" s="1">
        <v>0</v>
      </c>
      <c r="G439" s="2">
        <f t="shared" si="6"/>
        <v>0</v>
      </c>
      <c r="H439" s="2">
        <v>0</v>
      </c>
    </row>
    <row r="440" spans="2:8">
      <c r="B440" t="s">
        <v>274</v>
      </c>
      <c r="C440" t="s">
        <v>597</v>
      </c>
      <c r="D440" s="11" t="s">
        <v>480</v>
      </c>
      <c r="E440" s="1">
        <v>0</v>
      </c>
      <c r="G440" s="2">
        <f t="shared" si="6"/>
        <v>0</v>
      </c>
      <c r="H440" s="2">
        <v>0</v>
      </c>
    </row>
    <row r="441" spans="2:8">
      <c r="B441" t="s">
        <v>274</v>
      </c>
      <c r="C441" t="s">
        <v>597</v>
      </c>
      <c r="D441" s="13" t="s">
        <v>481</v>
      </c>
      <c r="E441" s="1">
        <v>0</v>
      </c>
      <c r="G441" s="2">
        <f t="shared" si="6"/>
        <v>0</v>
      </c>
      <c r="H441" s="2">
        <v>0</v>
      </c>
    </row>
    <row r="442" spans="2:8">
      <c r="B442" t="s">
        <v>274</v>
      </c>
      <c r="C442" t="s">
        <v>597</v>
      </c>
      <c r="D442" s="12" t="s">
        <v>1033</v>
      </c>
      <c r="E442" s="1">
        <v>0</v>
      </c>
      <c r="G442" s="2">
        <f t="shared" si="6"/>
        <v>0</v>
      </c>
      <c r="H442" s="2">
        <v>0</v>
      </c>
    </row>
    <row r="443" spans="2:8">
      <c r="B443" t="s">
        <v>886</v>
      </c>
      <c r="C443" t="s">
        <v>896</v>
      </c>
      <c r="D443" s="5" t="s">
        <v>474</v>
      </c>
      <c r="E443" s="1">
        <v>0</v>
      </c>
      <c r="G443" s="2">
        <f t="shared" si="6"/>
        <v>0</v>
      </c>
      <c r="H443" s="2">
        <v>0</v>
      </c>
    </row>
    <row r="444" spans="2:8">
      <c r="B444" t="s">
        <v>886</v>
      </c>
      <c r="C444" t="s">
        <v>896</v>
      </c>
      <c r="D444" s="6" t="s">
        <v>475</v>
      </c>
      <c r="E444" s="1">
        <v>0</v>
      </c>
      <c r="G444" s="2">
        <f t="shared" si="6"/>
        <v>0</v>
      </c>
      <c r="H444" s="2">
        <v>0</v>
      </c>
    </row>
    <row r="445" spans="2:8">
      <c r="B445" t="s">
        <v>886</v>
      </c>
      <c r="C445" t="s">
        <v>896</v>
      </c>
      <c r="D445" s="7" t="s">
        <v>476</v>
      </c>
      <c r="E445" s="1">
        <v>0</v>
      </c>
      <c r="G445" s="2">
        <f t="shared" si="6"/>
        <v>0</v>
      </c>
      <c r="H445" s="2">
        <v>0</v>
      </c>
    </row>
    <row r="446" spans="2:8">
      <c r="B446" t="s">
        <v>886</v>
      </c>
      <c r="C446" t="s">
        <v>896</v>
      </c>
      <c r="D446" s="8" t="s">
        <v>477</v>
      </c>
      <c r="E446" s="1">
        <v>0</v>
      </c>
      <c r="G446" s="2">
        <f t="shared" si="6"/>
        <v>0</v>
      </c>
      <c r="H446" s="2">
        <v>0</v>
      </c>
    </row>
    <row r="447" spans="2:8">
      <c r="B447" t="s">
        <v>886</v>
      </c>
      <c r="C447" t="s">
        <v>896</v>
      </c>
      <c r="D447" s="9" t="s">
        <v>478</v>
      </c>
      <c r="E447" s="1">
        <v>0</v>
      </c>
      <c r="G447" s="2">
        <f t="shared" si="6"/>
        <v>0</v>
      </c>
      <c r="H447" s="2">
        <v>0</v>
      </c>
    </row>
    <row r="448" spans="2:8">
      <c r="B448" t="s">
        <v>886</v>
      </c>
      <c r="C448" t="s">
        <v>896</v>
      </c>
      <c r="D448" s="10" t="s">
        <v>479</v>
      </c>
      <c r="E448" s="1">
        <v>0</v>
      </c>
      <c r="G448" s="2">
        <f t="shared" si="6"/>
        <v>0</v>
      </c>
      <c r="H448" s="2">
        <v>0</v>
      </c>
    </row>
    <row r="449" spans="2:8">
      <c r="B449" t="s">
        <v>886</v>
      </c>
      <c r="C449" t="s">
        <v>896</v>
      </c>
      <c r="D449" s="11" t="s">
        <v>480</v>
      </c>
      <c r="E449" s="1">
        <v>0</v>
      </c>
      <c r="G449" s="2">
        <f t="shared" si="6"/>
        <v>0</v>
      </c>
      <c r="H449" s="2">
        <v>0</v>
      </c>
    </row>
    <row r="450" spans="2:8">
      <c r="B450" t="s">
        <v>886</v>
      </c>
      <c r="C450" t="s">
        <v>896</v>
      </c>
      <c r="D450" s="13" t="s">
        <v>481</v>
      </c>
      <c r="E450" s="1">
        <v>0</v>
      </c>
      <c r="G450" s="2">
        <f t="shared" ref="G450:G513" si="7">E450*F450</f>
        <v>0</v>
      </c>
      <c r="H450" s="2">
        <v>0</v>
      </c>
    </row>
    <row r="451" spans="2:8">
      <c r="B451" t="s">
        <v>886</v>
      </c>
      <c r="C451" t="s">
        <v>896</v>
      </c>
      <c r="D451" s="12" t="s">
        <v>1033</v>
      </c>
      <c r="E451" s="1">
        <v>0</v>
      </c>
      <c r="G451" s="2">
        <f t="shared" si="7"/>
        <v>0</v>
      </c>
      <c r="H451" s="2">
        <v>0</v>
      </c>
    </row>
    <row r="452" spans="2:8">
      <c r="B452" t="s">
        <v>287</v>
      </c>
      <c r="C452" t="s">
        <v>598</v>
      </c>
      <c r="D452" s="5" t="s">
        <v>474</v>
      </c>
      <c r="E452" s="1">
        <v>0</v>
      </c>
      <c r="G452" s="2">
        <f t="shared" si="7"/>
        <v>0</v>
      </c>
      <c r="H452" s="2">
        <v>0</v>
      </c>
    </row>
    <row r="453" spans="2:8">
      <c r="B453" t="s">
        <v>287</v>
      </c>
      <c r="C453" t="s">
        <v>598</v>
      </c>
      <c r="D453" s="6" t="s">
        <v>475</v>
      </c>
      <c r="E453" s="1">
        <v>0</v>
      </c>
      <c r="G453" s="2">
        <f t="shared" si="7"/>
        <v>0</v>
      </c>
      <c r="H453" s="2">
        <v>0</v>
      </c>
    </row>
    <row r="454" spans="2:8">
      <c r="B454" t="s">
        <v>287</v>
      </c>
      <c r="C454" t="s">
        <v>598</v>
      </c>
      <c r="D454" s="7" t="s">
        <v>476</v>
      </c>
      <c r="E454" s="1">
        <v>0</v>
      </c>
      <c r="G454" s="2">
        <f t="shared" si="7"/>
        <v>0</v>
      </c>
      <c r="H454" s="2">
        <v>0</v>
      </c>
    </row>
    <row r="455" spans="2:8">
      <c r="B455" t="s">
        <v>287</v>
      </c>
      <c r="C455" t="s">
        <v>598</v>
      </c>
      <c r="D455" s="8" t="s">
        <v>477</v>
      </c>
      <c r="E455" s="1">
        <v>0</v>
      </c>
      <c r="G455" s="2">
        <f t="shared" si="7"/>
        <v>0</v>
      </c>
      <c r="H455" s="2">
        <v>0</v>
      </c>
    </row>
    <row r="456" spans="2:8">
      <c r="B456" t="s">
        <v>287</v>
      </c>
      <c r="C456" t="s">
        <v>598</v>
      </c>
      <c r="D456" s="9" t="s">
        <v>478</v>
      </c>
      <c r="E456" s="1">
        <v>0</v>
      </c>
      <c r="G456" s="2">
        <f t="shared" si="7"/>
        <v>0</v>
      </c>
      <c r="H456" s="2">
        <v>0</v>
      </c>
    </row>
    <row r="457" spans="2:8">
      <c r="B457" t="s">
        <v>287</v>
      </c>
      <c r="C457" t="s">
        <v>598</v>
      </c>
      <c r="D457" s="10" t="s">
        <v>479</v>
      </c>
      <c r="E457" s="1">
        <v>0</v>
      </c>
      <c r="G457" s="2">
        <f t="shared" si="7"/>
        <v>0</v>
      </c>
      <c r="H457" s="2">
        <v>0</v>
      </c>
    </row>
    <row r="458" spans="2:8">
      <c r="B458" t="s">
        <v>287</v>
      </c>
      <c r="C458" t="s">
        <v>598</v>
      </c>
      <c r="D458" s="11" t="s">
        <v>480</v>
      </c>
      <c r="E458" s="1">
        <v>0</v>
      </c>
      <c r="G458" s="2">
        <f t="shared" si="7"/>
        <v>0</v>
      </c>
      <c r="H458" s="2">
        <v>0</v>
      </c>
    </row>
    <row r="459" spans="2:8">
      <c r="B459" t="s">
        <v>287</v>
      </c>
      <c r="C459" t="s">
        <v>598</v>
      </c>
      <c r="D459" s="13" t="s">
        <v>481</v>
      </c>
      <c r="E459" s="1">
        <v>0</v>
      </c>
      <c r="G459" s="2">
        <f t="shared" si="7"/>
        <v>0</v>
      </c>
      <c r="H459" s="2">
        <v>0</v>
      </c>
    </row>
    <row r="460" spans="2:8">
      <c r="B460" t="s">
        <v>287</v>
      </c>
      <c r="C460" t="s">
        <v>598</v>
      </c>
      <c r="D460" s="12" t="s">
        <v>1033</v>
      </c>
      <c r="E460" s="1">
        <v>0</v>
      </c>
      <c r="G460" s="2">
        <f t="shared" si="7"/>
        <v>0</v>
      </c>
      <c r="H460" s="2">
        <v>0</v>
      </c>
    </row>
    <row r="461" spans="2:8">
      <c r="B461" t="s">
        <v>288</v>
      </c>
      <c r="C461" t="s">
        <v>599</v>
      </c>
      <c r="D461" s="5" t="s">
        <v>474</v>
      </c>
      <c r="E461" s="1">
        <v>0</v>
      </c>
      <c r="G461" s="2">
        <f t="shared" si="7"/>
        <v>0</v>
      </c>
      <c r="H461" s="2">
        <v>0</v>
      </c>
    </row>
    <row r="462" spans="2:8">
      <c r="B462" t="s">
        <v>288</v>
      </c>
      <c r="C462" t="s">
        <v>599</v>
      </c>
      <c r="D462" s="6" t="s">
        <v>475</v>
      </c>
      <c r="E462" s="1">
        <v>0</v>
      </c>
      <c r="G462" s="2">
        <f t="shared" si="7"/>
        <v>0</v>
      </c>
      <c r="H462" s="2">
        <v>0</v>
      </c>
    </row>
    <row r="463" spans="2:8">
      <c r="B463" t="s">
        <v>288</v>
      </c>
      <c r="C463" t="s">
        <v>599</v>
      </c>
      <c r="D463" s="7" t="s">
        <v>476</v>
      </c>
      <c r="E463" s="1">
        <v>0</v>
      </c>
      <c r="G463" s="2">
        <f t="shared" si="7"/>
        <v>0</v>
      </c>
      <c r="H463" s="2">
        <v>0</v>
      </c>
    </row>
    <row r="464" spans="2:8">
      <c r="B464" t="s">
        <v>288</v>
      </c>
      <c r="C464" t="s">
        <v>599</v>
      </c>
      <c r="D464" s="8" t="s">
        <v>477</v>
      </c>
      <c r="E464" s="1">
        <v>0</v>
      </c>
      <c r="G464" s="2">
        <f t="shared" si="7"/>
        <v>0</v>
      </c>
      <c r="H464" s="2">
        <v>0</v>
      </c>
    </row>
    <row r="465" spans="2:8">
      <c r="B465" t="s">
        <v>288</v>
      </c>
      <c r="C465" t="s">
        <v>599</v>
      </c>
      <c r="D465" s="9" t="s">
        <v>478</v>
      </c>
      <c r="E465" s="1">
        <v>0</v>
      </c>
      <c r="G465" s="2">
        <f t="shared" si="7"/>
        <v>0</v>
      </c>
      <c r="H465" s="2">
        <v>0</v>
      </c>
    </row>
    <row r="466" spans="2:8">
      <c r="B466" t="s">
        <v>288</v>
      </c>
      <c r="C466" t="s">
        <v>599</v>
      </c>
      <c r="D466" s="10" t="s">
        <v>479</v>
      </c>
      <c r="E466" s="1">
        <v>0</v>
      </c>
      <c r="G466" s="2">
        <f t="shared" si="7"/>
        <v>0</v>
      </c>
      <c r="H466" s="2">
        <v>0</v>
      </c>
    </row>
    <row r="467" spans="2:8">
      <c r="B467" t="s">
        <v>288</v>
      </c>
      <c r="C467" t="s">
        <v>599</v>
      </c>
      <c r="D467" s="11" t="s">
        <v>480</v>
      </c>
      <c r="E467" s="1">
        <v>0</v>
      </c>
      <c r="G467" s="2">
        <f t="shared" si="7"/>
        <v>0</v>
      </c>
      <c r="H467" s="2">
        <v>0</v>
      </c>
    </row>
    <row r="468" spans="2:8">
      <c r="B468" t="s">
        <v>288</v>
      </c>
      <c r="C468" t="s">
        <v>599</v>
      </c>
      <c r="D468" s="13" t="s">
        <v>481</v>
      </c>
      <c r="E468" s="1">
        <v>0</v>
      </c>
      <c r="G468" s="2">
        <f t="shared" si="7"/>
        <v>0</v>
      </c>
      <c r="H468" s="2">
        <v>0</v>
      </c>
    </row>
    <row r="469" spans="2:8">
      <c r="B469" t="s">
        <v>288</v>
      </c>
      <c r="C469" t="s">
        <v>599</v>
      </c>
      <c r="D469" s="12" t="s">
        <v>1033</v>
      </c>
      <c r="E469" s="1">
        <v>0</v>
      </c>
      <c r="G469" s="2">
        <f t="shared" si="7"/>
        <v>0</v>
      </c>
      <c r="H469" s="2">
        <v>0</v>
      </c>
    </row>
    <row r="470" spans="2:8">
      <c r="B470" t="s">
        <v>289</v>
      </c>
      <c r="C470" t="s">
        <v>600</v>
      </c>
      <c r="D470" s="5" t="s">
        <v>474</v>
      </c>
      <c r="E470" s="1">
        <v>0</v>
      </c>
      <c r="G470" s="2">
        <f t="shared" si="7"/>
        <v>0</v>
      </c>
      <c r="H470" s="2">
        <v>0</v>
      </c>
    </row>
    <row r="471" spans="2:8">
      <c r="B471" t="s">
        <v>289</v>
      </c>
      <c r="C471" t="s">
        <v>600</v>
      </c>
      <c r="D471" s="6" t="s">
        <v>475</v>
      </c>
      <c r="E471" s="1">
        <v>0</v>
      </c>
      <c r="G471" s="2">
        <f t="shared" si="7"/>
        <v>0</v>
      </c>
      <c r="H471" s="2">
        <v>0</v>
      </c>
    </row>
    <row r="472" spans="2:8">
      <c r="B472" t="s">
        <v>289</v>
      </c>
      <c r="C472" t="s">
        <v>600</v>
      </c>
      <c r="D472" s="7" t="s">
        <v>476</v>
      </c>
      <c r="E472" s="1">
        <v>0</v>
      </c>
      <c r="G472" s="2">
        <f t="shared" si="7"/>
        <v>0</v>
      </c>
      <c r="H472" s="2">
        <v>0</v>
      </c>
    </row>
    <row r="473" spans="2:8">
      <c r="B473" t="s">
        <v>289</v>
      </c>
      <c r="C473" t="s">
        <v>600</v>
      </c>
      <c r="D473" s="8" t="s">
        <v>477</v>
      </c>
      <c r="E473" s="1">
        <v>0</v>
      </c>
      <c r="G473" s="2">
        <f t="shared" si="7"/>
        <v>0</v>
      </c>
      <c r="H473" s="2">
        <v>0</v>
      </c>
    </row>
    <row r="474" spans="2:8">
      <c r="B474" t="s">
        <v>289</v>
      </c>
      <c r="C474" t="s">
        <v>600</v>
      </c>
      <c r="D474" s="9" t="s">
        <v>478</v>
      </c>
      <c r="E474" s="1">
        <v>0</v>
      </c>
      <c r="G474" s="2">
        <f t="shared" si="7"/>
        <v>0</v>
      </c>
      <c r="H474" s="2">
        <v>0</v>
      </c>
    </row>
    <row r="475" spans="2:8">
      <c r="B475" t="s">
        <v>289</v>
      </c>
      <c r="C475" t="s">
        <v>600</v>
      </c>
      <c r="D475" s="10" t="s">
        <v>479</v>
      </c>
      <c r="E475" s="1">
        <v>0</v>
      </c>
      <c r="G475" s="2">
        <f t="shared" si="7"/>
        <v>0</v>
      </c>
      <c r="H475" s="2">
        <v>0</v>
      </c>
    </row>
    <row r="476" spans="2:8">
      <c r="B476" t="s">
        <v>289</v>
      </c>
      <c r="C476" t="s">
        <v>600</v>
      </c>
      <c r="D476" s="11" t="s">
        <v>480</v>
      </c>
      <c r="E476" s="1">
        <v>0</v>
      </c>
      <c r="G476" s="2">
        <f t="shared" si="7"/>
        <v>0</v>
      </c>
      <c r="H476" s="2">
        <v>0</v>
      </c>
    </row>
    <row r="477" spans="2:8">
      <c r="B477" t="s">
        <v>289</v>
      </c>
      <c r="C477" t="s">
        <v>600</v>
      </c>
      <c r="D477" s="13" t="s">
        <v>481</v>
      </c>
      <c r="E477" s="1">
        <v>0</v>
      </c>
      <c r="G477" s="2">
        <f t="shared" si="7"/>
        <v>0</v>
      </c>
      <c r="H477" s="2">
        <v>0</v>
      </c>
    </row>
    <row r="478" spans="2:8">
      <c r="B478" t="s">
        <v>289</v>
      </c>
      <c r="C478" t="s">
        <v>600</v>
      </c>
      <c r="D478" s="12" t="s">
        <v>1033</v>
      </c>
      <c r="E478" s="1">
        <v>0</v>
      </c>
      <c r="G478" s="2">
        <f t="shared" si="7"/>
        <v>0</v>
      </c>
      <c r="H478" s="2">
        <v>0</v>
      </c>
    </row>
    <row r="479" spans="2:8">
      <c r="B479" t="s">
        <v>879</v>
      </c>
      <c r="C479" t="s">
        <v>897</v>
      </c>
      <c r="D479" s="5" t="s">
        <v>474</v>
      </c>
      <c r="E479" s="1">
        <v>0</v>
      </c>
      <c r="G479" s="2">
        <f t="shared" si="7"/>
        <v>0</v>
      </c>
      <c r="H479" s="2">
        <v>0</v>
      </c>
    </row>
    <row r="480" spans="2:8">
      <c r="B480" t="s">
        <v>879</v>
      </c>
      <c r="C480" t="s">
        <v>897</v>
      </c>
      <c r="D480" s="6" t="s">
        <v>475</v>
      </c>
      <c r="E480" s="1">
        <v>0</v>
      </c>
      <c r="G480" s="2">
        <f t="shared" si="7"/>
        <v>0</v>
      </c>
      <c r="H480" s="2">
        <v>0</v>
      </c>
    </row>
    <row r="481" spans="2:8">
      <c r="B481" t="s">
        <v>879</v>
      </c>
      <c r="C481" t="s">
        <v>897</v>
      </c>
      <c r="D481" s="7" t="s">
        <v>476</v>
      </c>
      <c r="E481" s="1">
        <v>0</v>
      </c>
      <c r="G481" s="2">
        <f t="shared" si="7"/>
        <v>0</v>
      </c>
      <c r="H481" s="2">
        <v>0</v>
      </c>
    </row>
    <row r="482" spans="2:8">
      <c r="B482" t="s">
        <v>879</v>
      </c>
      <c r="C482" t="s">
        <v>897</v>
      </c>
      <c r="D482" s="8" t="s">
        <v>477</v>
      </c>
      <c r="E482" s="1">
        <v>0</v>
      </c>
      <c r="G482" s="2">
        <f t="shared" si="7"/>
        <v>0</v>
      </c>
      <c r="H482" s="2">
        <v>0</v>
      </c>
    </row>
    <row r="483" spans="2:8">
      <c r="B483" t="s">
        <v>879</v>
      </c>
      <c r="C483" t="s">
        <v>897</v>
      </c>
      <c r="D483" s="9" t="s">
        <v>478</v>
      </c>
      <c r="E483" s="1">
        <v>0</v>
      </c>
      <c r="G483" s="2">
        <f t="shared" si="7"/>
        <v>0</v>
      </c>
      <c r="H483" s="2">
        <v>0</v>
      </c>
    </row>
    <row r="484" spans="2:8">
      <c r="B484" t="s">
        <v>879</v>
      </c>
      <c r="C484" t="s">
        <v>897</v>
      </c>
      <c r="D484" s="10" t="s">
        <v>479</v>
      </c>
      <c r="E484" s="1">
        <v>0</v>
      </c>
      <c r="G484" s="2">
        <f t="shared" si="7"/>
        <v>0</v>
      </c>
      <c r="H484" s="2">
        <v>0</v>
      </c>
    </row>
    <row r="485" spans="2:8">
      <c r="B485" t="s">
        <v>879</v>
      </c>
      <c r="C485" t="s">
        <v>897</v>
      </c>
      <c r="D485" s="11" t="s">
        <v>480</v>
      </c>
      <c r="E485" s="1">
        <v>0</v>
      </c>
      <c r="G485" s="2">
        <f t="shared" si="7"/>
        <v>0</v>
      </c>
      <c r="H485" s="2">
        <v>0</v>
      </c>
    </row>
    <row r="486" spans="2:8">
      <c r="B486" t="s">
        <v>879</v>
      </c>
      <c r="C486" t="s">
        <v>897</v>
      </c>
      <c r="D486" s="13" t="s">
        <v>481</v>
      </c>
      <c r="E486" s="1">
        <v>0</v>
      </c>
      <c r="G486" s="2">
        <f t="shared" si="7"/>
        <v>0</v>
      </c>
      <c r="H486" s="2">
        <v>0</v>
      </c>
    </row>
    <row r="487" spans="2:8">
      <c r="B487" t="s">
        <v>879</v>
      </c>
      <c r="C487" t="s">
        <v>897</v>
      </c>
      <c r="D487" s="12" t="s">
        <v>1033</v>
      </c>
      <c r="E487" s="1">
        <v>0</v>
      </c>
      <c r="G487" s="2">
        <f t="shared" si="7"/>
        <v>0</v>
      </c>
      <c r="H487" s="2">
        <v>0</v>
      </c>
    </row>
    <row r="488" spans="2:8">
      <c r="B488" t="s">
        <v>146</v>
      </c>
      <c r="C488" t="s">
        <v>601</v>
      </c>
      <c r="D488" s="5" t="s">
        <v>474</v>
      </c>
      <c r="E488" s="1">
        <v>0</v>
      </c>
      <c r="G488" s="2">
        <f t="shared" si="7"/>
        <v>0</v>
      </c>
      <c r="H488" s="2">
        <v>0</v>
      </c>
    </row>
    <row r="489" spans="2:8">
      <c r="B489" t="s">
        <v>146</v>
      </c>
      <c r="C489" t="s">
        <v>601</v>
      </c>
      <c r="D489" s="6" t="s">
        <v>475</v>
      </c>
      <c r="E489" s="1">
        <v>0</v>
      </c>
      <c r="G489" s="2">
        <f t="shared" si="7"/>
        <v>0</v>
      </c>
      <c r="H489" s="2">
        <v>0</v>
      </c>
    </row>
    <row r="490" spans="2:8">
      <c r="B490" t="s">
        <v>146</v>
      </c>
      <c r="C490" t="s">
        <v>601</v>
      </c>
      <c r="D490" s="7" t="s">
        <v>476</v>
      </c>
      <c r="E490" s="1">
        <v>0</v>
      </c>
      <c r="G490" s="2">
        <f t="shared" si="7"/>
        <v>0</v>
      </c>
      <c r="H490" s="2">
        <v>0</v>
      </c>
    </row>
    <row r="491" spans="2:8">
      <c r="B491" t="s">
        <v>146</v>
      </c>
      <c r="C491" t="s">
        <v>601</v>
      </c>
      <c r="D491" s="8" t="s">
        <v>477</v>
      </c>
      <c r="E491" s="1">
        <v>0</v>
      </c>
      <c r="G491" s="2">
        <f t="shared" si="7"/>
        <v>0</v>
      </c>
      <c r="H491" s="2">
        <v>0</v>
      </c>
    </row>
    <row r="492" spans="2:8">
      <c r="B492" t="s">
        <v>146</v>
      </c>
      <c r="C492" t="s">
        <v>601</v>
      </c>
      <c r="D492" s="9" t="s">
        <v>478</v>
      </c>
      <c r="E492" s="1">
        <v>0</v>
      </c>
      <c r="G492" s="2">
        <f t="shared" si="7"/>
        <v>0</v>
      </c>
      <c r="H492" s="2">
        <v>0</v>
      </c>
    </row>
    <row r="493" spans="2:8">
      <c r="B493" t="s">
        <v>146</v>
      </c>
      <c r="C493" t="s">
        <v>601</v>
      </c>
      <c r="D493" s="10" t="s">
        <v>479</v>
      </c>
      <c r="E493" s="1">
        <v>0</v>
      </c>
      <c r="G493" s="2">
        <f t="shared" si="7"/>
        <v>0</v>
      </c>
      <c r="H493" s="2">
        <v>0</v>
      </c>
    </row>
    <row r="494" spans="2:8">
      <c r="B494" t="s">
        <v>146</v>
      </c>
      <c r="C494" t="s">
        <v>601</v>
      </c>
      <c r="D494" s="11" t="s">
        <v>480</v>
      </c>
      <c r="E494" s="1">
        <v>0</v>
      </c>
      <c r="G494" s="2">
        <f t="shared" si="7"/>
        <v>0</v>
      </c>
      <c r="H494" s="2">
        <v>0</v>
      </c>
    </row>
    <row r="495" spans="2:8">
      <c r="B495" t="s">
        <v>146</v>
      </c>
      <c r="C495" t="s">
        <v>601</v>
      </c>
      <c r="D495" s="13" t="s">
        <v>481</v>
      </c>
      <c r="E495" s="1">
        <v>0</v>
      </c>
      <c r="G495" s="2">
        <f t="shared" si="7"/>
        <v>0</v>
      </c>
      <c r="H495" s="2">
        <v>0</v>
      </c>
    </row>
    <row r="496" spans="2:8">
      <c r="B496" t="s">
        <v>146</v>
      </c>
      <c r="C496" t="s">
        <v>601</v>
      </c>
      <c r="D496" s="12" t="s">
        <v>1033</v>
      </c>
      <c r="E496" s="1">
        <v>0</v>
      </c>
      <c r="G496" s="2">
        <f t="shared" si="7"/>
        <v>0</v>
      </c>
      <c r="H496" s="2">
        <v>0</v>
      </c>
    </row>
    <row r="497" spans="2:8">
      <c r="B497" t="s">
        <v>147</v>
      </c>
      <c r="C497" t="s">
        <v>602</v>
      </c>
      <c r="D497" s="5" t="s">
        <v>474</v>
      </c>
      <c r="E497" s="1">
        <v>0</v>
      </c>
      <c r="G497" s="2">
        <f t="shared" si="7"/>
        <v>0</v>
      </c>
      <c r="H497" s="2">
        <v>0</v>
      </c>
    </row>
    <row r="498" spans="2:8">
      <c r="B498" t="s">
        <v>147</v>
      </c>
      <c r="C498" t="s">
        <v>602</v>
      </c>
      <c r="D498" s="6" t="s">
        <v>475</v>
      </c>
      <c r="E498" s="1">
        <v>0</v>
      </c>
      <c r="G498" s="2">
        <f t="shared" si="7"/>
        <v>0</v>
      </c>
      <c r="H498" s="2">
        <v>0</v>
      </c>
    </row>
    <row r="499" spans="2:8">
      <c r="B499" t="s">
        <v>147</v>
      </c>
      <c r="C499" t="s">
        <v>602</v>
      </c>
      <c r="D499" s="7" t="s">
        <v>476</v>
      </c>
      <c r="E499" s="1">
        <v>0</v>
      </c>
      <c r="G499" s="2">
        <f t="shared" si="7"/>
        <v>0</v>
      </c>
      <c r="H499" s="2">
        <v>0</v>
      </c>
    </row>
    <row r="500" spans="2:8">
      <c r="B500" t="s">
        <v>147</v>
      </c>
      <c r="C500" t="s">
        <v>602</v>
      </c>
      <c r="D500" s="8" t="s">
        <v>477</v>
      </c>
      <c r="E500" s="1">
        <v>0</v>
      </c>
      <c r="G500" s="2">
        <f t="shared" si="7"/>
        <v>0</v>
      </c>
      <c r="H500" s="2">
        <v>0</v>
      </c>
    </row>
    <row r="501" spans="2:8">
      <c r="B501" t="s">
        <v>147</v>
      </c>
      <c r="C501" t="s">
        <v>602</v>
      </c>
      <c r="D501" s="9" t="s">
        <v>478</v>
      </c>
      <c r="E501" s="1">
        <v>0</v>
      </c>
      <c r="G501" s="2">
        <f t="shared" si="7"/>
        <v>0</v>
      </c>
      <c r="H501" s="2">
        <v>0</v>
      </c>
    </row>
    <row r="502" spans="2:8">
      <c r="B502" t="s">
        <v>147</v>
      </c>
      <c r="C502" t="s">
        <v>602</v>
      </c>
      <c r="D502" s="10" t="s">
        <v>479</v>
      </c>
      <c r="E502" s="1">
        <v>0</v>
      </c>
      <c r="G502" s="2">
        <f t="shared" si="7"/>
        <v>0</v>
      </c>
      <c r="H502" s="2">
        <v>0</v>
      </c>
    </row>
    <row r="503" spans="2:8">
      <c r="B503" t="s">
        <v>147</v>
      </c>
      <c r="C503" t="s">
        <v>602</v>
      </c>
      <c r="D503" s="11" t="s">
        <v>480</v>
      </c>
      <c r="E503" s="1">
        <v>0</v>
      </c>
      <c r="G503" s="2">
        <f t="shared" si="7"/>
        <v>0</v>
      </c>
      <c r="H503" s="2">
        <v>0</v>
      </c>
    </row>
    <row r="504" spans="2:8">
      <c r="B504" t="s">
        <v>147</v>
      </c>
      <c r="C504" t="s">
        <v>602</v>
      </c>
      <c r="D504" s="13" t="s">
        <v>481</v>
      </c>
      <c r="E504" s="1">
        <v>0</v>
      </c>
      <c r="G504" s="2">
        <f t="shared" si="7"/>
        <v>0</v>
      </c>
      <c r="H504" s="2">
        <v>0</v>
      </c>
    </row>
    <row r="505" spans="2:8">
      <c r="B505" t="s">
        <v>147</v>
      </c>
      <c r="C505" t="s">
        <v>602</v>
      </c>
      <c r="D505" s="12" t="s">
        <v>1033</v>
      </c>
      <c r="E505" s="1">
        <v>0</v>
      </c>
      <c r="G505" s="2">
        <f t="shared" si="7"/>
        <v>0</v>
      </c>
      <c r="H505" s="2">
        <v>0</v>
      </c>
    </row>
    <row r="506" spans="2:8">
      <c r="B506" t="s">
        <v>148</v>
      </c>
      <c r="C506" t="s">
        <v>603</v>
      </c>
      <c r="D506" s="5" t="s">
        <v>474</v>
      </c>
      <c r="E506" s="1">
        <v>0</v>
      </c>
      <c r="G506" s="2">
        <f t="shared" si="7"/>
        <v>0</v>
      </c>
      <c r="H506" s="2">
        <v>0</v>
      </c>
    </row>
    <row r="507" spans="2:8">
      <c r="B507" t="s">
        <v>148</v>
      </c>
      <c r="C507" t="s">
        <v>603</v>
      </c>
      <c r="D507" s="6" t="s">
        <v>475</v>
      </c>
      <c r="E507" s="1">
        <v>0</v>
      </c>
      <c r="G507" s="2">
        <f t="shared" si="7"/>
        <v>0</v>
      </c>
      <c r="H507" s="2">
        <v>0</v>
      </c>
    </row>
    <row r="508" spans="2:8">
      <c r="B508" t="s">
        <v>148</v>
      </c>
      <c r="C508" t="s">
        <v>603</v>
      </c>
      <c r="D508" s="7" t="s">
        <v>476</v>
      </c>
      <c r="E508" s="1">
        <v>0</v>
      </c>
      <c r="G508" s="2">
        <f t="shared" si="7"/>
        <v>0</v>
      </c>
      <c r="H508" s="2">
        <v>0</v>
      </c>
    </row>
    <row r="509" spans="2:8">
      <c r="B509" t="s">
        <v>148</v>
      </c>
      <c r="C509" t="s">
        <v>603</v>
      </c>
      <c r="D509" s="8" t="s">
        <v>477</v>
      </c>
      <c r="E509" s="1">
        <v>0</v>
      </c>
      <c r="G509" s="2">
        <f t="shared" si="7"/>
        <v>0</v>
      </c>
      <c r="H509" s="2">
        <v>0</v>
      </c>
    </row>
    <row r="510" spans="2:8">
      <c r="B510" t="s">
        <v>148</v>
      </c>
      <c r="C510" t="s">
        <v>603</v>
      </c>
      <c r="D510" s="9" t="s">
        <v>478</v>
      </c>
      <c r="E510" s="1">
        <v>0</v>
      </c>
      <c r="G510" s="2">
        <f t="shared" si="7"/>
        <v>0</v>
      </c>
      <c r="H510" s="2">
        <v>0</v>
      </c>
    </row>
    <row r="511" spans="2:8">
      <c r="B511" t="s">
        <v>148</v>
      </c>
      <c r="C511" t="s">
        <v>603</v>
      </c>
      <c r="D511" s="10" t="s">
        <v>479</v>
      </c>
      <c r="E511" s="1">
        <v>0</v>
      </c>
      <c r="G511" s="2">
        <f t="shared" si="7"/>
        <v>0</v>
      </c>
      <c r="H511" s="2">
        <v>0</v>
      </c>
    </row>
    <row r="512" spans="2:8">
      <c r="B512" t="s">
        <v>148</v>
      </c>
      <c r="C512" t="s">
        <v>603</v>
      </c>
      <c r="D512" s="11" t="s">
        <v>480</v>
      </c>
      <c r="E512" s="1">
        <v>0</v>
      </c>
      <c r="G512" s="2">
        <f t="shared" si="7"/>
        <v>0</v>
      </c>
      <c r="H512" s="2">
        <v>0</v>
      </c>
    </row>
    <row r="513" spans="2:8">
      <c r="B513" t="s">
        <v>148</v>
      </c>
      <c r="C513" t="s">
        <v>603</v>
      </c>
      <c r="D513" s="13" t="s">
        <v>481</v>
      </c>
      <c r="E513" s="1">
        <v>0</v>
      </c>
      <c r="G513" s="2">
        <f t="shared" si="7"/>
        <v>0</v>
      </c>
      <c r="H513" s="2">
        <v>0</v>
      </c>
    </row>
    <row r="514" spans="2:8">
      <c r="B514" t="s">
        <v>148</v>
      </c>
      <c r="C514" t="s">
        <v>603</v>
      </c>
      <c r="D514" s="12" t="s">
        <v>1033</v>
      </c>
      <c r="E514" s="1">
        <v>0</v>
      </c>
      <c r="G514" s="2">
        <f t="shared" ref="G514:G577" si="8">E514*F514</f>
        <v>0</v>
      </c>
      <c r="H514" s="2">
        <v>0</v>
      </c>
    </row>
    <row r="515" spans="2:8">
      <c r="B515" t="s">
        <v>312</v>
      </c>
      <c r="C515" t="s">
        <v>604</v>
      </c>
      <c r="D515" s="5" t="s">
        <v>474</v>
      </c>
      <c r="E515" s="1">
        <v>0</v>
      </c>
      <c r="G515" s="2">
        <f t="shared" si="8"/>
        <v>0</v>
      </c>
      <c r="H515" s="2">
        <v>0</v>
      </c>
    </row>
    <row r="516" spans="2:8">
      <c r="B516" t="s">
        <v>312</v>
      </c>
      <c r="C516" t="s">
        <v>604</v>
      </c>
      <c r="D516" s="6" t="s">
        <v>475</v>
      </c>
      <c r="E516" s="1">
        <v>0</v>
      </c>
      <c r="G516" s="2">
        <f t="shared" si="8"/>
        <v>0</v>
      </c>
      <c r="H516" s="2">
        <v>0</v>
      </c>
    </row>
    <row r="517" spans="2:8">
      <c r="B517" t="s">
        <v>312</v>
      </c>
      <c r="C517" t="s">
        <v>604</v>
      </c>
      <c r="D517" s="7" t="s">
        <v>476</v>
      </c>
      <c r="E517" s="1">
        <v>0</v>
      </c>
      <c r="G517" s="2">
        <f t="shared" si="8"/>
        <v>0</v>
      </c>
      <c r="H517" s="2">
        <v>0</v>
      </c>
    </row>
    <row r="518" spans="2:8">
      <c r="B518" t="s">
        <v>312</v>
      </c>
      <c r="C518" t="s">
        <v>604</v>
      </c>
      <c r="D518" s="8" t="s">
        <v>477</v>
      </c>
      <c r="E518" s="1">
        <v>0</v>
      </c>
      <c r="G518" s="2">
        <f t="shared" si="8"/>
        <v>0</v>
      </c>
      <c r="H518" s="2">
        <v>0</v>
      </c>
    </row>
    <row r="519" spans="2:8">
      <c r="B519" t="s">
        <v>312</v>
      </c>
      <c r="C519" t="s">
        <v>604</v>
      </c>
      <c r="D519" s="9" t="s">
        <v>478</v>
      </c>
      <c r="E519" s="1">
        <v>0</v>
      </c>
      <c r="G519" s="2">
        <f t="shared" si="8"/>
        <v>0</v>
      </c>
      <c r="H519" s="2">
        <v>0</v>
      </c>
    </row>
    <row r="520" spans="2:8">
      <c r="B520" t="s">
        <v>312</v>
      </c>
      <c r="C520" t="s">
        <v>604</v>
      </c>
      <c r="D520" s="10" t="s">
        <v>479</v>
      </c>
      <c r="E520" s="1">
        <v>0</v>
      </c>
      <c r="G520" s="2">
        <f t="shared" si="8"/>
        <v>0</v>
      </c>
      <c r="H520" s="2">
        <v>0</v>
      </c>
    </row>
    <row r="521" spans="2:8">
      <c r="B521" t="s">
        <v>312</v>
      </c>
      <c r="C521" t="s">
        <v>604</v>
      </c>
      <c r="D521" s="11" t="s">
        <v>480</v>
      </c>
      <c r="E521" s="1">
        <v>0</v>
      </c>
      <c r="G521" s="2">
        <f t="shared" si="8"/>
        <v>0</v>
      </c>
      <c r="H521" s="2">
        <v>0</v>
      </c>
    </row>
    <row r="522" spans="2:8">
      <c r="B522" t="s">
        <v>312</v>
      </c>
      <c r="C522" t="s">
        <v>604</v>
      </c>
      <c r="D522" s="13" t="s">
        <v>481</v>
      </c>
      <c r="E522" s="1">
        <v>0</v>
      </c>
      <c r="G522" s="2">
        <f t="shared" si="8"/>
        <v>0</v>
      </c>
      <c r="H522" s="2">
        <v>0</v>
      </c>
    </row>
    <row r="523" spans="2:8">
      <c r="B523" t="s">
        <v>312</v>
      </c>
      <c r="C523" t="s">
        <v>604</v>
      </c>
      <c r="D523" s="12" t="s">
        <v>1033</v>
      </c>
      <c r="E523" s="1">
        <v>0</v>
      </c>
      <c r="G523" s="2">
        <f t="shared" si="8"/>
        <v>0</v>
      </c>
      <c r="H523" s="2">
        <v>0</v>
      </c>
    </row>
    <row r="524" spans="2:8">
      <c r="B524" t="s">
        <v>302</v>
      </c>
      <c r="C524" t="s">
        <v>605</v>
      </c>
      <c r="D524" s="5" t="s">
        <v>474</v>
      </c>
      <c r="E524" s="1">
        <v>0</v>
      </c>
      <c r="G524" s="2">
        <f t="shared" si="8"/>
        <v>0</v>
      </c>
      <c r="H524" s="2">
        <v>0</v>
      </c>
    </row>
    <row r="525" spans="2:8">
      <c r="B525" t="s">
        <v>302</v>
      </c>
      <c r="C525" t="s">
        <v>605</v>
      </c>
      <c r="D525" s="6" t="s">
        <v>475</v>
      </c>
      <c r="E525" s="1">
        <v>0</v>
      </c>
      <c r="G525" s="2">
        <f t="shared" si="8"/>
        <v>0</v>
      </c>
      <c r="H525" s="2">
        <v>0</v>
      </c>
    </row>
    <row r="526" spans="2:8">
      <c r="B526" t="s">
        <v>302</v>
      </c>
      <c r="C526" t="s">
        <v>605</v>
      </c>
      <c r="D526" s="7" t="s">
        <v>476</v>
      </c>
      <c r="E526" s="1">
        <v>0</v>
      </c>
      <c r="G526" s="2">
        <f t="shared" si="8"/>
        <v>0</v>
      </c>
      <c r="H526" s="2">
        <v>0</v>
      </c>
    </row>
    <row r="527" spans="2:8">
      <c r="B527" t="s">
        <v>302</v>
      </c>
      <c r="C527" t="s">
        <v>605</v>
      </c>
      <c r="D527" s="8" t="s">
        <v>477</v>
      </c>
      <c r="E527" s="1">
        <v>0</v>
      </c>
      <c r="G527" s="2">
        <f t="shared" si="8"/>
        <v>0</v>
      </c>
      <c r="H527" s="2">
        <v>0</v>
      </c>
    </row>
    <row r="528" spans="2:8">
      <c r="B528" t="s">
        <v>302</v>
      </c>
      <c r="C528" t="s">
        <v>605</v>
      </c>
      <c r="D528" s="9" t="s">
        <v>478</v>
      </c>
      <c r="E528" s="1">
        <v>0</v>
      </c>
      <c r="G528" s="2">
        <f t="shared" si="8"/>
        <v>0</v>
      </c>
      <c r="H528" s="2">
        <v>0</v>
      </c>
    </row>
    <row r="529" spans="2:8">
      <c r="B529" t="s">
        <v>302</v>
      </c>
      <c r="C529" t="s">
        <v>605</v>
      </c>
      <c r="D529" s="10" t="s">
        <v>479</v>
      </c>
      <c r="E529" s="1">
        <v>0</v>
      </c>
      <c r="G529" s="2">
        <f t="shared" si="8"/>
        <v>0</v>
      </c>
      <c r="H529" s="2">
        <v>0</v>
      </c>
    </row>
    <row r="530" spans="2:8">
      <c r="B530" t="s">
        <v>302</v>
      </c>
      <c r="C530" t="s">
        <v>605</v>
      </c>
      <c r="D530" s="11" t="s">
        <v>480</v>
      </c>
      <c r="E530" s="1">
        <v>0</v>
      </c>
      <c r="G530" s="2">
        <f t="shared" si="8"/>
        <v>0</v>
      </c>
      <c r="H530" s="2">
        <v>0</v>
      </c>
    </row>
    <row r="531" spans="2:8">
      <c r="B531" t="s">
        <v>302</v>
      </c>
      <c r="C531" t="s">
        <v>605</v>
      </c>
      <c r="D531" s="13" t="s">
        <v>481</v>
      </c>
      <c r="E531" s="1">
        <v>0</v>
      </c>
      <c r="G531" s="2">
        <f t="shared" si="8"/>
        <v>0</v>
      </c>
      <c r="H531" s="2">
        <v>0</v>
      </c>
    </row>
    <row r="532" spans="2:8">
      <c r="B532" t="s">
        <v>302</v>
      </c>
      <c r="C532" t="s">
        <v>605</v>
      </c>
      <c r="D532" s="12" t="s">
        <v>1033</v>
      </c>
      <c r="E532" s="1">
        <v>0</v>
      </c>
      <c r="G532" s="2">
        <f t="shared" si="8"/>
        <v>0</v>
      </c>
      <c r="H532" s="2">
        <v>0</v>
      </c>
    </row>
    <row r="533" spans="2:8">
      <c r="B533" t="s">
        <v>186</v>
      </c>
      <c r="C533" t="s">
        <v>606</v>
      </c>
      <c r="D533" s="5" t="s">
        <v>474</v>
      </c>
      <c r="E533" s="1">
        <v>0</v>
      </c>
      <c r="G533" s="2">
        <f t="shared" si="8"/>
        <v>0</v>
      </c>
      <c r="H533" s="2">
        <v>0</v>
      </c>
    </row>
    <row r="534" spans="2:8">
      <c r="B534" t="s">
        <v>186</v>
      </c>
      <c r="C534" t="s">
        <v>606</v>
      </c>
      <c r="D534" s="6" t="s">
        <v>475</v>
      </c>
      <c r="E534" s="1">
        <v>0</v>
      </c>
      <c r="G534" s="2">
        <f t="shared" si="8"/>
        <v>0</v>
      </c>
      <c r="H534" s="2">
        <v>0</v>
      </c>
    </row>
    <row r="535" spans="2:8">
      <c r="B535" t="s">
        <v>186</v>
      </c>
      <c r="C535" t="s">
        <v>606</v>
      </c>
      <c r="D535" s="7" t="s">
        <v>476</v>
      </c>
      <c r="E535" s="1">
        <v>0</v>
      </c>
      <c r="G535" s="2">
        <f t="shared" si="8"/>
        <v>0</v>
      </c>
      <c r="H535" s="2">
        <v>0</v>
      </c>
    </row>
    <row r="536" spans="2:8">
      <c r="B536" t="s">
        <v>186</v>
      </c>
      <c r="C536" t="s">
        <v>606</v>
      </c>
      <c r="D536" s="8" t="s">
        <v>477</v>
      </c>
      <c r="E536" s="1">
        <v>0</v>
      </c>
      <c r="G536" s="2">
        <f t="shared" si="8"/>
        <v>0</v>
      </c>
      <c r="H536" s="2">
        <v>0</v>
      </c>
    </row>
    <row r="537" spans="2:8">
      <c r="B537" t="s">
        <v>186</v>
      </c>
      <c r="C537" t="s">
        <v>606</v>
      </c>
      <c r="D537" s="9" t="s">
        <v>478</v>
      </c>
      <c r="E537" s="1">
        <v>0</v>
      </c>
      <c r="G537" s="2">
        <f t="shared" si="8"/>
        <v>0</v>
      </c>
      <c r="H537" s="2">
        <v>0</v>
      </c>
    </row>
    <row r="538" spans="2:8">
      <c r="B538" t="s">
        <v>186</v>
      </c>
      <c r="C538" t="s">
        <v>606</v>
      </c>
      <c r="D538" s="10" t="s">
        <v>479</v>
      </c>
      <c r="E538" s="1">
        <v>0</v>
      </c>
      <c r="G538" s="2">
        <f t="shared" si="8"/>
        <v>0</v>
      </c>
      <c r="H538" s="2">
        <v>0</v>
      </c>
    </row>
    <row r="539" spans="2:8">
      <c r="B539" t="s">
        <v>186</v>
      </c>
      <c r="C539" t="s">
        <v>606</v>
      </c>
      <c r="D539" s="11" t="s">
        <v>480</v>
      </c>
      <c r="E539" s="1">
        <v>0</v>
      </c>
      <c r="G539" s="2">
        <f t="shared" si="8"/>
        <v>0</v>
      </c>
      <c r="H539" s="2">
        <v>0</v>
      </c>
    </row>
    <row r="540" spans="2:8">
      <c r="B540" t="s">
        <v>186</v>
      </c>
      <c r="C540" t="s">
        <v>606</v>
      </c>
      <c r="D540" s="13" t="s">
        <v>481</v>
      </c>
      <c r="E540" s="1">
        <v>0</v>
      </c>
      <c r="G540" s="2">
        <f t="shared" si="8"/>
        <v>0</v>
      </c>
      <c r="H540" s="2">
        <v>0</v>
      </c>
    </row>
    <row r="541" spans="2:8">
      <c r="B541" t="s">
        <v>186</v>
      </c>
      <c r="C541" t="s">
        <v>606</v>
      </c>
      <c r="D541" s="12" t="s">
        <v>1033</v>
      </c>
      <c r="E541" s="1">
        <v>0</v>
      </c>
      <c r="G541" s="2">
        <f t="shared" si="8"/>
        <v>0</v>
      </c>
      <c r="H541" s="2">
        <v>0</v>
      </c>
    </row>
    <row r="542" spans="2:8">
      <c r="B542" t="s">
        <v>883</v>
      </c>
      <c r="C542" t="s">
        <v>898</v>
      </c>
      <c r="D542" s="5" t="s">
        <v>474</v>
      </c>
      <c r="E542" s="1">
        <v>0</v>
      </c>
      <c r="G542" s="2">
        <f t="shared" si="8"/>
        <v>0</v>
      </c>
      <c r="H542" s="2">
        <v>0</v>
      </c>
    </row>
    <row r="543" spans="2:8">
      <c r="B543" t="s">
        <v>883</v>
      </c>
      <c r="C543" t="s">
        <v>898</v>
      </c>
      <c r="D543" s="6" t="s">
        <v>475</v>
      </c>
      <c r="E543" s="1">
        <v>0</v>
      </c>
      <c r="G543" s="2">
        <f t="shared" si="8"/>
        <v>0</v>
      </c>
      <c r="H543" s="2">
        <v>0</v>
      </c>
    </row>
    <row r="544" spans="2:8">
      <c r="B544" t="s">
        <v>883</v>
      </c>
      <c r="C544" t="s">
        <v>898</v>
      </c>
      <c r="D544" s="7" t="s">
        <v>476</v>
      </c>
      <c r="E544" s="1">
        <v>0</v>
      </c>
      <c r="G544" s="2">
        <f t="shared" si="8"/>
        <v>0</v>
      </c>
      <c r="H544" s="2">
        <v>0</v>
      </c>
    </row>
    <row r="545" spans="2:8">
      <c r="B545" t="s">
        <v>883</v>
      </c>
      <c r="C545" t="s">
        <v>898</v>
      </c>
      <c r="D545" s="8" t="s">
        <v>477</v>
      </c>
      <c r="E545" s="1">
        <v>0</v>
      </c>
      <c r="G545" s="2">
        <f t="shared" si="8"/>
        <v>0</v>
      </c>
      <c r="H545" s="2">
        <v>0</v>
      </c>
    </row>
    <row r="546" spans="2:8">
      <c r="B546" t="s">
        <v>883</v>
      </c>
      <c r="C546" t="s">
        <v>898</v>
      </c>
      <c r="D546" s="9" t="s">
        <v>478</v>
      </c>
      <c r="E546" s="1">
        <v>0</v>
      </c>
      <c r="G546" s="2">
        <f t="shared" si="8"/>
        <v>0</v>
      </c>
      <c r="H546" s="2">
        <v>0</v>
      </c>
    </row>
    <row r="547" spans="2:8">
      <c r="B547" t="s">
        <v>883</v>
      </c>
      <c r="C547" t="s">
        <v>898</v>
      </c>
      <c r="D547" s="10" t="s">
        <v>479</v>
      </c>
      <c r="E547" s="1">
        <v>0</v>
      </c>
      <c r="G547" s="2">
        <f t="shared" si="8"/>
        <v>0</v>
      </c>
      <c r="H547" s="2">
        <v>0</v>
      </c>
    </row>
    <row r="548" spans="2:8">
      <c r="B548" t="s">
        <v>883</v>
      </c>
      <c r="C548" t="s">
        <v>898</v>
      </c>
      <c r="D548" s="11" t="s">
        <v>480</v>
      </c>
      <c r="E548" s="1">
        <v>0</v>
      </c>
      <c r="G548" s="2">
        <f t="shared" si="8"/>
        <v>0</v>
      </c>
      <c r="H548" s="2">
        <v>0</v>
      </c>
    </row>
    <row r="549" spans="2:8">
      <c r="B549" t="s">
        <v>883</v>
      </c>
      <c r="C549" t="s">
        <v>898</v>
      </c>
      <c r="D549" s="13" t="s">
        <v>481</v>
      </c>
      <c r="E549" s="1">
        <v>0</v>
      </c>
      <c r="G549" s="2">
        <f t="shared" si="8"/>
        <v>0</v>
      </c>
      <c r="H549" s="2">
        <v>0</v>
      </c>
    </row>
    <row r="550" spans="2:8">
      <c r="B550" t="s">
        <v>883</v>
      </c>
      <c r="C550" t="s">
        <v>898</v>
      </c>
      <c r="D550" s="12" t="s">
        <v>1033</v>
      </c>
      <c r="E550" s="1">
        <v>0</v>
      </c>
      <c r="G550" s="2">
        <f t="shared" si="8"/>
        <v>0</v>
      </c>
      <c r="H550" s="2">
        <v>0</v>
      </c>
    </row>
    <row r="551" spans="2:8">
      <c r="B551" t="s">
        <v>161</v>
      </c>
      <c r="C551" t="s">
        <v>607</v>
      </c>
      <c r="D551" s="5" t="s">
        <v>474</v>
      </c>
      <c r="E551" s="1">
        <v>0</v>
      </c>
      <c r="G551" s="2">
        <f t="shared" si="8"/>
        <v>0</v>
      </c>
      <c r="H551" s="2">
        <v>0</v>
      </c>
    </row>
    <row r="552" spans="2:8">
      <c r="B552" t="s">
        <v>161</v>
      </c>
      <c r="C552" t="s">
        <v>607</v>
      </c>
      <c r="D552" s="6" t="s">
        <v>475</v>
      </c>
      <c r="E552" s="1">
        <v>0</v>
      </c>
      <c r="G552" s="2">
        <f t="shared" si="8"/>
        <v>0</v>
      </c>
      <c r="H552" s="2">
        <v>0</v>
      </c>
    </row>
    <row r="553" spans="2:8">
      <c r="B553" t="s">
        <v>161</v>
      </c>
      <c r="C553" t="s">
        <v>607</v>
      </c>
      <c r="D553" s="7" t="s">
        <v>476</v>
      </c>
      <c r="E553" s="1">
        <v>0</v>
      </c>
      <c r="G553" s="2">
        <f t="shared" si="8"/>
        <v>0</v>
      </c>
      <c r="H553" s="2">
        <v>0</v>
      </c>
    </row>
    <row r="554" spans="2:8">
      <c r="B554" t="s">
        <v>161</v>
      </c>
      <c r="C554" t="s">
        <v>607</v>
      </c>
      <c r="D554" s="8" t="s">
        <v>477</v>
      </c>
      <c r="E554" s="1">
        <v>0</v>
      </c>
      <c r="G554" s="2">
        <f t="shared" si="8"/>
        <v>0</v>
      </c>
      <c r="H554" s="2">
        <v>0</v>
      </c>
    </row>
    <row r="555" spans="2:8">
      <c r="B555" t="s">
        <v>161</v>
      </c>
      <c r="C555" t="s">
        <v>607</v>
      </c>
      <c r="D555" s="9" t="s">
        <v>478</v>
      </c>
      <c r="E555" s="1">
        <v>0</v>
      </c>
      <c r="G555" s="2">
        <f t="shared" si="8"/>
        <v>0</v>
      </c>
      <c r="H555" s="2">
        <v>0</v>
      </c>
    </row>
    <row r="556" spans="2:8">
      <c r="B556" t="s">
        <v>161</v>
      </c>
      <c r="C556" t="s">
        <v>607</v>
      </c>
      <c r="D556" s="10" t="s">
        <v>479</v>
      </c>
      <c r="E556" s="1">
        <v>0</v>
      </c>
      <c r="G556" s="2">
        <f t="shared" si="8"/>
        <v>0</v>
      </c>
      <c r="H556" s="2">
        <v>0</v>
      </c>
    </row>
    <row r="557" spans="2:8">
      <c r="B557" t="s">
        <v>161</v>
      </c>
      <c r="C557" t="s">
        <v>607</v>
      </c>
      <c r="D557" s="11" t="s">
        <v>480</v>
      </c>
      <c r="E557" s="1">
        <v>0</v>
      </c>
      <c r="G557" s="2">
        <f t="shared" si="8"/>
        <v>0</v>
      </c>
      <c r="H557" s="2">
        <v>0</v>
      </c>
    </row>
    <row r="558" spans="2:8">
      <c r="B558" t="s">
        <v>161</v>
      </c>
      <c r="C558" t="s">
        <v>607</v>
      </c>
      <c r="D558" s="13" t="s">
        <v>481</v>
      </c>
      <c r="E558" s="1">
        <v>0</v>
      </c>
      <c r="G558" s="2">
        <f t="shared" si="8"/>
        <v>0</v>
      </c>
      <c r="H558" s="2">
        <v>0</v>
      </c>
    </row>
    <row r="559" spans="2:8">
      <c r="B559" t="s">
        <v>161</v>
      </c>
      <c r="C559" t="s">
        <v>607</v>
      </c>
      <c r="D559" s="12" t="s">
        <v>1033</v>
      </c>
      <c r="E559" s="1">
        <v>0</v>
      </c>
      <c r="G559" s="2">
        <f t="shared" si="8"/>
        <v>0</v>
      </c>
      <c r="H559" s="2">
        <v>0</v>
      </c>
    </row>
    <row r="560" spans="2:8">
      <c r="B560" t="s">
        <v>162</v>
      </c>
      <c r="C560" t="s">
        <v>608</v>
      </c>
      <c r="D560" s="5" t="s">
        <v>474</v>
      </c>
      <c r="E560" s="1">
        <v>0</v>
      </c>
      <c r="G560" s="2">
        <f t="shared" si="8"/>
        <v>0</v>
      </c>
      <c r="H560" s="2">
        <v>0</v>
      </c>
    </row>
    <row r="561" spans="2:8">
      <c r="B561" t="s">
        <v>162</v>
      </c>
      <c r="C561" t="s">
        <v>608</v>
      </c>
      <c r="D561" s="6" t="s">
        <v>475</v>
      </c>
      <c r="E561" s="1">
        <v>0</v>
      </c>
      <c r="G561" s="2">
        <f t="shared" si="8"/>
        <v>0</v>
      </c>
      <c r="H561" s="2">
        <v>0</v>
      </c>
    </row>
    <row r="562" spans="2:8">
      <c r="B562" t="s">
        <v>162</v>
      </c>
      <c r="C562" t="s">
        <v>608</v>
      </c>
      <c r="D562" s="7" t="s">
        <v>476</v>
      </c>
      <c r="E562" s="1">
        <v>0</v>
      </c>
      <c r="G562" s="2">
        <f t="shared" si="8"/>
        <v>0</v>
      </c>
      <c r="H562" s="2">
        <v>0</v>
      </c>
    </row>
    <row r="563" spans="2:8">
      <c r="B563" t="s">
        <v>162</v>
      </c>
      <c r="C563" t="s">
        <v>608</v>
      </c>
      <c r="D563" s="8" t="s">
        <v>477</v>
      </c>
      <c r="E563" s="1">
        <v>0</v>
      </c>
      <c r="G563" s="2">
        <f t="shared" si="8"/>
        <v>0</v>
      </c>
      <c r="H563" s="2">
        <v>0</v>
      </c>
    </row>
    <row r="564" spans="2:8">
      <c r="B564" t="s">
        <v>162</v>
      </c>
      <c r="C564" t="s">
        <v>608</v>
      </c>
      <c r="D564" s="9" t="s">
        <v>478</v>
      </c>
      <c r="E564" s="1">
        <v>0</v>
      </c>
      <c r="G564" s="2">
        <f t="shared" si="8"/>
        <v>0</v>
      </c>
      <c r="H564" s="2">
        <v>0</v>
      </c>
    </row>
    <row r="565" spans="2:8">
      <c r="B565" t="s">
        <v>162</v>
      </c>
      <c r="C565" t="s">
        <v>608</v>
      </c>
      <c r="D565" s="10" t="s">
        <v>479</v>
      </c>
      <c r="E565" s="1">
        <v>0</v>
      </c>
      <c r="G565" s="2">
        <f t="shared" si="8"/>
        <v>0</v>
      </c>
      <c r="H565" s="2">
        <v>0</v>
      </c>
    </row>
    <row r="566" spans="2:8">
      <c r="B566" t="s">
        <v>162</v>
      </c>
      <c r="C566" t="s">
        <v>608</v>
      </c>
      <c r="D566" s="11" t="s">
        <v>480</v>
      </c>
      <c r="E566" s="1">
        <v>0</v>
      </c>
      <c r="G566" s="2">
        <f t="shared" si="8"/>
        <v>0</v>
      </c>
      <c r="H566" s="2">
        <v>0</v>
      </c>
    </row>
    <row r="567" spans="2:8">
      <c r="B567" t="s">
        <v>162</v>
      </c>
      <c r="C567" t="s">
        <v>608</v>
      </c>
      <c r="D567" s="13" t="s">
        <v>481</v>
      </c>
      <c r="E567" s="1">
        <v>0</v>
      </c>
      <c r="G567" s="2">
        <f t="shared" si="8"/>
        <v>0</v>
      </c>
      <c r="H567" s="2">
        <v>0</v>
      </c>
    </row>
    <row r="568" spans="2:8">
      <c r="B568" t="s">
        <v>162</v>
      </c>
      <c r="C568" t="s">
        <v>608</v>
      </c>
      <c r="D568" s="12" t="s">
        <v>1033</v>
      </c>
      <c r="E568" s="1">
        <v>0</v>
      </c>
      <c r="G568" s="2">
        <f t="shared" si="8"/>
        <v>0</v>
      </c>
      <c r="H568" s="2">
        <v>0</v>
      </c>
    </row>
    <row r="569" spans="2:8">
      <c r="B569" t="s">
        <v>163</v>
      </c>
      <c r="C569" t="s">
        <v>609</v>
      </c>
      <c r="D569" s="5" t="s">
        <v>474</v>
      </c>
      <c r="E569" s="1">
        <v>0</v>
      </c>
      <c r="G569" s="2">
        <f t="shared" si="8"/>
        <v>0</v>
      </c>
      <c r="H569" s="2">
        <v>0</v>
      </c>
    </row>
    <row r="570" spans="2:8">
      <c r="B570" t="s">
        <v>163</v>
      </c>
      <c r="C570" t="s">
        <v>609</v>
      </c>
      <c r="D570" s="6" t="s">
        <v>475</v>
      </c>
      <c r="E570" s="1">
        <v>0</v>
      </c>
      <c r="G570" s="2">
        <f t="shared" si="8"/>
        <v>0</v>
      </c>
      <c r="H570" s="2">
        <v>0</v>
      </c>
    </row>
    <row r="571" spans="2:8">
      <c r="B571" t="s">
        <v>163</v>
      </c>
      <c r="C571" t="s">
        <v>609</v>
      </c>
      <c r="D571" s="7" t="s">
        <v>476</v>
      </c>
      <c r="E571" s="1">
        <v>0</v>
      </c>
      <c r="G571" s="2">
        <f t="shared" si="8"/>
        <v>0</v>
      </c>
      <c r="H571" s="2">
        <v>0</v>
      </c>
    </row>
    <row r="572" spans="2:8">
      <c r="B572" t="s">
        <v>163</v>
      </c>
      <c r="C572" t="s">
        <v>609</v>
      </c>
      <c r="D572" s="8" t="s">
        <v>477</v>
      </c>
      <c r="E572" s="1">
        <v>0</v>
      </c>
      <c r="G572" s="2">
        <f t="shared" si="8"/>
        <v>0</v>
      </c>
      <c r="H572" s="2">
        <v>0</v>
      </c>
    </row>
    <row r="573" spans="2:8">
      <c r="B573" t="s">
        <v>163</v>
      </c>
      <c r="C573" t="s">
        <v>609</v>
      </c>
      <c r="D573" s="9" t="s">
        <v>478</v>
      </c>
      <c r="E573" s="1">
        <v>0</v>
      </c>
      <c r="G573" s="2">
        <f t="shared" si="8"/>
        <v>0</v>
      </c>
      <c r="H573" s="2">
        <v>0</v>
      </c>
    </row>
    <row r="574" spans="2:8">
      <c r="B574" t="s">
        <v>163</v>
      </c>
      <c r="C574" t="s">
        <v>609</v>
      </c>
      <c r="D574" s="10" t="s">
        <v>479</v>
      </c>
      <c r="E574" s="1">
        <v>0</v>
      </c>
      <c r="G574" s="2">
        <f t="shared" si="8"/>
        <v>0</v>
      </c>
      <c r="H574" s="2">
        <v>0</v>
      </c>
    </row>
    <row r="575" spans="2:8">
      <c r="B575" t="s">
        <v>163</v>
      </c>
      <c r="C575" t="s">
        <v>609</v>
      </c>
      <c r="D575" s="11" t="s">
        <v>480</v>
      </c>
      <c r="E575" s="1">
        <v>0</v>
      </c>
      <c r="G575" s="2">
        <f t="shared" si="8"/>
        <v>0</v>
      </c>
      <c r="H575" s="2">
        <v>0</v>
      </c>
    </row>
    <row r="576" spans="2:8">
      <c r="B576" t="s">
        <v>163</v>
      </c>
      <c r="C576" t="s">
        <v>609</v>
      </c>
      <c r="D576" s="13" t="s">
        <v>481</v>
      </c>
      <c r="E576" s="1">
        <v>0</v>
      </c>
      <c r="G576" s="2">
        <f t="shared" si="8"/>
        <v>0</v>
      </c>
      <c r="H576" s="2">
        <v>0</v>
      </c>
    </row>
    <row r="577" spans="2:8">
      <c r="B577" t="s">
        <v>163</v>
      </c>
      <c r="C577" t="s">
        <v>609</v>
      </c>
      <c r="D577" s="12" t="s">
        <v>1033</v>
      </c>
      <c r="E577" s="1">
        <v>0</v>
      </c>
      <c r="G577" s="2">
        <f t="shared" si="8"/>
        <v>0</v>
      </c>
      <c r="H577" s="2">
        <v>0</v>
      </c>
    </row>
    <row r="578" spans="2:8">
      <c r="B578" t="s">
        <v>172</v>
      </c>
      <c r="C578" t="s">
        <v>610</v>
      </c>
      <c r="D578" s="5" t="s">
        <v>474</v>
      </c>
      <c r="E578" s="1">
        <v>0</v>
      </c>
      <c r="G578" s="2">
        <f t="shared" ref="G578:G641" si="9">E578*F578</f>
        <v>0</v>
      </c>
      <c r="H578" s="2">
        <v>0</v>
      </c>
    </row>
    <row r="579" spans="2:8">
      <c r="B579" t="s">
        <v>172</v>
      </c>
      <c r="C579" t="s">
        <v>610</v>
      </c>
      <c r="D579" s="6" t="s">
        <v>475</v>
      </c>
      <c r="E579" s="1">
        <v>0</v>
      </c>
      <c r="G579" s="2">
        <f t="shared" si="9"/>
        <v>0</v>
      </c>
      <c r="H579" s="2">
        <v>0</v>
      </c>
    </row>
    <row r="580" spans="2:8">
      <c r="B580" t="s">
        <v>172</v>
      </c>
      <c r="C580" t="s">
        <v>610</v>
      </c>
      <c r="D580" s="7" t="s">
        <v>476</v>
      </c>
      <c r="E580" s="1">
        <v>0</v>
      </c>
      <c r="G580" s="2">
        <f t="shared" si="9"/>
        <v>0</v>
      </c>
      <c r="H580" s="2">
        <v>0</v>
      </c>
    </row>
    <row r="581" spans="2:8">
      <c r="B581" t="s">
        <v>172</v>
      </c>
      <c r="C581" t="s">
        <v>610</v>
      </c>
      <c r="D581" s="8" t="s">
        <v>477</v>
      </c>
      <c r="E581" s="1">
        <v>0</v>
      </c>
      <c r="G581" s="2">
        <f t="shared" si="9"/>
        <v>0</v>
      </c>
      <c r="H581" s="2">
        <v>0</v>
      </c>
    </row>
    <row r="582" spans="2:8">
      <c r="B582" t="s">
        <v>172</v>
      </c>
      <c r="C582" t="s">
        <v>610</v>
      </c>
      <c r="D582" s="9" t="s">
        <v>478</v>
      </c>
      <c r="E582" s="1">
        <v>0</v>
      </c>
      <c r="G582" s="2">
        <f t="shared" si="9"/>
        <v>0</v>
      </c>
      <c r="H582" s="2">
        <v>0</v>
      </c>
    </row>
    <row r="583" spans="2:8">
      <c r="B583" t="s">
        <v>172</v>
      </c>
      <c r="C583" t="s">
        <v>610</v>
      </c>
      <c r="D583" s="10" t="s">
        <v>479</v>
      </c>
      <c r="E583" s="1">
        <v>0</v>
      </c>
      <c r="G583" s="2">
        <f t="shared" si="9"/>
        <v>0</v>
      </c>
      <c r="H583" s="2">
        <v>0</v>
      </c>
    </row>
    <row r="584" spans="2:8">
      <c r="B584" t="s">
        <v>172</v>
      </c>
      <c r="C584" t="s">
        <v>610</v>
      </c>
      <c r="D584" s="11" t="s">
        <v>480</v>
      </c>
      <c r="E584" s="1">
        <v>0</v>
      </c>
      <c r="G584" s="2">
        <f t="shared" si="9"/>
        <v>0</v>
      </c>
      <c r="H584" s="2">
        <v>0</v>
      </c>
    </row>
    <row r="585" spans="2:8">
      <c r="B585" t="s">
        <v>172</v>
      </c>
      <c r="C585" t="s">
        <v>610</v>
      </c>
      <c r="D585" s="13" t="s">
        <v>481</v>
      </c>
      <c r="E585" s="1">
        <v>0</v>
      </c>
      <c r="G585" s="2">
        <f t="shared" si="9"/>
        <v>0</v>
      </c>
      <c r="H585" s="2">
        <v>0</v>
      </c>
    </row>
    <row r="586" spans="2:8">
      <c r="B586" t="s">
        <v>172</v>
      </c>
      <c r="C586" t="s">
        <v>610</v>
      </c>
      <c r="D586" s="12" t="s">
        <v>1033</v>
      </c>
      <c r="E586" s="1">
        <v>0</v>
      </c>
      <c r="G586" s="2">
        <f t="shared" si="9"/>
        <v>0</v>
      </c>
      <c r="H586" s="2">
        <v>0</v>
      </c>
    </row>
    <row r="587" spans="2:8">
      <c r="B587" t="s">
        <v>313</v>
      </c>
      <c r="C587" t="s">
        <v>611</v>
      </c>
      <c r="D587" s="5" t="s">
        <v>474</v>
      </c>
      <c r="E587" s="1">
        <v>0</v>
      </c>
      <c r="G587" s="2">
        <f t="shared" si="9"/>
        <v>0</v>
      </c>
      <c r="H587" s="2">
        <v>0</v>
      </c>
    </row>
    <row r="588" spans="2:8">
      <c r="B588" t="s">
        <v>313</v>
      </c>
      <c r="C588" t="s">
        <v>611</v>
      </c>
      <c r="D588" s="6" t="s">
        <v>475</v>
      </c>
      <c r="E588" s="1">
        <v>0</v>
      </c>
      <c r="G588" s="2">
        <f t="shared" si="9"/>
        <v>0</v>
      </c>
      <c r="H588" s="2">
        <v>0</v>
      </c>
    </row>
    <row r="589" spans="2:8">
      <c r="B589" t="s">
        <v>313</v>
      </c>
      <c r="C589" t="s">
        <v>611</v>
      </c>
      <c r="D589" s="7" t="s">
        <v>476</v>
      </c>
      <c r="E589" s="1">
        <v>0</v>
      </c>
      <c r="G589" s="2">
        <f t="shared" si="9"/>
        <v>0</v>
      </c>
      <c r="H589" s="2">
        <v>0</v>
      </c>
    </row>
    <row r="590" spans="2:8">
      <c r="B590" t="s">
        <v>313</v>
      </c>
      <c r="C590" t="s">
        <v>611</v>
      </c>
      <c r="D590" s="8" t="s">
        <v>477</v>
      </c>
      <c r="E590" s="1">
        <v>0</v>
      </c>
      <c r="G590" s="2">
        <f t="shared" si="9"/>
        <v>0</v>
      </c>
      <c r="H590" s="2">
        <v>0</v>
      </c>
    </row>
    <row r="591" spans="2:8">
      <c r="B591" t="s">
        <v>313</v>
      </c>
      <c r="C591" t="s">
        <v>611</v>
      </c>
      <c r="D591" s="9" t="s">
        <v>478</v>
      </c>
      <c r="E591" s="1">
        <v>0</v>
      </c>
      <c r="G591" s="2">
        <f t="shared" si="9"/>
        <v>0</v>
      </c>
      <c r="H591" s="2">
        <v>0</v>
      </c>
    </row>
    <row r="592" spans="2:8">
      <c r="B592" t="s">
        <v>313</v>
      </c>
      <c r="C592" t="s">
        <v>611</v>
      </c>
      <c r="D592" s="10" t="s">
        <v>479</v>
      </c>
      <c r="E592" s="1">
        <v>0</v>
      </c>
      <c r="G592" s="2">
        <f t="shared" si="9"/>
        <v>0</v>
      </c>
      <c r="H592" s="2">
        <v>0</v>
      </c>
    </row>
    <row r="593" spans="2:8">
      <c r="B593" t="s">
        <v>313</v>
      </c>
      <c r="C593" t="s">
        <v>611</v>
      </c>
      <c r="D593" s="11" t="s">
        <v>480</v>
      </c>
      <c r="E593" s="1">
        <v>0</v>
      </c>
      <c r="G593" s="2">
        <f t="shared" si="9"/>
        <v>0</v>
      </c>
      <c r="H593" s="2">
        <v>0</v>
      </c>
    </row>
    <row r="594" spans="2:8">
      <c r="B594" t="s">
        <v>313</v>
      </c>
      <c r="C594" t="s">
        <v>611</v>
      </c>
      <c r="D594" s="13" t="s">
        <v>481</v>
      </c>
      <c r="E594" s="1">
        <v>0</v>
      </c>
      <c r="G594" s="2">
        <f t="shared" si="9"/>
        <v>0</v>
      </c>
      <c r="H594" s="2">
        <v>0</v>
      </c>
    </row>
    <row r="595" spans="2:8">
      <c r="B595" t="s">
        <v>313</v>
      </c>
      <c r="C595" t="s">
        <v>611</v>
      </c>
      <c r="D595" s="12" t="s">
        <v>1033</v>
      </c>
      <c r="E595" s="1">
        <v>0</v>
      </c>
      <c r="G595" s="2">
        <f t="shared" si="9"/>
        <v>0</v>
      </c>
      <c r="H595" s="2">
        <v>0</v>
      </c>
    </row>
    <row r="596" spans="2:8">
      <c r="B596" t="s">
        <v>314</v>
      </c>
      <c r="C596" t="s">
        <v>612</v>
      </c>
      <c r="D596" s="5" t="s">
        <v>474</v>
      </c>
      <c r="E596" s="1">
        <v>0</v>
      </c>
      <c r="G596" s="2">
        <f t="shared" si="9"/>
        <v>0</v>
      </c>
      <c r="H596" s="2">
        <v>0</v>
      </c>
    </row>
    <row r="597" spans="2:8">
      <c r="B597" t="s">
        <v>314</v>
      </c>
      <c r="C597" t="s">
        <v>612</v>
      </c>
      <c r="D597" s="6" t="s">
        <v>475</v>
      </c>
      <c r="E597" s="1">
        <v>0</v>
      </c>
      <c r="G597" s="2">
        <f t="shared" si="9"/>
        <v>0</v>
      </c>
      <c r="H597" s="2">
        <v>0</v>
      </c>
    </row>
    <row r="598" spans="2:8">
      <c r="B598" t="s">
        <v>314</v>
      </c>
      <c r="C598" t="s">
        <v>612</v>
      </c>
      <c r="D598" s="7" t="s">
        <v>476</v>
      </c>
      <c r="E598" s="1">
        <v>0</v>
      </c>
      <c r="G598" s="2">
        <f t="shared" si="9"/>
        <v>0</v>
      </c>
      <c r="H598" s="2">
        <v>0</v>
      </c>
    </row>
    <row r="599" spans="2:8">
      <c r="B599" t="s">
        <v>314</v>
      </c>
      <c r="C599" t="s">
        <v>612</v>
      </c>
      <c r="D599" s="8" t="s">
        <v>477</v>
      </c>
      <c r="E599" s="1">
        <v>0</v>
      </c>
      <c r="G599" s="2">
        <f t="shared" si="9"/>
        <v>0</v>
      </c>
      <c r="H599" s="2">
        <v>0</v>
      </c>
    </row>
    <row r="600" spans="2:8">
      <c r="B600" t="s">
        <v>314</v>
      </c>
      <c r="C600" t="s">
        <v>612</v>
      </c>
      <c r="D600" s="9" t="s">
        <v>478</v>
      </c>
      <c r="E600" s="1">
        <v>0</v>
      </c>
      <c r="G600" s="2">
        <f t="shared" si="9"/>
        <v>0</v>
      </c>
      <c r="H600" s="2">
        <v>0</v>
      </c>
    </row>
    <row r="601" spans="2:8">
      <c r="B601" t="s">
        <v>314</v>
      </c>
      <c r="C601" t="s">
        <v>612</v>
      </c>
      <c r="D601" s="10" t="s">
        <v>479</v>
      </c>
      <c r="E601" s="1">
        <v>0</v>
      </c>
      <c r="G601" s="2">
        <f t="shared" si="9"/>
        <v>0</v>
      </c>
      <c r="H601" s="2">
        <v>0</v>
      </c>
    </row>
    <row r="602" spans="2:8">
      <c r="B602" t="s">
        <v>314</v>
      </c>
      <c r="C602" t="s">
        <v>612</v>
      </c>
      <c r="D602" s="11" t="s">
        <v>480</v>
      </c>
      <c r="E602" s="1">
        <v>0</v>
      </c>
      <c r="G602" s="2">
        <f t="shared" si="9"/>
        <v>0</v>
      </c>
      <c r="H602" s="2">
        <v>0</v>
      </c>
    </row>
    <row r="603" spans="2:8">
      <c r="B603" t="s">
        <v>314</v>
      </c>
      <c r="C603" t="s">
        <v>612</v>
      </c>
      <c r="D603" s="13" t="s">
        <v>481</v>
      </c>
      <c r="E603" s="1">
        <v>0</v>
      </c>
      <c r="G603" s="2">
        <f t="shared" si="9"/>
        <v>0</v>
      </c>
      <c r="H603" s="2">
        <v>0</v>
      </c>
    </row>
    <row r="604" spans="2:8">
      <c r="B604" t="s">
        <v>314</v>
      </c>
      <c r="C604" t="s">
        <v>612</v>
      </c>
      <c r="D604" s="12" t="s">
        <v>1033</v>
      </c>
      <c r="E604" s="1">
        <v>0</v>
      </c>
      <c r="G604" s="2">
        <f t="shared" si="9"/>
        <v>0</v>
      </c>
      <c r="H604" s="2">
        <v>0</v>
      </c>
    </row>
    <row r="605" spans="2:8">
      <c r="B605" t="s">
        <v>315</v>
      </c>
      <c r="C605" t="s">
        <v>613</v>
      </c>
      <c r="D605" s="5" t="s">
        <v>474</v>
      </c>
      <c r="E605" s="1">
        <v>0</v>
      </c>
      <c r="G605" s="2">
        <f t="shared" si="9"/>
        <v>0</v>
      </c>
      <c r="H605" s="2">
        <v>0</v>
      </c>
    </row>
    <row r="606" spans="2:8">
      <c r="B606" t="s">
        <v>315</v>
      </c>
      <c r="C606" t="s">
        <v>613</v>
      </c>
      <c r="D606" s="6" t="s">
        <v>475</v>
      </c>
      <c r="E606" s="1">
        <v>0</v>
      </c>
      <c r="G606" s="2">
        <f t="shared" si="9"/>
        <v>0</v>
      </c>
      <c r="H606" s="2">
        <v>0</v>
      </c>
    </row>
    <row r="607" spans="2:8">
      <c r="B607" t="s">
        <v>315</v>
      </c>
      <c r="C607" t="s">
        <v>613</v>
      </c>
      <c r="D607" s="7" t="s">
        <v>476</v>
      </c>
      <c r="E607" s="1">
        <v>0</v>
      </c>
      <c r="G607" s="2">
        <f t="shared" si="9"/>
        <v>0</v>
      </c>
      <c r="H607" s="2">
        <v>0</v>
      </c>
    </row>
    <row r="608" spans="2:8">
      <c r="B608" t="s">
        <v>315</v>
      </c>
      <c r="C608" t="s">
        <v>613</v>
      </c>
      <c r="D608" s="8" t="s">
        <v>477</v>
      </c>
      <c r="E608" s="1">
        <v>0</v>
      </c>
      <c r="G608" s="2">
        <f t="shared" si="9"/>
        <v>0</v>
      </c>
      <c r="H608" s="2">
        <v>0</v>
      </c>
    </row>
    <row r="609" spans="2:8">
      <c r="B609" t="s">
        <v>315</v>
      </c>
      <c r="C609" t="s">
        <v>613</v>
      </c>
      <c r="D609" s="9" t="s">
        <v>478</v>
      </c>
      <c r="E609" s="1">
        <v>0</v>
      </c>
      <c r="G609" s="2">
        <f t="shared" si="9"/>
        <v>0</v>
      </c>
      <c r="H609" s="2">
        <v>0</v>
      </c>
    </row>
    <row r="610" spans="2:8">
      <c r="B610" t="s">
        <v>315</v>
      </c>
      <c r="C610" t="s">
        <v>613</v>
      </c>
      <c r="D610" s="10" t="s">
        <v>479</v>
      </c>
      <c r="E610" s="1">
        <v>0</v>
      </c>
      <c r="G610" s="2">
        <f t="shared" si="9"/>
        <v>0</v>
      </c>
      <c r="H610" s="2">
        <v>0</v>
      </c>
    </row>
    <row r="611" spans="2:8">
      <c r="B611" t="s">
        <v>315</v>
      </c>
      <c r="C611" t="s">
        <v>613</v>
      </c>
      <c r="D611" s="11" t="s">
        <v>480</v>
      </c>
      <c r="E611" s="1">
        <v>0</v>
      </c>
      <c r="G611" s="2">
        <f t="shared" si="9"/>
        <v>0</v>
      </c>
      <c r="H611" s="2">
        <v>0</v>
      </c>
    </row>
    <row r="612" spans="2:8">
      <c r="B612" t="s">
        <v>315</v>
      </c>
      <c r="C612" t="s">
        <v>613</v>
      </c>
      <c r="D612" s="13" t="s">
        <v>481</v>
      </c>
      <c r="E612" s="1">
        <v>0</v>
      </c>
      <c r="G612" s="2">
        <f t="shared" si="9"/>
        <v>0</v>
      </c>
      <c r="H612" s="2">
        <v>0</v>
      </c>
    </row>
    <row r="613" spans="2:8">
      <c r="B613" t="s">
        <v>315</v>
      </c>
      <c r="C613" t="s">
        <v>613</v>
      </c>
      <c r="D613" s="12" t="s">
        <v>1033</v>
      </c>
      <c r="E613" s="1">
        <v>0</v>
      </c>
      <c r="G613" s="2">
        <f t="shared" si="9"/>
        <v>0</v>
      </c>
      <c r="H613" s="2">
        <v>0</v>
      </c>
    </row>
    <row r="614" spans="2:8">
      <c r="B614" t="s">
        <v>303</v>
      </c>
      <c r="C614" t="s">
        <v>614</v>
      </c>
      <c r="D614" s="5" t="s">
        <v>474</v>
      </c>
      <c r="E614" s="1">
        <v>0</v>
      </c>
      <c r="G614" s="2">
        <f t="shared" si="9"/>
        <v>0</v>
      </c>
      <c r="H614" s="2">
        <v>0</v>
      </c>
    </row>
    <row r="615" spans="2:8">
      <c r="B615" t="s">
        <v>303</v>
      </c>
      <c r="C615" t="s">
        <v>614</v>
      </c>
      <c r="D615" s="6" t="s">
        <v>475</v>
      </c>
      <c r="E615" s="1">
        <v>0</v>
      </c>
      <c r="G615" s="2">
        <f t="shared" si="9"/>
        <v>0</v>
      </c>
      <c r="H615" s="2">
        <v>0</v>
      </c>
    </row>
    <row r="616" spans="2:8">
      <c r="B616" t="s">
        <v>303</v>
      </c>
      <c r="C616" t="s">
        <v>614</v>
      </c>
      <c r="D616" s="7" t="s">
        <v>476</v>
      </c>
      <c r="E616" s="1">
        <v>0</v>
      </c>
      <c r="G616" s="2">
        <f t="shared" si="9"/>
        <v>0</v>
      </c>
      <c r="H616" s="2">
        <v>0</v>
      </c>
    </row>
    <row r="617" spans="2:8">
      <c r="B617" t="s">
        <v>303</v>
      </c>
      <c r="C617" t="s">
        <v>614</v>
      </c>
      <c r="D617" s="8" t="s">
        <v>477</v>
      </c>
      <c r="E617" s="1">
        <v>0</v>
      </c>
      <c r="G617" s="2">
        <f t="shared" si="9"/>
        <v>0</v>
      </c>
      <c r="H617" s="2">
        <v>0</v>
      </c>
    </row>
    <row r="618" spans="2:8">
      <c r="B618" t="s">
        <v>303</v>
      </c>
      <c r="C618" t="s">
        <v>614</v>
      </c>
      <c r="D618" s="9" t="s">
        <v>478</v>
      </c>
      <c r="E618" s="1">
        <v>0</v>
      </c>
      <c r="G618" s="2">
        <f t="shared" si="9"/>
        <v>0</v>
      </c>
      <c r="H618" s="2">
        <v>0</v>
      </c>
    </row>
    <row r="619" spans="2:8">
      <c r="B619" t="s">
        <v>303</v>
      </c>
      <c r="C619" t="s">
        <v>614</v>
      </c>
      <c r="D619" s="10" t="s">
        <v>479</v>
      </c>
      <c r="E619" s="1">
        <v>0</v>
      </c>
      <c r="G619" s="2">
        <f t="shared" si="9"/>
        <v>0</v>
      </c>
      <c r="H619" s="2">
        <v>0</v>
      </c>
    </row>
    <row r="620" spans="2:8">
      <c r="B620" t="s">
        <v>303</v>
      </c>
      <c r="C620" t="s">
        <v>614</v>
      </c>
      <c r="D620" s="11" t="s">
        <v>480</v>
      </c>
      <c r="E620" s="1">
        <v>0</v>
      </c>
      <c r="G620" s="2">
        <f t="shared" si="9"/>
        <v>0</v>
      </c>
      <c r="H620" s="2">
        <v>0</v>
      </c>
    </row>
    <row r="621" spans="2:8">
      <c r="B621" t="s">
        <v>303</v>
      </c>
      <c r="C621" t="s">
        <v>614</v>
      </c>
      <c r="D621" s="13" t="s">
        <v>481</v>
      </c>
      <c r="E621" s="1">
        <v>0</v>
      </c>
      <c r="G621" s="2">
        <f t="shared" si="9"/>
        <v>0</v>
      </c>
      <c r="H621" s="2">
        <v>0</v>
      </c>
    </row>
    <row r="622" spans="2:8">
      <c r="B622" t="s">
        <v>303</v>
      </c>
      <c r="C622" t="s">
        <v>614</v>
      </c>
      <c r="D622" s="12" t="s">
        <v>1033</v>
      </c>
      <c r="E622" s="1">
        <v>0</v>
      </c>
      <c r="G622" s="2">
        <f t="shared" si="9"/>
        <v>0</v>
      </c>
      <c r="H622" s="2">
        <v>0</v>
      </c>
    </row>
    <row r="623" spans="2:8">
      <c r="B623" t="s">
        <v>187</v>
      </c>
      <c r="C623" t="s">
        <v>615</v>
      </c>
      <c r="D623" s="5" t="s">
        <v>474</v>
      </c>
      <c r="E623" s="1">
        <v>0</v>
      </c>
      <c r="G623" s="2">
        <f t="shared" si="9"/>
        <v>0</v>
      </c>
      <c r="H623" s="2">
        <v>0</v>
      </c>
    </row>
    <row r="624" spans="2:8">
      <c r="B624" t="s">
        <v>187</v>
      </c>
      <c r="C624" t="s">
        <v>615</v>
      </c>
      <c r="D624" s="6" t="s">
        <v>475</v>
      </c>
      <c r="E624" s="1">
        <v>0</v>
      </c>
      <c r="G624" s="2">
        <f t="shared" si="9"/>
        <v>0</v>
      </c>
      <c r="H624" s="2">
        <v>0</v>
      </c>
    </row>
    <row r="625" spans="2:8">
      <c r="B625" t="s">
        <v>187</v>
      </c>
      <c r="C625" t="s">
        <v>615</v>
      </c>
      <c r="D625" s="7" t="s">
        <v>476</v>
      </c>
      <c r="E625" s="1">
        <v>0</v>
      </c>
      <c r="G625" s="2">
        <f t="shared" si="9"/>
        <v>0</v>
      </c>
      <c r="H625" s="2">
        <v>0</v>
      </c>
    </row>
    <row r="626" spans="2:8">
      <c r="B626" t="s">
        <v>187</v>
      </c>
      <c r="C626" t="s">
        <v>615</v>
      </c>
      <c r="D626" s="8" t="s">
        <v>477</v>
      </c>
      <c r="E626" s="1">
        <v>0</v>
      </c>
      <c r="G626" s="2">
        <f t="shared" si="9"/>
        <v>0</v>
      </c>
      <c r="H626" s="2">
        <v>0</v>
      </c>
    </row>
    <row r="627" spans="2:8">
      <c r="B627" t="s">
        <v>187</v>
      </c>
      <c r="C627" t="s">
        <v>615</v>
      </c>
      <c r="D627" s="9" t="s">
        <v>478</v>
      </c>
      <c r="E627" s="1">
        <v>0</v>
      </c>
      <c r="G627" s="2">
        <f t="shared" si="9"/>
        <v>0</v>
      </c>
      <c r="H627" s="2">
        <v>0</v>
      </c>
    </row>
    <row r="628" spans="2:8">
      <c r="B628" t="s">
        <v>187</v>
      </c>
      <c r="C628" t="s">
        <v>615</v>
      </c>
      <c r="D628" s="10" t="s">
        <v>479</v>
      </c>
      <c r="E628" s="1">
        <v>0</v>
      </c>
      <c r="G628" s="2">
        <f t="shared" si="9"/>
        <v>0</v>
      </c>
      <c r="H628" s="2">
        <v>0</v>
      </c>
    </row>
    <row r="629" spans="2:8">
      <c r="B629" t="s">
        <v>187</v>
      </c>
      <c r="C629" t="s">
        <v>615</v>
      </c>
      <c r="D629" s="11" t="s">
        <v>480</v>
      </c>
      <c r="E629" s="1">
        <v>0</v>
      </c>
      <c r="G629" s="2">
        <f t="shared" si="9"/>
        <v>0</v>
      </c>
      <c r="H629" s="2">
        <v>0</v>
      </c>
    </row>
    <row r="630" spans="2:8">
      <c r="B630" t="s">
        <v>187</v>
      </c>
      <c r="C630" t="s">
        <v>615</v>
      </c>
      <c r="D630" s="13" t="s">
        <v>481</v>
      </c>
      <c r="E630" s="1">
        <v>0</v>
      </c>
      <c r="G630" s="2">
        <f t="shared" si="9"/>
        <v>0</v>
      </c>
      <c r="H630" s="2">
        <v>0</v>
      </c>
    </row>
    <row r="631" spans="2:8">
      <c r="B631" t="s">
        <v>187</v>
      </c>
      <c r="C631" t="s">
        <v>615</v>
      </c>
      <c r="D631" s="12" t="s">
        <v>1033</v>
      </c>
      <c r="E631" s="1">
        <v>0</v>
      </c>
      <c r="G631" s="2">
        <f t="shared" si="9"/>
        <v>0</v>
      </c>
      <c r="H631" s="2">
        <v>0</v>
      </c>
    </row>
    <row r="632" spans="2:8">
      <c r="B632" t="s">
        <v>174</v>
      </c>
      <c r="C632" t="s">
        <v>616</v>
      </c>
      <c r="D632" s="5" t="s">
        <v>474</v>
      </c>
      <c r="E632" s="1">
        <v>0</v>
      </c>
      <c r="G632" s="2">
        <f t="shared" si="9"/>
        <v>0</v>
      </c>
      <c r="H632" s="2">
        <v>0</v>
      </c>
    </row>
    <row r="633" spans="2:8">
      <c r="B633" t="s">
        <v>174</v>
      </c>
      <c r="C633" t="s">
        <v>616</v>
      </c>
      <c r="D633" s="6" t="s">
        <v>475</v>
      </c>
      <c r="E633" s="1">
        <v>0</v>
      </c>
      <c r="G633" s="2">
        <f t="shared" si="9"/>
        <v>0</v>
      </c>
      <c r="H633" s="2">
        <v>0</v>
      </c>
    </row>
    <row r="634" spans="2:8">
      <c r="B634" t="s">
        <v>174</v>
      </c>
      <c r="C634" t="s">
        <v>616</v>
      </c>
      <c r="D634" s="7" t="s">
        <v>476</v>
      </c>
      <c r="E634" s="1">
        <v>0</v>
      </c>
      <c r="G634" s="2">
        <f t="shared" si="9"/>
        <v>0</v>
      </c>
      <c r="H634" s="2">
        <v>0</v>
      </c>
    </row>
    <row r="635" spans="2:8">
      <c r="B635" t="s">
        <v>174</v>
      </c>
      <c r="C635" t="s">
        <v>616</v>
      </c>
      <c r="D635" s="8" t="s">
        <v>477</v>
      </c>
      <c r="E635" s="1">
        <v>0</v>
      </c>
      <c r="G635" s="2">
        <f t="shared" si="9"/>
        <v>0</v>
      </c>
      <c r="H635" s="2">
        <v>0</v>
      </c>
    </row>
    <row r="636" spans="2:8">
      <c r="B636" t="s">
        <v>174</v>
      </c>
      <c r="C636" t="s">
        <v>616</v>
      </c>
      <c r="D636" s="9" t="s">
        <v>478</v>
      </c>
      <c r="E636" s="1">
        <v>0</v>
      </c>
      <c r="G636" s="2">
        <f t="shared" si="9"/>
        <v>0</v>
      </c>
      <c r="H636" s="2">
        <v>0</v>
      </c>
    </row>
    <row r="637" spans="2:8">
      <c r="B637" t="s">
        <v>174</v>
      </c>
      <c r="C637" t="s">
        <v>616</v>
      </c>
      <c r="D637" s="10" t="s">
        <v>479</v>
      </c>
      <c r="E637" s="1">
        <v>0</v>
      </c>
      <c r="G637" s="2">
        <f t="shared" si="9"/>
        <v>0</v>
      </c>
      <c r="H637" s="2">
        <v>0</v>
      </c>
    </row>
    <row r="638" spans="2:8">
      <c r="B638" t="s">
        <v>174</v>
      </c>
      <c r="C638" t="s">
        <v>616</v>
      </c>
      <c r="D638" s="11" t="s">
        <v>480</v>
      </c>
      <c r="E638" s="1">
        <v>0</v>
      </c>
      <c r="G638" s="2">
        <f t="shared" si="9"/>
        <v>0</v>
      </c>
      <c r="H638" s="2">
        <v>0</v>
      </c>
    </row>
    <row r="639" spans="2:8">
      <c r="B639" t="s">
        <v>174</v>
      </c>
      <c r="C639" t="s">
        <v>616</v>
      </c>
      <c r="D639" s="13" t="s">
        <v>481</v>
      </c>
      <c r="E639" s="1">
        <v>0</v>
      </c>
      <c r="G639" s="2">
        <f t="shared" si="9"/>
        <v>0</v>
      </c>
      <c r="H639" s="2">
        <v>0</v>
      </c>
    </row>
    <row r="640" spans="2:8">
      <c r="B640" t="s">
        <v>174</v>
      </c>
      <c r="C640" t="s">
        <v>616</v>
      </c>
      <c r="D640" s="12" t="s">
        <v>1033</v>
      </c>
      <c r="E640" s="1">
        <v>0</v>
      </c>
      <c r="G640" s="2">
        <f t="shared" si="9"/>
        <v>0</v>
      </c>
      <c r="H640" s="2">
        <v>0</v>
      </c>
    </row>
    <row r="641" spans="2:8">
      <c r="B641" t="s">
        <v>226</v>
      </c>
      <c r="C641" t="s">
        <v>617</v>
      </c>
      <c r="D641" s="5" t="s">
        <v>474</v>
      </c>
      <c r="E641" s="1">
        <v>0</v>
      </c>
      <c r="G641" s="2">
        <f t="shared" si="9"/>
        <v>0</v>
      </c>
      <c r="H641" s="2">
        <v>0</v>
      </c>
    </row>
    <row r="642" spans="2:8">
      <c r="B642" t="s">
        <v>226</v>
      </c>
      <c r="C642" t="s">
        <v>617</v>
      </c>
      <c r="D642" s="6" t="s">
        <v>475</v>
      </c>
      <c r="E642" s="1">
        <v>0</v>
      </c>
      <c r="G642" s="2">
        <f t="shared" ref="G642:G705" si="10">E642*F642</f>
        <v>0</v>
      </c>
      <c r="H642" s="2">
        <v>0</v>
      </c>
    </row>
    <row r="643" spans="2:8">
      <c r="B643" t="s">
        <v>226</v>
      </c>
      <c r="C643" t="s">
        <v>617</v>
      </c>
      <c r="D643" s="7" t="s">
        <v>476</v>
      </c>
      <c r="E643" s="1">
        <v>0</v>
      </c>
      <c r="G643" s="2">
        <f t="shared" si="10"/>
        <v>0</v>
      </c>
      <c r="H643" s="2">
        <v>0</v>
      </c>
    </row>
    <row r="644" spans="2:8">
      <c r="B644" t="s">
        <v>226</v>
      </c>
      <c r="C644" t="s">
        <v>617</v>
      </c>
      <c r="D644" s="8" t="s">
        <v>477</v>
      </c>
      <c r="E644" s="1">
        <v>0</v>
      </c>
      <c r="G644" s="2">
        <f t="shared" si="10"/>
        <v>0</v>
      </c>
      <c r="H644" s="2">
        <v>0</v>
      </c>
    </row>
    <row r="645" spans="2:8">
      <c r="B645" t="s">
        <v>226</v>
      </c>
      <c r="C645" t="s">
        <v>617</v>
      </c>
      <c r="D645" s="9" t="s">
        <v>478</v>
      </c>
      <c r="E645" s="1">
        <v>0</v>
      </c>
      <c r="G645" s="2">
        <f t="shared" si="10"/>
        <v>0</v>
      </c>
      <c r="H645" s="2">
        <v>0</v>
      </c>
    </row>
    <row r="646" spans="2:8">
      <c r="B646" t="s">
        <v>226</v>
      </c>
      <c r="C646" t="s">
        <v>617</v>
      </c>
      <c r="D646" s="10" t="s">
        <v>479</v>
      </c>
      <c r="E646" s="1">
        <v>0</v>
      </c>
      <c r="G646" s="2">
        <f t="shared" si="10"/>
        <v>0</v>
      </c>
      <c r="H646" s="2">
        <v>0</v>
      </c>
    </row>
    <row r="647" spans="2:8">
      <c r="B647" t="s">
        <v>226</v>
      </c>
      <c r="C647" t="s">
        <v>617</v>
      </c>
      <c r="D647" s="11" t="s">
        <v>480</v>
      </c>
      <c r="E647" s="1">
        <v>0</v>
      </c>
      <c r="G647" s="2">
        <f t="shared" si="10"/>
        <v>0</v>
      </c>
      <c r="H647" s="2">
        <v>0</v>
      </c>
    </row>
    <row r="648" spans="2:8">
      <c r="B648" t="s">
        <v>226</v>
      </c>
      <c r="C648" t="s">
        <v>617</v>
      </c>
      <c r="D648" s="13" t="s">
        <v>481</v>
      </c>
      <c r="E648" s="1">
        <v>0</v>
      </c>
      <c r="G648" s="2">
        <f t="shared" si="10"/>
        <v>0</v>
      </c>
      <c r="H648" s="2">
        <v>0</v>
      </c>
    </row>
    <row r="649" spans="2:8">
      <c r="B649" t="s">
        <v>226</v>
      </c>
      <c r="C649" t="s">
        <v>617</v>
      </c>
      <c r="D649" s="12" t="s">
        <v>1033</v>
      </c>
      <c r="E649" s="1">
        <v>0</v>
      </c>
      <c r="G649" s="2">
        <f t="shared" si="10"/>
        <v>0</v>
      </c>
      <c r="H649" s="2">
        <v>0</v>
      </c>
    </row>
    <row r="650" spans="2:8">
      <c r="B650" t="s">
        <v>880</v>
      </c>
      <c r="C650" t="s">
        <v>899</v>
      </c>
      <c r="D650" s="5" t="s">
        <v>474</v>
      </c>
      <c r="E650" s="1">
        <v>0</v>
      </c>
      <c r="G650" s="2">
        <f t="shared" si="10"/>
        <v>0</v>
      </c>
      <c r="H650" s="2">
        <v>0</v>
      </c>
    </row>
    <row r="651" spans="2:8">
      <c r="B651" t="s">
        <v>880</v>
      </c>
      <c r="C651" t="s">
        <v>899</v>
      </c>
      <c r="D651" s="6" t="s">
        <v>475</v>
      </c>
      <c r="E651" s="1">
        <v>0</v>
      </c>
      <c r="G651" s="2">
        <f t="shared" si="10"/>
        <v>0</v>
      </c>
      <c r="H651" s="2">
        <v>0</v>
      </c>
    </row>
    <row r="652" spans="2:8">
      <c r="B652" t="s">
        <v>880</v>
      </c>
      <c r="C652" t="s">
        <v>899</v>
      </c>
      <c r="D652" s="7" t="s">
        <v>476</v>
      </c>
      <c r="E652" s="1">
        <v>0</v>
      </c>
      <c r="G652" s="2">
        <f t="shared" si="10"/>
        <v>0</v>
      </c>
      <c r="H652" s="2">
        <v>0</v>
      </c>
    </row>
    <row r="653" spans="2:8">
      <c r="B653" t="s">
        <v>880</v>
      </c>
      <c r="C653" t="s">
        <v>899</v>
      </c>
      <c r="D653" s="8" t="s">
        <v>477</v>
      </c>
      <c r="E653" s="1">
        <v>0</v>
      </c>
      <c r="G653" s="2">
        <f t="shared" si="10"/>
        <v>0</v>
      </c>
      <c r="H653" s="2">
        <v>0</v>
      </c>
    </row>
    <row r="654" spans="2:8">
      <c r="B654" t="s">
        <v>880</v>
      </c>
      <c r="C654" t="s">
        <v>899</v>
      </c>
      <c r="D654" s="9" t="s">
        <v>478</v>
      </c>
      <c r="E654" s="1">
        <v>0</v>
      </c>
      <c r="G654" s="2">
        <f t="shared" si="10"/>
        <v>0</v>
      </c>
      <c r="H654" s="2">
        <v>0</v>
      </c>
    </row>
    <row r="655" spans="2:8">
      <c r="B655" t="s">
        <v>880</v>
      </c>
      <c r="C655" t="s">
        <v>899</v>
      </c>
      <c r="D655" s="10" t="s">
        <v>479</v>
      </c>
      <c r="E655" s="1">
        <v>0</v>
      </c>
      <c r="G655" s="2">
        <f t="shared" si="10"/>
        <v>0</v>
      </c>
      <c r="H655" s="2">
        <v>0</v>
      </c>
    </row>
    <row r="656" spans="2:8">
      <c r="B656" t="s">
        <v>880</v>
      </c>
      <c r="C656" t="s">
        <v>899</v>
      </c>
      <c r="D656" s="11" t="s">
        <v>480</v>
      </c>
      <c r="E656" s="1">
        <v>0</v>
      </c>
      <c r="G656" s="2">
        <f t="shared" si="10"/>
        <v>0</v>
      </c>
      <c r="H656" s="2">
        <v>0</v>
      </c>
    </row>
    <row r="657" spans="2:8">
      <c r="B657" t="s">
        <v>880</v>
      </c>
      <c r="C657" t="s">
        <v>899</v>
      </c>
      <c r="D657" s="13" t="s">
        <v>481</v>
      </c>
      <c r="E657" s="1">
        <v>0</v>
      </c>
      <c r="G657" s="2">
        <f t="shared" si="10"/>
        <v>0</v>
      </c>
      <c r="H657" s="2">
        <v>0</v>
      </c>
    </row>
    <row r="658" spans="2:8">
      <c r="B658" t="s">
        <v>880</v>
      </c>
      <c r="C658" t="s">
        <v>899</v>
      </c>
      <c r="D658" s="12" t="s">
        <v>1033</v>
      </c>
      <c r="E658" s="1">
        <v>0</v>
      </c>
      <c r="G658" s="2">
        <f t="shared" si="10"/>
        <v>0</v>
      </c>
      <c r="H658" s="2">
        <v>0</v>
      </c>
    </row>
    <row r="659" spans="2:8">
      <c r="B659" t="s">
        <v>152</v>
      </c>
      <c r="C659" t="s">
        <v>618</v>
      </c>
      <c r="D659" s="5" t="s">
        <v>474</v>
      </c>
      <c r="E659" s="1">
        <v>0</v>
      </c>
      <c r="G659" s="2">
        <f t="shared" si="10"/>
        <v>0</v>
      </c>
      <c r="H659" s="2">
        <v>0</v>
      </c>
    </row>
    <row r="660" spans="2:8">
      <c r="B660" t="s">
        <v>152</v>
      </c>
      <c r="C660" t="s">
        <v>618</v>
      </c>
      <c r="D660" s="6" t="s">
        <v>475</v>
      </c>
      <c r="E660" s="1">
        <v>0</v>
      </c>
      <c r="G660" s="2">
        <f t="shared" si="10"/>
        <v>0</v>
      </c>
      <c r="H660" s="2">
        <v>0</v>
      </c>
    </row>
    <row r="661" spans="2:8">
      <c r="B661" t="s">
        <v>152</v>
      </c>
      <c r="C661" t="s">
        <v>618</v>
      </c>
      <c r="D661" s="7" t="s">
        <v>476</v>
      </c>
      <c r="E661" s="1">
        <v>0</v>
      </c>
      <c r="G661" s="2">
        <f t="shared" si="10"/>
        <v>0</v>
      </c>
      <c r="H661" s="2">
        <v>0</v>
      </c>
    </row>
    <row r="662" spans="2:8">
      <c r="B662" t="s">
        <v>152</v>
      </c>
      <c r="C662" t="s">
        <v>618</v>
      </c>
      <c r="D662" s="8" t="s">
        <v>477</v>
      </c>
      <c r="E662" s="1">
        <v>0</v>
      </c>
      <c r="G662" s="2">
        <f t="shared" si="10"/>
        <v>0</v>
      </c>
      <c r="H662" s="2">
        <v>0</v>
      </c>
    </row>
    <row r="663" spans="2:8">
      <c r="B663" t="s">
        <v>152</v>
      </c>
      <c r="C663" t="s">
        <v>618</v>
      </c>
      <c r="D663" s="9" t="s">
        <v>478</v>
      </c>
      <c r="E663" s="1">
        <v>0</v>
      </c>
      <c r="G663" s="2">
        <f t="shared" si="10"/>
        <v>0</v>
      </c>
      <c r="H663" s="2">
        <v>0</v>
      </c>
    </row>
    <row r="664" spans="2:8">
      <c r="B664" t="s">
        <v>152</v>
      </c>
      <c r="C664" t="s">
        <v>618</v>
      </c>
      <c r="D664" s="10" t="s">
        <v>479</v>
      </c>
      <c r="E664" s="1">
        <v>0</v>
      </c>
      <c r="G664" s="2">
        <f t="shared" si="10"/>
        <v>0</v>
      </c>
      <c r="H664" s="2">
        <v>0</v>
      </c>
    </row>
    <row r="665" spans="2:8">
      <c r="B665" t="s">
        <v>152</v>
      </c>
      <c r="C665" t="s">
        <v>618</v>
      </c>
      <c r="D665" s="11" t="s">
        <v>480</v>
      </c>
      <c r="E665" s="1">
        <v>0</v>
      </c>
      <c r="G665" s="2">
        <f t="shared" si="10"/>
        <v>0</v>
      </c>
      <c r="H665" s="2">
        <v>0</v>
      </c>
    </row>
    <row r="666" spans="2:8">
      <c r="B666" t="s">
        <v>152</v>
      </c>
      <c r="C666" t="s">
        <v>618</v>
      </c>
      <c r="D666" s="13" t="s">
        <v>481</v>
      </c>
      <c r="E666" s="1">
        <v>0</v>
      </c>
      <c r="G666" s="2">
        <f t="shared" si="10"/>
        <v>0</v>
      </c>
      <c r="H666" s="2">
        <v>0</v>
      </c>
    </row>
    <row r="667" spans="2:8">
      <c r="B667" t="s">
        <v>152</v>
      </c>
      <c r="C667" t="s">
        <v>618</v>
      </c>
      <c r="D667" s="12" t="s">
        <v>1033</v>
      </c>
      <c r="E667" s="1">
        <v>0</v>
      </c>
      <c r="G667" s="2">
        <f t="shared" si="10"/>
        <v>0</v>
      </c>
      <c r="H667" s="2">
        <v>0</v>
      </c>
    </row>
    <row r="668" spans="2:8">
      <c r="B668" t="s">
        <v>153</v>
      </c>
      <c r="C668" t="s">
        <v>619</v>
      </c>
      <c r="D668" s="5" t="s">
        <v>474</v>
      </c>
      <c r="E668" s="1">
        <v>0</v>
      </c>
      <c r="G668" s="2">
        <f t="shared" si="10"/>
        <v>0</v>
      </c>
      <c r="H668" s="2">
        <v>0</v>
      </c>
    </row>
    <row r="669" spans="2:8">
      <c r="B669" t="s">
        <v>153</v>
      </c>
      <c r="C669" t="s">
        <v>619</v>
      </c>
      <c r="D669" s="6" t="s">
        <v>475</v>
      </c>
      <c r="E669" s="1">
        <v>0</v>
      </c>
      <c r="G669" s="2">
        <f t="shared" si="10"/>
        <v>0</v>
      </c>
      <c r="H669" s="2">
        <v>0</v>
      </c>
    </row>
    <row r="670" spans="2:8">
      <c r="B670" t="s">
        <v>153</v>
      </c>
      <c r="C670" t="s">
        <v>619</v>
      </c>
      <c r="D670" s="7" t="s">
        <v>476</v>
      </c>
      <c r="E670" s="1">
        <v>0</v>
      </c>
      <c r="G670" s="2">
        <f t="shared" si="10"/>
        <v>0</v>
      </c>
      <c r="H670" s="2">
        <v>0</v>
      </c>
    </row>
    <row r="671" spans="2:8">
      <c r="B671" t="s">
        <v>153</v>
      </c>
      <c r="C671" t="s">
        <v>619</v>
      </c>
      <c r="D671" s="8" t="s">
        <v>477</v>
      </c>
      <c r="E671" s="1">
        <v>0</v>
      </c>
      <c r="G671" s="2">
        <f t="shared" si="10"/>
        <v>0</v>
      </c>
      <c r="H671" s="2">
        <v>0</v>
      </c>
    </row>
    <row r="672" spans="2:8">
      <c r="B672" t="s">
        <v>153</v>
      </c>
      <c r="C672" t="s">
        <v>619</v>
      </c>
      <c r="D672" s="9" t="s">
        <v>478</v>
      </c>
      <c r="E672" s="1">
        <v>0</v>
      </c>
      <c r="G672" s="2">
        <f t="shared" si="10"/>
        <v>0</v>
      </c>
      <c r="H672" s="2">
        <v>0</v>
      </c>
    </row>
    <row r="673" spans="2:8">
      <c r="B673" t="s">
        <v>153</v>
      </c>
      <c r="C673" t="s">
        <v>619</v>
      </c>
      <c r="D673" s="10" t="s">
        <v>479</v>
      </c>
      <c r="E673" s="1">
        <v>0</v>
      </c>
      <c r="G673" s="2">
        <f t="shared" si="10"/>
        <v>0</v>
      </c>
      <c r="H673" s="2">
        <v>0</v>
      </c>
    </row>
    <row r="674" spans="2:8">
      <c r="B674" t="s">
        <v>153</v>
      </c>
      <c r="C674" t="s">
        <v>619</v>
      </c>
      <c r="D674" s="11" t="s">
        <v>480</v>
      </c>
      <c r="E674" s="1">
        <v>0</v>
      </c>
      <c r="G674" s="2">
        <f t="shared" si="10"/>
        <v>0</v>
      </c>
      <c r="H674" s="2">
        <v>0</v>
      </c>
    </row>
    <row r="675" spans="2:8">
      <c r="B675" t="s">
        <v>153</v>
      </c>
      <c r="C675" t="s">
        <v>619</v>
      </c>
      <c r="D675" s="13" t="s">
        <v>481</v>
      </c>
      <c r="E675" s="1">
        <v>0</v>
      </c>
      <c r="G675" s="2">
        <f t="shared" si="10"/>
        <v>0</v>
      </c>
      <c r="H675" s="2">
        <v>0</v>
      </c>
    </row>
    <row r="676" spans="2:8">
      <c r="B676" t="s">
        <v>153</v>
      </c>
      <c r="C676" t="s">
        <v>619</v>
      </c>
      <c r="D676" s="12" t="s">
        <v>1033</v>
      </c>
      <c r="E676" s="1">
        <v>0</v>
      </c>
      <c r="G676" s="2">
        <f t="shared" si="10"/>
        <v>0</v>
      </c>
      <c r="H676" s="2">
        <v>0</v>
      </c>
    </row>
    <row r="677" spans="2:8">
      <c r="B677" t="s">
        <v>154</v>
      </c>
      <c r="C677" t="s">
        <v>620</v>
      </c>
      <c r="D677" s="5" t="s">
        <v>474</v>
      </c>
      <c r="E677" s="1">
        <v>0</v>
      </c>
      <c r="G677" s="2">
        <f t="shared" si="10"/>
        <v>0</v>
      </c>
      <c r="H677" s="2">
        <v>0</v>
      </c>
    </row>
    <row r="678" spans="2:8">
      <c r="B678" t="s">
        <v>154</v>
      </c>
      <c r="C678" t="s">
        <v>620</v>
      </c>
      <c r="D678" s="6" t="s">
        <v>475</v>
      </c>
      <c r="E678" s="1">
        <v>0</v>
      </c>
      <c r="G678" s="2">
        <f t="shared" si="10"/>
        <v>0</v>
      </c>
      <c r="H678" s="2">
        <v>0</v>
      </c>
    </row>
    <row r="679" spans="2:8">
      <c r="B679" t="s">
        <v>154</v>
      </c>
      <c r="C679" t="s">
        <v>620</v>
      </c>
      <c r="D679" s="7" t="s">
        <v>476</v>
      </c>
      <c r="E679" s="1">
        <v>0</v>
      </c>
      <c r="G679" s="2">
        <f t="shared" si="10"/>
        <v>0</v>
      </c>
      <c r="H679" s="2">
        <v>0</v>
      </c>
    </row>
    <row r="680" spans="2:8">
      <c r="B680" t="s">
        <v>154</v>
      </c>
      <c r="C680" t="s">
        <v>620</v>
      </c>
      <c r="D680" s="8" t="s">
        <v>477</v>
      </c>
      <c r="E680" s="1">
        <v>0</v>
      </c>
      <c r="G680" s="2">
        <f t="shared" si="10"/>
        <v>0</v>
      </c>
      <c r="H680" s="2">
        <v>0</v>
      </c>
    </row>
    <row r="681" spans="2:8">
      <c r="B681" t="s">
        <v>154</v>
      </c>
      <c r="C681" t="s">
        <v>620</v>
      </c>
      <c r="D681" s="9" t="s">
        <v>478</v>
      </c>
      <c r="E681" s="1">
        <v>0</v>
      </c>
      <c r="G681" s="2">
        <f t="shared" si="10"/>
        <v>0</v>
      </c>
      <c r="H681" s="2">
        <v>0</v>
      </c>
    </row>
    <row r="682" spans="2:8">
      <c r="B682" t="s">
        <v>154</v>
      </c>
      <c r="C682" t="s">
        <v>620</v>
      </c>
      <c r="D682" s="10" t="s">
        <v>479</v>
      </c>
      <c r="E682" s="1">
        <v>0</v>
      </c>
      <c r="G682" s="2">
        <f t="shared" si="10"/>
        <v>0</v>
      </c>
      <c r="H682" s="2">
        <v>0</v>
      </c>
    </row>
    <row r="683" spans="2:8">
      <c r="B683" t="s">
        <v>154</v>
      </c>
      <c r="C683" t="s">
        <v>620</v>
      </c>
      <c r="D683" s="11" t="s">
        <v>480</v>
      </c>
      <c r="E683" s="1">
        <v>0</v>
      </c>
      <c r="G683" s="2">
        <f t="shared" si="10"/>
        <v>0</v>
      </c>
      <c r="H683" s="2">
        <v>0</v>
      </c>
    </row>
    <row r="684" spans="2:8">
      <c r="B684" t="s">
        <v>154</v>
      </c>
      <c r="C684" t="s">
        <v>620</v>
      </c>
      <c r="D684" s="13" t="s">
        <v>481</v>
      </c>
      <c r="E684" s="1">
        <v>0</v>
      </c>
      <c r="G684" s="2">
        <f t="shared" si="10"/>
        <v>0</v>
      </c>
      <c r="H684" s="2">
        <v>0</v>
      </c>
    </row>
    <row r="685" spans="2:8">
      <c r="B685" t="s">
        <v>154</v>
      </c>
      <c r="C685" t="s">
        <v>620</v>
      </c>
      <c r="D685" s="12" t="s">
        <v>1033</v>
      </c>
      <c r="E685" s="1">
        <v>0</v>
      </c>
      <c r="G685" s="2">
        <f t="shared" si="10"/>
        <v>0</v>
      </c>
      <c r="H685" s="2">
        <v>0</v>
      </c>
    </row>
    <row r="686" spans="2:8">
      <c r="B686" t="s">
        <v>881</v>
      </c>
      <c r="C686" t="s">
        <v>900</v>
      </c>
      <c r="D686" s="5" t="s">
        <v>474</v>
      </c>
      <c r="E686" s="1">
        <v>0</v>
      </c>
      <c r="G686" s="2">
        <f t="shared" si="10"/>
        <v>0</v>
      </c>
      <c r="H686" s="2">
        <v>0</v>
      </c>
    </row>
    <row r="687" spans="2:8">
      <c r="B687" t="s">
        <v>881</v>
      </c>
      <c r="C687" t="s">
        <v>900</v>
      </c>
      <c r="D687" s="6" t="s">
        <v>475</v>
      </c>
      <c r="E687" s="1">
        <v>0</v>
      </c>
      <c r="G687" s="2">
        <f t="shared" si="10"/>
        <v>0</v>
      </c>
      <c r="H687" s="2">
        <v>0</v>
      </c>
    </row>
    <row r="688" spans="2:8">
      <c r="B688" t="s">
        <v>881</v>
      </c>
      <c r="C688" t="s">
        <v>900</v>
      </c>
      <c r="D688" s="7" t="s">
        <v>476</v>
      </c>
      <c r="E688" s="1">
        <v>0</v>
      </c>
      <c r="G688" s="2">
        <f t="shared" si="10"/>
        <v>0</v>
      </c>
      <c r="H688" s="2">
        <v>0</v>
      </c>
    </row>
    <row r="689" spans="2:8">
      <c r="B689" t="s">
        <v>881</v>
      </c>
      <c r="C689" t="s">
        <v>900</v>
      </c>
      <c r="D689" s="8" t="s">
        <v>477</v>
      </c>
      <c r="E689" s="1">
        <v>0</v>
      </c>
      <c r="G689" s="2">
        <f t="shared" si="10"/>
        <v>0</v>
      </c>
      <c r="H689" s="2">
        <v>0</v>
      </c>
    </row>
    <row r="690" spans="2:8">
      <c r="B690" t="s">
        <v>881</v>
      </c>
      <c r="C690" t="s">
        <v>900</v>
      </c>
      <c r="D690" s="9" t="s">
        <v>478</v>
      </c>
      <c r="E690" s="1">
        <v>0</v>
      </c>
      <c r="G690" s="2">
        <f t="shared" si="10"/>
        <v>0</v>
      </c>
      <c r="H690" s="2">
        <v>0</v>
      </c>
    </row>
    <row r="691" spans="2:8">
      <c r="B691" t="s">
        <v>881</v>
      </c>
      <c r="C691" t="s">
        <v>900</v>
      </c>
      <c r="D691" s="10" t="s">
        <v>479</v>
      </c>
      <c r="E691" s="1">
        <v>0</v>
      </c>
      <c r="G691" s="2">
        <f t="shared" si="10"/>
        <v>0</v>
      </c>
      <c r="H691" s="2">
        <v>0</v>
      </c>
    </row>
    <row r="692" spans="2:8">
      <c r="B692" t="s">
        <v>881</v>
      </c>
      <c r="C692" t="s">
        <v>900</v>
      </c>
      <c r="D692" s="11" t="s">
        <v>480</v>
      </c>
      <c r="E692" s="1">
        <v>0</v>
      </c>
      <c r="G692" s="2">
        <f t="shared" si="10"/>
        <v>0</v>
      </c>
      <c r="H692" s="2">
        <v>0</v>
      </c>
    </row>
    <row r="693" spans="2:8">
      <c r="B693" t="s">
        <v>881</v>
      </c>
      <c r="C693" t="s">
        <v>900</v>
      </c>
      <c r="D693" s="13" t="s">
        <v>481</v>
      </c>
      <c r="E693" s="1">
        <v>0</v>
      </c>
      <c r="G693" s="2">
        <f t="shared" si="10"/>
        <v>0</v>
      </c>
      <c r="H693" s="2">
        <v>0</v>
      </c>
    </row>
    <row r="694" spans="2:8">
      <c r="B694" t="s">
        <v>881</v>
      </c>
      <c r="C694" t="s">
        <v>900</v>
      </c>
      <c r="D694" s="12" t="s">
        <v>1033</v>
      </c>
      <c r="E694" s="1">
        <v>0</v>
      </c>
      <c r="G694" s="2">
        <f t="shared" si="10"/>
        <v>0</v>
      </c>
      <c r="H694" s="2">
        <v>0</v>
      </c>
    </row>
    <row r="695" spans="2:8">
      <c r="B695" t="s">
        <v>155</v>
      </c>
      <c r="C695" t="s">
        <v>621</v>
      </c>
      <c r="D695" s="5" t="s">
        <v>474</v>
      </c>
      <c r="E695" s="1">
        <v>0</v>
      </c>
      <c r="G695" s="2">
        <f t="shared" si="10"/>
        <v>0</v>
      </c>
      <c r="H695" s="2">
        <v>0</v>
      </c>
    </row>
    <row r="696" spans="2:8">
      <c r="B696" t="s">
        <v>155</v>
      </c>
      <c r="C696" t="s">
        <v>621</v>
      </c>
      <c r="D696" s="6" t="s">
        <v>475</v>
      </c>
      <c r="E696" s="1">
        <v>0</v>
      </c>
      <c r="G696" s="2">
        <f t="shared" si="10"/>
        <v>0</v>
      </c>
      <c r="H696" s="2">
        <v>0</v>
      </c>
    </row>
    <row r="697" spans="2:8">
      <c r="B697" t="s">
        <v>155</v>
      </c>
      <c r="C697" t="s">
        <v>621</v>
      </c>
      <c r="D697" s="7" t="s">
        <v>476</v>
      </c>
      <c r="E697" s="1">
        <v>0</v>
      </c>
      <c r="G697" s="2">
        <f t="shared" si="10"/>
        <v>0</v>
      </c>
      <c r="H697" s="2">
        <v>0</v>
      </c>
    </row>
    <row r="698" spans="2:8">
      <c r="B698" t="s">
        <v>155</v>
      </c>
      <c r="C698" t="s">
        <v>621</v>
      </c>
      <c r="D698" s="8" t="s">
        <v>477</v>
      </c>
      <c r="E698" s="1">
        <v>0</v>
      </c>
      <c r="G698" s="2">
        <f t="shared" si="10"/>
        <v>0</v>
      </c>
      <c r="H698" s="2">
        <v>0</v>
      </c>
    </row>
    <row r="699" spans="2:8">
      <c r="B699" t="s">
        <v>155</v>
      </c>
      <c r="C699" t="s">
        <v>621</v>
      </c>
      <c r="D699" s="9" t="s">
        <v>478</v>
      </c>
      <c r="E699" s="1">
        <v>0</v>
      </c>
      <c r="G699" s="2">
        <f t="shared" si="10"/>
        <v>0</v>
      </c>
      <c r="H699" s="2">
        <v>0</v>
      </c>
    </row>
    <row r="700" spans="2:8">
      <c r="B700" t="s">
        <v>155</v>
      </c>
      <c r="C700" t="s">
        <v>621</v>
      </c>
      <c r="D700" s="10" t="s">
        <v>479</v>
      </c>
      <c r="E700" s="1">
        <v>0</v>
      </c>
      <c r="G700" s="2">
        <f t="shared" si="10"/>
        <v>0</v>
      </c>
      <c r="H700" s="2">
        <v>0</v>
      </c>
    </row>
    <row r="701" spans="2:8">
      <c r="B701" t="s">
        <v>155</v>
      </c>
      <c r="C701" t="s">
        <v>621</v>
      </c>
      <c r="D701" s="11" t="s">
        <v>480</v>
      </c>
      <c r="E701" s="1">
        <v>0</v>
      </c>
      <c r="G701" s="2">
        <f t="shared" si="10"/>
        <v>0</v>
      </c>
      <c r="H701" s="2">
        <v>0</v>
      </c>
    </row>
    <row r="702" spans="2:8">
      <c r="B702" t="s">
        <v>155</v>
      </c>
      <c r="C702" t="s">
        <v>621</v>
      </c>
      <c r="D702" s="13" t="s">
        <v>481</v>
      </c>
      <c r="E702" s="1">
        <v>0</v>
      </c>
      <c r="G702" s="2">
        <f t="shared" si="10"/>
        <v>0</v>
      </c>
      <c r="H702" s="2">
        <v>0</v>
      </c>
    </row>
    <row r="703" spans="2:8">
      <c r="B703" t="s">
        <v>155</v>
      </c>
      <c r="C703" t="s">
        <v>621</v>
      </c>
      <c r="D703" s="12" t="s">
        <v>1033</v>
      </c>
      <c r="E703" s="1">
        <v>0</v>
      </c>
      <c r="G703" s="2">
        <f t="shared" si="10"/>
        <v>0</v>
      </c>
      <c r="H703" s="2">
        <v>0</v>
      </c>
    </row>
    <row r="704" spans="2:8">
      <c r="B704" t="s">
        <v>156</v>
      </c>
      <c r="C704" t="s">
        <v>622</v>
      </c>
      <c r="D704" s="5" t="s">
        <v>474</v>
      </c>
      <c r="E704" s="1">
        <v>0</v>
      </c>
      <c r="G704" s="2">
        <f t="shared" si="10"/>
        <v>0</v>
      </c>
      <c r="H704" s="2">
        <v>0</v>
      </c>
    </row>
    <row r="705" spans="2:8">
      <c r="B705" t="s">
        <v>156</v>
      </c>
      <c r="C705" t="s">
        <v>622</v>
      </c>
      <c r="D705" s="6" t="s">
        <v>475</v>
      </c>
      <c r="E705" s="1">
        <v>0</v>
      </c>
      <c r="G705" s="2">
        <f t="shared" si="10"/>
        <v>0</v>
      </c>
      <c r="H705" s="2">
        <v>0</v>
      </c>
    </row>
    <row r="706" spans="2:8">
      <c r="B706" t="s">
        <v>156</v>
      </c>
      <c r="C706" t="s">
        <v>622</v>
      </c>
      <c r="D706" s="7" t="s">
        <v>476</v>
      </c>
      <c r="E706" s="1">
        <v>0</v>
      </c>
      <c r="G706" s="2">
        <f t="shared" ref="G706:G769" si="11">E706*F706</f>
        <v>0</v>
      </c>
      <c r="H706" s="2">
        <v>0</v>
      </c>
    </row>
    <row r="707" spans="2:8">
      <c r="B707" t="s">
        <v>156</v>
      </c>
      <c r="C707" t="s">
        <v>622</v>
      </c>
      <c r="D707" s="8" t="s">
        <v>477</v>
      </c>
      <c r="E707" s="1">
        <v>0</v>
      </c>
      <c r="G707" s="2">
        <f t="shared" si="11"/>
        <v>0</v>
      </c>
      <c r="H707" s="2">
        <v>0</v>
      </c>
    </row>
    <row r="708" spans="2:8">
      <c r="B708" t="s">
        <v>156</v>
      </c>
      <c r="C708" t="s">
        <v>622</v>
      </c>
      <c r="D708" s="9" t="s">
        <v>478</v>
      </c>
      <c r="E708" s="1">
        <v>0</v>
      </c>
      <c r="G708" s="2">
        <f t="shared" si="11"/>
        <v>0</v>
      </c>
      <c r="H708" s="2">
        <v>0</v>
      </c>
    </row>
    <row r="709" spans="2:8">
      <c r="B709" t="s">
        <v>156</v>
      </c>
      <c r="C709" t="s">
        <v>622</v>
      </c>
      <c r="D709" s="10" t="s">
        <v>479</v>
      </c>
      <c r="E709" s="1">
        <v>0</v>
      </c>
      <c r="G709" s="2">
        <f t="shared" si="11"/>
        <v>0</v>
      </c>
      <c r="H709" s="2">
        <v>0</v>
      </c>
    </row>
    <row r="710" spans="2:8">
      <c r="B710" t="s">
        <v>156</v>
      </c>
      <c r="C710" t="s">
        <v>622</v>
      </c>
      <c r="D710" s="11" t="s">
        <v>480</v>
      </c>
      <c r="E710" s="1">
        <v>0</v>
      </c>
      <c r="G710" s="2">
        <f t="shared" si="11"/>
        <v>0</v>
      </c>
      <c r="H710" s="2">
        <v>0</v>
      </c>
    </row>
    <row r="711" spans="2:8">
      <c r="B711" t="s">
        <v>156</v>
      </c>
      <c r="C711" t="s">
        <v>622</v>
      </c>
      <c r="D711" s="13" t="s">
        <v>481</v>
      </c>
      <c r="E711" s="1">
        <v>0</v>
      </c>
      <c r="G711" s="2">
        <f t="shared" si="11"/>
        <v>0</v>
      </c>
      <c r="H711" s="2">
        <v>0</v>
      </c>
    </row>
    <row r="712" spans="2:8">
      <c r="B712" t="s">
        <v>156</v>
      </c>
      <c r="C712" t="s">
        <v>622</v>
      </c>
      <c r="D712" s="12" t="s">
        <v>1033</v>
      </c>
      <c r="E712" s="1">
        <v>0</v>
      </c>
      <c r="G712" s="2">
        <f t="shared" si="11"/>
        <v>0</v>
      </c>
      <c r="H712" s="2">
        <v>0</v>
      </c>
    </row>
    <row r="713" spans="2:8">
      <c r="B713" t="s">
        <v>157</v>
      </c>
      <c r="C713" t="s">
        <v>623</v>
      </c>
      <c r="D713" s="5" t="s">
        <v>474</v>
      </c>
      <c r="E713" s="1">
        <v>0</v>
      </c>
      <c r="G713" s="2">
        <f t="shared" si="11"/>
        <v>0</v>
      </c>
      <c r="H713" s="2">
        <v>0</v>
      </c>
    </row>
    <row r="714" spans="2:8">
      <c r="B714" t="s">
        <v>157</v>
      </c>
      <c r="C714" t="s">
        <v>623</v>
      </c>
      <c r="D714" s="6" t="s">
        <v>475</v>
      </c>
      <c r="E714" s="1">
        <v>0</v>
      </c>
      <c r="G714" s="2">
        <f t="shared" si="11"/>
        <v>0</v>
      </c>
      <c r="H714" s="2">
        <v>0</v>
      </c>
    </row>
    <row r="715" spans="2:8">
      <c r="B715" t="s">
        <v>157</v>
      </c>
      <c r="C715" t="s">
        <v>623</v>
      </c>
      <c r="D715" s="7" t="s">
        <v>476</v>
      </c>
      <c r="E715" s="1">
        <v>0</v>
      </c>
      <c r="G715" s="2">
        <f t="shared" si="11"/>
        <v>0</v>
      </c>
      <c r="H715" s="2">
        <v>0</v>
      </c>
    </row>
    <row r="716" spans="2:8">
      <c r="B716" t="s">
        <v>157</v>
      </c>
      <c r="C716" t="s">
        <v>623</v>
      </c>
      <c r="D716" s="8" t="s">
        <v>477</v>
      </c>
      <c r="E716" s="1">
        <v>0</v>
      </c>
      <c r="G716" s="2">
        <f t="shared" si="11"/>
        <v>0</v>
      </c>
      <c r="H716" s="2">
        <v>0</v>
      </c>
    </row>
    <row r="717" spans="2:8">
      <c r="B717" t="s">
        <v>157</v>
      </c>
      <c r="C717" t="s">
        <v>623</v>
      </c>
      <c r="D717" s="9" t="s">
        <v>478</v>
      </c>
      <c r="E717" s="1">
        <v>0</v>
      </c>
      <c r="G717" s="2">
        <f t="shared" si="11"/>
        <v>0</v>
      </c>
      <c r="H717" s="2">
        <v>0</v>
      </c>
    </row>
    <row r="718" spans="2:8">
      <c r="B718" t="s">
        <v>157</v>
      </c>
      <c r="C718" t="s">
        <v>623</v>
      </c>
      <c r="D718" s="10" t="s">
        <v>479</v>
      </c>
      <c r="E718" s="1">
        <v>0</v>
      </c>
      <c r="G718" s="2">
        <f t="shared" si="11"/>
        <v>0</v>
      </c>
      <c r="H718" s="2">
        <v>0</v>
      </c>
    </row>
    <row r="719" spans="2:8">
      <c r="B719" t="s">
        <v>157</v>
      </c>
      <c r="C719" t="s">
        <v>623</v>
      </c>
      <c r="D719" s="11" t="s">
        <v>480</v>
      </c>
      <c r="E719" s="1">
        <v>0</v>
      </c>
      <c r="G719" s="2">
        <f t="shared" si="11"/>
        <v>0</v>
      </c>
      <c r="H719" s="2">
        <v>0</v>
      </c>
    </row>
    <row r="720" spans="2:8">
      <c r="B720" t="s">
        <v>157</v>
      </c>
      <c r="C720" t="s">
        <v>623</v>
      </c>
      <c r="D720" s="13" t="s">
        <v>481</v>
      </c>
      <c r="E720" s="1">
        <v>0</v>
      </c>
      <c r="G720" s="2">
        <f t="shared" si="11"/>
        <v>0</v>
      </c>
      <c r="H720" s="2">
        <v>0</v>
      </c>
    </row>
    <row r="721" spans="2:8">
      <c r="B721" t="s">
        <v>157</v>
      </c>
      <c r="C721" t="s">
        <v>623</v>
      </c>
      <c r="D721" s="12" t="s">
        <v>1033</v>
      </c>
      <c r="E721" s="1">
        <v>0</v>
      </c>
      <c r="G721" s="2">
        <f t="shared" si="11"/>
        <v>0</v>
      </c>
      <c r="H721" s="2">
        <v>0</v>
      </c>
    </row>
    <row r="722" spans="2:8">
      <c r="B722" t="s">
        <v>878</v>
      </c>
      <c r="C722" t="s">
        <v>901</v>
      </c>
      <c r="D722" s="5" t="s">
        <v>474</v>
      </c>
      <c r="E722" s="1">
        <v>0</v>
      </c>
      <c r="G722" s="2">
        <f t="shared" si="11"/>
        <v>0</v>
      </c>
      <c r="H722" s="2">
        <v>0</v>
      </c>
    </row>
    <row r="723" spans="2:8">
      <c r="B723" t="s">
        <v>878</v>
      </c>
      <c r="C723" t="s">
        <v>901</v>
      </c>
      <c r="D723" s="6" t="s">
        <v>475</v>
      </c>
      <c r="E723" s="1">
        <v>0</v>
      </c>
      <c r="G723" s="2">
        <f t="shared" si="11"/>
        <v>0</v>
      </c>
      <c r="H723" s="2">
        <v>0</v>
      </c>
    </row>
    <row r="724" spans="2:8">
      <c r="B724" t="s">
        <v>878</v>
      </c>
      <c r="C724" t="s">
        <v>901</v>
      </c>
      <c r="D724" s="7" t="s">
        <v>476</v>
      </c>
      <c r="E724" s="1">
        <v>0</v>
      </c>
      <c r="G724" s="2">
        <f t="shared" si="11"/>
        <v>0</v>
      </c>
      <c r="H724" s="2">
        <v>0</v>
      </c>
    </row>
    <row r="725" spans="2:8">
      <c r="B725" t="s">
        <v>878</v>
      </c>
      <c r="C725" t="s">
        <v>901</v>
      </c>
      <c r="D725" s="8" t="s">
        <v>477</v>
      </c>
      <c r="E725" s="1">
        <v>0</v>
      </c>
      <c r="G725" s="2">
        <f t="shared" si="11"/>
        <v>0</v>
      </c>
      <c r="H725" s="2">
        <v>0</v>
      </c>
    </row>
    <row r="726" spans="2:8">
      <c r="B726" t="s">
        <v>878</v>
      </c>
      <c r="C726" t="s">
        <v>901</v>
      </c>
      <c r="D726" s="9" t="s">
        <v>478</v>
      </c>
      <c r="E726" s="1">
        <v>0</v>
      </c>
      <c r="G726" s="2">
        <f t="shared" si="11"/>
        <v>0</v>
      </c>
      <c r="H726" s="2">
        <v>0</v>
      </c>
    </row>
    <row r="727" spans="2:8">
      <c r="B727" t="s">
        <v>878</v>
      </c>
      <c r="C727" t="s">
        <v>901</v>
      </c>
      <c r="D727" s="10" t="s">
        <v>479</v>
      </c>
      <c r="E727" s="1">
        <v>0</v>
      </c>
      <c r="G727" s="2">
        <f t="shared" si="11"/>
        <v>0</v>
      </c>
      <c r="H727" s="2">
        <v>0</v>
      </c>
    </row>
    <row r="728" spans="2:8">
      <c r="B728" t="s">
        <v>878</v>
      </c>
      <c r="C728" t="s">
        <v>901</v>
      </c>
      <c r="D728" s="11" t="s">
        <v>480</v>
      </c>
      <c r="E728" s="1">
        <v>0</v>
      </c>
      <c r="G728" s="2">
        <f t="shared" si="11"/>
        <v>0</v>
      </c>
      <c r="H728" s="2">
        <v>0</v>
      </c>
    </row>
    <row r="729" spans="2:8">
      <c r="B729" t="s">
        <v>878</v>
      </c>
      <c r="C729" t="s">
        <v>901</v>
      </c>
      <c r="D729" s="13" t="s">
        <v>481</v>
      </c>
      <c r="E729" s="1">
        <v>0</v>
      </c>
      <c r="G729" s="2">
        <f t="shared" si="11"/>
        <v>0</v>
      </c>
      <c r="H729" s="2">
        <v>0</v>
      </c>
    </row>
    <row r="730" spans="2:8">
      <c r="B730" t="s">
        <v>878</v>
      </c>
      <c r="C730" t="s">
        <v>901</v>
      </c>
      <c r="D730" s="12" t="s">
        <v>1033</v>
      </c>
      <c r="E730" s="1">
        <v>0</v>
      </c>
      <c r="G730" s="2">
        <f t="shared" si="11"/>
        <v>0</v>
      </c>
      <c r="H730" s="2">
        <v>0</v>
      </c>
    </row>
    <row r="731" spans="2:8">
      <c r="B731" t="s">
        <v>149</v>
      </c>
      <c r="C731" t="s">
        <v>624</v>
      </c>
      <c r="D731" s="5" t="s">
        <v>474</v>
      </c>
      <c r="E731" s="1">
        <v>0</v>
      </c>
      <c r="G731" s="2">
        <f t="shared" si="11"/>
        <v>0</v>
      </c>
      <c r="H731" s="2">
        <v>0</v>
      </c>
    </row>
    <row r="732" spans="2:8">
      <c r="B732" t="s">
        <v>149</v>
      </c>
      <c r="C732" t="s">
        <v>624</v>
      </c>
      <c r="D732" s="6" t="s">
        <v>475</v>
      </c>
      <c r="E732" s="1">
        <v>0</v>
      </c>
      <c r="G732" s="2">
        <f t="shared" si="11"/>
        <v>0</v>
      </c>
      <c r="H732" s="2">
        <v>0</v>
      </c>
    </row>
    <row r="733" spans="2:8">
      <c r="B733" t="s">
        <v>149</v>
      </c>
      <c r="C733" t="s">
        <v>624</v>
      </c>
      <c r="D733" s="7" t="s">
        <v>476</v>
      </c>
      <c r="E733" s="1">
        <v>0</v>
      </c>
      <c r="G733" s="2">
        <f t="shared" si="11"/>
        <v>0</v>
      </c>
      <c r="H733" s="2">
        <v>0</v>
      </c>
    </row>
    <row r="734" spans="2:8">
      <c r="B734" t="s">
        <v>149</v>
      </c>
      <c r="C734" t="s">
        <v>624</v>
      </c>
      <c r="D734" s="8" t="s">
        <v>477</v>
      </c>
      <c r="E734" s="1">
        <v>0</v>
      </c>
      <c r="G734" s="2">
        <f t="shared" si="11"/>
        <v>0</v>
      </c>
      <c r="H734" s="2">
        <v>0</v>
      </c>
    </row>
    <row r="735" spans="2:8">
      <c r="B735" t="s">
        <v>149</v>
      </c>
      <c r="C735" t="s">
        <v>624</v>
      </c>
      <c r="D735" s="9" t="s">
        <v>478</v>
      </c>
      <c r="E735" s="1">
        <v>0</v>
      </c>
      <c r="G735" s="2">
        <f t="shared" si="11"/>
        <v>0</v>
      </c>
      <c r="H735" s="2">
        <v>0</v>
      </c>
    </row>
    <row r="736" spans="2:8">
      <c r="B736" t="s">
        <v>149</v>
      </c>
      <c r="C736" t="s">
        <v>624</v>
      </c>
      <c r="D736" s="10" t="s">
        <v>479</v>
      </c>
      <c r="E736" s="1">
        <v>0</v>
      </c>
      <c r="G736" s="2">
        <f t="shared" si="11"/>
        <v>0</v>
      </c>
      <c r="H736" s="2">
        <v>0</v>
      </c>
    </row>
    <row r="737" spans="2:8">
      <c r="B737" t="s">
        <v>149</v>
      </c>
      <c r="C737" t="s">
        <v>624</v>
      </c>
      <c r="D737" s="11" t="s">
        <v>480</v>
      </c>
      <c r="E737" s="1">
        <v>0</v>
      </c>
      <c r="G737" s="2">
        <f t="shared" si="11"/>
        <v>0</v>
      </c>
      <c r="H737" s="2">
        <v>0</v>
      </c>
    </row>
    <row r="738" spans="2:8">
      <c r="B738" t="s">
        <v>149</v>
      </c>
      <c r="C738" t="s">
        <v>624</v>
      </c>
      <c r="D738" s="13" t="s">
        <v>481</v>
      </c>
      <c r="E738" s="1">
        <v>0</v>
      </c>
      <c r="G738" s="2">
        <f t="shared" si="11"/>
        <v>0</v>
      </c>
      <c r="H738" s="2">
        <v>0</v>
      </c>
    </row>
    <row r="739" spans="2:8">
      <c r="B739" t="s">
        <v>149</v>
      </c>
      <c r="C739" t="s">
        <v>624</v>
      </c>
      <c r="D739" s="12" t="s">
        <v>1033</v>
      </c>
      <c r="E739" s="1">
        <v>0</v>
      </c>
      <c r="G739" s="2">
        <f t="shared" si="11"/>
        <v>0</v>
      </c>
      <c r="H739" s="2">
        <v>0</v>
      </c>
    </row>
    <row r="740" spans="2:8">
      <c r="B740" t="s">
        <v>150</v>
      </c>
      <c r="C740" t="s">
        <v>625</v>
      </c>
      <c r="D740" s="5" t="s">
        <v>474</v>
      </c>
      <c r="E740" s="1">
        <v>0</v>
      </c>
      <c r="G740" s="2">
        <f t="shared" si="11"/>
        <v>0</v>
      </c>
      <c r="H740" s="2">
        <v>0</v>
      </c>
    </row>
    <row r="741" spans="2:8">
      <c r="B741" t="s">
        <v>150</v>
      </c>
      <c r="C741" t="s">
        <v>625</v>
      </c>
      <c r="D741" s="6" t="s">
        <v>475</v>
      </c>
      <c r="E741" s="1">
        <v>0</v>
      </c>
      <c r="G741" s="2">
        <f t="shared" si="11"/>
        <v>0</v>
      </c>
      <c r="H741" s="2">
        <v>0</v>
      </c>
    </row>
    <row r="742" spans="2:8">
      <c r="B742" t="s">
        <v>150</v>
      </c>
      <c r="C742" t="s">
        <v>625</v>
      </c>
      <c r="D742" s="7" t="s">
        <v>476</v>
      </c>
      <c r="E742" s="1">
        <v>0</v>
      </c>
      <c r="G742" s="2">
        <f t="shared" si="11"/>
        <v>0</v>
      </c>
      <c r="H742" s="2">
        <v>0</v>
      </c>
    </row>
    <row r="743" spans="2:8">
      <c r="B743" t="s">
        <v>150</v>
      </c>
      <c r="C743" t="s">
        <v>625</v>
      </c>
      <c r="D743" s="8" t="s">
        <v>477</v>
      </c>
      <c r="E743" s="1">
        <v>0</v>
      </c>
      <c r="G743" s="2">
        <f t="shared" si="11"/>
        <v>0</v>
      </c>
      <c r="H743" s="2">
        <v>0</v>
      </c>
    </row>
    <row r="744" spans="2:8">
      <c r="B744" t="s">
        <v>150</v>
      </c>
      <c r="C744" t="s">
        <v>625</v>
      </c>
      <c r="D744" s="9" t="s">
        <v>478</v>
      </c>
      <c r="E744" s="1">
        <v>0</v>
      </c>
      <c r="G744" s="2">
        <f t="shared" si="11"/>
        <v>0</v>
      </c>
      <c r="H744" s="2">
        <v>0</v>
      </c>
    </row>
    <row r="745" spans="2:8">
      <c r="B745" t="s">
        <v>150</v>
      </c>
      <c r="C745" t="s">
        <v>625</v>
      </c>
      <c r="D745" s="10" t="s">
        <v>479</v>
      </c>
      <c r="E745" s="1">
        <v>0</v>
      </c>
      <c r="G745" s="2">
        <f t="shared" si="11"/>
        <v>0</v>
      </c>
      <c r="H745" s="2">
        <v>0</v>
      </c>
    </row>
    <row r="746" spans="2:8">
      <c r="B746" t="s">
        <v>150</v>
      </c>
      <c r="C746" t="s">
        <v>625</v>
      </c>
      <c r="D746" s="11" t="s">
        <v>480</v>
      </c>
      <c r="E746" s="1">
        <v>0</v>
      </c>
      <c r="G746" s="2">
        <f t="shared" si="11"/>
        <v>0</v>
      </c>
      <c r="H746" s="2">
        <v>0</v>
      </c>
    </row>
    <row r="747" spans="2:8">
      <c r="B747" t="s">
        <v>150</v>
      </c>
      <c r="C747" t="s">
        <v>625</v>
      </c>
      <c r="D747" s="13" t="s">
        <v>481</v>
      </c>
      <c r="E747" s="1">
        <v>0</v>
      </c>
      <c r="G747" s="2">
        <f t="shared" si="11"/>
        <v>0</v>
      </c>
      <c r="H747" s="2">
        <v>0</v>
      </c>
    </row>
    <row r="748" spans="2:8">
      <c r="B748" t="s">
        <v>150</v>
      </c>
      <c r="C748" t="s">
        <v>625</v>
      </c>
      <c r="D748" s="12" t="s">
        <v>1033</v>
      </c>
      <c r="E748" s="1">
        <v>0</v>
      </c>
      <c r="G748" s="2">
        <f t="shared" si="11"/>
        <v>0</v>
      </c>
      <c r="H748" s="2">
        <v>0</v>
      </c>
    </row>
    <row r="749" spans="2:8">
      <c r="B749" t="s">
        <v>151</v>
      </c>
      <c r="C749" t="s">
        <v>626</v>
      </c>
      <c r="D749" s="5" t="s">
        <v>474</v>
      </c>
      <c r="E749" s="1">
        <v>0</v>
      </c>
      <c r="G749" s="2">
        <f t="shared" si="11"/>
        <v>0</v>
      </c>
      <c r="H749" s="2">
        <v>0</v>
      </c>
    </row>
    <row r="750" spans="2:8">
      <c r="B750" t="s">
        <v>151</v>
      </c>
      <c r="C750" t="s">
        <v>626</v>
      </c>
      <c r="D750" s="6" t="s">
        <v>475</v>
      </c>
      <c r="E750" s="1">
        <v>0</v>
      </c>
      <c r="G750" s="2">
        <f t="shared" si="11"/>
        <v>0</v>
      </c>
      <c r="H750" s="2">
        <v>0</v>
      </c>
    </row>
    <row r="751" spans="2:8">
      <c r="B751" t="s">
        <v>151</v>
      </c>
      <c r="C751" t="s">
        <v>626</v>
      </c>
      <c r="D751" s="7" t="s">
        <v>476</v>
      </c>
      <c r="E751" s="1">
        <v>0</v>
      </c>
      <c r="G751" s="2">
        <f t="shared" si="11"/>
        <v>0</v>
      </c>
      <c r="H751" s="2">
        <v>0</v>
      </c>
    </row>
    <row r="752" spans="2:8">
      <c r="B752" t="s">
        <v>151</v>
      </c>
      <c r="C752" t="s">
        <v>626</v>
      </c>
      <c r="D752" s="8" t="s">
        <v>477</v>
      </c>
      <c r="E752" s="1">
        <v>0</v>
      </c>
      <c r="G752" s="2">
        <f t="shared" si="11"/>
        <v>0</v>
      </c>
      <c r="H752" s="2">
        <v>0</v>
      </c>
    </row>
    <row r="753" spans="2:8">
      <c r="B753" t="s">
        <v>151</v>
      </c>
      <c r="C753" t="s">
        <v>626</v>
      </c>
      <c r="D753" s="9" t="s">
        <v>478</v>
      </c>
      <c r="E753" s="1">
        <v>0</v>
      </c>
      <c r="G753" s="2">
        <f t="shared" si="11"/>
        <v>0</v>
      </c>
      <c r="H753" s="2">
        <v>0</v>
      </c>
    </row>
    <row r="754" spans="2:8">
      <c r="B754" t="s">
        <v>151</v>
      </c>
      <c r="C754" t="s">
        <v>626</v>
      </c>
      <c r="D754" s="10" t="s">
        <v>479</v>
      </c>
      <c r="E754" s="1">
        <v>0</v>
      </c>
      <c r="G754" s="2">
        <f t="shared" si="11"/>
        <v>0</v>
      </c>
      <c r="H754" s="2">
        <v>0</v>
      </c>
    </row>
    <row r="755" spans="2:8">
      <c r="B755" t="s">
        <v>151</v>
      </c>
      <c r="C755" t="s">
        <v>626</v>
      </c>
      <c r="D755" s="11" t="s">
        <v>480</v>
      </c>
      <c r="E755" s="1">
        <v>0</v>
      </c>
      <c r="G755" s="2">
        <f t="shared" si="11"/>
        <v>0</v>
      </c>
      <c r="H755" s="2">
        <v>0</v>
      </c>
    </row>
    <row r="756" spans="2:8">
      <c r="B756" t="s">
        <v>151</v>
      </c>
      <c r="C756" t="s">
        <v>626</v>
      </c>
      <c r="D756" s="13" t="s">
        <v>481</v>
      </c>
      <c r="E756" s="1">
        <v>0</v>
      </c>
      <c r="G756" s="2">
        <f t="shared" si="11"/>
        <v>0</v>
      </c>
      <c r="H756" s="2">
        <v>0</v>
      </c>
    </row>
    <row r="757" spans="2:8">
      <c r="B757" t="s">
        <v>151</v>
      </c>
      <c r="C757" t="s">
        <v>626</v>
      </c>
      <c r="D757" s="12" t="s">
        <v>1033</v>
      </c>
      <c r="E757" s="1">
        <v>0</v>
      </c>
      <c r="G757" s="2">
        <f t="shared" si="11"/>
        <v>0</v>
      </c>
      <c r="H757" s="2">
        <v>0</v>
      </c>
    </row>
    <row r="758" spans="2:8">
      <c r="B758" t="s">
        <v>888</v>
      </c>
      <c r="C758" t="s">
        <v>902</v>
      </c>
      <c r="D758" s="5" t="s">
        <v>474</v>
      </c>
      <c r="E758" s="1">
        <v>0</v>
      </c>
      <c r="G758" s="2">
        <f t="shared" si="11"/>
        <v>0</v>
      </c>
      <c r="H758" s="2">
        <v>0</v>
      </c>
    </row>
    <row r="759" spans="2:8">
      <c r="B759" t="s">
        <v>888</v>
      </c>
      <c r="C759" t="s">
        <v>902</v>
      </c>
      <c r="D759" s="6" t="s">
        <v>475</v>
      </c>
      <c r="E759" s="1">
        <v>0</v>
      </c>
      <c r="G759" s="2">
        <f t="shared" si="11"/>
        <v>0</v>
      </c>
      <c r="H759" s="2">
        <v>0</v>
      </c>
    </row>
    <row r="760" spans="2:8">
      <c r="B760" t="s">
        <v>888</v>
      </c>
      <c r="C760" t="s">
        <v>902</v>
      </c>
      <c r="D760" s="7" t="s">
        <v>476</v>
      </c>
      <c r="E760" s="1">
        <v>0</v>
      </c>
      <c r="G760" s="2">
        <f t="shared" si="11"/>
        <v>0</v>
      </c>
      <c r="H760" s="2">
        <v>0</v>
      </c>
    </row>
    <row r="761" spans="2:8">
      <c r="B761" t="s">
        <v>888</v>
      </c>
      <c r="C761" t="s">
        <v>902</v>
      </c>
      <c r="D761" s="8" t="s">
        <v>477</v>
      </c>
      <c r="E761" s="1">
        <v>0</v>
      </c>
      <c r="G761" s="2">
        <f t="shared" si="11"/>
        <v>0</v>
      </c>
      <c r="H761" s="2">
        <v>0</v>
      </c>
    </row>
    <row r="762" spans="2:8">
      <c r="B762" t="s">
        <v>888</v>
      </c>
      <c r="C762" t="s">
        <v>902</v>
      </c>
      <c r="D762" s="9" t="s">
        <v>478</v>
      </c>
      <c r="E762" s="1">
        <v>0</v>
      </c>
      <c r="G762" s="2">
        <f t="shared" si="11"/>
        <v>0</v>
      </c>
      <c r="H762" s="2">
        <v>0</v>
      </c>
    </row>
    <row r="763" spans="2:8">
      <c r="B763" t="s">
        <v>888</v>
      </c>
      <c r="C763" t="s">
        <v>902</v>
      </c>
      <c r="D763" s="10" t="s">
        <v>479</v>
      </c>
      <c r="E763" s="1">
        <v>0</v>
      </c>
      <c r="G763" s="2">
        <f t="shared" si="11"/>
        <v>0</v>
      </c>
      <c r="H763" s="2">
        <v>0</v>
      </c>
    </row>
    <row r="764" spans="2:8">
      <c r="B764" t="s">
        <v>888</v>
      </c>
      <c r="C764" t="s">
        <v>902</v>
      </c>
      <c r="D764" s="11" t="s">
        <v>480</v>
      </c>
      <c r="E764" s="1">
        <v>0</v>
      </c>
      <c r="G764" s="2">
        <f t="shared" si="11"/>
        <v>0</v>
      </c>
      <c r="H764" s="2">
        <v>0</v>
      </c>
    </row>
    <row r="765" spans="2:8">
      <c r="B765" t="s">
        <v>888</v>
      </c>
      <c r="C765" t="s">
        <v>902</v>
      </c>
      <c r="D765" s="13" t="s">
        <v>481</v>
      </c>
      <c r="E765" s="1">
        <v>0</v>
      </c>
      <c r="G765" s="2">
        <f t="shared" si="11"/>
        <v>0</v>
      </c>
      <c r="H765" s="2">
        <v>0</v>
      </c>
    </row>
    <row r="766" spans="2:8">
      <c r="B766" t="s">
        <v>888</v>
      </c>
      <c r="C766" t="s">
        <v>902</v>
      </c>
      <c r="D766" s="12" t="s">
        <v>1033</v>
      </c>
      <c r="E766" s="1">
        <v>0</v>
      </c>
      <c r="G766" s="2">
        <f t="shared" si="11"/>
        <v>0</v>
      </c>
      <c r="H766" s="2">
        <v>0</v>
      </c>
    </row>
    <row r="767" spans="2:8">
      <c r="B767" t="s">
        <v>293</v>
      </c>
      <c r="C767" t="s">
        <v>627</v>
      </c>
      <c r="D767" s="5" t="s">
        <v>474</v>
      </c>
      <c r="E767" s="1">
        <v>0</v>
      </c>
      <c r="G767" s="2">
        <f t="shared" si="11"/>
        <v>0</v>
      </c>
      <c r="H767" s="2">
        <v>0</v>
      </c>
    </row>
    <row r="768" spans="2:8">
      <c r="B768" t="s">
        <v>293</v>
      </c>
      <c r="C768" t="s">
        <v>627</v>
      </c>
      <c r="D768" s="6" t="s">
        <v>475</v>
      </c>
      <c r="E768" s="1">
        <v>0</v>
      </c>
      <c r="G768" s="2">
        <f t="shared" si="11"/>
        <v>0</v>
      </c>
      <c r="H768" s="2">
        <v>0</v>
      </c>
    </row>
    <row r="769" spans="2:8">
      <c r="B769" t="s">
        <v>293</v>
      </c>
      <c r="C769" t="s">
        <v>627</v>
      </c>
      <c r="D769" s="7" t="s">
        <v>476</v>
      </c>
      <c r="E769" s="1">
        <v>0</v>
      </c>
      <c r="G769" s="2">
        <f t="shared" si="11"/>
        <v>0</v>
      </c>
      <c r="H769" s="2">
        <v>0</v>
      </c>
    </row>
    <row r="770" spans="2:8">
      <c r="B770" t="s">
        <v>293</v>
      </c>
      <c r="C770" t="s">
        <v>627</v>
      </c>
      <c r="D770" s="8" t="s">
        <v>477</v>
      </c>
      <c r="E770" s="1">
        <v>0</v>
      </c>
      <c r="G770" s="2">
        <f t="shared" ref="G770:G833" si="12">E770*F770</f>
        <v>0</v>
      </c>
      <c r="H770" s="2">
        <v>0</v>
      </c>
    </row>
    <row r="771" spans="2:8">
      <c r="B771" t="s">
        <v>293</v>
      </c>
      <c r="C771" t="s">
        <v>627</v>
      </c>
      <c r="D771" s="9" t="s">
        <v>478</v>
      </c>
      <c r="E771" s="1">
        <v>0</v>
      </c>
      <c r="G771" s="2">
        <f t="shared" si="12"/>
        <v>0</v>
      </c>
      <c r="H771" s="2">
        <v>0</v>
      </c>
    </row>
    <row r="772" spans="2:8">
      <c r="B772" t="s">
        <v>293</v>
      </c>
      <c r="C772" t="s">
        <v>627</v>
      </c>
      <c r="D772" s="10" t="s">
        <v>479</v>
      </c>
      <c r="E772" s="1">
        <v>0</v>
      </c>
      <c r="G772" s="2">
        <f t="shared" si="12"/>
        <v>0</v>
      </c>
      <c r="H772" s="2">
        <v>0</v>
      </c>
    </row>
    <row r="773" spans="2:8">
      <c r="B773" t="s">
        <v>293</v>
      </c>
      <c r="C773" t="s">
        <v>627</v>
      </c>
      <c r="D773" s="11" t="s">
        <v>480</v>
      </c>
      <c r="E773" s="1">
        <v>0</v>
      </c>
      <c r="G773" s="2">
        <f t="shared" si="12"/>
        <v>0</v>
      </c>
      <c r="H773" s="2">
        <v>0</v>
      </c>
    </row>
    <row r="774" spans="2:8">
      <c r="B774" t="s">
        <v>293</v>
      </c>
      <c r="C774" t="s">
        <v>627</v>
      </c>
      <c r="D774" s="13" t="s">
        <v>481</v>
      </c>
      <c r="E774" s="1">
        <v>0</v>
      </c>
      <c r="G774" s="2">
        <f t="shared" si="12"/>
        <v>0</v>
      </c>
      <c r="H774" s="2">
        <v>0</v>
      </c>
    </row>
    <row r="775" spans="2:8">
      <c r="B775" t="s">
        <v>293</v>
      </c>
      <c r="C775" t="s">
        <v>627</v>
      </c>
      <c r="D775" s="12" t="s">
        <v>1033</v>
      </c>
      <c r="E775" s="1">
        <v>0</v>
      </c>
      <c r="G775" s="2">
        <f t="shared" si="12"/>
        <v>0</v>
      </c>
      <c r="H775" s="2">
        <v>0</v>
      </c>
    </row>
    <row r="776" spans="2:8">
      <c r="B776" t="s">
        <v>294</v>
      </c>
      <c r="C776" t="s">
        <v>628</v>
      </c>
      <c r="D776" s="5" t="s">
        <v>474</v>
      </c>
      <c r="E776" s="1">
        <v>0</v>
      </c>
      <c r="G776" s="2">
        <f t="shared" si="12"/>
        <v>0</v>
      </c>
      <c r="H776" s="2">
        <v>0</v>
      </c>
    </row>
    <row r="777" spans="2:8">
      <c r="B777" t="s">
        <v>294</v>
      </c>
      <c r="C777" t="s">
        <v>628</v>
      </c>
      <c r="D777" s="6" t="s">
        <v>475</v>
      </c>
      <c r="E777" s="1">
        <v>0</v>
      </c>
      <c r="G777" s="2">
        <f t="shared" si="12"/>
        <v>0</v>
      </c>
      <c r="H777" s="2">
        <v>0</v>
      </c>
    </row>
    <row r="778" spans="2:8">
      <c r="B778" t="s">
        <v>294</v>
      </c>
      <c r="C778" t="s">
        <v>628</v>
      </c>
      <c r="D778" s="7" t="s">
        <v>476</v>
      </c>
      <c r="E778" s="1">
        <v>0</v>
      </c>
      <c r="G778" s="2">
        <f t="shared" si="12"/>
        <v>0</v>
      </c>
      <c r="H778" s="2">
        <v>0</v>
      </c>
    </row>
    <row r="779" spans="2:8">
      <c r="B779" t="s">
        <v>294</v>
      </c>
      <c r="C779" t="s">
        <v>628</v>
      </c>
      <c r="D779" s="8" t="s">
        <v>477</v>
      </c>
      <c r="E779" s="1">
        <v>0</v>
      </c>
      <c r="G779" s="2">
        <f t="shared" si="12"/>
        <v>0</v>
      </c>
      <c r="H779" s="2">
        <v>0</v>
      </c>
    </row>
    <row r="780" spans="2:8">
      <c r="B780" t="s">
        <v>294</v>
      </c>
      <c r="C780" t="s">
        <v>628</v>
      </c>
      <c r="D780" s="9" t="s">
        <v>478</v>
      </c>
      <c r="E780" s="1">
        <v>0</v>
      </c>
      <c r="G780" s="2">
        <f t="shared" si="12"/>
        <v>0</v>
      </c>
      <c r="H780" s="2">
        <v>0</v>
      </c>
    </row>
    <row r="781" spans="2:8">
      <c r="B781" t="s">
        <v>294</v>
      </c>
      <c r="C781" t="s">
        <v>628</v>
      </c>
      <c r="D781" s="10" t="s">
        <v>479</v>
      </c>
      <c r="E781" s="1">
        <v>0</v>
      </c>
      <c r="G781" s="2">
        <f t="shared" si="12"/>
        <v>0</v>
      </c>
      <c r="H781" s="2">
        <v>0</v>
      </c>
    </row>
    <row r="782" spans="2:8">
      <c r="B782" t="s">
        <v>294</v>
      </c>
      <c r="C782" t="s">
        <v>628</v>
      </c>
      <c r="D782" s="11" t="s">
        <v>480</v>
      </c>
      <c r="E782" s="1">
        <v>0</v>
      </c>
      <c r="G782" s="2">
        <f t="shared" si="12"/>
        <v>0</v>
      </c>
      <c r="H782" s="2">
        <v>0</v>
      </c>
    </row>
    <row r="783" spans="2:8">
      <c r="B783" t="s">
        <v>294</v>
      </c>
      <c r="C783" t="s">
        <v>628</v>
      </c>
      <c r="D783" s="13" t="s">
        <v>481</v>
      </c>
      <c r="E783" s="1">
        <v>0</v>
      </c>
      <c r="G783" s="2">
        <f t="shared" si="12"/>
        <v>0</v>
      </c>
      <c r="H783" s="2">
        <v>0</v>
      </c>
    </row>
    <row r="784" spans="2:8">
      <c r="B784" t="s">
        <v>294</v>
      </c>
      <c r="C784" t="s">
        <v>628</v>
      </c>
      <c r="D784" s="12" t="s">
        <v>1033</v>
      </c>
      <c r="E784" s="1">
        <v>0</v>
      </c>
      <c r="G784" s="2">
        <f t="shared" si="12"/>
        <v>0</v>
      </c>
      <c r="H784" s="2">
        <v>0</v>
      </c>
    </row>
    <row r="785" spans="2:8">
      <c r="B785" t="s">
        <v>295</v>
      </c>
      <c r="C785" t="s">
        <v>629</v>
      </c>
      <c r="D785" s="5" t="s">
        <v>474</v>
      </c>
      <c r="E785" s="1">
        <v>0</v>
      </c>
      <c r="G785" s="2">
        <f t="shared" si="12"/>
        <v>0</v>
      </c>
      <c r="H785" s="2">
        <v>0</v>
      </c>
    </row>
    <row r="786" spans="2:8">
      <c r="B786" t="s">
        <v>295</v>
      </c>
      <c r="C786" t="s">
        <v>629</v>
      </c>
      <c r="D786" s="6" t="s">
        <v>475</v>
      </c>
      <c r="E786" s="1">
        <v>0</v>
      </c>
      <c r="G786" s="2">
        <f t="shared" si="12"/>
        <v>0</v>
      </c>
      <c r="H786" s="2">
        <v>0</v>
      </c>
    </row>
    <row r="787" spans="2:8">
      <c r="B787" t="s">
        <v>295</v>
      </c>
      <c r="C787" t="s">
        <v>629</v>
      </c>
      <c r="D787" s="7" t="s">
        <v>476</v>
      </c>
      <c r="E787" s="1">
        <v>0</v>
      </c>
      <c r="G787" s="2">
        <f t="shared" si="12"/>
        <v>0</v>
      </c>
      <c r="H787" s="2">
        <v>0</v>
      </c>
    </row>
    <row r="788" spans="2:8">
      <c r="B788" t="s">
        <v>295</v>
      </c>
      <c r="C788" t="s">
        <v>629</v>
      </c>
      <c r="D788" s="8" t="s">
        <v>477</v>
      </c>
      <c r="E788" s="1">
        <v>0</v>
      </c>
      <c r="G788" s="2">
        <f t="shared" si="12"/>
        <v>0</v>
      </c>
      <c r="H788" s="2">
        <v>0</v>
      </c>
    </row>
    <row r="789" spans="2:8">
      <c r="B789" t="s">
        <v>295</v>
      </c>
      <c r="C789" t="s">
        <v>629</v>
      </c>
      <c r="D789" s="9" t="s">
        <v>478</v>
      </c>
      <c r="E789" s="1">
        <v>0</v>
      </c>
      <c r="G789" s="2">
        <f t="shared" si="12"/>
        <v>0</v>
      </c>
      <c r="H789" s="2">
        <v>0</v>
      </c>
    </row>
    <row r="790" spans="2:8">
      <c r="B790" t="s">
        <v>295</v>
      </c>
      <c r="C790" t="s">
        <v>629</v>
      </c>
      <c r="D790" s="10" t="s">
        <v>479</v>
      </c>
      <c r="E790" s="1">
        <v>0</v>
      </c>
      <c r="G790" s="2">
        <f t="shared" si="12"/>
        <v>0</v>
      </c>
      <c r="H790" s="2">
        <v>0</v>
      </c>
    </row>
    <row r="791" spans="2:8">
      <c r="B791" t="s">
        <v>295</v>
      </c>
      <c r="C791" t="s">
        <v>629</v>
      </c>
      <c r="D791" s="11" t="s">
        <v>480</v>
      </c>
      <c r="E791" s="1">
        <v>0</v>
      </c>
      <c r="G791" s="2">
        <f t="shared" si="12"/>
        <v>0</v>
      </c>
      <c r="H791" s="2">
        <v>0</v>
      </c>
    </row>
    <row r="792" spans="2:8">
      <c r="B792" t="s">
        <v>295</v>
      </c>
      <c r="C792" t="s">
        <v>629</v>
      </c>
      <c r="D792" s="13" t="s">
        <v>481</v>
      </c>
      <c r="E792" s="1">
        <v>0</v>
      </c>
      <c r="G792" s="2">
        <f t="shared" si="12"/>
        <v>0</v>
      </c>
      <c r="H792" s="2">
        <v>0</v>
      </c>
    </row>
    <row r="793" spans="2:8">
      <c r="B793" t="s">
        <v>295</v>
      </c>
      <c r="C793" t="s">
        <v>629</v>
      </c>
      <c r="D793" s="12" t="s">
        <v>1033</v>
      </c>
      <c r="E793" s="1">
        <v>0</v>
      </c>
      <c r="G793" s="2">
        <f t="shared" si="12"/>
        <v>0</v>
      </c>
      <c r="H793" s="2">
        <v>0</v>
      </c>
    </row>
    <row r="794" spans="2:8">
      <c r="B794" t="s">
        <v>887</v>
      </c>
      <c r="C794" t="s">
        <v>903</v>
      </c>
      <c r="D794" s="5" t="s">
        <v>474</v>
      </c>
      <c r="E794" s="1">
        <v>0</v>
      </c>
      <c r="G794" s="2">
        <f t="shared" si="12"/>
        <v>0</v>
      </c>
      <c r="H794" s="2">
        <v>0</v>
      </c>
    </row>
    <row r="795" spans="2:8">
      <c r="B795" t="s">
        <v>887</v>
      </c>
      <c r="C795" t="s">
        <v>903</v>
      </c>
      <c r="D795" s="6" t="s">
        <v>475</v>
      </c>
      <c r="E795" s="1">
        <v>0</v>
      </c>
      <c r="G795" s="2">
        <f t="shared" si="12"/>
        <v>0</v>
      </c>
      <c r="H795" s="2">
        <v>0</v>
      </c>
    </row>
    <row r="796" spans="2:8">
      <c r="B796" t="s">
        <v>887</v>
      </c>
      <c r="C796" t="s">
        <v>903</v>
      </c>
      <c r="D796" s="7" t="s">
        <v>476</v>
      </c>
      <c r="E796" s="1">
        <v>0</v>
      </c>
      <c r="G796" s="2">
        <f t="shared" si="12"/>
        <v>0</v>
      </c>
      <c r="H796" s="2">
        <v>0</v>
      </c>
    </row>
    <row r="797" spans="2:8">
      <c r="B797" t="s">
        <v>887</v>
      </c>
      <c r="C797" t="s">
        <v>903</v>
      </c>
      <c r="D797" s="8" t="s">
        <v>477</v>
      </c>
      <c r="E797" s="1">
        <v>0</v>
      </c>
      <c r="G797" s="2">
        <f t="shared" si="12"/>
        <v>0</v>
      </c>
      <c r="H797" s="2">
        <v>0</v>
      </c>
    </row>
    <row r="798" spans="2:8">
      <c r="B798" t="s">
        <v>887</v>
      </c>
      <c r="C798" t="s">
        <v>903</v>
      </c>
      <c r="D798" s="9" t="s">
        <v>478</v>
      </c>
      <c r="E798" s="1">
        <v>0</v>
      </c>
      <c r="G798" s="2">
        <f t="shared" si="12"/>
        <v>0</v>
      </c>
      <c r="H798" s="2">
        <v>0</v>
      </c>
    </row>
    <row r="799" spans="2:8">
      <c r="B799" t="s">
        <v>887</v>
      </c>
      <c r="C799" t="s">
        <v>903</v>
      </c>
      <c r="D799" s="10" t="s">
        <v>479</v>
      </c>
      <c r="E799" s="1">
        <v>0</v>
      </c>
      <c r="G799" s="2">
        <f t="shared" si="12"/>
        <v>0</v>
      </c>
      <c r="H799" s="2">
        <v>0</v>
      </c>
    </row>
    <row r="800" spans="2:8">
      <c r="B800" t="s">
        <v>887</v>
      </c>
      <c r="C800" t="s">
        <v>903</v>
      </c>
      <c r="D800" s="11" t="s">
        <v>480</v>
      </c>
      <c r="E800" s="1">
        <v>0</v>
      </c>
      <c r="G800" s="2">
        <f t="shared" si="12"/>
        <v>0</v>
      </c>
      <c r="H800" s="2">
        <v>0</v>
      </c>
    </row>
    <row r="801" spans="2:8">
      <c r="B801" t="s">
        <v>887</v>
      </c>
      <c r="C801" t="s">
        <v>903</v>
      </c>
      <c r="D801" s="13" t="s">
        <v>481</v>
      </c>
      <c r="E801" s="1">
        <v>0</v>
      </c>
      <c r="G801" s="2">
        <f t="shared" si="12"/>
        <v>0</v>
      </c>
      <c r="H801" s="2">
        <v>0</v>
      </c>
    </row>
    <row r="802" spans="2:8">
      <c r="B802" t="s">
        <v>887</v>
      </c>
      <c r="C802" t="s">
        <v>903</v>
      </c>
      <c r="D802" s="12" t="s">
        <v>1033</v>
      </c>
      <c r="E802" s="1">
        <v>0</v>
      </c>
      <c r="G802" s="2">
        <f t="shared" si="12"/>
        <v>0</v>
      </c>
      <c r="H802" s="2">
        <v>0</v>
      </c>
    </row>
    <row r="803" spans="2:8">
      <c r="B803" t="s">
        <v>290</v>
      </c>
      <c r="C803" t="s">
        <v>630</v>
      </c>
      <c r="D803" s="5" t="s">
        <v>474</v>
      </c>
      <c r="E803" s="1">
        <v>0</v>
      </c>
      <c r="G803" s="2">
        <f t="shared" si="12"/>
        <v>0</v>
      </c>
      <c r="H803" s="2">
        <v>0</v>
      </c>
    </row>
    <row r="804" spans="2:8">
      <c r="B804" t="s">
        <v>290</v>
      </c>
      <c r="C804" t="s">
        <v>630</v>
      </c>
      <c r="D804" s="6" t="s">
        <v>475</v>
      </c>
      <c r="E804" s="1">
        <v>0</v>
      </c>
      <c r="G804" s="2">
        <f t="shared" si="12"/>
        <v>0</v>
      </c>
      <c r="H804" s="2">
        <v>0</v>
      </c>
    </row>
    <row r="805" spans="2:8">
      <c r="B805" t="s">
        <v>290</v>
      </c>
      <c r="C805" t="s">
        <v>630</v>
      </c>
      <c r="D805" s="7" t="s">
        <v>476</v>
      </c>
      <c r="E805" s="1">
        <v>0</v>
      </c>
      <c r="G805" s="2">
        <f t="shared" si="12"/>
        <v>0</v>
      </c>
      <c r="H805" s="2">
        <v>0</v>
      </c>
    </row>
    <row r="806" spans="2:8">
      <c r="B806" t="s">
        <v>290</v>
      </c>
      <c r="C806" t="s">
        <v>630</v>
      </c>
      <c r="D806" s="8" t="s">
        <v>477</v>
      </c>
      <c r="E806" s="1">
        <v>0</v>
      </c>
      <c r="G806" s="2">
        <f t="shared" si="12"/>
        <v>0</v>
      </c>
      <c r="H806" s="2">
        <v>0</v>
      </c>
    </row>
    <row r="807" spans="2:8">
      <c r="B807" t="s">
        <v>290</v>
      </c>
      <c r="C807" t="s">
        <v>630</v>
      </c>
      <c r="D807" s="9" t="s">
        <v>478</v>
      </c>
      <c r="E807" s="1">
        <v>0</v>
      </c>
      <c r="G807" s="2">
        <f t="shared" si="12"/>
        <v>0</v>
      </c>
      <c r="H807" s="2">
        <v>0</v>
      </c>
    </row>
    <row r="808" spans="2:8">
      <c r="B808" t="s">
        <v>290</v>
      </c>
      <c r="C808" t="s">
        <v>630</v>
      </c>
      <c r="D808" s="10" t="s">
        <v>479</v>
      </c>
      <c r="E808" s="1">
        <v>0</v>
      </c>
      <c r="G808" s="2">
        <f t="shared" si="12"/>
        <v>0</v>
      </c>
      <c r="H808" s="2">
        <v>0</v>
      </c>
    </row>
    <row r="809" spans="2:8">
      <c r="B809" t="s">
        <v>290</v>
      </c>
      <c r="C809" t="s">
        <v>630</v>
      </c>
      <c r="D809" s="11" t="s">
        <v>480</v>
      </c>
      <c r="E809" s="1">
        <v>0</v>
      </c>
      <c r="G809" s="2">
        <f t="shared" si="12"/>
        <v>0</v>
      </c>
      <c r="H809" s="2">
        <v>0</v>
      </c>
    </row>
    <row r="810" spans="2:8">
      <c r="B810" t="s">
        <v>290</v>
      </c>
      <c r="C810" t="s">
        <v>630</v>
      </c>
      <c r="D810" s="13" t="s">
        <v>481</v>
      </c>
      <c r="E810" s="1">
        <v>0</v>
      </c>
      <c r="G810" s="2">
        <f t="shared" si="12"/>
        <v>0</v>
      </c>
      <c r="H810" s="2">
        <v>0</v>
      </c>
    </row>
    <row r="811" spans="2:8">
      <c r="B811" t="s">
        <v>290</v>
      </c>
      <c r="C811" t="s">
        <v>630</v>
      </c>
      <c r="D811" s="12" t="s">
        <v>1033</v>
      </c>
      <c r="E811" s="1">
        <v>0</v>
      </c>
      <c r="G811" s="2">
        <f t="shared" si="12"/>
        <v>0</v>
      </c>
      <c r="H811" s="2">
        <v>0</v>
      </c>
    </row>
    <row r="812" spans="2:8">
      <c r="B812" t="s">
        <v>291</v>
      </c>
      <c r="C812" t="s">
        <v>631</v>
      </c>
      <c r="D812" s="5" t="s">
        <v>474</v>
      </c>
      <c r="E812" s="1">
        <v>0</v>
      </c>
      <c r="G812" s="2">
        <f t="shared" si="12"/>
        <v>0</v>
      </c>
      <c r="H812" s="2">
        <v>0</v>
      </c>
    </row>
    <row r="813" spans="2:8">
      <c r="B813" t="s">
        <v>291</v>
      </c>
      <c r="C813" t="s">
        <v>631</v>
      </c>
      <c r="D813" s="6" t="s">
        <v>475</v>
      </c>
      <c r="E813" s="1">
        <v>0</v>
      </c>
      <c r="G813" s="2">
        <f t="shared" si="12"/>
        <v>0</v>
      </c>
      <c r="H813" s="2">
        <v>0</v>
      </c>
    </row>
    <row r="814" spans="2:8">
      <c r="B814" t="s">
        <v>291</v>
      </c>
      <c r="C814" t="s">
        <v>631</v>
      </c>
      <c r="D814" s="7" t="s">
        <v>476</v>
      </c>
      <c r="E814" s="1">
        <v>0</v>
      </c>
      <c r="G814" s="2">
        <f t="shared" si="12"/>
        <v>0</v>
      </c>
      <c r="H814" s="2">
        <v>0</v>
      </c>
    </row>
    <row r="815" spans="2:8">
      <c r="B815" t="s">
        <v>291</v>
      </c>
      <c r="C815" t="s">
        <v>631</v>
      </c>
      <c r="D815" s="8" t="s">
        <v>477</v>
      </c>
      <c r="E815" s="1">
        <v>0</v>
      </c>
      <c r="G815" s="2">
        <f t="shared" si="12"/>
        <v>0</v>
      </c>
      <c r="H815" s="2">
        <v>0</v>
      </c>
    </row>
    <row r="816" spans="2:8">
      <c r="B816" t="s">
        <v>291</v>
      </c>
      <c r="C816" t="s">
        <v>631</v>
      </c>
      <c r="D816" s="9" t="s">
        <v>478</v>
      </c>
      <c r="E816" s="1">
        <v>0</v>
      </c>
      <c r="G816" s="2">
        <f t="shared" si="12"/>
        <v>0</v>
      </c>
      <c r="H816" s="2">
        <v>0</v>
      </c>
    </row>
    <row r="817" spans="2:8">
      <c r="B817" t="s">
        <v>291</v>
      </c>
      <c r="C817" t="s">
        <v>631</v>
      </c>
      <c r="D817" s="10" t="s">
        <v>479</v>
      </c>
      <c r="E817" s="1">
        <v>0</v>
      </c>
      <c r="G817" s="2">
        <f t="shared" si="12"/>
        <v>0</v>
      </c>
      <c r="H817" s="2">
        <v>0</v>
      </c>
    </row>
    <row r="818" spans="2:8">
      <c r="B818" t="s">
        <v>291</v>
      </c>
      <c r="C818" t="s">
        <v>631</v>
      </c>
      <c r="D818" s="11" t="s">
        <v>480</v>
      </c>
      <c r="E818" s="1">
        <v>0</v>
      </c>
      <c r="G818" s="2">
        <f t="shared" si="12"/>
        <v>0</v>
      </c>
      <c r="H818" s="2">
        <v>0</v>
      </c>
    </row>
    <row r="819" spans="2:8">
      <c r="B819" t="s">
        <v>291</v>
      </c>
      <c r="C819" t="s">
        <v>631</v>
      </c>
      <c r="D819" s="13" t="s">
        <v>481</v>
      </c>
      <c r="E819" s="1">
        <v>0</v>
      </c>
      <c r="G819" s="2">
        <f t="shared" si="12"/>
        <v>0</v>
      </c>
      <c r="H819" s="2">
        <v>0</v>
      </c>
    </row>
    <row r="820" spans="2:8">
      <c r="B820" t="s">
        <v>291</v>
      </c>
      <c r="C820" t="s">
        <v>631</v>
      </c>
      <c r="D820" s="12" t="s">
        <v>1033</v>
      </c>
      <c r="E820" s="1">
        <v>0</v>
      </c>
      <c r="G820" s="2">
        <f t="shared" si="12"/>
        <v>0</v>
      </c>
      <c r="H820" s="2">
        <v>0</v>
      </c>
    </row>
    <row r="821" spans="2:8">
      <c r="B821" t="s">
        <v>292</v>
      </c>
      <c r="C821" t="s">
        <v>632</v>
      </c>
      <c r="D821" s="5" t="s">
        <v>474</v>
      </c>
      <c r="E821" s="1">
        <v>0</v>
      </c>
      <c r="G821" s="2">
        <f t="shared" si="12"/>
        <v>0</v>
      </c>
      <c r="H821" s="2">
        <v>0</v>
      </c>
    </row>
    <row r="822" spans="2:8">
      <c r="B822" t="s">
        <v>292</v>
      </c>
      <c r="C822" t="s">
        <v>632</v>
      </c>
      <c r="D822" s="6" t="s">
        <v>475</v>
      </c>
      <c r="E822" s="1">
        <v>0</v>
      </c>
      <c r="G822" s="2">
        <f t="shared" si="12"/>
        <v>0</v>
      </c>
      <c r="H822" s="2">
        <v>0</v>
      </c>
    </row>
    <row r="823" spans="2:8">
      <c r="B823" t="s">
        <v>292</v>
      </c>
      <c r="C823" t="s">
        <v>632</v>
      </c>
      <c r="D823" s="7" t="s">
        <v>476</v>
      </c>
      <c r="E823" s="1">
        <v>0</v>
      </c>
      <c r="G823" s="2">
        <f t="shared" si="12"/>
        <v>0</v>
      </c>
      <c r="H823" s="2">
        <v>0</v>
      </c>
    </row>
    <row r="824" spans="2:8">
      <c r="B824" t="s">
        <v>292</v>
      </c>
      <c r="C824" t="s">
        <v>632</v>
      </c>
      <c r="D824" s="8" t="s">
        <v>477</v>
      </c>
      <c r="E824" s="1">
        <v>0</v>
      </c>
      <c r="G824" s="2">
        <f t="shared" si="12"/>
        <v>0</v>
      </c>
      <c r="H824" s="2">
        <v>0</v>
      </c>
    </row>
    <row r="825" spans="2:8">
      <c r="B825" t="s">
        <v>292</v>
      </c>
      <c r="C825" t="s">
        <v>632</v>
      </c>
      <c r="D825" s="9" t="s">
        <v>478</v>
      </c>
      <c r="E825" s="1">
        <v>0</v>
      </c>
      <c r="G825" s="2">
        <f t="shared" si="12"/>
        <v>0</v>
      </c>
      <c r="H825" s="2">
        <v>0</v>
      </c>
    </row>
    <row r="826" spans="2:8">
      <c r="B826" t="s">
        <v>292</v>
      </c>
      <c r="C826" t="s">
        <v>632</v>
      </c>
      <c r="D826" s="10" t="s">
        <v>479</v>
      </c>
      <c r="E826" s="1">
        <v>0</v>
      </c>
      <c r="G826" s="2">
        <f t="shared" si="12"/>
        <v>0</v>
      </c>
      <c r="H826" s="2">
        <v>0</v>
      </c>
    </row>
    <row r="827" spans="2:8">
      <c r="B827" t="s">
        <v>292</v>
      </c>
      <c r="C827" t="s">
        <v>632</v>
      </c>
      <c r="D827" s="11" t="s">
        <v>480</v>
      </c>
      <c r="E827" s="1">
        <v>0</v>
      </c>
      <c r="G827" s="2">
        <f t="shared" si="12"/>
        <v>0</v>
      </c>
      <c r="H827" s="2">
        <v>0</v>
      </c>
    </row>
    <row r="828" spans="2:8">
      <c r="B828" t="s">
        <v>292</v>
      </c>
      <c r="C828" t="s">
        <v>632</v>
      </c>
      <c r="D828" s="13" t="s">
        <v>481</v>
      </c>
      <c r="E828" s="1">
        <v>0</v>
      </c>
      <c r="G828" s="2">
        <f t="shared" si="12"/>
        <v>0</v>
      </c>
      <c r="H828" s="2">
        <v>0</v>
      </c>
    </row>
    <row r="829" spans="2:8">
      <c r="B829" t="s">
        <v>292</v>
      </c>
      <c r="C829" t="s">
        <v>632</v>
      </c>
      <c r="D829" s="12" t="s">
        <v>1033</v>
      </c>
      <c r="E829" s="1">
        <v>0</v>
      </c>
      <c r="G829" s="2">
        <f t="shared" si="12"/>
        <v>0</v>
      </c>
      <c r="H829" s="2">
        <v>0</v>
      </c>
    </row>
    <row r="830" spans="2:8">
      <c r="B830" t="s">
        <v>882</v>
      </c>
      <c r="C830" t="s">
        <v>904</v>
      </c>
      <c r="D830" s="5" t="s">
        <v>474</v>
      </c>
      <c r="E830" s="1">
        <v>0</v>
      </c>
      <c r="G830" s="2">
        <f t="shared" si="12"/>
        <v>0</v>
      </c>
      <c r="H830" s="2">
        <v>0</v>
      </c>
    </row>
    <row r="831" spans="2:8">
      <c r="B831" t="s">
        <v>882</v>
      </c>
      <c r="C831" t="s">
        <v>904</v>
      </c>
      <c r="D831" s="6" t="s">
        <v>475</v>
      </c>
      <c r="E831" s="1">
        <v>0</v>
      </c>
      <c r="G831" s="2">
        <f t="shared" si="12"/>
        <v>0</v>
      </c>
      <c r="H831" s="2">
        <v>0</v>
      </c>
    </row>
    <row r="832" spans="2:8">
      <c r="B832" t="s">
        <v>882</v>
      </c>
      <c r="C832" t="s">
        <v>904</v>
      </c>
      <c r="D832" s="7" t="s">
        <v>476</v>
      </c>
      <c r="E832" s="1">
        <v>0</v>
      </c>
      <c r="G832" s="2">
        <f t="shared" si="12"/>
        <v>0</v>
      </c>
      <c r="H832" s="2">
        <v>0</v>
      </c>
    </row>
    <row r="833" spans="2:8">
      <c r="B833" t="s">
        <v>882</v>
      </c>
      <c r="C833" t="s">
        <v>904</v>
      </c>
      <c r="D833" s="8" t="s">
        <v>477</v>
      </c>
      <c r="E833" s="1">
        <v>0</v>
      </c>
      <c r="G833" s="2">
        <f t="shared" si="12"/>
        <v>0</v>
      </c>
      <c r="H833" s="2">
        <v>0</v>
      </c>
    </row>
    <row r="834" spans="2:8">
      <c r="B834" t="s">
        <v>882</v>
      </c>
      <c r="C834" t="s">
        <v>904</v>
      </c>
      <c r="D834" s="9" t="s">
        <v>478</v>
      </c>
      <c r="E834" s="1">
        <v>0</v>
      </c>
      <c r="G834" s="2">
        <f t="shared" ref="G834:G897" si="13">E834*F834</f>
        <v>0</v>
      </c>
      <c r="H834" s="2">
        <v>0</v>
      </c>
    </row>
    <row r="835" spans="2:8">
      <c r="B835" t="s">
        <v>882</v>
      </c>
      <c r="C835" t="s">
        <v>904</v>
      </c>
      <c r="D835" s="10" t="s">
        <v>479</v>
      </c>
      <c r="E835" s="1">
        <v>0</v>
      </c>
      <c r="G835" s="2">
        <f t="shared" si="13"/>
        <v>0</v>
      </c>
      <c r="H835" s="2">
        <v>0</v>
      </c>
    </row>
    <row r="836" spans="2:8">
      <c r="B836" t="s">
        <v>882</v>
      </c>
      <c r="C836" t="s">
        <v>904</v>
      </c>
      <c r="D836" s="11" t="s">
        <v>480</v>
      </c>
      <c r="E836" s="1">
        <v>0</v>
      </c>
      <c r="G836" s="2">
        <f t="shared" si="13"/>
        <v>0</v>
      </c>
      <c r="H836" s="2">
        <v>0</v>
      </c>
    </row>
    <row r="837" spans="2:8">
      <c r="B837" t="s">
        <v>882</v>
      </c>
      <c r="C837" t="s">
        <v>904</v>
      </c>
      <c r="D837" s="13" t="s">
        <v>481</v>
      </c>
      <c r="E837" s="1">
        <v>0</v>
      </c>
      <c r="G837" s="2">
        <f t="shared" si="13"/>
        <v>0</v>
      </c>
      <c r="H837" s="2">
        <v>0</v>
      </c>
    </row>
    <row r="838" spans="2:8">
      <c r="B838" t="s">
        <v>882</v>
      </c>
      <c r="C838" t="s">
        <v>904</v>
      </c>
      <c r="D838" s="12" t="s">
        <v>1033</v>
      </c>
      <c r="E838" s="1">
        <v>0</v>
      </c>
      <c r="G838" s="2">
        <f t="shared" si="13"/>
        <v>0</v>
      </c>
      <c r="H838" s="2">
        <v>0</v>
      </c>
    </row>
    <row r="839" spans="2:8">
      <c r="B839" t="s">
        <v>158</v>
      </c>
      <c r="C839" t="s">
        <v>633</v>
      </c>
      <c r="D839" s="5" t="s">
        <v>474</v>
      </c>
      <c r="E839" s="1">
        <v>0</v>
      </c>
      <c r="G839" s="2">
        <f t="shared" si="13"/>
        <v>0</v>
      </c>
      <c r="H839" s="2">
        <v>0</v>
      </c>
    </row>
    <row r="840" spans="2:8">
      <c r="B840" t="s">
        <v>158</v>
      </c>
      <c r="C840" t="s">
        <v>633</v>
      </c>
      <c r="D840" s="6" t="s">
        <v>475</v>
      </c>
      <c r="E840" s="1">
        <v>0</v>
      </c>
      <c r="G840" s="2">
        <f t="shared" si="13"/>
        <v>0</v>
      </c>
      <c r="H840" s="2">
        <v>0</v>
      </c>
    </row>
    <row r="841" spans="2:8">
      <c r="B841" t="s">
        <v>158</v>
      </c>
      <c r="C841" t="s">
        <v>633</v>
      </c>
      <c r="D841" s="7" t="s">
        <v>476</v>
      </c>
      <c r="E841" s="1">
        <v>0</v>
      </c>
      <c r="G841" s="2">
        <f t="shared" si="13"/>
        <v>0</v>
      </c>
      <c r="H841" s="2">
        <v>0</v>
      </c>
    </row>
    <row r="842" spans="2:8">
      <c r="B842" t="s">
        <v>158</v>
      </c>
      <c r="C842" t="s">
        <v>633</v>
      </c>
      <c r="D842" s="8" t="s">
        <v>477</v>
      </c>
      <c r="E842" s="1">
        <v>0</v>
      </c>
      <c r="G842" s="2">
        <f t="shared" si="13"/>
        <v>0</v>
      </c>
      <c r="H842" s="2">
        <v>0</v>
      </c>
    </row>
    <row r="843" spans="2:8">
      <c r="B843" t="s">
        <v>158</v>
      </c>
      <c r="C843" t="s">
        <v>633</v>
      </c>
      <c r="D843" s="9" t="s">
        <v>478</v>
      </c>
      <c r="E843" s="1">
        <v>0</v>
      </c>
      <c r="G843" s="2">
        <f t="shared" si="13"/>
        <v>0</v>
      </c>
      <c r="H843" s="2">
        <v>0</v>
      </c>
    </row>
    <row r="844" spans="2:8">
      <c r="B844" t="s">
        <v>158</v>
      </c>
      <c r="C844" t="s">
        <v>633</v>
      </c>
      <c r="D844" s="10" t="s">
        <v>479</v>
      </c>
      <c r="E844" s="1">
        <v>0</v>
      </c>
      <c r="G844" s="2">
        <f t="shared" si="13"/>
        <v>0</v>
      </c>
      <c r="H844" s="2">
        <v>0</v>
      </c>
    </row>
    <row r="845" spans="2:8">
      <c r="B845" t="s">
        <v>158</v>
      </c>
      <c r="C845" t="s">
        <v>633</v>
      </c>
      <c r="D845" s="11" t="s">
        <v>480</v>
      </c>
      <c r="E845" s="1">
        <v>0</v>
      </c>
      <c r="G845" s="2">
        <f t="shared" si="13"/>
        <v>0</v>
      </c>
      <c r="H845" s="2">
        <v>0</v>
      </c>
    </row>
    <row r="846" spans="2:8">
      <c r="B846" t="s">
        <v>158</v>
      </c>
      <c r="C846" t="s">
        <v>633</v>
      </c>
      <c r="D846" s="13" t="s">
        <v>481</v>
      </c>
      <c r="E846" s="1">
        <v>0</v>
      </c>
      <c r="G846" s="2">
        <f t="shared" si="13"/>
        <v>0</v>
      </c>
      <c r="H846" s="2">
        <v>0</v>
      </c>
    </row>
    <row r="847" spans="2:8">
      <c r="B847" t="s">
        <v>158</v>
      </c>
      <c r="C847" t="s">
        <v>633</v>
      </c>
      <c r="D847" s="12" t="s">
        <v>1033</v>
      </c>
      <c r="E847" s="1">
        <v>0</v>
      </c>
      <c r="G847" s="2">
        <f t="shared" si="13"/>
        <v>0</v>
      </c>
      <c r="H847" s="2">
        <v>0</v>
      </c>
    </row>
    <row r="848" spans="2:8">
      <c r="B848" t="s">
        <v>159</v>
      </c>
      <c r="C848" t="s">
        <v>634</v>
      </c>
      <c r="D848" s="5" t="s">
        <v>474</v>
      </c>
      <c r="E848" s="1">
        <v>0</v>
      </c>
      <c r="G848" s="2">
        <f t="shared" si="13"/>
        <v>0</v>
      </c>
      <c r="H848" s="2">
        <v>0</v>
      </c>
    </row>
    <row r="849" spans="2:8">
      <c r="B849" t="s">
        <v>159</v>
      </c>
      <c r="C849" t="s">
        <v>634</v>
      </c>
      <c r="D849" s="6" t="s">
        <v>475</v>
      </c>
      <c r="E849" s="1">
        <v>0</v>
      </c>
      <c r="G849" s="2">
        <f t="shared" si="13"/>
        <v>0</v>
      </c>
      <c r="H849" s="2">
        <v>0</v>
      </c>
    </row>
    <row r="850" spans="2:8">
      <c r="B850" t="s">
        <v>159</v>
      </c>
      <c r="C850" t="s">
        <v>634</v>
      </c>
      <c r="D850" s="7" t="s">
        <v>476</v>
      </c>
      <c r="E850" s="1">
        <v>0</v>
      </c>
      <c r="G850" s="2">
        <f t="shared" si="13"/>
        <v>0</v>
      </c>
      <c r="H850" s="2">
        <v>0</v>
      </c>
    </row>
    <row r="851" spans="2:8">
      <c r="B851" t="s">
        <v>159</v>
      </c>
      <c r="C851" t="s">
        <v>634</v>
      </c>
      <c r="D851" s="8" t="s">
        <v>477</v>
      </c>
      <c r="E851" s="1">
        <v>0</v>
      </c>
      <c r="G851" s="2">
        <f t="shared" si="13"/>
        <v>0</v>
      </c>
      <c r="H851" s="2">
        <v>0</v>
      </c>
    </row>
    <row r="852" spans="2:8">
      <c r="B852" t="s">
        <v>159</v>
      </c>
      <c r="C852" t="s">
        <v>634</v>
      </c>
      <c r="D852" s="9" t="s">
        <v>478</v>
      </c>
      <c r="E852" s="1">
        <v>0</v>
      </c>
      <c r="G852" s="2">
        <f t="shared" si="13"/>
        <v>0</v>
      </c>
      <c r="H852" s="2">
        <v>0</v>
      </c>
    </row>
    <row r="853" spans="2:8">
      <c r="B853" t="s">
        <v>159</v>
      </c>
      <c r="C853" t="s">
        <v>634</v>
      </c>
      <c r="D853" s="10" t="s">
        <v>479</v>
      </c>
      <c r="E853" s="1">
        <v>0</v>
      </c>
      <c r="G853" s="2">
        <f t="shared" si="13"/>
        <v>0</v>
      </c>
      <c r="H853" s="2">
        <v>0</v>
      </c>
    </row>
    <row r="854" spans="2:8">
      <c r="B854" t="s">
        <v>159</v>
      </c>
      <c r="C854" t="s">
        <v>634</v>
      </c>
      <c r="D854" s="11" t="s">
        <v>480</v>
      </c>
      <c r="E854" s="1">
        <v>0</v>
      </c>
      <c r="G854" s="2">
        <f t="shared" si="13"/>
        <v>0</v>
      </c>
      <c r="H854" s="2">
        <v>0</v>
      </c>
    </row>
    <row r="855" spans="2:8">
      <c r="B855" t="s">
        <v>159</v>
      </c>
      <c r="C855" t="s">
        <v>634</v>
      </c>
      <c r="D855" s="13" t="s">
        <v>481</v>
      </c>
      <c r="E855" s="1">
        <v>0</v>
      </c>
      <c r="G855" s="2">
        <f t="shared" si="13"/>
        <v>0</v>
      </c>
      <c r="H855" s="2">
        <v>0</v>
      </c>
    </row>
    <row r="856" spans="2:8">
      <c r="B856" t="s">
        <v>159</v>
      </c>
      <c r="C856" t="s">
        <v>634</v>
      </c>
      <c r="D856" s="12" t="s">
        <v>1033</v>
      </c>
      <c r="E856" s="1">
        <v>0</v>
      </c>
      <c r="G856" s="2">
        <f t="shared" si="13"/>
        <v>0</v>
      </c>
      <c r="H856" s="2">
        <v>0</v>
      </c>
    </row>
    <row r="857" spans="2:8">
      <c r="B857" t="s">
        <v>160</v>
      </c>
      <c r="C857" t="s">
        <v>635</v>
      </c>
      <c r="D857" s="5" t="s">
        <v>474</v>
      </c>
      <c r="E857" s="1">
        <v>0</v>
      </c>
      <c r="G857" s="2">
        <f t="shared" si="13"/>
        <v>0</v>
      </c>
      <c r="H857" s="2">
        <v>0</v>
      </c>
    </row>
    <row r="858" spans="2:8">
      <c r="B858" t="s">
        <v>160</v>
      </c>
      <c r="C858" t="s">
        <v>635</v>
      </c>
      <c r="D858" s="6" t="s">
        <v>475</v>
      </c>
      <c r="E858" s="1">
        <v>0</v>
      </c>
      <c r="G858" s="2">
        <f t="shared" si="13"/>
        <v>0</v>
      </c>
      <c r="H858" s="2">
        <v>0</v>
      </c>
    </row>
    <row r="859" spans="2:8">
      <c r="B859" t="s">
        <v>160</v>
      </c>
      <c r="C859" t="s">
        <v>635</v>
      </c>
      <c r="D859" s="7" t="s">
        <v>476</v>
      </c>
      <c r="E859" s="1">
        <v>0</v>
      </c>
      <c r="G859" s="2">
        <f t="shared" si="13"/>
        <v>0</v>
      </c>
      <c r="H859" s="2">
        <v>0</v>
      </c>
    </row>
    <row r="860" spans="2:8">
      <c r="B860" t="s">
        <v>160</v>
      </c>
      <c r="C860" t="s">
        <v>635</v>
      </c>
      <c r="D860" s="8" t="s">
        <v>477</v>
      </c>
      <c r="E860" s="1">
        <v>0</v>
      </c>
      <c r="G860" s="2">
        <f t="shared" si="13"/>
        <v>0</v>
      </c>
      <c r="H860" s="2">
        <v>0</v>
      </c>
    </row>
    <row r="861" spans="2:8">
      <c r="B861" t="s">
        <v>160</v>
      </c>
      <c r="C861" t="s">
        <v>635</v>
      </c>
      <c r="D861" s="9" t="s">
        <v>478</v>
      </c>
      <c r="E861" s="1">
        <v>0</v>
      </c>
      <c r="G861" s="2">
        <f t="shared" si="13"/>
        <v>0</v>
      </c>
      <c r="H861" s="2">
        <v>0</v>
      </c>
    </row>
    <row r="862" spans="2:8">
      <c r="B862" t="s">
        <v>160</v>
      </c>
      <c r="C862" t="s">
        <v>635</v>
      </c>
      <c r="D862" s="10" t="s">
        <v>479</v>
      </c>
      <c r="E862" s="1">
        <v>0</v>
      </c>
      <c r="G862" s="2">
        <f t="shared" si="13"/>
        <v>0</v>
      </c>
      <c r="H862" s="2">
        <v>0</v>
      </c>
    </row>
    <row r="863" spans="2:8">
      <c r="B863" t="s">
        <v>160</v>
      </c>
      <c r="C863" t="s">
        <v>635</v>
      </c>
      <c r="D863" s="11" t="s">
        <v>480</v>
      </c>
      <c r="E863" s="1">
        <v>0</v>
      </c>
      <c r="G863" s="2">
        <f t="shared" si="13"/>
        <v>0</v>
      </c>
      <c r="H863" s="2">
        <v>0</v>
      </c>
    </row>
    <row r="864" spans="2:8">
      <c r="B864" t="s">
        <v>160</v>
      </c>
      <c r="C864" t="s">
        <v>635</v>
      </c>
      <c r="D864" s="13" t="s">
        <v>481</v>
      </c>
      <c r="E864" s="1">
        <v>0</v>
      </c>
      <c r="G864" s="2">
        <f t="shared" si="13"/>
        <v>0</v>
      </c>
      <c r="H864" s="2">
        <v>0</v>
      </c>
    </row>
    <row r="865" spans="2:8">
      <c r="B865" t="s">
        <v>160</v>
      </c>
      <c r="C865" t="s">
        <v>635</v>
      </c>
      <c r="D865" s="12" t="s">
        <v>1033</v>
      </c>
      <c r="E865" s="1">
        <v>0</v>
      </c>
      <c r="G865" s="2">
        <f t="shared" si="13"/>
        <v>0</v>
      </c>
      <c r="H865" s="2">
        <v>0</v>
      </c>
    </row>
    <row r="866" spans="2:8">
      <c r="B866" t="s">
        <v>164</v>
      </c>
      <c r="C866" t="s">
        <v>636</v>
      </c>
      <c r="D866" s="5" t="s">
        <v>474</v>
      </c>
      <c r="E866" s="1">
        <v>0</v>
      </c>
      <c r="G866" s="2">
        <f t="shared" si="13"/>
        <v>0</v>
      </c>
      <c r="H866" s="2">
        <v>0</v>
      </c>
    </row>
    <row r="867" spans="2:8">
      <c r="B867" t="s">
        <v>164</v>
      </c>
      <c r="C867" t="s">
        <v>636</v>
      </c>
      <c r="D867" s="6" t="s">
        <v>475</v>
      </c>
      <c r="E867" s="1">
        <v>0</v>
      </c>
      <c r="G867" s="2">
        <f t="shared" si="13"/>
        <v>0</v>
      </c>
      <c r="H867" s="2">
        <v>0</v>
      </c>
    </row>
    <row r="868" spans="2:8">
      <c r="B868" t="s">
        <v>164</v>
      </c>
      <c r="C868" t="s">
        <v>636</v>
      </c>
      <c r="D868" s="7" t="s">
        <v>476</v>
      </c>
      <c r="E868" s="1">
        <v>0</v>
      </c>
      <c r="G868" s="2">
        <f t="shared" si="13"/>
        <v>0</v>
      </c>
      <c r="H868" s="2">
        <v>0</v>
      </c>
    </row>
    <row r="869" spans="2:8">
      <c r="B869" t="s">
        <v>164</v>
      </c>
      <c r="C869" t="s">
        <v>636</v>
      </c>
      <c r="D869" s="8" t="s">
        <v>477</v>
      </c>
      <c r="E869" s="1">
        <v>0</v>
      </c>
      <c r="G869" s="2">
        <f t="shared" si="13"/>
        <v>0</v>
      </c>
      <c r="H869" s="2">
        <v>0</v>
      </c>
    </row>
    <row r="870" spans="2:8">
      <c r="B870" t="s">
        <v>164</v>
      </c>
      <c r="C870" t="s">
        <v>636</v>
      </c>
      <c r="D870" s="9" t="s">
        <v>478</v>
      </c>
      <c r="E870" s="1">
        <v>0</v>
      </c>
      <c r="G870" s="2">
        <f t="shared" si="13"/>
        <v>0</v>
      </c>
      <c r="H870" s="2">
        <v>0</v>
      </c>
    </row>
    <row r="871" spans="2:8">
      <c r="B871" t="s">
        <v>164</v>
      </c>
      <c r="C871" t="s">
        <v>636</v>
      </c>
      <c r="D871" s="10" t="s">
        <v>479</v>
      </c>
      <c r="E871" s="1">
        <v>0</v>
      </c>
      <c r="G871" s="2">
        <f t="shared" si="13"/>
        <v>0</v>
      </c>
      <c r="H871" s="2">
        <v>0</v>
      </c>
    </row>
    <row r="872" spans="2:8">
      <c r="B872" t="s">
        <v>164</v>
      </c>
      <c r="C872" t="s">
        <v>636</v>
      </c>
      <c r="D872" s="11" t="s">
        <v>480</v>
      </c>
      <c r="E872" s="1">
        <v>0</v>
      </c>
      <c r="G872" s="2">
        <f t="shared" si="13"/>
        <v>0</v>
      </c>
      <c r="H872" s="2">
        <v>0</v>
      </c>
    </row>
    <row r="873" spans="2:8">
      <c r="B873" t="s">
        <v>164</v>
      </c>
      <c r="C873" t="s">
        <v>636</v>
      </c>
      <c r="D873" s="13" t="s">
        <v>481</v>
      </c>
      <c r="E873" s="1">
        <v>0</v>
      </c>
      <c r="G873" s="2">
        <f t="shared" si="13"/>
        <v>0</v>
      </c>
      <c r="H873" s="2">
        <v>0</v>
      </c>
    </row>
    <row r="874" spans="2:8">
      <c r="B874" t="s">
        <v>164</v>
      </c>
      <c r="C874" t="s">
        <v>636</v>
      </c>
      <c r="D874" s="12" t="s">
        <v>1033</v>
      </c>
      <c r="E874" s="1">
        <v>0</v>
      </c>
      <c r="G874" s="2">
        <f t="shared" si="13"/>
        <v>0</v>
      </c>
      <c r="H874" s="2">
        <v>0</v>
      </c>
    </row>
    <row r="875" spans="2:8">
      <c r="B875" t="s">
        <v>165</v>
      </c>
      <c r="C875" t="s">
        <v>637</v>
      </c>
      <c r="D875" s="5" t="s">
        <v>474</v>
      </c>
      <c r="E875" s="1">
        <v>0</v>
      </c>
      <c r="G875" s="2">
        <f t="shared" si="13"/>
        <v>0</v>
      </c>
      <c r="H875" s="2">
        <v>0</v>
      </c>
    </row>
    <row r="876" spans="2:8">
      <c r="B876" t="s">
        <v>165</v>
      </c>
      <c r="C876" t="s">
        <v>637</v>
      </c>
      <c r="D876" s="6" t="s">
        <v>475</v>
      </c>
      <c r="E876" s="1">
        <v>0</v>
      </c>
      <c r="G876" s="2">
        <f t="shared" si="13"/>
        <v>0</v>
      </c>
      <c r="H876" s="2">
        <v>0</v>
      </c>
    </row>
    <row r="877" spans="2:8">
      <c r="B877" t="s">
        <v>165</v>
      </c>
      <c r="C877" t="s">
        <v>637</v>
      </c>
      <c r="D877" s="7" t="s">
        <v>476</v>
      </c>
      <c r="E877" s="1">
        <v>0</v>
      </c>
      <c r="G877" s="2">
        <f t="shared" si="13"/>
        <v>0</v>
      </c>
      <c r="H877" s="2">
        <v>0</v>
      </c>
    </row>
    <row r="878" spans="2:8">
      <c r="B878" t="s">
        <v>165</v>
      </c>
      <c r="C878" t="s">
        <v>637</v>
      </c>
      <c r="D878" s="8" t="s">
        <v>477</v>
      </c>
      <c r="E878" s="1">
        <v>0</v>
      </c>
      <c r="G878" s="2">
        <f t="shared" si="13"/>
        <v>0</v>
      </c>
      <c r="H878" s="2">
        <v>0</v>
      </c>
    </row>
    <row r="879" spans="2:8">
      <c r="B879" t="s">
        <v>165</v>
      </c>
      <c r="C879" t="s">
        <v>637</v>
      </c>
      <c r="D879" s="9" t="s">
        <v>478</v>
      </c>
      <c r="E879" s="1">
        <v>0</v>
      </c>
      <c r="G879" s="2">
        <f t="shared" si="13"/>
        <v>0</v>
      </c>
      <c r="H879" s="2">
        <v>0</v>
      </c>
    </row>
    <row r="880" spans="2:8">
      <c r="B880" t="s">
        <v>165</v>
      </c>
      <c r="C880" t="s">
        <v>637</v>
      </c>
      <c r="D880" s="10" t="s">
        <v>479</v>
      </c>
      <c r="E880" s="1">
        <v>0</v>
      </c>
      <c r="G880" s="2">
        <f t="shared" si="13"/>
        <v>0</v>
      </c>
      <c r="H880" s="2">
        <v>0</v>
      </c>
    </row>
    <row r="881" spans="2:8">
      <c r="B881" t="s">
        <v>165</v>
      </c>
      <c r="C881" t="s">
        <v>637</v>
      </c>
      <c r="D881" s="11" t="s">
        <v>480</v>
      </c>
      <c r="E881" s="1">
        <v>0</v>
      </c>
      <c r="G881" s="2">
        <f t="shared" si="13"/>
        <v>0</v>
      </c>
      <c r="H881" s="2">
        <v>0</v>
      </c>
    </row>
    <row r="882" spans="2:8">
      <c r="B882" t="s">
        <v>165</v>
      </c>
      <c r="C882" t="s">
        <v>637</v>
      </c>
      <c r="D882" s="13" t="s">
        <v>481</v>
      </c>
      <c r="E882" s="1">
        <v>0</v>
      </c>
      <c r="G882" s="2">
        <f t="shared" si="13"/>
        <v>0</v>
      </c>
      <c r="H882" s="2">
        <v>0</v>
      </c>
    </row>
    <row r="883" spans="2:8">
      <c r="B883" t="s">
        <v>165</v>
      </c>
      <c r="C883" t="s">
        <v>637</v>
      </c>
      <c r="D883" s="12" t="s">
        <v>1033</v>
      </c>
      <c r="E883" s="1">
        <v>0</v>
      </c>
      <c r="G883" s="2">
        <f t="shared" si="13"/>
        <v>0</v>
      </c>
      <c r="H883" s="2">
        <v>0</v>
      </c>
    </row>
    <row r="884" spans="2:8">
      <c r="B884" t="s">
        <v>275</v>
      </c>
      <c r="C884" t="s">
        <v>638</v>
      </c>
      <c r="D884" s="5" t="s">
        <v>474</v>
      </c>
      <c r="E884" s="1">
        <v>0</v>
      </c>
      <c r="G884" s="2">
        <f t="shared" si="13"/>
        <v>0</v>
      </c>
      <c r="H884" s="2">
        <v>0</v>
      </c>
    </row>
    <row r="885" spans="2:8">
      <c r="B885" t="s">
        <v>275</v>
      </c>
      <c r="C885" t="s">
        <v>638</v>
      </c>
      <c r="D885" s="6" t="s">
        <v>475</v>
      </c>
      <c r="E885" s="1">
        <v>0</v>
      </c>
      <c r="G885" s="2">
        <f t="shared" si="13"/>
        <v>0</v>
      </c>
      <c r="H885" s="2">
        <v>0</v>
      </c>
    </row>
    <row r="886" spans="2:8">
      <c r="B886" t="s">
        <v>275</v>
      </c>
      <c r="C886" t="s">
        <v>638</v>
      </c>
      <c r="D886" s="7" t="s">
        <v>476</v>
      </c>
      <c r="E886" s="1">
        <v>0</v>
      </c>
      <c r="G886" s="2">
        <f t="shared" si="13"/>
        <v>0</v>
      </c>
      <c r="H886" s="2">
        <v>0</v>
      </c>
    </row>
    <row r="887" spans="2:8">
      <c r="B887" t="s">
        <v>275</v>
      </c>
      <c r="C887" t="s">
        <v>638</v>
      </c>
      <c r="D887" s="8" t="s">
        <v>477</v>
      </c>
      <c r="E887" s="1">
        <v>0</v>
      </c>
      <c r="G887" s="2">
        <f t="shared" si="13"/>
        <v>0</v>
      </c>
      <c r="H887" s="2">
        <v>0</v>
      </c>
    </row>
    <row r="888" spans="2:8">
      <c r="B888" t="s">
        <v>275</v>
      </c>
      <c r="C888" t="s">
        <v>638</v>
      </c>
      <c r="D888" s="9" t="s">
        <v>478</v>
      </c>
      <c r="E888" s="1">
        <v>0</v>
      </c>
      <c r="G888" s="2">
        <f t="shared" si="13"/>
        <v>0</v>
      </c>
      <c r="H888" s="2">
        <v>0</v>
      </c>
    </row>
    <row r="889" spans="2:8">
      <c r="B889" t="s">
        <v>275</v>
      </c>
      <c r="C889" t="s">
        <v>638</v>
      </c>
      <c r="D889" s="10" t="s">
        <v>479</v>
      </c>
      <c r="E889" s="1">
        <v>0</v>
      </c>
      <c r="G889" s="2">
        <f t="shared" si="13"/>
        <v>0</v>
      </c>
      <c r="H889" s="2">
        <v>0</v>
      </c>
    </row>
    <row r="890" spans="2:8">
      <c r="B890" t="s">
        <v>275</v>
      </c>
      <c r="C890" t="s">
        <v>638</v>
      </c>
      <c r="D890" s="11" t="s">
        <v>480</v>
      </c>
      <c r="E890" s="1">
        <v>0</v>
      </c>
      <c r="G890" s="2">
        <f t="shared" si="13"/>
        <v>0</v>
      </c>
      <c r="H890" s="2">
        <v>0</v>
      </c>
    </row>
    <row r="891" spans="2:8">
      <c r="B891" t="s">
        <v>275</v>
      </c>
      <c r="C891" t="s">
        <v>638</v>
      </c>
      <c r="D891" s="13" t="s">
        <v>481</v>
      </c>
      <c r="E891" s="1">
        <v>0</v>
      </c>
      <c r="G891" s="2">
        <f t="shared" si="13"/>
        <v>0</v>
      </c>
      <c r="H891" s="2">
        <v>0</v>
      </c>
    </row>
    <row r="892" spans="2:8">
      <c r="B892" t="s">
        <v>275</v>
      </c>
      <c r="C892" t="s">
        <v>638</v>
      </c>
      <c r="D892" s="12" t="s">
        <v>1033</v>
      </c>
      <c r="E892" s="1">
        <v>0</v>
      </c>
      <c r="G892" s="2">
        <f t="shared" si="13"/>
        <v>0</v>
      </c>
      <c r="H892" s="2">
        <v>0</v>
      </c>
    </row>
    <row r="893" spans="2:8">
      <c r="B893" t="s">
        <v>297</v>
      </c>
      <c r="C893" t="s">
        <v>639</v>
      </c>
      <c r="D893" s="5" t="s">
        <v>474</v>
      </c>
      <c r="E893" s="1">
        <v>0</v>
      </c>
      <c r="G893" s="2">
        <f t="shared" si="13"/>
        <v>0</v>
      </c>
      <c r="H893" s="2">
        <v>0</v>
      </c>
    </row>
    <row r="894" spans="2:8">
      <c r="B894" t="s">
        <v>297</v>
      </c>
      <c r="C894" t="s">
        <v>639</v>
      </c>
      <c r="D894" s="6" t="s">
        <v>475</v>
      </c>
      <c r="E894" s="1">
        <v>0</v>
      </c>
      <c r="G894" s="2">
        <f t="shared" si="13"/>
        <v>0</v>
      </c>
      <c r="H894" s="2">
        <v>0</v>
      </c>
    </row>
    <row r="895" spans="2:8">
      <c r="B895" t="s">
        <v>297</v>
      </c>
      <c r="C895" t="s">
        <v>639</v>
      </c>
      <c r="D895" s="7" t="s">
        <v>476</v>
      </c>
      <c r="E895" s="1">
        <v>0</v>
      </c>
      <c r="G895" s="2">
        <f t="shared" si="13"/>
        <v>0</v>
      </c>
      <c r="H895" s="2">
        <v>0</v>
      </c>
    </row>
    <row r="896" spans="2:8">
      <c r="B896" t="s">
        <v>297</v>
      </c>
      <c r="C896" t="s">
        <v>639</v>
      </c>
      <c r="D896" s="8" t="s">
        <v>477</v>
      </c>
      <c r="E896" s="1">
        <v>0</v>
      </c>
      <c r="G896" s="2">
        <f t="shared" si="13"/>
        <v>0</v>
      </c>
      <c r="H896" s="2">
        <v>0</v>
      </c>
    </row>
    <row r="897" spans="2:8">
      <c r="B897" t="s">
        <v>297</v>
      </c>
      <c r="C897" t="s">
        <v>639</v>
      </c>
      <c r="D897" s="9" t="s">
        <v>478</v>
      </c>
      <c r="E897" s="1">
        <v>0</v>
      </c>
      <c r="G897" s="2">
        <f t="shared" si="13"/>
        <v>0</v>
      </c>
      <c r="H897" s="2">
        <v>0</v>
      </c>
    </row>
    <row r="898" spans="2:8">
      <c r="B898" t="s">
        <v>297</v>
      </c>
      <c r="C898" t="s">
        <v>639</v>
      </c>
      <c r="D898" s="10" t="s">
        <v>479</v>
      </c>
      <c r="E898" s="1">
        <v>0</v>
      </c>
      <c r="G898" s="2">
        <f t="shared" ref="G898:G961" si="14">E898*F898</f>
        <v>0</v>
      </c>
      <c r="H898" s="2">
        <v>0</v>
      </c>
    </row>
    <row r="899" spans="2:8">
      <c r="B899" t="s">
        <v>297</v>
      </c>
      <c r="C899" t="s">
        <v>639</v>
      </c>
      <c r="D899" s="11" t="s">
        <v>480</v>
      </c>
      <c r="E899" s="1">
        <v>0</v>
      </c>
      <c r="G899" s="2">
        <f t="shared" si="14"/>
        <v>0</v>
      </c>
      <c r="H899" s="2">
        <v>0</v>
      </c>
    </row>
    <row r="900" spans="2:8">
      <c r="B900" t="s">
        <v>297</v>
      </c>
      <c r="C900" t="s">
        <v>639</v>
      </c>
      <c r="D900" s="13" t="s">
        <v>481</v>
      </c>
      <c r="E900" s="1">
        <v>0</v>
      </c>
      <c r="G900" s="2">
        <f t="shared" si="14"/>
        <v>0</v>
      </c>
      <c r="H900" s="2">
        <v>0</v>
      </c>
    </row>
    <row r="901" spans="2:8">
      <c r="B901" t="s">
        <v>297</v>
      </c>
      <c r="C901" t="s">
        <v>639</v>
      </c>
      <c r="D901" s="12" t="s">
        <v>1033</v>
      </c>
      <c r="E901" s="1">
        <v>0</v>
      </c>
      <c r="G901" s="2">
        <f t="shared" si="14"/>
        <v>0</v>
      </c>
      <c r="H901" s="2">
        <v>0</v>
      </c>
    </row>
    <row r="902" spans="2:8">
      <c r="B902" t="s">
        <v>316</v>
      </c>
      <c r="C902" t="s">
        <v>640</v>
      </c>
      <c r="D902" s="5" t="s">
        <v>474</v>
      </c>
      <c r="E902" s="1">
        <v>0</v>
      </c>
      <c r="G902" s="2">
        <f t="shared" si="14"/>
        <v>0</v>
      </c>
      <c r="H902" s="2">
        <v>0</v>
      </c>
    </row>
    <row r="903" spans="2:8">
      <c r="B903" t="s">
        <v>316</v>
      </c>
      <c r="C903" t="s">
        <v>640</v>
      </c>
      <c r="D903" s="6" t="s">
        <v>475</v>
      </c>
      <c r="E903" s="1">
        <v>0</v>
      </c>
      <c r="G903" s="2">
        <f t="shared" si="14"/>
        <v>0</v>
      </c>
      <c r="H903" s="2">
        <v>0</v>
      </c>
    </row>
    <row r="904" spans="2:8">
      <c r="B904" t="s">
        <v>316</v>
      </c>
      <c r="C904" t="s">
        <v>640</v>
      </c>
      <c r="D904" s="7" t="s">
        <v>476</v>
      </c>
      <c r="E904" s="1">
        <v>0</v>
      </c>
      <c r="G904" s="2">
        <f t="shared" si="14"/>
        <v>0</v>
      </c>
      <c r="H904" s="2">
        <v>0</v>
      </c>
    </row>
    <row r="905" spans="2:8">
      <c r="B905" t="s">
        <v>316</v>
      </c>
      <c r="C905" t="s">
        <v>640</v>
      </c>
      <c r="D905" s="8" t="s">
        <v>477</v>
      </c>
      <c r="E905" s="1">
        <v>0</v>
      </c>
      <c r="G905" s="2">
        <f t="shared" si="14"/>
        <v>0</v>
      </c>
      <c r="H905" s="2">
        <v>0</v>
      </c>
    </row>
    <row r="906" spans="2:8">
      <c r="B906" t="s">
        <v>316</v>
      </c>
      <c r="C906" t="s">
        <v>640</v>
      </c>
      <c r="D906" s="9" t="s">
        <v>478</v>
      </c>
      <c r="E906" s="1">
        <v>0</v>
      </c>
      <c r="G906" s="2">
        <f t="shared" si="14"/>
        <v>0</v>
      </c>
      <c r="H906" s="2">
        <v>0</v>
      </c>
    </row>
    <row r="907" spans="2:8">
      <c r="B907" t="s">
        <v>316</v>
      </c>
      <c r="C907" t="s">
        <v>640</v>
      </c>
      <c r="D907" s="10" t="s">
        <v>479</v>
      </c>
      <c r="E907" s="1">
        <v>0</v>
      </c>
      <c r="G907" s="2">
        <f t="shared" si="14"/>
        <v>0</v>
      </c>
      <c r="H907" s="2">
        <v>0</v>
      </c>
    </row>
    <row r="908" spans="2:8">
      <c r="B908" t="s">
        <v>316</v>
      </c>
      <c r="C908" t="s">
        <v>640</v>
      </c>
      <c r="D908" s="11" t="s">
        <v>480</v>
      </c>
      <c r="E908" s="1">
        <v>0</v>
      </c>
      <c r="G908" s="2">
        <f t="shared" si="14"/>
        <v>0</v>
      </c>
      <c r="H908" s="2">
        <v>0</v>
      </c>
    </row>
    <row r="909" spans="2:8">
      <c r="B909" t="s">
        <v>316</v>
      </c>
      <c r="C909" t="s">
        <v>640</v>
      </c>
      <c r="D909" s="13" t="s">
        <v>481</v>
      </c>
      <c r="E909" s="1">
        <v>0</v>
      </c>
      <c r="G909" s="2">
        <f t="shared" si="14"/>
        <v>0</v>
      </c>
      <c r="H909" s="2">
        <v>0</v>
      </c>
    </row>
    <row r="910" spans="2:8">
      <c r="B910" t="s">
        <v>316</v>
      </c>
      <c r="C910" t="s">
        <v>640</v>
      </c>
      <c r="D910" s="12" t="s">
        <v>1033</v>
      </c>
      <c r="E910" s="1">
        <v>0</v>
      </c>
      <c r="G910" s="2">
        <f t="shared" si="14"/>
        <v>0</v>
      </c>
      <c r="H910" s="2">
        <v>0</v>
      </c>
    </row>
    <row r="911" spans="2:8">
      <c r="B911" t="s">
        <v>892</v>
      </c>
      <c r="C911" t="s">
        <v>905</v>
      </c>
      <c r="D911" s="5" t="s">
        <v>474</v>
      </c>
      <c r="E911" s="1">
        <v>0</v>
      </c>
      <c r="G911" s="2">
        <f t="shared" si="14"/>
        <v>0</v>
      </c>
      <c r="H911" s="2">
        <v>0</v>
      </c>
    </row>
    <row r="912" spans="2:8">
      <c r="B912" t="s">
        <v>892</v>
      </c>
      <c r="C912" t="s">
        <v>905</v>
      </c>
      <c r="D912" s="6" t="s">
        <v>475</v>
      </c>
      <c r="E912" s="1">
        <v>0</v>
      </c>
      <c r="G912" s="2">
        <f t="shared" si="14"/>
        <v>0</v>
      </c>
      <c r="H912" s="2">
        <v>0</v>
      </c>
    </row>
    <row r="913" spans="2:8">
      <c r="B913" t="s">
        <v>892</v>
      </c>
      <c r="C913" t="s">
        <v>905</v>
      </c>
      <c r="D913" s="7" t="s">
        <v>476</v>
      </c>
      <c r="E913" s="1">
        <v>0</v>
      </c>
      <c r="G913" s="2">
        <f t="shared" si="14"/>
        <v>0</v>
      </c>
      <c r="H913" s="2">
        <v>0</v>
      </c>
    </row>
    <row r="914" spans="2:8">
      <c r="B914" t="s">
        <v>892</v>
      </c>
      <c r="C914" t="s">
        <v>905</v>
      </c>
      <c r="D914" s="8" t="s">
        <v>477</v>
      </c>
      <c r="E914" s="1">
        <v>0</v>
      </c>
      <c r="G914" s="2">
        <f t="shared" si="14"/>
        <v>0</v>
      </c>
      <c r="H914" s="2">
        <v>0</v>
      </c>
    </row>
    <row r="915" spans="2:8">
      <c r="B915" t="s">
        <v>892</v>
      </c>
      <c r="C915" t="s">
        <v>905</v>
      </c>
      <c r="D915" s="9" t="s">
        <v>478</v>
      </c>
      <c r="E915" s="1">
        <v>0</v>
      </c>
      <c r="G915" s="2">
        <f t="shared" si="14"/>
        <v>0</v>
      </c>
      <c r="H915" s="2">
        <v>0</v>
      </c>
    </row>
    <row r="916" spans="2:8">
      <c r="B916" t="s">
        <v>892</v>
      </c>
      <c r="C916" t="s">
        <v>905</v>
      </c>
      <c r="D916" s="10" t="s">
        <v>479</v>
      </c>
      <c r="E916" s="1">
        <v>0</v>
      </c>
      <c r="G916" s="2">
        <f t="shared" si="14"/>
        <v>0</v>
      </c>
      <c r="H916" s="2">
        <v>0</v>
      </c>
    </row>
    <row r="917" spans="2:8">
      <c r="B917" t="s">
        <v>892</v>
      </c>
      <c r="C917" t="s">
        <v>905</v>
      </c>
      <c r="D917" s="11" t="s">
        <v>480</v>
      </c>
      <c r="E917" s="1">
        <v>0</v>
      </c>
      <c r="G917" s="2">
        <f t="shared" si="14"/>
        <v>0</v>
      </c>
      <c r="H917" s="2">
        <v>0</v>
      </c>
    </row>
    <row r="918" spans="2:8">
      <c r="B918" t="s">
        <v>892</v>
      </c>
      <c r="C918" t="s">
        <v>905</v>
      </c>
      <c r="D918" s="13" t="s">
        <v>481</v>
      </c>
      <c r="E918" s="1">
        <v>0</v>
      </c>
      <c r="G918" s="2">
        <f t="shared" si="14"/>
        <v>0</v>
      </c>
      <c r="H918" s="2">
        <v>0</v>
      </c>
    </row>
    <row r="919" spans="2:8">
      <c r="B919" t="s">
        <v>892</v>
      </c>
      <c r="C919" t="s">
        <v>905</v>
      </c>
      <c r="D919" s="12" t="s">
        <v>1033</v>
      </c>
      <c r="E919" s="1">
        <v>0</v>
      </c>
      <c r="G919" s="2">
        <f t="shared" si="14"/>
        <v>0</v>
      </c>
      <c r="H919" s="2">
        <v>0</v>
      </c>
    </row>
    <row r="920" spans="2:8">
      <c r="B920" t="s">
        <v>333</v>
      </c>
      <c r="C920" t="s">
        <v>641</v>
      </c>
      <c r="D920" s="5" t="s">
        <v>474</v>
      </c>
      <c r="E920" s="1">
        <v>0</v>
      </c>
      <c r="G920" s="2">
        <f t="shared" si="14"/>
        <v>0</v>
      </c>
      <c r="H920" s="2">
        <v>0</v>
      </c>
    </row>
    <row r="921" spans="2:8">
      <c r="B921" t="s">
        <v>333</v>
      </c>
      <c r="C921" t="s">
        <v>641</v>
      </c>
      <c r="D921" s="6" t="s">
        <v>475</v>
      </c>
      <c r="E921" s="1">
        <v>0</v>
      </c>
      <c r="G921" s="2">
        <f t="shared" si="14"/>
        <v>0</v>
      </c>
      <c r="H921" s="2">
        <v>0</v>
      </c>
    </row>
    <row r="922" spans="2:8">
      <c r="B922" t="s">
        <v>333</v>
      </c>
      <c r="C922" t="s">
        <v>641</v>
      </c>
      <c r="D922" s="7" t="s">
        <v>476</v>
      </c>
      <c r="E922" s="1">
        <v>0</v>
      </c>
      <c r="G922" s="2">
        <f t="shared" si="14"/>
        <v>0</v>
      </c>
      <c r="H922" s="2">
        <v>0</v>
      </c>
    </row>
    <row r="923" spans="2:8">
      <c r="B923" t="s">
        <v>333</v>
      </c>
      <c r="C923" t="s">
        <v>641</v>
      </c>
      <c r="D923" s="8" t="s">
        <v>477</v>
      </c>
      <c r="E923" s="1">
        <v>0</v>
      </c>
      <c r="G923" s="2">
        <f t="shared" si="14"/>
        <v>0</v>
      </c>
      <c r="H923" s="2">
        <v>0</v>
      </c>
    </row>
    <row r="924" spans="2:8">
      <c r="B924" t="s">
        <v>333</v>
      </c>
      <c r="C924" t="s">
        <v>641</v>
      </c>
      <c r="D924" s="9" t="s">
        <v>478</v>
      </c>
      <c r="E924" s="1">
        <v>0</v>
      </c>
      <c r="G924" s="2">
        <f t="shared" si="14"/>
        <v>0</v>
      </c>
      <c r="H924" s="2">
        <v>0</v>
      </c>
    </row>
    <row r="925" spans="2:8">
      <c r="B925" t="s">
        <v>333</v>
      </c>
      <c r="C925" t="s">
        <v>641</v>
      </c>
      <c r="D925" s="10" t="s">
        <v>479</v>
      </c>
      <c r="E925" s="1">
        <v>0</v>
      </c>
      <c r="G925" s="2">
        <f t="shared" si="14"/>
        <v>0</v>
      </c>
      <c r="H925" s="2">
        <v>0</v>
      </c>
    </row>
    <row r="926" spans="2:8">
      <c r="B926" t="s">
        <v>333</v>
      </c>
      <c r="C926" t="s">
        <v>641</v>
      </c>
      <c r="D926" s="11" t="s">
        <v>480</v>
      </c>
      <c r="E926" s="1">
        <v>0</v>
      </c>
      <c r="G926" s="2">
        <f t="shared" si="14"/>
        <v>0</v>
      </c>
      <c r="H926" s="2">
        <v>0</v>
      </c>
    </row>
    <row r="927" spans="2:8">
      <c r="B927" t="s">
        <v>333</v>
      </c>
      <c r="C927" t="s">
        <v>641</v>
      </c>
      <c r="D927" s="13" t="s">
        <v>481</v>
      </c>
      <c r="E927" s="1">
        <v>0</v>
      </c>
      <c r="G927" s="2">
        <f t="shared" si="14"/>
        <v>0</v>
      </c>
      <c r="H927" s="2">
        <v>0</v>
      </c>
    </row>
    <row r="928" spans="2:8">
      <c r="B928" t="s">
        <v>333</v>
      </c>
      <c r="C928" t="s">
        <v>641</v>
      </c>
      <c r="D928" s="12" t="s">
        <v>1033</v>
      </c>
      <c r="E928" s="1">
        <v>0</v>
      </c>
      <c r="G928" s="2">
        <f t="shared" si="14"/>
        <v>0</v>
      </c>
      <c r="H928" s="2">
        <v>0</v>
      </c>
    </row>
    <row r="929" spans="2:8">
      <c r="B929" t="s">
        <v>188</v>
      </c>
      <c r="C929" t="s">
        <v>642</v>
      </c>
      <c r="D929" s="5" t="s">
        <v>474</v>
      </c>
      <c r="E929" s="1">
        <v>0</v>
      </c>
      <c r="G929" s="2">
        <f t="shared" si="14"/>
        <v>0</v>
      </c>
      <c r="H929" s="2">
        <v>0</v>
      </c>
    </row>
    <row r="930" spans="2:8">
      <c r="B930" t="s">
        <v>188</v>
      </c>
      <c r="C930" t="s">
        <v>642</v>
      </c>
      <c r="D930" s="6" t="s">
        <v>475</v>
      </c>
      <c r="E930" s="1">
        <v>0</v>
      </c>
      <c r="G930" s="2">
        <f t="shared" si="14"/>
        <v>0</v>
      </c>
      <c r="H930" s="2">
        <v>0</v>
      </c>
    </row>
    <row r="931" spans="2:8">
      <c r="B931" t="s">
        <v>188</v>
      </c>
      <c r="C931" t="s">
        <v>642</v>
      </c>
      <c r="D931" s="7" t="s">
        <v>476</v>
      </c>
      <c r="E931" s="1">
        <v>0</v>
      </c>
      <c r="G931" s="2">
        <f t="shared" si="14"/>
        <v>0</v>
      </c>
      <c r="H931" s="2">
        <v>0</v>
      </c>
    </row>
    <row r="932" spans="2:8">
      <c r="B932" t="s">
        <v>188</v>
      </c>
      <c r="C932" t="s">
        <v>642</v>
      </c>
      <c r="D932" s="8" t="s">
        <v>477</v>
      </c>
      <c r="E932" s="1">
        <v>0</v>
      </c>
      <c r="G932" s="2">
        <f t="shared" si="14"/>
        <v>0</v>
      </c>
      <c r="H932" s="2">
        <v>0</v>
      </c>
    </row>
    <row r="933" spans="2:8">
      <c r="B933" t="s">
        <v>188</v>
      </c>
      <c r="C933" t="s">
        <v>642</v>
      </c>
      <c r="D933" s="9" t="s">
        <v>478</v>
      </c>
      <c r="E933" s="1">
        <v>0</v>
      </c>
      <c r="G933" s="2">
        <f t="shared" si="14"/>
        <v>0</v>
      </c>
      <c r="H933" s="2">
        <v>0</v>
      </c>
    </row>
    <row r="934" spans="2:8">
      <c r="B934" t="s">
        <v>188</v>
      </c>
      <c r="C934" t="s">
        <v>642</v>
      </c>
      <c r="D934" s="10" t="s">
        <v>479</v>
      </c>
      <c r="E934" s="1">
        <v>0</v>
      </c>
      <c r="G934" s="2">
        <f t="shared" si="14"/>
        <v>0</v>
      </c>
      <c r="H934" s="2">
        <v>0</v>
      </c>
    </row>
    <row r="935" spans="2:8">
      <c r="B935" t="s">
        <v>188</v>
      </c>
      <c r="C935" t="s">
        <v>642</v>
      </c>
      <c r="D935" s="11" t="s">
        <v>480</v>
      </c>
      <c r="E935" s="1">
        <v>0</v>
      </c>
      <c r="G935" s="2">
        <f t="shared" si="14"/>
        <v>0</v>
      </c>
      <c r="H935" s="2">
        <v>0</v>
      </c>
    </row>
    <row r="936" spans="2:8">
      <c r="B936" t="s">
        <v>188</v>
      </c>
      <c r="C936" t="s">
        <v>642</v>
      </c>
      <c r="D936" s="13" t="s">
        <v>481</v>
      </c>
      <c r="E936" s="1">
        <v>0</v>
      </c>
      <c r="G936" s="2">
        <f t="shared" si="14"/>
        <v>0</v>
      </c>
      <c r="H936" s="2">
        <v>0</v>
      </c>
    </row>
    <row r="937" spans="2:8">
      <c r="B937" t="s">
        <v>188</v>
      </c>
      <c r="C937" t="s">
        <v>642</v>
      </c>
      <c r="D937" s="12" t="s">
        <v>1033</v>
      </c>
      <c r="E937" s="1">
        <v>0</v>
      </c>
      <c r="G937" s="2">
        <f t="shared" si="14"/>
        <v>0</v>
      </c>
      <c r="H937" s="2">
        <v>0</v>
      </c>
    </row>
    <row r="938" spans="2:8">
      <c r="B938" t="s">
        <v>189</v>
      </c>
      <c r="C938" t="s">
        <v>643</v>
      </c>
      <c r="D938" s="5" t="s">
        <v>474</v>
      </c>
      <c r="E938" s="1">
        <v>0</v>
      </c>
      <c r="G938" s="2">
        <f t="shared" si="14"/>
        <v>0</v>
      </c>
      <c r="H938" s="2">
        <v>0</v>
      </c>
    </row>
    <row r="939" spans="2:8">
      <c r="B939" t="s">
        <v>189</v>
      </c>
      <c r="C939" t="s">
        <v>643</v>
      </c>
      <c r="D939" s="6" t="s">
        <v>475</v>
      </c>
      <c r="E939" s="1">
        <v>0</v>
      </c>
      <c r="G939" s="2">
        <f t="shared" si="14"/>
        <v>0</v>
      </c>
      <c r="H939" s="2">
        <v>0</v>
      </c>
    </row>
    <row r="940" spans="2:8">
      <c r="B940" t="s">
        <v>189</v>
      </c>
      <c r="C940" t="s">
        <v>643</v>
      </c>
      <c r="D940" s="7" t="s">
        <v>476</v>
      </c>
      <c r="E940" s="1">
        <v>0</v>
      </c>
      <c r="G940" s="2">
        <f t="shared" si="14"/>
        <v>0</v>
      </c>
      <c r="H940" s="2">
        <v>0</v>
      </c>
    </row>
    <row r="941" spans="2:8">
      <c r="B941" t="s">
        <v>189</v>
      </c>
      <c r="C941" t="s">
        <v>643</v>
      </c>
      <c r="D941" s="8" t="s">
        <v>477</v>
      </c>
      <c r="E941" s="1">
        <v>0</v>
      </c>
      <c r="G941" s="2">
        <f t="shared" si="14"/>
        <v>0</v>
      </c>
      <c r="H941" s="2">
        <v>0</v>
      </c>
    </row>
    <row r="942" spans="2:8">
      <c r="B942" t="s">
        <v>189</v>
      </c>
      <c r="C942" t="s">
        <v>643</v>
      </c>
      <c r="D942" s="9" t="s">
        <v>478</v>
      </c>
      <c r="E942" s="1">
        <v>0</v>
      </c>
      <c r="G942" s="2">
        <f t="shared" si="14"/>
        <v>0</v>
      </c>
      <c r="H942" s="2">
        <v>0</v>
      </c>
    </row>
    <row r="943" spans="2:8">
      <c r="B943" t="s">
        <v>189</v>
      </c>
      <c r="C943" t="s">
        <v>643</v>
      </c>
      <c r="D943" s="10" t="s">
        <v>479</v>
      </c>
      <c r="E943" s="1">
        <v>0</v>
      </c>
      <c r="G943" s="2">
        <f t="shared" si="14"/>
        <v>0</v>
      </c>
      <c r="H943" s="2">
        <v>0</v>
      </c>
    </row>
    <row r="944" spans="2:8">
      <c r="B944" t="s">
        <v>189</v>
      </c>
      <c r="C944" t="s">
        <v>643</v>
      </c>
      <c r="D944" s="11" t="s">
        <v>480</v>
      </c>
      <c r="E944" s="1">
        <v>0</v>
      </c>
      <c r="G944" s="2">
        <f t="shared" si="14"/>
        <v>0</v>
      </c>
      <c r="H944" s="2">
        <v>0</v>
      </c>
    </row>
    <row r="945" spans="2:8">
      <c r="B945" t="s">
        <v>189</v>
      </c>
      <c r="C945" t="s">
        <v>643</v>
      </c>
      <c r="D945" s="13" t="s">
        <v>481</v>
      </c>
      <c r="E945" s="1">
        <v>0</v>
      </c>
      <c r="G945" s="2">
        <f t="shared" si="14"/>
        <v>0</v>
      </c>
      <c r="H945" s="2">
        <v>0</v>
      </c>
    </row>
    <row r="946" spans="2:8">
      <c r="B946" t="s">
        <v>189</v>
      </c>
      <c r="C946" t="s">
        <v>643</v>
      </c>
      <c r="D946" s="12" t="s">
        <v>1033</v>
      </c>
      <c r="E946" s="1">
        <v>0</v>
      </c>
      <c r="G946" s="2">
        <f t="shared" si="14"/>
        <v>0</v>
      </c>
      <c r="H946" s="2">
        <v>0</v>
      </c>
    </row>
    <row r="947" spans="2:8">
      <c r="B947" t="s">
        <v>317</v>
      </c>
      <c r="C947" t="s">
        <v>644</v>
      </c>
      <c r="D947" s="5" t="s">
        <v>474</v>
      </c>
      <c r="E947" s="1">
        <v>0</v>
      </c>
      <c r="G947" s="2">
        <f t="shared" si="14"/>
        <v>0</v>
      </c>
      <c r="H947" s="2">
        <v>0</v>
      </c>
    </row>
    <row r="948" spans="2:8">
      <c r="B948" t="s">
        <v>317</v>
      </c>
      <c r="C948" t="s">
        <v>644</v>
      </c>
      <c r="D948" s="6" t="s">
        <v>475</v>
      </c>
      <c r="E948" s="1">
        <v>0</v>
      </c>
      <c r="G948" s="2">
        <f t="shared" si="14"/>
        <v>0</v>
      </c>
      <c r="H948" s="2">
        <v>0</v>
      </c>
    </row>
    <row r="949" spans="2:8">
      <c r="B949" t="s">
        <v>317</v>
      </c>
      <c r="C949" t="s">
        <v>644</v>
      </c>
      <c r="D949" s="7" t="s">
        <v>476</v>
      </c>
      <c r="E949" s="1">
        <v>0</v>
      </c>
      <c r="G949" s="2">
        <f t="shared" si="14"/>
        <v>0</v>
      </c>
      <c r="H949" s="2">
        <v>0</v>
      </c>
    </row>
    <row r="950" spans="2:8">
      <c r="B950" t="s">
        <v>317</v>
      </c>
      <c r="C950" t="s">
        <v>644</v>
      </c>
      <c r="D950" s="8" t="s">
        <v>477</v>
      </c>
      <c r="E950" s="1">
        <v>0</v>
      </c>
      <c r="G950" s="2">
        <f t="shared" si="14"/>
        <v>0</v>
      </c>
      <c r="H950" s="2">
        <v>0</v>
      </c>
    </row>
    <row r="951" spans="2:8">
      <c r="B951" t="s">
        <v>317</v>
      </c>
      <c r="C951" t="s">
        <v>644</v>
      </c>
      <c r="D951" s="9" t="s">
        <v>478</v>
      </c>
      <c r="E951" s="1">
        <v>0</v>
      </c>
      <c r="G951" s="2">
        <f t="shared" si="14"/>
        <v>0</v>
      </c>
      <c r="H951" s="2">
        <v>0</v>
      </c>
    </row>
    <row r="952" spans="2:8">
      <c r="B952" t="s">
        <v>317</v>
      </c>
      <c r="C952" t="s">
        <v>644</v>
      </c>
      <c r="D952" s="10" t="s">
        <v>479</v>
      </c>
      <c r="E952" s="1">
        <v>0</v>
      </c>
      <c r="G952" s="2">
        <f t="shared" si="14"/>
        <v>0</v>
      </c>
      <c r="H952" s="2">
        <v>0</v>
      </c>
    </row>
    <row r="953" spans="2:8">
      <c r="B953" t="s">
        <v>317</v>
      </c>
      <c r="C953" t="s">
        <v>644</v>
      </c>
      <c r="D953" s="11" t="s">
        <v>480</v>
      </c>
      <c r="E953" s="1">
        <v>0</v>
      </c>
      <c r="G953" s="2">
        <f t="shared" si="14"/>
        <v>0</v>
      </c>
      <c r="H953" s="2">
        <v>0</v>
      </c>
    </row>
    <row r="954" spans="2:8">
      <c r="B954" t="s">
        <v>317</v>
      </c>
      <c r="C954" t="s">
        <v>644</v>
      </c>
      <c r="D954" s="13" t="s">
        <v>481</v>
      </c>
      <c r="E954" s="1">
        <v>0</v>
      </c>
      <c r="G954" s="2">
        <f t="shared" si="14"/>
        <v>0</v>
      </c>
      <c r="H954" s="2">
        <v>0</v>
      </c>
    </row>
    <row r="955" spans="2:8">
      <c r="B955" t="s">
        <v>317</v>
      </c>
      <c r="C955" t="s">
        <v>644</v>
      </c>
      <c r="D955" s="12" t="s">
        <v>1033</v>
      </c>
      <c r="E955" s="1">
        <v>0</v>
      </c>
      <c r="G955" s="2">
        <f t="shared" si="14"/>
        <v>0</v>
      </c>
      <c r="H955" s="2">
        <v>0</v>
      </c>
    </row>
    <row r="956" spans="2:8">
      <c r="B956" t="s">
        <v>318</v>
      </c>
      <c r="C956" t="s">
        <v>645</v>
      </c>
      <c r="D956" s="5" t="s">
        <v>474</v>
      </c>
      <c r="E956" s="1">
        <v>0</v>
      </c>
      <c r="G956" s="2">
        <f t="shared" si="14"/>
        <v>0</v>
      </c>
      <c r="H956" s="2">
        <v>0</v>
      </c>
    </row>
    <row r="957" spans="2:8">
      <c r="B957" t="s">
        <v>318</v>
      </c>
      <c r="C957" t="s">
        <v>645</v>
      </c>
      <c r="D957" s="6" t="s">
        <v>475</v>
      </c>
      <c r="E957" s="1">
        <v>0</v>
      </c>
      <c r="G957" s="2">
        <f t="shared" si="14"/>
        <v>0</v>
      </c>
      <c r="H957" s="2">
        <v>0</v>
      </c>
    </row>
    <row r="958" spans="2:8">
      <c r="B958" t="s">
        <v>318</v>
      </c>
      <c r="C958" t="s">
        <v>645</v>
      </c>
      <c r="D958" s="7" t="s">
        <v>476</v>
      </c>
      <c r="E958" s="1">
        <v>0</v>
      </c>
      <c r="G958" s="2">
        <f t="shared" si="14"/>
        <v>0</v>
      </c>
      <c r="H958" s="2">
        <v>0</v>
      </c>
    </row>
    <row r="959" spans="2:8">
      <c r="B959" t="s">
        <v>318</v>
      </c>
      <c r="C959" t="s">
        <v>645</v>
      </c>
      <c r="D959" s="8" t="s">
        <v>477</v>
      </c>
      <c r="E959" s="1">
        <v>0</v>
      </c>
      <c r="G959" s="2">
        <f t="shared" si="14"/>
        <v>0</v>
      </c>
      <c r="H959" s="2">
        <v>0</v>
      </c>
    </row>
    <row r="960" spans="2:8">
      <c r="B960" t="s">
        <v>318</v>
      </c>
      <c r="C960" t="s">
        <v>645</v>
      </c>
      <c r="D960" s="9" t="s">
        <v>478</v>
      </c>
      <c r="E960" s="1">
        <v>0</v>
      </c>
      <c r="G960" s="2">
        <f t="shared" si="14"/>
        <v>0</v>
      </c>
      <c r="H960" s="2">
        <v>0</v>
      </c>
    </row>
    <row r="961" spans="2:8">
      <c r="B961" t="s">
        <v>318</v>
      </c>
      <c r="C961" t="s">
        <v>645</v>
      </c>
      <c r="D961" s="10" t="s">
        <v>479</v>
      </c>
      <c r="E961" s="1">
        <v>0</v>
      </c>
      <c r="G961" s="2">
        <f t="shared" si="14"/>
        <v>0</v>
      </c>
      <c r="H961" s="2">
        <v>0</v>
      </c>
    </row>
    <row r="962" spans="2:8">
      <c r="B962" t="s">
        <v>318</v>
      </c>
      <c r="C962" t="s">
        <v>645</v>
      </c>
      <c r="D962" s="11" t="s">
        <v>480</v>
      </c>
      <c r="E962" s="1">
        <v>0</v>
      </c>
      <c r="G962" s="2">
        <f t="shared" ref="G962:G1025" si="15">E962*F962</f>
        <v>0</v>
      </c>
      <c r="H962" s="2">
        <v>0</v>
      </c>
    </row>
    <row r="963" spans="2:8">
      <c r="B963" t="s">
        <v>318</v>
      </c>
      <c r="C963" t="s">
        <v>645</v>
      </c>
      <c r="D963" s="13" t="s">
        <v>481</v>
      </c>
      <c r="E963" s="1">
        <v>0</v>
      </c>
      <c r="G963" s="2">
        <f t="shared" si="15"/>
        <v>0</v>
      </c>
      <c r="H963" s="2">
        <v>0</v>
      </c>
    </row>
    <row r="964" spans="2:8">
      <c r="B964" t="s">
        <v>318</v>
      </c>
      <c r="C964" t="s">
        <v>645</v>
      </c>
      <c r="D964" s="12" t="s">
        <v>1033</v>
      </c>
      <c r="E964" s="1">
        <v>0</v>
      </c>
      <c r="G964" s="2">
        <f t="shared" si="15"/>
        <v>0</v>
      </c>
      <c r="H964" s="2">
        <v>0</v>
      </c>
    </row>
    <row r="965" spans="2:8">
      <c r="B965" t="s">
        <v>190</v>
      </c>
      <c r="C965" t="s">
        <v>646</v>
      </c>
      <c r="D965" s="5" t="s">
        <v>474</v>
      </c>
      <c r="E965" s="1">
        <v>0</v>
      </c>
      <c r="G965" s="2">
        <f t="shared" si="15"/>
        <v>0</v>
      </c>
      <c r="H965" s="2">
        <v>0</v>
      </c>
    </row>
    <row r="966" spans="2:8">
      <c r="B966" t="s">
        <v>190</v>
      </c>
      <c r="C966" t="s">
        <v>646</v>
      </c>
      <c r="D966" s="6" t="s">
        <v>475</v>
      </c>
      <c r="E966" s="1">
        <v>0</v>
      </c>
      <c r="G966" s="2">
        <f t="shared" si="15"/>
        <v>0</v>
      </c>
      <c r="H966" s="2">
        <v>0</v>
      </c>
    </row>
    <row r="967" spans="2:8">
      <c r="B967" t="s">
        <v>190</v>
      </c>
      <c r="C967" t="s">
        <v>646</v>
      </c>
      <c r="D967" s="7" t="s">
        <v>476</v>
      </c>
      <c r="E967" s="1">
        <v>0</v>
      </c>
      <c r="G967" s="2">
        <f t="shared" si="15"/>
        <v>0</v>
      </c>
      <c r="H967" s="2">
        <v>0</v>
      </c>
    </row>
    <row r="968" spans="2:8">
      <c r="B968" t="s">
        <v>190</v>
      </c>
      <c r="C968" t="s">
        <v>646</v>
      </c>
      <c r="D968" s="8" t="s">
        <v>477</v>
      </c>
      <c r="E968" s="1">
        <v>0</v>
      </c>
      <c r="G968" s="2">
        <f t="shared" si="15"/>
        <v>0</v>
      </c>
      <c r="H968" s="2">
        <v>0</v>
      </c>
    </row>
    <row r="969" spans="2:8">
      <c r="B969" t="s">
        <v>190</v>
      </c>
      <c r="C969" t="s">
        <v>646</v>
      </c>
      <c r="D969" s="9" t="s">
        <v>478</v>
      </c>
      <c r="E969" s="1">
        <v>0</v>
      </c>
      <c r="G969" s="2">
        <f t="shared" si="15"/>
        <v>0</v>
      </c>
      <c r="H969" s="2">
        <v>0</v>
      </c>
    </row>
    <row r="970" spans="2:8">
      <c r="B970" t="s">
        <v>190</v>
      </c>
      <c r="C970" t="s">
        <v>646</v>
      </c>
      <c r="D970" s="10" t="s">
        <v>479</v>
      </c>
      <c r="E970" s="1">
        <v>0</v>
      </c>
      <c r="G970" s="2">
        <f t="shared" si="15"/>
        <v>0</v>
      </c>
      <c r="H970" s="2">
        <v>0</v>
      </c>
    </row>
    <row r="971" spans="2:8">
      <c r="B971" t="s">
        <v>190</v>
      </c>
      <c r="C971" t="s">
        <v>646</v>
      </c>
      <c r="D971" s="11" t="s">
        <v>480</v>
      </c>
      <c r="E971" s="1">
        <v>0</v>
      </c>
      <c r="G971" s="2">
        <f t="shared" si="15"/>
        <v>0</v>
      </c>
      <c r="H971" s="2">
        <v>0</v>
      </c>
    </row>
    <row r="972" spans="2:8">
      <c r="B972" t="s">
        <v>190</v>
      </c>
      <c r="C972" t="s">
        <v>646</v>
      </c>
      <c r="D972" s="13" t="s">
        <v>481</v>
      </c>
      <c r="E972" s="1">
        <v>0</v>
      </c>
      <c r="G972" s="2">
        <f t="shared" si="15"/>
        <v>0</v>
      </c>
      <c r="H972" s="2">
        <v>0</v>
      </c>
    </row>
    <row r="973" spans="2:8">
      <c r="B973" t="s">
        <v>190</v>
      </c>
      <c r="C973" t="s">
        <v>646</v>
      </c>
      <c r="D973" s="12" t="s">
        <v>1033</v>
      </c>
      <c r="E973" s="1">
        <v>0</v>
      </c>
      <c r="G973" s="2">
        <f t="shared" si="15"/>
        <v>0</v>
      </c>
      <c r="H973" s="2">
        <v>0</v>
      </c>
    </row>
    <row r="974" spans="2:8">
      <c r="B974" t="s">
        <v>191</v>
      </c>
      <c r="C974" t="s">
        <v>647</v>
      </c>
      <c r="D974" s="5" t="s">
        <v>474</v>
      </c>
      <c r="E974" s="1">
        <v>0</v>
      </c>
      <c r="G974" s="2">
        <f t="shared" si="15"/>
        <v>0</v>
      </c>
      <c r="H974" s="2">
        <v>0</v>
      </c>
    </row>
    <row r="975" spans="2:8">
      <c r="B975" t="s">
        <v>191</v>
      </c>
      <c r="C975" t="s">
        <v>647</v>
      </c>
      <c r="D975" s="6" t="s">
        <v>475</v>
      </c>
      <c r="E975" s="1">
        <v>0</v>
      </c>
      <c r="G975" s="2">
        <f t="shared" si="15"/>
        <v>0</v>
      </c>
      <c r="H975" s="2">
        <v>0</v>
      </c>
    </row>
    <row r="976" spans="2:8">
      <c r="B976" t="s">
        <v>191</v>
      </c>
      <c r="C976" t="s">
        <v>647</v>
      </c>
      <c r="D976" s="7" t="s">
        <v>476</v>
      </c>
      <c r="E976" s="1">
        <v>0</v>
      </c>
      <c r="G976" s="2">
        <f t="shared" si="15"/>
        <v>0</v>
      </c>
      <c r="H976" s="2">
        <v>0</v>
      </c>
    </row>
    <row r="977" spans="2:8">
      <c r="B977" t="s">
        <v>191</v>
      </c>
      <c r="C977" t="s">
        <v>647</v>
      </c>
      <c r="D977" s="8" t="s">
        <v>477</v>
      </c>
      <c r="E977" s="1">
        <v>0</v>
      </c>
      <c r="G977" s="2">
        <f t="shared" si="15"/>
        <v>0</v>
      </c>
      <c r="H977" s="2">
        <v>0</v>
      </c>
    </row>
    <row r="978" spans="2:8">
      <c r="B978" t="s">
        <v>191</v>
      </c>
      <c r="C978" t="s">
        <v>647</v>
      </c>
      <c r="D978" s="9" t="s">
        <v>478</v>
      </c>
      <c r="E978" s="1">
        <v>0</v>
      </c>
      <c r="G978" s="2">
        <f t="shared" si="15"/>
        <v>0</v>
      </c>
      <c r="H978" s="2">
        <v>0</v>
      </c>
    </row>
    <row r="979" spans="2:8">
      <c r="B979" t="s">
        <v>191</v>
      </c>
      <c r="C979" t="s">
        <v>647</v>
      </c>
      <c r="D979" s="10" t="s">
        <v>479</v>
      </c>
      <c r="E979" s="1">
        <v>0</v>
      </c>
      <c r="G979" s="2">
        <f t="shared" si="15"/>
        <v>0</v>
      </c>
      <c r="H979" s="2">
        <v>0</v>
      </c>
    </row>
    <row r="980" spans="2:8">
      <c r="B980" t="s">
        <v>191</v>
      </c>
      <c r="C980" t="s">
        <v>647</v>
      </c>
      <c r="D980" s="11" t="s">
        <v>480</v>
      </c>
      <c r="E980" s="1">
        <v>0</v>
      </c>
      <c r="G980" s="2">
        <f t="shared" si="15"/>
        <v>0</v>
      </c>
      <c r="H980" s="2">
        <v>0</v>
      </c>
    </row>
    <row r="981" spans="2:8">
      <c r="B981" t="s">
        <v>191</v>
      </c>
      <c r="C981" t="s">
        <v>647</v>
      </c>
      <c r="D981" s="13" t="s">
        <v>481</v>
      </c>
      <c r="E981" s="1">
        <v>0</v>
      </c>
      <c r="G981" s="2">
        <f t="shared" si="15"/>
        <v>0</v>
      </c>
      <c r="H981" s="2">
        <v>0</v>
      </c>
    </row>
    <row r="982" spans="2:8">
      <c r="B982" t="s">
        <v>191</v>
      </c>
      <c r="C982" t="s">
        <v>647</v>
      </c>
      <c r="D982" s="12" t="s">
        <v>1033</v>
      </c>
      <c r="E982" s="1">
        <v>0</v>
      </c>
      <c r="G982" s="2">
        <f t="shared" si="15"/>
        <v>0</v>
      </c>
      <c r="H982" s="2">
        <v>0</v>
      </c>
    </row>
    <row r="983" spans="2:8">
      <c r="B983" t="s">
        <v>192</v>
      </c>
      <c r="C983" t="s">
        <v>648</v>
      </c>
      <c r="D983" s="5" t="s">
        <v>474</v>
      </c>
      <c r="E983" s="1">
        <v>0</v>
      </c>
      <c r="G983" s="2">
        <f t="shared" si="15"/>
        <v>0</v>
      </c>
      <c r="H983" s="2">
        <v>0</v>
      </c>
    </row>
    <row r="984" spans="2:8">
      <c r="B984" t="s">
        <v>192</v>
      </c>
      <c r="C984" t="s">
        <v>648</v>
      </c>
      <c r="D984" s="6" t="s">
        <v>475</v>
      </c>
      <c r="E984" s="1">
        <v>0</v>
      </c>
      <c r="G984" s="2">
        <f t="shared" si="15"/>
        <v>0</v>
      </c>
      <c r="H984" s="2">
        <v>0</v>
      </c>
    </row>
    <row r="985" spans="2:8">
      <c r="B985" t="s">
        <v>192</v>
      </c>
      <c r="C985" t="s">
        <v>648</v>
      </c>
      <c r="D985" s="7" t="s">
        <v>476</v>
      </c>
      <c r="E985" s="1">
        <v>0</v>
      </c>
      <c r="G985" s="2">
        <f t="shared" si="15"/>
        <v>0</v>
      </c>
      <c r="H985" s="2">
        <v>0</v>
      </c>
    </row>
    <row r="986" spans="2:8">
      <c r="B986" t="s">
        <v>192</v>
      </c>
      <c r="C986" t="s">
        <v>648</v>
      </c>
      <c r="D986" s="8" t="s">
        <v>477</v>
      </c>
      <c r="E986" s="1">
        <v>0</v>
      </c>
      <c r="G986" s="2">
        <f t="shared" si="15"/>
        <v>0</v>
      </c>
      <c r="H986" s="2">
        <v>0</v>
      </c>
    </row>
    <row r="987" spans="2:8">
      <c r="B987" t="s">
        <v>192</v>
      </c>
      <c r="C987" t="s">
        <v>648</v>
      </c>
      <c r="D987" s="9" t="s">
        <v>478</v>
      </c>
      <c r="E987" s="1">
        <v>0</v>
      </c>
      <c r="G987" s="2">
        <f t="shared" si="15"/>
        <v>0</v>
      </c>
      <c r="H987" s="2">
        <v>0</v>
      </c>
    </row>
    <row r="988" spans="2:8">
      <c r="B988" t="s">
        <v>192</v>
      </c>
      <c r="C988" t="s">
        <v>648</v>
      </c>
      <c r="D988" s="10" t="s">
        <v>479</v>
      </c>
      <c r="E988" s="1">
        <v>0</v>
      </c>
      <c r="G988" s="2">
        <f t="shared" si="15"/>
        <v>0</v>
      </c>
      <c r="H988" s="2">
        <v>0</v>
      </c>
    </row>
    <row r="989" spans="2:8">
      <c r="B989" t="s">
        <v>192</v>
      </c>
      <c r="C989" t="s">
        <v>648</v>
      </c>
      <c r="D989" s="11" t="s">
        <v>480</v>
      </c>
      <c r="E989" s="1">
        <v>0</v>
      </c>
      <c r="G989" s="2">
        <f t="shared" si="15"/>
        <v>0</v>
      </c>
      <c r="H989" s="2">
        <v>0</v>
      </c>
    </row>
    <row r="990" spans="2:8">
      <c r="B990" t="s">
        <v>192</v>
      </c>
      <c r="C990" t="s">
        <v>648</v>
      </c>
      <c r="D990" s="13" t="s">
        <v>481</v>
      </c>
      <c r="E990" s="1">
        <v>0</v>
      </c>
      <c r="G990" s="2">
        <f t="shared" si="15"/>
        <v>0</v>
      </c>
      <c r="H990" s="2">
        <v>0</v>
      </c>
    </row>
    <row r="991" spans="2:8">
      <c r="B991" t="s">
        <v>192</v>
      </c>
      <c r="C991" t="s">
        <v>648</v>
      </c>
      <c r="D991" s="12" t="s">
        <v>1033</v>
      </c>
      <c r="E991" s="1">
        <v>0</v>
      </c>
      <c r="G991" s="2">
        <f t="shared" si="15"/>
        <v>0</v>
      </c>
      <c r="H991" s="2">
        <v>0</v>
      </c>
    </row>
    <row r="992" spans="2:8">
      <c r="B992" t="s">
        <v>193</v>
      </c>
      <c r="C992" t="s">
        <v>649</v>
      </c>
      <c r="D992" s="5" t="s">
        <v>474</v>
      </c>
      <c r="E992" s="1">
        <v>0</v>
      </c>
      <c r="G992" s="2">
        <f t="shared" si="15"/>
        <v>0</v>
      </c>
      <c r="H992" s="2">
        <v>0</v>
      </c>
    </row>
    <row r="993" spans="2:8">
      <c r="B993" t="s">
        <v>193</v>
      </c>
      <c r="C993" t="s">
        <v>649</v>
      </c>
      <c r="D993" s="6" t="s">
        <v>475</v>
      </c>
      <c r="E993" s="1">
        <v>0</v>
      </c>
      <c r="G993" s="2">
        <f t="shared" si="15"/>
        <v>0</v>
      </c>
      <c r="H993" s="2">
        <v>0</v>
      </c>
    </row>
    <row r="994" spans="2:8">
      <c r="B994" t="s">
        <v>193</v>
      </c>
      <c r="C994" t="s">
        <v>649</v>
      </c>
      <c r="D994" s="7" t="s">
        <v>476</v>
      </c>
      <c r="E994" s="1">
        <v>0</v>
      </c>
      <c r="G994" s="2">
        <f t="shared" si="15"/>
        <v>0</v>
      </c>
      <c r="H994" s="2">
        <v>0</v>
      </c>
    </row>
    <row r="995" spans="2:8">
      <c r="B995" t="s">
        <v>193</v>
      </c>
      <c r="C995" t="s">
        <v>649</v>
      </c>
      <c r="D995" s="8" t="s">
        <v>477</v>
      </c>
      <c r="E995" s="1">
        <v>0</v>
      </c>
      <c r="G995" s="2">
        <f t="shared" si="15"/>
        <v>0</v>
      </c>
      <c r="H995" s="2">
        <v>0</v>
      </c>
    </row>
    <row r="996" spans="2:8">
      <c r="B996" t="s">
        <v>193</v>
      </c>
      <c r="C996" t="s">
        <v>649</v>
      </c>
      <c r="D996" s="9" t="s">
        <v>478</v>
      </c>
      <c r="E996" s="1">
        <v>0</v>
      </c>
      <c r="G996" s="2">
        <f t="shared" si="15"/>
        <v>0</v>
      </c>
      <c r="H996" s="2">
        <v>0</v>
      </c>
    </row>
    <row r="997" spans="2:8">
      <c r="B997" t="s">
        <v>193</v>
      </c>
      <c r="C997" t="s">
        <v>649</v>
      </c>
      <c r="D997" s="10" t="s">
        <v>479</v>
      </c>
      <c r="E997" s="1">
        <v>0</v>
      </c>
      <c r="G997" s="2">
        <f t="shared" si="15"/>
        <v>0</v>
      </c>
      <c r="H997" s="2">
        <v>0</v>
      </c>
    </row>
    <row r="998" spans="2:8">
      <c r="B998" t="s">
        <v>193</v>
      </c>
      <c r="C998" t="s">
        <v>649</v>
      </c>
      <c r="D998" s="11" t="s">
        <v>480</v>
      </c>
      <c r="E998" s="1">
        <v>0</v>
      </c>
      <c r="G998" s="2">
        <f t="shared" si="15"/>
        <v>0</v>
      </c>
      <c r="H998" s="2">
        <v>0</v>
      </c>
    </row>
    <row r="999" spans="2:8">
      <c r="B999" t="s">
        <v>193</v>
      </c>
      <c r="C999" t="s">
        <v>649</v>
      </c>
      <c r="D999" s="13" t="s">
        <v>481</v>
      </c>
      <c r="E999" s="1">
        <v>0</v>
      </c>
      <c r="G999" s="2">
        <f t="shared" si="15"/>
        <v>0</v>
      </c>
      <c r="H999" s="2">
        <v>0</v>
      </c>
    </row>
    <row r="1000" spans="2:8">
      <c r="B1000" t="s">
        <v>193</v>
      </c>
      <c r="C1000" t="s">
        <v>649</v>
      </c>
      <c r="D1000" s="12" t="s">
        <v>1033</v>
      </c>
      <c r="E1000" s="1">
        <v>0</v>
      </c>
      <c r="G1000" s="2">
        <f t="shared" si="15"/>
        <v>0</v>
      </c>
      <c r="H1000" s="2">
        <v>0</v>
      </c>
    </row>
    <row r="1001" spans="2:8">
      <c r="B1001" t="s">
        <v>304</v>
      </c>
      <c r="C1001" t="s">
        <v>650</v>
      </c>
      <c r="D1001" s="5" t="s">
        <v>474</v>
      </c>
      <c r="E1001" s="1">
        <v>0</v>
      </c>
      <c r="G1001" s="2">
        <f t="shared" si="15"/>
        <v>0</v>
      </c>
      <c r="H1001" s="2">
        <v>0</v>
      </c>
    </row>
    <row r="1002" spans="2:8">
      <c r="B1002" t="s">
        <v>304</v>
      </c>
      <c r="C1002" t="s">
        <v>650</v>
      </c>
      <c r="D1002" s="6" t="s">
        <v>475</v>
      </c>
      <c r="E1002" s="1">
        <v>0</v>
      </c>
      <c r="G1002" s="2">
        <f t="shared" si="15"/>
        <v>0</v>
      </c>
      <c r="H1002" s="2">
        <v>0</v>
      </c>
    </row>
    <row r="1003" spans="2:8">
      <c r="B1003" t="s">
        <v>304</v>
      </c>
      <c r="C1003" t="s">
        <v>650</v>
      </c>
      <c r="D1003" s="7" t="s">
        <v>476</v>
      </c>
      <c r="E1003" s="1">
        <v>0</v>
      </c>
      <c r="G1003" s="2">
        <f t="shared" si="15"/>
        <v>0</v>
      </c>
      <c r="H1003" s="2">
        <v>0</v>
      </c>
    </row>
    <row r="1004" spans="2:8">
      <c r="B1004" t="s">
        <v>304</v>
      </c>
      <c r="C1004" t="s">
        <v>650</v>
      </c>
      <c r="D1004" s="8" t="s">
        <v>477</v>
      </c>
      <c r="E1004" s="1">
        <v>0</v>
      </c>
      <c r="G1004" s="2">
        <f t="shared" si="15"/>
        <v>0</v>
      </c>
      <c r="H1004" s="2">
        <v>0</v>
      </c>
    </row>
    <row r="1005" spans="2:8">
      <c r="B1005" t="s">
        <v>304</v>
      </c>
      <c r="C1005" t="s">
        <v>650</v>
      </c>
      <c r="D1005" s="9" t="s">
        <v>478</v>
      </c>
      <c r="E1005" s="1">
        <v>0</v>
      </c>
      <c r="G1005" s="2">
        <f t="shared" si="15"/>
        <v>0</v>
      </c>
      <c r="H1005" s="2">
        <v>0</v>
      </c>
    </row>
    <row r="1006" spans="2:8">
      <c r="B1006" t="s">
        <v>304</v>
      </c>
      <c r="C1006" t="s">
        <v>650</v>
      </c>
      <c r="D1006" s="10" t="s">
        <v>479</v>
      </c>
      <c r="E1006" s="1">
        <v>0</v>
      </c>
      <c r="G1006" s="2">
        <f t="shared" si="15"/>
        <v>0</v>
      </c>
      <c r="H1006" s="2">
        <v>0</v>
      </c>
    </row>
    <row r="1007" spans="2:8">
      <c r="B1007" t="s">
        <v>304</v>
      </c>
      <c r="C1007" t="s">
        <v>650</v>
      </c>
      <c r="D1007" s="11" t="s">
        <v>480</v>
      </c>
      <c r="E1007" s="1">
        <v>0</v>
      </c>
      <c r="G1007" s="2">
        <f t="shared" si="15"/>
        <v>0</v>
      </c>
      <c r="H1007" s="2">
        <v>0</v>
      </c>
    </row>
    <row r="1008" spans="2:8">
      <c r="B1008" t="s">
        <v>304</v>
      </c>
      <c r="C1008" t="s">
        <v>650</v>
      </c>
      <c r="D1008" s="13" t="s">
        <v>481</v>
      </c>
      <c r="E1008" s="1">
        <v>0</v>
      </c>
      <c r="G1008" s="2">
        <f t="shared" si="15"/>
        <v>0</v>
      </c>
      <c r="H1008" s="2">
        <v>0</v>
      </c>
    </row>
    <row r="1009" spans="2:8">
      <c r="B1009" t="s">
        <v>304</v>
      </c>
      <c r="C1009" t="s">
        <v>650</v>
      </c>
      <c r="D1009" s="12" t="s">
        <v>1033</v>
      </c>
      <c r="E1009" s="1">
        <v>0</v>
      </c>
      <c r="G1009" s="2">
        <f t="shared" si="15"/>
        <v>0</v>
      </c>
      <c r="H1009" s="2">
        <v>0</v>
      </c>
    </row>
    <row r="1010" spans="2:8">
      <c r="B1010" t="s">
        <v>206</v>
      </c>
      <c r="C1010" t="s">
        <v>651</v>
      </c>
      <c r="D1010" s="5" t="s">
        <v>474</v>
      </c>
      <c r="E1010" s="1">
        <v>0</v>
      </c>
      <c r="G1010" s="2">
        <f t="shared" si="15"/>
        <v>0</v>
      </c>
      <c r="H1010" s="2">
        <v>0</v>
      </c>
    </row>
    <row r="1011" spans="2:8">
      <c r="B1011" t="s">
        <v>206</v>
      </c>
      <c r="C1011" t="s">
        <v>651</v>
      </c>
      <c r="D1011" s="6" t="s">
        <v>475</v>
      </c>
      <c r="E1011" s="1">
        <v>0</v>
      </c>
      <c r="G1011" s="2">
        <f t="shared" si="15"/>
        <v>0</v>
      </c>
      <c r="H1011" s="2">
        <v>0</v>
      </c>
    </row>
    <row r="1012" spans="2:8">
      <c r="B1012" t="s">
        <v>206</v>
      </c>
      <c r="C1012" t="s">
        <v>651</v>
      </c>
      <c r="D1012" s="7" t="s">
        <v>476</v>
      </c>
      <c r="E1012" s="1">
        <v>0</v>
      </c>
      <c r="G1012" s="2">
        <f t="shared" si="15"/>
        <v>0</v>
      </c>
      <c r="H1012" s="2">
        <v>0</v>
      </c>
    </row>
    <row r="1013" spans="2:8">
      <c r="B1013" t="s">
        <v>206</v>
      </c>
      <c r="C1013" t="s">
        <v>651</v>
      </c>
      <c r="D1013" s="8" t="s">
        <v>477</v>
      </c>
      <c r="E1013" s="1">
        <v>0</v>
      </c>
      <c r="G1013" s="2">
        <f t="shared" si="15"/>
        <v>0</v>
      </c>
      <c r="H1013" s="2">
        <v>0</v>
      </c>
    </row>
    <row r="1014" spans="2:8">
      <c r="B1014" t="s">
        <v>206</v>
      </c>
      <c r="C1014" t="s">
        <v>651</v>
      </c>
      <c r="D1014" s="9" t="s">
        <v>478</v>
      </c>
      <c r="E1014" s="1">
        <v>0</v>
      </c>
      <c r="G1014" s="2">
        <f t="shared" si="15"/>
        <v>0</v>
      </c>
      <c r="H1014" s="2">
        <v>0</v>
      </c>
    </row>
    <row r="1015" spans="2:8">
      <c r="B1015" t="s">
        <v>206</v>
      </c>
      <c r="C1015" t="s">
        <v>651</v>
      </c>
      <c r="D1015" s="10" t="s">
        <v>479</v>
      </c>
      <c r="E1015" s="1">
        <v>0</v>
      </c>
      <c r="G1015" s="2">
        <f t="shared" si="15"/>
        <v>0</v>
      </c>
      <c r="H1015" s="2">
        <v>0</v>
      </c>
    </row>
    <row r="1016" spans="2:8">
      <c r="B1016" t="s">
        <v>206</v>
      </c>
      <c r="C1016" t="s">
        <v>651</v>
      </c>
      <c r="D1016" s="11" t="s">
        <v>480</v>
      </c>
      <c r="E1016" s="1">
        <v>0</v>
      </c>
      <c r="G1016" s="2">
        <f t="shared" si="15"/>
        <v>0</v>
      </c>
      <c r="H1016" s="2">
        <v>0</v>
      </c>
    </row>
    <row r="1017" spans="2:8">
      <c r="B1017" t="s">
        <v>206</v>
      </c>
      <c r="C1017" t="s">
        <v>651</v>
      </c>
      <c r="D1017" s="13" t="s">
        <v>481</v>
      </c>
      <c r="E1017" s="1">
        <v>0</v>
      </c>
      <c r="G1017" s="2">
        <f t="shared" si="15"/>
        <v>0</v>
      </c>
      <c r="H1017" s="2">
        <v>0</v>
      </c>
    </row>
    <row r="1018" spans="2:8">
      <c r="B1018" t="s">
        <v>206</v>
      </c>
      <c r="C1018" t="s">
        <v>651</v>
      </c>
      <c r="D1018" s="12" t="s">
        <v>1033</v>
      </c>
      <c r="E1018" s="1">
        <v>0</v>
      </c>
      <c r="G1018" s="2">
        <f t="shared" si="15"/>
        <v>0</v>
      </c>
      <c r="H1018" s="2">
        <v>0</v>
      </c>
    </row>
    <row r="1019" spans="2:8">
      <c r="B1019" t="s">
        <v>334</v>
      </c>
      <c r="C1019" t="s">
        <v>652</v>
      </c>
      <c r="D1019" s="5" t="s">
        <v>474</v>
      </c>
      <c r="E1019" s="1">
        <v>0</v>
      </c>
      <c r="G1019" s="2">
        <f t="shared" si="15"/>
        <v>0</v>
      </c>
      <c r="H1019" s="2">
        <v>0</v>
      </c>
    </row>
    <row r="1020" spans="2:8">
      <c r="B1020" t="s">
        <v>334</v>
      </c>
      <c r="C1020" t="s">
        <v>652</v>
      </c>
      <c r="D1020" s="6" t="s">
        <v>475</v>
      </c>
      <c r="E1020" s="1">
        <v>0</v>
      </c>
      <c r="G1020" s="2">
        <f t="shared" si="15"/>
        <v>0</v>
      </c>
      <c r="H1020" s="2">
        <v>0</v>
      </c>
    </row>
    <row r="1021" spans="2:8">
      <c r="B1021" t="s">
        <v>334</v>
      </c>
      <c r="C1021" t="s">
        <v>652</v>
      </c>
      <c r="D1021" s="7" t="s">
        <v>476</v>
      </c>
      <c r="E1021" s="1">
        <v>0</v>
      </c>
      <c r="G1021" s="2">
        <f t="shared" si="15"/>
        <v>0</v>
      </c>
      <c r="H1021" s="2">
        <v>0</v>
      </c>
    </row>
    <row r="1022" spans="2:8">
      <c r="B1022" t="s">
        <v>334</v>
      </c>
      <c r="C1022" t="s">
        <v>652</v>
      </c>
      <c r="D1022" s="8" t="s">
        <v>477</v>
      </c>
      <c r="E1022" s="1">
        <v>0</v>
      </c>
      <c r="G1022" s="2">
        <f t="shared" si="15"/>
        <v>0</v>
      </c>
      <c r="H1022" s="2">
        <v>0</v>
      </c>
    </row>
    <row r="1023" spans="2:8">
      <c r="B1023" t="s">
        <v>334</v>
      </c>
      <c r="C1023" t="s">
        <v>652</v>
      </c>
      <c r="D1023" s="9" t="s">
        <v>478</v>
      </c>
      <c r="E1023" s="1">
        <v>0</v>
      </c>
      <c r="G1023" s="2">
        <f t="shared" si="15"/>
        <v>0</v>
      </c>
      <c r="H1023" s="2">
        <v>0</v>
      </c>
    </row>
    <row r="1024" spans="2:8">
      <c r="B1024" t="s">
        <v>334</v>
      </c>
      <c r="C1024" t="s">
        <v>652</v>
      </c>
      <c r="D1024" s="10" t="s">
        <v>479</v>
      </c>
      <c r="E1024" s="1">
        <v>0</v>
      </c>
      <c r="G1024" s="2">
        <f t="shared" si="15"/>
        <v>0</v>
      </c>
      <c r="H1024" s="2">
        <v>0</v>
      </c>
    </row>
    <row r="1025" spans="2:8">
      <c r="B1025" t="s">
        <v>334</v>
      </c>
      <c r="C1025" t="s">
        <v>652</v>
      </c>
      <c r="D1025" s="11" t="s">
        <v>480</v>
      </c>
      <c r="E1025" s="1">
        <v>0</v>
      </c>
      <c r="G1025" s="2">
        <f t="shared" si="15"/>
        <v>0</v>
      </c>
      <c r="H1025" s="2">
        <v>0</v>
      </c>
    </row>
    <row r="1026" spans="2:8">
      <c r="B1026" t="s">
        <v>334</v>
      </c>
      <c r="C1026" t="s">
        <v>652</v>
      </c>
      <c r="D1026" s="13" t="s">
        <v>481</v>
      </c>
      <c r="E1026" s="1">
        <v>0</v>
      </c>
      <c r="G1026" s="2">
        <f t="shared" ref="G1026:G1089" si="16">E1026*F1026</f>
        <v>0</v>
      </c>
      <c r="H1026" s="2">
        <v>0</v>
      </c>
    </row>
    <row r="1027" spans="2:8">
      <c r="B1027" t="s">
        <v>334</v>
      </c>
      <c r="C1027" t="s">
        <v>652</v>
      </c>
      <c r="D1027" s="12" t="s">
        <v>1033</v>
      </c>
      <c r="E1027" s="1">
        <v>0</v>
      </c>
      <c r="G1027" s="2">
        <f t="shared" si="16"/>
        <v>0</v>
      </c>
      <c r="H1027" s="2">
        <v>0</v>
      </c>
    </row>
    <row r="1028" spans="2:8">
      <c r="B1028" t="s">
        <v>207</v>
      </c>
      <c r="C1028" t="s">
        <v>653</v>
      </c>
      <c r="D1028" s="5" t="s">
        <v>474</v>
      </c>
      <c r="E1028" s="1">
        <v>0</v>
      </c>
      <c r="G1028" s="2">
        <f t="shared" si="16"/>
        <v>0</v>
      </c>
      <c r="H1028" s="2">
        <v>0</v>
      </c>
    </row>
    <row r="1029" spans="2:8">
      <c r="B1029" t="s">
        <v>207</v>
      </c>
      <c r="C1029" t="s">
        <v>653</v>
      </c>
      <c r="D1029" s="6" t="s">
        <v>475</v>
      </c>
      <c r="E1029" s="1">
        <v>0</v>
      </c>
      <c r="G1029" s="2">
        <f t="shared" si="16"/>
        <v>0</v>
      </c>
      <c r="H1029" s="2">
        <v>0</v>
      </c>
    </row>
    <row r="1030" spans="2:8">
      <c r="B1030" t="s">
        <v>207</v>
      </c>
      <c r="C1030" t="s">
        <v>653</v>
      </c>
      <c r="D1030" s="7" t="s">
        <v>476</v>
      </c>
      <c r="E1030" s="1">
        <v>0</v>
      </c>
      <c r="G1030" s="2">
        <f t="shared" si="16"/>
        <v>0</v>
      </c>
      <c r="H1030" s="2">
        <v>0</v>
      </c>
    </row>
    <row r="1031" spans="2:8">
      <c r="B1031" t="s">
        <v>207</v>
      </c>
      <c r="C1031" t="s">
        <v>653</v>
      </c>
      <c r="D1031" s="8" t="s">
        <v>477</v>
      </c>
      <c r="E1031" s="1">
        <v>0</v>
      </c>
      <c r="G1031" s="2">
        <f t="shared" si="16"/>
        <v>0</v>
      </c>
      <c r="H1031" s="2">
        <v>0</v>
      </c>
    </row>
    <row r="1032" spans="2:8">
      <c r="B1032" t="s">
        <v>207</v>
      </c>
      <c r="C1032" t="s">
        <v>653</v>
      </c>
      <c r="D1032" s="9" t="s">
        <v>478</v>
      </c>
      <c r="E1032" s="1">
        <v>0</v>
      </c>
      <c r="G1032" s="2">
        <f t="shared" si="16"/>
        <v>0</v>
      </c>
      <c r="H1032" s="2">
        <v>0</v>
      </c>
    </row>
    <row r="1033" spans="2:8">
      <c r="B1033" t="s">
        <v>207</v>
      </c>
      <c r="C1033" t="s">
        <v>653</v>
      </c>
      <c r="D1033" s="10" t="s">
        <v>479</v>
      </c>
      <c r="E1033" s="1">
        <v>0</v>
      </c>
      <c r="G1033" s="2">
        <f t="shared" si="16"/>
        <v>0</v>
      </c>
      <c r="H1033" s="2">
        <v>0</v>
      </c>
    </row>
    <row r="1034" spans="2:8">
      <c r="B1034" t="s">
        <v>207</v>
      </c>
      <c r="C1034" t="s">
        <v>653</v>
      </c>
      <c r="D1034" s="11" t="s">
        <v>480</v>
      </c>
      <c r="E1034" s="1">
        <v>0</v>
      </c>
      <c r="G1034" s="2">
        <f t="shared" si="16"/>
        <v>0</v>
      </c>
      <c r="H1034" s="2">
        <v>0</v>
      </c>
    </row>
    <row r="1035" spans="2:8">
      <c r="B1035" t="s">
        <v>207</v>
      </c>
      <c r="C1035" t="s">
        <v>653</v>
      </c>
      <c r="D1035" s="13" t="s">
        <v>481</v>
      </c>
      <c r="E1035" s="1">
        <v>0</v>
      </c>
      <c r="G1035" s="2">
        <f t="shared" si="16"/>
        <v>0</v>
      </c>
      <c r="H1035" s="2">
        <v>0</v>
      </c>
    </row>
    <row r="1036" spans="2:8">
      <c r="B1036" t="s">
        <v>207</v>
      </c>
      <c r="C1036" t="s">
        <v>653</v>
      </c>
      <c r="D1036" s="12" t="s">
        <v>1033</v>
      </c>
      <c r="E1036" s="1">
        <v>0</v>
      </c>
      <c r="G1036" s="2">
        <f t="shared" si="16"/>
        <v>0</v>
      </c>
      <c r="H1036" s="2">
        <v>0</v>
      </c>
    </row>
    <row r="1037" spans="2:8">
      <c r="B1037" t="s">
        <v>335</v>
      </c>
      <c r="C1037" t="s">
        <v>654</v>
      </c>
      <c r="D1037" s="5" t="s">
        <v>474</v>
      </c>
      <c r="E1037" s="1">
        <v>0</v>
      </c>
      <c r="G1037" s="2">
        <f t="shared" si="16"/>
        <v>0</v>
      </c>
      <c r="H1037" s="2">
        <v>0</v>
      </c>
    </row>
    <row r="1038" spans="2:8">
      <c r="B1038" t="s">
        <v>335</v>
      </c>
      <c r="C1038" t="s">
        <v>654</v>
      </c>
      <c r="D1038" s="6" t="s">
        <v>475</v>
      </c>
      <c r="E1038" s="1">
        <v>0</v>
      </c>
      <c r="G1038" s="2">
        <f t="shared" si="16"/>
        <v>0</v>
      </c>
      <c r="H1038" s="2">
        <v>0</v>
      </c>
    </row>
    <row r="1039" spans="2:8">
      <c r="B1039" t="s">
        <v>335</v>
      </c>
      <c r="C1039" t="s">
        <v>654</v>
      </c>
      <c r="D1039" s="7" t="s">
        <v>476</v>
      </c>
      <c r="E1039" s="1">
        <v>0</v>
      </c>
      <c r="G1039" s="2">
        <f t="shared" si="16"/>
        <v>0</v>
      </c>
      <c r="H1039" s="2">
        <v>0</v>
      </c>
    </row>
    <row r="1040" spans="2:8">
      <c r="B1040" t="s">
        <v>335</v>
      </c>
      <c r="C1040" t="s">
        <v>654</v>
      </c>
      <c r="D1040" s="8" t="s">
        <v>477</v>
      </c>
      <c r="E1040" s="1">
        <v>0</v>
      </c>
      <c r="G1040" s="2">
        <f t="shared" si="16"/>
        <v>0</v>
      </c>
      <c r="H1040" s="2">
        <v>0</v>
      </c>
    </row>
    <row r="1041" spans="2:8">
      <c r="B1041" t="s">
        <v>335</v>
      </c>
      <c r="C1041" t="s">
        <v>654</v>
      </c>
      <c r="D1041" s="9" t="s">
        <v>478</v>
      </c>
      <c r="E1041" s="1">
        <v>0</v>
      </c>
      <c r="G1041" s="2">
        <f t="shared" si="16"/>
        <v>0</v>
      </c>
      <c r="H1041" s="2">
        <v>0</v>
      </c>
    </row>
    <row r="1042" spans="2:8">
      <c r="B1042" t="s">
        <v>335</v>
      </c>
      <c r="C1042" t="s">
        <v>654</v>
      </c>
      <c r="D1042" s="10" t="s">
        <v>479</v>
      </c>
      <c r="E1042" s="1">
        <v>0</v>
      </c>
      <c r="G1042" s="2">
        <f t="shared" si="16"/>
        <v>0</v>
      </c>
      <c r="H1042" s="2">
        <v>0</v>
      </c>
    </row>
    <row r="1043" spans="2:8">
      <c r="B1043" t="s">
        <v>335</v>
      </c>
      <c r="C1043" t="s">
        <v>654</v>
      </c>
      <c r="D1043" s="11" t="s">
        <v>480</v>
      </c>
      <c r="E1043" s="1">
        <v>0</v>
      </c>
      <c r="G1043" s="2">
        <f t="shared" si="16"/>
        <v>0</v>
      </c>
      <c r="H1043" s="2">
        <v>0</v>
      </c>
    </row>
    <row r="1044" spans="2:8">
      <c r="B1044" t="s">
        <v>335</v>
      </c>
      <c r="C1044" t="s">
        <v>654</v>
      </c>
      <c r="D1044" s="13" t="s">
        <v>481</v>
      </c>
      <c r="E1044" s="1">
        <v>0</v>
      </c>
      <c r="G1044" s="2">
        <f t="shared" si="16"/>
        <v>0</v>
      </c>
      <c r="H1044" s="2">
        <v>0</v>
      </c>
    </row>
    <row r="1045" spans="2:8">
      <c r="B1045" t="s">
        <v>335</v>
      </c>
      <c r="C1045" t="s">
        <v>654</v>
      </c>
      <c r="D1045" s="12" t="s">
        <v>1033</v>
      </c>
      <c r="E1045" s="1">
        <v>0</v>
      </c>
      <c r="G1045" s="2">
        <f t="shared" si="16"/>
        <v>0</v>
      </c>
      <c r="H1045" s="2">
        <v>0</v>
      </c>
    </row>
    <row r="1046" spans="2:8">
      <c r="B1046" t="s">
        <v>319</v>
      </c>
      <c r="C1046" t="s">
        <v>655</v>
      </c>
      <c r="D1046" s="5" t="s">
        <v>474</v>
      </c>
      <c r="E1046" s="1">
        <v>0</v>
      </c>
      <c r="G1046" s="2">
        <f t="shared" si="16"/>
        <v>0</v>
      </c>
      <c r="H1046" s="2">
        <v>0</v>
      </c>
    </row>
    <row r="1047" spans="2:8">
      <c r="B1047" t="s">
        <v>319</v>
      </c>
      <c r="C1047" t="s">
        <v>655</v>
      </c>
      <c r="D1047" s="6" t="s">
        <v>475</v>
      </c>
      <c r="E1047" s="1">
        <v>0</v>
      </c>
      <c r="G1047" s="2">
        <f t="shared" si="16"/>
        <v>0</v>
      </c>
      <c r="H1047" s="2">
        <v>0</v>
      </c>
    </row>
    <row r="1048" spans="2:8">
      <c r="B1048" t="s">
        <v>319</v>
      </c>
      <c r="C1048" t="s">
        <v>655</v>
      </c>
      <c r="D1048" s="7" t="s">
        <v>476</v>
      </c>
      <c r="E1048" s="1">
        <v>0</v>
      </c>
      <c r="G1048" s="2">
        <f t="shared" si="16"/>
        <v>0</v>
      </c>
      <c r="H1048" s="2">
        <v>0</v>
      </c>
    </row>
    <row r="1049" spans="2:8">
      <c r="B1049" t="s">
        <v>319</v>
      </c>
      <c r="C1049" t="s">
        <v>655</v>
      </c>
      <c r="D1049" s="8" t="s">
        <v>477</v>
      </c>
      <c r="E1049" s="1">
        <v>0</v>
      </c>
      <c r="G1049" s="2">
        <f t="shared" si="16"/>
        <v>0</v>
      </c>
      <c r="H1049" s="2">
        <v>0</v>
      </c>
    </row>
    <row r="1050" spans="2:8">
      <c r="B1050" t="s">
        <v>319</v>
      </c>
      <c r="C1050" t="s">
        <v>655</v>
      </c>
      <c r="D1050" s="9" t="s">
        <v>478</v>
      </c>
      <c r="E1050" s="1">
        <v>0</v>
      </c>
      <c r="G1050" s="2">
        <f t="shared" si="16"/>
        <v>0</v>
      </c>
      <c r="H1050" s="2">
        <v>0</v>
      </c>
    </row>
    <row r="1051" spans="2:8">
      <c r="B1051" t="s">
        <v>319</v>
      </c>
      <c r="C1051" t="s">
        <v>655</v>
      </c>
      <c r="D1051" s="10" t="s">
        <v>479</v>
      </c>
      <c r="E1051" s="1">
        <v>0</v>
      </c>
      <c r="G1051" s="2">
        <f t="shared" si="16"/>
        <v>0</v>
      </c>
      <c r="H1051" s="2">
        <v>0</v>
      </c>
    </row>
    <row r="1052" spans="2:8">
      <c r="B1052" t="s">
        <v>319</v>
      </c>
      <c r="C1052" t="s">
        <v>655</v>
      </c>
      <c r="D1052" s="11" t="s">
        <v>480</v>
      </c>
      <c r="E1052" s="1">
        <v>0</v>
      </c>
      <c r="G1052" s="2">
        <f t="shared" si="16"/>
        <v>0</v>
      </c>
      <c r="H1052" s="2">
        <v>0</v>
      </c>
    </row>
    <row r="1053" spans="2:8">
      <c r="B1053" t="s">
        <v>319</v>
      </c>
      <c r="C1053" t="s">
        <v>655</v>
      </c>
      <c r="D1053" s="13" t="s">
        <v>481</v>
      </c>
      <c r="E1053" s="1">
        <v>0</v>
      </c>
      <c r="G1053" s="2">
        <f t="shared" si="16"/>
        <v>0</v>
      </c>
      <c r="H1053" s="2">
        <v>0</v>
      </c>
    </row>
    <row r="1054" spans="2:8">
      <c r="B1054" t="s">
        <v>319</v>
      </c>
      <c r="C1054" t="s">
        <v>655</v>
      </c>
      <c r="D1054" s="12" t="s">
        <v>1033</v>
      </c>
      <c r="E1054" s="1">
        <v>0</v>
      </c>
      <c r="G1054" s="2">
        <f t="shared" si="16"/>
        <v>0</v>
      </c>
      <c r="H1054" s="2">
        <v>0</v>
      </c>
    </row>
    <row r="1055" spans="2:8">
      <c r="B1055" t="s">
        <v>194</v>
      </c>
      <c r="C1055" t="s">
        <v>656</v>
      </c>
      <c r="D1055" s="5" t="s">
        <v>474</v>
      </c>
      <c r="E1055" s="1">
        <v>0</v>
      </c>
      <c r="G1055" s="2">
        <f t="shared" si="16"/>
        <v>0</v>
      </c>
      <c r="H1055" s="2">
        <v>0</v>
      </c>
    </row>
    <row r="1056" spans="2:8">
      <c r="B1056" t="s">
        <v>194</v>
      </c>
      <c r="C1056" t="s">
        <v>656</v>
      </c>
      <c r="D1056" s="6" t="s">
        <v>475</v>
      </c>
      <c r="E1056" s="1">
        <v>0</v>
      </c>
      <c r="G1056" s="2">
        <f t="shared" si="16"/>
        <v>0</v>
      </c>
      <c r="H1056" s="2">
        <v>0</v>
      </c>
    </row>
    <row r="1057" spans="2:8">
      <c r="B1057" t="s">
        <v>194</v>
      </c>
      <c r="C1057" t="s">
        <v>656</v>
      </c>
      <c r="D1057" s="7" t="s">
        <v>476</v>
      </c>
      <c r="E1057" s="1">
        <v>0</v>
      </c>
      <c r="G1057" s="2">
        <f t="shared" si="16"/>
        <v>0</v>
      </c>
      <c r="H1057" s="2">
        <v>0</v>
      </c>
    </row>
    <row r="1058" spans="2:8">
      <c r="B1058" t="s">
        <v>194</v>
      </c>
      <c r="C1058" t="s">
        <v>656</v>
      </c>
      <c r="D1058" s="8" t="s">
        <v>477</v>
      </c>
      <c r="E1058" s="1">
        <v>0</v>
      </c>
      <c r="G1058" s="2">
        <f t="shared" si="16"/>
        <v>0</v>
      </c>
      <c r="H1058" s="2">
        <v>0</v>
      </c>
    </row>
    <row r="1059" spans="2:8">
      <c r="B1059" t="s">
        <v>194</v>
      </c>
      <c r="C1059" t="s">
        <v>656</v>
      </c>
      <c r="D1059" s="9" t="s">
        <v>478</v>
      </c>
      <c r="E1059" s="1">
        <v>0</v>
      </c>
      <c r="G1059" s="2">
        <f t="shared" si="16"/>
        <v>0</v>
      </c>
      <c r="H1059" s="2">
        <v>0</v>
      </c>
    </row>
    <row r="1060" spans="2:8">
      <c r="B1060" t="s">
        <v>194</v>
      </c>
      <c r="C1060" t="s">
        <v>656</v>
      </c>
      <c r="D1060" s="10" t="s">
        <v>479</v>
      </c>
      <c r="E1060" s="1">
        <v>0</v>
      </c>
      <c r="G1060" s="2">
        <f t="shared" si="16"/>
        <v>0</v>
      </c>
      <c r="H1060" s="2">
        <v>0</v>
      </c>
    </row>
    <row r="1061" spans="2:8">
      <c r="B1061" t="s">
        <v>194</v>
      </c>
      <c r="C1061" t="s">
        <v>656</v>
      </c>
      <c r="D1061" s="11" t="s">
        <v>480</v>
      </c>
      <c r="E1061" s="1">
        <v>0</v>
      </c>
      <c r="G1061" s="2">
        <f t="shared" si="16"/>
        <v>0</v>
      </c>
      <c r="H1061" s="2">
        <v>0</v>
      </c>
    </row>
    <row r="1062" spans="2:8">
      <c r="B1062" t="s">
        <v>194</v>
      </c>
      <c r="C1062" t="s">
        <v>656</v>
      </c>
      <c r="D1062" s="13" t="s">
        <v>481</v>
      </c>
      <c r="E1062" s="1">
        <v>0</v>
      </c>
      <c r="G1062" s="2">
        <f t="shared" si="16"/>
        <v>0</v>
      </c>
      <c r="H1062" s="2">
        <v>0</v>
      </c>
    </row>
    <row r="1063" spans="2:8">
      <c r="B1063" t="s">
        <v>194</v>
      </c>
      <c r="C1063" t="s">
        <v>656</v>
      </c>
      <c r="D1063" s="12" t="s">
        <v>1033</v>
      </c>
      <c r="E1063" s="1">
        <v>0</v>
      </c>
      <c r="G1063" s="2">
        <f t="shared" si="16"/>
        <v>0</v>
      </c>
      <c r="H1063" s="2">
        <v>0</v>
      </c>
    </row>
    <row r="1064" spans="2:8">
      <c r="B1064" t="s">
        <v>305</v>
      </c>
      <c r="C1064" t="s">
        <v>657</v>
      </c>
      <c r="D1064" s="5" t="s">
        <v>474</v>
      </c>
      <c r="E1064" s="1">
        <v>0</v>
      </c>
      <c r="G1064" s="2">
        <f t="shared" si="16"/>
        <v>0</v>
      </c>
      <c r="H1064" s="2">
        <v>0</v>
      </c>
    </row>
    <row r="1065" spans="2:8">
      <c r="B1065" t="s">
        <v>305</v>
      </c>
      <c r="C1065" t="s">
        <v>657</v>
      </c>
      <c r="D1065" s="6" t="s">
        <v>475</v>
      </c>
      <c r="E1065" s="1">
        <v>0</v>
      </c>
      <c r="G1065" s="2">
        <f t="shared" si="16"/>
        <v>0</v>
      </c>
      <c r="H1065" s="2">
        <v>0</v>
      </c>
    </row>
    <row r="1066" spans="2:8">
      <c r="B1066" t="s">
        <v>305</v>
      </c>
      <c r="C1066" t="s">
        <v>657</v>
      </c>
      <c r="D1066" s="7" t="s">
        <v>476</v>
      </c>
      <c r="E1066" s="1">
        <v>0</v>
      </c>
      <c r="G1066" s="2">
        <f t="shared" si="16"/>
        <v>0</v>
      </c>
      <c r="H1066" s="2">
        <v>0</v>
      </c>
    </row>
    <row r="1067" spans="2:8">
      <c r="B1067" t="s">
        <v>305</v>
      </c>
      <c r="C1067" t="s">
        <v>657</v>
      </c>
      <c r="D1067" s="8" t="s">
        <v>477</v>
      </c>
      <c r="E1067" s="1">
        <v>0</v>
      </c>
      <c r="G1067" s="2">
        <f t="shared" si="16"/>
        <v>0</v>
      </c>
      <c r="H1067" s="2">
        <v>0</v>
      </c>
    </row>
    <row r="1068" spans="2:8">
      <c r="B1068" t="s">
        <v>305</v>
      </c>
      <c r="C1068" t="s">
        <v>657</v>
      </c>
      <c r="D1068" s="9" t="s">
        <v>478</v>
      </c>
      <c r="E1068" s="1">
        <v>0</v>
      </c>
      <c r="G1068" s="2">
        <f t="shared" si="16"/>
        <v>0</v>
      </c>
      <c r="H1068" s="2">
        <v>0</v>
      </c>
    </row>
    <row r="1069" spans="2:8">
      <c r="B1069" t="s">
        <v>305</v>
      </c>
      <c r="C1069" t="s">
        <v>657</v>
      </c>
      <c r="D1069" s="10" t="s">
        <v>479</v>
      </c>
      <c r="E1069" s="1">
        <v>0</v>
      </c>
      <c r="G1069" s="2">
        <f t="shared" si="16"/>
        <v>0</v>
      </c>
      <c r="H1069" s="2">
        <v>0</v>
      </c>
    </row>
    <row r="1070" spans="2:8">
      <c r="B1070" t="s">
        <v>305</v>
      </c>
      <c r="C1070" t="s">
        <v>657</v>
      </c>
      <c r="D1070" s="11" t="s">
        <v>480</v>
      </c>
      <c r="E1070" s="1">
        <v>0</v>
      </c>
      <c r="G1070" s="2">
        <f t="shared" si="16"/>
        <v>0</v>
      </c>
      <c r="H1070" s="2">
        <v>0</v>
      </c>
    </row>
    <row r="1071" spans="2:8">
      <c r="B1071" t="s">
        <v>305</v>
      </c>
      <c r="C1071" t="s">
        <v>657</v>
      </c>
      <c r="D1071" s="13" t="s">
        <v>481</v>
      </c>
      <c r="E1071" s="1">
        <v>0</v>
      </c>
      <c r="G1071" s="2">
        <f t="shared" si="16"/>
        <v>0</v>
      </c>
      <c r="H1071" s="2">
        <v>0</v>
      </c>
    </row>
    <row r="1072" spans="2:8">
      <c r="B1072" t="s">
        <v>305</v>
      </c>
      <c r="C1072" t="s">
        <v>657</v>
      </c>
      <c r="D1072" s="12" t="s">
        <v>1033</v>
      </c>
      <c r="E1072" s="1">
        <v>0</v>
      </c>
      <c r="G1072" s="2">
        <f t="shared" si="16"/>
        <v>0</v>
      </c>
      <c r="H1072" s="2">
        <v>0</v>
      </c>
    </row>
    <row r="1073" spans="2:8">
      <c r="B1073" t="s">
        <v>306</v>
      </c>
      <c r="C1073" t="s">
        <v>658</v>
      </c>
      <c r="D1073" s="5" t="s">
        <v>474</v>
      </c>
      <c r="E1073" s="1">
        <v>0</v>
      </c>
      <c r="G1073" s="2">
        <f t="shared" si="16"/>
        <v>0</v>
      </c>
      <c r="H1073" s="2">
        <v>0</v>
      </c>
    </row>
    <row r="1074" spans="2:8">
      <c r="B1074" t="s">
        <v>306</v>
      </c>
      <c r="C1074" t="s">
        <v>658</v>
      </c>
      <c r="D1074" s="6" t="s">
        <v>475</v>
      </c>
      <c r="E1074" s="1">
        <v>0</v>
      </c>
      <c r="G1074" s="2">
        <f t="shared" si="16"/>
        <v>0</v>
      </c>
      <c r="H1074" s="2">
        <v>0</v>
      </c>
    </row>
    <row r="1075" spans="2:8">
      <c r="B1075" t="s">
        <v>306</v>
      </c>
      <c r="C1075" t="s">
        <v>658</v>
      </c>
      <c r="D1075" s="7" t="s">
        <v>476</v>
      </c>
      <c r="E1075" s="1">
        <v>0</v>
      </c>
      <c r="G1075" s="2">
        <f t="shared" si="16"/>
        <v>0</v>
      </c>
      <c r="H1075" s="2">
        <v>0</v>
      </c>
    </row>
    <row r="1076" spans="2:8">
      <c r="B1076" t="s">
        <v>306</v>
      </c>
      <c r="C1076" t="s">
        <v>658</v>
      </c>
      <c r="D1076" s="8" t="s">
        <v>477</v>
      </c>
      <c r="E1076" s="1">
        <v>0</v>
      </c>
      <c r="G1076" s="2">
        <f t="shared" si="16"/>
        <v>0</v>
      </c>
      <c r="H1076" s="2">
        <v>0</v>
      </c>
    </row>
    <row r="1077" spans="2:8">
      <c r="B1077" t="s">
        <v>306</v>
      </c>
      <c r="C1077" t="s">
        <v>658</v>
      </c>
      <c r="D1077" s="9" t="s">
        <v>478</v>
      </c>
      <c r="E1077" s="1">
        <v>0</v>
      </c>
      <c r="G1077" s="2">
        <f t="shared" si="16"/>
        <v>0</v>
      </c>
      <c r="H1077" s="2">
        <v>0</v>
      </c>
    </row>
    <row r="1078" spans="2:8">
      <c r="B1078" t="s">
        <v>306</v>
      </c>
      <c r="C1078" t="s">
        <v>658</v>
      </c>
      <c r="D1078" s="10" t="s">
        <v>479</v>
      </c>
      <c r="E1078" s="1">
        <v>0</v>
      </c>
      <c r="G1078" s="2">
        <f t="shared" si="16"/>
        <v>0</v>
      </c>
      <c r="H1078" s="2">
        <v>0</v>
      </c>
    </row>
    <row r="1079" spans="2:8">
      <c r="B1079" t="s">
        <v>306</v>
      </c>
      <c r="C1079" t="s">
        <v>658</v>
      </c>
      <c r="D1079" s="11" t="s">
        <v>480</v>
      </c>
      <c r="E1079" s="1">
        <v>0</v>
      </c>
      <c r="G1079" s="2">
        <f t="shared" si="16"/>
        <v>0</v>
      </c>
      <c r="H1079" s="2">
        <v>0</v>
      </c>
    </row>
    <row r="1080" spans="2:8">
      <c r="B1080" t="s">
        <v>306</v>
      </c>
      <c r="C1080" t="s">
        <v>658</v>
      </c>
      <c r="D1080" s="13" t="s">
        <v>481</v>
      </c>
      <c r="E1080" s="1">
        <v>0</v>
      </c>
      <c r="G1080" s="2">
        <f t="shared" si="16"/>
        <v>0</v>
      </c>
      <c r="H1080" s="2">
        <v>0</v>
      </c>
    </row>
    <row r="1081" spans="2:8">
      <c r="B1081" t="s">
        <v>306</v>
      </c>
      <c r="C1081" t="s">
        <v>658</v>
      </c>
      <c r="D1081" s="12" t="s">
        <v>1033</v>
      </c>
      <c r="E1081" s="1">
        <v>0</v>
      </c>
      <c r="G1081" s="2">
        <f t="shared" si="16"/>
        <v>0</v>
      </c>
      <c r="H1081" s="2">
        <v>0</v>
      </c>
    </row>
    <row r="1082" spans="2:8">
      <c r="B1082" t="s">
        <v>307</v>
      </c>
      <c r="C1082" t="s">
        <v>659</v>
      </c>
      <c r="D1082" s="5" t="s">
        <v>474</v>
      </c>
      <c r="E1082" s="1">
        <v>0</v>
      </c>
      <c r="G1082" s="2">
        <f t="shared" si="16"/>
        <v>0</v>
      </c>
      <c r="H1082" s="2">
        <v>0</v>
      </c>
    </row>
    <row r="1083" spans="2:8">
      <c r="B1083" t="s">
        <v>307</v>
      </c>
      <c r="C1083" t="s">
        <v>659</v>
      </c>
      <c r="D1083" s="6" t="s">
        <v>475</v>
      </c>
      <c r="E1083" s="1">
        <v>0</v>
      </c>
      <c r="G1083" s="2">
        <f t="shared" si="16"/>
        <v>0</v>
      </c>
      <c r="H1083" s="2">
        <v>0</v>
      </c>
    </row>
    <row r="1084" spans="2:8">
      <c r="B1084" t="s">
        <v>307</v>
      </c>
      <c r="C1084" t="s">
        <v>659</v>
      </c>
      <c r="D1084" s="7" t="s">
        <v>476</v>
      </c>
      <c r="E1084" s="1">
        <v>0</v>
      </c>
      <c r="G1084" s="2">
        <f t="shared" si="16"/>
        <v>0</v>
      </c>
      <c r="H1084" s="2">
        <v>0</v>
      </c>
    </row>
    <row r="1085" spans="2:8">
      <c r="B1085" t="s">
        <v>307</v>
      </c>
      <c r="C1085" t="s">
        <v>659</v>
      </c>
      <c r="D1085" s="8" t="s">
        <v>477</v>
      </c>
      <c r="E1085" s="1">
        <v>0</v>
      </c>
      <c r="G1085" s="2">
        <f t="shared" si="16"/>
        <v>0</v>
      </c>
      <c r="H1085" s="2">
        <v>0</v>
      </c>
    </row>
    <row r="1086" spans="2:8">
      <c r="B1086" t="s">
        <v>307</v>
      </c>
      <c r="C1086" t="s">
        <v>659</v>
      </c>
      <c r="D1086" s="9" t="s">
        <v>478</v>
      </c>
      <c r="E1086" s="1">
        <v>0</v>
      </c>
      <c r="G1086" s="2">
        <f t="shared" si="16"/>
        <v>0</v>
      </c>
      <c r="H1086" s="2">
        <v>0</v>
      </c>
    </row>
    <row r="1087" spans="2:8">
      <c r="B1087" t="s">
        <v>307</v>
      </c>
      <c r="C1087" t="s">
        <v>659</v>
      </c>
      <c r="D1087" s="10" t="s">
        <v>479</v>
      </c>
      <c r="E1087" s="1">
        <v>0</v>
      </c>
      <c r="G1087" s="2">
        <f t="shared" si="16"/>
        <v>0</v>
      </c>
      <c r="H1087" s="2">
        <v>0</v>
      </c>
    </row>
    <row r="1088" spans="2:8">
      <c r="B1088" t="s">
        <v>307</v>
      </c>
      <c r="C1088" t="s">
        <v>659</v>
      </c>
      <c r="D1088" s="11" t="s">
        <v>480</v>
      </c>
      <c r="E1088" s="1">
        <v>0</v>
      </c>
      <c r="G1088" s="2">
        <f t="shared" si="16"/>
        <v>0</v>
      </c>
      <c r="H1088" s="2">
        <v>0</v>
      </c>
    </row>
    <row r="1089" spans="2:8">
      <c r="B1089" t="s">
        <v>307</v>
      </c>
      <c r="C1089" t="s">
        <v>659</v>
      </c>
      <c r="D1089" s="13" t="s">
        <v>481</v>
      </c>
      <c r="E1089" s="1">
        <v>0</v>
      </c>
      <c r="G1089" s="2">
        <f t="shared" si="16"/>
        <v>0</v>
      </c>
      <c r="H1089" s="2">
        <v>0</v>
      </c>
    </row>
    <row r="1090" spans="2:8">
      <c r="B1090" t="s">
        <v>307</v>
      </c>
      <c r="C1090" t="s">
        <v>659</v>
      </c>
      <c r="D1090" s="12" t="s">
        <v>1033</v>
      </c>
      <c r="E1090" s="1">
        <v>0</v>
      </c>
      <c r="G1090" s="2">
        <f t="shared" ref="G1090:G1153" si="17">E1090*F1090</f>
        <v>0</v>
      </c>
      <c r="H1090" s="2">
        <v>0</v>
      </c>
    </row>
    <row r="1091" spans="2:8">
      <c r="B1091" t="s">
        <v>208</v>
      </c>
      <c r="C1091" t="s">
        <v>660</v>
      </c>
      <c r="D1091" s="5" t="s">
        <v>474</v>
      </c>
      <c r="E1091" s="1">
        <v>0</v>
      </c>
      <c r="G1091" s="2">
        <f t="shared" si="17"/>
        <v>0</v>
      </c>
      <c r="H1091" s="2">
        <v>0</v>
      </c>
    </row>
    <row r="1092" spans="2:8">
      <c r="B1092" t="s">
        <v>208</v>
      </c>
      <c r="C1092" t="s">
        <v>660</v>
      </c>
      <c r="D1092" s="6" t="s">
        <v>475</v>
      </c>
      <c r="E1092" s="1">
        <v>0</v>
      </c>
      <c r="G1092" s="2">
        <f t="shared" si="17"/>
        <v>0</v>
      </c>
      <c r="H1092" s="2">
        <v>0</v>
      </c>
    </row>
    <row r="1093" spans="2:8">
      <c r="B1093" t="s">
        <v>208</v>
      </c>
      <c r="C1093" t="s">
        <v>660</v>
      </c>
      <c r="D1093" s="7" t="s">
        <v>476</v>
      </c>
      <c r="E1093" s="1">
        <v>0</v>
      </c>
      <c r="G1093" s="2">
        <f t="shared" si="17"/>
        <v>0</v>
      </c>
      <c r="H1093" s="2">
        <v>0</v>
      </c>
    </row>
    <row r="1094" spans="2:8">
      <c r="B1094" t="s">
        <v>208</v>
      </c>
      <c r="C1094" t="s">
        <v>660</v>
      </c>
      <c r="D1094" s="8" t="s">
        <v>477</v>
      </c>
      <c r="E1094" s="1">
        <v>0</v>
      </c>
      <c r="G1094" s="2">
        <f t="shared" si="17"/>
        <v>0</v>
      </c>
      <c r="H1094" s="2">
        <v>0</v>
      </c>
    </row>
    <row r="1095" spans="2:8">
      <c r="B1095" t="s">
        <v>208</v>
      </c>
      <c r="C1095" t="s">
        <v>660</v>
      </c>
      <c r="D1095" s="9" t="s">
        <v>478</v>
      </c>
      <c r="E1095" s="1">
        <v>0</v>
      </c>
      <c r="G1095" s="2">
        <f t="shared" si="17"/>
        <v>0</v>
      </c>
      <c r="H1095" s="2">
        <v>0</v>
      </c>
    </row>
    <row r="1096" spans="2:8">
      <c r="B1096" t="s">
        <v>208</v>
      </c>
      <c r="C1096" t="s">
        <v>660</v>
      </c>
      <c r="D1096" s="10" t="s">
        <v>479</v>
      </c>
      <c r="E1096" s="1">
        <v>0</v>
      </c>
      <c r="G1096" s="2">
        <f t="shared" si="17"/>
        <v>0</v>
      </c>
      <c r="H1096" s="2">
        <v>0</v>
      </c>
    </row>
    <row r="1097" spans="2:8">
      <c r="B1097" t="s">
        <v>208</v>
      </c>
      <c r="C1097" t="s">
        <v>660</v>
      </c>
      <c r="D1097" s="11" t="s">
        <v>480</v>
      </c>
      <c r="E1097" s="1">
        <v>0</v>
      </c>
      <c r="G1097" s="2">
        <f t="shared" si="17"/>
        <v>0</v>
      </c>
      <c r="H1097" s="2">
        <v>0</v>
      </c>
    </row>
    <row r="1098" spans="2:8">
      <c r="B1098" t="s">
        <v>208</v>
      </c>
      <c r="C1098" t="s">
        <v>660</v>
      </c>
      <c r="D1098" s="13" t="s">
        <v>481</v>
      </c>
      <c r="E1098" s="1">
        <v>0</v>
      </c>
      <c r="G1098" s="2">
        <f t="shared" si="17"/>
        <v>0</v>
      </c>
      <c r="H1098" s="2">
        <v>0</v>
      </c>
    </row>
    <row r="1099" spans="2:8">
      <c r="B1099" t="s">
        <v>208</v>
      </c>
      <c r="C1099" t="s">
        <v>660</v>
      </c>
      <c r="D1099" s="12" t="s">
        <v>1033</v>
      </c>
      <c r="E1099" s="1">
        <v>0</v>
      </c>
      <c r="G1099" s="2">
        <f t="shared" si="17"/>
        <v>0</v>
      </c>
      <c r="H1099" s="2">
        <v>0</v>
      </c>
    </row>
    <row r="1100" spans="2:8">
      <c r="B1100" t="s">
        <v>320</v>
      </c>
      <c r="C1100" t="s">
        <v>661</v>
      </c>
      <c r="D1100" s="5" t="s">
        <v>474</v>
      </c>
      <c r="E1100" s="1">
        <v>0</v>
      </c>
      <c r="G1100" s="2">
        <f t="shared" si="17"/>
        <v>0</v>
      </c>
      <c r="H1100" s="2">
        <v>0</v>
      </c>
    </row>
    <row r="1101" spans="2:8">
      <c r="B1101" t="s">
        <v>320</v>
      </c>
      <c r="C1101" t="s">
        <v>661</v>
      </c>
      <c r="D1101" s="6" t="s">
        <v>475</v>
      </c>
      <c r="E1101" s="1">
        <v>0</v>
      </c>
      <c r="G1101" s="2">
        <f t="shared" si="17"/>
        <v>0</v>
      </c>
      <c r="H1101" s="2">
        <v>0</v>
      </c>
    </row>
    <row r="1102" spans="2:8">
      <c r="B1102" t="s">
        <v>320</v>
      </c>
      <c r="C1102" t="s">
        <v>661</v>
      </c>
      <c r="D1102" s="7" t="s">
        <v>476</v>
      </c>
      <c r="E1102" s="1">
        <v>0</v>
      </c>
      <c r="G1102" s="2">
        <f t="shared" si="17"/>
        <v>0</v>
      </c>
      <c r="H1102" s="2">
        <v>0</v>
      </c>
    </row>
    <row r="1103" spans="2:8">
      <c r="B1103" t="s">
        <v>320</v>
      </c>
      <c r="C1103" t="s">
        <v>661</v>
      </c>
      <c r="D1103" s="8" t="s">
        <v>477</v>
      </c>
      <c r="E1103" s="1">
        <v>0</v>
      </c>
      <c r="G1103" s="2">
        <f t="shared" si="17"/>
        <v>0</v>
      </c>
      <c r="H1103" s="2">
        <v>0</v>
      </c>
    </row>
    <row r="1104" spans="2:8">
      <c r="B1104" t="s">
        <v>320</v>
      </c>
      <c r="C1104" t="s">
        <v>661</v>
      </c>
      <c r="D1104" s="9" t="s">
        <v>478</v>
      </c>
      <c r="E1104" s="1">
        <v>0</v>
      </c>
      <c r="G1104" s="2">
        <f t="shared" si="17"/>
        <v>0</v>
      </c>
      <c r="H1104" s="2">
        <v>0</v>
      </c>
    </row>
    <row r="1105" spans="2:8">
      <c r="B1105" t="s">
        <v>320</v>
      </c>
      <c r="C1105" t="s">
        <v>661</v>
      </c>
      <c r="D1105" s="10" t="s">
        <v>479</v>
      </c>
      <c r="E1105" s="1">
        <v>0</v>
      </c>
      <c r="G1105" s="2">
        <f t="shared" si="17"/>
        <v>0</v>
      </c>
      <c r="H1105" s="2">
        <v>0</v>
      </c>
    </row>
    <row r="1106" spans="2:8">
      <c r="B1106" t="s">
        <v>320</v>
      </c>
      <c r="C1106" t="s">
        <v>661</v>
      </c>
      <c r="D1106" s="11" t="s">
        <v>480</v>
      </c>
      <c r="E1106" s="1">
        <v>0</v>
      </c>
      <c r="G1106" s="2">
        <f t="shared" si="17"/>
        <v>0</v>
      </c>
      <c r="H1106" s="2">
        <v>0</v>
      </c>
    </row>
    <row r="1107" spans="2:8">
      <c r="B1107" t="s">
        <v>320</v>
      </c>
      <c r="C1107" t="s">
        <v>661</v>
      </c>
      <c r="D1107" s="13" t="s">
        <v>481</v>
      </c>
      <c r="E1107" s="1">
        <v>0</v>
      </c>
      <c r="G1107" s="2">
        <f t="shared" si="17"/>
        <v>0</v>
      </c>
      <c r="H1107" s="2">
        <v>0</v>
      </c>
    </row>
    <row r="1108" spans="2:8">
      <c r="B1108" t="s">
        <v>320</v>
      </c>
      <c r="C1108" t="s">
        <v>661</v>
      </c>
      <c r="D1108" s="12" t="s">
        <v>1033</v>
      </c>
      <c r="E1108" s="1">
        <v>0</v>
      </c>
      <c r="G1108" s="2">
        <f t="shared" si="17"/>
        <v>0</v>
      </c>
      <c r="H1108" s="2">
        <v>0</v>
      </c>
    </row>
    <row r="1109" spans="2:8">
      <c r="B1109" t="s">
        <v>339</v>
      </c>
      <c r="C1109" t="s">
        <v>662</v>
      </c>
      <c r="D1109" s="5" t="s">
        <v>474</v>
      </c>
      <c r="E1109" s="1">
        <v>0</v>
      </c>
      <c r="G1109" s="2">
        <f t="shared" si="17"/>
        <v>0</v>
      </c>
      <c r="H1109" s="2">
        <v>0</v>
      </c>
    </row>
    <row r="1110" spans="2:8">
      <c r="B1110" t="s">
        <v>339</v>
      </c>
      <c r="C1110" t="s">
        <v>662</v>
      </c>
      <c r="D1110" s="6" t="s">
        <v>475</v>
      </c>
      <c r="E1110" s="1">
        <v>0</v>
      </c>
      <c r="G1110" s="2">
        <f t="shared" si="17"/>
        <v>0</v>
      </c>
      <c r="H1110" s="2">
        <v>0</v>
      </c>
    </row>
    <row r="1111" spans="2:8">
      <c r="B1111" t="s">
        <v>339</v>
      </c>
      <c r="C1111" t="s">
        <v>662</v>
      </c>
      <c r="D1111" s="7" t="s">
        <v>476</v>
      </c>
      <c r="E1111" s="1">
        <v>0</v>
      </c>
      <c r="G1111" s="2">
        <f t="shared" si="17"/>
        <v>0</v>
      </c>
      <c r="H1111" s="2">
        <v>0</v>
      </c>
    </row>
    <row r="1112" spans="2:8">
      <c r="B1112" t="s">
        <v>339</v>
      </c>
      <c r="C1112" t="s">
        <v>662</v>
      </c>
      <c r="D1112" s="8" t="s">
        <v>477</v>
      </c>
      <c r="E1112" s="1">
        <v>0</v>
      </c>
      <c r="G1112" s="2">
        <f t="shared" si="17"/>
        <v>0</v>
      </c>
      <c r="H1112" s="2">
        <v>0</v>
      </c>
    </row>
    <row r="1113" spans="2:8">
      <c r="B1113" t="s">
        <v>339</v>
      </c>
      <c r="C1113" t="s">
        <v>662</v>
      </c>
      <c r="D1113" s="9" t="s">
        <v>478</v>
      </c>
      <c r="E1113" s="1">
        <v>0</v>
      </c>
      <c r="G1113" s="2">
        <f t="shared" si="17"/>
        <v>0</v>
      </c>
      <c r="H1113" s="2">
        <v>0</v>
      </c>
    </row>
    <row r="1114" spans="2:8">
      <c r="B1114" t="s">
        <v>339</v>
      </c>
      <c r="C1114" t="s">
        <v>662</v>
      </c>
      <c r="D1114" s="10" t="s">
        <v>479</v>
      </c>
      <c r="E1114" s="1">
        <v>0</v>
      </c>
      <c r="G1114" s="2">
        <f t="shared" si="17"/>
        <v>0</v>
      </c>
      <c r="H1114" s="2">
        <v>0</v>
      </c>
    </row>
    <row r="1115" spans="2:8">
      <c r="B1115" t="s">
        <v>339</v>
      </c>
      <c r="C1115" t="s">
        <v>662</v>
      </c>
      <c r="D1115" s="11" t="s">
        <v>480</v>
      </c>
      <c r="E1115" s="1">
        <v>0</v>
      </c>
      <c r="G1115" s="2">
        <f t="shared" si="17"/>
        <v>0</v>
      </c>
      <c r="H1115" s="2">
        <v>0</v>
      </c>
    </row>
    <row r="1116" spans="2:8">
      <c r="B1116" t="s">
        <v>339</v>
      </c>
      <c r="C1116" t="s">
        <v>662</v>
      </c>
      <c r="D1116" s="13" t="s">
        <v>481</v>
      </c>
      <c r="E1116" s="1">
        <v>0</v>
      </c>
      <c r="G1116" s="2">
        <f t="shared" si="17"/>
        <v>0</v>
      </c>
      <c r="H1116" s="2">
        <v>0</v>
      </c>
    </row>
    <row r="1117" spans="2:8">
      <c r="B1117" t="s">
        <v>339</v>
      </c>
      <c r="C1117" t="s">
        <v>662</v>
      </c>
      <c r="D1117" s="12" t="s">
        <v>1033</v>
      </c>
      <c r="E1117" s="1">
        <v>0</v>
      </c>
      <c r="G1117" s="2">
        <f t="shared" si="17"/>
        <v>0</v>
      </c>
      <c r="H1117" s="2">
        <v>0</v>
      </c>
    </row>
    <row r="1118" spans="2:8">
      <c r="B1118" t="s">
        <v>336</v>
      </c>
      <c r="C1118" t="s">
        <v>663</v>
      </c>
      <c r="D1118" s="5" t="s">
        <v>474</v>
      </c>
      <c r="E1118" s="1">
        <v>0</v>
      </c>
      <c r="G1118" s="2">
        <f t="shared" si="17"/>
        <v>0</v>
      </c>
      <c r="H1118" s="2">
        <v>0</v>
      </c>
    </row>
    <row r="1119" spans="2:8">
      <c r="B1119" t="s">
        <v>336</v>
      </c>
      <c r="C1119" t="s">
        <v>663</v>
      </c>
      <c r="D1119" s="6" t="s">
        <v>475</v>
      </c>
      <c r="E1119" s="1">
        <v>0</v>
      </c>
      <c r="G1119" s="2">
        <f t="shared" si="17"/>
        <v>0</v>
      </c>
      <c r="H1119" s="2">
        <v>0</v>
      </c>
    </row>
    <row r="1120" spans="2:8">
      <c r="B1120" t="s">
        <v>336</v>
      </c>
      <c r="C1120" t="s">
        <v>663</v>
      </c>
      <c r="D1120" s="7" t="s">
        <v>476</v>
      </c>
      <c r="E1120" s="1">
        <v>0</v>
      </c>
      <c r="G1120" s="2">
        <f t="shared" si="17"/>
        <v>0</v>
      </c>
      <c r="H1120" s="2">
        <v>0</v>
      </c>
    </row>
    <row r="1121" spans="2:8">
      <c r="B1121" t="s">
        <v>336</v>
      </c>
      <c r="C1121" t="s">
        <v>663</v>
      </c>
      <c r="D1121" s="8" t="s">
        <v>477</v>
      </c>
      <c r="E1121" s="1">
        <v>0</v>
      </c>
      <c r="G1121" s="2">
        <f t="shared" si="17"/>
        <v>0</v>
      </c>
      <c r="H1121" s="2">
        <v>0</v>
      </c>
    </row>
    <row r="1122" spans="2:8">
      <c r="B1122" t="s">
        <v>336</v>
      </c>
      <c r="C1122" t="s">
        <v>663</v>
      </c>
      <c r="D1122" s="9" t="s">
        <v>478</v>
      </c>
      <c r="E1122" s="1">
        <v>0</v>
      </c>
      <c r="G1122" s="2">
        <f t="shared" si="17"/>
        <v>0</v>
      </c>
      <c r="H1122" s="2">
        <v>0</v>
      </c>
    </row>
    <row r="1123" spans="2:8">
      <c r="B1123" t="s">
        <v>336</v>
      </c>
      <c r="C1123" t="s">
        <v>663</v>
      </c>
      <c r="D1123" s="10" t="s">
        <v>479</v>
      </c>
      <c r="E1123" s="1">
        <v>0</v>
      </c>
      <c r="G1123" s="2">
        <f t="shared" si="17"/>
        <v>0</v>
      </c>
      <c r="H1123" s="2">
        <v>0</v>
      </c>
    </row>
    <row r="1124" spans="2:8">
      <c r="B1124" t="s">
        <v>336</v>
      </c>
      <c r="C1124" t="s">
        <v>663</v>
      </c>
      <c r="D1124" s="11" t="s">
        <v>480</v>
      </c>
      <c r="E1124" s="1">
        <v>0</v>
      </c>
      <c r="G1124" s="2">
        <f t="shared" si="17"/>
        <v>0</v>
      </c>
      <c r="H1124" s="2">
        <v>0</v>
      </c>
    </row>
    <row r="1125" spans="2:8">
      <c r="B1125" t="s">
        <v>336</v>
      </c>
      <c r="C1125" t="s">
        <v>663</v>
      </c>
      <c r="D1125" s="13" t="s">
        <v>481</v>
      </c>
      <c r="E1125" s="1">
        <v>0</v>
      </c>
      <c r="G1125" s="2">
        <f t="shared" si="17"/>
        <v>0</v>
      </c>
      <c r="H1125" s="2">
        <v>0</v>
      </c>
    </row>
    <row r="1126" spans="2:8">
      <c r="B1126" t="s">
        <v>336</v>
      </c>
      <c r="C1126" t="s">
        <v>663</v>
      </c>
      <c r="D1126" s="12" t="s">
        <v>1033</v>
      </c>
      <c r="E1126" s="1">
        <v>0</v>
      </c>
      <c r="G1126" s="2">
        <f t="shared" si="17"/>
        <v>0</v>
      </c>
      <c r="H1126" s="2">
        <v>0</v>
      </c>
    </row>
    <row r="1127" spans="2:8">
      <c r="B1127" t="s">
        <v>209</v>
      </c>
      <c r="C1127" t="s">
        <v>664</v>
      </c>
      <c r="D1127" s="5" t="s">
        <v>474</v>
      </c>
      <c r="E1127" s="1">
        <v>0</v>
      </c>
      <c r="G1127" s="2">
        <f t="shared" si="17"/>
        <v>0</v>
      </c>
      <c r="H1127" s="2">
        <v>0</v>
      </c>
    </row>
    <row r="1128" spans="2:8">
      <c r="B1128" t="s">
        <v>209</v>
      </c>
      <c r="C1128" t="s">
        <v>664</v>
      </c>
      <c r="D1128" s="6" t="s">
        <v>475</v>
      </c>
      <c r="E1128" s="1">
        <v>0</v>
      </c>
      <c r="G1128" s="2">
        <f t="shared" si="17"/>
        <v>0</v>
      </c>
      <c r="H1128" s="2">
        <v>0</v>
      </c>
    </row>
    <row r="1129" spans="2:8">
      <c r="B1129" t="s">
        <v>209</v>
      </c>
      <c r="C1129" t="s">
        <v>664</v>
      </c>
      <c r="D1129" s="7" t="s">
        <v>476</v>
      </c>
      <c r="E1129" s="1">
        <v>0</v>
      </c>
      <c r="G1129" s="2">
        <f t="shared" si="17"/>
        <v>0</v>
      </c>
      <c r="H1129" s="2">
        <v>0</v>
      </c>
    </row>
    <row r="1130" spans="2:8">
      <c r="B1130" t="s">
        <v>209</v>
      </c>
      <c r="C1130" t="s">
        <v>664</v>
      </c>
      <c r="D1130" s="8" t="s">
        <v>477</v>
      </c>
      <c r="E1130" s="1">
        <v>0</v>
      </c>
      <c r="G1130" s="2">
        <f t="shared" si="17"/>
        <v>0</v>
      </c>
      <c r="H1130" s="2">
        <v>0</v>
      </c>
    </row>
    <row r="1131" spans="2:8">
      <c r="B1131" t="s">
        <v>209</v>
      </c>
      <c r="C1131" t="s">
        <v>664</v>
      </c>
      <c r="D1131" s="9" t="s">
        <v>478</v>
      </c>
      <c r="E1131" s="1">
        <v>0</v>
      </c>
      <c r="G1131" s="2">
        <f t="shared" si="17"/>
        <v>0</v>
      </c>
      <c r="H1131" s="2">
        <v>0</v>
      </c>
    </row>
    <row r="1132" spans="2:8">
      <c r="B1132" t="s">
        <v>209</v>
      </c>
      <c r="C1132" t="s">
        <v>664</v>
      </c>
      <c r="D1132" s="10" t="s">
        <v>479</v>
      </c>
      <c r="E1132" s="1">
        <v>0</v>
      </c>
      <c r="G1132" s="2">
        <f t="shared" si="17"/>
        <v>0</v>
      </c>
      <c r="H1132" s="2">
        <v>0</v>
      </c>
    </row>
    <row r="1133" spans="2:8">
      <c r="B1133" t="s">
        <v>209</v>
      </c>
      <c r="C1133" t="s">
        <v>664</v>
      </c>
      <c r="D1133" s="11" t="s">
        <v>480</v>
      </c>
      <c r="E1133" s="1">
        <v>0</v>
      </c>
      <c r="G1133" s="2">
        <f t="shared" si="17"/>
        <v>0</v>
      </c>
      <c r="H1133" s="2">
        <v>0</v>
      </c>
    </row>
    <row r="1134" spans="2:8">
      <c r="B1134" t="s">
        <v>209</v>
      </c>
      <c r="C1134" t="s">
        <v>664</v>
      </c>
      <c r="D1134" s="13" t="s">
        <v>481</v>
      </c>
      <c r="E1134" s="1">
        <v>0</v>
      </c>
      <c r="G1134" s="2">
        <f t="shared" si="17"/>
        <v>0</v>
      </c>
      <c r="H1134" s="2">
        <v>0</v>
      </c>
    </row>
    <row r="1135" spans="2:8">
      <c r="B1135" t="s">
        <v>209</v>
      </c>
      <c r="C1135" t="s">
        <v>664</v>
      </c>
      <c r="D1135" s="12" t="s">
        <v>1033</v>
      </c>
      <c r="E1135" s="1">
        <v>0</v>
      </c>
      <c r="G1135" s="2">
        <f t="shared" si="17"/>
        <v>0</v>
      </c>
      <c r="H1135" s="2">
        <v>0</v>
      </c>
    </row>
    <row r="1136" spans="2:8">
      <c r="B1136" t="s">
        <v>249</v>
      </c>
      <c r="C1136" t="s">
        <v>665</v>
      </c>
      <c r="D1136" s="5" t="s">
        <v>474</v>
      </c>
      <c r="E1136" s="1">
        <v>0</v>
      </c>
      <c r="G1136" s="2">
        <f t="shared" si="17"/>
        <v>0</v>
      </c>
      <c r="H1136" s="2">
        <v>0</v>
      </c>
    </row>
    <row r="1137" spans="2:8">
      <c r="B1137" t="s">
        <v>249</v>
      </c>
      <c r="C1137" t="s">
        <v>665</v>
      </c>
      <c r="D1137" s="6" t="s">
        <v>475</v>
      </c>
      <c r="E1137" s="1">
        <v>0</v>
      </c>
      <c r="G1137" s="2">
        <f t="shared" si="17"/>
        <v>0</v>
      </c>
      <c r="H1137" s="2">
        <v>0</v>
      </c>
    </row>
    <row r="1138" spans="2:8">
      <c r="B1138" t="s">
        <v>249</v>
      </c>
      <c r="C1138" t="s">
        <v>665</v>
      </c>
      <c r="D1138" s="7" t="s">
        <v>476</v>
      </c>
      <c r="E1138" s="1">
        <v>0</v>
      </c>
      <c r="G1138" s="2">
        <f t="shared" si="17"/>
        <v>0</v>
      </c>
      <c r="H1138" s="2">
        <v>0</v>
      </c>
    </row>
    <row r="1139" spans="2:8">
      <c r="B1139" t="s">
        <v>249</v>
      </c>
      <c r="C1139" t="s">
        <v>665</v>
      </c>
      <c r="D1139" s="8" t="s">
        <v>477</v>
      </c>
      <c r="E1139" s="1">
        <v>0</v>
      </c>
      <c r="G1139" s="2">
        <f t="shared" si="17"/>
        <v>0</v>
      </c>
      <c r="H1139" s="2">
        <v>0</v>
      </c>
    </row>
    <row r="1140" spans="2:8">
      <c r="B1140" t="s">
        <v>249</v>
      </c>
      <c r="C1140" t="s">
        <v>665</v>
      </c>
      <c r="D1140" s="9" t="s">
        <v>478</v>
      </c>
      <c r="E1140" s="1">
        <v>0</v>
      </c>
      <c r="G1140" s="2">
        <f t="shared" si="17"/>
        <v>0</v>
      </c>
      <c r="H1140" s="2">
        <v>0</v>
      </c>
    </row>
    <row r="1141" spans="2:8">
      <c r="B1141" t="s">
        <v>249</v>
      </c>
      <c r="C1141" t="s">
        <v>665</v>
      </c>
      <c r="D1141" s="10" t="s">
        <v>479</v>
      </c>
      <c r="E1141" s="1">
        <v>0</v>
      </c>
      <c r="G1141" s="2">
        <f t="shared" si="17"/>
        <v>0</v>
      </c>
      <c r="H1141" s="2">
        <v>0</v>
      </c>
    </row>
    <row r="1142" spans="2:8">
      <c r="B1142" t="s">
        <v>249</v>
      </c>
      <c r="C1142" t="s">
        <v>665</v>
      </c>
      <c r="D1142" s="11" t="s">
        <v>480</v>
      </c>
      <c r="E1142" s="1">
        <v>0</v>
      </c>
      <c r="G1142" s="2">
        <f t="shared" si="17"/>
        <v>0</v>
      </c>
      <c r="H1142" s="2">
        <v>0</v>
      </c>
    </row>
    <row r="1143" spans="2:8">
      <c r="B1143" t="s">
        <v>249</v>
      </c>
      <c r="C1143" t="s">
        <v>665</v>
      </c>
      <c r="D1143" s="13" t="s">
        <v>481</v>
      </c>
      <c r="E1143" s="1">
        <v>0</v>
      </c>
      <c r="G1143" s="2">
        <f t="shared" si="17"/>
        <v>0</v>
      </c>
      <c r="H1143" s="2">
        <v>0</v>
      </c>
    </row>
    <row r="1144" spans="2:8">
      <c r="B1144" t="s">
        <v>249</v>
      </c>
      <c r="C1144" t="s">
        <v>665</v>
      </c>
      <c r="D1144" s="12" t="s">
        <v>1033</v>
      </c>
      <c r="E1144" s="1">
        <v>0</v>
      </c>
      <c r="G1144" s="2">
        <f t="shared" si="17"/>
        <v>0</v>
      </c>
      <c r="H1144" s="2">
        <v>0</v>
      </c>
    </row>
    <row r="1145" spans="2:8">
      <c r="B1145" t="s">
        <v>321</v>
      </c>
      <c r="C1145" t="s">
        <v>666</v>
      </c>
      <c r="D1145" s="5" t="s">
        <v>474</v>
      </c>
      <c r="E1145" s="1">
        <v>0</v>
      </c>
      <c r="G1145" s="2">
        <f t="shared" si="17"/>
        <v>0</v>
      </c>
      <c r="H1145" s="2">
        <v>0</v>
      </c>
    </row>
    <row r="1146" spans="2:8">
      <c r="B1146" t="s">
        <v>321</v>
      </c>
      <c r="C1146" t="s">
        <v>666</v>
      </c>
      <c r="D1146" s="6" t="s">
        <v>475</v>
      </c>
      <c r="E1146" s="1">
        <v>0</v>
      </c>
      <c r="G1146" s="2">
        <f t="shared" si="17"/>
        <v>0</v>
      </c>
      <c r="H1146" s="2">
        <v>0</v>
      </c>
    </row>
    <row r="1147" spans="2:8">
      <c r="B1147" t="s">
        <v>321</v>
      </c>
      <c r="C1147" t="s">
        <v>666</v>
      </c>
      <c r="D1147" s="7" t="s">
        <v>476</v>
      </c>
      <c r="E1147" s="1">
        <v>0</v>
      </c>
      <c r="G1147" s="2">
        <f t="shared" si="17"/>
        <v>0</v>
      </c>
      <c r="H1147" s="2">
        <v>0</v>
      </c>
    </row>
    <row r="1148" spans="2:8">
      <c r="B1148" t="s">
        <v>321</v>
      </c>
      <c r="C1148" t="s">
        <v>666</v>
      </c>
      <c r="D1148" s="8" t="s">
        <v>477</v>
      </c>
      <c r="E1148" s="1">
        <v>0</v>
      </c>
      <c r="G1148" s="2">
        <f t="shared" si="17"/>
        <v>0</v>
      </c>
      <c r="H1148" s="2">
        <v>0</v>
      </c>
    </row>
    <row r="1149" spans="2:8">
      <c r="B1149" t="s">
        <v>321</v>
      </c>
      <c r="C1149" t="s">
        <v>666</v>
      </c>
      <c r="D1149" s="9" t="s">
        <v>478</v>
      </c>
      <c r="E1149" s="1">
        <v>0</v>
      </c>
      <c r="G1149" s="2">
        <f t="shared" si="17"/>
        <v>0</v>
      </c>
      <c r="H1149" s="2">
        <v>0</v>
      </c>
    </row>
    <row r="1150" spans="2:8">
      <c r="B1150" t="s">
        <v>321</v>
      </c>
      <c r="C1150" t="s">
        <v>666</v>
      </c>
      <c r="D1150" s="10" t="s">
        <v>479</v>
      </c>
      <c r="E1150" s="1">
        <v>0</v>
      </c>
      <c r="G1150" s="2">
        <f t="shared" si="17"/>
        <v>0</v>
      </c>
      <c r="H1150" s="2">
        <v>0</v>
      </c>
    </row>
    <row r="1151" spans="2:8">
      <c r="B1151" t="s">
        <v>321</v>
      </c>
      <c r="C1151" t="s">
        <v>666</v>
      </c>
      <c r="D1151" s="11" t="s">
        <v>480</v>
      </c>
      <c r="E1151" s="1">
        <v>0</v>
      </c>
      <c r="G1151" s="2">
        <f t="shared" si="17"/>
        <v>0</v>
      </c>
      <c r="H1151" s="2">
        <v>0</v>
      </c>
    </row>
    <row r="1152" spans="2:8">
      <c r="B1152" t="s">
        <v>321</v>
      </c>
      <c r="C1152" t="s">
        <v>666</v>
      </c>
      <c r="D1152" s="13" t="s">
        <v>481</v>
      </c>
      <c r="E1152" s="1">
        <v>0</v>
      </c>
      <c r="G1152" s="2">
        <f t="shared" si="17"/>
        <v>0</v>
      </c>
      <c r="H1152" s="2">
        <v>0</v>
      </c>
    </row>
    <row r="1153" spans="2:8">
      <c r="B1153" t="s">
        <v>321</v>
      </c>
      <c r="C1153" t="s">
        <v>666</v>
      </c>
      <c r="D1153" s="12" t="s">
        <v>1033</v>
      </c>
      <c r="E1153" s="1">
        <v>0</v>
      </c>
      <c r="G1153" s="2">
        <f t="shared" si="17"/>
        <v>0</v>
      </c>
      <c r="H1153" s="2">
        <v>0</v>
      </c>
    </row>
    <row r="1154" spans="2:8">
      <c r="B1154" t="s">
        <v>210</v>
      </c>
      <c r="C1154" t="s">
        <v>667</v>
      </c>
      <c r="D1154" s="5" t="s">
        <v>474</v>
      </c>
      <c r="E1154" s="1">
        <v>0</v>
      </c>
      <c r="G1154" s="2">
        <f t="shared" ref="G1154:G1217" si="18">E1154*F1154</f>
        <v>0</v>
      </c>
      <c r="H1154" s="2">
        <v>0</v>
      </c>
    </row>
    <row r="1155" spans="2:8">
      <c r="B1155" t="s">
        <v>210</v>
      </c>
      <c r="C1155" t="s">
        <v>667</v>
      </c>
      <c r="D1155" s="6" t="s">
        <v>475</v>
      </c>
      <c r="E1155" s="1">
        <v>0</v>
      </c>
      <c r="G1155" s="2">
        <f t="shared" si="18"/>
        <v>0</v>
      </c>
      <c r="H1155" s="2">
        <v>0</v>
      </c>
    </row>
    <row r="1156" spans="2:8">
      <c r="B1156" t="s">
        <v>210</v>
      </c>
      <c r="C1156" t="s">
        <v>667</v>
      </c>
      <c r="D1156" s="7" t="s">
        <v>476</v>
      </c>
      <c r="E1156" s="1">
        <v>0</v>
      </c>
      <c r="G1156" s="2">
        <f t="shared" si="18"/>
        <v>0</v>
      </c>
      <c r="H1156" s="2">
        <v>0</v>
      </c>
    </row>
    <row r="1157" spans="2:8">
      <c r="B1157" t="s">
        <v>210</v>
      </c>
      <c r="C1157" t="s">
        <v>667</v>
      </c>
      <c r="D1157" s="8" t="s">
        <v>477</v>
      </c>
      <c r="E1157" s="1">
        <v>0</v>
      </c>
      <c r="G1157" s="2">
        <f t="shared" si="18"/>
        <v>0</v>
      </c>
      <c r="H1157" s="2">
        <v>0</v>
      </c>
    </row>
    <row r="1158" spans="2:8">
      <c r="B1158" t="s">
        <v>210</v>
      </c>
      <c r="C1158" t="s">
        <v>667</v>
      </c>
      <c r="D1158" s="9" t="s">
        <v>478</v>
      </c>
      <c r="E1158" s="1">
        <v>0</v>
      </c>
      <c r="G1158" s="2">
        <f t="shared" si="18"/>
        <v>0</v>
      </c>
      <c r="H1158" s="2">
        <v>0</v>
      </c>
    </row>
    <row r="1159" spans="2:8">
      <c r="B1159" t="s">
        <v>210</v>
      </c>
      <c r="C1159" t="s">
        <v>667</v>
      </c>
      <c r="D1159" s="10" t="s">
        <v>479</v>
      </c>
      <c r="E1159" s="1">
        <v>0</v>
      </c>
      <c r="G1159" s="2">
        <f t="shared" si="18"/>
        <v>0</v>
      </c>
      <c r="H1159" s="2">
        <v>0</v>
      </c>
    </row>
    <row r="1160" spans="2:8">
      <c r="B1160" t="s">
        <v>210</v>
      </c>
      <c r="C1160" t="s">
        <v>667</v>
      </c>
      <c r="D1160" s="11" t="s">
        <v>480</v>
      </c>
      <c r="E1160" s="1">
        <v>0</v>
      </c>
      <c r="G1160" s="2">
        <f t="shared" si="18"/>
        <v>0</v>
      </c>
      <c r="H1160" s="2">
        <v>0</v>
      </c>
    </row>
    <row r="1161" spans="2:8">
      <c r="B1161" t="s">
        <v>210</v>
      </c>
      <c r="C1161" t="s">
        <v>667</v>
      </c>
      <c r="D1161" s="13" t="s">
        <v>481</v>
      </c>
      <c r="E1161" s="1">
        <v>0</v>
      </c>
      <c r="G1161" s="2">
        <f t="shared" si="18"/>
        <v>0</v>
      </c>
      <c r="H1161" s="2">
        <v>0</v>
      </c>
    </row>
    <row r="1162" spans="2:8">
      <c r="B1162" t="s">
        <v>210</v>
      </c>
      <c r="C1162" t="s">
        <v>667</v>
      </c>
      <c r="D1162" s="12" t="s">
        <v>1033</v>
      </c>
      <c r="E1162" s="1">
        <v>0</v>
      </c>
      <c r="G1162" s="2">
        <f t="shared" si="18"/>
        <v>0</v>
      </c>
      <c r="H1162" s="2">
        <v>0</v>
      </c>
    </row>
    <row r="1163" spans="2:8">
      <c r="B1163" t="s">
        <v>236</v>
      </c>
      <c r="C1163" t="s">
        <v>668</v>
      </c>
      <c r="D1163" s="5" t="s">
        <v>474</v>
      </c>
      <c r="E1163" s="1">
        <v>0</v>
      </c>
      <c r="G1163" s="2">
        <f t="shared" si="18"/>
        <v>0</v>
      </c>
      <c r="H1163" s="2">
        <v>0</v>
      </c>
    </row>
    <row r="1164" spans="2:8">
      <c r="B1164" t="s">
        <v>236</v>
      </c>
      <c r="C1164" t="s">
        <v>668</v>
      </c>
      <c r="D1164" s="6" t="s">
        <v>475</v>
      </c>
      <c r="E1164" s="1">
        <v>0</v>
      </c>
      <c r="G1164" s="2">
        <f t="shared" si="18"/>
        <v>0</v>
      </c>
      <c r="H1164" s="2">
        <v>0</v>
      </c>
    </row>
    <row r="1165" spans="2:8">
      <c r="B1165" t="s">
        <v>236</v>
      </c>
      <c r="C1165" t="s">
        <v>668</v>
      </c>
      <c r="D1165" s="7" t="s">
        <v>476</v>
      </c>
      <c r="E1165" s="1">
        <v>0</v>
      </c>
      <c r="G1165" s="2">
        <f t="shared" si="18"/>
        <v>0</v>
      </c>
      <c r="H1165" s="2">
        <v>0</v>
      </c>
    </row>
    <row r="1166" spans="2:8">
      <c r="B1166" t="s">
        <v>236</v>
      </c>
      <c r="C1166" t="s">
        <v>668</v>
      </c>
      <c r="D1166" s="8" t="s">
        <v>477</v>
      </c>
      <c r="E1166" s="1">
        <v>0</v>
      </c>
      <c r="G1166" s="2">
        <f t="shared" si="18"/>
        <v>0</v>
      </c>
      <c r="H1166" s="2">
        <v>0</v>
      </c>
    </row>
    <row r="1167" spans="2:8">
      <c r="B1167" t="s">
        <v>236</v>
      </c>
      <c r="C1167" t="s">
        <v>668</v>
      </c>
      <c r="D1167" s="9" t="s">
        <v>478</v>
      </c>
      <c r="E1167" s="1">
        <v>0</v>
      </c>
      <c r="G1167" s="2">
        <f t="shared" si="18"/>
        <v>0</v>
      </c>
      <c r="H1167" s="2">
        <v>0</v>
      </c>
    </row>
    <row r="1168" spans="2:8">
      <c r="B1168" t="s">
        <v>236</v>
      </c>
      <c r="C1168" t="s">
        <v>668</v>
      </c>
      <c r="D1168" s="10" t="s">
        <v>479</v>
      </c>
      <c r="E1168" s="1">
        <v>0</v>
      </c>
      <c r="G1168" s="2">
        <f t="shared" si="18"/>
        <v>0</v>
      </c>
      <c r="H1168" s="2">
        <v>0</v>
      </c>
    </row>
    <row r="1169" spans="2:8">
      <c r="B1169" t="s">
        <v>236</v>
      </c>
      <c r="C1169" t="s">
        <v>668</v>
      </c>
      <c r="D1169" s="11" t="s">
        <v>480</v>
      </c>
      <c r="E1169" s="1">
        <v>0</v>
      </c>
      <c r="G1169" s="2">
        <f t="shared" si="18"/>
        <v>0</v>
      </c>
      <c r="H1169" s="2">
        <v>0</v>
      </c>
    </row>
    <row r="1170" spans="2:8">
      <c r="B1170" t="s">
        <v>236</v>
      </c>
      <c r="C1170" t="s">
        <v>668</v>
      </c>
      <c r="D1170" s="13" t="s">
        <v>481</v>
      </c>
      <c r="E1170" s="1">
        <v>0</v>
      </c>
      <c r="G1170" s="2">
        <f t="shared" si="18"/>
        <v>0</v>
      </c>
      <c r="H1170" s="2">
        <v>0</v>
      </c>
    </row>
    <row r="1171" spans="2:8">
      <c r="B1171" t="s">
        <v>236</v>
      </c>
      <c r="C1171" t="s">
        <v>668</v>
      </c>
      <c r="D1171" s="12" t="s">
        <v>1033</v>
      </c>
      <c r="E1171" s="1">
        <v>0</v>
      </c>
      <c r="G1171" s="2">
        <f t="shared" si="18"/>
        <v>0</v>
      </c>
      <c r="H1171" s="2">
        <v>0</v>
      </c>
    </row>
    <row r="1172" spans="2:8">
      <c r="B1172" t="s">
        <v>237</v>
      </c>
      <c r="C1172" t="s">
        <v>669</v>
      </c>
      <c r="D1172" s="5" t="s">
        <v>474</v>
      </c>
      <c r="E1172" s="1">
        <v>0</v>
      </c>
      <c r="G1172" s="2">
        <f t="shared" si="18"/>
        <v>0</v>
      </c>
      <c r="H1172" s="2">
        <v>0</v>
      </c>
    </row>
    <row r="1173" spans="2:8">
      <c r="B1173" t="s">
        <v>237</v>
      </c>
      <c r="C1173" t="s">
        <v>669</v>
      </c>
      <c r="D1173" s="6" t="s">
        <v>475</v>
      </c>
      <c r="E1173" s="1">
        <v>0</v>
      </c>
      <c r="G1173" s="2">
        <f t="shared" si="18"/>
        <v>0</v>
      </c>
      <c r="H1173" s="2">
        <v>0</v>
      </c>
    </row>
    <row r="1174" spans="2:8">
      <c r="B1174" t="s">
        <v>237</v>
      </c>
      <c r="C1174" t="s">
        <v>669</v>
      </c>
      <c r="D1174" s="7" t="s">
        <v>476</v>
      </c>
      <c r="E1174" s="1">
        <v>0</v>
      </c>
      <c r="G1174" s="2">
        <f t="shared" si="18"/>
        <v>0</v>
      </c>
      <c r="H1174" s="2">
        <v>0</v>
      </c>
    </row>
    <row r="1175" spans="2:8">
      <c r="B1175" t="s">
        <v>237</v>
      </c>
      <c r="C1175" t="s">
        <v>669</v>
      </c>
      <c r="D1175" s="8" t="s">
        <v>477</v>
      </c>
      <c r="E1175" s="1">
        <v>0</v>
      </c>
      <c r="G1175" s="2">
        <f t="shared" si="18"/>
        <v>0</v>
      </c>
      <c r="H1175" s="2">
        <v>0</v>
      </c>
    </row>
    <row r="1176" spans="2:8">
      <c r="B1176" t="s">
        <v>237</v>
      </c>
      <c r="C1176" t="s">
        <v>669</v>
      </c>
      <c r="D1176" s="9" t="s">
        <v>478</v>
      </c>
      <c r="E1176" s="1">
        <v>0</v>
      </c>
      <c r="G1176" s="2">
        <f t="shared" si="18"/>
        <v>0</v>
      </c>
      <c r="H1176" s="2">
        <v>0</v>
      </c>
    </row>
    <row r="1177" spans="2:8">
      <c r="B1177" t="s">
        <v>237</v>
      </c>
      <c r="C1177" t="s">
        <v>669</v>
      </c>
      <c r="D1177" s="10" t="s">
        <v>479</v>
      </c>
      <c r="E1177" s="1">
        <v>0</v>
      </c>
      <c r="G1177" s="2">
        <f t="shared" si="18"/>
        <v>0</v>
      </c>
      <c r="H1177" s="2">
        <v>0</v>
      </c>
    </row>
    <row r="1178" spans="2:8">
      <c r="B1178" t="s">
        <v>237</v>
      </c>
      <c r="C1178" t="s">
        <v>669</v>
      </c>
      <c r="D1178" s="11" t="s">
        <v>480</v>
      </c>
      <c r="E1178" s="1">
        <v>0</v>
      </c>
      <c r="G1178" s="2">
        <f t="shared" si="18"/>
        <v>0</v>
      </c>
      <c r="H1178" s="2">
        <v>0</v>
      </c>
    </row>
    <row r="1179" spans="2:8">
      <c r="B1179" t="s">
        <v>237</v>
      </c>
      <c r="C1179" t="s">
        <v>669</v>
      </c>
      <c r="D1179" s="13" t="s">
        <v>481</v>
      </c>
      <c r="E1179" s="1">
        <v>0</v>
      </c>
      <c r="G1179" s="2">
        <f t="shared" si="18"/>
        <v>0</v>
      </c>
      <c r="H1179" s="2">
        <v>0</v>
      </c>
    </row>
    <row r="1180" spans="2:8">
      <c r="B1180" t="s">
        <v>237</v>
      </c>
      <c r="C1180" t="s">
        <v>669</v>
      </c>
      <c r="D1180" s="12" t="s">
        <v>1033</v>
      </c>
      <c r="E1180" s="1">
        <v>0</v>
      </c>
      <c r="G1180" s="2">
        <f t="shared" si="18"/>
        <v>0</v>
      </c>
      <c r="H1180" s="2">
        <v>0</v>
      </c>
    </row>
    <row r="1181" spans="2:8">
      <c r="B1181" t="s">
        <v>175</v>
      </c>
      <c r="C1181" t="s">
        <v>670</v>
      </c>
      <c r="D1181" s="5" t="s">
        <v>474</v>
      </c>
      <c r="E1181" s="1">
        <v>0</v>
      </c>
      <c r="G1181" s="2">
        <f t="shared" si="18"/>
        <v>0</v>
      </c>
      <c r="H1181" s="2">
        <v>0</v>
      </c>
    </row>
    <row r="1182" spans="2:8">
      <c r="B1182" t="s">
        <v>175</v>
      </c>
      <c r="C1182" t="s">
        <v>670</v>
      </c>
      <c r="D1182" s="6" t="s">
        <v>475</v>
      </c>
      <c r="E1182" s="1">
        <v>0</v>
      </c>
      <c r="G1182" s="2">
        <f t="shared" si="18"/>
        <v>0</v>
      </c>
      <c r="H1182" s="2">
        <v>0</v>
      </c>
    </row>
    <row r="1183" spans="2:8">
      <c r="B1183" t="s">
        <v>175</v>
      </c>
      <c r="C1183" t="s">
        <v>670</v>
      </c>
      <c r="D1183" s="7" t="s">
        <v>476</v>
      </c>
      <c r="E1183" s="1">
        <v>0</v>
      </c>
      <c r="G1183" s="2">
        <f t="shared" si="18"/>
        <v>0</v>
      </c>
      <c r="H1183" s="2">
        <v>0</v>
      </c>
    </row>
    <row r="1184" spans="2:8">
      <c r="B1184" t="s">
        <v>175</v>
      </c>
      <c r="C1184" t="s">
        <v>670</v>
      </c>
      <c r="D1184" s="8" t="s">
        <v>477</v>
      </c>
      <c r="E1184" s="1">
        <v>0</v>
      </c>
      <c r="G1184" s="2">
        <f t="shared" si="18"/>
        <v>0</v>
      </c>
      <c r="H1184" s="2">
        <v>0</v>
      </c>
    </row>
    <row r="1185" spans="2:8">
      <c r="B1185" t="s">
        <v>175</v>
      </c>
      <c r="C1185" t="s">
        <v>670</v>
      </c>
      <c r="D1185" s="9" t="s">
        <v>478</v>
      </c>
      <c r="E1185" s="1">
        <v>0</v>
      </c>
      <c r="G1185" s="2">
        <f t="shared" si="18"/>
        <v>0</v>
      </c>
      <c r="H1185" s="2">
        <v>0</v>
      </c>
    </row>
    <row r="1186" spans="2:8">
      <c r="B1186" t="s">
        <v>175</v>
      </c>
      <c r="C1186" t="s">
        <v>670</v>
      </c>
      <c r="D1186" s="10" t="s">
        <v>479</v>
      </c>
      <c r="E1186" s="1">
        <v>0</v>
      </c>
      <c r="G1186" s="2">
        <f t="shared" si="18"/>
        <v>0</v>
      </c>
      <c r="H1186" s="2">
        <v>0</v>
      </c>
    </row>
    <row r="1187" spans="2:8">
      <c r="B1187" t="s">
        <v>175</v>
      </c>
      <c r="C1187" t="s">
        <v>670</v>
      </c>
      <c r="D1187" s="11" t="s">
        <v>480</v>
      </c>
      <c r="E1187" s="1">
        <v>0</v>
      </c>
      <c r="G1187" s="2">
        <f t="shared" si="18"/>
        <v>0</v>
      </c>
      <c r="H1187" s="2">
        <v>0</v>
      </c>
    </row>
    <row r="1188" spans="2:8">
      <c r="B1188" t="s">
        <v>175</v>
      </c>
      <c r="C1188" t="s">
        <v>670</v>
      </c>
      <c r="D1188" s="13" t="s">
        <v>481</v>
      </c>
      <c r="E1188" s="1">
        <v>0</v>
      </c>
      <c r="G1188" s="2">
        <f t="shared" si="18"/>
        <v>0</v>
      </c>
      <c r="H1188" s="2">
        <v>0</v>
      </c>
    </row>
    <row r="1189" spans="2:8">
      <c r="B1189" t="s">
        <v>175</v>
      </c>
      <c r="C1189" t="s">
        <v>670</v>
      </c>
      <c r="D1189" s="12" t="s">
        <v>1033</v>
      </c>
      <c r="E1189" s="1">
        <v>0</v>
      </c>
      <c r="G1189" s="2">
        <f t="shared" si="18"/>
        <v>0</v>
      </c>
      <c r="H1189" s="2">
        <v>0</v>
      </c>
    </row>
    <row r="1190" spans="2:8">
      <c r="B1190" t="s">
        <v>308</v>
      </c>
      <c r="C1190" t="s">
        <v>671</v>
      </c>
      <c r="D1190" s="5" t="s">
        <v>474</v>
      </c>
      <c r="E1190" s="1">
        <v>0</v>
      </c>
      <c r="G1190" s="2">
        <f t="shared" si="18"/>
        <v>0</v>
      </c>
      <c r="H1190" s="2">
        <v>0</v>
      </c>
    </row>
    <row r="1191" spans="2:8">
      <c r="B1191" t="s">
        <v>308</v>
      </c>
      <c r="C1191" t="s">
        <v>671</v>
      </c>
      <c r="D1191" s="6" t="s">
        <v>475</v>
      </c>
      <c r="E1191" s="1">
        <v>0</v>
      </c>
      <c r="G1191" s="2">
        <f t="shared" si="18"/>
        <v>0</v>
      </c>
      <c r="H1191" s="2">
        <v>0</v>
      </c>
    </row>
    <row r="1192" spans="2:8">
      <c r="B1192" t="s">
        <v>308</v>
      </c>
      <c r="C1192" t="s">
        <v>671</v>
      </c>
      <c r="D1192" s="7" t="s">
        <v>476</v>
      </c>
      <c r="E1192" s="1">
        <v>0</v>
      </c>
      <c r="G1192" s="2">
        <f t="shared" si="18"/>
        <v>0</v>
      </c>
      <c r="H1192" s="2">
        <v>0</v>
      </c>
    </row>
    <row r="1193" spans="2:8">
      <c r="B1193" t="s">
        <v>308</v>
      </c>
      <c r="C1193" t="s">
        <v>671</v>
      </c>
      <c r="D1193" s="8" t="s">
        <v>477</v>
      </c>
      <c r="E1193" s="1">
        <v>0</v>
      </c>
      <c r="G1193" s="2">
        <f t="shared" si="18"/>
        <v>0</v>
      </c>
      <c r="H1193" s="2">
        <v>0</v>
      </c>
    </row>
    <row r="1194" spans="2:8">
      <c r="B1194" t="s">
        <v>308</v>
      </c>
      <c r="C1194" t="s">
        <v>671</v>
      </c>
      <c r="D1194" s="9" t="s">
        <v>478</v>
      </c>
      <c r="E1194" s="1">
        <v>0</v>
      </c>
      <c r="G1194" s="2">
        <f t="shared" si="18"/>
        <v>0</v>
      </c>
      <c r="H1194" s="2">
        <v>0</v>
      </c>
    </row>
    <row r="1195" spans="2:8">
      <c r="B1195" t="s">
        <v>308</v>
      </c>
      <c r="C1195" t="s">
        <v>671</v>
      </c>
      <c r="D1195" s="10" t="s">
        <v>479</v>
      </c>
      <c r="E1195" s="1">
        <v>0</v>
      </c>
      <c r="G1195" s="2">
        <f t="shared" si="18"/>
        <v>0</v>
      </c>
      <c r="H1195" s="2">
        <v>0</v>
      </c>
    </row>
    <row r="1196" spans="2:8">
      <c r="B1196" t="s">
        <v>308</v>
      </c>
      <c r="C1196" t="s">
        <v>671</v>
      </c>
      <c r="D1196" s="11" t="s">
        <v>480</v>
      </c>
      <c r="E1196" s="1">
        <v>0</v>
      </c>
      <c r="G1196" s="2">
        <f t="shared" si="18"/>
        <v>0</v>
      </c>
      <c r="H1196" s="2">
        <v>0</v>
      </c>
    </row>
    <row r="1197" spans="2:8">
      <c r="B1197" t="s">
        <v>308</v>
      </c>
      <c r="C1197" t="s">
        <v>671</v>
      </c>
      <c r="D1197" s="13" t="s">
        <v>481</v>
      </c>
      <c r="E1197" s="1">
        <v>0</v>
      </c>
      <c r="G1197" s="2">
        <f t="shared" si="18"/>
        <v>0</v>
      </c>
      <c r="H1197" s="2">
        <v>0</v>
      </c>
    </row>
    <row r="1198" spans="2:8">
      <c r="B1198" t="s">
        <v>308</v>
      </c>
      <c r="C1198" t="s">
        <v>671</v>
      </c>
      <c r="D1198" s="12" t="s">
        <v>1033</v>
      </c>
      <c r="E1198" s="1">
        <v>0</v>
      </c>
      <c r="G1198" s="2">
        <f t="shared" si="18"/>
        <v>0</v>
      </c>
      <c r="H1198" s="2">
        <v>0</v>
      </c>
    </row>
    <row r="1199" spans="2:8">
      <c r="B1199" t="s">
        <v>176</v>
      </c>
      <c r="C1199" t="s">
        <v>672</v>
      </c>
      <c r="D1199" s="5" t="s">
        <v>474</v>
      </c>
      <c r="E1199" s="1">
        <v>0</v>
      </c>
      <c r="G1199" s="2">
        <f t="shared" si="18"/>
        <v>0</v>
      </c>
      <c r="H1199" s="2">
        <v>0</v>
      </c>
    </row>
    <row r="1200" spans="2:8">
      <c r="B1200" t="s">
        <v>176</v>
      </c>
      <c r="C1200" t="s">
        <v>672</v>
      </c>
      <c r="D1200" s="6" t="s">
        <v>475</v>
      </c>
      <c r="E1200" s="1">
        <v>0</v>
      </c>
      <c r="G1200" s="2">
        <f t="shared" si="18"/>
        <v>0</v>
      </c>
      <c r="H1200" s="2">
        <v>0</v>
      </c>
    </row>
    <row r="1201" spans="2:8">
      <c r="B1201" t="s">
        <v>176</v>
      </c>
      <c r="C1201" t="s">
        <v>672</v>
      </c>
      <c r="D1201" s="7" t="s">
        <v>476</v>
      </c>
      <c r="E1201" s="1">
        <v>0</v>
      </c>
      <c r="G1201" s="2">
        <f t="shared" si="18"/>
        <v>0</v>
      </c>
      <c r="H1201" s="2">
        <v>0</v>
      </c>
    </row>
    <row r="1202" spans="2:8">
      <c r="B1202" t="s">
        <v>176</v>
      </c>
      <c r="C1202" t="s">
        <v>672</v>
      </c>
      <c r="D1202" s="8" t="s">
        <v>477</v>
      </c>
      <c r="E1202" s="1">
        <v>0</v>
      </c>
      <c r="G1202" s="2">
        <f t="shared" si="18"/>
        <v>0</v>
      </c>
      <c r="H1202" s="2">
        <v>0</v>
      </c>
    </row>
    <row r="1203" spans="2:8">
      <c r="B1203" t="s">
        <v>176</v>
      </c>
      <c r="C1203" t="s">
        <v>672</v>
      </c>
      <c r="D1203" s="9" t="s">
        <v>478</v>
      </c>
      <c r="E1203" s="1">
        <v>0</v>
      </c>
      <c r="G1203" s="2">
        <f t="shared" si="18"/>
        <v>0</v>
      </c>
      <c r="H1203" s="2">
        <v>0</v>
      </c>
    </row>
    <row r="1204" spans="2:8">
      <c r="B1204" t="s">
        <v>176</v>
      </c>
      <c r="C1204" t="s">
        <v>672</v>
      </c>
      <c r="D1204" s="10" t="s">
        <v>479</v>
      </c>
      <c r="E1204" s="1">
        <v>0</v>
      </c>
      <c r="G1204" s="2">
        <f t="shared" si="18"/>
        <v>0</v>
      </c>
      <c r="H1204" s="2">
        <v>0</v>
      </c>
    </row>
    <row r="1205" spans="2:8">
      <c r="B1205" t="s">
        <v>176</v>
      </c>
      <c r="C1205" t="s">
        <v>672</v>
      </c>
      <c r="D1205" s="11" t="s">
        <v>480</v>
      </c>
      <c r="E1205" s="1">
        <v>0</v>
      </c>
      <c r="G1205" s="2">
        <f t="shared" si="18"/>
        <v>0</v>
      </c>
      <c r="H1205" s="2">
        <v>0</v>
      </c>
    </row>
    <row r="1206" spans="2:8">
      <c r="B1206" t="s">
        <v>176</v>
      </c>
      <c r="C1206" t="s">
        <v>672</v>
      </c>
      <c r="D1206" s="13" t="s">
        <v>481</v>
      </c>
      <c r="E1206" s="1">
        <v>0</v>
      </c>
      <c r="G1206" s="2">
        <f t="shared" si="18"/>
        <v>0</v>
      </c>
      <c r="H1206" s="2">
        <v>0</v>
      </c>
    </row>
    <row r="1207" spans="2:8">
      <c r="B1207" t="s">
        <v>176</v>
      </c>
      <c r="C1207" t="s">
        <v>672</v>
      </c>
      <c r="D1207" s="12" t="s">
        <v>1033</v>
      </c>
      <c r="E1207" s="1">
        <v>0</v>
      </c>
      <c r="G1207" s="2">
        <f t="shared" si="18"/>
        <v>0</v>
      </c>
      <c r="H1207" s="2">
        <v>0</v>
      </c>
    </row>
    <row r="1208" spans="2:8">
      <c r="B1208" t="s">
        <v>322</v>
      </c>
      <c r="C1208" t="s">
        <v>673</v>
      </c>
      <c r="D1208" s="5" t="s">
        <v>474</v>
      </c>
      <c r="E1208" s="1">
        <v>0</v>
      </c>
      <c r="G1208" s="2">
        <f t="shared" si="18"/>
        <v>0</v>
      </c>
      <c r="H1208" s="2">
        <v>0</v>
      </c>
    </row>
    <row r="1209" spans="2:8">
      <c r="B1209" t="s">
        <v>322</v>
      </c>
      <c r="C1209" t="s">
        <v>673</v>
      </c>
      <c r="D1209" s="6" t="s">
        <v>475</v>
      </c>
      <c r="E1209" s="1">
        <v>0</v>
      </c>
      <c r="G1209" s="2">
        <f t="shared" si="18"/>
        <v>0</v>
      </c>
      <c r="H1209" s="2">
        <v>0</v>
      </c>
    </row>
    <row r="1210" spans="2:8">
      <c r="B1210" t="s">
        <v>322</v>
      </c>
      <c r="C1210" t="s">
        <v>673</v>
      </c>
      <c r="D1210" s="7" t="s">
        <v>476</v>
      </c>
      <c r="E1210" s="1">
        <v>0</v>
      </c>
      <c r="G1210" s="2">
        <f t="shared" si="18"/>
        <v>0</v>
      </c>
      <c r="H1210" s="2">
        <v>0</v>
      </c>
    </row>
    <row r="1211" spans="2:8">
      <c r="B1211" t="s">
        <v>322</v>
      </c>
      <c r="C1211" t="s">
        <v>673</v>
      </c>
      <c r="D1211" s="8" t="s">
        <v>477</v>
      </c>
      <c r="E1211" s="1">
        <v>0</v>
      </c>
      <c r="G1211" s="2">
        <f t="shared" si="18"/>
        <v>0</v>
      </c>
      <c r="H1211" s="2">
        <v>0</v>
      </c>
    </row>
    <row r="1212" spans="2:8">
      <c r="B1212" t="s">
        <v>322</v>
      </c>
      <c r="C1212" t="s">
        <v>673</v>
      </c>
      <c r="D1212" s="9" t="s">
        <v>478</v>
      </c>
      <c r="E1212" s="1">
        <v>0</v>
      </c>
      <c r="G1212" s="2">
        <f t="shared" si="18"/>
        <v>0</v>
      </c>
      <c r="H1212" s="2">
        <v>0</v>
      </c>
    </row>
    <row r="1213" spans="2:8">
      <c r="B1213" t="s">
        <v>322</v>
      </c>
      <c r="C1213" t="s">
        <v>673</v>
      </c>
      <c r="D1213" s="10" t="s">
        <v>479</v>
      </c>
      <c r="E1213" s="1">
        <v>0</v>
      </c>
      <c r="G1213" s="2">
        <f t="shared" si="18"/>
        <v>0</v>
      </c>
      <c r="H1213" s="2">
        <v>0</v>
      </c>
    </row>
    <row r="1214" spans="2:8">
      <c r="B1214" t="s">
        <v>322</v>
      </c>
      <c r="C1214" t="s">
        <v>673</v>
      </c>
      <c r="D1214" s="11" t="s">
        <v>480</v>
      </c>
      <c r="E1214" s="1">
        <v>0</v>
      </c>
      <c r="G1214" s="2">
        <f t="shared" si="18"/>
        <v>0</v>
      </c>
      <c r="H1214" s="2">
        <v>0</v>
      </c>
    </row>
    <row r="1215" spans="2:8">
      <c r="B1215" t="s">
        <v>322</v>
      </c>
      <c r="C1215" t="s">
        <v>673</v>
      </c>
      <c r="D1215" s="13" t="s">
        <v>481</v>
      </c>
      <c r="E1215" s="1">
        <v>0</v>
      </c>
      <c r="G1215" s="2">
        <f t="shared" si="18"/>
        <v>0</v>
      </c>
      <c r="H1215" s="2">
        <v>0</v>
      </c>
    </row>
    <row r="1216" spans="2:8">
      <c r="B1216" t="s">
        <v>322</v>
      </c>
      <c r="C1216" t="s">
        <v>673</v>
      </c>
      <c r="D1216" s="12" t="s">
        <v>1033</v>
      </c>
      <c r="E1216" s="1">
        <v>0</v>
      </c>
      <c r="G1216" s="2">
        <f t="shared" si="18"/>
        <v>0</v>
      </c>
      <c r="H1216" s="2">
        <v>0</v>
      </c>
    </row>
    <row r="1217" spans="2:8">
      <c r="B1217" t="s">
        <v>195</v>
      </c>
      <c r="C1217" t="s">
        <v>674</v>
      </c>
      <c r="D1217" s="5" t="s">
        <v>474</v>
      </c>
      <c r="E1217" s="1">
        <v>0</v>
      </c>
      <c r="G1217" s="2">
        <f t="shared" si="18"/>
        <v>0</v>
      </c>
      <c r="H1217" s="2">
        <v>0</v>
      </c>
    </row>
    <row r="1218" spans="2:8">
      <c r="B1218" t="s">
        <v>195</v>
      </c>
      <c r="C1218" t="s">
        <v>674</v>
      </c>
      <c r="D1218" s="6" t="s">
        <v>475</v>
      </c>
      <c r="E1218" s="1">
        <v>0</v>
      </c>
      <c r="G1218" s="2">
        <f t="shared" ref="G1218:G1281" si="19">E1218*F1218</f>
        <v>0</v>
      </c>
      <c r="H1218" s="2">
        <v>0</v>
      </c>
    </row>
    <row r="1219" spans="2:8">
      <c r="B1219" t="s">
        <v>195</v>
      </c>
      <c r="C1219" t="s">
        <v>674</v>
      </c>
      <c r="D1219" s="7" t="s">
        <v>476</v>
      </c>
      <c r="E1219" s="1">
        <v>0</v>
      </c>
      <c r="G1219" s="2">
        <f t="shared" si="19"/>
        <v>0</v>
      </c>
      <c r="H1219" s="2">
        <v>0</v>
      </c>
    </row>
    <row r="1220" spans="2:8">
      <c r="B1220" t="s">
        <v>195</v>
      </c>
      <c r="C1220" t="s">
        <v>674</v>
      </c>
      <c r="D1220" s="8" t="s">
        <v>477</v>
      </c>
      <c r="E1220" s="1">
        <v>0</v>
      </c>
      <c r="G1220" s="2">
        <f t="shared" si="19"/>
        <v>0</v>
      </c>
      <c r="H1220" s="2">
        <v>0</v>
      </c>
    </row>
    <row r="1221" spans="2:8">
      <c r="B1221" t="s">
        <v>195</v>
      </c>
      <c r="C1221" t="s">
        <v>674</v>
      </c>
      <c r="D1221" s="9" t="s">
        <v>478</v>
      </c>
      <c r="E1221" s="1">
        <v>0</v>
      </c>
      <c r="G1221" s="2">
        <f t="shared" si="19"/>
        <v>0</v>
      </c>
      <c r="H1221" s="2">
        <v>0</v>
      </c>
    </row>
    <row r="1222" spans="2:8">
      <c r="B1222" t="s">
        <v>195</v>
      </c>
      <c r="C1222" t="s">
        <v>674</v>
      </c>
      <c r="D1222" s="10" t="s">
        <v>479</v>
      </c>
      <c r="E1222" s="1">
        <v>0</v>
      </c>
      <c r="G1222" s="2">
        <f t="shared" si="19"/>
        <v>0</v>
      </c>
      <c r="H1222" s="2">
        <v>0</v>
      </c>
    </row>
    <row r="1223" spans="2:8">
      <c r="B1223" t="s">
        <v>195</v>
      </c>
      <c r="C1223" t="s">
        <v>674</v>
      </c>
      <c r="D1223" s="11" t="s">
        <v>480</v>
      </c>
      <c r="E1223" s="1">
        <v>0</v>
      </c>
      <c r="G1223" s="2">
        <f t="shared" si="19"/>
        <v>0</v>
      </c>
      <c r="H1223" s="2">
        <v>0</v>
      </c>
    </row>
    <row r="1224" spans="2:8">
      <c r="B1224" t="s">
        <v>195</v>
      </c>
      <c r="C1224" t="s">
        <v>674</v>
      </c>
      <c r="D1224" s="13" t="s">
        <v>481</v>
      </c>
      <c r="E1224" s="1">
        <v>0</v>
      </c>
      <c r="G1224" s="2">
        <f t="shared" si="19"/>
        <v>0</v>
      </c>
      <c r="H1224" s="2">
        <v>0</v>
      </c>
    </row>
    <row r="1225" spans="2:8">
      <c r="B1225" t="s">
        <v>195</v>
      </c>
      <c r="C1225" t="s">
        <v>674</v>
      </c>
      <c r="D1225" s="12" t="s">
        <v>1033</v>
      </c>
      <c r="E1225" s="1">
        <v>0</v>
      </c>
      <c r="G1225" s="2">
        <f t="shared" si="19"/>
        <v>0</v>
      </c>
      <c r="H1225" s="2">
        <v>0</v>
      </c>
    </row>
    <row r="1226" spans="2:8">
      <c r="B1226" t="s">
        <v>196</v>
      </c>
      <c r="C1226" t="s">
        <v>675</v>
      </c>
      <c r="D1226" s="5" t="s">
        <v>474</v>
      </c>
      <c r="E1226" s="1">
        <v>0</v>
      </c>
      <c r="G1226" s="2">
        <f t="shared" si="19"/>
        <v>0</v>
      </c>
      <c r="H1226" s="2">
        <v>0</v>
      </c>
    </row>
    <row r="1227" spans="2:8">
      <c r="B1227" t="s">
        <v>196</v>
      </c>
      <c r="C1227" t="s">
        <v>675</v>
      </c>
      <c r="D1227" s="6" t="s">
        <v>475</v>
      </c>
      <c r="E1227" s="1">
        <v>0</v>
      </c>
      <c r="G1227" s="2">
        <f t="shared" si="19"/>
        <v>0</v>
      </c>
      <c r="H1227" s="2">
        <v>0</v>
      </c>
    </row>
    <row r="1228" spans="2:8">
      <c r="B1228" t="s">
        <v>196</v>
      </c>
      <c r="C1228" t="s">
        <v>675</v>
      </c>
      <c r="D1228" s="7" t="s">
        <v>476</v>
      </c>
      <c r="E1228" s="1">
        <v>0</v>
      </c>
      <c r="G1228" s="2">
        <f t="shared" si="19"/>
        <v>0</v>
      </c>
      <c r="H1228" s="2">
        <v>0</v>
      </c>
    </row>
    <row r="1229" spans="2:8">
      <c r="B1229" t="s">
        <v>196</v>
      </c>
      <c r="C1229" t="s">
        <v>675</v>
      </c>
      <c r="D1229" s="8" t="s">
        <v>477</v>
      </c>
      <c r="E1229" s="1">
        <v>0</v>
      </c>
      <c r="G1229" s="2">
        <f t="shared" si="19"/>
        <v>0</v>
      </c>
      <c r="H1229" s="2">
        <v>0</v>
      </c>
    </row>
    <row r="1230" spans="2:8">
      <c r="B1230" t="s">
        <v>196</v>
      </c>
      <c r="C1230" t="s">
        <v>675</v>
      </c>
      <c r="D1230" s="9" t="s">
        <v>478</v>
      </c>
      <c r="E1230" s="1">
        <v>0</v>
      </c>
      <c r="G1230" s="2">
        <f t="shared" si="19"/>
        <v>0</v>
      </c>
      <c r="H1230" s="2">
        <v>0</v>
      </c>
    </row>
    <row r="1231" spans="2:8">
      <c r="B1231" t="s">
        <v>196</v>
      </c>
      <c r="C1231" t="s">
        <v>675</v>
      </c>
      <c r="D1231" s="10" t="s">
        <v>479</v>
      </c>
      <c r="E1231" s="1">
        <v>0</v>
      </c>
      <c r="G1231" s="2">
        <f t="shared" si="19"/>
        <v>0</v>
      </c>
      <c r="H1231" s="2">
        <v>0</v>
      </c>
    </row>
    <row r="1232" spans="2:8">
      <c r="B1232" t="s">
        <v>196</v>
      </c>
      <c r="C1232" t="s">
        <v>675</v>
      </c>
      <c r="D1232" s="11" t="s">
        <v>480</v>
      </c>
      <c r="E1232" s="1">
        <v>0</v>
      </c>
      <c r="G1232" s="2">
        <f t="shared" si="19"/>
        <v>0</v>
      </c>
      <c r="H1232" s="2">
        <v>0</v>
      </c>
    </row>
    <row r="1233" spans="2:8">
      <c r="B1233" t="s">
        <v>196</v>
      </c>
      <c r="C1233" t="s">
        <v>675</v>
      </c>
      <c r="D1233" s="13" t="s">
        <v>481</v>
      </c>
      <c r="E1233" s="1">
        <v>0</v>
      </c>
      <c r="G1233" s="2">
        <f t="shared" si="19"/>
        <v>0</v>
      </c>
      <c r="H1233" s="2">
        <v>0</v>
      </c>
    </row>
    <row r="1234" spans="2:8">
      <c r="B1234" t="s">
        <v>196</v>
      </c>
      <c r="C1234" t="s">
        <v>675</v>
      </c>
      <c r="D1234" s="12" t="s">
        <v>1033</v>
      </c>
      <c r="E1234" s="1">
        <v>0</v>
      </c>
      <c r="G1234" s="2">
        <f t="shared" si="19"/>
        <v>0</v>
      </c>
      <c r="H1234" s="2">
        <v>0</v>
      </c>
    </row>
    <row r="1235" spans="2:8">
      <c r="B1235" t="s">
        <v>250</v>
      </c>
      <c r="C1235" t="s">
        <v>676</v>
      </c>
      <c r="D1235" s="5" t="s">
        <v>474</v>
      </c>
      <c r="E1235" s="1">
        <v>0</v>
      </c>
      <c r="G1235" s="2">
        <f t="shared" si="19"/>
        <v>0</v>
      </c>
      <c r="H1235" s="2">
        <v>0</v>
      </c>
    </row>
    <row r="1236" spans="2:8">
      <c r="B1236" t="s">
        <v>250</v>
      </c>
      <c r="C1236" t="s">
        <v>676</v>
      </c>
      <c r="D1236" s="6" t="s">
        <v>475</v>
      </c>
      <c r="E1236" s="1">
        <v>0</v>
      </c>
      <c r="G1236" s="2">
        <f t="shared" si="19"/>
        <v>0</v>
      </c>
      <c r="H1236" s="2">
        <v>0</v>
      </c>
    </row>
    <row r="1237" spans="2:8">
      <c r="B1237" t="s">
        <v>250</v>
      </c>
      <c r="C1237" t="s">
        <v>676</v>
      </c>
      <c r="D1237" s="7" t="s">
        <v>476</v>
      </c>
      <c r="E1237" s="1">
        <v>0</v>
      </c>
      <c r="G1237" s="2">
        <f t="shared" si="19"/>
        <v>0</v>
      </c>
      <c r="H1237" s="2">
        <v>0</v>
      </c>
    </row>
    <row r="1238" spans="2:8">
      <c r="B1238" t="s">
        <v>250</v>
      </c>
      <c r="C1238" t="s">
        <v>676</v>
      </c>
      <c r="D1238" s="8" t="s">
        <v>477</v>
      </c>
      <c r="E1238" s="1">
        <v>0</v>
      </c>
      <c r="G1238" s="2">
        <f t="shared" si="19"/>
        <v>0</v>
      </c>
      <c r="H1238" s="2">
        <v>0</v>
      </c>
    </row>
    <row r="1239" spans="2:8">
      <c r="B1239" t="s">
        <v>250</v>
      </c>
      <c r="C1239" t="s">
        <v>676</v>
      </c>
      <c r="D1239" s="9" t="s">
        <v>478</v>
      </c>
      <c r="E1239" s="1">
        <v>0</v>
      </c>
      <c r="G1239" s="2">
        <f t="shared" si="19"/>
        <v>0</v>
      </c>
      <c r="H1239" s="2">
        <v>0</v>
      </c>
    </row>
    <row r="1240" spans="2:8">
      <c r="B1240" t="s">
        <v>250</v>
      </c>
      <c r="C1240" t="s">
        <v>676</v>
      </c>
      <c r="D1240" s="10" t="s">
        <v>479</v>
      </c>
      <c r="E1240" s="1">
        <v>0</v>
      </c>
      <c r="G1240" s="2">
        <f t="shared" si="19"/>
        <v>0</v>
      </c>
      <c r="H1240" s="2">
        <v>0</v>
      </c>
    </row>
    <row r="1241" spans="2:8">
      <c r="B1241" t="s">
        <v>250</v>
      </c>
      <c r="C1241" t="s">
        <v>676</v>
      </c>
      <c r="D1241" s="11" t="s">
        <v>480</v>
      </c>
      <c r="E1241" s="1">
        <v>0</v>
      </c>
      <c r="G1241" s="2">
        <f t="shared" si="19"/>
        <v>0</v>
      </c>
      <c r="H1241" s="2">
        <v>0</v>
      </c>
    </row>
    <row r="1242" spans="2:8">
      <c r="B1242" t="s">
        <v>250</v>
      </c>
      <c r="C1242" t="s">
        <v>676</v>
      </c>
      <c r="D1242" s="13" t="s">
        <v>481</v>
      </c>
      <c r="E1242" s="1">
        <v>0</v>
      </c>
      <c r="G1242" s="2">
        <f t="shared" si="19"/>
        <v>0</v>
      </c>
      <c r="H1242" s="2">
        <v>0</v>
      </c>
    </row>
    <row r="1243" spans="2:8">
      <c r="B1243" t="s">
        <v>250</v>
      </c>
      <c r="C1243" t="s">
        <v>676</v>
      </c>
      <c r="D1243" s="12" t="s">
        <v>1033</v>
      </c>
      <c r="E1243" s="1">
        <v>0</v>
      </c>
      <c r="G1243" s="2">
        <f t="shared" si="19"/>
        <v>0</v>
      </c>
      <c r="H1243" s="2">
        <v>0</v>
      </c>
    </row>
    <row r="1244" spans="2:8">
      <c r="B1244" t="s">
        <v>177</v>
      </c>
      <c r="C1244" t="s">
        <v>677</v>
      </c>
      <c r="D1244" s="5" t="s">
        <v>474</v>
      </c>
      <c r="E1244" s="1">
        <v>0</v>
      </c>
      <c r="G1244" s="2">
        <f t="shared" si="19"/>
        <v>0</v>
      </c>
      <c r="H1244" s="2">
        <v>0</v>
      </c>
    </row>
    <row r="1245" spans="2:8">
      <c r="B1245" t="s">
        <v>177</v>
      </c>
      <c r="C1245" t="s">
        <v>677</v>
      </c>
      <c r="D1245" s="6" t="s">
        <v>475</v>
      </c>
      <c r="E1245" s="1">
        <v>0</v>
      </c>
      <c r="G1245" s="2">
        <f t="shared" si="19"/>
        <v>0</v>
      </c>
      <c r="H1245" s="2">
        <v>0</v>
      </c>
    </row>
    <row r="1246" spans="2:8">
      <c r="B1246" t="s">
        <v>177</v>
      </c>
      <c r="C1246" t="s">
        <v>677</v>
      </c>
      <c r="D1246" s="7" t="s">
        <v>476</v>
      </c>
      <c r="E1246" s="1">
        <v>0</v>
      </c>
      <c r="G1246" s="2">
        <f t="shared" si="19"/>
        <v>0</v>
      </c>
      <c r="H1246" s="2">
        <v>0</v>
      </c>
    </row>
    <row r="1247" spans="2:8">
      <c r="B1247" t="s">
        <v>177</v>
      </c>
      <c r="C1247" t="s">
        <v>677</v>
      </c>
      <c r="D1247" s="8" t="s">
        <v>477</v>
      </c>
      <c r="E1247" s="1">
        <v>0</v>
      </c>
      <c r="G1247" s="2">
        <f t="shared" si="19"/>
        <v>0</v>
      </c>
      <c r="H1247" s="2">
        <v>0</v>
      </c>
    </row>
    <row r="1248" spans="2:8">
      <c r="B1248" t="s">
        <v>177</v>
      </c>
      <c r="C1248" t="s">
        <v>677</v>
      </c>
      <c r="D1248" s="9" t="s">
        <v>478</v>
      </c>
      <c r="E1248" s="1">
        <v>0</v>
      </c>
      <c r="G1248" s="2">
        <f t="shared" si="19"/>
        <v>0</v>
      </c>
      <c r="H1248" s="2">
        <v>0</v>
      </c>
    </row>
    <row r="1249" spans="2:8">
      <c r="B1249" t="s">
        <v>177</v>
      </c>
      <c r="C1249" t="s">
        <v>677</v>
      </c>
      <c r="D1249" s="10" t="s">
        <v>479</v>
      </c>
      <c r="E1249" s="1">
        <v>0</v>
      </c>
      <c r="G1249" s="2">
        <f t="shared" si="19"/>
        <v>0</v>
      </c>
      <c r="H1249" s="2">
        <v>0</v>
      </c>
    </row>
    <row r="1250" spans="2:8">
      <c r="B1250" t="s">
        <v>177</v>
      </c>
      <c r="C1250" t="s">
        <v>677</v>
      </c>
      <c r="D1250" s="11" t="s">
        <v>480</v>
      </c>
      <c r="E1250" s="1">
        <v>0</v>
      </c>
      <c r="G1250" s="2">
        <f t="shared" si="19"/>
        <v>0</v>
      </c>
      <c r="H1250" s="2">
        <v>0</v>
      </c>
    </row>
    <row r="1251" spans="2:8">
      <c r="B1251" t="s">
        <v>177</v>
      </c>
      <c r="C1251" t="s">
        <v>677</v>
      </c>
      <c r="D1251" s="13" t="s">
        <v>481</v>
      </c>
      <c r="E1251" s="1">
        <v>0</v>
      </c>
      <c r="G1251" s="2">
        <f t="shared" si="19"/>
        <v>0</v>
      </c>
      <c r="H1251" s="2">
        <v>0</v>
      </c>
    </row>
    <row r="1252" spans="2:8">
      <c r="B1252" t="s">
        <v>177</v>
      </c>
      <c r="C1252" t="s">
        <v>677</v>
      </c>
      <c r="D1252" s="12" t="s">
        <v>1033</v>
      </c>
      <c r="E1252" s="1">
        <v>0</v>
      </c>
      <c r="G1252" s="2">
        <f t="shared" si="19"/>
        <v>0</v>
      </c>
      <c r="H1252" s="2">
        <v>0</v>
      </c>
    </row>
    <row r="1253" spans="2:8">
      <c r="B1253" t="s">
        <v>323</v>
      </c>
      <c r="C1253" t="s">
        <v>678</v>
      </c>
      <c r="D1253" s="5" t="s">
        <v>474</v>
      </c>
      <c r="E1253" s="1">
        <v>0</v>
      </c>
      <c r="G1253" s="2">
        <f t="shared" si="19"/>
        <v>0</v>
      </c>
      <c r="H1253" s="2">
        <v>0</v>
      </c>
    </row>
    <row r="1254" spans="2:8">
      <c r="B1254" t="s">
        <v>323</v>
      </c>
      <c r="C1254" t="s">
        <v>678</v>
      </c>
      <c r="D1254" s="6" t="s">
        <v>475</v>
      </c>
      <c r="E1254" s="1">
        <v>0</v>
      </c>
      <c r="G1254" s="2">
        <f t="shared" si="19"/>
        <v>0</v>
      </c>
      <c r="H1254" s="2">
        <v>0</v>
      </c>
    </row>
    <row r="1255" spans="2:8">
      <c r="B1255" t="s">
        <v>323</v>
      </c>
      <c r="C1255" t="s">
        <v>678</v>
      </c>
      <c r="D1255" s="7" t="s">
        <v>476</v>
      </c>
      <c r="E1255" s="1">
        <v>0</v>
      </c>
      <c r="G1255" s="2">
        <f t="shared" si="19"/>
        <v>0</v>
      </c>
      <c r="H1255" s="2">
        <v>0</v>
      </c>
    </row>
    <row r="1256" spans="2:8">
      <c r="B1256" t="s">
        <v>323</v>
      </c>
      <c r="C1256" t="s">
        <v>678</v>
      </c>
      <c r="D1256" s="8" t="s">
        <v>477</v>
      </c>
      <c r="E1256" s="1">
        <v>0</v>
      </c>
      <c r="G1256" s="2">
        <f t="shared" si="19"/>
        <v>0</v>
      </c>
      <c r="H1256" s="2">
        <v>0</v>
      </c>
    </row>
    <row r="1257" spans="2:8">
      <c r="B1257" t="s">
        <v>323</v>
      </c>
      <c r="C1257" t="s">
        <v>678</v>
      </c>
      <c r="D1257" s="9" t="s">
        <v>478</v>
      </c>
      <c r="E1257" s="1">
        <v>0</v>
      </c>
      <c r="G1257" s="2">
        <f t="shared" si="19"/>
        <v>0</v>
      </c>
      <c r="H1257" s="2">
        <v>0</v>
      </c>
    </row>
    <row r="1258" spans="2:8">
      <c r="B1258" t="s">
        <v>323</v>
      </c>
      <c r="C1258" t="s">
        <v>678</v>
      </c>
      <c r="D1258" s="10" t="s">
        <v>479</v>
      </c>
      <c r="E1258" s="1">
        <v>0</v>
      </c>
      <c r="G1258" s="2">
        <f t="shared" si="19"/>
        <v>0</v>
      </c>
      <c r="H1258" s="2">
        <v>0</v>
      </c>
    </row>
    <row r="1259" spans="2:8">
      <c r="B1259" t="s">
        <v>323</v>
      </c>
      <c r="C1259" t="s">
        <v>678</v>
      </c>
      <c r="D1259" s="11" t="s">
        <v>480</v>
      </c>
      <c r="E1259" s="1">
        <v>0</v>
      </c>
      <c r="G1259" s="2">
        <f t="shared" si="19"/>
        <v>0</v>
      </c>
      <c r="H1259" s="2">
        <v>0</v>
      </c>
    </row>
    <row r="1260" spans="2:8">
      <c r="B1260" t="s">
        <v>323</v>
      </c>
      <c r="C1260" t="s">
        <v>678</v>
      </c>
      <c r="D1260" s="13" t="s">
        <v>481</v>
      </c>
      <c r="E1260" s="1">
        <v>0</v>
      </c>
      <c r="G1260" s="2">
        <f t="shared" si="19"/>
        <v>0</v>
      </c>
      <c r="H1260" s="2">
        <v>0</v>
      </c>
    </row>
    <row r="1261" spans="2:8">
      <c r="B1261" t="s">
        <v>323</v>
      </c>
      <c r="C1261" t="s">
        <v>678</v>
      </c>
      <c r="D1261" s="12" t="s">
        <v>1033</v>
      </c>
      <c r="E1261" s="1">
        <v>0</v>
      </c>
      <c r="G1261" s="2">
        <f t="shared" si="19"/>
        <v>0</v>
      </c>
      <c r="H1261" s="2">
        <v>0</v>
      </c>
    </row>
    <row r="1262" spans="2:8">
      <c r="B1262" t="s">
        <v>278</v>
      </c>
      <c r="C1262" t="s">
        <v>679</v>
      </c>
      <c r="D1262" s="5" t="s">
        <v>474</v>
      </c>
      <c r="E1262" s="1">
        <v>0</v>
      </c>
      <c r="G1262" s="2">
        <f t="shared" si="19"/>
        <v>0</v>
      </c>
      <c r="H1262" s="2">
        <v>0</v>
      </c>
    </row>
    <row r="1263" spans="2:8">
      <c r="B1263" t="s">
        <v>278</v>
      </c>
      <c r="C1263" t="s">
        <v>679</v>
      </c>
      <c r="D1263" s="6" t="s">
        <v>475</v>
      </c>
      <c r="E1263" s="1">
        <v>0</v>
      </c>
      <c r="G1263" s="2">
        <f t="shared" si="19"/>
        <v>0</v>
      </c>
      <c r="H1263" s="2">
        <v>0</v>
      </c>
    </row>
    <row r="1264" spans="2:8">
      <c r="B1264" t="s">
        <v>278</v>
      </c>
      <c r="C1264" t="s">
        <v>679</v>
      </c>
      <c r="D1264" s="7" t="s">
        <v>476</v>
      </c>
      <c r="E1264" s="1">
        <v>0</v>
      </c>
      <c r="G1264" s="2">
        <f t="shared" si="19"/>
        <v>0</v>
      </c>
      <c r="H1264" s="2">
        <v>0</v>
      </c>
    </row>
    <row r="1265" spans="2:8">
      <c r="B1265" t="s">
        <v>278</v>
      </c>
      <c r="C1265" t="s">
        <v>679</v>
      </c>
      <c r="D1265" s="8" t="s">
        <v>477</v>
      </c>
      <c r="E1265" s="1">
        <v>0</v>
      </c>
      <c r="G1265" s="2">
        <f t="shared" si="19"/>
        <v>0</v>
      </c>
      <c r="H1265" s="2">
        <v>0</v>
      </c>
    </row>
    <row r="1266" spans="2:8">
      <c r="B1266" t="s">
        <v>278</v>
      </c>
      <c r="C1266" t="s">
        <v>679</v>
      </c>
      <c r="D1266" s="9" t="s">
        <v>478</v>
      </c>
      <c r="E1266" s="1">
        <v>0</v>
      </c>
      <c r="G1266" s="2">
        <f t="shared" si="19"/>
        <v>0</v>
      </c>
      <c r="H1266" s="2">
        <v>0</v>
      </c>
    </row>
    <row r="1267" spans="2:8">
      <c r="B1267" t="s">
        <v>278</v>
      </c>
      <c r="C1267" t="s">
        <v>679</v>
      </c>
      <c r="D1267" s="10" t="s">
        <v>479</v>
      </c>
      <c r="E1267" s="1">
        <v>0</v>
      </c>
      <c r="G1267" s="2">
        <f t="shared" si="19"/>
        <v>0</v>
      </c>
      <c r="H1267" s="2">
        <v>0</v>
      </c>
    </row>
    <row r="1268" spans="2:8">
      <c r="B1268" t="s">
        <v>278</v>
      </c>
      <c r="C1268" t="s">
        <v>679</v>
      </c>
      <c r="D1268" s="11" t="s">
        <v>480</v>
      </c>
      <c r="E1268" s="1">
        <v>0</v>
      </c>
      <c r="G1268" s="2">
        <f t="shared" si="19"/>
        <v>0</v>
      </c>
      <c r="H1268" s="2">
        <v>0</v>
      </c>
    </row>
    <row r="1269" spans="2:8">
      <c r="B1269" t="s">
        <v>278</v>
      </c>
      <c r="C1269" t="s">
        <v>679</v>
      </c>
      <c r="D1269" s="13" t="s">
        <v>481</v>
      </c>
      <c r="E1269" s="1">
        <v>0</v>
      </c>
      <c r="G1269" s="2">
        <f t="shared" si="19"/>
        <v>0</v>
      </c>
      <c r="H1269" s="2">
        <v>0</v>
      </c>
    </row>
    <row r="1270" spans="2:8">
      <c r="B1270" t="s">
        <v>278</v>
      </c>
      <c r="C1270" t="s">
        <v>679</v>
      </c>
      <c r="D1270" s="12" t="s">
        <v>1033</v>
      </c>
      <c r="E1270" s="1">
        <v>0</v>
      </c>
      <c r="G1270" s="2">
        <f t="shared" si="19"/>
        <v>0</v>
      </c>
      <c r="H1270" s="2">
        <v>0</v>
      </c>
    </row>
    <row r="1271" spans="2:8">
      <c r="B1271" t="s">
        <v>197</v>
      </c>
      <c r="C1271" t="s">
        <v>680</v>
      </c>
      <c r="D1271" s="5" t="s">
        <v>474</v>
      </c>
      <c r="E1271" s="1">
        <v>0</v>
      </c>
      <c r="G1271" s="2">
        <f t="shared" si="19"/>
        <v>0</v>
      </c>
      <c r="H1271" s="2">
        <v>0</v>
      </c>
    </row>
    <row r="1272" spans="2:8">
      <c r="B1272" t="s">
        <v>197</v>
      </c>
      <c r="C1272" t="s">
        <v>680</v>
      </c>
      <c r="D1272" s="6" t="s">
        <v>475</v>
      </c>
      <c r="E1272" s="1">
        <v>0</v>
      </c>
      <c r="G1272" s="2">
        <f t="shared" si="19"/>
        <v>0</v>
      </c>
      <c r="H1272" s="2">
        <v>0</v>
      </c>
    </row>
    <row r="1273" spans="2:8">
      <c r="B1273" t="s">
        <v>197</v>
      </c>
      <c r="C1273" t="s">
        <v>680</v>
      </c>
      <c r="D1273" s="7" t="s">
        <v>476</v>
      </c>
      <c r="E1273" s="1">
        <v>0</v>
      </c>
      <c r="G1273" s="2">
        <f t="shared" si="19"/>
        <v>0</v>
      </c>
      <c r="H1273" s="2">
        <v>0</v>
      </c>
    </row>
    <row r="1274" spans="2:8">
      <c r="B1274" t="s">
        <v>197</v>
      </c>
      <c r="C1274" t="s">
        <v>680</v>
      </c>
      <c r="D1274" s="8" t="s">
        <v>477</v>
      </c>
      <c r="E1274" s="1">
        <v>0</v>
      </c>
      <c r="G1274" s="2">
        <f t="shared" si="19"/>
        <v>0</v>
      </c>
      <c r="H1274" s="2">
        <v>0</v>
      </c>
    </row>
    <row r="1275" spans="2:8">
      <c r="B1275" t="s">
        <v>197</v>
      </c>
      <c r="C1275" t="s">
        <v>680</v>
      </c>
      <c r="D1275" s="9" t="s">
        <v>478</v>
      </c>
      <c r="E1275" s="1">
        <v>0</v>
      </c>
      <c r="G1275" s="2">
        <f t="shared" si="19"/>
        <v>0</v>
      </c>
      <c r="H1275" s="2">
        <v>0</v>
      </c>
    </row>
    <row r="1276" spans="2:8">
      <c r="B1276" t="s">
        <v>197</v>
      </c>
      <c r="C1276" t="s">
        <v>680</v>
      </c>
      <c r="D1276" s="10" t="s">
        <v>479</v>
      </c>
      <c r="E1276" s="1">
        <v>0</v>
      </c>
      <c r="G1276" s="2">
        <f t="shared" si="19"/>
        <v>0</v>
      </c>
      <c r="H1276" s="2">
        <v>0</v>
      </c>
    </row>
    <row r="1277" spans="2:8">
      <c r="B1277" t="s">
        <v>197</v>
      </c>
      <c r="C1277" t="s">
        <v>680</v>
      </c>
      <c r="D1277" s="11" t="s">
        <v>480</v>
      </c>
      <c r="E1277" s="1">
        <v>0</v>
      </c>
      <c r="G1277" s="2">
        <f t="shared" si="19"/>
        <v>0</v>
      </c>
      <c r="H1277" s="2">
        <v>0</v>
      </c>
    </row>
    <row r="1278" spans="2:8">
      <c r="B1278" t="s">
        <v>197</v>
      </c>
      <c r="C1278" t="s">
        <v>680</v>
      </c>
      <c r="D1278" s="13" t="s">
        <v>481</v>
      </c>
      <c r="E1278" s="1">
        <v>0</v>
      </c>
      <c r="G1278" s="2">
        <f t="shared" si="19"/>
        <v>0</v>
      </c>
      <c r="H1278" s="2">
        <v>0</v>
      </c>
    </row>
    <row r="1279" spans="2:8">
      <c r="B1279" t="s">
        <v>197</v>
      </c>
      <c r="C1279" t="s">
        <v>680</v>
      </c>
      <c r="D1279" s="12" t="s">
        <v>1033</v>
      </c>
      <c r="E1279" s="1">
        <v>0</v>
      </c>
      <c r="G1279" s="2">
        <f t="shared" si="19"/>
        <v>0</v>
      </c>
      <c r="H1279" s="2">
        <v>0</v>
      </c>
    </row>
    <row r="1280" spans="2:8">
      <c r="B1280" t="s">
        <v>198</v>
      </c>
      <c r="C1280" t="s">
        <v>681</v>
      </c>
      <c r="D1280" s="5" t="s">
        <v>474</v>
      </c>
      <c r="E1280" s="1">
        <v>0</v>
      </c>
      <c r="G1280" s="2">
        <f t="shared" si="19"/>
        <v>0</v>
      </c>
      <c r="H1280" s="2">
        <v>0</v>
      </c>
    </row>
    <row r="1281" spans="2:8">
      <c r="B1281" t="s">
        <v>198</v>
      </c>
      <c r="C1281" t="s">
        <v>681</v>
      </c>
      <c r="D1281" s="6" t="s">
        <v>475</v>
      </c>
      <c r="E1281" s="1">
        <v>0</v>
      </c>
      <c r="G1281" s="2">
        <f t="shared" si="19"/>
        <v>0</v>
      </c>
      <c r="H1281" s="2">
        <v>0</v>
      </c>
    </row>
    <row r="1282" spans="2:8">
      <c r="B1282" t="s">
        <v>198</v>
      </c>
      <c r="C1282" t="s">
        <v>681</v>
      </c>
      <c r="D1282" s="7" t="s">
        <v>476</v>
      </c>
      <c r="E1282" s="1">
        <v>0</v>
      </c>
      <c r="G1282" s="2">
        <f t="shared" ref="G1282:G1345" si="20">E1282*F1282</f>
        <v>0</v>
      </c>
      <c r="H1282" s="2">
        <v>0</v>
      </c>
    </row>
    <row r="1283" spans="2:8">
      <c r="B1283" t="s">
        <v>198</v>
      </c>
      <c r="C1283" t="s">
        <v>681</v>
      </c>
      <c r="D1283" s="8" t="s">
        <v>477</v>
      </c>
      <c r="E1283" s="1">
        <v>0</v>
      </c>
      <c r="G1283" s="2">
        <f t="shared" si="20"/>
        <v>0</v>
      </c>
      <c r="H1283" s="2">
        <v>0</v>
      </c>
    </row>
    <row r="1284" spans="2:8">
      <c r="B1284" t="s">
        <v>198</v>
      </c>
      <c r="C1284" t="s">
        <v>681</v>
      </c>
      <c r="D1284" s="9" t="s">
        <v>478</v>
      </c>
      <c r="E1284" s="1">
        <v>0</v>
      </c>
      <c r="G1284" s="2">
        <f t="shared" si="20"/>
        <v>0</v>
      </c>
      <c r="H1284" s="2">
        <v>0</v>
      </c>
    </row>
    <row r="1285" spans="2:8">
      <c r="B1285" t="s">
        <v>198</v>
      </c>
      <c r="C1285" t="s">
        <v>681</v>
      </c>
      <c r="D1285" s="10" t="s">
        <v>479</v>
      </c>
      <c r="E1285" s="1">
        <v>0</v>
      </c>
      <c r="G1285" s="2">
        <f t="shared" si="20"/>
        <v>0</v>
      </c>
      <c r="H1285" s="2">
        <v>0</v>
      </c>
    </row>
    <row r="1286" spans="2:8">
      <c r="B1286" t="s">
        <v>198</v>
      </c>
      <c r="C1286" t="s">
        <v>681</v>
      </c>
      <c r="D1286" s="11" t="s">
        <v>480</v>
      </c>
      <c r="E1286" s="1">
        <v>0</v>
      </c>
      <c r="G1286" s="2">
        <f t="shared" si="20"/>
        <v>0</v>
      </c>
      <c r="H1286" s="2">
        <v>0</v>
      </c>
    </row>
    <row r="1287" spans="2:8">
      <c r="B1287" t="s">
        <v>198</v>
      </c>
      <c r="C1287" t="s">
        <v>681</v>
      </c>
      <c r="D1287" s="13" t="s">
        <v>481</v>
      </c>
      <c r="E1287" s="1">
        <v>0</v>
      </c>
      <c r="G1287" s="2">
        <f t="shared" si="20"/>
        <v>0</v>
      </c>
      <c r="H1287" s="2">
        <v>0</v>
      </c>
    </row>
    <row r="1288" spans="2:8">
      <c r="B1288" t="s">
        <v>198</v>
      </c>
      <c r="C1288" t="s">
        <v>681</v>
      </c>
      <c r="D1288" s="12" t="s">
        <v>1033</v>
      </c>
      <c r="E1288" s="1">
        <v>0</v>
      </c>
      <c r="G1288" s="2">
        <f t="shared" si="20"/>
        <v>0</v>
      </c>
      <c r="H1288" s="2">
        <v>0</v>
      </c>
    </row>
    <row r="1289" spans="2:8">
      <c r="B1289" t="s">
        <v>166</v>
      </c>
      <c r="C1289" t="s">
        <v>682</v>
      </c>
      <c r="D1289" s="5" t="s">
        <v>474</v>
      </c>
      <c r="E1289" s="1">
        <v>0</v>
      </c>
      <c r="G1289" s="2">
        <f t="shared" si="20"/>
        <v>0</v>
      </c>
      <c r="H1289" s="2">
        <v>0</v>
      </c>
    </row>
    <row r="1290" spans="2:8">
      <c r="B1290" t="s">
        <v>166</v>
      </c>
      <c r="C1290" t="s">
        <v>682</v>
      </c>
      <c r="D1290" s="6" t="s">
        <v>475</v>
      </c>
      <c r="E1290" s="1">
        <v>0</v>
      </c>
      <c r="G1290" s="2">
        <f t="shared" si="20"/>
        <v>0</v>
      </c>
      <c r="H1290" s="2">
        <v>0</v>
      </c>
    </row>
    <row r="1291" spans="2:8">
      <c r="B1291" t="s">
        <v>166</v>
      </c>
      <c r="C1291" t="s">
        <v>682</v>
      </c>
      <c r="D1291" s="7" t="s">
        <v>476</v>
      </c>
      <c r="E1291" s="1">
        <v>0</v>
      </c>
      <c r="G1291" s="2">
        <f t="shared" si="20"/>
        <v>0</v>
      </c>
      <c r="H1291" s="2">
        <v>0</v>
      </c>
    </row>
    <row r="1292" spans="2:8">
      <c r="B1292" t="s">
        <v>166</v>
      </c>
      <c r="C1292" t="s">
        <v>682</v>
      </c>
      <c r="D1292" s="8" t="s">
        <v>477</v>
      </c>
      <c r="E1292" s="1">
        <v>0</v>
      </c>
      <c r="G1292" s="2">
        <f t="shared" si="20"/>
        <v>0</v>
      </c>
      <c r="H1292" s="2">
        <v>0</v>
      </c>
    </row>
    <row r="1293" spans="2:8">
      <c r="B1293" t="s">
        <v>166</v>
      </c>
      <c r="C1293" t="s">
        <v>682</v>
      </c>
      <c r="D1293" s="9" t="s">
        <v>478</v>
      </c>
      <c r="E1293" s="1">
        <v>0</v>
      </c>
      <c r="G1293" s="2">
        <f t="shared" si="20"/>
        <v>0</v>
      </c>
      <c r="H1293" s="2">
        <v>0</v>
      </c>
    </row>
    <row r="1294" spans="2:8">
      <c r="B1294" t="s">
        <v>166</v>
      </c>
      <c r="C1294" t="s">
        <v>682</v>
      </c>
      <c r="D1294" s="10" t="s">
        <v>479</v>
      </c>
      <c r="E1294" s="1">
        <v>0</v>
      </c>
      <c r="G1294" s="2">
        <f t="shared" si="20"/>
        <v>0</v>
      </c>
      <c r="H1294" s="2">
        <v>0</v>
      </c>
    </row>
    <row r="1295" spans="2:8">
      <c r="B1295" t="s">
        <v>166</v>
      </c>
      <c r="C1295" t="s">
        <v>682</v>
      </c>
      <c r="D1295" s="11" t="s">
        <v>480</v>
      </c>
      <c r="E1295" s="1">
        <v>0</v>
      </c>
      <c r="G1295" s="2">
        <f t="shared" si="20"/>
        <v>0</v>
      </c>
      <c r="H1295" s="2">
        <v>0</v>
      </c>
    </row>
    <row r="1296" spans="2:8">
      <c r="B1296" t="s">
        <v>166</v>
      </c>
      <c r="C1296" t="s">
        <v>682</v>
      </c>
      <c r="D1296" s="13" t="s">
        <v>481</v>
      </c>
      <c r="E1296" s="1">
        <v>0</v>
      </c>
      <c r="G1296" s="2">
        <f t="shared" si="20"/>
        <v>0</v>
      </c>
      <c r="H1296" s="2">
        <v>0</v>
      </c>
    </row>
    <row r="1297" spans="2:8">
      <c r="B1297" t="s">
        <v>166</v>
      </c>
      <c r="C1297" t="s">
        <v>682</v>
      </c>
      <c r="D1297" s="12" t="s">
        <v>1033</v>
      </c>
      <c r="E1297" s="1">
        <v>0</v>
      </c>
      <c r="G1297" s="2">
        <f t="shared" si="20"/>
        <v>0</v>
      </c>
      <c r="H1297" s="2">
        <v>0</v>
      </c>
    </row>
    <row r="1298" spans="2:8">
      <c r="B1298" t="s">
        <v>227</v>
      </c>
      <c r="C1298" t="s">
        <v>683</v>
      </c>
      <c r="D1298" s="5" t="s">
        <v>474</v>
      </c>
      <c r="E1298" s="1">
        <v>0</v>
      </c>
      <c r="G1298" s="2">
        <f t="shared" si="20"/>
        <v>0</v>
      </c>
      <c r="H1298" s="2">
        <v>0</v>
      </c>
    </row>
    <row r="1299" spans="2:8">
      <c r="B1299" t="s">
        <v>227</v>
      </c>
      <c r="C1299" t="s">
        <v>683</v>
      </c>
      <c r="D1299" s="6" t="s">
        <v>475</v>
      </c>
      <c r="E1299" s="1">
        <v>0</v>
      </c>
      <c r="G1299" s="2">
        <f t="shared" si="20"/>
        <v>0</v>
      </c>
      <c r="H1299" s="2">
        <v>0</v>
      </c>
    </row>
    <row r="1300" spans="2:8">
      <c r="B1300" t="s">
        <v>227</v>
      </c>
      <c r="C1300" t="s">
        <v>683</v>
      </c>
      <c r="D1300" s="7" t="s">
        <v>476</v>
      </c>
      <c r="E1300" s="1">
        <v>0</v>
      </c>
      <c r="G1300" s="2">
        <f t="shared" si="20"/>
        <v>0</v>
      </c>
      <c r="H1300" s="2">
        <v>0</v>
      </c>
    </row>
    <row r="1301" spans="2:8">
      <c r="B1301" t="s">
        <v>227</v>
      </c>
      <c r="C1301" t="s">
        <v>683</v>
      </c>
      <c r="D1301" s="8" t="s">
        <v>477</v>
      </c>
      <c r="E1301" s="1">
        <v>0</v>
      </c>
      <c r="G1301" s="2">
        <f t="shared" si="20"/>
        <v>0</v>
      </c>
      <c r="H1301" s="2">
        <v>0</v>
      </c>
    </row>
    <row r="1302" spans="2:8">
      <c r="B1302" t="s">
        <v>227</v>
      </c>
      <c r="C1302" t="s">
        <v>683</v>
      </c>
      <c r="D1302" s="9" t="s">
        <v>478</v>
      </c>
      <c r="E1302" s="1">
        <v>0</v>
      </c>
      <c r="G1302" s="2">
        <f t="shared" si="20"/>
        <v>0</v>
      </c>
      <c r="H1302" s="2">
        <v>0</v>
      </c>
    </row>
    <row r="1303" spans="2:8">
      <c r="B1303" t="s">
        <v>227</v>
      </c>
      <c r="C1303" t="s">
        <v>683</v>
      </c>
      <c r="D1303" s="10" t="s">
        <v>479</v>
      </c>
      <c r="E1303" s="1">
        <v>0</v>
      </c>
      <c r="G1303" s="2">
        <f t="shared" si="20"/>
        <v>0</v>
      </c>
      <c r="H1303" s="2">
        <v>0</v>
      </c>
    </row>
    <row r="1304" spans="2:8">
      <c r="B1304" t="s">
        <v>227</v>
      </c>
      <c r="C1304" t="s">
        <v>683</v>
      </c>
      <c r="D1304" s="11" t="s">
        <v>480</v>
      </c>
      <c r="E1304" s="1">
        <v>0</v>
      </c>
      <c r="G1304" s="2">
        <f t="shared" si="20"/>
        <v>0</v>
      </c>
      <c r="H1304" s="2">
        <v>0</v>
      </c>
    </row>
    <row r="1305" spans="2:8">
      <c r="B1305" t="s">
        <v>227</v>
      </c>
      <c r="C1305" t="s">
        <v>683</v>
      </c>
      <c r="D1305" s="13" t="s">
        <v>481</v>
      </c>
      <c r="E1305" s="1">
        <v>0</v>
      </c>
      <c r="G1305" s="2">
        <f t="shared" si="20"/>
        <v>0</v>
      </c>
      <c r="H1305" s="2">
        <v>0</v>
      </c>
    </row>
    <row r="1306" spans="2:8">
      <c r="B1306" t="s">
        <v>227</v>
      </c>
      <c r="C1306" t="s">
        <v>683</v>
      </c>
      <c r="D1306" s="12" t="s">
        <v>1033</v>
      </c>
      <c r="E1306" s="1">
        <v>0</v>
      </c>
      <c r="G1306" s="2">
        <f t="shared" si="20"/>
        <v>0</v>
      </c>
      <c r="H1306" s="2">
        <v>0</v>
      </c>
    </row>
    <row r="1307" spans="2:8">
      <c r="B1307" t="s">
        <v>224</v>
      </c>
      <c r="C1307" t="s">
        <v>684</v>
      </c>
      <c r="D1307" s="5" t="s">
        <v>474</v>
      </c>
      <c r="E1307" s="1">
        <v>0</v>
      </c>
      <c r="G1307" s="2">
        <f t="shared" si="20"/>
        <v>0</v>
      </c>
      <c r="H1307" s="2">
        <v>0</v>
      </c>
    </row>
    <row r="1308" spans="2:8">
      <c r="B1308" t="s">
        <v>224</v>
      </c>
      <c r="C1308" t="s">
        <v>684</v>
      </c>
      <c r="D1308" s="6" t="s">
        <v>475</v>
      </c>
      <c r="E1308" s="1">
        <v>0</v>
      </c>
      <c r="G1308" s="2">
        <f t="shared" si="20"/>
        <v>0</v>
      </c>
      <c r="H1308" s="2">
        <v>0</v>
      </c>
    </row>
    <row r="1309" spans="2:8">
      <c r="B1309" t="s">
        <v>224</v>
      </c>
      <c r="C1309" t="s">
        <v>684</v>
      </c>
      <c r="D1309" s="7" t="s">
        <v>476</v>
      </c>
      <c r="E1309" s="1">
        <v>0</v>
      </c>
      <c r="G1309" s="2">
        <f t="shared" si="20"/>
        <v>0</v>
      </c>
      <c r="H1309" s="2">
        <v>0</v>
      </c>
    </row>
    <row r="1310" spans="2:8">
      <c r="B1310" t="s">
        <v>224</v>
      </c>
      <c r="C1310" t="s">
        <v>684</v>
      </c>
      <c r="D1310" s="8" t="s">
        <v>477</v>
      </c>
      <c r="E1310" s="1">
        <v>0</v>
      </c>
      <c r="G1310" s="2">
        <f t="shared" si="20"/>
        <v>0</v>
      </c>
      <c r="H1310" s="2">
        <v>0</v>
      </c>
    </row>
    <row r="1311" spans="2:8">
      <c r="B1311" t="s">
        <v>224</v>
      </c>
      <c r="C1311" t="s">
        <v>684</v>
      </c>
      <c r="D1311" s="9" t="s">
        <v>478</v>
      </c>
      <c r="E1311" s="1">
        <v>0</v>
      </c>
      <c r="G1311" s="2">
        <f t="shared" si="20"/>
        <v>0</v>
      </c>
      <c r="H1311" s="2">
        <v>0</v>
      </c>
    </row>
    <row r="1312" spans="2:8">
      <c r="B1312" t="s">
        <v>224</v>
      </c>
      <c r="C1312" t="s">
        <v>684</v>
      </c>
      <c r="D1312" s="10" t="s">
        <v>479</v>
      </c>
      <c r="E1312" s="1">
        <v>0</v>
      </c>
      <c r="G1312" s="2">
        <f t="shared" si="20"/>
        <v>0</v>
      </c>
      <c r="H1312" s="2">
        <v>0</v>
      </c>
    </row>
    <row r="1313" spans="2:8">
      <c r="B1313" t="s">
        <v>224</v>
      </c>
      <c r="C1313" t="s">
        <v>684</v>
      </c>
      <c r="D1313" s="11" t="s">
        <v>480</v>
      </c>
      <c r="E1313" s="1">
        <v>0</v>
      </c>
      <c r="G1313" s="2">
        <f t="shared" si="20"/>
        <v>0</v>
      </c>
      <c r="H1313" s="2">
        <v>0</v>
      </c>
    </row>
    <row r="1314" spans="2:8">
      <c r="B1314" t="s">
        <v>224</v>
      </c>
      <c r="C1314" t="s">
        <v>684</v>
      </c>
      <c r="D1314" s="13" t="s">
        <v>481</v>
      </c>
      <c r="E1314" s="1">
        <v>0</v>
      </c>
      <c r="G1314" s="2">
        <f t="shared" si="20"/>
        <v>0</v>
      </c>
      <c r="H1314" s="2">
        <v>0</v>
      </c>
    </row>
    <row r="1315" spans="2:8">
      <c r="B1315" t="s">
        <v>224</v>
      </c>
      <c r="C1315" t="s">
        <v>684</v>
      </c>
      <c r="D1315" s="12" t="s">
        <v>1033</v>
      </c>
      <c r="E1315" s="1">
        <v>0</v>
      </c>
      <c r="G1315" s="2">
        <f t="shared" si="20"/>
        <v>0</v>
      </c>
      <c r="H1315" s="2">
        <v>0</v>
      </c>
    </row>
    <row r="1316" spans="2:8">
      <c r="B1316" t="s">
        <v>223</v>
      </c>
      <c r="C1316" t="s">
        <v>685</v>
      </c>
      <c r="D1316" s="5" t="s">
        <v>474</v>
      </c>
      <c r="E1316" s="1">
        <v>0</v>
      </c>
      <c r="G1316" s="2">
        <f t="shared" si="20"/>
        <v>0</v>
      </c>
      <c r="H1316" s="2">
        <v>0</v>
      </c>
    </row>
    <row r="1317" spans="2:8">
      <c r="B1317" t="s">
        <v>223</v>
      </c>
      <c r="C1317" t="s">
        <v>685</v>
      </c>
      <c r="D1317" s="6" t="s">
        <v>475</v>
      </c>
      <c r="E1317" s="1">
        <v>0</v>
      </c>
      <c r="G1317" s="2">
        <f t="shared" si="20"/>
        <v>0</v>
      </c>
      <c r="H1317" s="2">
        <v>0</v>
      </c>
    </row>
    <row r="1318" spans="2:8">
      <c r="B1318" t="s">
        <v>223</v>
      </c>
      <c r="C1318" t="s">
        <v>685</v>
      </c>
      <c r="D1318" s="7" t="s">
        <v>476</v>
      </c>
      <c r="E1318" s="1">
        <v>0</v>
      </c>
      <c r="G1318" s="2">
        <f t="shared" si="20"/>
        <v>0</v>
      </c>
      <c r="H1318" s="2">
        <v>0</v>
      </c>
    </row>
    <row r="1319" spans="2:8">
      <c r="B1319" t="s">
        <v>223</v>
      </c>
      <c r="C1319" t="s">
        <v>685</v>
      </c>
      <c r="D1319" s="8" t="s">
        <v>477</v>
      </c>
      <c r="E1319" s="1">
        <v>0</v>
      </c>
      <c r="G1319" s="2">
        <f t="shared" si="20"/>
        <v>0</v>
      </c>
      <c r="H1319" s="2">
        <v>0</v>
      </c>
    </row>
    <row r="1320" spans="2:8">
      <c r="B1320" t="s">
        <v>223</v>
      </c>
      <c r="C1320" t="s">
        <v>685</v>
      </c>
      <c r="D1320" s="9" t="s">
        <v>478</v>
      </c>
      <c r="E1320" s="1">
        <v>0</v>
      </c>
      <c r="G1320" s="2">
        <f t="shared" si="20"/>
        <v>0</v>
      </c>
      <c r="H1320" s="2">
        <v>0</v>
      </c>
    </row>
    <row r="1321" spans="2:8">
      <c r="B1321" t="s">
        <v>223</v>
      </c>
      <c r="C1321" t="s">
        <v>685</v>
      </c>
      <c r="D1321" s="10" t="s">
        <v>479</v>
      </c>
      <c r="E1321" s="1">
        <v>0</v>
      </c>
      <c r="G1321" s="2">
        <f t="shared" si="20"/>
        <v>0</v>
      </c>
      <c r="H1321" s="2">
        <v>0</v>
      </c>
    </row>
    <row r="1322" spans="2:8">
      <c r="B1322" t="s">
        <v>223</v>
      </c>
      <c r="C1322" t="s">
        <v>685</v>
      </c>
      <c r="D1322" s="11" t="s">
        <v>480</v>
      </c>
      <c r="E1322" s="1">
        <v>0</v>
      </c>
      <c r="G1322" s="2">
        <f t="shared" si="20"/>
        <v>0</v>
      </c>
      <c r="H1322" s="2">
        <v>0</v>
      </c>
    </row>
    <row r="1323" spans="2:8">
      <c r="B1323" t="s">
        <v>223</v>
      </c>
      <c r="C1323" t="s">
        <v>685</v>
      </c>
      <c r="D1323" s="13" t="s">
        <v>481</v>
      </c>
      <c r="E1323" s="1">
        <v>0</v>
      </c>
      <c r="G1323" s="2">
        <f t="shared" si="20"/>
        <v>0</v>
      </c>
      <c r="H1323" s="2">
        <v>0</v>
      </c>
    </row>
    <row r="1324" spans="2:8">
      <c r="B1324" t="s">
        <v>223</v>
      </c>
      <c r="C1324" t="s">
        <v>685</v>
      </c>
      <c r="D1324" s="12" t="s">
        <v>1033</v>
      </c>
      <c r="E1324" s="1">
        <v>0</v>
      </c>
      <c r="G1324" s="2">
        <f t="shared" si="20"/>
        <v>0</v>
      </c>
      <c r="H1324" s="2">
        <v>0</v>
      </c>
    </row>
    <row r="1325" spans="2:8">
      <c r="B1325" t="s">
        <v>296</v>
      </c>
      <c r="C1325" t="s">
        <v>686</v>
      </c>
      <c r="D1325" s="5" t="s">
        <v>474</v>
      </c>
      <c r="E1325" s="1">
        <v>0</v>
      </c>
      <c r="G1325" s="2">
        <f t="shared" si="20"/>
        <v>0</v>
      </c>
      <c r="H1325" s="2">
        <v>0</v>
      </c>
    </row>
    <row r="1326" spans="2:8">
      <c r="B1326" t="s">
        <v>296</v>
      </c>
      <c r="C1326" t="s">
        <v>686</v>
      </c>
      <c r="D1326" s="6" t="s">
        <v>475</v>
      </c>
      <c r="E1326" s="1">
        <v>0</v>
      </c>
      <c r="G1326" s="2">
        <f t="shared" si="20"/>
        <v>0</v>
      </c>
      <c r="H1326" s="2">
        <v>0</v>
      </c>
    </row>
    <row r="1327" spans="2:8">
      <c r="B1327" t="s">
        <v>296</v>
      </c>
      <c r="C1327" t="s">
        <v>686</v>
      </c>
      <c r="D1327" s="7" t="s">
        <v>476</v>
      </c>
      <c r="E1327" s="1">
        <v>0</v>
      </c>
      <c r="G1327" s="2">
        <f t="shared" si="20"/>
        <v>0</v>
      </c>
      <c r="H1327" s="2">
        <v>0</v>
      </c>
    </row>
    <row r="1328" spans="2:8">
      <c r="B1328" t="s">
        <v>296</v>
      </c>
      <c r="C1328" t="s">
        <v>686</v>
      </c>
      <c r="D1328" s="8" t="s">
        <v>477</v>
      </c>
      <c r="E1328" s="1">
        <v>0</v>
      </c>
      <c r="G1328" s="2">
        <f t="shared" si="20"/>
        <v>0</v>
      </c>
      <c r="H1328" s="2">
        <v>0</v>
      </c>
    </row>
    <row r="1329" spans="2:8">
      <c r="B1329" t="s">
        <v>296</v>
      </c>
      <c r="C1329" t="s">
        <v>686</v>
      </c>
      <c r="D1329" s="9" t="s">
        <v>478</v>
      </c>
      <c r="E1329" s="1">
        <v>0</v>
      </c>
      <c r="G1329" s="2">
        <f t="shared" si="20"/>
        <v>0</v>
      </c>
      <c r="H1329" s="2">
        <v>0</v>
      </c>
    </row>
    <row r="1330" spans="2:8">
      <c r="B1330" t="s">
        <v>296</v>
      </c>
      <c r="C1330" t="s">
        <v>686</v>
      </c>
      <c r="D1330" s="10" t="s">
        <v>479</v>
      </c>
      <c r="E1330" s="1">
        <v>0</v>
      </c>
      <c r="G1330" s="2">
        <f t="shared" si="20"/>
        <v>0</v>
      </c>
      <c r="H1330" s="2">
        <v>0</v>
      </c>
    </row>
    <row r="1331" spans="2:8">
      <c r="B1331" t="s">
        <v>296</v>
      </c>
      <c r="C1331" t="s">
        <v>686</v>
      </c>
      <c r="D1331" s="11" t="s">
        <v>480</v>
      </c>
      <c r="E1331" s="1">
        <v>0</v>
      </c>
      <c r="G1331" s="2">
        <f t="shared" si="20"/>
        <v>0</v>
      </c>
      <c r="H1331" s="2">
        <v>0</v>
      </c>
    </row>
    <row r="1332" spans="2:8">
      <c r="B1332" t="s">
        <v>296</v>
      </c>
      <c r="C1332" t="s">
        <v>686</v>
      </c>
      <c r="D1332" s="13" t="s">
        <v>481</v>
      </c>
      <c r="E1332" s="1">
        <v>0</v>
      </c>
      <c r="G1332" s="2">
        <f t="shared" si="20"/>
        <v>0</v>
      </c>
      <c r="H1332" s="2">
        <v>0</v>
      </c>
    </row>
    <row r="1333" spans="2:8">
      <c r="B1333" t="s">
        <v>296</v>
      </c>
      <c r="C1333" t="s">
        <v>686</v>
      </c>
      <c r="D1333" s="12" t="s">
        <v>1033</v>
      </c>
      <c r="E1333" s="1">
        <v>0</v>
      </c>
      <c r="G1333" s="2">
        <f t="shared" si="20"/>
        <v>0</v>
      </c>
      <c r="H1333" s="2">
        <v>0</v>
      </c>
    </row>
    <row r="1334" spans="2:8">
      <c r="B1334" t="s">
        <v>884</v>
      </c>
      <c r="C1334" t="s">
        <v>906</v>
      </c>
      <c r="D1334" s="5" t="s">
        <v>474</v>
      </c>
      <c r="E1334" s="1">
        <v>0</v>
      </c>
      <c r="G1334" s="2">
        <f t="shared" si="20"/>
        <v>0</v>
      </c>
      <c r="H1334" s="2">
        <v>0</v>
      </c>
    </row>
    <row r="1335" spans="2:8">
      <c r="B1335" t="s">
        <v>884</v>
      </c>
      <c r="C1335" t="s">
        <v>906</v>
      </c>
      <c r="D1335" s="6" t="s">
        <v>475</v>
      </c>
      <c r="E1335" s="1">
        <v>0</v>
      </c>
      <c r="G1335" s="2">
        <f t="shared" si="20"/>
        <v>0</v>
      </c>
      <c r="H1335" s="2">
        <v>0</v>
      </c>
    </row>
    <row r="1336" spans="2:8">
      <c r="B1336" t="s">
        <v>884</v>
      </c>
      <c r="C1336" t="s">
        <v>906</v>
      </c>
      <c r="D1336" s="7" t="s">
        <v>476</v>
      </c>
      <c r="E1336" s="1">
        <v>0</v>
      </c>
      <c r="G1336" s="2">
        <f t="shared" si="20"/>
        <v>0</v>
      </c>
      <c r="H1336" s="2">
        <v>0</v>
      </c>
    </row>
    <row r="1337" spans="2:8">
      <c r="B1337" t="s">
        <v>884</v>
      </c>
      <c r="C1337" t="s">
        <v>906</v>
      </c>
      <c r="D1337" s="8" t="s">
        <v>477</v>
      </c>
      <c r="E1337" s="1">
        <v>0</v>
      </c>
      <c r="G1337" s="2">
        <f t="shared" si="20"/>
        <v>0</v>
      </c>
      <c r="H1337" s="2">
        <v>0</v>
      </c>
    </row>
    <row r="1338" spans="2:8">
      <c r="B1338" t="s">
        <v>884</v>
      </c>
      <c r="C1338" t="s">
        <v>906</v>
      </c>
      <c r="D1338" s="9" t="s">
        <v>478</v>
      </c>
      <c r="E1338" s="1">
        <v>0</v>
      </c>
      <c r="G1338" s="2">
        <f t="shared" si="20"/>
        <v>0</v>
      </c>
      <c r="H1338" s="2">
        <v>0</v>
      </c>
    </row>
    <row r="1339" spans="2:8">
      <c r="B1339" t="s">
        <v>884</v>
      </c>
      <c r="C1339" t="s">
        <v>906</v>
      </c>
      <c r="D1339" s="10" t="s">
        <v>479</v>
      </c>
      <c r="E1339" s="1">
        <v>0</v>
      </c>
      <c r="G1339" s="2">
        <f t="shared" si="20"/>
        <v>0</v>
      </c>
      <c r="H1339" s="2">
        <v>0</v>
      </c>
    </row>
    <row r="1340" spans="2:8">
      <c r="B1340" t="s">
        <v>884</v>
      </c>
      <c r="C1340" t="s">
        <v>906</v>
      </c>
      <c r="D1340" s="11" t="s">
        <v>480</v>
      </c>
      <c r="E1340" s="1">
        <v>0</v>
      </c>
      <c r="G1340" s="2">
        <f t="shared" si="20"/>
        <v>0</v>
      </c>
      <c r="H1340" s="2">
        <v>0</v>
      </c>
    </row>
    <row r="1341" spans="2:8">
      <c r="B1341" t="s">
        <v>884</v>
      </c>
      <c r="C1341" t="s">
        <v>906</v>
      </c>
      <c r="D1341" s="13" t="s">
        <v>481</v>
      </c>
      <c r="E1341" s="1">
        <v>0</v>
      </c>
      <c r="G1341" s="2">
        <f t="shared" si="20"/>
        <v>0</v>
      </c>
      <c r="H1341" s="2">
        <v>0</v>
      </c>
    </row>
    <row r="1342" spans="2:8">
      <c r="B1342" t="s">
        <v>884</v>
      </c>
      <c r="C1342" t="s">
        <v>906</v>
      </c>
      <c r="D1342" s="12" t="s">
        <v>1033</v>
      </c>
      <c r="E1342" s="1">
        <v>0</v>
      </c>
      <c r="G1342" s="2">
        <f t="shared" si="20"/>
        <v>0</v>
      </c>
      <c r="H1342" s="2">
        <v>0</v>
      </c>
    </row>
    <row r="1343" spans="2:8">
      <c r="B1343" t="s">
        <v>215</v>
      </c>
      <c r="C1343" t="s">
        <v>687</v>
      </c>
      <c r="D1343" s="5" t="s">
        <v>474</v>
      </c>
      <c r="E1343" s="1">
        <v>0</v>
      </c>
      <c r="G1343" s="2">
        <f t="shared" si="20"/>
        <v>0</v>
      </c>
      <c r="H1343" s="2">
        <v>0</v>
      </c>
    </row>
    <row r="1344" spans="2:8">
      <c r="B1344" t="s">
        <v>215</v>
      </c>
      <c r="C1344" t="s">
        <v>687</v>
      </c>
      <c r="D1344" s="6" t="s">
        <v>475</v>
      </c>
      <c r="E1344" s="1">
        <v>0</v>
      </c>
      <c r="G1344" s="2">
        <f t="shared" si="20"/>
        <v>0</v>
      </c>
      <c r="H1344" s="2">
        <v>0</v>
      </c>
    </row>
    <row r="1345" spans="2:8">
      <c r="B1345" t="s">
        <v>215</v>
      </c>
      <c r="C1345" t="s">
        <v>687</v>
      </c>
      <c r="D1345" s="7" t="s">
        <v>476</v>
      </c>
      <c r="E1345" s="1">
        <v>0</v>
      </c>
      <c r="G1345" s="2">
        <f t="shared" si="20"/>
        <v>0</v>
      </c>
      <c r="H1345" s="2">
        <v>0</v>
      </c>
    </row>
    <row r="1346" spans="2:8">
      <c r="B1346" t="s">
        <v>215</v>
      </c>
      <c r="C1346" t="s">
        <v>687</v>
      </c>
      <c r="D1346" s="8" t="s">
        <v>477</v>
      </c>
      <c r="E1346" s="1">
        <v>0</v>
      </c>
      <c r="G1346" s="2">
        <f t="shared" ref="G1346:G1409" si="21">E1346*F1346</f>
        <v>0</v>
      </c>
      <c r="H1346" s="2">
        <v>0</v>
      </c>
    </row>
    <row r="1347" spans="2:8">
      <c r="B1347" t="s">
        <v>215</v>
      </c>
      <c r="C1347" t="s">
        <v>687</v>
      </c>
      <c r="D1347" s="9" t="s">
        <v>478</v>
      </c>
      <c r="E1347" s="1">
        <v>0</v>
      </c>
      <c r="G1347" s="2">
        <f t="shared" si="21"/>
        <v>0</v>
      </c>
      <c r="H1347" s="2">
        <v>0</v>
      </c>
    </row>
    <row r="1348" spans="2:8">
      <c r="B1348" t="s">
        <v>215</v>
      </c>
      <c r="C1348" t="s">
        <v>687</v>
      </c>
      <c r="D1348" s="10" t="s">
        <v>479</v>
      </c>
      <c r="E1348" s="1">
        <v>0</v>
      </c>
      <c r="G1348" s="2">
        <f t="shared" si="21"/>
        <v>0</v>
      </c>
      <c r="H1348" s="2">
        <v>0</v>
      </c>
    </row>
    <row r="1349" spans="2:8">
      <c r="B1349" t="s">
        <v>215</v>
      </c>
      <c r="C1349" t="s">
        <v>687</v>
      </c>
      <c r="D1349" s="11" t="s">
        <v>480</v>
      </c>
      <c r="E1349" s="1">
        <v>0</v>
      </c>
      <c r="G1349" s="2">
        <f t="shared" si="21"/>
        <v>0</v>
      </c>
      <c r="H1349" s="2">
        <v>0</v>
      </c>
    </row>
    <row r="1350" spans="2:8">
      <c r="B1350" t="s">
        <v>215</v>
      </c>
      <c r="C1350" t="s">
        <v>687</v>
      </c>
      <c r="D1350" s="13" t="s">
        <v>481</v>
      </c>
      <c r="E1350" s="1">
        <v>0</v>
      </c>
      <c r="G1350" s="2">
        <f t="shared" si="21"/>
        <v>0</v>
      </c>
      <c r="H1350" s="2">
        <v>0</v>
      </c>
    </row>
    <row r="1351" spans="2:8">
      <c r="B1351" t="s">
        <v>215</v>
      </c>
      <c r="C1351" t="s">
        <v>687</v>
      </c>
      <c r="D1351" s="12" t="s">
        <v>1033</v>
      </c>
      <c r="E1351" s="1">
        <v>0</v>
      </c>
      <c r="G1351" s="2">
        <f t="shared" si="21"/>
        <v>0</v>
      </c>
      <c r="H1351" s="2">
        <v>0</v>
      </c>
    </row>
    <row r="1352" spans="2:8">
      <c r="B1352" t="s">
        <v>216</v>
      </c>
      <c r="C1352" t="s">
        <v>688</v>
      </c>
      <c r="D1352" s="5" t="s">
        <v>474</v>
      </c>
      <c r="E1352" s="1">
        <v>0</v>
      </c>
      <c r="G1352" s="2">
        <f t="shared" si="21"/>
        <v>0</v>
      </c>
      <c r="H1352" s="2">
        <v>0</v>
      </c>
    </row>
    <row r="1353" spans="2:8">
      <c r="B1353" t="s">
        <v>216</v>
      </c>
      <c r="C1353" t="s">
        <v>688</v>
      </c>
      <c r="D1353" s="6" t="s">
        <v>475</v>
      </c>
      <c r="E1353" s="1">
        <v>0</v>
      </c>
      <c r="G1353" s="2">
        <f t="shared" si="21"/>
        <v>0</v>
      </c>
      <c r="H1353" s="2">
        <v>0</v>
      </c>
    </row>
    <row r="1354" spans="2:8">
      <c r="B1354" t="s">
        <v>216</v>
      </c>
      <c r="C1354" t="s">
        <v>688</v>
      </c>
      <c r="D1354" s="7" t="s">
        <v>476</v>
      </c>
      <c r="E1354" s="1">
        <v>0</v>
      </c>
      <c r="G1354" s="2">
        <f t="shared" si="21"/>
        <v>0</v>
      </c>
      <c r="H1354" s="2">
        <v>0</v>
      </c>
    </row>
    <row r="1355" spans="2:8">
      <c r="B1355" t="s">
        <v>216</v>
      </c>
      <c r="C1355" t="s">
        <v>688</v>
      </c>
      <c r="D1355" s="8" t="s">
        <v>477</v>
      </c>
      <c r="E1355" s="1">
        <v>0</v>
      </c>
      <c r="G1355" s="2">
        <f t="shared" si="21"/>
        <v>0</v>
      </c>
      <c r="H1355" s="2">
        <v>0</v>
      </c>
    </row>
    <row r="1356" spans="2:8">
      <c r="B1356" t="s">
        <v>216</v>
      </c>
      <c r="C1356" t="s">
        <v>688</v>
      </c>
      <c r="D1356" s="9" t="s">
        <v>478</v>
      </c>
      <c r="E1356" s="1">
        <v>0</v>
      </c>
      <c r="G1356" s="2">
        <f t="shared" si="21"/>
        <v>0</v>
      </c>
      <c r="H1356" s="2">
        <v>0</v>
      </c>
    </row>
    <row r="1357" spans="2:8">
      <c r="B1357" t="s">
        <v>216</v>
      </c>
      <c r="C1357" t="s">
        <v>688</v>
      </c>
      <c r="D1357" s="10" t="s">
        <v>479</v>
      </c>
      <c r="E1357" s="1">
        <v>0</v>
      </c>
      <c r="G1357" s="2">
        <f t="shared" si="21"/>
        <v>0</v>
      </c>
      <c r="H1357" s="2">
        <v>0</v>
      </c>
    </row>
    <row r="1358" spans="2:8">
      <c r="B1358" t="s">
        <v>216</v>
      </c>
      <c r="C1358" t="s">
        <v>688</v>
      </c>
      <c r="D1358" s="11" t="s">
        <v>480</v>
      </c>
      <c r="E1358" s="1">
        <v>0</v>
      </c>
      <c r="G1358" s="2">
        <f t="shared" si="21"/>
        <v>0</v>
      </c>
      <c r="H1358" s="2">
        <v>0</v>
      </c>
    </row>
    <row r="1359" spans="2:8">
      <c r="B1359" t="s">
        <v>216</v>
      </c>
      <c r="C1359" t="s">
        <v>688</v>
      </c>
      <c r="D1359" s="13" t="s">
        <v>481</v>
      </c>
      <c r="E1359" s="1">
        <v>0</v>
      </c>
      <c r="G1359" s="2">
        <f t="shared" si="21"/>
        <v>0</v>
      </c>
      <c r="H1359" s="2">
        <v>0</v>
      </c>
    </row>
    <row r="1360" spans="2:8">
      <c r="B1360" t="s">
        <v>216</v>
      </c>
      <c r="C1360" t="s">
        <v>688</v>
      </c>
      <c r="D1360" s="12" t="s">
        <v>1033</v>
      </c>
      <c r="E1360" s="1">
        <v>0</v>
      </c>
      <c r="G1360" s="2">
        <f t="shared" si="21"/>
        <v>0</v>
      </c>
      <c r="H1360" s="2">
        <v>0</v>
      </c>
    </row>
    <row r="1361" spans="2:8">
      <c r="B1361" t="s">
        <v>217</v>
      </c>
      <c r="C1361" t="s">
        <v>689</v>
      </c>
      <c r="D1361" s="5" t="s">
        <v>474</v>
      </c>
      <c r="E1361" s="1">
        <v>0</v>
      </c>
      <c r="G1361" s="2">
        <f t="shared" si="21"/>
        <v>0</v>
      </c>
      <c r="H1361" s="2">
        <v>0</v>
      </c>
    </row>
    <row r="1362" spans="2:8">
      <c r="B1362" t="s">
        <v>217</v>
      </c>
      <c r="C1362" t="s">
        <v>689</v>
      </c>
      <c r="D1362" s="6" t="s">
        <v>475</v>
      </c>
      <c r="E1362" s="1">
        <v>0</v>
      </c>
      <c r="G1362" s="2">
        <f t="shared" si="21"/>
        <v>0</v>
      </c>
      <c r="H1362" s="2">
        <v>0</v>
      </c>
    </row>
    <row r="1363" spans="2:8">
      <c r="B1363" t="s">
        <v>217</v>
      </c>
      <c r="C1363" t="s">
        <v>689</v>
      </c>
      <c r="D1363" s="7" t="s">
        <v>476</v>
      </c>
      <c r="E1363" s="1">
        <v>0</v>
      </c>
      <c r="G1363" s="2">
        <f t="shared" si="21"/>
        <v>0</v>
      </c>
      <c r="H1363" s="2">
        <v>0</v>
      </c>
    </row>
    <row r="1364" spans="2:8">
      <c r="B1364" t="s">
        <v>217</v>
      </c>
      <c r="C1364" t="s">
        <v>689</v>
      </c>
      <c r="D1364" s="8" t="s">
        <v>477</v>
      </c>
      <c r="E1364" s="1">
        <v>0</v>
      </c>
      <c r="G1364" s="2">
        <f t="shared" si="21"/>
        <v>0</v>
      </c>
      <c r="H1364" s="2">
        <v>0</v>
      </c>
    </row>
    <row r="1365" spans="2:8">
      <c r="B1365" t="s">
        <v>217</v>
      </c>
      <c r="C1365" t="s">
        <v>689</v>
      </c>
      <c r="D1365" s="9" t="s">
        <v>478</v>
      </c>
      <c r="E1365" s="1">
        <v>0</v>
      </c>
      <c r="G1365" s="2">
        <f t="shared" si="21"/>
        <v>0</v>
      </c>
      <c r="H1365" s="2">
        <v>0</v>
      </c>
    </row>
    <row r="1366" spans="2:8">
      <c r="B1366" t="s">
        <v>217</v>
      </c>
      <c r="C1366" t="s">
        <v>689</v>
      </c>
      <c r="D1366" s="10" t="s">
        <v>479</v>
      </c>
      <c r="E1366" s="1">
        <v>0</v>
      </c>
      <c r="G1366" s="2">
        <f t="shared" si="21"/>
        <v>0</v>
      </c>
      <c r="H1366" s="2">
        <v>0</v>
      </c>
    </row>
    <row r="1367" spans="2:8">
      <c r="B1367" t="s">
        <v>217</v>
      </c>
      <c r="C1367" t="s">
        <v>689</v>
      </c>
      <c r="D1367" s="11" t="s">
        <v>480</v>
      </c>
      <c r="E1367" s="1">
        <v>0</v>
      </c>
      <c r="G1367" s="2">
        <f t="shared" si="21"/>
        <v>0</v>
      </c>
      <c r="H1367" s="2">
        <v>0</v>
      </c>
    </row>
    <row r="1368" spans="2:8">
      <c r="B1368" t="s">
        <v>217</v>
      </c>
      <c r="C1368" t="s">
        <v>689</v>
      </c>
      <c r="D1368" s="13" t="s">
        <v>481</v>
      </c>
      <c r="E1368" s="1">
        <v>0</v>
      </c>
      <c r="G1368" s="2">
        <f t="shared" si="21"/>
        <v>0</v>
      </c>
      <c r="H1368" s="2">
        <v>0</v>
      </c>
    </row>
    <row r="1369" spans="2:8">
      <c r="B1369" t="s">
        <v>217</v>
      </c>
      <c r="C1369" t="s">
        <v>689</v>
      </c>
      <c r="D1369" s="12" t="s">
        <v>1033</v>
      </c>
      <c r="E1369" s="1">
        <v>0</v>
      </c>
      <c r="G1369" s="2">
        <f t="shared" si="21"/>
        <v>0</v>
      </c>
      <c r="H1369" s="2">
        <v>0</v>
      </c>
    </row>
    <row r="1370" spans="2:8">
      <c r="B1370" t="s">
        <v>225</v>
      </c>
      <c r="C1370" t="s">
        <v>690</v>
      </c>
      <c r="D1370" s="5" t="s">
        <v>474</v>
      </c>
      <c r="E1370" s="1">
        <v>0</v>
      </c>
      <c r="G1370" s="2">
        <f t="shared" si="21"/>
        <v>0</v>
      </c>
      <c r="H1370" s="2">
        <v>0</v>
      </c>
    </row>
    <row r="1371" spans="2:8">
      <c r="B1371" t="s">
        <v>225</v>
      </c>
      <c r="C1371" t="s">
        <v>690</v>
      </c>
      <c r="D1371" s="6" t="s">
        <v>475</v>
      </c>
      <c r="E1371" s="1">
        <v>0</v>
      </c>
      <c r="G1371" s="2">
        <f t="shared" si="21"/>
        <v>0</v>
      </c>
      <c r="H1371" s="2">
        <v>0</v>
      </c>
    </row>
    <row r="1372" spans="2:8">
      <c r="B1372" t="s">
        <v>225</v>
      </c>
      <c r="C1372" t="s">
        <v>690</v>
      </c>
      <c r="D1372" s="7" t="s">
        <v>476</v>
      </c>
      <c r="E1372" s="1">
        <v>0</v>
      </c>
      <c r="G1372" s="2">
        <f t="shared" si="21"/>
        <v>0</v>
      </c>
      <c r="H1372" s="2">
        <v>0</v>
      </c>
    </row>
    <row r="1373" spans="2:8">
      <c r="B1373" t="s">
        <v>225</v>
      </c>
      <c r="C1373" t="s">
        <v>690</v>
      </c>
      <c r="D1373" s="8" t="s">
        <v>477</v>
      </c>
      <c r="E1373" s="1">
        <v>0</v>
      </c>
      <c r="G1373" s="2">
        <f t="shared" si="21"/>
        <v>0</v>
      </c>
      <c r="H1373" s="2">
        <v>0</v>
      </c>
    </row>
    <row r="1374" spans="2:8">
      <c r="B1374" t="s">
        <v>225</v>
      </c>
      <c r="C1374" t="s">
        <v>690</v>
      </c>
      <c r="D1374" s="9" t="s">
        <v>478</v>
      </c>
      <c r="E1374" s="1">
        <v>0</v>
      </c>
      <c r="G1374" s="2">
        <f t="shared" si="21"/>
        <v>0</v>
      </c>
      <c r="H1374" s="2">
        <v>0</v>
      </c>
    </row>
    <row r="1375" spans="2:8">
      <c r="B1375" t="s">
        <v>225</v>
      </c>
      <c r="C1375" t="s">
        <v>690</v>
      </c>
      <c r="D1375" s="10" t="s">
        <v>479</v>
      </c>
      <c r="E1375" s="1">
        <v>0</v>
      </c>
      <c r="G1375" s="2">
        <f t="shared" si="21"/>
        <v>0</v>
      </c>
      <c r="H1375" s="2">
        <v>0</v>
      </c>
    </row>
    <row r="1376" spans="2:8">
      <c r="B1376" t="s">
        <v>225</v>
      </c>
      <c r="C1376" t="s">
        <v>690</v>
      </c>
      <c r="D1376" s="11" t="s">
        <v>480</v>
      </c>
      <c r="E1376" s="1">
        <v>0</v>
      </c>
      <c r="G1376" s="2">
        <f t="shared" si="21"/>
        <v>0</v>
      </c>
      <c r="H1376" s="2">
        <v>0</v>
      </c>
    </row>
    <row r="1377" spans="2:8">
      <c r="B1377" t="s">
        <v>225</v>
      </c>
      <c r="C1377" t="s">
        <v>690</v>
      </c>
      <c r="D1377" s="13" t="s">
        <v>481</v>
      </c>
      <c r="E1377" s="1">
        <v>0</v>
      </c>
      <c r="G1377" s="2">
        <f t="shared" si="21"/>
        <v>0</v>
      </c>
      <c r="H1377" s="2">
        <v>0</v>
      </c>
    </row>
    <row r="1378" spans="2:8">
      <c r="B1378" t="s">
        <v>225</v>
      </c>
      <c r="C1378" t="s">
        <v>690</v>
      </c>
      <c r="D1378" s="12" t="s">
        <v>1033</v>
      </c>
      <c r="E1378" s="1">
        <v>0</v>
      </c>
      <c r="G1378" s="2">
        <f t="shared" si="21"/>
        <v>0</v>
      </c>
      <c r="H1378" s="2">
        <v>0</v>
      </c>
    </row>
    <row r="1379" spans="2:8">
      <c r="B1379" t="s">
        <v>222</v>
      </c>
      <c r="C1379" t="s">
        <v>691</v>
      </c>
      <c r="D1379" s="5" t="s">
        <v>474</v>
      </c>
      <c r="E1379" s="1">
        <v>0</v>
      </c>
      <c r="G1379" s="2">
        <f t="shared" si="21"/>
        <v>0</v>
      </c>
      <c r="H1379" s="2">
        <v>0</v>
      </c>
    </row>
    <row r="1380" spans="2:8">
      <c r="B1380" t="s">
        <v>222</v>
      </c>
      <c r="C1380" t="s">
        <v>691</v>
      </c>
      <c r="D1380" s="6" t="s">
        <v>475</v>
      </c>
      <c r="E1380" s="1">
        <v>0</v>
      </c>
      <c r="G1380" s="2">
        <f t="shared" si="21"/>
        <v>0</v>
      </c>
      <c r="H1380" s="2">
        <v>0</v>
      </c>
    </row>
    <row r="1381" spans="2:8">
      <c r="B1381" t="s">
        <v>222</v>
      </c>
      <c r="C1381" t="s">
        <v>691</v>
      </c>
      <c r="D1381" s="7" t="s">
        <v>476</v>
      </c>
      <c r="E1381" s="1">
        <v>0</v>
      </c>
      <c r="G1381" s="2">
        <f t="shared" si="21"/>
        <v>0</v>
      </c>
      <c r="H1381" s="2">
        <v>0</v>
      </c>
    </row>
    <row r="1382" spans="2:8">
      <c r="B1382" t="s">
        <v>222</v>
      </c>
      <c r="C1382" t="s">
        <v>691</v>
      </c>
      <c r="D1382" s="8" t="s">
        <v>477</v>
      </c>
      <c r="E1382" s="1">
        <v>0</v>
      </c>
      <c r="G1382" s="2">
        <f t="shared" si="21"/>
        <v>0</v>
      </c>
      <c r="H1382" s="2">
        <v>0</v>
      </c>
    </row>
    <row r="1383" spans="2:8">
      <c r="B1383" t="s">
        <v>222</v>
      </c>
      <c r="C1383" t="s">
        <v>691</v>
      </c>
      <c r="D1383" s="9" t="s">
        <v>478</v>
      </c>
      <c r="E1383" s="1">
        <v>0</v>
      </c>
      <c r="G1383" s="2">
        <f t="shared" si="21"/>
        <v>0</v>
      </c>
      <c r="H1383" s="2">
        <v>0</v>
      </c>
    </row>
    <row r="1384" spans="2:8">
      <c r="B1384" t="s">
        <v>222</v>
      </c>
      <c r="C1384" t="s">
        <v>691</v>
      </c>
      <c r="D1384" s="10" t="s">
        <v>479</v>
      </c>
      <c r="E1384" s="1">
        <v>0</v>
      </c>
      <c r="G1384" s="2">
        <f t="shared" si="21"/>
        <v>0</v>
      </c>
      <c r="H1384" s="2">
        <v>0</v>
      </c>
    </row>
    <row r="1385" spans="2:8">
      <c r="B1385" t="s">
        <v>222</v>
      </c>
      <c r="C1385" t="s">
        <v>691</v>
      </c>
      <c r="D1385" s="11" t="s">
        <v>480</v>
      </c>
      <c r="E1385" s="1">
        <v>0</v>
      </c>
      <c r="G1385" s="2">
        <f t="shared" si="21"/>
        <v>0</v>
      </c>
      <c r="H1385" s="2">
        <v>0</v>
      </c>
    </row>
    <row r="1386" spans="2:8">
      <c r="B1386" t="s">
        <v>222</v>
      </c>
      <c r="C1386" t="s">
        <v>691</v>
      </c>
      <c r="D1386" s="13" t="s">
        <v>481</v>
      </c>
      <c r="E1386" s="1">
        <v>0</v>
      </c>
      <c r="G1386" s="2">
        <f t="shared" si="21"/>
        <v>0</v>
      </c>
      <c r="H1386" s="2">
        <v>0</v>
      </c>
    </row>
    <row r="1387" spans="2:8">
      <c r="B1387" t="s">
        <v>222</v>
      </c>
      <c r="C1387" t="s">
        <v>691</v>
      </c>
      <c r="D1387" s="12" t="s">
        <v>1033</v>
      </c>
      <c r="E1387" s="1">
        <v>0</v>
      </c>
      <c r="G1387" s="2">
        <f t="shared" si="21"/>
        <v>0</v>
      </c>
      <c r="H1387" s="2">
        <v>0</v>
      </c>
    </row>
    <row r="1388" spans="2:8">
      <c r="B1388" t="s">
        <v>228</v>
      </c>
      <c r="C1388" t="s">
        <v>692</v>
      </c>
      <c r="D1388" s="5" t="s">
        <v>474</v>
      </c>
      <c r="E1388" s="1">
        <v>0</v>
      </c>
      <c r="G1388" s="2">
        <f t="shared" si="21"/>
        <v>0</v>
      </c>
      <c r="H1388" s="2">
        <v>0</v>
      </c>
    </row>
    <row r="1389" spans="2:8">
      <c r="B1389" t="s">
        <v>228</v>
      </c>
      <c r="C1389" t="s">
        <v>692</v>
      </c>
      <c r="D1389" s="6" t="s">
        <v>475</v>
      </c>
      <c r="E1389" s="1">
        <v>0</v>
      </c>
      <c r="G1389" s="2">
        <f t="shared" si="21"/>
        <v>0</v>
      </c>
      <c r="H1389" s="2">
        <v>0</v>
      </c>
    </row>
    <row r="1390" spans="2:8">
      <c r="B1390" t="s">
        <v>228</v>
      </c>
      <c r="C1390" t="s">
        <v>692</v>
      </c>
      <c r="D1390" s="7" t="s">
        <v>476</v>
      </c>
      <c r="E1390" s="1">
        <v>0</v>
      </c>
      <c r="G1390" s="2">
        <f t="shared" si="21"/>
        <v>0</v>
      </c>
      <c r="H1390" s="2">
        <v>0</v>
      </c>
    </row>
    <row r="1391" spans="2:8">
      <c r="B1391" t="s">
        <v>228</v>
      </c>
      <c r="C1391" t="s">
        <v>692</v>
      </c>
      <c r="D1391" s="8" t="s">
        <v>477</v>
      </c>
      <c r="E1391" s="1">
        <v>0</v>
      </c>
      <c r="G1391" s="2">
        <f t="shared" si="21"/>
        <v>0</v>
      </c>
      <c r="H1391" s="2">
        <v>0</v>
      </c>
    </row>
    <row r="1392" spans="2:8">
      <c r="B1392" t="s">
        <v>228</v>
      </c>
      <c r="C1392" t="s">
        <v>692</v>
      </c>
      <c r="D1392" s="9" t="s">
        <v>478</v>
      </c>
      <c r="E1392" s="1">
        <v>0</v>
      </c>
      <c r="G1392" s="2">
        <f t="shared" si="21"/>
        <v>0</v>
      </c>
      <c r="H1392" s="2">
        <v>0</v>
      </c>
    </row>
    <row r="1393" spans="2:8">
      <c r="B1393" t="s">
        <v>228</v>
      </c>
      <c r="C1393" t="s">
        <v>692</v>
      </c>
      <c r="D1393" s="10" t="s">
        <v>479</v>
      </c>
      <c r="E1393" s="1">
        <v>0</v>
      </c>
      <c r="G1393" s="2">
        <f t="shared" si="21"/>
        <v>0</v>
      </c>
      <c r="H1393" s="2">
        <v>0</v>
      </c>
    </row>
    <row r="1394" spans="2:8">
      <c r="B1394" t="s">
        <v>228</v>
      </c>
      <c r="C1394" t="s">
        <v>692</v>
      </c>
      <c r="D1394" s="11" t="s">
        <v>480</v>
      </c>
      <c r="E1394" s="1">
        <v>0</v>
      </c>
      <c r="G1394" s="2">
        <f t="shared" si="21"/>
        <v>0</v>
      </c>
      <c r="H1394" s="2">
        <v>0</v>
      </c>
    </row>
    <row r="1395" spans="2:8">
      <c r="B1395" t="s">
        <v>228</v>
      </c>
      <c r="C1395" t="s">
        <v>692</v>
      </c>
      <c r="D1395" s="13" t="s">
        <v>481</v>
      </c>
      <c r="E1395" s="1">
        <v>0</v>
      </c>
      <c r="G1395" s="2">
        <f t="shared" si="21"/>
        <v>0</v>
      </c>
      <c r="H1395" s="2">
        <v>0</v>
      </c>
    </row>
    <row r="1396" spans="2:8">
      <c r="B1396" t="s">
        <v>228</v>
      </c>
      <c r="C1396" t="s">
        <v>692</v>
      </c>
      <c r="D1396" s="12" t="s">
        <v>1033</v>
      </c>
      <c r="E1396" s="1">
        <v>0</v>
      </c>
      <c r="G1396" s="2">
        <f t="shared" si="21"/>
        <v>0</v>
      </c>
      <c r="H1396" s="2">
        <v>0</v>
      </c>
    </row>
    <row r="1397" spans="2:8">
      <c r="B1397" t="s">
        <v>890</v>
      </c>
      <c r="C1397" t="s">
        <v>907</v>
      </c>
      <c r="D1397" s="5" t="s">
        <v>474</v>
      </c>
      <c r="E1397" s="1">
        <v>0</v>
      </c>
      <c r="G1397" s="2">
        <f t="shared" si="21"/>
        <v>0</v>
      </c>
      <c r="H1397" s="2">
        <v>0</v>
      </c>
    </row>
    <row r="1398" spans="2:8">
      <c r="B1398" t="s">
        <v>890</v>
      </c>
      <c r="C1398" t="s">
        <v>907</v>
      </c>
      <c r="D1398" s="6" t="s">
        <v>475</v>
      </c>
      <c r="E1398" s="1">
        <v>0</v>
      </c>
      <c r="G1398" s="2">
        <f t="shared" si="21"/>
        <v>0</v>
      </c>
      <c r="H1398" s="2">
        <v>0</v>
      </c>
    </row>
    <row r="1399" spans="2:8">
      <c r="B1399" t="s">
        <v>890</v>
      </c>
      <c r="C1399" t="s">
        <v>907</v>
      </c>
      <c r="D1399" s="7" t="s">
        <v>476</v>
      </c>
      <c r="E1399" s="1">
        <v>0</v>
      </c>
      <c r="G1399" s="2">
        <f t="shared" si="21"/>
        <v>0</v>
      </c>
      <c r="H1399" s="2">
        <v>0</v>
      </c>
    </row>
    <row r="1400" spans="2:8">
      <c r="B1400" t="s">
        <v>890</v>
      </c>
      <c r="C1400" t="s">
        <v>907</v>
      </c>
      <c r="D1400" s="8" t="s">
        <v>477</v>
      </c>
      <c r="E1400" s="1">
        <v>0</v>
      </c>
      <c r="G1400" s="2">
        <f t="shared" si="21"/>
        <v>0</v>
      </c>
      <c r="H1400" s="2">
        <v>0</v>
      </c>
    </row>
    <row r="1401" spans="2:8">
      <c r="B1401" t="s">
        <v>890</v>
      </c>
      <c r="C1401" t="s">
        <v>907</v>
      </c>
      <c r="D1401" s="9" t="s">
        <v>478</v>
      </c>
      <c r="E1401" s="1">
        <v>0</v>
      </c>
      <c r="G1401" s="2">
        <f t="shared" si="21"/>
        <v>0</v>
      </c>
      <c r="H1401" s="2">
        <v>0</v>
      </c>
    </row>
    <row r="1402" spans="2:8">
      <c r="B1402" t="s">
        <v>890</v>
      </c>
      <c r="C1402" t="s">
        <v>907</v>
      </c>
      <c r="D1402" s="10" t="s">
        <v>479</v>
      </c>
      <c r="E1402" s="1">
        <v>0</v>
      </c>
      <c r="G1402" s="2">
        <f t="shared" si="21"/>
        <v>0</v>
      </c>
      <c r="H1402" s="2">
        <v>0</v>
      </c>
    </row>
    <row r="1403" spans="2:8">
      <c r="B1403" t="s">
        <v>890</v>
      </c>
      <c r="C1403" t="s">
        <v>907</v>
      </c>
      <c r="D1403" s="11" t="s">
        <v>480</v>
      </c>
      <c r="E1403" s="1">
        <v>0</v>
      </c>
      <c r="G1403" s="2">
        <f t="shared" si="21"/>
        <v>0</v>
      </c>
      <c r="H1403" s="2">
        <v>0</v>
      </c>
    </row>
    <row r="1404" spans="2:8">
      <c r="B1404" t="s">
        <v>890</v>
      </c>
      <c r="C1404" t="s">
        <v>907</v>
      </c>
      <c r="D1404" s="13" t="s">
        <v>481</v>
      </c>
      <c r="E1404" s="1">
        <v>0</v>
      </c>
      <c r="G1404" s="2">
        <f t="shared" si="21"/>
        <v>0</v>
      </c>
      <c r="H1404" s="2">
        <v>0</v>
      </c>
    </row>
    <row r="1405" spans="2:8">
      <c r="B1405" t="s">
        <v>890</v>
      </c>
      <c r="C1405" t="s">
        <v>907</v>
      </c>
      <c r="D1405" s="12" t="s">
        <v>1033</v>
      </c>
      <c r="E1405" s="1">
        <v>0</v>
      </c>
      <c r="G1405" s="2">
        <f t="shared" si="21"/>
        <v>0</v>
      </c>
      <c r="H1405" s="2">
        <v>0</v>
      </c>
    </row>
    <row r="1406" spans="2:8">
      <c r="B1406" t="s">
        <v>218</v>
      </c>
      <c r="C1406" t="s">
        <v>693</v>
      </c>
      <c r="D1406" s="5" t="s">
        <v>474</v>
      </c>
      <c r="E1406" s="1">
        <v>0</v>
      </c>
      <c r="G1406" s="2">
        <f t="shared" si="21"/>
        <v>0</v>
      </c>
      <c r="H1406" s="2">
        <v>0</v>
      </c>
    </row>
    <row r="1407" spans="2:8">
      <c r="B1407" t="s">
        <v>218</v>
      </c>
      <c r="C1407" t="s">
        <v>693</v>
      </c>
      <c r="D1407" s="6" t="s">
        <v>475</v>
      </c>
      <c r="E1407" s="1">
        <v>0</v>
      </c>
      <c r="G1407" s="2">
        <f t="shared" si="21"/>
        <v>0</v>
      </c>
      <c r="H1407" s="2">
        <v>0</v>
      </c>
    </row>
    <row r="1408" spans="2:8">
      <c r="B1408" t="s">
        <v>218</v>
      </c>
      <c r="C1408" t="s">
        <v>693</v>
      </c>
      <c r="D1408" s="7" t="s">
        <v>476</v>
      </c>
      <c r="E1408" s="1">
        <v>0</v>
      </c>
      <c r="G1408" s="2">
        <f t="shared" si="21"/>
        <v>0</v>
      </c>
      <c r="H1408" s="2">
        <v>0</v>
      </c>
    </row>
    <row r="1409" spans="2:8">
      <c r="B1409" t="s">
        <v>218</v>
      </c>
      <c r="C1409" t="s">
        <v>693</v>
      </c>
      <c r="D1409" s="8" t="s">
        <v>477</v>
      </c>
      <c r="E1409" s="1">
        <v>0</v>
      </c>
      <c r="G1409" s="2">
        <f t="shared" si="21"/>
        <v>0</v>
      </c>
      <c r="H1409" s="2">
        <v>0</v>
      </c>
    </row>
    <row r="1410" spans="2:8">
      <c r="B1410" t="s">
        <v>218</v>
      </c>
      <c r="C1410" t="s">
        <v>693</v>
      </c>
      <c r="D1410" s="9" t="s">
        <v>478</v>
      </c>
      <c r="E1410" s="1">
        <v>0</v>
      </c>
      <c r="G1410" s="2">
        <f t="shared" ref="G1410:G1473" si="22">E1410*F1410</f>
        <v>0</v>
      </c>
      <c r="H1410" s="2">
        <v>0</v>
      </c>
    </row>
    <row r="1411" spans="2:8">
      <c r="B1411" t="s">
        <v>218</v>
      </c>
      <c r="C1411" t="s">
        <v>693</v>
      </c>
      <c r="D1411" s="10" t="s">
        <v>479</v>
      </c>
      <c r="E1411" s="1">
        <v>0</v>
      </c>
      <c r="G1411" s="2">
        <f t="shared" si="22"/>
        <v>0</v>
      </c>
      <c r="H1411" s="2">
        <v>0</v>
      </c>
    </row>
    <row r="1412" spans="2:8">
      <c r="B1412" t="s">
        <v>218</v>
      </c>
      <c r="C1412" t="s">
        <v>693</v>
      </c>
      <c r="D1412" s="11" t="s">
        <v>480</v>
      </c>
      <c r="E1412" s="1">
        <v>0</v>
      </c>
      <c r="G1412" s="2">
        <f t="shared" si="22"/>
        <v>0</v>
      </c>
      <c r="H1412" s="2">
        <v>0</v>
      </c>
    </row>
    <row r="1413" spans="2:8">
      <c r="B1413" t="s">
        <v>218</v>
      </c>
      <c r="C1413" t="s">
        <v>693</v>
      </c>
      <c r="D1413" s="13" t="s">
        <v>481</v>
      </c>
      <c r="E1413" s="1">
        <v>0</v>
      </c>
      <c r="G1413" s="2">
        <f t="shared" si="22"/>
        <v>0</v>
      </c>
      <c r="H1413" s="2">
        <v>0</v>
      </c>
    </row>
    <row r="1414" spans="2:8">
      <c r="B1414" t="s">
        <v>218</v>
      </c>
      <c r="C1414" t="s">
        <v>693</v>
      </c>
      <c r="D1414" s="12" t="s">
        <v>1033</v>
      </c>
      <c r="E1414" s="1">
        <v>0</v>
      </c>
      <c r="G1414" s="2">
        <f t="shared" si="22"/>
        <v>0</v>
      </c>
      <c r="H1414" s="2">
        <v>0</v>
      </c>
    </row>
    <row r="1415" spans="2:8">
      <c r="B1415" t="s">
        <v>219</v>
      </c>
      <c r="C1415" t="s">
        <v>694</v>
      </c>
      <c r="D1415" s="5" t="s">
        <v>474</v>
      </c>
      <c r="E1415" s="1">
        <v>0</v>
      </c>
      <c r="G1415" s="2">
        <f t="shared" si="22"/>
        <v>0</v>
      </c>
      <c r="H1415" s="2">
        <v>0</v>
      </c>
    </row>
    <row r="1416" spans="2:8">
      <c r="B1416" t="s">
        <v>219</v>
      </c>
      <c r="C1416" t="s">
        <v>694</v>
      </c>
      <c r="D1416" s="6" t="s">
        <v>475</v>
      </c>
      <c r="E1416" s="1">
        <v>0</v>
      </c>
      <c r="G1416" s="2">
        <f t="shared" si="22"/>
        <v>0</v>
      </c>
      <c r="H1416" s="2">
        <v>0</v>
      </c>
    </row>
    <row r="1417" spans="2:8">
      <c r="B1417" t="s">
        <v>219</v>
      </c>
      <c r="C1417" t="s">
        <v>694</v>
      </c>
      <c r="D1417" s="7" t="s">
        <v>476</v>
      </c>
      <c r="E1417" s="1">
        <v>0</v>
      </c>
      <c r="G1417" s="2">
        <f t="shared" si="22"/>
        <v>0</v>
      </c>
      <c r="H1417" s="2">
        <v>0</v>
      </c>
    </row>
    <row r="1418" spans="2:8">
      <c r="B1418" t="s">
        <v>219</v>
      </c>
      <c r="C1418" t="s">
        <v>694</v>
      </c>
      <c r="D1418" s="8" t="s">
        <v>477</v>
      </c>
      <c r="E1418" s="1">
        <v>0</v>
      </c>
      <c r="G1418" s="2">
        <f t="shared" si="22"/>
        <v>0</v>
      </c>
      <c r="H1418" s="2">
        <v>0</v>
      </c>
    </row>
    <row r="1419" spans="2:8">
      <c r="B1419" t="s">
        <v>219</v>
      </c>
      <c r="C1419" t="s">
        <v>694</v>
      </c>
      <c r="D1419" s="9" t="s">
        <v>478</v>
      </c>
      <c r="E1419" s="1">
        <v>0</v>
      </c>
      <c r="G1419" s="2">
        <f t="shared" si="22"/>
        <v>0</v>
      </c>
      <c r="H1419" s="2">
        <v>0</v>
      </c>
    </row>
    <row r="1420" spans="2:8">
      <c r="B1420" t="s">
        <v>219</v>
      </c>
      <c r="C1420" t="s">
        <v>694</v>
      </c>
      <c r="D1420" s="10" t="s">
        <v>479</v>
      </c>
      <c r="E1420" s="1">
        <v>0</v>
      </c>
      <c r="G1420" s="2">
        <f t="shared" si="22"/>
        <v>0</v>
      </c>
      <c r="H1420" s="2">
        <v>0</v>
      </c>
    </row>
    <row r="1421" spans="2:8">
      <c r="B1421" t="s">
        <v>219</v>
      </c>
      <c r="C1421" t="s">
        <v>694</v>
      </c>
      <c r="D1421" s="11" t="s">
        <v>480</v>
      </c>
      <c r="E1421" s="1">
        <v>0</v>
      </c>
      <c r="G1421" s="2">
        <f t="shared" si="22"/>
        <v>0</v>
      </c>
      <c r="H1421" s="2">
        <v>0</v>
      </c>
    </row>
    <row r="1422" spans="2:8">
      <c r="B1422" t="s">
        <v>219</v>
      </c>
      <c r="C1422" t="s">
        <v>694</v>
      </c>
      <c r="D1422" s="13" t="s">
        <v>481</v>
      </c>
      <c r="E1422" s="1">
        <v>0</v>
      </c>
      <c r="G1422" s="2">
        <f t="shared" si="22"/>
        <v>0</v>
      </c>
      <c r="H1422" s="2">
        <v>0</v>
      </c>
    </row>
    <row r="1423" spans="2:8">
      <c r="B1423" t="s">
        <v>219</v>
      </c>
      <c r="C1423" t="s">
        <v>694</v>
      </c>
      <c r="D1423" s="12" t="s">
        <v>1033</v>
      </c>
      <c r="E1423" s="1">
        <v>0</v>
      </c>
      <c r="G1423" s="2">
        <f t="shared" si="22"/>
        <v>0</v>
      </c>
      <c r="H1423" s="2">
        <v>0</v>
      </c>
    </row>
    <row r="1424" spans="2:8">
      <c r="B1424" t="s">
        <v>238</v>
      </c>
      <c r="C1424" t="s">
        <v>695</v>
      </c>
      <c r="D1424" s="5" t="s">
        <v>474</v>
      </c>
      <c r="E1424" s="1">
        <v>0</v>
      </c>
      <c r="G1424" s="2">
        <f t="shared" si="22"/>
        <v>0</v>
      </c>
      <c r="H1424" s="2">
        <v>0</v>
      </c>
    </row>
    <row r="1425" spans="2:8">
      <c r="B1425" t="s">
        <v>238</v>
      </c>
      <c r="C1425" t="s">
        <v>695</v>
      </c>
      <c r="D1425" s="6" t="s">
        <v>475</v>
      </c>
      <c r="E1425" s="1">
        <v>0</v>
      </c>
      <c r="G1425" s="2">
        <f t="shared" si="22"/>
        <v>0</v>
      </c>
      <c r="H1425" s="2">
        <v>0</v>
      </c>
    </row>
    <row r="1426" spans="2:8">
      <c r="B1426" t="s">
        <v>238</v>
      </c>
      <c r="C1426" t="s">
        <v>695</v>
      </c>
      <c r="D1426" s="7" t="s">
        <v>476</v>
      </c>
      <c r="E1426" s="1">
        <v>0</v>
      </c>
      <c r="G1426" s="2">
        <f t="shared" si="22"/>
        <v>0</v>
      </c>
      <c r="H1426" s="2">
        <v>0</v>
      </c>
    </row>
    <row r="1427" spans="2:8">
      <c r="B1427" t="s">
        <v>238</v>
      </c>
      <c r="C1427" t="s">
        <v>695</v>
      </c>
      <c r="D1427" s="8" t="s">
        <v>477</v>
      </c>
      <c r="E1427" s="1">
        <v>0</v>
      </c>
      <c r="G1427" s="2">
        <f t="shared" si="22"/>
        <v>0</v>
      </c>
      <c r="H1427" s="2">
        <v>0</v>
      </c>
    </row>
    <row r="1428" spans="2:8">
      <c r="B1428" t="s">
        <v>238</v>
      </c>
      <c r="C1428" t="s">
        <v>695</v>
      </c>
      <c r="D1428" s="9" t="s">
        <v>478</v>
      </c>
      <c r="E1428" s="1">
        <v>0</v>
      </c>
      <c r="G1428" s="2">
        <f t="shared" si="22"/>
        <v>0</v>
      </c>
      <c r="H1428" s="2">
        <v>0</v>
      </c>
    </row>
    <row r="1429" spans="2:8">
      <c r="B1429" t="s">
        <v>238</v>
      </c>
      <c r="C1429" t="s">
        <v>695</v>
      </c>
      <c r="D1429" s="10" t="s">
        <v>479</v>
      </c>
      <c r="E1429" s="1">
        <v>0</v>
      </c>
      <c r="G1429" s="2">
        <f t="shared" si="22"/>
        <v>0</v>
      </c>
      <c r="H1429" s="2">
        <v>0</v>
      </c>
    </row>
    <row r="1430" spans="2:8">
      <c r="B1430" t="s">
        <v>238</v>
      </c>
      <c r="C1430" t="s">
        <v>695</v>
      </c>
      <c r="D1430" s="11" t="s">
        <v>480</v>
      </c>
      <c r="E1430" s="1">
        <v>0</v>
      </c>
      <c r="G1430" s="2">
        <f t="shared" si="22"/>
        <v>0</v>
      </c>
      <c r="H1430" s="2">
        <v>0</v>
      </c>
    </row>
    <row r="1431" spans="2:8">
      <c r="B1431" t="s">
        <v>238</v>
      </c>
      <c r="C1431" t="s">
        <v>695</v>
      </c>
      <c r="D1431" s="13" t="s">
        <v>481</v>
      </c>
      <c r="E1431" s="1">
        <v>0</v>
      </c>
      <c r="G1431" s="2">
        <f t="shared" si="22"/>
        <v>0</v>
      </c>
      <c r="H1431" s="2">
        <v>0</v>
      </c>
    </row>
    <row r="1432" spans="2:8">
      <c r="B1432" t="s">
        <v>238</v>
      </c>
      <c r="C1432" t="s">
        <v>695</v>
      </c>
      <c r="D1432" s="12" t="s">
        <v>1033</v>
      </c>
      <c r="E1432" s="1">
        <v>0</v>
      </c>
      <c r="G1432" s="2">
        <f t="shared" si="22"/>
        <v>0</v>
      </c>
      <c r="H1432" s="2">
        <v>0</v>
      </c>
    </row>
    <row r="1433" spans="2:8">
      <c r="B1433" t="s">
        <v>239</v>
      </c>
      <c r="C1433" t="s">
        <v>696</v>
      </c>
      <c r="D1433" s="5" t="s">
        <v>474</v>
      </c>
      <c r="E1433" s="1">
        <v>0</v>
      </c>
      <c r="G1433" s="2">
        <f t="shared" si="22"/>
        <v>0</v>
      </c>
      <c r="H1433" s="2">
        <v>0</v>
      </c>
    </row>
    <row r="1434" spans="2:8">
      <c r="B1434" t="s">
        <v>239</v>
      </c>
      <c r="C1434" t="s">
        <v>696</v>
      </c>
      <c r="D1434" s="6" t="s">
        <v>475</v>
      </c>
      <c r="E1434" s="1">
        <v>0</v>
      </c>
      <c r="G1434" s="2">
        <f t="shared" si="22"/>
        <v>0</v>
      </c>
      <c r="H1434" s="2">
        <v>0</v>
      </c>
    </row>
    <row r="1435" spans="2:8">
      <c r="B1435" t="s">
        <v>239</v>
      </c>
      <c r="C1435" t="s">
        <v>696</v>
      </c>
      <c r="D1435" s="7" t="s">
        <v>476</v>
      </c>
      <c r="E1435" s="1">
        <v>0</v>
      </c>
      <c r="G1435" s="2">
        <f t="shared" si="22"/>
        <v>0</v>
      </c>
      <c r="H1435" s="2">
        <v>0</v>
      </c>
    </row>
    <row r="1436" spans="2:8">
      <c r="B1436" t="s">
        <v>239</v>
      </c>
      <c r="C1436" t="s">
        <v>696</v>
      </c>
      <c r="D1436" s="8" t="s">
        <v>477</v>
      </c>
      <c r="E1436" s="1">
        <v>0</v>
      </c>
      <c r="G1436" s="2">
        <f t="shared" si="22"/>
        <v>0</v>
      </c>
      <c r="H1436" s="2">
        <v>0</v>
      </c>
    </row>
    <row r="1437" spans="2:8">
      <c r="B1437" t="s">
        <v>239</v>
      </c>
      <c r="C1437" t="s">
        <v>696</v>
      </c>
      <c r="D1437" s="9" t="s">
        <v>478</v>
      </c>
      <c r="E1437" s="1">
        <v>0</v>
      </c>
      <c r="G1437" s="2">
        <f t="shared" si="22"/>
        <v>0</v>
      </c>
      <c r="H1437" s="2">
        <v>0</v>
      </c>
    </row>
    <row r="1438" spans="2:8">
      <c r="B1438" t="s">
        <v>239</v>
      </c>
      <c r="C1438" t="s">
        <v>696</v>
      </c>
      <c r="D1438" s="10" t="s">
        <v>479</v>
      </c>
      <c r="E1438" s="1">
        <v>0</v>
      </c>
      <c r="G1438" s="2">
        <f t="shared" si="22"/>
        <v>0</v>
      </c>
      <c r="H1438" s="2">
        <v>0</v>
      </c>
    </row>
    <row r="1439" spans="2:8">
      <c r="B1439" t="s">
        <v>239</v>
      </c>
      <c r="C1439" t="s">
        <v>696</v>
      </c>
      <c r="D1439" s="11" t="s">
        <v>480</v>
      </c>
      <c r="E1439" s="1">
        <v>0</v>
      </c>
      <c r="G1439" s="2">
        <f t="shared" si="22"/>
        <v>0</v>
      </c>
      <c r="H1439" s="2">
        <v>0</v>
      </c>
    </row>
    <row r="1440" spans="2:8">
      <c r="B1440" t="s">
        <v>239</v>
      </c>
      <c r="C1440" t="s">
        <v>696</v>
      </c>
      <c r="D1440" s="13" t="s">
        <v>481</v>
      </c>
      <c r="E1440" s="1">
        <v>0</v>
      </c>
      <c r="G1440" s="2">
        <f t="shared" si="22"/>
        <v>0</v>
      </c>
      <c r="H1440" s="2">
        <v>0</v>
      </c>
    </row>
    <row r="1441" spans="2:8">
      <c r="B1441" t="s">
        <v>239</v>
      </c>
      <c r="C1441" t="s">
        <v>696</v>
      </c>
      <c r="D1441" s="12" t="s">
        <v>1033</v>
      </c>
      <c r="E1441" s="1">
        <v>0</v>
      </c>
      <c r="G1441" s="2">
        <f t="shared" si="22"/>
        <v>0</v>
      </c>
      <c r="H1441" s="2">
        <v>0</v>
      </c>
    </row>
    <row r="1442" spans="2:8">
      <c r="B1442" t="s">
        <v>251</v>
      </c>
      <c r="C1442" t="s">
        <v>697</v>
      </c>
      <c r="D1442" s="5" t="s">
        <v>474</v>
      </c>
      <c r="E1442" s="1">
        <v>0</v>
      </c>
      <c r="G1442" s="2">
        <f t="shared" si="22"/>
        <v>0</v>
      </c>
      <c r="H1442" s="2">
        <v>0</v>
      </c>
    </row>
    <row r="1443" spans="2:8">
      <c r="B1443" t="s">
        <v>251</v>
      </c>
      <c r="C1443" t="s">
        <v>697</v>
      </c>
      <c r="D1443" s="6" t="s">
        <v>475</v>
      </c>
      <c r="E1443" s="1">
        <v>0</v>
      </c>
      <c r="G1443" s="2">
        <f t="shared" si="22"/>
        <v>0</v>
      </c>
      <c r="H1443" s="2">
        <v>0</v>
      </c>
    </row>
    <row r="1444" spans="2:8">
      <c r="B1444" t="s">
        <v>251</v>
      </c>
      <c r="C1444" t="s">
        <v>697</v>
      </c>
      <c r="D1444" s="7" t="s">
        <v>476</v>
      </c>
      <c r="E1444" s="1">
        <v>0</v>
      </c>
      <c r="G1444" s="2">
        <f t="shared" si="22"/>
        <v>0</v>
      </c>
      <c r="H1444" s="2">
        <v>0</v>
      </c>
    </row>
    <row r="1445" spans="2:8">
      <c r="B1445" t="s">
        <v>251</v>
      </c>
      <c r="C1445" t="s">
        <v>697</v>
      </c>
      <c r="D1445" s="8" t="s">
        <v>477</v>
      </c>
      <c r="E1445" s="1">
        <v>0</v>
      </c>
      <c r="G1445" s="2">
        <f t="shared" si="22"/>
        <v>0</v>
      </c>
      <c r="H1445" s="2">
        <v>0</v>
      </c>
    </row>
    <row r="1446" spans="2:8">
      <c r="B1446" t="s">
        <v>251</v>
      </c>
      <c r="C1446" t="s">
        <v>697</v>
      </c>
      <c r="D1446" s="9" t="s">
        <v>478</v>
      </c>
      <c r="E1446" s="1">
        <v>0</v>
      </c>
      <c r="G1446" s="2">
        <f t="shared" si="22"/>
        <v>0</v>
      </c>
      <c r="H1446" s="2">
        <v>0</v>
      </c>
    </row>
    <row r="1447" spans="2:8">
      <c r="B1447" t="s">
        <v>251</v>
      </c>
      <c r="C1447" t="s">
        <v>697</v>
      </c>
      <c r="D1447" s="10" t="s">
        <v>479</v>
      </c>
      <c r="E1447" s="1">
        <v>0</v>
      </c>
      <c r="G1447" s="2">
        <f t="shared" si="22"/>
        <v>0</v>
      </c>
      <c r="H1447" s="2">
        <v>0</v>
      </c>
    </row>
    <row r="1448" spans="2:8">
      <c r="B1448" t="s">
        <v>251</v>
      </c>
      <c r="C1448" t="s">
        <v>697</v>
      </c>
      <c r="D1448" s="11" t="s">
        <v>480</v>
      </c>
      <c r="E1448" s="1">
        <v>0</v>
      </c>
      <c r="G1448" s="2">
        <f t="shared" si="22"/>
        <v>0</v>
      </c>
      <c r="H1448" s="2">
        <v>0</v>
      </c>
    </row>
    <row r="1449" spans="2:8">
      <c r="B1449" t="s">
        <v>251</v>
      </c>
      <c r="C1449" t="s">
        <v>697</v>
      </c>
      <c r="D1449" s="13" t="s">
        <v>481</v>
      </c>
      <c r="E1449" s="1">
        <v>0</v>
      </c>
      <c r="G1449" s="2">
        <f t="shared" si="22"/>
        <v>0</v>
      </c>
      <c r="H1449" s="2">
        <v>0</v>
      </c>
    </row>
    <row r="1450" spans="2:8">
      <c r="B1450" t="s">
        <v>251</v>
      </c>
      <c r="C1450" t="s">
        <v>697</v>
      </c>
      <c r="D1450" s="12" t="s">
        <v>1033</v>
      </c>
      <c r="E1450" s="1">
        <v>0</v>
      </c>
      <c r="G1450" s="2">
        <f t="shared" si="22"/>
        <v>0</v>
      </c>
      <c r="H1450" s="2">
        <v>0</v>
      </c>
    </row>
    <row r="1451" spans="2:8">
      <c r="B1451" t="s">
        <v>240</v>
      </c>
      <c r="C1451" t="s">
        <v>698</v>
      </c>
      <c r="D1451" s="5" t="s">
        <v>474</v>
      </c>
      <c r="E1451" s="1">
        <v>0</v>
      </c>
      <c r="G1451" s="2">
        <f t="shared" si="22"/>
        <v>0</v>
      </c>
      <c r="H1451" s="2">
        <v>0</v>
      </c>
    </row>
    <row r="1452" spans="2:8">
      <c r="B1452" t="s">
        <v>240</v>
      </c>
      <c r="C1452" t="s">
        <v>698</v>
      </c>
      <c r="D1452" s="6" t="s">
        <v>475</v>
      </c>
      <c r="E1452" s="1">
        <v>0</v>
      </c>
      <c r="G1452" s="2">
        <f t="shared" si="22"/>
        <v>0</v>
      </c>
      <c r="H1452" s="2">
        <v>0</v>
      </c>
    </row>
    <row r="1453" spans="2:8">
      <c r="B1453" t="s">
        <v>240</v>
      </c>
      <c r="C1453" t="s">
        <v>698</v>
      </c>
      <c r="D1453" s="7" t="s">
        <v>476</v>
      </c>
      <c r="E1453" s="1">
        <v>0</v>
      </c>
      <c r="G1453" s="2">
        <f t="shared" si="22"/>
        <v>0</v>
      </c>
      <c r="H1453" s="2">
        <v>0</v>
      </c>
    </row>
    <row r="1454" spans="2:8">
      <c r="B1454" t="s">
        <v>240</v>
      </c>
      <c r="C1454" t="s">
        <v>698</v>
      </c>
      <c r="D1454" s="8" t="s">
        <v>477</v>
      </c>
      <c r="E1454" s="1">
        <v>0</v>
      </c>
      <c r="G1454" s="2">
        <f t="shared" si="22"/>
        <v>0</v>
      </c>
      <c r="H1454" s="2">
        <v>0</v>
      </c>
    </row>
    <row r="1455" spans="2:8">
      <c r="B1455" t="s">
        <v>240</v>
      </c>
      <c r="C1455" t="s">
        <v>698</v>
      </c>
      <c r="D1455" s="9" t="s">
        <v>478</v>
      </c>
      <c r="E1455" s="1">
        <v>0</v>
      </c>
      <c r="G1455" s="2">
        <f t="shared" si="22"/>
        <v>0</v>
      </c>
      <c r="H1455" s="2">
        <v>0</v>
      </c>
    </row>
    <row r="1456" spans="2:8">
      <c r="B1456" t="s">
        <v>240</v>
      </c>
      <c r="C1456" t="s">
        <v>698</v>
      </c>
      <c r="D1456" s="10" t="s">
        <v>479</v>
      </c>
      <c r="E1456" s="1">
        <v>0</v>
      </c>
      <c r="G1456" s="2">
        <f t="shared" si="22"/>
        <v>0</v>
      </c>
      <c r="H1456" s="2">
        <v>0</v>
      </c>
    </row>
    <row r="1457" spans="2:8">
      <c r="B1457" t="s">
        <v>240</v>
      </c>
      <c r="C1457" t="s">
        <v>698</v>
      </c>
      <c r="D1457" s="11" t="s">
        <v>480</v>
      </c>
      <c r="E1457" s="1">
        <v>0</v>
      </c>
      <c r="G1457" s="2">
        <f t="shared" si="22"/>
        <v>0</v>
      </c>
      <c r="H1457" s="2">
        <v>0</v>
      </c>
    </row>
    <row r="1458" spans="2:8">
      <c r="B1458" t="s">
        <v>240</v>
      </c>
      <c r="C1458" t="s">
        <v>698</v>
      </c>
      <c r="D1458" s="13" t="s">
        <v>481</v>
      </c>
      <c r="E1458" s="1">
        <v>0</v>
      </c>
      <c r="G1458" s="2">
        <f t="shared" si="22"/>
        <v>0</v>
      </c>
      <c r="H1458" s="2">
        <v>0</v>
      </c>
    </row>
    <row r="1459" spans="2:8">
      <c r="B1459" t="s">
        <v>240</v>
      </c>
      <c r="C1459" t="s">
        <v>698</v>
      </c>
      <c r="D1459" s="12" t="s">
        <v>1033</v>
      </c>
      <c r="E1459" s="1">
        <v>0</v>
      </c>
      <c r="G1459" s="2">
        <f t="shared" si="22"/>
        <v>0</v>
      </c>
      <c r="H1459" s="2">
        <v>0</v>
      </c>
    </row>
    <row r="1460" spans="2:8">
      <c r="B1460" t="s">
        <v>252</v>
      </c>
      <c r="C1460" t="s">
        <v>699</v>
      </c>
      <c r="D1460" s="5" t="s">
        <v>474</v>
      </c>
      <c r="E1460" s="1">
        <v>0</v>
      </c>
      <c r="G1460" s="2">
        <f t="shared" si="22"/>
        <v>0</v>
      </c>
      <c r="H1460" s="2">
        <v>0</v>
      </c>
    </row>
    <row r="1461" spans="2:8">
      <c r="B1461" t="s">
        <v>252</v>
      </c>
      <c r="C1461" t="s">
        <v>699</v>
      </c>
      <c r="D1461" s="6" t="s">
        <v>475</v>
      </c>
      <c r="E1461" s="1">
        <v>0</v>
      </c>
      <c r="G1461" s="2">
        <f t="shared" si="22"/>
        <v>0</v>
      </c>
      <c r="H1461" s="2">
        <v>0</v>
      </c>
    </row>
    <row r="1462" spans="2:8">
      <c r="B1462" t="s">
        <v>252</v>
      </c>
      <c r="C1462" t="s">
        <v>699</v>
      </c>
      <c r="D1462" s="7" t="s">
        <v>476</v>
      </c>
      <c r="E1462" s="1">
        <v>0</v>
      </c>
      <c r="G1462" s="2">
        <f t="shared" si="22"/>
        <v>0</v>
      </c>
      <c r="H1462" s="2">
        <v>0</v>
      </c>
    </row>
    <row r="1463" spans="2:8">
      <c r="B1463" t="s">
        <v>252</v>
      </c>
      <c r="C1463" t="s">
        <v>699</v>
      </c>
      <c r="D1463" s="8" t="s">
        <v>477</v>
      </c>
      <c r="E1463" s="1">
        <v>0</v>
      </c>
      <c r="G1463" s="2">
        <f t="shared" si="22"/>
        <v>0</v>
      </c>
      <c r="H1463" s="2">
        <v>0</v>
      </c>
    </row>
    <row r="1464" spans="2:8">
      <c r="B1464" t="s">
        <v>252</v>
      </c>
      <c r="C1464" t="s">
        <v>699</v>
      </c>
      <c r="D1464" s="9" t="s">
        <v>478</v>
      </c>
      <c r="E1464" s="1">
        <v>0</v>
      </c>
      <c r="G1464" s="2">
        <f t="shared" si="22"/>
        <v>0</v>
      </c>
      <c r="H1464" s="2">
        <v>0</v>
      </c>
    </row>
    <row r="1465" spans="2:8">
      <c r="B1465" t="s">
        <v>252</v>
      </c>
      <c r="C1465" t="s">
        <v>699</v>
      </c>
      <c r="D1465" s="10" t="s">
        <v>479</v>
      </c>
      <c r="E1465" s="1">
        <v>0</v>
      </c>
      <c r="G1465" s="2">
        <f t="shared" si="22"/>
        <v>0</v>
      </c>
      <c r="H1465" s="2">
        <v>0</v>
      </c>
    </row>
    <row r="1466" spans="2:8">
      <c r="B1466" t="s">
        <v>252</v>
      </c>
      <c r="C1466" t="s">
        <v>699</v>
      </c>
      <c r="D1466" s="11" t="s">
        <v>480</v>
      </c>
      <c r="E1466" s="1">
        <v>0</v>
      </c>
      <c r="G1466" s="2">
        <f t="shared" si="22"/>
        <v>0</v>
      </c>
      <c r="H1466" s="2">
        <v>0</v>
      </c>
    </row>
    <row r="1467" spans="2:8">
      <c r="B1467" t="s">
        <v>252</v>
      </c>
      <c r="C1467" t="s">
        <v>699</v>
      </c>
      <c r="D1467" s="13" t="s">
        <v>481</v>
      </c>
      <c r="E1467" s="1">
        <v>0</v>
      </c>
      <c r="G1467" s="2">
        <f t="shared" si="22"/>
        <v>0</v>
      </c>
      <c r="H1467" s="2">
        <v>0</v>
      </c>
    </row>
    <row r="1468" spans="2:8">
      <c r="B1468" t="s">
        <v>252</v>
      </c>
      <c r="C1468" t="s">
        <v>699</v>
      </c>
      <c r="D1468" s="12" t="s">
        <v>1033</v>
      </c>
      <c r="E1468" s="1">
        <v>0</v>
      </c>
      <c r="G1468" s="2">
        <f t="shared" si="22"/>
        <v>0</v>
      </c>
      <c r="H1468" s="2">
        <v>0</v>
      </c>
    </row>
    <row r="1469" spans="2:8">
      <c r="B1469" t="s">
        <v>230</v>
      </c>
      <c r="C1469" t="s">
        <v>700</v>
      </c>
      <c r="D1469" s="5" t="s">
        <v>474</v>
      </c>
      <c r="E1469" s="1">
        <v>0</v>
      </c>
      <c r="G1469" s="2">
        <f t="shared" si="22"/>
        <v>0</v>
      </c>
      <c r="H1469" s="2">
        <v>0</v>
      </c>
    </row>
    <row r="1470" spans="2:8">
      <c r="B1470" t="s">
        <v>230</v>
      </c>
      <c r="C1470" t="s">
        <v>700</v>
      </c>
      <c r="D1470" s="6" t="s">
        <v>475</v>
      </c>
      <c r="E1470" s="1">
        <v>0</v>
      </c>
      <c r="G1470" s="2">
        <f t="shared" si="22"/>
        <v>0</v>
      </c>
      <c r="H1470" s="2">
        <v>0</v>
      </c>
    </row>
    <row r="1471" spans="2:8">
      <c r="B1471" t="s">
        <v>230</v>
      </c>
      <c r="C1471" t="s">
        <v>700</v>
      </c>
      <c r="D1471" s="7" t="s">
        <v>476</v>
      </c>
      <c r="E1471" s="1">
        <v>0</v>
      </c>
      <c r="G1471" s="2">
        <f t="shared" si="22"/>
        <v>0</v>
      </c>
      <c r="H1471" s="2">
        <v>0</v>
      </c>
    </row>
    <row r="1472" spans="2:8">
      <c r="B1472" t="s">
        <v>230</v>
      </c>
      <c r="C1472" t="s">
        <v>700</v>
      </c>
      <c r="D1472" s="8" t="s">
        <v>477</v>
      </c>
      <c r="E1472" s="1">
        <v>0</v>
      </c>
      <c r="G1472" s="2">
        <f t="shared" si="22"/>
        <v>0</v>
      </c>
      <c r="H1472" s="2">
        <v>0</v>
      </c>
    </row>
    <row r="1473" spans="2:8">
      <c r="B1473" t="s">
        <v>230</v>
      </c>
      <c r="C1473" t="s">
        <v>700</v>
      </c>
      <c r="D1473" s="9" t="s">
        <v>478</v>
      </c>
      <c r="E1473" s="1">
        <v>0</v>
      </c>
      <c r="G1473" s="2">
        <f t="shared" si="22"/>
        <v>0</v>
      </c>
      <c r="H1473" s="2">
        <v>0</v>
      </c>
    </row>
    <row r="1474" spans="2:8">
      <c r="B1474" t="s">
        <v>230</v>
      </c>
      <c r="C1474" t="s">
        <v>700</v>
      </c>
      <c r="D1474" s="10" t="s">
        <v>479</v>
      </c>
      <c r="E1474" s="1">
        <v>0</v>
      </c>
      <c r="G1474" s="2">
        <f t="shared" ref="G1474:G1537" si="23">E1474*F1474</f>
        <v>0</v>
      </c>
      <c r="H1474" s="2">
        <v>0</v>
      </c>
    </row>
    <row r="1475" spans="2:8">
      <c r="B1475" t="s">
        <v>230</v>
      </c>
      <c r="C1475" t="s">
        <v>700</v>
      </c>
      <c r="D1475" s="11" t="s">
        <v>480</v>
      </c>
      <c r="E1475" s="1">
        <v>0</v>
      </c>
      <c r="G1475" s="2">
        <f t="shared" si="23"/>
        <v>0</v>
      </c>
      <c r="H1475" s="2">
        <v>0</v>
      </c>
    </row>
    <row r="1476" spans="2:8">
      <c r="B1476" t="s">
        <v>230</v>
      </c>
      <c r="C1476" t="s">
        <v>700</v>
      </c>
      <c r="D1476" s="13" t="s">
        <v>481</v>
      </c>
      <c r="E1476" s="1">
        <v>0</v>
      </c>
      <c r="G1476" s="2">
        <f t="shared" si="23"/>
        <v>0</v>
      </c>
      <c r="H1476" s="2">
        <v>0</v>
      </c>
    </row>
    <row r="1477" spans="2:8">
      <c r="B1477" t="s">
        <v>230</v>
      </c>
      <c r="C1477" t="s">
        <v>700</v>
      </c>
      <c r="D1477" s="12" t="s">
        <v>1033</v>
      </c>
      <c r="E1477" s="1">
        <v>0</v>
      </c>
      <c r="G1477" s="2">
        <f t="shared" si="23"/>
        <v>0</v>
      </c>
      <c r="H1477" s="2">
        <v>0</v>
      </c>
    </row>
    <row r="1478" spans="2:8">
      <c r="B1478" t="s">
        <v>232</v>
      </c>
      <c r="C1478" t="s">
        <v>701</v>
      </c>
      <c r="D1478" s="5" t="s">
        <v>474</v>
      </c>
      <c r="E1478" s="1">
        <v>0</v>
      </c>
      <c r="G1478" s="2">
        <f t="shared" si="23"/>
        <v>0</v>
      </c>
      <c r="H1478" s="2">
        <v>0</v>
      </c>
    </row>
    <row r="1479" spans="2:8">
      <c r="B1479" t="s">
        <v>232</v>
      </c>
      <c r="C1479" t="s">
        <v>701</v>
      </c>
      <c r="D1479" s="6" t="s">
        <v>475</v>
      </c>
      <c r="E1479" s="1">
        <v>0</v>
      </c>
      <c r="G1479" s="2">
        <f t="shared" si="23"/>
        <v>0</v>
      </c>
      <c r="H1479" s="2">
        <v>0</v>
      </c>
    </row>
    <row r="1480" spans="2:8">
      <c r="B1480" t="s">
        <v>232</v>
      </c>
      <c r="C1480" t="s">
        <v>701</v>
      </c>
      <c r="D1480" s="7" t="s">
        <v>476</v>
      </c>
      <c r="E1480" s="1">
        <v>0</v>
      </c>
      <c r="G1480" s="2">
        <f t="shared" si="23"/>
        <v>0</v>
      </c>
      <c r="H1480" s="2">
        <v>0</v>
      </c>
    </row>
    <row r="1481" spans="2:8">
      <c r="B1481" t="s">
        <v>232</v>
      </c>
      <c r="C1481" t="s">
        <v>701</v>
      </c>
      <c r="D1481" s="8" t="s">
        <v>477</v>
      </c>
      <c r="E1481" s="1">
        <v>0</v>
      </c>
      <c r="G1481" s="2">
        <f t="shared" si="23"/>
        <v>0</v>
      </c>
      <c r="H1481" s="2">
        <v>0</v>
      </c>
    </row>
    <row r="1482" spans="2:8">
      <c r="B1482" t="s">
        <v>232</v>
      </c>
      <c r="C1482" t="s">
        <v>701</v>
      </c>
      <c r="D1482" s="9" t="s">
        <v>478</v>
      </c>
      <c r="E1482" s="1">
        <v>0</v>
      </c>
      <c r="G1482" s="2">
        <f t="shared" si="23"/>
        <v>0</v>
      </c>
      <c r="H1482" s="2">
        <v>0</v>
      </c>
    </row>
    <row r="1483" spans="2:8">
      <c r="B1483" t="s">
        <v>232</v>
      </c>
      <c r="C1483" t="s">
        <v>701</v>
      </c>
      <c r="D1483" s="10" t="s">
        <v>479</v>
      </c>
      <c r="E1483" s="1">
        <v>0</v>
      </c>
      <c r="G1483" s="2">
        <f t="shared" si="23"/>
        <v>0</v>
      </c>
      <c r="H1483" s="2">
        <v>0</v>
      </c>
    </row>
    <row r="1484" spans="2:8">
      <c r="B1484" t="s">
        <v>232</v>
      </c>
      <c r="C1484" t="s">
        <v>701</v>
      </c>
      <c r="D1484" s="11" t="s">
        <v>480</v>
      </c>
      <c r="E1484" s="1">
        <v>0</v>
      </c>
      <c r="G1484" s="2">
        <f t="shared" si="23"/>
        <v>0</v>
      </c>
      <c r="H1484" s="2">
        <v>0</v>
      </c>
    </row>
    <row r="1485" spans="2:8">
      <c r="B1485" t="s">
        <v>232</v>
      </c>
      <c r="C1485" t="s">
        <v>701</v>
      </c>
      <c r="D1485" s="13" t="s">
        <v>481</v>
      </c>
      <c r="E1485" s="1">
        <v>0</v>
      </c>
      <c r="G1485" s="2">
        <f t="shared" si="23"/>
        <v>0</v>
      </c>
      <c r="H1485" s="2">
        <v>0</v>
      </c>
    </row>
    <row r="1486" spans="2:8">
      <c r="B1486" t="s">
        <v>232</v>
      </c>
      <c r="C1486" t="s">
        <v>701</v>
      </c>
      <c r="D1486" s="12" t="s">
        <v>1033</v>
      </c>
      <c r="E1486" s="1">
        <v>0</v>
      </c>
      <c r="G1486" s="2">
        <f t="shared" si="23"/>
        <v>0</v>
      </c>
      <c r="H1486" s="2">
        <v>0</v>
      </c>
    </row>
    <row r="1487" spans="2:8">
      <c r="B1487" t="s">
        <v>253</v>
      </c>
      <c r="C1487" t="s">
        <v>702</v>
      </c>
      <c r="D1487" s="5" t="s">
        <v>474</v>
      </c>
      <c r="E1487" s="1">
        <v>0</v>
      </c>
      <c r="G1487" s="2">
        <f t="shared" si="23"/>
        <v>0</v>
      </c>
      <c r="H1487" s="2">
        <v>0</v>
      </c>
    </row>
    <row r="1488" spans="2:8">
      <c r="B1488" t="s">
        <v>253</v>
      </c>
      <c r="C1488" t="s">
        <v>702</v>
      </c>
      <c r="D1488" s="6" t="s">
        <v>475</v>
      </c>
      <c r="E1488" s="1">
        <v>0</v>
      </c>
      <c r="G1488" s="2">
        <f t="shared" si="23"/>
        <v>0</v>
      </c>
      <c r="H1488" s="2">
        <v>0</v>
      </c>
    </row>
    <row r="1489" spans="2:8">
      <c r="B1489" t="s">
        <v>253</v>
      </c>
      <c r="C1489" t="s">
        <v>702</v>
      </c>
      <c r="D1489" s="7" t="s">
        <v>476</v>
      </c>
      <c r="E1489" s="1">
        <v>0</v>
      </c>
      <c r="G1489" s="2">
        <f t="shared" si="23"/>
        <v>0</v>
      </c>
      <c r="H1489" s="2">
        <v>0</v>
      </c>
    </row>
    <row r="1490" spans="2:8">
      <c r="B1490" t="s">
        <v>253</v>
      </c>
      <c r="C1490" t="s">
        <v>702</v>
      </c>
      <c r="D1490" s="8" t="s">
        <v>477</v>
      </c>
      <c r="E1490" s="1">
        <v>0</v>
      </c>
      <c r="G1490" s="2">
        <f t="shared" si="23"/>
        <v>0</v>
      </c>
      <c r="H1490" s="2">
        <v>0</v>
      </c>
    </row>
    <row r="1491" spans="2:8">
      <c r="B1491" t="s">
        <v>253</v>
      </c>
      <c r="C1491" t="s">
        <v>702</v>
      </c>
      <c r="D1491" s="9" t="s">
        <v>478</v>
      </c>
      <c r="E1491" s="1">
        <v>0</v>
      </c>
      <c r="G1491" s="2">
        <f t="shared" si="23"/>
        <v>0</v>
      </c>
      <c r="H1491" s="2">
        <v>0</v>
      </c>
    </row>
    <row r="1492" spans="2:8">
      <c r="B1492" t="s">
        <v>253</v>
      </c>
      <c r="C1492" t="s">
        <v>702</v>
      </c>
      <c r="D1492" s="10" t="s">
        <v>479</v>
      </c>
      <c r="E1492" s="1">
        <v>0</v>
      </c>
      <c r="G1492" s="2">
        <f t="shared" si="23"/>
        <v>0</v>
      </c>
      <c r="H1492" s="2">
        <v>0</v>
      </c>
    </row>
    <row r="1493" spans="2:8">
      <c r="B1493" t="s">
        <v>253</v>
      </c>
      <c r="C1493" t="s">
        <v>702</v>
      </c>
      <c r="D1493" s="11" t="s">
        <v>480</v>
      </c>
      <c r="E1493" s="1">
        <v>0</v>
      </c>
      <c r="G1493" s="2">
        <f t="shared" si="23"/>
        <v>0</v>
      </c>
      <c r="H1493" s="2">
        <v>0</v>
      </c>
    </row>
    <row r="1494" spans="2:8">
      <c r="B1494" t="s">
        <v>253</v>
      </c>
      <c r="C1494" t="s">
        <v>702</v>
      </c>
      <c r="D1494" s="13" t="s">
        <v>481</v>
      </c>
      <c r="E1494" s="1">
        <v>0</v>
      </c>
      <c r="G1494" s="2">
        <f t="shared" si="23"/>
        <v>0</v>
      </c>
      <c r="H1494" s="2">
        <v>0</v>
      </c>
    </row>
    <row r="1495" spans="2:8">
      <c r="B1495" t="s">
        <v>253</v>
      </c>
      <c r="C1495" t="s">
        <v>702</v>
      </c>
      <c r="D1495" s="12" t="s">
        <v>1033</v>
      </c>
      <c r="E1495" s="1">
        <v>0</v>
      </c>
      <c r="G1495" s="2">
        <f t="shared" si="23"/>
        <v>0</v>
      </c>
      <c r="H1495" s="2">
        <v>0</v>
      </c>
    </row>
    <row r="1496" spans="2:8">
      <c r="B1496" t="s">
        <v>254</v>
      </c>
      <c r="C1496" t="s">
        <v>703</v>
      </c>
      <c r="D1496" s="5" t="s">
        <v>474</v>
      </c>
      <c r="E1496" s="1">
        <v>0</v>
      </c>
      <c r="G1496" s="2">
        <f t="shared" si="23"/>
        <v>0</v>
      </c>
      <c r="H1496" s="2">
        <v>0</v>
      </c>
    </row>
    <row r="1497" spans="2:8">
      <c r="B1497" t="s">
        <v>254</v>
      </c>
      <c r="C1497" t="s">
        <v>703</v>
      </c>
      <c r="D1497" s="6" t="s">
        <v>475</v>
      </c>
      <c r="E1497" s="1">
        <v>0</v>
      </c>
      <c r="G1497" s="2">
        <f t="shared" si="23"/>
        <v>0</v>
      </c>
      <c r="H1497" s="2">
        <v>0</v>
      </c>
    </row>
    <row r="1498" spans="2:8">
      <c r="B1498" t="s">
        <v>254</v>
      </c>
      <c r="C1498" t="s">
        <v>703</v>
      </c>
      <c r="D1498" s="7" t="s">
        <v>476</v>
      </c>
      <c r="E1498" s="1">
        <v>0</v>
      </c>
      <c r="G1498" s="2">
        <f t="shared" si="23"/>
        <v>0</v>
      </c>
      <c r="H1498" s="2">
        <v>0</v>
      </c>
    </row>
    <row r="1499" spans="2:8">
      <c r="B1499" t="s">
        <v>254</v>
      </c>
      <c r="C1499" t="s">
        <v>703</v>
      </c>
      <c r="D1499" s="8" t="s">
        <v>477</v>
      </c>
      <c r="E1499" s="1">
        <v>0</v>
      </c>
      <c r="G1499" s="2">
        <f t="shared" si="23"/>
        <v>0</v>
      </c>
      <c r="H1499" s="2">
        <v>0</v>
      </c>
    </row>
    <row r="1500" spans="2:8">
      <c r="B1500" t="s">
        <v>254</v>
      </c>
      <c r="C1500" t="s">
        <v>703</v>
      </c>
      <c r="D1500" s="9" t="s">
        <v>478</v>
      </c>
      <c r="E1500" s="1">
        <v>0</v>
      </c>
      <c r="G1500" s="2">
        <f t="shared" si="23"/>
        <v>0</v>
      </c>
      <c r="H1500" s="2">
        <v>0</v>
      </c>
    </row>
    <row r="1501" spans="2:8">
      <c r="B1501" t="s">
        <v>254</v>
      </c>
      <c r="C1501" t="s">
        <v>703</v>
      </c>
      <c r="D1501" s="10" t="s">
        <v>479</v>
      </c>
      <c r="E1501" s="1">
        <v>0</v>
      </c>
      <c r="G1501" s="2">
        <f t="shared" si="23"/>
        <v>0</v>
      </c>
      <c r="H1501" s="2">
        <v>0</v>
      </c>
    </row>
    <row r="1502" spans="2:8">
      <c r="B1502" t="s">
        <v>254</v>
      </c>
      <c r="C1502" t="s">
        <v>703</v>
      </c>
      <c r="D1502" s="11" t="s">
        <v>480</v>
      </c>
      <c r="E1502" s="1">
        <v>0</v>
      </c>
      <c r="G1502" s="2">
        <f t="shared" si="23"/>
        <v>0</v>
      </c>
      <c r="H1502" s="2">
        <v>0</v>
      </c>
    </row>
    <row r="1503" spans="2:8">
      <c r="B1503" t="s">
        <v>254</v>
      </c>
      <c r="C1503" t="s">
        <v>703</v>
      </c>
      <c r="D1503" s="13" t="s">
        <v>481</v>
      </c>
      <c r="E1503" s="1">
        <v>0</v>
      </c>
      <c r="G1503" s="2">
        <f t="shared" si="23"/>
        <v>0</v>
      </c>
      <c r="H1503" s="2">
        <v>0</v>
      </c>
    </row>
    <row r="1504" spans="2:8">
      <c r="B1504" t="s">
        <v>254</v>
      </c>
      <c r="C1504" t="s">
        <v>703</v>
      </c>
      <c r="D1504" s="12" t="s">
        <v>1033</v>
      </c>
      <c r="E1504" s="1">
        <v>0</v>
      </c>
      <c r="G1504" s="2">
        <f t="shared" si="23"/>
        <v>0</v>
      </c>
      <c r="H1504" s="2">
        <v>0</v>
      </c>
    </row>
    <row r="1505" spans="2:8">
      <c r="B1505" t="s">
        <v>255</v>
      </c>
      <c r="C1505" t="s">
        <v>704</v>
      </c>
      <c r="D1505" s="5" t="s">
        <v>474</v>
      </c>
      <c r="E1505" s="1">
        <v>0</v>
      </c>
      <c r="G1505" s="2">
        <f t="shared" si="23"/>
        <v>0</v>
      </c>
      <c r="H1505" s="2">
        <v>0</v>
      </c>
    </row>
    <row r="1506" spans="2:8">
      <c r="B1506" t="s">
        <v>255</v>
      </c>
      <c r="C1506" t="s">
        <v>704</v>
      </c>
      <c r="D1506" s="6" t="s">
        <v>475</v>
      </c>
      <c r="E1506" s="1">
        <v>0</v>
      </c>
      <c r="G1506" s="2">
        <f t="shared" si="23"/>
        <v>0</v>
      </c>
      <c r="H1506" s="2">
        <v>0</v>
      </c>
    </row>
    <row r="1507" spans="2:8">
      <c r="B1507" t="s">
        <v>255</v>
      </c>
      <c r="C1507" t="s">
        <v>704</v>
      </c>
      <c r="D1507" s="7" t="s">
        <v>476</v>
      </c>
      <c r="E1507" s="1">
        <v>0</v>
      </c>
      <c r="G1507" s="2">
        <f t="shared" si="23"/>
        <v>0</v>
      </c>
      <c r="H1507" s="2">
        <v>0</v>
      </c>
    </row>
    <row r="1508" spans="2:8">
      <c r="B1508" t="s">
        <v>255</v>
      </c>
      <c r="C1508" t="s">
        <v>704</v>
      </c>
      <c r="D1508" s="8" t="s">
        <v>477</v>
      </c>
      <c r="E1508" s="1">
        <v>0</v>
      </c>
      <c r="G1508" s="2">
        <f t="shared" si="23"/>
        <v>0</v>
      </c>
      <c r="H1508" s="2">
        <v>0</v>
      </c>
    </row>
    <row r="1509" spans="2:8">
      <c r="B1509" t="s">
        <v>255</v>
      </c>
      <c r="C1509" t="s">
        <v>704</v>
      </c>
      <c r="D1509" s="9" t="s">
        <v>478</v>
      </c>
      <c r="E1509" s="1">
        <v>0</v>
      </c>
      <c r="G1509" s="2">
        <f t="shared" si="23"/>
        <v>0</v>
      </c>
      <c r="H1509" s="2">
        <v>0</v>
      </c>
    </row>
    <row r="1510" spans="2:8">
      <c r="B1510" t="s">
        <v>255</v>
      </c>
      <c r="C1510" t="s">
        <v>704</v>
      </c>
      <c r="D1510" s="10" t="s">
        <v>479</v>
      </c>
      <c r="E1510" s="1">
        <v>0</v>
      </c>
      <c r="G1510" s="2">
        <f t="shared" si="23"/>
        <v>0</v>
      </c>
      <c r="H1510" s="2">
        <v>0</v>
      </c>
    </row>
    <row r="1511" spans="2:8">
      <c r="B1511" t="s">
        <v>255</v>
      </c>
      <c r="C1511" t="s">
        <v>704</v>
      </c>
      <c r="D1511" s="11" t="s">
        <v>480</v>
      </c>
      <c r="E1511" s="1">
        <v>0</v>
      </c>
      <c r="G1511" s="2">
        <f t="shared" si="23"/>
        <v>0</v>
      </c>
      <c r="H1511" s="2">
        <v>0</v>
      </c>
    </row>
    <row r="1512" spans="2:8">
      <c r="B1512" t="s">
        <v>255</v>
      </c>
      <c r="C1512" t="s">
        <v>704</v>
      </c>
      <c r="D1512" s="13" t="s">
        <v>481</v>
      </c>
      <c r="E1512" s="1">
        <v>0</v>
      </c>
      <c r="G1512" s="2">
        <f t="shared" si="23"/>
        <v>0</v>
      </c>
      <c r="H1512" s="2">
        <v>0</v>
      </c>
    </row>
    <row r="1513" spans="2:8">
      <c r="B1513" t="s">
        <v>255</v>
      </c>
      <c r="C1513" t="s">
        <v>704</v>
      </c>
      <c r="D1513" s="12" t="s">
        <v>1033</v>
      </c>
      <c r="E1513" s="1">
        <v>0</v>
      </c>
      <c r="G1513" s="2">
        <f t="shared" si="23"/>
        <v>0</v>
      </c>
      <c r="H1513" s="2">
        <v>0</v>
      </c>
    </row>
    <row r="1514" spans="2:8">
      <c r="B1514" t="s">
        <v>256</v>
      </c>
      <c r="C1514" t="s">
        <v>705</v>
      </c>
      <c r="D1514" s="5" t="s">
        <v>474</v>
      </c>
      <c r="E1514" s="1">
        <v>0</v>
      </c>
      <c r="G1514" s="2">
        <f t="shared" si="23"/>
        <v>0</v>
      </c>
      <c r="H1514" s="2">
        <v>0</v>
      </c>
    </row>
    <row r="1515" spans="2:8">
      <c r="B1515" t="s">
        <v>256</v>
      </c>
      <c r="C1515" t="s">
        <v>705</v>
      </c>
      <c r="D1515" s="6" t="s">
        <v>475</v>
      </c>
      <c r="E1515" s="1">
        <v>0</v>
      </c>
      <c r="G1515" s="2">
        <f t="shared" si="23"/>
        <v>0</v>
      </c>
      <c r="H1515" s="2">
        <v>0</v>
      </c>
    </row>
    <row r="1516" spans="2:8">
      <c r="B1516" t="s">
        <v>256</v>
      </c>
      <c r="C1516" t="s">
        <v>705</v>
      </c>
      <c r="D1516" s="7" t="s">
        <v>476</v>
      </c>
      <c r="E1516" s="1">
        <v>0</v>
      </c>
      <c r="G1516" s="2">
        <f t="shared" si="23"/>
        <v>0</v>
      </c>
      <c r="H1516" s="2">
        <v>0</v>
      </c>
    </row>
    <row r="1517" spans="2:8">
      <c r="B1517" t="s">
        <v>256</v>
      </c>
      <c r="C1517" t="s">
        <v>705</v>
      </c>
      <c r="D1517" s="8" t="s">
        <v>477</v>
      </c>
      <c r="E1517" s="1">
        <v>0</v>
      </c>
      <c r="G1517" s="2">
        <f t="shared" si="23"/>
        <v>0</v>
      </c>
      <c r="H1517" s="2">
        <v>0</v>
      </c>
    </row>
    <row r="1518" spans="2:8">
      <c r="B1518" t="s">
        <v>256</v>
      </c>
      <c r="C1518" t="s">
        <v>705</v>
      </c>
      <c r="D1518" s="9" t="s">
        <v>478</v>
      </c>
      <c r="E1518" s="1">
        <v>0</v>
      </c>
      <c r="G1518" s="2">
        <f t="shared" si="23"/>
        <v>0</v>
      </c>
      <c r="H1518" s="2">
        <v>0</v>
      </c>
    </row>
    <row r="1519" spans="2:8">
      <c r="B1519" t="s">
        <v>256</v>
      </c>
      <c r="C1519" t="s">
        <v>705</v>
      </c>
      <c r="D1519" s="10" t="s">
        <v>479</v>
      </c>
      <c r="E1519" s="1">
        <v>0</v>
      </c>
      <c r="G1519" s="2">
        <f t="shared" si="23"/>
        <v>0</v>
      </c>
      <c r="H1519" s="2">
        <v>0</v>
      </c>
    </row>
    <row r="1520" spans="2:8">
      <c r="B1520" t="s">
        <v>256</v>
      </c>
      <c r="C1520" t="s">
        <v>705</v>
      </c>
      <c r="D1520" s="11" t="s">
        <v>480</v>
      </c>
      <c r="E1520" s="1">
        <v>0</v>
      </c>
      <c r="G1520" s="2">
        <f t="shared" si="23"/>
        <v>0</v>
      </c>
      <c r="H1520" s="2">
        <v>0</v>
      </c>
    </row>
    <row r="1521" spans="2:8">
      <c r="B1521" t="s">
        <v>256</v>
      </c>
      <c r="C1521" t="s">
        <v>705</v>
      </c>
      <c r="D1521" s="13" t="s">
        <v>481</v>
      </c>
      <c r="E1521" s="1">
        <v>0</v>
      </c>
      <c r="G1521" s="2">
        <f t="shared" si="23"/>
        <v>0</v>
      </c>
      <c r="H1521" s="2">
        <v>0</v>
      </c>
    </row>
    <row r="1522" spans="2:8">
      <c r="B1522" t="s">
        <v>256</v>
      </c>
      <c r="C1522" t="s">
        <v>705</v>
      </c>
      <c r="D1522" s="12" t="s">
        <v>1033</v>
      </c>
      <c r="E1522" s="1">
        <v>0</v>
      </c>
      <c r="G1522" s="2">
        <f t="shared" si="23"/>
        <v>0</v>
      </c>
      <c r="H1522" s="2">
        <v>0</v>
      </c>
    </row>
    <row r="1523" spans="2:8">
      <c r="B1523" t="s">
        <v>261</v>
      </c>
      <c r="C1523" t="s">
        <v>706</v>
      </c>
      <c r="D1523" s="5" t="s">
        <v>474</v>
      </c>
      <c r="E1523" s="1">
        <v>0</v>
      </c>
      <c r="G1523" s="2">
        <f t="shared" si="23"/>
        <v>0</v>
      </c>
      <c r="H1523" s="2">
        <v>0</v>
      </c>
    </row>
    <row r="1524" spans="2:8">
      <c r="B1524" t="s">
        <v>261</v>
      </c>
      <c r="C1524" t="s">
        <v>706</v>
      </c>
      <c r="D1524" s="6" t="s">
        <v>475</v>
      </c>
      <c r="E1524" s="1">
        <v>0</v>
      </c>
      <c r="G1524" s="2">
        <f t="shared" si="23"/>
        <v>0</v>
      </c>
      <c r="H1524" s="2">
        <v>0</v>
      </c>
    </row>
    <row r="1525" spans="2:8">
      <c r="B1525" t="s">
        <v>261</v>
      </c>
      <c r="C1525" t="s">
        <v>706</v>
      </c>
      <c r="D1525" s="7" t="s">
        <v>476</v>
      </c>
      <c r="E1525" s="1">
        <v>0</v>
      </c>
      <c r="G1525" s="2">
        <f t="shared" si="23"/>
        <v>0</v>
      </c>
      <c r="H1525" s="2">
        <v>0</v>
      </c>
    </row>
    <row r="1526" spans="2:8">
      <c r="B1526" t="s">
        <v>261</v>
      </c>
      <c r="C1526" t="s">
        <v>706</v>
      </c>
      <c r="D1526" s="8" t="s">
        <v>477</v>
      </c>
      <c r="E1526" s="1">
        <v>0</v>
      </c>
      <c r="G1526" s="2">
        <f t="shared" si="23"/>
        <v>0</v>
      </c>
      <c r="H1526" s="2">
        <v>0</v>
      </c>
    </row>
    <row r="1527" spans="2:8">
      <c r="B1527" t="s">
        <v>261</v>
      </c>
      <c r="C1527" t="s">
        <v>706</v>
      </c>
      <c r="D1527" s="9" t="s">
        <v>478</v>
      </c>
      <c r="E1527" s="1">
        <v>0</v>
      </c>
      <c r="G1527" s="2">
        <f t="shared" si="23"/>
        <v>0</v>
      </c>
      <c r="H1527" s="2">
        <v>0</v>
      </c>
    </row>
    <row r="1528" spans="2:8">
      <c r="B1528" t="s">
        <v>261</v>
      </c>
      <c r="C1528" t="s">
        <v>706</v>
      </c>
      <c r="D1528" s="10" t="s">
        <v>479</v>
      </c>
      <c r="E1528" s="1">
        <v>0</v>
      </c>
      <c r="G1528" s="2">
        <f t="shared" si="23"/>
        <v>0</v>
      </c>
      <c r="H1528" s="2">
        <v>0</v>
      </c>
    </row>
    <row r="1529" spans="2:8">
      <c r="B1529" t="s">
        <v>261</v>
      </c>
      <c r="C1529" t="s">
        <v>706</v>
      </c>
      <c r="D1529" s="11" t="s">
        <v>480</v>
      </c>
      <c r="E1529" s="1">
        <v>0</v>
      </c>
      <c r="G1529" s="2">
        <f t="shared" si="23"/>
        <v>0</v>
      </c>
      <c r="H1529" s="2">
        <v>0</v>
      </c>
    </row>
    <row r="1530" spans="2:8">
      <c r="B1530" t="s">
        <v>261</v>
      </c>
      <c r="C1530" t="s">
        <v>706</v>
      </c>
      <c r="D1530" s="13" t="s">
        <v>481</v>
      </c>
      <c r="E1530" s="1">
        <v>0</v>
      </c>
      <c r="G1530" s="2">
        <f t="shared" si="23"/>
        <v>0</v>
      </c>
      <c r="H1530" s="2">
        <v>0</v>
      </c>
    </row>
    <row r="1531" spans="2:8">
      <c r="B1531" t="s">
        <v>261</v>
      </c>
      <c r="C1531" t="s">
        <v>706</v>
      </c>
      <c r="D1531" s="12" t="s">
        <v>1033</v>
      </c>
      <c r="E1531" s="1">
        <v>0</v>
      </c>
      <c r="G1531" s="2">
        <f t="shared" si="23"/>
        <v>0</v>
      </c>
      <c r="H1531" s="2">
        <v>0</v>
      </c>
    </row>
    <row r="1532" spans="2:8">
      <c r="B1532" t="s">
        <v>257</v>
      </c>
      <c r="C1532" t="s">
        <v>707</v>
      </c>
      <c r="D1532" s="5" t="s">
        <v>474</v>
      </c>
      <c r="E1532" s="1">
        <v>0</v>
      </c>
      <c r="G1532" s="2">
        <f t="shared" si="23"/>
        <v>0</v>
      </c>
      <c r="H1532" s="2">
        <v>0</v>
      </c>
    </row>
    <row r="1533" spans="2:8">
      <c r="B1533" t="s">
        <v>257</v>
      </c>
      <c r="C1533" t="s">
        <v>707</v>
      </c>
      <c r="D1533" s="6" t="s">
        <v>475</v>
      </c>
      <c r="E1533" s="1">
        <v>0</v>
      </c>
      <c r="G1533" s="2">
        <f t="shared" si="23"/>
        <v>0</v>
      </c>
      <c r="H1533" s="2">
        <v>0</v>
      </c>
    </row>
    <row r="1534" spans="2:8">
      <c r="B1534" t="s">
        <v>257</v>
      </c>
      <c r="C1534" t="s">
        <v>707</v>
      </c>
      <c r="D1534" s="7" t="s">
        <v>476</v>
      </c>
      <c r="E1534" s="1">
        <v>0</v>
      </c>
      <c r="G1534" s="2">
        <f t="shared" si="23"/>
        <v>0</v>
      </c>
      <c r="H1534" s="2">
        <v>0</v>
      </c>
    </row>
    <row r="1535" spans="2:8">
      <c r="B1535" t="s">
        <v>257</v>
      </c>
      <c r="C1535" t="s">
        <v>707</v>
      </c>
      <c r="D1535" s="8" t="s">
        <v>477</v>
      </c>
      <c r="E1535" s="1">
        <v>0</v>
      </c>
      <c r="G1535" s="2">
        <f t="shared" si="23"/>
        <v>0</v>
      </c>
      <c r="H1535" s="2">
        <v>0</v>
      </c>
    </row>
    <row r="1536" spans="2:8">
      <c r="B1536" t="s">
        <v>257</v>
      </c>
      <c r="C1536" t="s">
        <v>707</v>
      </c>
      <c r="D1536" s="9" t="s">
        <v>478</v>
      </c>
      <c r="E1536" s="1">
        <v>0</v>
      </c>
      <c r="G1536" s="2">
        <f t="shared" si="23"/>
        <v>0</v>
      </c>
      <c r="H1536" s="2">
        <v>0</v>
      </c>
    </row>
    <row r="1537" spans="2:8">
      <c r="B1537" t="s">
        <v>257</v>
      </c>
      <c r="C1537" t="s">
        <v>707</v>
      </c>
      <c r="D1537" s="10" t="s">
        <v>479</v>
      </c>
      <c r="E1537" s="1">
        <v>0</v>
      </c>
      <c r="G1537" s="2">
        <f t="shared" si="23"/>
        <v>0</v>
      </c>
      <c r="H1537" s="2">
        <v>0</v>
      </c>
    </row>
    <row r="1538" spans="2:8">
      <c r="B1538" t="s">
        <v>257</v>
      </c>
      <c r="C1538" t="s">
        <v>707</v>
      </c>
      <c r="D1538" s="11" t="s">
        <v>480</v>
      </c>
      <c r="E1538" s="1">
        <v>0</v>
      </c>
      <c r="G1538" s="2">
        <f t="shared" ref="G1538:G1601" si="24">E1538*F1538</f>
        <v>0</v>
      </c>
      <c r="H1538" s="2">
        <v>0</v>
      </c>
    </row>
    <row r="1539" spans="2:8">
      <c r="B1539" t="s">
        <v>257</v>
      </c>
      <c r="C1539" t="s">
        <v>707</v>
      </c>
      <c r="D1539" s="13" t="s">
        <v>481</v>
      </c>
      <c r="E1539" s="1">
        <v>0</v>
      </c>
      <c r="G1539" s="2">
        <f t="shared" si="24"/>
        <v>0</v>
      </c>
      <c r="H1539" s="2">
        <v>0</v>
      </c>
    </row>
    <row r="1540" spans="2:8">
      <c r="B1540" t="s">
        <v>257</v>
      </c>
      <c r="C1540" t="s">
        <v>707</v>
      </c>
      <c r="D1540" s="12" t="s">
        <v>1033</v>
      </c>
      <c r="E1540" s="1">
        <v>0</v>
      </c>
      <c r="G1540" s="2">
        <f t="shared" si="24"/>
        <v>0</v>
      </c>
      <c r="H1540" s="2">
        <v>0</v>
      </c>
    </row>
    <row r="1541" spans="2:8">
      <c r="B1541" t="s">
        <v>267</v>
      </c>
      <c r="C1541" t="s">
        <v>708</v>
      </c>
      <c r="D1541" s="5" t="s">
        <v>474</v>
      </c>
      <c r="E1541" s="1">
        <v>0</v>
      </c>
      <c r="G1541" s="2">
        <f t="shared" si="24"/>
        <v>0</v>
      </c>
      <c r="H1541" s="2">
        <v>0</v>
      </c>
    </row>
    <row r="1542" spans="2:8">
      <c r="B1542" t="s">
        <v>267</v>
      </c>
      <c r="C1542" t="s">
        <v>708</v>
      </c>
      <c r="D1542" s="6" t="s">
        <v>475</v>
      </c>
      <c r="E1542" s="1">
        <v>0</v>
      </c>
      <c r="G1542" s="2">
        <f t="shared" si="24"/>
        <v>0</v>
      </c>
      <c r="H1542" s="2">
        <v>0</v>
      </c>
    </row>
    <row r="1543" spans="2:8">
      <c r="B1543" t="s">
        <v>267</v>
      </c>
      <c r="C1543" t="s">
        <v>708</v>
      </c>
      <c r="D1543" s="7" t="s">
        <v>476</v>
      </c>
      <c r="E1543" s="1">
        <v>0</v>
      </c>
      <c r="G1543" s="2">
        <f t="shared" si="24"/>
        <v>0</v>
      </c>
      <c r="H1543" s="2">
        <v>0</v>
      </c>
    </row>
    <row r="1544" spans="2:8">
      <c r="B1544" t="s">
        <v>267</v>
      </c>
      <c r="C1544" t="s">
        <v>708</v>
      </c>
      <c r="D1544" s="8" t="s">
        <v>477</v>
      </c>
      <c r="E1544" s="1">
        <v>0</v>
      </c>
      <c r="G1544" s="2">
        <f t="shared" si="24"/>
        <v>0</v>
      </c>
      <c r="H1544" s="2">
        <v>0</v>
      </c>
    </row>
    <row r="1545" spans="2:8">
      <c r="B1545" t="s">
        <v>267</v>
      </c>
      <c r="C1545" t="s">
        <v>708</v>
      </c>
      <c r="D1545" s="9" t="s">
        <v>478</v>
      </c>
      <c r="E1545" s="1">
        <v>0</v>
      </c>
      <c r="G1545" s="2">
        <f t="shared" si="24"/>
        <v>0</v>
      </c>
      <c r="H1545" s="2">
        <v>0</v>
      </c>
    </row>
    <row r="1546" spans="2:8">
      <c r="B1546" t="s">
        <v>267</v>
      </c>
      <c r="C1546" t="s">
        <v>708</v>
      </c>
      <c r="D1546" s="10" t="s">
        <v>479</v>
      </c>
      <c r="E1546" s="1">
        <v>0</v>
      </c>
      <c r="G1546" s="2">
        <f t="shared" si="24"/>
        <v>0</v>
      </c>
      <c r="H1546" s="2">
        <v>0</v>
      </c>
    </row>
    <row r="1547" spans="2:8">
      <c r="B1547" t="s">
        <v>267</v>
      </c>
      <c r="C1547" t="s">
        <v>708</v>
      </c>
      <c r="D1547" s="11" t="s">
        <v>480</v>
      </c>
      <c r="E1547" s="1">
        <v>0</v>
      </c>
      <c r="G1547" s="2">
        <f t="shared" si="24"/>
        <v>0</v>
      </c>
      <c r="H1547" s="2">
        <v>0</v>
      </c>
    </row>
    <row r="1548" spans="2:8">
      <c r="B1548" t="s">
        <v>267</v>
      </c>
      <c r="C1548" t="s">
        <v>708</v>
      </c>
      <c r="D1548" s="13" t="s">
        <v>481</v>
      </c>
      <c r="E1548" s="1">
        <v>0</v>
      </c>
      <c r="G1548" s="2">
        <f t="shared" si="24"/>
        <v>0</v>
      </c>
      <c r="H1548" s="2">
        <v>0</v>
      </c>
    </row>
    <row r="1549" spans="2:8">
      <c r="B1549" t="s">
        <v>267</v>
      </c>
      <c r="C1549" t="s">
        <v>708</v>
      </c>
      <c r="D1549" s="12" t="s">
        <v>1033</v>
      </c>
      <c r="E1549" s="1">
        <v>0</v>
      </c>
      <c r="G1549" s="2">
        <f t="shared" si="24"/>
        <v>0</v>
      </c>
      <c r="H1549" s="2">
        <v>0</v>
      </c>
    </row>
    <row r="1550" spans="2:8">
      <c r="B1550" t="s">
        <v>241</v>
      </c>
      <c r="C1550" t="s">
        <v>709</v>
      </c>
      <c r="D1550" s="5" t="s">
        <v>474</v>
      </c>
      <c r="E1550" s="1">
        <v>0</v>
      </c>
      <c r="G1550" s="2">
        <f t="shared" si="24"/>
        <v>0</v>
      </c>
      <c r="H1550" s="2">
        <v>0</v>
      </c>
    </row>
    <row r="1551" spans="2:8">
      <c r="B1551" t="s">
        <v>241</v>
      </c>
      <c r="C1551" t="s">
        <v>709</v>
      </c>
      <c r="D1551" s="6" t="s">
        <v>475</v>
      </c>
      <c r="E1551" s="1">
        <v>0</v>
      </c>
      <c r="G1551" s="2">
        <f t="shared" si="24"/>
        <v>0</v>
      </c>
      <c r="H1551" s="2">
        <v>0</v>
      </c>
    </row>
    <row r="1552" spans="2:8">
      <c r="B1552" t="s">
        <v>241</v>
      </c>
      <c r="C1552" t="s">
        <v>709</v>
      </c>
      <c r="D1552" s="7" t="s">
        <v>476</v>
      </c>
      <c r="E1552" s="1">
        <v>0</v>
      </c>
      <c r="G1552" s="2">
        <f t="shared" si="24"/>
        <v>0</v>
      </c>
      <c r="H1552" s="2">
        <v>0</v>
      </c>
    </row>
    <row r="1553" spans="2:8">
      <c r="B1553" t="s">
        <v>241</v>
      </c>
      <c r="C1553" t="s">
        <v>709</v>
      </c>
      <c r="D1553" s="8" t="s">
        <v>477</v>
      </c>
      <c r="E1553" s="1">
        <v>0</v>
      </c>
      <c r="G1553" s="2">
        <f t="shared" si="24"/>
        <v>0</v>
      </c>
      <c r="H1553" s="2">
        <v>0</v>
      </c>
    </row>
    <row r="1554" spans="2:8">
      <c r="B1554" t="s">
        <v>241</v>
      </c>
      <c r="C1554" t="s">
        <v>709</v>
      </c>
      <c r="D1554" s="9" t="s">
        <v>478</v>
      </c>
      <c r="E1554" s="1">
        <v>0</v>
      </c>
      <c r="G1554" s="2">
        <f t="shared" si="24"/>
        <v>0</v>
      </c>
      <c r="H1554" s="2">
        <v>0</v>
      </c>
    </row>
    <row r="1555" spans="2:8">
      <c r="B1555" t="s">
        <v>241</v>
      </c>
      <c r="C1555" t="s">
        <v>709</v>
      </c>
      <c r="D1555" s="10" t="s">
        <v>479</v>
      </c>
      <c r="E1555" s="1">
        <v>0</v>
      </c>
      <c r="G1555" s="2">
        <f t="shared" si="24"/>
        <v>0</v>
      </c>
      <c r="H1555" s="2">
        <v>0</v>
      </c>
    </row>
    <row r="1556" spans="2:8">
      <c r="B1556" t="s">
        <v>241</v>
      </c>
      <c r="C1556" t="s">
        <v>709</v>
      </c>
      <c r="D1556" s="11" t="s">
        <v>480</v>
      </c>
      <c r="E1556" s="1">
        <v>0</v>
      </c>
      <c r="G1556" s="2">
        <f t="shared" si="24"/>
        <v>0</v>
      </c>
      <c r="H1556" s="2">
        <v>0</v>
      </c>
    </row>
    <row r="1557" spans="2:8">
      <c r="B1557" t="s">
        <v>241</v>
      </c>
      <c r="C1557" t="s">
        <v>709</v>
      </c>
      <c r="D1557" s="13" t="s">
        <v>481</v>
      </c>
      <c r="E1557" s="1">
        <v>0</v>
      </c>
      <c r="G1557" s="2">
        <f t="shared" si="24"/>
        <v>0</v>
      </c>
      <c r="H1557" s="2">
        <v>0</v>
      </c>
    </row>
    <row r="1558" spans="2:8">
      <c r="B1558" t="s">
        <v>241</v>
      </c>
      <c r="C1558" t="s">
        <v>709</v>
      </c>
      <c r="D1558" s="12" t="s">
        <v>1033</v>
      </c>
      <c r="E1558" s="1">
        <v>0</v>
      </c>
      <c r="G1558" s="2">
        <f t="shared" si="24"/>
        <v>0</v>
      </c>
      <c r="H1558" s="2">
        <v>0</v>
      </c>
    </row>
    <row r="1559" spans="2:8">
      <c r="B1559" t="s">
        <v>268</v>
      </c>
      <c r="C1559" t="s">
        <v>710</v>
      </c>
      <c r="D1559" s="5" t="s">
        <v>474</v>
      </c>
      <c r="E1559" s="1">
        <v>0</v>
      </c>
      <c r="G1559" s="2">
        <f t="shared" si="24"/>
        <v>0</v>
      </c>
      <c r="H1559" s="2">
        <v>0</v>
      </c>
    </row>
    <row r="1560" spans="2:8">
      <c r="B1560" t="s">
        <v>268</v>
      </c>
      <c r="C1560" t="s">
        <v>710</v>
      </c>
      <c r="D1560" s="6" t="s">
        <v>475</v>
      </c>
      <c r="E1560" s="1">
        <v>0</v>
      </c>
      <c r="G1560" s="2">
        <f t="shared" si="24"/>
        <v>0</v>
      </c>
      <c r="H1560" s="2">
        <v>0</v>
      </c>
    </row>
    <row r="1561" spans="2:8">
      <c r="B1561" t="s">
        <v>268</v>
      </c>
      <c r="C1561" t="s">
        <v>710</v>
      </c>
      <c r="D1561" s="7" t="s">
        <v>476</v>
      </c>
      <c r="E1561" s="1">
        <v>0</v>
      </c>
      <c r="G1561" s="2">
        <f t="shared" si="24"/>
        <v>0</v>
      </c>
      <c r="H1561" s="2">
        <v>0</v>
      </c>
    </row>
    <row r="1562" spans="2:8">
      <c r="B1562" t="s">
        <v>268</v>
      </c>
      <c r="C1562" t="s">
        <v>710</v>
      </c>
      <c r="D1562" s="8" t="s">
        <v>477</v>
      </c>
      <c r="E1562" s="1">
        <v>0</v>
      </c>
      <c r="G1562" s="2">
        <f t="shared" si="24"/>
        <v>0</v>
      </c>
      <c r="H1562" s="2">
        <v>0</v>
      </c>
    </row>
    <row r="1563" spans="2:8">
      <c r="B1563" t="s">
        <v>268</v>
      </c>
      <c r="C1563" t="s">
        <v>710</v>
      </c>
      <c r="D1563" s="9" t="s">
        <v>478</v>
      </c>
      <c r="E1563" s="1">
        <v>0</v>
      </c>
      <c r="G1563" s="2">
        <f t="shared" si="24"/>
        <v>0</v>
      </c>
      <c r="H1563" s="2">
        <v>0</v>
      </c>
    </row>
    <row r="1564" spans="2:8">
      <c r="B1564" t="s">
        <v>268</v>
      </c>
      <c r="C1564" t="s">
        <v>710</v>
      </c>
      <c r="D1564" s="10" t="s">
        <v>479</v>
      </c>
      <c r="E1564" s="1">
        <v>0</v>
      </c>
      <c r="G1564" s="2">
        <f t="shared" si="24"/>
        <v>0</v>
      </c>
      <c r="H1564" s="2">
        <v>0</v>
      </c>
    </row>
    <row r="1565" spans="2:8">
      <c r="B1565" t="s">
        <v>268</v>
      </c>
      <c r="C1565" t="s">
        <v>710</v>
      </c>
      <c r="D1565" s="11" t="s">
        <v>480</v>
      </c>
      <c r="E1565" s="1">
        <v>0</v>
      </c>
      <c r="G1565" s="2">
        <f t="shared" si="24"/>
        <v>0</v>
      </c>
      <c r="H1565" s="2">
        <v>0</v>
      </c>
    </row>
    <row r="1566" spans="2:8">
      <c r="B1566" t="s">
        <v>268</v>
      </c>
      <c r="C1566" t="s">
        <v>710</v>
      </c>
      <c r="D1566" s="13" t="s">
        <v>481</v>
      </c>
      <c r="E1566" s="1">
        <v>0</v>
      </c>
      <c r="G1566" s="2">
        <f t="shared" si="24"/>
        <v>0</v>
      </c>
      <c r="H1566" s="2">
        <v>0</v>
      </c>
    </row>
    <row r="1567" spans="2:8">
      <c r="B1567" t="s">
        <v>268</v>
      </c>
      <c r="C1567" t="s">
        <v>710</v>
      </c>
      <c r="D1567" s="12" t="s">
        <v>1033</v>
      </c>
      <c r="E1567" s="1">
        <v>0</v>
      </c>
      <c r="G1567" s="2">
        <f t="shared" si="24"/>
        <v>0</v>
      </c>
      <c r="H1567" s="2">
        <v>0</v>
      </c>
    </row>
    <row r="1568" spans="2:8">
      <c r="B1568" t="s">
        <v>486</v>
      </c>
      <c r="C1568" t="s">
        <v>711</v>
      </c>
      <c r="D1568" s="5" t="s">
        <v>474</v>
      </c>
      <c r="E1568" s="1">
        <v>0</v>
      </c>
      <c r="G1568" s="2">
        <f t="shared" si="24"/>
        <v>0</v>
      </c>
      <c r="H1568" s="2">
        <v>0</v>
      </c>
    </row>
    <row r="1569" spans="2:8">
      <c r="B1569" t="s">
        <v>486</v>
      </c>
      <c r="C1569" t="s">
        <v>711</v>
      </c>
      <c r="D1569" s="6" t="s">
        <v>475</v>
      </c>
      <c r="E1569" s="1">
        <v>0</v>
      </c>
      <c r="G1569" s="2">
        <f t="shared" si="24"/>
        <v>0</v>
      </c>
      <c r="H1569" s="2">
        <v>0</v>
      </c>
    </row>
    <row r="1570" spans="2:8">
      <c r="B1570" t="s">
        <v>486</v>
      </c>
      <c r="C1570" t="s">
        <v>711</v>
      </c>
      <c r="D1570" s="7" t="s">
        <v>476</v>
      </c>
      <c r="E1570" s="1">
        <v>0</v>
      </c>
      <c r="G1570" s="2">
        <f t="shared" si="24"/>
        <v>0</v>
      </c>
      <c r="H1570" s="2">
        <v>0</v>
      </c>
    </row>
    <row r="1571" spans="2:8">
      <c r="B1571" t="s">
        <v>486</v>
      </c>
      <c r="C1571" t="s">
        <v>711</v>
      </c>
      <c r="D1571" s="8" t="s">
        <v>477</v>
      </c>
      <c r="E1571" s="1">
        <v>0</v>
      </c>
      <c r="G1571" s="2">
        <f t="shared" si="24"/>
        <v>0</v>
      </c>
      <c r="H1571" s="2">
        <v>0</v>
      </c>
    </row>
    <row r="1572" spans="2:8">
      <c r="B1572" t="s">
        <v>486</v>
      </c>
      <c r="C1572" t="s">
        <v>711</v>
      </c>
      <c r="D1572" s="9" t="s">
        <v>478</v>
      </c>
      <c r="E1572" s="1">
        <v>0</v>
      </c>
      <c r="G1572" s="2">
        <f t="shared" si="24"/>
        <v>0</v>
      </c>
      <c r="H1572" s="2">
        <v>0</v>
      </c>
    </row>
    <row r="1573" spans="2:8">
      <c r="B1573" t="s">
        <v>486</v>
      </c>
      <c r="C1573" t="s">
        <v>711</v>
      </c>
      <c r="D1573" s="10" t="s">
        <v>479</v>
      </c>
      <c r="E1573" s="1">
        <v>0</v>
      </c>
      <c r="G1573" s="2">
        <f t="shared" si="24"/>
        <v>0</v>
      </c>
      <c r="H1573" s="2">
        <v>0</v>
      </c>
    </row>
    <row r="1574" spans="2:8">
      <c r="B1574" t="s">
        <v>486</v>
      </c>
      <c r="C1574" t="s">
        <v>711</v>
      </c>
      <c r="D1574" s="11" t="s">
        <v>480</v>
      </c>
      <c r="E1574" s="1">
        <v>0</v>
      </c>
      <c r="G1574" s="2">
        <f t="shared" si="24"/>
        <v>0</v>
      </c>
      <c r="H1574" s="2">
        <v>0</v>
      </c>
    </row>
    <row r="1575" spans="2:8">
      <c r="B1575" t="s">
        <v>486</v>
      </c>
      <c r="C1575" t="s">
        <v>711</v>
      </c>
      <c r="D1575" s="13" t="s">
        <v>481</v>
      </c>
      <c r="E1575" s="1">
        <v>0</v>
      </c>
      <c r="G1575" s="2">
        <f t="shared" si="24"/>
        <v>0</v>
      </c>
      <c r="H1575" s="2">
        <v>0</v>
      </c>
    </row>
    <row r="1576" spans="2:8">
      <c r="B1576" t="s">
        <v>486</v>
      </c>
      <c r="C1576" t="s">
        <v>711</v>
      </c>
      <c r="D1576" s="12" t="s">
        <v>1033</v>
      </c>
      <c r="E1576" s="1">
        <v>0</v>
      </c>
      <c r="G1576" s="2">
        <f t="shared" si="24"/>
        <v>0</v>
      </c>
      <c r="H1576" s="2">
        <v>0</v>
      </c>
    </row>
    <row r="1577" spans="2:8">
      <c r="B1577" t="s">
        <v>258</v>
      </c>
      <c r="C1577" t="s">
        <v>712</v>
      </c>
      <c r="D1577" s="5" t="s">
        <v>474</v>
      </c>
      <c r="E1577" s="1">
        <v>0</v>
      </c>
      <c r="G1577" s="2">
        <f t="shared" si="24"/>
        <v>0</v>
      </c>
      <c r="H1577" s="2">
        <v>0</v>
      </c>
    </row>
    <row r="1578" spans="2:8">
      <c r="B1578" t="s">
        <v>258</v>
      </c>
      <c r="C1578" t="s">
        <v>712</v>
      </c>
      <c r="D1578" s="6" t="s">
        <v>475</v>
      </c>
      <c r="E1578" s="1">
        <v>0</v>
      </c>
      <c r="G1578" s="2">
        <f t="shared" si="24"/>
        <v>0</v>
      </c>
      <c r="H1578" s="2">
        <v>0</v>
      </c>
    </row>
    <row r="1579" spans="2:8">
      <c r="B1579" t="s">
        <v>258</v>
      </c>
      <c r="C1579" t="s">
        <v>712</v>
      </c>
      <c r="D1579" s="7" t="s">
        <v>476</v>
      </c>
      <c r="E1579" s="1">
        <v>0</v>
      </c>
      <c r="G1579" s="2">
        <f t="shared" si="24"/>
        <v>0</v>
      </c>
      <c r="H1579" s="2">
        <v>0</v>
      </c>
    </row>
    <row r="1580" spans="2:8">
      <c r="B1580" t="s">
        <v>258</v>
      </c>
      <c r="C1580" t="s">
        <v>712</v>
      </c>
      <c r="D1580" s="8" t="s">
        <v>477</v>
      </c>
      <c r="E1580" s="1">
        <v>0</v>
      </c>
      <c r="G1580" s="2">
        <f t="shared" si="24"/>
        <v>0</v>
      </c>
      <c r="H1580" s="2">
        <v>0</v>
      </c>
    </row>
    <row r="1581" spans="2:8">
      <c r="B1581" t="s">
        <v>258</v>
      </c>
      <c r="C1581" t="s">
        <v>712</v>
      </c>
      <c r="D1581" s="9" t="s">
        <v>478</v>
      </c>
      <c r="E1581" s="1">
        <v>0</v>
      </c>
      <c r="G1581" s="2">
        <f t="shared" si="24"/>
        <v>0</v>
      </c>
      <c r="H1581" s="2">
        <v>0</v>
      </c>
    </row>
    <row r="1582" spans="2:8">
      <c r="B1582" t="s">
        <v>258</v>
      </c>
      <c r="C1582" t="s">
        <v>712</v>
      </c>
      <c r="D1582" s="10" t="s">
        <v>479</v>
      </c>
      <c r="E1582" s="1">
        <v>0</v>
      </c>
      <c r="G1582" s="2">
        <f t="shared" si="24"/>
        <v>0</v>
      </c>
      <c r="H1582" s="2">
        <v>0</v>
      </c>
    </row>
    <row r="1583" spans="2:8">
      <c r="B1583" t="s">
        <v>258</v>
      </c>
      <c r="C1583" t="s">
        <v>712</v>
      </c>
      <c r="D1583" s="11" t="s">
        <v>480</v>
      </c>
      <c r="E1583" s="1">
        <v>0</v>
      </c>
      <c r="G1583" s="2">
        <f t="shared" si="24"/>
        <v>0</v>
      </c>
      <c r="H1583" s="2">
        <v>0</v>
      </c>
    </row>
    <row r="1584" spans="2:8">
      <c r="B1584" t="s">
        <v>258</v>
      </c>
      <c r="C1584" t="s">
        <v>712</v>
      </c>
      <c r="D1584" s="13" t="s">
        <v>481</v>
      </c>
      <c r="E1584" s="1">
        <v>0</v>
      </c>
      <c r="G1584" s="2">
        <f t="shared" si="24"/>
        <v>0</v>
      </c>
      <c r="H1584" s="2">
        <v>0</v>
      </c>
    </row>
    <row r="1585" spans="2:8">
      <c r="B1585" t="s">
        <v>258</v>
      </c>
      <c r="C1585" t="s">
        <v>712</v>
      </c>
      <c r="D1585" s="12" t="s">
        <v>1033</v>
      </c>
      <c r="E1585" s="1">
        <v>0</v>
      </c>
      <c r="G1585" s="2">
        <f t="shared" si="24"/>
        <v>0</v>
      </c>
      <c r="H1585" s="2">
        <v>0</v>
      </c>
    </row>
    <row r="1586" spans="2:8">
      <c r="B1586" t="s">
        <v>259</v>
      </c>
      <c r="C1586" t="s">
        <v>713</v>
      </c>
      <c r="D1586" s="5" t="s">
        <v>474</v>
      </c>
      <c r="E1586" s="1">
        <v>0</v>
      </c>
      <c r="G1586" s="2">
        <f t="shared" si="24"/>
        <v>0</v>
      </c>
      <c r="H1586" s="2">
        <v>0</v>
      </c>
    </row>
    <row r="1587" spans="2:8">
      <c r="B1587" t="s">
        <v>259</v>
      </c>
      <c r="C1587" t="s">
        <v>713</v>
      </c>
      <c r="D1587" s="6" t="s">
        <v>475</v>
      </c>
      <c r="E1587" s="1">
        <v>0</v>
      </c>
      <c r="G1587" s="2">
        <f t="shared" si="24"/>
        <v>0</v>
      </c>
      <c r="H1587" s="2">
        <v>0</v>
      </c>
    </row>
    <row r="1588" spans="2:8">
      <c r="B1588" t="s">
        <v>259</v>
      </c>
      <c r="C1588" t="s">
        <v>713</v>
      </c>
      <c r="D1588" s="7" t="s">
        <v>476</v>
      </c>
      <c r="E1588" s="1">
        <v>0</v>
      </c>
      <c r="G1588" s="2">
        <f t="shared" si="24"/>
        <v>0</v>
      </c>
      <c r="H1588" s="2">
        <v>0</v>
      </c>
    </row>
    <row r="1589" spans="2:8">
      <c r="B1589" t="s">
        <v>259</v>
      </c>
      <c r="C1589" t="s">
        <v>713</v>
      </c>
      <c r="D1589" s="8" t="s">
        <v>477</v>
      </c>
      <c r="E1589" s="1">
        <v>0</v>
      </c>
      <c r="G1589" s="2">
        <f t="shared" si="24"/>
        <v>0</v>
      </c>
      <c r="H1589" s="2">
        <v>0</v>
      </c>
    </row>
    <row r="1590" spans="2:8">
      <c r="B1590" t="s">
        <v>259</v>
      </c>
      <c r="C1590" t="s">
        <v>713</v>
      </c>
      <c r="D1590" s="9" t="s">
        <v>478</v>
      </c>
      <c r="E1590" s="1">
        <v>0</v>
      </c>
      <c r="G1590" s="2">
        <f t="shared" si="24"/>
        <v>0</v>
      </c>
      <c r="H1590" s="2">
        <v>0</v>
      </c>
    </row>
    <row r="1591" spans="2:8">
      <c r="B1591" t="s">
        <v>259</v>
      </c>
      <c r="C1591" t="s">
        <v>713</v>
      </c>
      <c r="D1591" s="10" t="s">
        <v>479</v>
      </c>
      <c r="E1591" s="1">
        <v>0</v>
      </c>
      <c r="G1591" s="2">
        <f t="shared" si="24"/>
        <v>0</v>
      </c>
      <c r="H1591" s="2">
        <v>0</v>
      </c>
    </row>
    <row r="1592" spans="2:8">
      <c r="B1592" t="s">
        <v>259</v>
      </c>
      <c r="C1592" t="s">
        <v>713</v>
      </c>
      <c r="D1592" s="11" t="s">
        <v>480</v>
      </c>
      <c r="E1592" s="1">
        <v>0</v>
      </c>
      <c r="G1592" s="2">
        <f t="shared" si="24"/>
        <v>0</v>
      </c>
      <c r="H1592" s="2">
        <v>0</v>
      </c>
    </row>
    <row r="1593" spans="2:8">
      <c r="B1593" t="s">
        <v>259</v>
      </c>
      <c r="C1593" t="s">
        <v>713</v>
      </c>
      <c r="D1593" s="13" t="s">
        <v>481</v>
      </c>
      <c r="E1593" s="1">
        <v>0</v>
      </c>
      <c r="G1593" s="2">
        <f t="shared" si="24"/>
        <v>0</v>
      </c>
      <c r="H1593" s="2">
        <v>0</v>
      </c>
    </row>
    <row r="1594" spans="2:8">
      <c r="B1594" t="s">
        <v>259</v>
      </c>
      <c r="C1594" t="s">
        <v>713</v>
      </c>
      <c r="D1594" s="12" t="s">
        <v>1033</v>
      </c>
      <c r="E1594" s="1">
        <v>0</v>
      </c>
      <c r="G1594" s="2">
        <f t="shared" si="24"/>
        <v>0</v>
      </c>
      <c r="H1594" s="2">
        <v>0</v>
      </c>
    </row>
    <row r="1595" spans="2:8">
      <c r="B1595" t="s">
        <v>242</v>
      </c>
      <c r="C1595" t="s">
        <v>714</v>
      </c>
      <c r="D1595" s="5" t="s">
        <v>474</v>
      </c>
      <c r="E1595" s="1">
        <v>0</v>
      </c>
      <c r="G1595" s="2">
        <f t="shared" si="24"/>
        <v>0</v>
      </c>
      <c r="H1595" s="2">
        <v>0</v>
      </c>
    </row>
    <row r="1596" spans="2:8">
      <c r="B1596" t="s">
        <v>242</v>
      </c>
      <c r="C1596" t="s">
        <v>714</v>
      </c>
      <c r="D1596" s="6" t="s">
        <v>475</v>
      </c>
      <c r="E1596" s="1">
        <v>0</v>
      </c>
      <c r="G1596" s="2">
        <f t="shared" si="24"/>
        <v>0</v>
      </c>
      <c r="H1596" s="2">
        <v>0</v>
      </c>
    </row>
    <row r="1597" spans="2:8">
      <c r="B1597" t="s">
        <v>242</v>
      </c>
      <c r="C1597" t="s">
        <v>714</v>
      </c>
      <c r="D1597" s="7" t="s">
        <v>476</v>
      </c>
      <c r="E1597" s="1">
        <v>0</v>
      </c>
      <c r="G1597" s="2">
        <f t="shared" si="24"/>
        <v>0</v>
      </c>
      <c r="H1597" s="2">
        <v>0</v>
      </c>
    </row>
    <row r="1598" spans="2:8">
      <c r="B1598" t="s">
        <v>242</v>
      </c>
      <c r="C1598" t="s">
        <v>714</v>
      </c>
      <c r="D1598" s="8" t="s">
        <v>477</v>
      </c>
      <c r="E1598" s="1">
        <v>0</v>
      </c>
      <c r="G1598" s="2">
        <f t="shared" si="24"/>
        <v>0</v>
      </c>
      <c r="H1598" s="2">
        <v>0</v>
      </c>
    </row>
    <row r="1599" spans="2:8">
      <c r="B1599" t="s">
        <v>242</v>
      </c>
      <c r="C1599" t="s">
        <v>714</v>
      </c>
      <c r="D1599" s="9" t="s">
        <v>478</v>
      </c>
      <c r="E1599" s="1">
        <v>0</v>
      </c>
      <c r="G1599" s="2">
        <f t="shared" si="24"/>
        <v>0</v>
      </c>
      <c r="H1599" s="2">
        <v>0</v>
      </c>
    </row>
    <row r="1600" spans="2:8">
      <c r="B1600" t="s">
        <v>242</v>
      </c>
      <c r="C1600" t="s">
        <v>714</v>
      </c>
      <c r="D1600" s="10" t="s">
        <v>479</v>
      </c>
      <c r="E1600" s="1">
        <v>0</v>
      </c>
      <c r="G1600" s="2">
        <f t="shared" si="24"/>
        <v>0</v>
      </c>
      <c r="H1600" s="2">
        <v>0</v>
      </c>
    </row>
    <row r="1601" spans="2:8">
      <c r="B1601" t="s">
        <v>242</v>
      </c>
      <c r="C1601" t="s">
        <v>714</v>
      </c>
      <c r="D1601" s="11" t="s">
        <v>480</v>
      </c>
      <c r="E1601" s="1">
        <v>0</v>
      </c>
      <c r="G1601" s="2">
        <f t="shared" si="24"/>
        <v>0</v>
      </c>
      <c r="H1601" s="2">
        <v>0</v>
      </c>
    </row>
    <row r="1602" spans="2:8">
      <c r="B1602" t="s">
        <v>242</v>
      </c>
      <c r="C1602" t="s">
        <v>714</v>
      </c>
      <c r="D1602" s="13" t="s">
        <v>481</v>
      </c>
      <c r="E1602" s="1">
        <v>0</v>
      </c>
      <c r="G1602" s="2">
        <f t="shared" ref="G1602:G1665" si="25">E1602*F1602</f>
        <v>0</v>
      </c>
      <c r="H1602" s="2">
        <v>0</v>
      </c>
    </row>
    <row r="1603" spans="2:8">
      <c r="B1603" t="s">
        <v>242</v>
      </c>
      <c r="C1603" t="s">
        <v>714</v>
      </c>
      <c r="D1603" s="12" t="s">
        <v>1033</v>
      </c>
      <c r="E1603" s="1">
        <v>0</v>
      </c>
      <c r="G1603" s="2">
        <f t="shared" si="25"/>
        <v>0</v>
      </c>
      <c r="H1603" s="2">
        <v>0</v>
      </c>
    </row>
    <row r="1604" spans="2:8">
      <c r="B1604" t="s">
        <v>260</v>
      </c>
      <c r="C1604" t="s">
        <v>715</v>
      </c>
      <c r="D1604" s="5" t="s">
        <v>474</v>
      </c>
      <c r="E1604" s="1">
        <v>0</v>
      </c>
      <c r="G1604" s="2">
        <f t="shared" si="25"/>
        <v>0</v>
      </c>
      <c r="H1604" s="2">
        <v>0</v>
      </c>
    </row>
    <row r="1605" spans="2:8">
      <c r="B1605" t="s">
        <v>260</v>
      </c>
      <c r="C1605" t="s">
        <v>715</v>
      </c>
      <c r="D1605" s="6" t="s">
        <v>475</v>
      </c>
      <c r="E1605" s="1">
        <v>0</v>
      </c>
      <c r="G1605" s="2">
        <f t="shared" si="25"/>
        <v>0</v>
      </c>
      <c r="H1605" s="2">
        <v>0</v>
      </c>
    </row>
    <row r="1606" spans="2:8">
      <c r="B1606" t="s">
        <v>260</v>
      </c>
      <c r="C1606" t="s">
        <v>715</v>
      </c>
      <c r="D1606" s="7" t="s">
        <v>476</v>
      </c>
      <c r="E1606" s="1">
        <v>0</v>
      </c>
      <c r="G1606" s="2">
        <f t="shared" si="25"/>
        <v>0</v>
      </c>
      <c r="H1606" s="2">
        <v>0</v>
      </c>
    </row>
    <row r="1607" spans="2:8">
      <c r="B1607" t="s">
        <v>260</v>
      </c>
      <c r="C1607" t="s">
        <v>715</v>
      </c>
      <c r="D1607" s="8" t="s">
        <v>477</v>
      </c>
      <c r="E1607" s="1">
        <v>0</v>
      </c>
      <c r="G1607" s="2">
        <f t="shared" si="25"/>
        <v>0</v>
      </c>
      <c r="H1607" s="2">
        <v>0</v>
      </c>
    </row>
    <row r="1608" spans="2:8">
      <c r="B1608" t="s">
        <v>260</v>
      </c>
      <c r="C1608" t="s">
        <v>715</v>
      </c>
      <c r="D1608" s="9" t="s">
        <v>478</v>
      </c>
      <c r="E1608" s="1">
        <v>0</v>
      </c>
      <c r="G1608" s="2">
        <f t="shared" si="25"/>
        <v>0</v>
      </c>
      <c r="H1608" s="2">
        <v>0</v>
      </c>
    </row>
    <row r="1609" spans="2:8">
      <c r="B1609" t="s">
        <v>260</v>
      </c>
      <c r="C1609" t="s">
        <v>715</v>
      </c>
      <c r="D1609" s="10" t="s">
        <v>479</v>
      </c>
      <c r="E1609" s="1">
        <v>0</v>
      </c>
      <c r="G1609" s="2">
        <f t="shared" si="25"/>
        <v>0</v>
      </c>
      <c r="H1609" s="2">
        <v>0</v>
      </c>
    </row>
    <row r="1610" spans="2:8">
      <c r="B1610" t="s">
        <v>260</v>
      </c>
      <c r="C1610" t="s">
        <v>715</v>
      </c>
      <c r="D1610" s="11" t="s">
        <v>480</v>
      </c>
      <c r="E1610" s="1">
        <v>0</v>
      </c>
      <c r="G1610" s="2">
        <f t="shared" si="25"/>
        <v>0</v>
      </c>
      <c r="H1610" s="2">
        <v>0</v>
      </c>
    </row>
    <row r="1611" spans="2:8">
      <c r="B1611" t="s">
        <v>260</v>
      </c>
      <c r="C1611" t="s">
        <v>715</v>
      </c>
      <c r="D1611" s="13" t="s">
        <v>481</v>
      </c>
      <c r="E1611" s="1">
        <v>0</v>
      </c>
      <c r="G1611" s="2">
        <f t="shared" si="25"/>
        <v>0</v>
      </c>
      <c r="H1611" s="2">
        <v>0</v>
      </c>
    </row>
    <row r="1612" spans="2:8">
      <c r="B1612" t="s">
        <v>260</v>
      </c>
      <c r="C1612" t="s">
        <v>715</v>
      </c>
      <c r="D1612" s="12" t="s">
        <v>1033</v>
      </c>
      <c r="E1612" s="1">
        <v>0</v>
      </c>
      <c r="G1612" s="2">
        <f t="shared" si="25"/>
        <v>0</v>
      </c>
      <c r="H1612" s="2">
        <v>0</v>
      </c>
    </row>
    <row r="1613" spans="2:8">
      <c r="B1613" t="s">
        <v>199</v>
      </c>
      <c r="C1613" t="s">
        <v>716</v>
      </c>
      <c r="D1613" s="5" t="s">
        <v>474</v>
      </c>
      <c r="E1613" s="1">
        <v>0</v>
      </c>
      <c r="G1613" s="2">
        <f t="shared" si="25"/>
        <v>0</v>
      </c>
      <c r="H1613" s="2">
        <v>0</v>
      </c>
    </row>
    <row r="1614" spans="2:8">
      <c r="B1614" t="s">
        <v>199</v>
      </c>
      <c r="C1614" t="s">
        <v>716</v>
      </c>
      <c r="D1614" s="6" t="s">
        <v>475</v>
      </c>
      <c r="E1614" s="1">
        <v>0</v>
      </c>
      <c r="G1614" s="2">
        <f t="shared" si="25"/>
        <v>0</v>
      </c>
      <c r="H1614" s="2">
        <v>0</v>
      </c>
    </row>
    <row r="1615" spans="2:8">
      <c r="B1615" t="s">
        <v>199</v>
      </c>
      <c r="C1615" t="s">
        <v>716</v>
      </c>
      <c r="D1615" s="7" t="s">
        <v>476</v>
      </c>
      <c r="E1615" s="1">
        <v>0</v>
      </c>
      <c r="G1615" s="2">
        <f t="shared" si="25"/>
        <v>0</v>
      </c>
      <c r="H1615" s="2">
        <v>0</v>
      </c>
    </row>
    <row r="1616" spans="2:8">
      <c r="B1616" t="s">
        <v>199</v>
      </c>
      <c r="C1616" t="s">
        <v>716</v>
      </c>
      <c r="D1616" s="8" t="s">
        <v>477</v>
      </c>
      <c r="E1616" s="1">
        <v>0</v>
      </c>
      <c r="G1616" s="2">
        <f t="shared" si="25"/>
        <v>0</v>
      </c>
      <c r="H1616" s="2">
        <v>0</v>
      </c>
    </row>
    <row r="1617" spans="2:8">
      <c r="B1617" t="s">
        <v>199</v>
      </c>
      <c r="C1617" t="s">
        <v>716</v>
      </c>
      <c r="D1617" s="9" t="s">
        <v>478</v>
      </c>
      <c r="E1617" s="1">
        <v>0</v>
      </c>
      <c r="G1617" s="2">
        <f t="shared" si="25"/>
        <v>0</v>
      </c>
      <c r="H1617" s="2">
        <v>0</v>
      </c>
    </row>
    <row r="1618" spans="2:8">
      <c r="B1618" t="s">
        <v>199</v>
      </c>
      <c r="C1618" t="s">
        <v>716</v>
      </c>
      <c r="D1618" s="10" t="s">
        <v>479</v>
      </c>
      <c r="E1618" s="1">
        <v>0</v>
      </c>
      <c r="G1618" s="2">
        <f t="shared" si="25"/>
        <v>0</v>
      </c>
      <c r="H1618" s="2">
        <v>0</v>
      </c>
    </row>
    <row r="1619" spans="2:8">
      <c r="B1619" t="s">
        <v>199</v>
      </c>
      <c r="C1619" t="s">
        <v>716</v>
      </c>
      <c r="D1619" s="11" t="s">
        <v>480</v>
      </c>
      <c r="E1619" s="1">
        <v>0</v>
      </c>
      <c r="G1619" s="2">
        <f t="shared" si="25"/>
        <v>0</v>
      </c>
      <c r="H1619" s="2">
        <v>0</v>
      </c>
    </row>
    <row r="1620" spans="2:8">
      <c r="B1620" t="s">
        <v>199</v>
      </c>
      <c r="C1620" t="s">
        <v>716</v>
      </c>
      <c r="D1620" s="13" t="s">
        <v>481</v>
      </c>
      <c r="E1620" s="1">
        <v>0</v>
      </c>
      <c r="G1620" s="2">
        <f t="shared" si="25"/>
        <v>0</v>
      </c>
      <c r="H1620" s="2">
        <v>0</v>
      </c>
    </row>
    <row r="1621" spans="2:8">
      <c r="B1621" t="s">
        <v>199</v>
      </c>
      <c r="C1621" t="s">
        <v>716</v>
      </c>
      <c r="D1621" s="12" t="s">
        <v>1033</v>
      </c>
      <c r="E1621" s="1">
        <v>0</v>
      </c>
      <c r="G1621" s="2">
        <f t="shared" si="25"/>
        <v>0</v>
      </c>
      <c r="H1621" s="2">
        <v>0</v>
      </c>
    </row>
    <row r="1622" spans="2:8">
      <c r="B1622" t="s">
        <v>200</v>
      </c>
      <c r="C1622" t="s">
        <v>717</v>
      </c>
      <c r="D1622" s="5" t="s">
        <v>474</v>
      </c>
      <c r="E1622" s="1">
        <v>0</v>
      </c>
      <c r="G1622" s="2">
        <f t="shared" si="25"/>
        <v>0</v>
      </c>
      <c r="H1622" s="2">
        <v>0</v>
      </c>
    </row>
    <row r="1623" spans="2:8">
      <c r="B1623" t="s">
        <v>200</v>
      </c>
      <c r="C1623" t="s">
        <v>717</v>
      </c>
      <c r="D1623" s="6" t="s">
        <v>475</v>
      </c>
      <c r="E1623" s="1">
        <v>0</v>
      </c>
      <c r="G1623" s="2">
        <f t="shared" si="25"/>
        <v>0</v>
      </c>
      <c r="H1623" s="2">
        <v>0</v>
      </c>
    </row>
    <row r="1624" spans="2:8">
      <c r="B1624" t="s">
        <v>200</v>
      </c>
      <c r="C1624" t="s">
        <v>717</v>
      </c>
      <c r="D1624" s="7" t="s">
        <v>476</v>
      </c>
      <c r="E1624" s="1">
        <v>0</v>
      </c>
      <c r="G1624" s="2">
        <f t="shared" si="25"/>
        <v>0</v>
      </c>
      <c r="H1624" s="2">
        <v>0</v>
      </c>
    </row>
    <row r="1625" spans="2:8">
      <c r="B1625" t="s">
        <v>200</v>
      </c>
      <c r="C1625" t="s">
        <v>717</v>
      </c>
      <c r="D1625" s="8" t="s">
        <v>477</v>
      </c>
      <c r="E1625" s="1">
        <v>0</v>
      </c>
      <c r="G1625" s="2">
        <f t="shared" si="25"/>
        <v>0</v>
      </c>
      <c r="H1625" s="2">
        <v>0</v>
      </c>
    </row>
    <row r="1626" spans="2:8">
      <c r="B1626" t="s">
        <v>200</v>
      </c>
      <c r="C1626" t="s">
        <v>717</v>
      </c>
      <c r="D1626" s="9" t="s">
        <v>478</v>
      </c>
      <c r="E1626" s="1">
        <v>0</v>
      </c>
      <c r="G1626" s="2">
        <f t="shared" si="25"/>
        <v>0</v>
      </c>
      <c r="H1626" s="2">
        <v>0</v>
      </c>
    </row>
    <row r="1627" spans="2:8">
      <c r="B1627" t="s">
        <v>200</v>
      </c>
      <c r="C1627" t="s">
        <v>717</v>
      </c>
      <c r="D1627" s="10" t="s">
        <v>479</v>
      </c>
      <c r="E1627" s="1">
        <v>0</v>
      </c>
      <c r="G1627" s="2">
        <f t="shared" si="25"/>
        <v>0</v>
      </c>
      <c r="H1627" s="2">
        <v>0</v>
      </c>
    </row>
    <row r="1628" spans="2:8">
      <c r="B1628" t="s">
        <v>200</v>
      </c>
      <c r="C1628" t="s">
        <v>717</v>
      </c>
      <c r="D1628" s="11" t="s">
        <v>480</v>
      </c>
      <c r="E1628" s="1">
        <v>0</v>
      </c>
      <c r="G1628" s="2">
        <f t="shared" si="25"/>
        <v>0</v>
      </c>
      <c r="H1628" s="2">
        <v>0</v>
      </c>
    </row>
    <row r="1629" spans="2:8">
      <c r="B1629" t="s">
        <v>200</v>
      </c>
      <c r="C1629" t="s">
        <v>717</v>
      </c>
      <c r="D1629" s="13" t="s">
        <v>481</v>
      </c>
      <c r="E1629" s="1">
        <v>0</v>
      </c>
      <c r="G1629" s="2">
        <f t="shared" si="25"/>
        <v>0</v>
      </c>
      <c r="H1629" s="2">
        <v>0</v>
      </c>
    </row>
    <row r="1630" spans="2:8">
      <c r="B1630" t="s">
        <v>200</v>
      </c>
      <c r="C1630" t="s">
        <v>717</v>
      </c>
      <c r="D1630" s="12" t="s">
        <v>1033</v>
      </c>
      <c r="E1630" s="1">
        <v>0</v>
      </c>
      <c r="G1630" s="2">
        <f t="shared" si="25"/>
        <v>0</v>
      </c>
      <c r="H1630" s="2">
        <v>0</v>
      </c>
    </row>
    <row r="1631" spans="2:8">
      <c r="B1631" t="s">
        <v>201</v>
      </c>
      <c r="C1631" t="s">
        <v>718</v>
      </c>
      <c r="D1631" s="5" t="s">
        <v>474</v>
      </c>
      <c r="E1631" s="1">
        <v>0</v>
      </c>
      <c r="G1631" s="2">
        <f t="shared" si="25"/>
        <v>0</v>
      </c>
      <c r="H1631" s="2">
        <v>0</v>
      </c>
    </row>
    <row r="1632" spans="2:8">
      <c r="B1632" t="s">
        <v>201</v>
      </c>
      <c r="C1632" t="s">
        <v>718</v>
      </c>
      <c r="D1632" s="6" t="s">
        <v>475</v>
      </c>
      <c r="E1632" s="1">
        <v>0</v>
      </c>
      <c r="G1632" s="2">
        <f t="shared" si="25"/>
        <v>0</v>
      </c>
      <c r="H1632" s="2">
        <v>0</v>
      </c>
    </row>
    <row r="1633" spans="2:8">
      <c r="B1633" t="s">
        <v>201</v>
      </c>
      <c r="C1633" t="s">
        <v>718</v>
      </c>
      <c r="D1633" s="7" t="s">
        <v>476</v>
      </c>
      <c r="E1633" s="1">
        <v>0</v>
      </c>
      <c r="G1633" s="2">
        <f t="shared" si="25"/>
        <v>0</v>
      </c>
      <c r="H1633" s="2">
        <v>0</v>
      </c>
    </row>
    <row r="1634" spans="2:8">
      <c r="B1634" t="s">
        <v>201</v>
      </c>
      <c r="C1634" t="s">
        <v>718</v>
      </c>
      <c r="D1634" s="8" t="s">
        <v>477</v>
      </c>
      <c r="E1634" s="1">
        <v>0</v>
      </c>
      <c r="G1634" s="2">
        <f t="shared" si="25"/>
        <v>0</v>
      </c>
      <c r="H1634" s="2">
        <v>0</v>
      </c>
    </row>
    <row r="1635" spans="2:8">
      <c r="B1635" t="s">
        <v>201</v>
      </c>
      <c r="C1635" t="s">
        <v>718</v>
      </c>
      <c r="D1635" s="9" t="s">
        <v>478</v>
      </c>
      <c r="E1635" s="1">
        <v>0</v>
      </c>
      <c r="G1635" s="2">
        <f t="shared" si="25"/>
        <v>0</v>
      </c>
      <c r="H1635" s="2">
        <v>0</v>
      </c>
    </row>
    <row r="1636" spans="2:8">
      <c r="B1636" t="s">
        <v>201</v>
      </c>
      <c r="C1636" t="s">
        <v>718</v>
      </c>
      <c r="D1636" s="10" t="s">
        <v>479</v>
      </c>
      <c r="E1636" s="1">
        <v>0</v>
      </c>
      <c r="G1636" s="2">
        <f t="shared" si="25"/>
        <v>0</v>
      </c>
      <c r="H1636" s="2">
        <v>0</v>
      </c>
    </row>
    <row r="1637" spans="2:8">
      <c r="B1637" t="s">
        <v>201</v>
      </c>
      <c r="C1637" t="s">
        <v>718</v>
      </c>
      <c r="D1637" s="11" t="s">
        <v>480</v>
      </c>
      <c r="E1637" s="1">
        <v>0</v>
      </c>
      <c r="G1637" s="2">
        <f t="shared" si="25"/>
        <v>0</v>
      </c>
      <c r="H1637" s="2">
        <v>0</v>
      </c>
    </row>
    <row r="1638" spans="2:8">
      <c r="B1638" t="s">
        <v>201</v>
      </c>
      <c r="C1638" t="s">
        <v>718</v>
      </c>
      <c r="D1638" s="13" t="s">
        <v>481</v>
      </c>
      <c r="E1638" s="1">
        <v>0</v>
      </c>
      <c r="G1638" s="2">
        <f t="shared" si="25"/>
        <v>0</v>
      </c>
      <c r="H1638" s="2">
        <v>0</v>
      </c>
    </row>
    <row r="1639" spans="2:8">
      <c r="B1639" t="s">
        <v>201</v>
      </c>
      <c r="C1639" t="s">
        <v>718</v>
      </c>
      <c r="D1639" s="12" t="s">
        <v>1033</v>
      </c>
      <c r="E1639" s="1">
        <v>0</v>
      </c>
      <c r="G1639" s="2">
        <f t="shared" si="25"/>
        <v>0</v>
      </c>
      <c r="H1639" s="2">
        <v>0</v>
      </c>
    </row>
    <row r="1640" spans="2:8">
      <c r="B1640" t="s">
        <v>262</v>
      </c>
      <c r="C1640" t="s">
        <v>719</v>
      </c>
      <c r="D1640" s="5" t="s">
        <v>474</v>
      </c>
      <c r="E1640" s="1">
        <v>0</v>
      </c>
      <c r="G1640" s="2">
        <f t="shared" si="25"/>
        <v>0</v>
      </c>
      <c r="H1640" s="2">
        <v>0</v>
      </c>
    </row>
    <row r="1641" spans="2:8">
      <c r="B1641" t="s">
        <v>262</v>
      </c>
      <c r="C1641" t="s">
        <v>719</v>
      </c>
      <c r="D1641" s="6" t="s">
        <v>475</v>
      </c>
      <c r="E1641" s="1">
        <v>0</v>
      </c>
      <c r="G1641" s="2">
        <f t="shared" si="25"/>
        <v>0</v>
      </c>
      <c r="H1641" s="2">
        <v>0</v>
      </c>
    </row>
    <row r="1642" spans="2:8">
      <c r="B1642" t="s">
        <v>262</v>
      </c>
      <c r="C1642" t="s">
        <v>719</v>
      </c>
      <c r="D1642" s="7" t="s">
        <v>476</v>
      </c>
      <c r="E1642" s="1">
        <v>0</v>
      </c>
      <c r="G1642" s="2">
        <f t="shared" si="25"/>
        <v>0</v>
      </c>
      <c r="H1642" s="2">
        <v>0</v>
      </c>
    </row>
    <row r="1643" spans="2:8">
      <c r="B1643" t="s">
        <v>262</v>
      </c>
      <c r="C1643" t="s">
        <v>719</v>
      </c>
      <c r="D1643" s="8" t="s">
        <v>477</v>
      </c>
      <c r="E1643" s="1">
        <v>0</v>
      </c>
      <c r="G1643" s="2">
        <f t="shared" si="25"/>
        <v>0</v>
      </c>
      <c r="H1643" s="2">
        <v>0</v>
      </c>
    </row>
    <row r="1644" spans="2:8">
      <c r="B1644" t="s">
        <v>262</v>
      </c>
      <c r="C1644" t="s">
        <v>719</v>
      </c>
      <c r="D1644" s="9" t="s">
        <v>478</v>
      </c>
      <c r="E1644" s="1">
        <v>0</v>
      </c>
      <c r="G1644" s="2">
        <f t="shared" si="25"/>
        <v>0</v>
      </c>
      <c r="H1644" s="2">
        <v>0</v>
      </c>
    </row>
    <row r="1645" spans="2:8">
      <c r="B1645" t="s">
        <v>262</v>
      </c>
      <c r="C1645" t="s">
        <v>719</v>
      </c>
      <c r="D1645" s="10" t="s">
        <v>479</v>
      </c>
      <c r="E1645" s="1">
        <v>0</v>
      </c>
      <c r="G1645" s="2">
        <f t="shared" si="25"/>
        <v>0</v>
      </c>
      <c r="H1645" s="2">
        <v>0</v>
      </c>
    </row>
    <row r="1646" spans="2:8">
      <c r="B1646" t="s">
        <v>262</v>
      </c>
      <c r="C1646" t="s">
        <v>719</v>
      </c>
      <c r="D1646" s="11" t="s">
        <v>480</v>
      </c>
      <c r="E1646" s="1">
        <v>0</v>
      </c>
      <c r="G1646" s="2">
        <f t="shared" si="25"/>
        <v>0</v>
      </c>
      <c r="H1646" s="2">
        <v>0</v>
      </c>
    </row>
    <row r="1647" spans="2:8">
      <c r="B1647" t="s">
        <v>262</v>
      </c>
      <c r="C1647" t="s">
        <v>719</v>
      </c>
      <c r="D1647" s="13" t="s">
        <v>481</v>
      </c>
      <c r="E1647" s="1">
        <v>0</v>
      </c>
      <c r="G1647" s="2">
        <f t="shared" si="25"/>
        <v>0</v>
      </c>
      <c r="H1647" s="2">
        <v>0</v>
      </c>
    </row>
    <row r="1648" spans="2:8">
      <c r="B1648" t="s">
        <v>262</v>
      </c>
      <c r="C1648" t="s">
        <v>719</v>
      </c>
      <c r="D1648" s="12" t="s">
        <v>1033</v>
      </c>
      <c r="E1648" s="1">
        <v>0</v>
      </c>
      <c r="G1648" s="2">
        <f t="shared" si="25"/>
        <v>0</v>
      </c>
      <c r="H1648" s="2">
        <v>0</v>
      </c>
    </row>
    <row r="1649" spans="2:8">
      <c r="B1649" t="s">
        <v>263</v>
      </c>
      <c r="C1649" t="s">
        <v>720</v>
      </c>
      <c r="D1649" s="5" t="s">
        <v>474</v>
      </c>
      <c r="E1649" s="1">
        <v>0</v>
      </c>
      <c r="G1649" s="2">
        <f t="shared" si="25"/>
        <v>0</v>
      </c>
      <c r="H1649" s="2">
        <v>0</v>
      </c>
    </row>
    <row r="1650" spans="2:8">
      <c r="B1650" t="s">
        <v>263</v>
      </c>
      <c r="C1650" t="s">
        <v>720</v>
      </c>
      <c r="D1650" s="6" t="s">
        <v>475</v>
      </c>
      <c r="E1650" s="1">
        <v>0</v>
      </c>
      <c r="G1650" s="2">
        <f t="shared" si="25"/>
        <v>0</v>
      </c>
      <c r="H1650" s="2">
        <v>0</v>
      </c>
    </row>
    <row r="1651" spans="2:8">
      <c r="B1651" t="s">
        <v>263</v>
      </c>
      <c r="C1651" t="s">
        <v>720</v>
      </c>
      <c r="D1651" s="7" t="s">
        <v>476</v>
      </c>
      <c r="E1651" s="1">
        <v>0</v>
      </c>
      <c r="G1651" s="2">
        <f t="shared" si="25"/>
        <v>0</v>
      </c>
      <c r="H1651" s="2">
        <v>0</v>
      </c>
    </row>
    <row r="1652" spans="2:8">
      <c r="B1652" t="s">
        <v>263</v>
      </c>
      <c r="C1652" t="s">
        <v>720</v>
      </c>
      <c r="D1652" s="8" t="s">
        <v>477</v>
      </c>
      <c r="E1652" s="1">
        <v>0</v>
      </c>
      <c r="G1652" s="2">
        <f t="shared" si="25"/>
        <v>0</v>
      </c>
      <c r="H1652" s="2">
        <v>0</v>
      </c>
    </row>
    <row r="1653" spans="2:8">
      <c r="B1653" t="s">
        <v>263</v>
      </c>
      <c r="C1653" t="s">
        <v>720</v>
      </c>
      <c r="D1653" s="9" t="s">
        <v>478</v>
      </c>
      <c r="E1653" s="1">
        <v>0</v>
      </c>
      <c r="G1653" s="2">
        <f t="shared" si="25"/>
        <v>0</v>
      </c>
      <c r="H1653" s="2">
        <v>0</v>
      </c>
    </row>
    <row r="1654" spans="2:8">
      <c r="B1654" t="s">
        <v>263</v>
      </c>
      <c r="C1654" t="s">
        <v>720</v>
      </c>
      <c r="D1654" s="10" t="s">
        <v>479</v>
      </c>
      <c r="E1654" s="1">
        <v>0</v>
      </c>
      <c r="G1654" s="2">
        <f t="shared" si="25"/>
        <v>0</v>
      </c>
      <c r="H1654" s="2">
        <v>0</v>
      </c>
    </row>
    <row r="1655" spans="2:8">
      <c r="B1655" t="s">
        <v>263</v>
      </c>
      <c r="C1655" t="s">
        <v>720</v>
      </c>
      <c r="D1655" s="11" t="s">
        <v>480</v>
      </c>
      <c r="E1655" s="1">
        <v>0</v>
      </c>
      <c r="G1655" s="2">
        <f t="shared" si="25"/>
        <v>0</v>
      </c>
      <c r="H1655" s="2">
        <v>0</v>
      </c>
    </row>
    <row r="1656" spans="2:8">
      <c r="B1656" t="s">
        <v>263</v>
      </c>
      <c r="C1656" t="s">
        <v>720</v>
      </c>
      <c r="D1656" s="13" t="s">
        <v>481</v>
      </c>
      <c r="E1656" s="1">
        <v>0</v>
      </c>
      <c r="G1656" s="2">
        <f t="shared" si="25"/>
        <v>0</v>
      </c>
      <c r="H1656" s="2">
        <v>0</v>
      </c>
    </row>
    <row r="1657" spans="2:8">
      <c r="B1657" t="s">
        <v>263</v>
      </c>
      <c r="C1657" t="s">
        <v>720</v>
      </c>
      <c r="D1657" s="12" t="s">
        <v>1033</v>
      </c>
      <c r="E1657" s="1">
        <v>0</v>
      </c>
      <c r="G1657" s="2">
        <f t="shared" si="25"/>
        <v>0</v>
      </c>
      <c r="H1657" s="2">
        <v>0</v>
      </c>
    </row>
    <row r="1658" spans="2:8">
      <c r="B1658" t="s">
        <v>202</v>
      </c>
      <c r="C1658" t="s">
        <v>721</v>
      </c>
      <c r="D1658" s="5" t="s">
        <v>474</v>
      </c>
      <c r="E1658" s="1">
        <v>0</v>
      </c>
      <c r="G1658" s="2">
        <f t="shared" si="25"/>
        <v>0</v>
      </c>
      <c r="H1658" s="2">
        <v>0</v>
      </c>
    </row>
    <row r="1659" spans="2:8">
      <c r="B1659" t="s">
        <v>202</v>
      </c>
      <c r="C1659" t="s">
        <v>721</v>
      </c>
      <c r="D1659" s="6" t="s">
        <v>475</v>
      </c>
      <c r="E1659" s="1">
        <v>0</v>
      </c>
      <c r="G1659" s="2">
        <f t="shared" si="25"/>
        <v>0</v>
      </c>
      <c r="H1659" s="2">
        <v>0</v>
      </c>
    </row>
    <row r="1660" spans="2:8">
      <c r="B1660" t="s">
        <v>202</v>
      </c>
      <c r="C1660" t="s">
        <v>721</v>
      </c>
      <c r="D1660" s="7" t="s">
        <v>476</v>
      </c>
      <c r="E1660" s="1">
        <v>0</v>
      </c>
      <c r="G1660" s="2">
        <f t="shared" si="25"/>
        <v>0</v>
      </c>
      <c r="H1660" s="2">
        <v>0</v>
      </c>
    </row>
    <row r="1661" spans="2:8">
      <c r="B1661" t="s">
        <v>202</v>
      </c>
      <c r="C1661" t="s">
        <v>721</v>
      </c>
      <c r="D1661" s="8" t="s">
        <v>477</v>
      </c>
      <c r="E1661" s="1">
        <v>0</v>
      </c>
      <c r="G1661" s="2">
        <f t="shared" si="25"/>
        <v>0</v>
      </c>
      <c r="H1661" s="2">
        <v>0</v>
      </c>
    </row>
    <row r="1662" spans="2:8">
      <c r="B1662" t="s">
        <v>202</v>
      </c>
      <c r="C1662" t="s">
        <v>721</v>
      </c>
      <c r="D1662" s="9" t="s">
        <v>478</v>
      </c>
      <c r="E1662" s="1">
        <v>0</v>
      </c>
      <c r="G1662" s="2">
        <f t="shared" si="25"/>
        <v>0</v>
      </c>
      <c r="H1662" s="2">
        <v>0</v>
      </c>
    </row>
    <row r="1663" spans="2:8">
      <c r="B1663" t="s">
        <v>202</v>
      </c>
      <c r="C1663" t="s">
        <v>721</v>
      </c>
      <c r="D1663" s="10" t="s">
        <v>479</v>
      </c>
      <c r="E1663" s="1">
        <v>0</v>
      </c>
      <c r="G1663" s="2">
        <f t="shared" si="25"/>
        <v>0</v>
      </c>
      <c r="H1663" s="2">
        <v>0</v>
      </c>
    </row>
    <row r="1664" spans="2:8">
      <c r="B1664" t="s">
        <v>202</v>
      </c>
      <c r="C1664" t="s">
        <v>721</v>
      </c>
      <c r="D1664" s="11" t="s">
        <v>480</v>
      </c>
      <c r="E1664" s="1">
        <v>0</v>
      </c>
      <c r="G1664" s="2">
        <f t="shared" si="25"/>
        <v>0</v>
      </c>
      <c r="H1664" s="2">
        <v>0</v>
      </c>
    </row>
    <row r="1665" spans="2:8">
      <c r="B1665" t="s">
        <v>202</v>
      </c>
      <c r="C1665" t="s">
        <v>721</v>
      </c>
      <c r="D1665" s="13" t="s">
        <v>481</v>
      </c>
      <c r="E1665" s="1">
        <v>0</v>
      </c>
      <c r="G1665" s="2">
        <f t="shared" si="25"/>
        <v>0</v>
      </c>
      <c r="H1665" s="2">
        <v>0</v>
      </c>
    </row>
    <row r="1666" spans="2:8">
      <c r="B1666" t="s">
        <v>202</v>
      </c>
      <c r="C1666" t="s">
        <v>721</v>
      </c>
      <c r="D1666" s="12" t="s">
        <v>1033</v>
      </c>
      <c r="E1666" s="1">
        <v>0</v>
      </c>
      <c r="G1666" s="2">
        <f t="shared" ref="G1666:G1729" si="26">E1666*F1666</f>
        <v>0</v>
      </c>
      <c r="H1666" s="2">
        <v>0</v>
      </c>
    </row>
    <row r="1667" spans="2:8">
      <c r="B1667" t="s">
        <v>233</v>
      </c>
      <c r="C1667" t="s">
        <v>722</v>
      </c>
      <c r="D1667" s="5" t="s">
        <v>474</v>
      </c>
      <c r="E1667" s="1">
        <v>0</v>
      </c>
      <c r="G1667" s="2">
        <f t="shared" si="26"/>
        <v>0</v>
      </c>
      <c r="H1667" s="2">
        <v>0</v>
      </c>
    </row>
    <row r="1668" spans="2:8">
      <c r="B1668" t="s">
        <v>233</v>
      </c>
      <c r="C1668" t="s">
        <v>722</v>
      </c>
      <c r="D1668" s="6" t="s">
        <v>475</v>
      </c>
      <c r="E1668" s="1">
        <v>0</v>
      </c>
      <c r="G1668" s="2">
        <f t="shared" si="26"/>
        <v>0</v>
      </c>
      <c r="H1668" s="2">
        <v>0</v>
      </c>
    </row>
    <row r="1669" spans="2:8">
      <c r="B1669" t="s">
        <v>233</v>
      </c>
      <c r="C1669" t="s">
        <v>722</v>
      </c>
      <c r="D1669" s="7" t="s">
        <v>476</v>
      </c>
      <c r="E1669" s="1">
        <v>0</v>
      </c>
      <c r="G1669" s="2">
        <f t="shared" si="26"/>
        <v>0</v>
      </c>
      <c r="H1669" s="2">
        <v>0</v>
      </c>
    </row>
    <row r="1670" spans="2:8">
      <c r="B1670" t="s">
        <v>233</v>
      </c>
      <c r="C1670" t="s">
        <v>722</v>
      </c>
      <c r="D1670" s="8" t="s">
        <v>477</v>
      </c>
      <c r="E1670" s="1">
        <v>0</v>
      </c>
      <c r="G1670" s="2">
        <f t="shared" si="26"/>
        <v>0</v>
      </c>
      <c r="H1670" s="2">
        <v>0</v>
      </c>
    </row>
    <row r="1671" spans="2:8">
      <c r="B1671" t="s">
        <v>233</v>
      </c>
      <c r="C1671" t="s">
        <v>722</v>
      </c>
      <c r="D1671" s="9" t="s">
        <v>478</v>
      </c>
      <c r="E1671" s="1">
        <v>0</v>
      </c>
      <c r="G1671" s="2">
        <f t="shared" si="26"/>
        <v>0</v>
      </c>
      <c r="H1671" s="2">
        <v>0</v>
      </c>
    </row>
    <row r="1672" spans="2:8">
      <c r="B1672" t="s">
        <v>233</v>
      </c>
      <c r="C1672" t="s">
        <v>722</v>
      </c>
      <c r="D1672" s="10" t="s">
        <v>479</v>
      </c>
      <c r="E1672" s="1">
        <v>0</v>
      </c>
      <c r="G1672" s="2">
        <f t="shared" si="26"/>
        <v>0</v>
      </c>
      <c r="H1672" s="2">
        <v>0</v>
      </c>
    </row>
    <row r="1673" spans="2:8">
      <c r="B1673" t="s">
        <v>233</v>
      </c>
      <c r="C1673" t="s">
        <v>722</v>
      </c>
      <c r="D1673" s="11" t="s">
        <v>480</v>
      </c>
      <c r="E1673" s="1">
        <v>0</v>
      </c>
      <c r="G1673" s="2">
        <f t="shared" si="26"/>
        <v>0</v>
      </c>
      <c r="H1673" s="2">
        <v>0</v>
      </c>
    </row>
    <row r="1674" spans="2:8">
      <c r="B1674" t="s">
        <v>233</v>
      </c>
      <c r="C1674" t="s">
        <v>722</v>
      </c>
      <c r="D1674" s="13" t="s">
        <v>481</v>
      </c>
      <c r="E1674" s="1">
        <v>0</v>
      </c>
      <c r="G1674" s="2">
        <f t="shared" si="26"/>
        <v>0</v>
      </c>
      <c r="H1674" s="2">
        <v>0</v>
      </c>
    </row>
    <row r="1675" spans="2:8">
      <c r="B1675" t="s">
        <v>233</v>
      </c>
      <c r="C1675" t="s">
        <v>722</v>
      </c>
      <c r="D1675" s="12" t="s">
        <v>1033</v>
      </c>
      <c r="E1675" s="1">
        <v>0</v>
      </c>
      <c r="G1675" s="2">
        <f t="shared" si="26"/>
        <v>0</v>
      </c>
      <c r="H1675" s="2">
        <v>0</v>
      </c>
    </row>
    <row r="1676" spans="2:8">
      <c r="B1676" t="s">
        <v>891</v>
      </c>
      <c r="C1676" t="s">
        <v>908</v>
      </c>
      <c r="D1676" s="5" t="s">
        <v>474</v>
      </c>
      <c r="E1676" s="1">
        <v>0</v>
      </c>
      <c r="G1676" s="2">
        <f t="shared" si="26"/>
        <v>0</v>
      </c>
      <c r="H1676" s="2">
        <v>0</v>
      </c>
    </row>
    <row r="1677" spans="2:8">
      <c r="B1677" t="s">
        <v>891</v>
      </c>
      <c r="C1677" t="s">
        <v>908</v>
      </c>
      <c r="D1677" s="6" t="s">
        <v>475</v>
      </c>
      <c r="E1677" s="1">
        <v>0</v>
      </c>
      <c r="G1677" s="2">
        <f t="shared" si="26"/>
        <v>0</v>
      </c>
      <c r="H1677" s="2">
        <v>0</v>
      </c>
    </row>
    <row r="1678" spans="2:8">
      <c r="B1678" t="s">
        <v>891</v>
      </c>
      <c r="C1678" t="s">
        <v>908</v>
      </c>
      <c r="D1678" s="7" t="s">
        <v>476</v>
      </c>
      <c r="E1678" s="1">
        <v>0</v>
      </c>
      <c r="G1678" s="2">
        <f t="shared" si="26"/>
        <v>0</v>
      </c>
      <c r="H1678" s="2">
        <v>0</v>
      </c>
    </row>
    <row r="1679" spans="2:8">
      <c r="B1679" t="s">
        <v>891</v>
      </c>
      <c r="C1679" t="s">
        <v>908</v>
      </c>
      <c r="D1679" s="8" t="s">
        <v>477</v>
      </c>
      <c r="E1679" s="1">
        <v>0</v>
      </c>
      <c r="G1679" s="2">
        <f t="shared" si="26"/>
        <v>0</v>
      </c>
      <c r="H1679" s="2">
        <v>0</v>
      </c>
    </row>
    <row r="1680" spans="2:8">
      <c r="B1680" t="s">
        <v>891</v>
      </c>
      <c r="C1680" t="s">
        <v>908</v>
      </c>
      <c r="D1680" s="9" t="s">
        <v>478</v>
      </c>
      <c r="E1680" s="1">
        <v>0</v>
      </c>
      <c r="G1680" s="2">
        <f t="shared" si="26"/>
        <v>0</v>
      </c>
      <c r="H1680" s="2">
        <v>0</v>
      </c>
    </row>
    <row r="1681" spans="2:8">
      <c r="B1681" t="s">
        <v>891</v>
      </c>
      <c r="C1681" t="s">
        <v>908</v>
      </c>
      <c r="D1681" s="10" t="s">
        <v>479</v>
      </c>
      <c r="E1681" s="1">
        <v>0</v>
      </c>
      <c r="G1681" s="2">
        <f t="shared" si="26"/>
        <v>0</v>
      </c>
      <c r="H1681" s="2">
        <v>0</v>
      </c>
    </row>
    <row r="1682" spans="2:8">
      <c r="B1682" t="s">
        <v>891</v>
      </c>
      <c r="C1682" t="s">
        <v>908</v>
      </c>
      <c r="D1682" s="11" t="s">
        <v>480</v>
      </c>
      <c r="E1682" s="1">
        <v>0</v>
      </c>
      <c r="G1682" s="2">
        <f t="shared" si="26"/>
        <v>0</v>
      </c>
      <c r="H1682" s="2">
        <v>0</v>
      </c>
    </row>
    <row r="1683" spans="2:8">
      <c r="B1683" t="s">
        <v>891</v>
      </c>
      <c r="C1683" t="s">
        <v>908</v>
      </c>
      <c r="D1683" s="13" t="s">
        <v>481</v>
      </c>
      <c r="E1683" s="1">
        <v>0</v>
      </c>
      <c r="G1683" s="2">
        <f t="shared" si="26"/>
        <v>0</v>
      </c>
      <c r="H1683" s="2">
        <v>0</v>
      </c>
    </row>
    <row r="1684" spans="2:8">
      <c r="B1684" t="s">
        <v>891</v>
      </c>
      <c r="C1684" t="s">
        <v>908</v>
      </c>
      <c r="D1684" s="12" t="s">
        <v>1033</v>
      </c>
      <c r="E1684" s="1">
        <v>0</v>
      </c>
      <c r="G1684" s="2">
        <f t="shared" si="26"/>
        <v>0</v>
      </c>
      <c r="H1684" s="2">
        <v>0</v>
      </c>
    </row>
    <row r="1685" spans="2:8">
      <c r="B1685" s="3" t="s">
        <v>893</v>
      </c>
      <c r="C1685" s="3" t="s">
        <v>913</v>
      </c>
      <c r="D1685" s="5" t="s">
        <v>474</v>
      </c>
      <c r="E1685" s="1">
        <v>0</v>
      </c>
      <c r="G1685" s="2">
        <f t="shared" si="26"/>
        <v>0</v>
      </c>
      <c r="H1685" s="2">
        <v>0</v>
      </c>
    </row>
    <row r="1686" spans="2:8">
      <c r="B1686" s="3" t="s">
        <v>893</v>
      </c>
      <c r="C1686" s="3" t="s">
        <v>913</v>
      </c>
      <c r="D1686" s="6" t="s">
        <v>475</v>
      </c>
      <c r="E1686" s="1">
        <v>0</v>
      </c>
      <c r="G1686" s="2">
        <f t="shared" si="26"/>
        <v>0</v>
      </c>
      <c r="H1686" s="2">
        <v>0</v>
      </c>
    </row>
    <row r="1687" spans="2:8">
      <c r="B1687" s="3" t="s">
        <v>893</v>
      </c>
      <c r="C1687" s="3" t="s">
        <v>913</v>
      </c>
      <c r="D1687" s="7" t="s">
        <v>476</v>
      </c>
      <c r="E1687" s="1">
        <v>0</v>
      </c>
      <c r="G1687" s="2">
        <f t="shared" si="26"/>
        <v>0</v>
      </c>
      <c r="H1687" s="2">
        <v>0</v>
      </c>
    </row>
    <row r="1688" spans="2:8">
      <c r="B1688" s="3" t="s">
        <v>893</v>
      </c>
      <c r="C1688" s="3" t="s">
        <v>913</v>
      </c>
      <c r="D1688" s="8" t="s">
        <v>477</v>
      </c>
      <c r="E1688" s="1">
        <v>0</v>
      </c>
      <c r="G1688" s="2">
        <f t="shared" si="26"/>
        <v>0</v>
      </c>
      <c r="H1688" s="2">
        <v>0</v>
      </c>
    </row>
    <row r="1689" spans="2:8">
      <c r="B1689" s="3" t="s">
        <v>893</v>
      </c>
      <c r="C1689" s="3" t="s">
        <v>913</v>
      </c>
      <c r="D1689" s="9" t="s">
        <v>478</v>
      </c>
      <c r="E1689" s="1">
        <v>0</v>
      </c>
      <c r="G1689" s="2">
        <f t="shared" si="26"/>
        <v>0</v>
      </c>
      <c r="H1689" s="2">
        <v>0</v>
      </c>
    </row>
    <row r="1690" spans="2:8">
      <c r="B1690" s="3" t="s">
        <v>893</v>
      </c>
      <c r="C1690" s="3" t="s">
        <v>913</v>
      </c>
      <c r="D1690" s="10" t="s">
        <v>479</v>
      </c>
      <c r="E1690" s="1">
        <v>0</v>
      </c>
      <c r="G1690" s="2">
        <f t="shared" si="26"/>
        <v>0</v>
      </c>
      <c r="H1690" s="2">
        <v>0</v>
      </c>
    </row>
    <row r="1691" spans="2:8">
      <c r="B1691" s="3" t="s">
        <v>893</v>
      </c>
      <c r="C1691" s="3" t="s">
        <v>913</v>
      </c>
      <c r="D1691" s="11" t="s">
        <v>480</v>
      </c>
      <c r="E1691" s="1">
        <v>0</v>
      </c>
      <c r="G1691" s="2">
        <f t="shared" si="26"/>
        <v>0</v>
      </c>
      <c r="H1691" s="2">
        <v>0</v>
      </c>
    </row>
    <row r="1692" spans="2:8">
      <c r="B1692" s="3" t="s">
        <v>893</v>
      </c>
      <c r="C1692" s="3" t="s">
        <v>913</v>
      </c>
      <c r="D1692" s="13" t="s">
        <v>481</v>
      </c>
      <c r="E1692" s="1">
        <v>0</v>
      </c>
      <c r="G1692" s="2">
        <f t="shared" si="26"/>
        <v>0</v>
      </c>
      <c r="H1692" s="2">
        <v>0</v>
      </c>
    </row>
    <row r="1693" spans="2:8">
      <c r="B1693" s="3" t="s">
        <v>893</v>
      </c>
      <c r="C1693" s="3" t="s">
        <v>913</v>
      </c>
      <c r="D1693" s="12" t="s">
        <v>1033</v>
      </c>
      <c r="E1693" s="1">
        <v>0</v>
      </c>
      <c r="G1693" s="2">
        <f t="shared" si="26"/>
        <v>0</v>
      </c>
      <c r="H1693" s="2">
        <v>0</v>
      </c>
    </row>
    <row r="1694" spans="2:8">
      <c r="B1694" t="s">
        <v>487</v>
      </c>
      <c r="C1694" t="s">
        <v>723</v>
      </c>
      <c r="D1694" s="5" t="s">
        <v>474</v>
      </c>
      <c r="E1694" s="1">
        <v>0</v>
      </c>
      <c r="G1694" s="2">
        <f t="shared" si="26"/>
        <v>0</v>
      </c>
      <c r="H1694" s="2">
        <v>0</v>
      </c>
    </row>
    <row r="1695" spans="2:8">
      <c r="B1695" t="s">
        <v>487</v>
      </c>
      <c r="C1695" t="s">
        <v>723</v>
      </c>
      <c r="D1695" s="6" t="s">
        <v>475</v>
      </c>
      <c r="E1695" s="1">
        <v>0</v>
      </c>
      <c r="G1695" s="2">
        <f t="shared" si="26"/>
        <v>0</v>
      </c>
      <c r="H1695" s="2">
        <v>0</v>
      </c>
    </row>
    <row r="1696" spans="2:8">
      <c r="B1696" t="s">
        <v>487</v>
      </c>
      <c r="C1696" t="s">
        <v>723</v>
      </c>
      <c r="D1696" s="7" t="s">
        <v>476</v>
      </c>
      <c r="E1696" s="1">
        <v>0</v>
      </c>
      <c r="G1696" s="2">
        <f t="shared" si="26"/>
        <v>0</v>
      </c>
      <c r="H1696" s="2">
        <v>0</v>
      </c>
    </row>
    <row r="1697" spans="2:8">
      <c r="B1697" t="s">
        <v>487</v>
      </c>
      <c r="C1697" t="s">
        <v>723</v>
      </c>
      <c r="D1697" s="8" t="s">
        <v>477</v>
      </c>
      <c r="E1697" s="1">
        <v>0</v>
      </c>
      <c r="G1697" s="2">
        <f t="shared" si="26"/>
        <v>0</v>
      </c>
      <c r="H1697" s="2">
        <v>0</v>
      </c>
    </row>
    <row r="1698" spans="2:8">
      <c r="B1698" t="s">
        <v>487</v>
      </c>
      <c r="C1698" t="s">
        <v>723</v>
      </c>
      <c r="D1698" s="9" t="s">
        <v>478</v>
      </c>
      <c r="E1698" s="1">
        <v>0</v>
      </c>
      <c r="G1698" s="2">
        <f t="shared" si="26"/>
        <v>0</v>
      </c>
      <c r="H1698" s="2">
        <v>0</v>
      </c>
    </row>
    <row r="1699" spans="2:8">
      <c r="B1699" t="s">
        <v>487</v>
      </c>
      <c r="C1699" t="s">
        <v>723</v>
      </c>
      <c r="D1699" s="10" t="s">
        <v>479</v>
      </c>
      <c r="E1699" s="1">
        <v>0</v>
      </c>
      <c r="G1699" s="2">
        <f t="shared" si="26"/>
        <v>0</v>
      </c>
      <c r="H1699" s="2">
        <v>0</v>
      </c>
    </row>
    <row r="1700" spans="2:8">
      <c r="B1700" t="s">
        <v>487</v>
      </c>
      <c r="C1700" t="s">
        <v>723</v>
      </c>
      <c r="D1700" s="11" t="s">
        <v>480</v>
      </c>
      <c r="E1700" s="1">
        <v>0</v>
      </c>
      <c r="G1700" s="2">
        <f t="shared" si="26"/>
        <v>0</v>
      </c>
      <c r="H1700" s="2">
        <v>0</v>
      </c>
    </row>
    <row r="1701" spans="2:8">
      <c r="B1701" t="s">
        <v>487</v>
      </c>
      <c r="C1701" t="s">
        <v>723</v>
      </c>
      <c r="D1701" s="13" t="s">
        <v>481</v>
      </c>
      <c r="E1701" s="1">
        <v>0</v>
      </c>
      <c r="G1701" s="2">
        <f t="shared" si="26"/>
        <v>0</v>
      </c>
      <c r="H1701" s="2">
        <v>0</v>
      </c>
    </row>
    <row r="1702" spans="2:8">
      <c r="B1702" t="s">
        <v>487</v>
      </c>
      <c r="C1702" t="s">
        <v>723</v>
      </c>
      <c r="D1702" s="12" t="s">
        <v>1033</v>
      </c>
      <c r="E1702" s="1">
        <v>0</v>
      </c>
      <c r="G1702" s="2">
        <f t="shared" si="26"/>
        <v>0</v>
      </c>
      <c r="H1702" s="2">
        <v>0</v>
      </c>
    </row>
    <row r="1703" spans="2:8">
      <c r="B1703" t="s">
        <v>220</v>
      </c>
      <c r="C1703" t="s">
        <v>724</v>
      </c>
      <c r="D1703" s="5" t="s">
        <v>474</v>
      </c>
      <c r="E1703" s="1">
        <v>0</v>
      </c>
      <c r="G1703" s="2">
        <f t="shared" si="26"/>
        <v>0</v>
      </c>
      <c r="H1703" s="2">
        <v>0</v>
      </c>
    </row>
    <row r="1704" spans="2:8">
      <c r="B1704" t="s">
        <v>220</v>
      </c>
      <c r="C1704" t="s">
        <v>724</v>
      </c>
      <c r="D1704" s="6" t="s">
        <v>475</v>
      </c>
      <c r="E1704" s="1">
        <v>0</v>
      </c>
      <c r="G1704" s="2">
        <f t="shared" si="26"/>
        <v>0</v>
      </c>
      <c r="H1704" s="2">
        <v>0</v>
      </c>
    </row>
    <row r="1705" spans="2:8">
      <c r="B1705" t="s">
        <v>220</v>
      </c>
      <c r="C1705" t="s">
        <v>724</v>
      </c>
      <c r="D1705" s="7" t="s">
        <v>476</v>
      </c>
      <c r="E1705" s="1">
        <v>0</v>
      </c>
      <c r="G1705" s="2">
        <f t="shared" si="26"/>
        <v>0</v>
      </c>
      <c r="H1705" s="2">
        <v>0</v>
      </c>
    </row>
    <row r="1706" spans="2:8">
      <c r="B1706" t="s">
        <v>220</v>
      </c>
      <c r="C1706" t="s">
        <v>724</v>
      </c>
      <c r="D1706" s="8" t="s">
        <v>477</v>
      </c>
      <c r="E1706" s="1">
        <v>0</v>
      </c>
      <c r="G1706" s="2">
        <f t="shared" si="26"/>
        <v>0</v>
      </c>
      <c r="H1706" s="2">
        <v>0</v>
      </c>
    </row>
    <row r="1707" spans="2:8">
      <c r="B1707" t="s">
        <v>220</v>
      </c>
      <c r="C1707" t="s">
        <v>724</v>
      </c>
      <c r="D1707" s="9" t="s">
        <v>478</v>
      </c>
      <c r="E1707" s="1">
        <v>0</v>
      </c>
      <c r="G1707" s="2">
        <f t="shared" si="26"/>
        <v>0</v>
      </c>
      <c r="H1707" s="2">
        <v>0</v>
      </c>
    </row>
    <row r="1708" spans="2:8">
      <c r="B1708" t="s">
        <v>220</v>
      </c>
      <c r="C1708" t="s">
        <v>724</v>
      </c>
      <c r="D1708" s="10" t="s">
        <v>479</v>
      </c>
      <c r="E1708" s="1">
        <v>0</v>
      </c>
      <c r="G1708" s="2">
        <f t="shared" si="26"/>
        <v>0</v>
      </c>
      <c r="H1708" s="2">
        <v>0</v>
      </c>
    </row>
    <row r="1709" spans="2:8">
      <c r="B1709" t="s">
        <v>220</v>
      </c>
      <c r="C1709" t="s">
        <v>724</v>
      </c>
      <c r="D1709" s="11" t="s">
        <v>480</v>
      </c>
      <c r="E1709" s="1">
        <v>0</v>
      </c>
      <c r="G1709" s="2">
        <f t="shared" si="26"/>
        <v>0</v>
      </c>
      <c r="H1709" s="2">
        <v>0</v>
      </c>
    </row>
    <row r="1710" spans="2:8">
      <c r="B1710" t="s">
        <v>220</v>
      </c>
      <c r="C1710" t="s">
        <v>724</v>
      </c>
      <c r="D1710" s="13" t="s">
        <v>481</v>
      </c>
      <c r="E1710" s="1">
        <v>0</v>
      </c>
      <c r="G1710" s="2">
        <f t="shared" si="26"/>
        <v>0</v>
      </c>
      <c r="H1710" s="2">
        <v>0</v>
      </c>
    </row>
    <row r="1711" spans="2:8">
      <c r="B1711" t="s">
        <v>220</v>
      </c>
      <c r="C1711" t="s">
        <v>724</v>
      </c>
      <c r="D1711" s="12" t="s">
        <v>1033</v>
      </c>
      <c r="E1711" s="1">
        <v>0</v>
      </c>
      <c r="G1711" s="2">
        <f t="shared" si="26"/>
        <v>0</v>
      </c>
      <c r="H1711" s="2">
        <v>0</v>
      </c>
    </row>
    <row r="1712" spans="2:8">
      <c r="B1712" t="s">
        <v>488</v>
      </c>
      <c r="C1712" t="s">
        <v>725</v>
      </c>
      <c r="D1712" s="5" t="s">
        <v>474</v>
      </c>
      <c r="E1712" s="1">
        <v>0</v>
      </c>
      <c r="G1712" s="2">
        <f t="shared" si="26"/>
        <v>0</v>
      </c>
      <c r="H1712" s="2">
        <v>0</v>
      </c>
    </row>
    <row r="1713" spans="2:8">
      <c r="B1713" t="s">
        <v>488</v>
      </c>
      <c r="C1713" t="s">
        <v>725</v>
      </c>
      <c r="D1713" s="6" t="s">
        <v>475</v>
      </c>
      <c r="E1713" s="1">
        <v>0</v>
      </c>
      <c r="G1713" s="2">
        <f t="shared" si="26"/>
        <v>0</v>
      </c>
      <c r="H1713" s="2">
        <v>0</v>
      </c>
    </row>
    <row r="1714" spans="2:8">
      <c r="B1714" t="s">
        <v>488</v>
      </c>
      <c r="C1714" t="s">
        <v>725</v>
      </c>
      <c r="D1714" s="7" t="s">
        <v>476</v>
      </c>
      <c r="E1714" s="1">
        <v>0</v>
      </c>
      <c r="G1714" s="2">
        <f t="shared" si="26"/>
        <v>0</v>
      </c>
      <c r="H1714" s="2">
        <v>0</v>
      </c>
    </row>
    <row r="1715" spans="2:8">
      <c r="B1715" t="s">
        <v>488</v>
      </c>
      <c r="C1715" t="s">
        <v>725</v>
      </c>
      <c r="D1715" s="8" t="s">
        <v>477</v>
      </c>
      <c r="E1715" s="1">
        <v>0</v>
      </c>
      <c r="G1715" s="2">
        <f t="shared" si="26"/>
        <v>0</v>
      </c>
      <c r="H1715" s="2">
        <v>0</v>
      </c>
    </row>
    <row r="1716" spans="2:8">
      <c r="B1716" t="s">
        <v>488</v>
      </c>
      <c r="C1716" t="s">
        <v>725</v>
      </c>
      <c r="D1716" s="9" t="s">
        <v>478</v>
      </c>
      <c r="E1716" s="1">
        <v>0</v>
      </c>
      <c r="G1716" s="2">
        <f t="shared" si="26"/>
        <v>0</v>
      </c>
      <c r="H1716" s="2">
        <v>0</v>
      </c>
    </row>
    <row r="1717" spans="2:8">
      <c r="B1717" t="s">
        <v>488</v>
      </c>
      <c r="C1717" t="s">
        <v>725</v>
      </c>
      <c r="D1717" s="10" t="s">
        <v>479</v>
      </c>
      <c r="E1717" s="1">
        <v>0</v>
      </c>
      <c r="G1717" s="2">
        <f t="shared" si="26"/>
        <v>0</v>
      </c>
      <c r="H1717" s="2">
        <v>0</v>
      </c>
    </row>
    <row r="1718" spans="2:8">
      <c r="B1718" t="s">
        <v>488</v>
      </c>
      <c r="C1718" t="s">
        <v>725</v>
      </c>
      <c r="D1718" s="11" t="s">
        <v>480</v>
      </c>
      <c r="E1718" s="1">
        <v>0</v>
      </c>
      <c r="G1718" s="2">
        <f t="shared" si="26"/>
        <v>0</v>
      </c>
      <c r="H1718" s="2">
        <v>0</v>
      </c>
    </row>
    <row r="1719" spans="2:8">
      <c r="B1719" t="s">
        <v>488</v>
      </c>
      <c r="C1719" t="s">
        <v>725</v>
      </c>
      <c r="D1719" s="13" t="s">
        <v>481</v>
      </c>
      <c r="E1719" s="1">
        <v>0</v>
      </c>
      <c r="G1719" s="2">
        <f t="shared" si="26"/>
        <v>0</v>
      </c>
      <c r="H1719" s="2">
        <v>0</v>
      </c>
    </row>
    <row r="1720" spans="2:8">
      <c r="B1720" t="s">
        <v>488</v>
      </c>
      <c r="C1720" t="s">
        <v>725</v>
      </c>
      <c r="D1720" s="12" t="s">
        <v>1033</v>
      </c>
      <c r="E1720" s="1">
        <v>0</v>
      </c>
      <c r="G1720" s="2">
        <f t="shared" si="26"/>
        <v>0</v>
      </c>
      <c r="H1720" s="2">
        <v>0</v>
      </c>
    </row>
    <row r="1721" spans="2:8">
      <c r="B1721" t="s">
        <v>221</v>
      </c>
      <c r="C1721" t="s">
        <v>726</v>
      </c>
      <c r="D1721" s="5" t="s">
        <v>474</v>
      </c>
      <c r="E1721" s="1">
        <v>0</v>
      </c>
      <c r="G1721" s="2">
        <f t="shared" si="26"/>
        <v>0</v>
      </c>
      <c r="H1721" s="2">
        <v>0</v>
      </c>
    </row>
    <row r="1722" spans="2:8">
      <c r="B1722" t="s">
        <v>221</v>
      </c>
      <c r="C1722" t="s">
        <v>726</v>
      </c>
      <c r="D1722" s="6" t="s">
        <v>475</v>
      </c>
      <c r="E1722" s="1">
        <v>0</v>
      </c>
      <c r="G1722" s="2">
        <f t="shared" si="26"/>
        <v>0</v>
      </c>
      <c r="H1722" s="2">
        <v>0</v>
      </c>
    </row>
    <row r="1723" spans="2:8">
      <c r="B1723" t="s">
        <v>221</v>
      </c>
      <c r="C1723" t="s">
        <v>726</v>
      </c>
      <c r="D1723" s="7" t="s">
        <v>476</v>
      </c>
      <c r="E1723" s="1">
        <v>0</v>
      </c>
      <c r="G1723" s="2">
        <f t="shared" si="26"/>
        <v>0</v>
      </c>
      <c r="H1723" s="2">
        <v>0</v>
      </c>
    </row>
    <row r="1724" spans="2:8">
      <c r="B1724" t="s">
        <v>221</v>
      </c>
      <c r="C1724" t="s">
        <v>726</v>
      </c>
      <c r="D1724" s="8" t="s">
        <v>477</v>
      </c>
      <c r="E1724" s="1">
        <v>0</v>
      </c>
      <c r="G1724" s="2">
        <f t="shared" si="26"/>
        <v>0</v>
      </c>
      <c r="H1724" s="2">
        <v>0</v>
      </c>
    </row>
    <row r="1725" spans="2:8">
      <c r="B1725" t="s">
        <v>221</v>
      </c>
      <c r="C1725" t="s">
        <v>726</v>
      </c>
      <c r="D1725" s="9" t="s">
        <v>478</v>
      </c>
      <c r="E1725" s="1">
        <v>0</v>
      </c>
      <c r="G1725" s="2">
        <f t="shared" si="26"/>
        <v>0</v>
      </c>
      <c r="H1725" s="2">
        <v>0</v>
      </c>
    </row>
    <row r="1726" spans="2:8">
      <c r="B1726" t="s">
        <v>221</v>
      </c>
      <c r="C1726" t="s">
        <v>726</v>
      </c>
      <c r="D1726" s="10" t="s">
        <v>479</v>
      </c>
      <c r="E1726" s="1">
        <v>0</v>
      </c>
      <c r="G1726" s="2">
        <f t="shared" si="26"/>
        <v>0</v>
      </c>
      <c r="H1726" s="2">
        <v>0</v>
      </c>
    </row>
    <row r="1727" spans="2:8">
      <c r="B1727" t="s">
        <v>221</v>
      </c>
      <c r="C1727" t="s">
        <v>726</v>
      </c>
      <c r="D1727" s="11" t="s">
        <v>480</v>
      </c>
      <c r="E1727" s="1">
        <v>0</v>
      </c>
      <c r="G1727" s="2">
        <f t="shared" si="26"/>
        <v>0</v>
      </c>
      <c r="H1727" s="2">
        <v>0</v>
      </c>
    </row>
    <row r="1728" spans="2:8">
      <c r="B1728" t="s">
        <v>221</v>
      </c>
      <c r="C1728" t="s">
        <v>726</v>
      </c>
      <c r="D1728" s="13" t="s">
        <v>481</v>
      </c>
      <c r="E1728" s="1">
        <v>0</v>
      </c>
      <c r="G1728" s="2">
        <f t="shared" si="26"/>
        <v>0</v>
      </c>
      <c r="H1728" s="2">
        <v>0</v>
      </c>
    </row>
    <row r="1729" spans="2:8">
      <c r="B1729" t="s">
        <v>221</v>
      </c>
      <c r="C1729" t="s">
        <v>726</v>
      </c>
      <c r="D1729" s="12" t="s">
        <v>1033</v>
      </c>
      <c r="E1729" s="1">
        <v>0</v>
      </c>
      <c r="G1729" s="2">
        <f t="shared" si="26"/>
        <v>0</v>
      </c>
      <c r="H1729" s="2">
        <v>0</v>
      </c>
    </row>
    <row r="1730" spans="2:8">
      <c r="B1730" t="s">
        <v>489</v>
      </c>
      <c r="C1730" t="s">
        <v>727</v>
      </c>
      <c r="D1730" s="5" t="s">
        <v>474</v>
      </c>
      <c r="E1730" s="1">
        <v>0</v>
      </c>
      <c r="G1730" s="2">
        <f t="shared" ref="G1730:G1793" si="27">E1730*F1730</f>
        <v>0</v>
      </c>
      <c r="H1730" s="2">
        <v>0</v>
      </c>
    </row>
    <row r="1731" spans="2:8">
      <c r="B1731" t="s">
        <v>489</v>
      </c>
      <c r="C1731" t="s">
        <v>727</v>
      </c>
      <c r="D1731" s="6" t="s">
        <v>475</v>
      </c>
      <c r="E1731" s="1">
        <v>0</v>
      </c>
      <c r="G1731" s="2">
        <f t="shared" si="27"/>
        <v>0</v>
      </c>
      <c r="H1731" s="2">
        <v>0</v>
      </c>
    </row>
    <row r="1732" spans="2:8">
      <c r="B1732" t="s">
        <v>489</v>
      </c>
      <c r="C1732" t="s">
        <v>727</v>
      </c>
      <c r="D1732" s="7" t="s">
        <v>476</v>
      </c>
      <c r="E1732" s="1">
        <v>0</v>
      </c>
      <c r="G1732" s="2">
        <f t="shared" si="27"/>
        <v>0</v>
      </c>
      <c r="H1732" s="2">
        <v>0</v>
      </c>
    </row>
    <row r="1733" spans="2:8">
      <c r="B1733" t="s">
        <v>489</v>
      </c>
      <c r="C1733" t="s">
        <v>727</v>
      </c>
      <c r="D1733" s="8" t="s">
        <v>477</v>
      </c>
      <c r="E1733" s="1">
        <v>0</v>
      </c>
      <c r="G1733" s="2">
        <f t="shared" si="27"/>
        <v>0</v>
      </c>
      <c r="H1733" s="2">
        <v>0</v>
      </c>
    </row>
    <row r="1734" spans="2:8">
      <c r="B1734" t="s">
        <v>489</v>
      </c>
      <c r="C1734" t="s">
        <v>727</v>
      </c>
      <c r="D1734" s="9" t="s">
        <v>478</v>
      </c>
      <c r="E1734" s="1">
        <v>0</v>
      </c>
      <c r="G1734" s="2">
        <f t="shared" si="27"/>
        <v>0</v>
      </c>
      <c r="H1734" s="2">
        <v>0</v>
      </c>
    </row>
    <row r="1735" spans="2:8">
      <c r="B1735" t="s">
        <v>489</v>
      </c>
      <c r="C1735" t="s">
        <v>727</v>
      </c>
      <c r="D1735" s="10" t="s">
        <v>479</v>
      </c>
      <c r="E1735" s="1">
        <v>0</v>
      </c>
      <c r="G1735" s="2">
        <f t="shared" si="27"/>
        <v>0</v>
      </c>
      <c r="H1735" s="2">
        <v>0</v>
      </c>
    </row>
    <row r="1736" spans="2:8">
      <c r="B1736" t="s">
        <v>489</v>
      </c>
      <c r="C1736" t="s">
        <v>727</v>
      </c>
      <c r="D1736" s="11" t="s">
        <v>480</v>
      </c>
      <c r="E1736" s="1">
        <v>0</v>
      </c>
      <c r="G1736" s="2">
        <f t="shared" si="27"/>
        <v>0</v>
      </c>
      <c r="H1736" s="2">
        <v>0</v>
      </c>
    </row>
    <row r="1737" spans="2:8">
      <c r="B1737" t="s">
        <v>489</v>
      </c>
      <c r="C1737" t="s">
        <v>727</v>
      </c>
      <c r="D1737" s="13" t="s">
        <v>481</v>
      </c>
      <c r="E1737" s="1">
        <v>0</v>
      </c>
      <c r="G1737" s="2">
        <f t="shared" si="27"/>
        <v>0</v>
      </c>
      <c r="H1737" s="2">
        <v>0</v>
      </c>
    </row>
    <row r="1738" spans="2:8">
      <c r="B1738" t="s">
        <v>489</v>
      </c>
      <c r="C1738" t="s">
        <v>727</v>
      </c>
      <c r="D1738" s="12" t="s">
        <v>1033</v>
      </c>
      <c r="E1738" s="1">
        <v>0</v>
      </c>
      <c r="G1738" s="2">
        <f t="shared" si="27"/>
        <v>0</v>
      </c>
      <c r="H1738" s="2">
        <v>0</v>
      </c>
    </row>
    <row r="1739" spans="2:8">
      <c r="B1739" s="3" t="s">
        <v>894</v>
      </c>
      <c r="C1739" s="3" t="s">
        <v>914</v>
      </c>
      <c r="D1739" s="5" t="s">
        <v>474</v>
      </c>
      <c r="E1739" s="1">
        <v>0</v>
      </c>
      <c r="G1739" s="2">
        <f t="shared" si="27"/>
        <v>0</v>
      </c>
      <c r="H1739" s="2">
        <v>0</v>
      </c>
    </row>
    <row r="1740" spans="2:8">
      <c r="B1740" s="3" t="s">
        <v>894</v>
      </c>
      <c r="C1740" s="3" t="s">
        <v>914</v>
      </c>
      <c r="D1740" s="6" t="s">
        <v>475</v>
      </c>
      <c r="E1740" s="1">
        <v>0</v>
      </c>
      <c r="G1740" s="2">
        <f t="shared" si="27"/>
        <v>0</v>
      </c>
      <c r="H1740" s="2">
        <v>0</v>
      </c>
    </row>
    <row r="1741" spans="2:8">
      <c r="B1741" s="3" t="s">
        <v>894</v>
      </c>
      <c r="C1741" s="3" t="s">
        <v>914</v>
      </c>
      <c r="D1741" s="7" t="s">
        <v>476</v>
      </c>
      <c r="E1741" s="1">
        <v>0</v>
      </c>
      <c r="G1741" s="2">
        <f t="shared" si="27"/>
        <v>0</v>
      </c>
      <c r="H1741" s="2">
        <v>0</v>
      </c>
    </row>
    <row r="1742" spans="2:8">
      <c r="B1742" s="3" t="s">
        <v>894</v>
      </c>
      <c r="C1742" s="3" t="s">
        <v>914</v>
      </c>
      <c r="D1742" s="8" t="s">
        <v>477</v>
      </c>
      <c r="E1742" s="1">
        <v>0</v>
      </c>
      <c r="G1742" s="2">
        <f t="shared" si="27"/>
        <v>0</v>
      </c>
      <c r="H1742" s="2">
        <v>0</v>
      </c>
    </row>
    <row r="1743" spans="2:8">
      <c r="B1743" s="3" t="s">
        <v>894</v>
      </c>
      <c r="C1743" s="3" t="s">
        <v>914</v>
      </c>
      <c r="D1743" s="9" t="s">
        <v>478</v>
      </c>
      <c r="E1743" s="1">
        <v>0</v>
      </c>
      <c r="G1743" s="2">
        <f t="shared" si="27"/>
        <v>0</v>
      </c>
      <c r="H1743" s="2">
        <v>0</v>
      </c>
    </row>
    <row r="1744" spans="2:8">
      <c r="B1744" s="3" t="s">
        <v>894</v>
      </c>
      <c r="C1744" s="3" t="s">
        <v>914</v>
      </c>
      <c r="D1744" s="10" t="s">
        <v>479</v>
      </c>
      <c r="E1744" s="1">
        <v>0</v>
      </c>
      <c r="G1744" s="2">
        <f t="shared" si="27"/>
        <v>0</v>
      </c>
      <c r="H1744" s="2">
        <v>0</v>
      </c>
    </row>
    <row r="1745" spans="2:8">
      <c r="B1745" s="3" t="s">
        <v>894</v>
      </c>
      <c r="C1745" s="3" t="s">
        <v>914</v>
      </c>
      <c r="D1745" s="11" t="s">
        <v>480</v>
      </c>
      <c r="E1745" s="1">
        <v>0</v>
      </c>
      <c r="G1745" s="2">
        <f t="shared" si="27"/>
        <v>0</v>
      </c>
      <c r="H1745" s="2">
        <v>0</v>
      </c>
    </row>
    <row r="1746" spans="2:8">
      <c r="B1746" s="3" t="s">
        <v>894</v>
      </c>
      <c r="C1746" s="3" t="s">
        <v>914</v>
      </c>
      <c r="D1746" s="13" t="s">
        <v>481</v>
      </c>
      <c r="E1746" s="1">
        <v>0</v>
      </c>
      <c r="G1746" s="2">
        <f t="shared" si="27"/>
        <v>0</v>
      </c>
      <c r="H1746" s="2">
        <v>0</v>
      </c>
    </row>
    <row r="1747" spans="2:8">
      <c r="B1747" s="3" t="s">
        <v>894</v>
      </c>
      <c r="C1747" s="3" t="s">
        <v>914</v>
      </c>
      <c r="D1747" s="12" t="s">
        <v>1033</v>
      </c>
      <c r="E1747" s="1">
        <v>0</v>
      </c>
      <c r="G1747" s="2">
        <f t="shared" si="27"/>
        <v>0</v>
      </c>
      <c r="H1747" s="2">
        <v>0</v>
      </c>
    </row>
    <row r="1748" spans="2:8">
      <c r="B1748" t="s">
        <v>490</v>
      </c>
      <c r="C1748" t="s">
        <v>728</v>
      </c>
      <c r="D1748" s="5" t="s">
        <v>474</v>
      </c>
      <c r="E1748" s="1">
        <v>0</v>
      </c>
      <c r="G1748" s="2">
        <f t="shared" si="27"/>
        <v>0</v>
      </c>
      <c r="H1748" s="2">
        <v>0</v>
      </c>
    </row>
    <row r="1749" spans="2:8">
      <c r="B1749" t="s">
        <v>490</v>
      </c>
      <c r="C1749" t="s">
        <v>728</v>
      </c>
      <c r="D1749" s="6" t="s">
        <v>475</v>
      </c>
      <c r="E1749" s="1">
        <v>0</v>
      </c>
      <c r="G1749" s="2">
        <f t="shared" si="27"/>
        <v>0</v>
      </c>
      <c r="H1749" s="2">
        <v>0</v>
      </c>
    </row>
    <row r="1750" spans="2:8">
      <c r="B1750" t="s">
        <v>490</v>
      </c>
      <c r="C1750" t="s">
        <v>728</v>
      </c>
      <c r="D1750" s="7" t="s">
        <v>476</v>
      </c>
      <c r="E1750" s="1">
        <v>0</v>
      </c>
      <c r="G1750" s="2">
        <f t="shared" si="27"/>
        <v>0</v>
      </c>
      <c r="H1750" s="2">
        <v>0</v>
      </c>
    </row>
    <row r="1751" spans="2:8">
      <c r="B1751" t="s">
        <v>490</v>
      </c>
      <c r="C1751" t="s">
        <v>728</v>
      </c>
      <c r="D1751" s="8" t="s">
        <v>477</v>
      </c>
      <c r="E1751" s="1">
        <v>0</v>
      </c>
      <c r="G1751" s="2">
        <f t="shared" si="27"/>
        <v>0</v>
      </c>
      <c r="H1751" s="2">
        <v>0</v>
      </c>
    </row>
    <row r="1752" spans="2:8">
      <c r="B1752" t="s">
        <v>490</v>
      </c>
      <c r="C1752" t="s">
        <v>728</v>
      </c>
      <c r="D1752" s="9" t="s">
        <v>478</v>
      </c>
      <c r="E1752" s="1">
        <v>0</v>
      </c>
      <c r="G1752" s="2">
        <f t="shared" si="27"/>
        <v>0</v>
      </c>
      <c r="H1752" s="2">
        <v>0</v>
      </c>
    </row>
    <row r="1753" spans="2:8">
      <c r="B1753" t="s">
        <v>490</v>
      </c>
      <c r="C1753" t="s">
        <v>728</v>
      </c>
      <c r="D1753" s="10" t="s">
        <v>479</v>
      </c>
      <c r="E1753" s="1">
        <v>0</v>
      </c>
      <c r="G1753" s="2">
        <f t="shared" si="27"/>
        <v>0</v>
      </c>
      <c r="H1753" s="2">
        <v>0</v>
      </c>
    </row>
    <row r="1754" spans="2:8">
      <c r="B1754" t="s">
        <v>490</v>
      </c>
      <c r="C1754" t="s">
        <v>728</v>
      </c>
      <c r="D1754" s="11" t="s">
        <v>480</v>
      </c>
      <c r="E1754" s="1">
        <v>0</v>
      </c>
      <c r="G1754" s="2">
        <f t="shared" si="27"/>
        <v>0</v>
      </c>
      <c r="H1754" s="2">
        <v>0</v>
      </c>
    </row>
    <row r="1755" spans="2:8">
      <c r="B1755" t="s">
        <v>490</v>
      </c>
      <c r="C1755" t="s">
        <v>728</v>
      </c>
      <c r="D1755" s="13" t="s">
        <v>481</v>
      </c>
      <c r="E1755" s="1">
        <v>0</v>
      </c>
      <c r="G1755" s="2">
        <f t="shared" si="27"/>
        <v>0</v>
      </c>
      <c r="H1755" s="2">
        <v>0</v>
      </c>
    </row>
    <row r="1756" spans="2:8">
      <c r="B1756" t="s">
        <v>490</v>
      </c>
      <c r="C1756" t="s">
        <v>728</v>
      </c>
      <c r="D1756" s="12" t="s">
        <v>1033</v>
      </c>
      <c r="E1756" s="1">
        <v>0</v>
      </c>
      <c r="G1756" s="2">
        <f t="shared" si="27"/>
        <v>0</v>
      </c>
      <c r="H1756" s="2">
        <v>0</v>
      </c>
    </row>
    <row r="1757" spans="2:8">
      <c r="B1757" t="s">
        <v>491</v>
      </c>
      <c r="C1757" t="s">
        <v>729</v>
      </c>
      <c r="D1757" s="5" t="s">
        <v>474</v>
      </c>
      <c r="E1757" s="1">
        <v>0</v>
      </c>
      <c r="G1757" s="2">
        <f t="shared" si="27"/>
        <v>0</v>
      </c>
      <c r="H1757" s="2">
        <v>0</v>
      </c>
    </row>
    <row r="1758" spans="2:8">
      <c r="B1758" t="s">
        <v>491</v>
      </c>
      <c r="C1758" t="s">
        <v>729</v>
      </c>
      <c r="D1758" s="6" t="s">
        <v>475</v>
      </c>
      <c r="E1758" s="1">
        <v>0</v>
      </c>
      <c r="G1758" s="2">
        <f t="shared" si="27"/>
        <v>0</v>
      </c>
      <c r="H1758" s="2">
        <v>0</v>
      </c>
    </row>
    <row r="1759" spans="2:8">
      <c r="B1759" t="s">
        <v>491</v>
      </c>
      <c r="C1759" t="s">
        <v>729</v>
      </c>
      <c r="D1759" s="7" t="s">
        <v>476</v>
      </c>
      <c r="E1759" s="1">
        <v>0</v>
      </c>
      <c r="G1759" s="2">
        <f t="shared" si="27"/>
        <v>0</v>
      </c>
      <c r="H1759" s="2">
        <v>0</v>
      </c>
    </row>
    <row r="1760" spans="2:8">
      <c r="B1760" t="s">
        <v>491</v>
      </c>
      <c r="C1760" t="s">
        <v>729</v>
      </c>
      <c r="D1760" s="8" t="s">
        <v>477</v>
      </c>
      <c r="E1760" s="1">
        <v>0</v>
      </c>
      <c r="G1760" s="2">
        <f t="shared" si="27"/>
        <v>0</v>
      </c>
      <c r="H1760" s="2">
        <v>0</v>
      </c>
    </row>
    <row r="1761" spans="2:8">
      <c r="B1761" t="s">
        <v>491</v>
      </c>
      <c r="C1761" t="s">
        <v>729</v>
      </c>
      <c r="D1761" s="9" t="s">
        <v>478</v>
      </c>
      <c r="E1761" s="1">
        <v>0</v>
      </c>
      <c r="G1761" s="2">
        <f t="shared" si="27"/>
        <v>0</v>
      </c>
      <c r="H1761" s="2">
        <v>0</v>
      </c>
    </row>
    <row r="1762" spans="2:8">
      <c r="B1762" t="s">
        <v>491</v>
      </c>
      <c r="C1762" t="s">
        <v>729</v>
      </c>
      <c r="D1762" s="10" t="s">
        <v>479</v>
      </c>
      <c r="E1762" s="1">
        <v>0</v>
      </c>
      <c r="G1762" s="2">
        <f t="shared" si="27"/>
        <v>0</v>
      </c>
      <c r="H1762" s="2">
        <v>0</v>
      </c>
    </row>
    <row r="1763" spans="2:8">
      <c r="B1763" t="s">
        <v>491</v>
      </c>
      <c r="C1763" t="s">
        <v>729</v>
      </c>
      <c r="D1763" s="11" t="s">
        <v>480</v>
      </c>
      <c r="E1763" s="1">
        <v>0</v>
      </c>
      <c r="G1763" s="2">
        <f t="shared" si="27"/>
        <v>0</v>
      </c>
      <c r="H1763" s="2">
        <v>0</v>
      </c>
    </row>
    <row r="1764" spans="2:8">
      <c r="B1764" t="s">
        <v>491</v>
      </c>
      <c r="C1764" t="s">
        <v>729</v>
      </c>
      <c r="D1764" s="13" t="s">
        <v>481</v>
      </c>
      <c r="E1764" s="1">
        <v>0</v>
      </c>
      <c r="G1764" s="2">
        <f t="shared" si="27"/>
        <v>0</v>
      </c>
      <c r="H1764" s="2">
        <v>0</v>
      </c>
    </row>
    <row r="1765" spans="2:8">
      <c r="B1765" t="s">
        <v>491</v>
      </c>
      <c r="C1765" t="s">
        <v>729</v>
      </c>
      <c r="D1765" s="12" t="s">
        <v>1033</v>
      </c>
      <c r="E1765" s="1">
        <v>0</v>
      </c>
      <c r="G1765" s="2">
        <f t="shared" si="27"/>
        <v>0</v>
      </c>
      <c r="H1765" s="2">
        <v>0</v>
      </c>
    </row>
    <row r="1766" spans="2:8">
      <c r="B1766" t="s">
        <v>492</v>
      </c>
      <c r="C1766" t="s">
        <v>730</v>
      </c>
      <c r="D1766" s="5" t="s">
        <v>474</v>
      </c>
      <c r="E1766" s="1">
        <v>0</v>
      </c>
      <c r="G1766" s="2">
        <f t="shared" si="27"/>
        <v>0</v>
      </c>
      <c r="H1766" s="2">
        <v>0</v>
      </c>
    </row>
    <row r="1767" spans="2:8">
      <c r="B1767" t="s">
        <v>492</v>
      </c>
      <c r="C1767" t="s">
        <v>730</v>
      </c>
      <c r="D1767" s="6" t="s">
        <v>475</v>
      </c>
      <c r="E1767" s="1">
        <v>0</v>
      </c>
      <c r="G1767" s="2">
        <f t="shared" si="27"/>
        <v>0</v>
      </c>
      <c r="H1767" s="2">
        <v>0</v>
      </c>
    </row>
    <row r="1768" spans="2:8">
      <c r="B1768" t="s">
        <v>492</v>
      </c>
      <c r="C1768" t="s">
        <v>730</v>
      </c>
      <c r="D1768" s="7" t="s">
        <v>476</v>
      </c>
      <c r="E1768" s="1">
        <v>0</v>
      </c>
      <c r="G1768" s="2">
        <f t="shared" si="27"/>
        <v>0</v>
      </c>
      <c r="H1768" s="2">
        <v>0</v>
      </c>
    </row>
    <row r="1769" spans="2:8">
      <c r="B1769" t="s">
        <v>492</v>
      </c>
      <c r="C1769" t="s">
        <v>730</v>
      </c>
      <c r="D1769" s="8" t="s">
        <v>477</v>
      </c>
      <c r="E1769" s="1">
        <v>0</v>
      </c>
      <c r="G1769" s="2">
        <f t="shared" si="27"/>
        <v>0</v>
      </c>
      <c r="H1769" s="2">
        <v>0</v>
      </c>
    </row>
    <row r="1770" spans="2:8">
      <c r="B1770" t="s">
        <v>492</v>
      </c>
      <c r="C1770" t="s">
        <v>730</v>
      </c>
      <c r="D1770" s="9" t="s">
        <v>478</v>
      </c>
      <c r="E1770" s="1">
        <v>0</v>
      </c>
      <c r="G1770" s="2">
        <f t="shared" si="27"/>
        <v>0</v>
      </c>
      <c r="H1770" s="2">
        <v>0</v>
      </c>
    </row>
    <row r="1771" spans="2:8">
      <c r="B1771" t="s">
        <v>492</v>
      </c>
      <c r="C1771" t="s">
        <v>730</v>
      </c>
      <c r="D1771" s="10" t="s">
        <v>479</v>
      </c>
      <c r="E1771" s="1">
        <v>0</v>
      </c>
      <c r="G1771" s="2">
        <f t="shared" si="27"/>
        <v>0</v>
      </c>
      <c r="H1771" s="2">
        <v>0</v>
      </c>
    </row>
    <row r="1772" spans="2:8">
      <c r="B1772" t="s">
        <v>492</v>
      </c>
      <c r="C1772" t="s">
        <v>730</v>
      </c>
      <c r="D1772" s="11" t="s">
        <v>480</v>
      </c>
      <c r="E1772" s="1">
        <v>0</v>
      </c>
      <c r="G1772" s="2">
        <f t="shared" si="27"/>
        <v>0</v>
      </c>
      <c r="H1772" s="2">
        <v>0</v>
      </c>
    </row>
    <row r="1773" spans="2:8">
      <c r="B1773" t="s">
        <v>492</v>
      </c>
      <c r="C1773" t="s">
        <v>730</v>
      </c>
      <c r="D1773" s="13" t="s">
        <v>481</v>
      </c>
      <c r="E1773" s="1">
        <v>0</v>
      </c>
      <c r="G1773" s="2">
        <f t="shared" si="27"/>
        <v>0</v>
      </c>
      <c r="H1773" s="2">
        <v>0</v>
      </c>
    </row>
    <row r="1774" spans="2:8">
      <c r="B1774" t="s">
        <v>492</v>
      </c>
      <c r="C1774" t="s">
        <v>730</v>
      </c>
      <c r="D1774" s="12" t="s">
        <v>1033</v>
      </c>
      <c r="E1774" s="1">
        <v>0</v>
      </c>
      <c r="G1774" s="2">
        <f t="shared" si="27"/>
        <v>0</v>
      </c>
      <c r="H1774" s="2">
        <v>0</v>
      </c>
    </row>
    <row r="1775" spans="2:8">
      <c r="B1775" t="s">
        <v>167</v>
      </c>
      <c r="C1775" t="s">
        <v>731</v>
      </c>
      <c r="D1775" s="5" t="s">
        <v>474</v>
      </c>
      <c r="E1775" s="1">
        <v>0</v>
      </c>
      <c r="G1775" s="2">
        <f t="shared" si="27"/>
        <v>0</v>
      </c>
      <c r="H1775" s="2">
        <v>0</v>
      </c>
    </row>
    <row r="1776" spans="2:8">
      <c r="B1776" t="s">
        <v>167</v>
      </c>
      <c r="C1776" t="s">
        <v>731</v>
      </c>
      <c r="D1776" s="6" t="s">
        <v>475</v>
      </c>
      <c r="E1776" s="1">
        <v>0</v>
      </c>
      <c r="G1776" s="2">
        <f t="shared" si="27"/>
        <v>0</v>
      </c>
      <c r="H1776" s="2">
        <v>0</v>
      </c>
    </row>
    <row r="1777" spans="2:8">
      <c r="B1777" t="s">
        <v>167</v>
      </c>
      <c r="C1777" t="s">
        <v>731</v>
      </c>
      <c r="D1777" s="7" t="s">
        <v>476</v>
      </c>
      <c r="E1777" s="1">
        <v>0</v>
      </c>
      <c r="G1777" s="2">
        <f t="shared" si="27"/>
        <v>0</v>
      </c>
      <c r="H1777" s="2">
        <v>0</v>
      </c>
    </row>
    <row r="1778" spans="2:8">
      <c r="B1778" t="s">
        <v>167</v>
      </c>
      <c r="C1778" t="s">
        <v>731</v>
      </c>
      <c r="D1778" s="8" t="s">
        <v>477</v>
      </c>
      <c r="E1778" s="1">
        <v>0</v>
      </c>
      <c r="G1778" s="2">
        <f t="shared" si="27"/>
        <v>0</v>
      </c>
      <c r="H1778" s="2">
        <v>0</v>
      </c>
    </row>
    <row r="1779" spans="2:8">
      <c r="B1779" t="s">
        <v>167</v>
      </c>
      <c r="C1779" t="s">
        <v>731</v>
      </c>
      <c r="D1779" s="9" t="s">
        <v>478</v>
      </c>
      <c r="E1779" s="1">
        <v>0</v>
      </c>
      <c r="G1779" s="2">
        <f t="shared" si="27"/>
        <v>0</v>
      </c>
      <c r="H1779" s="2">
        <v>0</v>
      </c>
    </row>
    <row r="1780" spans="2:8">
      <c r="B1780" t="s">
        <v>167</v>
      </c>
      <c r="C1780" t="s">
        <v>731</v>
      </c>
      <c r="D1780" s="10" t="s">
        <v>479</v>
      </c>
      <c r="E1780" s="1">
        <v>0</v>
      </c>
      <c r="G1780" s="2">
        <f t="shared" si="27"/>
        <v>0</v>
      </c>
      <c r="H1780" s="2">
        <v>0</v>
      </c>
    </row>
    <row r="1781" spans="2:8">
      <c r="B1781" t="s">
        <v>167</v>
      </c>
      <c r="C1781" t="s">
        <v>731</v>
      </c>
      <c r="D1781" s="11" t="s">
        <v>480</v>
      </c>
      <c r="E1781" s="1">
        <v>0</v>
      </c>
      <c r="G1781" s="2">
        <f t="shared" si="27"/>
        <v>0</v>
      </c>
      <c r="H1781" s="2">
        <v>0</v>
      </c>
    </row>
    <row r="1782" spans="2:8">
      <c r="B1782" t="s">
        <v>167</v>
      </c>
      <c r="C1782" t="s">
        <v>731</v>
      </c>
      <c r="D1782" s="13" t="s">
        <v>481</v>
      </c>
      <c r="E1782" s="1">
        <v>0</v>
      </c>
      <c r="G1782" s="2">
        <f t="shared" si="27"/>
        <v>0</v>
      </c>
      <c r="H1782" s="2">
        <v>0</v>
      </c>
    </row>
    <row r="1783" spans="2:8">
      <c r="B1783" t="s">
        <v>167</v>
      </c>
      <c r="C1783" t="s">
        <v>731</v>
      </c>
      <c r="D1783" s="12" t="s">
        <v>1033</v>
      </c>
      <c r="E1783" s="1">
        <v>0</v>
      </c>
      <c r="G1783" s="2">
        <f t="shared" si="27"/>
        <v>0</v>
      </c>
      <c r="H1783" s="2">
        <v>0</v>
      </c>
    </row>
    <row r="1784" spans="2:8">
      <c r="B1784" t="s">
        <v>324</v>
      </c>
      <c r="C1784" t="s">
        <v>732</v>
      </c>
      <c r="D1784" s="5" t="s">
        <v>474</v>
      </c>
      <c r="E1784" s="1">
        <v>0</v>
      </c>
      <c r="G1784" s="2">
        <f t="shared" si="27"/>
        <v>0</v>
      </c>
      <c r="H1784" s="2">
        <v>0</v>
      </c>
    </row>
    <row r="1785" spans="2:8">
      <c r="B1785" t="s">
        <v>324</v>
      </c>
      <c r="C1785" t="s">
        <v>732</v>
      </c>
      <c r="D1785" s="6" t="s">
        <v>475</v>
      </c>
      <c r="E1785" s="1">
        <v>0</v>
      </c>
      <c r="G1785" s="2">
        <f t="shared" si="27"/>
        <v>0</v>
      </c>
      <c r="H1785" s="2">
        <v>0</v>
      </c>
    </row>
    <row r="1786" spans="2:8">
      <c r="B1786" t="s">
        <v>324</v>
      </c>
      <c r="C1786" t="s">
        <v>732</v>
      </c>
      <c r="D1786" s="7" t="s">
        <v>476</v>
      </c>
      <c r="E1786" s="1">
        <v>0</v>
      </c>
      <c r="G1786" s="2">
        <f t="shared" si="27"/>
        <v>0</v>
      </c>
      <c r="H1786" s="2">
        <v>0</v>
      </c>
    </row>
    <row r="1787" spans="2:8">
      <c r="B1787" t="s">
        <v>324</v>
      </c>
      <c r="C1787" t="s">
        <v>732</v>
      </c>
      <c r="D1787" s="8" t="s">
        <v>477</v>
      </c>
      <c r="E1787" s="1">
        <v>0</v>
      </c>
      <c r="G1787" s="2">
        <f t="shared" si="27"/>
        <v>0</v>
      </c>
      <c r="H1787" s="2">
        <v>0</v>
      </c>
    </row>
    <row r="1788" spans="2:8">
      <c r="B1788" t="s">
        <v>324</v>
      </c>
      <c r="C1788" t="s">
        <v>732</v>
      </c>
      <c r="D1788" s="9" t="s">
        <v>478</v>
      </c>
      <c r="E1788" s="1">
        <v>0</v>
      </c>
      <c r="G1788" s="2">
        <f t="shared" si="27"/>
        <v>0</v>
      </c>
      <c r="H1788" s="2">
        <v>0</v>
      </c>
    </row>
    <row r="1789" spans="2:8">
      <c r="B1789" t="s">
        <v>324</v>
      </c>
      <c r="C1789" t="s">
        <v>732</v>
      </c>
      <c r="D1789" s="10" t="s">
        <v>479</v>
      </c>
      <c r="E1789" s="1">
        <v>0</v>
      </c>
      <c r="G1789" s="2">
        <f t="shared" si="27"/>
        <v>0</v>
      </c>
      <c r="H1789" s="2">
        <v>0</v>
      </c>
    </row>
    <row r="1790" spans="2:8">
      <c r="B1790" t="s">
        <v>324</v>
      </c>
      <c r="C1790" t="s">
        <v>732</v>
      </c>
      <c r="D1790" s="11" t="s">
        <v>480</v>
      </c>
      <c r="E1790" s="1">
        <v>0</v>
      </c>
      <c r="G1790" s="2">
        <f t="shared" si="27"/>
        <v>0</v>
      </c>
      <c r="H1790" s="2">
        <v>0</v>
      </c>
    </row>
    <row r="1791" spans="2:8">
      <c r="B1791" t="s">
        <v>324</v>
      </c>
      <c r="C1791" t="s">
        <v>732</v>
      </c>
      <c r="D1791" s="13" t="s">
        <v>481</v>
      </c>
      <c r="E1791" s="1">
        <v>0</v>
      </c>
      <c r="G1791" s="2">
        <f t="shared" si="27"/>
        <v>0</v>
      </c>
      <c r="H1791" s="2">
        <v>0</v>
      </c>
    </row>
    <row r="1792" spans="2:8">
      <c r="B1792" t="s">
        <v>324</v>
      </c>
      <c r="C1792" t="s">
        <v>732</v>
      </c>
      <c r="D1792" s="12" t="s">
        <v>1033</v>
      </c>
      <c r="E1792" s="1">
        <v>0</v>
      </c>
      <c r="G1792" s="2">
        <f t="shared" si="27"/>
        <v>0</v>
      </c>
      <c r="H1792" s="2">
        <v>0</v>
      </c>
    </row>
    <row r="1793" spans="2:8">
      <c r="B1793" t="s">
        <v>325</v>
      </c>
      <c r="C1793" t="s">
        <v>733</v>
      </c>
      <c r="D1793" s="5" t="s">
        <v>474</v>
      </c>
      <c r="E1793" s="1">
        <v>0</v>
      </c>
      <c r="G1793" s="2">
        <f t="shared" si="27"/>
        <v>0</v>
      </c>
      <c r="H1793" s="2">
        <v>0</v>
      </c>
    </row>
    <row r="1794" spans="2:8">
      <c r="B1794" t="s">
        <v>325</v>
      </c>
      <c r="C1794" t="s">
        <v>733</v>
      </c>
      <c r="D1794" s="6" t="s">
        <v>475</v>
      </c>
      <c r="E1794" s="1">
        <v>0</v>
      </c>
      <c r="G1794" s="2">
        <f t="shared" ref="G1794:G1857" si="28">E1794*F1794</f>
        <v>0</v>
      </c>
      <c r="H1794" s="2">
        <v>0</v>
      </c>
    </row>
    <row r="1795" spans="2:8">
      <c r="B1795" t="s">
        <v>325</v>
      </c>
      <c r="C1795" t="s">
        <v>733</v>
      </c>
      <c r="D1795" s="7" t="s">
        <v>476</v>
      </c>
      <c r="E1795" s="1">
        <v>0</v>
      </c>
      <c r="G1795" s="2">
        <f t="shared" si="28"/>
        <v>0</v>
      </c>
      <c r="H1795" s="2">
        <v>0</v>
      </c>
    </row>
    <row r="1796" spans="2:8">
      <c r="B1796" t="s">
        <v>325</v>
      </c>
      <c r="C1796" t="s">
        <v>733</v>
      </c>
      <c r="D1796" s="8" t="s">
        <v>477</v>
      </c>
      <c r="E1796" s="1">
        <v>0</v>
      </c>
      <c r="G1796" s="2">
        <f t="shared" si="28"/>
        <v>0</v>
      </c>
      <c r="H1796" s="2">
        <v>0</v>
      </c>
    </row>
    <row r="1797" spans="2:8">
      <c r="B1797" t="s">
        <v>325</v>
      </c>
      <c r="C1797" t="s">
        <v>733</v>
      </c>
      <c r="D1797" s="9" t="s">
        <v>478</v>
      </c>
      <c r="E1797" s="1">
        <v>0</v>
      </c>
      <c r="G1797" s="2">
        <f t="shared" si="28"/>
        <v>0</v>
      </c>
      <c r="H1797" s="2">
        <v>0</v>
      </c>
    </row>
    <row r="1798" spans="2:8">
      <c r="B1798" t="s">
        <v>325</v>
      </c>
      <c r="C1798" t="s">
        <v>733</v>
      </c>
      <c r="D1798" s="10" t="s">
        <v>479</v>
      </c>
      <c r="E1798" s="1">
        <v>0</v>
      </c>
      <c r="G1798" s="2">
        <f t="shared" si="28"/>
        <v>0</v>
      </c>
      <c r="H1798" s="2">
        <v>0</v>
      </c>
    </row>
    <row r="1799" spans="2:8">
      <c r="B1799" t="s">
        <v>325</v>
      </c>
      <c r="C1799" t="s">
        <v>733</v>
      </c>
      <c r="D1799" s="11" t="s">
        <v>480</v>
      </c>
      <c r="E1799" s="1">
        <v>0</v>
      </c>
      <c r="G1799" s="2">
        <f t="shared" si="28"/>
        <v>0</v>
      </c>
      <c r="H1799" s="2">
        <v>0</v>
      </c>
    </row>
    <row r="1800" spans="2:8">
      <c r="B1800" t="s">
        <v>325</v>
      </c>
      <c r="C1800" t="s">
        <v>733</v>
      </c>
      <c r="D1800" s="13" t="s">
        <v>481</v>
      </c>
      <c r="E1800" s="1">
        <v>0</v>
      </c>
      <c r="G1800" s="2">
        <f t="shared" si="28"/>
        <v>0</v>
      </c>
      <c r="H1800" s="2">
        <v>0</v>
      </c>
    </row>
    <row r="1801" spans="2:8">
      <c r="B1801" t="s">
        <v>325</v>
      </c>
      <c r="C1801" t="s">
        <v>733</v>
      </c>
      <c r="D1801" s="12" t="s">
        <v>1033</v>
      </c>
      <c r="E1801" s="1">
        <v>0</v>
      </c>
      <c r="G1801" s="2">
        <f t="shared" si="28"/>
        <v>0</v>
      </c>
      <c r="H1801" s="2">
        <v>0</v>
      </c>
    </row>
    <row r="1802" spans="2:8">
      <c r="B1802" t="s">
        <v>326</v>
      </c>
      <c r="C1802" t="s">
        <v>734</v>
      </c>
      <c r="D1802" s="5" t="s">
        <v>474</v>
      </c>
      <c r="E1802" s="1">
        <v>0</v>
      </c>
      <c r="G1802" s="2">
        <f t="shared" si="28"/>
        <v>0</v>
      </c>
      <c r="H1802" s="2">
        <v>0</v>
      </c>
    </row>
    <row r="1803" spans="2:8">
      <c r="B1803" t="s">
        <v>326</v>
      </c>
      <c r="C1803" t="s">
        <v>734</v>
      </c>
      <c r="D1803" s="6" t="s">
        <v>475</v>
      </c>
      <c r="E1803" s="1">
        <v>0</v>
      </c>
      <c r="G1803" s="2">
        <f t="shared" si="28"/>
        <v>0</v>
      </c>
      <c r="H1803" s="2">
        <v>0</v>
      </c>
    </row>
    <row r="1804" spans="2:8">
      <c r="B1804" t="s">
        <v>326</v>
      </c>
      <c r="C1804" t="s">
        <v>734</v>
      </c>
      <c r="D1804" s="7" t="s">
        <v>476</v>
      </c>
      <c r="E1804" s="1">
        <v>0</v>
      </c>
      <c r="G1804" s="2">
        <f t="shared" si="28"/>
        <v>0</v>
      </c>
      <c r="H1804" s="2">
        <v>0</v>
      </c>
    </row>
    <row r="1805" spans="2:8">
      <c r="B1805" t="s">
        <v>326</v>
      </c>
      <c r="C1805" t="s">
        <v>734</v>
      </c>
      <c r="D1805" s="8" t="s">
        <v>477</v>
      </c>
      <c r="E1805" s="1">
        <v>0</v>
      </c>
      <c r="G1805" s="2">
        <f t="shared" si="28"/>
        <v>0</v>
      </c>
      <c r="H1805" s="2">
        <v>0</v>
      </c>
    </row>
    <row r="1806" spans="2:8">
      <c r="B1806" t="s">
        <v>326</v>
      </c>
      <c r="C1806" t="s">
        <v>734</v>
      </c>
      <c r="D1806" s="9" t="s">
        <v>478</v>
      </c>
      <c r="E1806" s="1">
        <v>0</v>
      </c>
      <c r="G1806" s="2">
        <f t="shared" si="28"/>
        <v>0</v>
      </c>
      <c r="H1806" s="2">
        <v>0</v>
      </c>
    </row>
    <row r="1807" spans="2:8">
      <c r="B1807" t="s">
        <v>326</v>
      </c>
      <c r="C1807" t="s">
        <v>734</v>
      </c>
      <c r="D1807" s="10" t="s">
        <v>479</v>
      </c>
      <c r="E1807" s="1">
        <v>0</v>
      </c>
      <c r="G1807" s="2">
        <f t="shared" si="28"/>
        <v>0</v>
      </c>
      <c r="H1807" s="2">
        <v>0</v>
      </c>
    </row>
    <row r="1808" spans="2:8">
      <c r="B1808" t="s">
        <v>326</v>
      </c>
      <c r="C1808" t="s">
        <v>734</v>
      </c>
      <c r="D1808" s="11" t="s">
        <v>480</v>
      </c>
      <c r="E1808" s="1">
        <v>0</v>
      </c>
      <c r="G1808" s="2">
        <f t="shared" si="28"/>
        <v>0</v>
      </c>
      <c r="H1808" s="2">
        <v>0</v>
      </c>
    </row>
    <row r="1809" spans="2:8">
      <c r="B1809" t="s">
        <v>326</v>
      </c>
      <c r="C1809" t="s">
        <v>734</v>
      </c>
      <c r="D1809" s="13" t="s">
        <v>481</v>
      </c>
      <c r="E1809" s="1">
        <v>0</v>
      </c>
      <c r="G1809" s="2">
        <f t="shared" si="28"/>
        <v>0</v>
      </c>
      <c r="H1809" s="2">
        <v>0</v>
      </c>
    </row>
    <row r="1810" spans="2:8">
      <c r="B1810" t="s">
        <v>326</v>
      </c>
      <c r="C1810" t="s">
        <v>734</v>
      </c>
      <c r="D1810" s="12" t="s">
        <v>1033</v>
      </c>
      <c r="E1810" s="1">
        <v>0</v>
      </c>
      <c r="G1810" s="2">
        <f t="shared" si="28"/>
        <v>0</v>
      </c>
      <c r="H1810" s="2">
        <v>0</v>
      </c>
    </row>
    <row r="1811" spans="2:8">
      <c r="B1811" t="s">
        <v>243</v>
      </c>
      <c r="C1811" t="s">
        <v>735</v>
      </c>
      <c r="D1811" s="5" t="s">
        <v>474</v>
      </c>
      <c r="E1811" s="1">
        <v>0</v>
      </c>
      <c r="G1811" s="2">
        <f t="shared" si="28"/>
        <v>0</v>
      </c>
      <c r="H1811" s="2">
        <v>0</v>
      </c>
    </row>
    <row r="1812" spans="2:8">
      <c r="B1812" t="s">
        <v>243</v>
      </c>
      <c r="C1812" t="s">
        <v>735</v>
      </c>
      <c r="D1812" s="6" t="s">
        <v>475</v>
      </c>
      <c r="E1812" s="1">
        <v>0</v>
      </c>
      <c r="G1812" s="2">
        <f t="shared" si="28"/>
        <v>0</v>
      </c>
      <c r="H1812" s="2">
        <v>0</v>
      </c>
    </row>
    <row r="1813" spans="2:8">
      <c r="B1813" t="s">
        <v>243</v>
      </c>
      <c r="C1813" t="s">
        <v>735</v>
      </c>
      <c r="D1813" s="7" t="s">
        <v>476</v>
      </c>
      <c r="E1813" s="1">
        <v>0</v>
      </c>
      <c r="G1813" s="2">
        <f t="shared" si="28"/>
        <v>0</v>
      </c>
      <c r="H1813" s="2">
        <v>0</v>
      </c>
    </row>
    <row r="1814" spans="2:8">
      <c r="B1814" t="s">
        <v>243</v>
      </c>
      <c r="C1814" t="s">
        <v>735</v>
      </c>
      <c r="D1814" s="8" t="s">
        <v>477</v>
      </c>
      <c r="E1814" s="1">
        <v>0</v>
      </c>
      <c r="G1814" s="2">
        <f t="shared" si="28"/>
        <v>0</v>
      </c>
      <c r="H1814" s="2">
        <v>0</v>
      </c>
    </row>
    <row r="1815" spans="2:8">
      <c r="B1815" t="s">
        <v>243</v>
      </c>
      <c r="C1815" t="s">
        <v>735</v>
      </c>
      <c r="D1815" s="9" t="s">
        <v>478</v>
      </c>
      <c r="E1815" s="1">
        <v>0</v>
      </c>
      <c r="G1815" s="2">
        <f t="shared" si="28"/>
        <v>0</v>
      </c>
      <c r="H1815" s="2">
        <v>0</v>
      </c>
    </row>
    <row r="1816" spans="2:8">
      <c r="B1816" t="s">
        <v>243</v>
      </c>
      <c r="C1816" t="s">
        <v>735</v>
      </c>
      <c r="D1816" s="10" t="s">
        <v>479</v>
      </c>
      <c r="E1816" s="1">
        <v>0</v>
      </c>
      <c r="G1816" s="2">
        <f t="shared" si="28"/>
        <v>0</v>
      </c>
      <c r="H1816" s="2">
        <v>0</v>
      </c>
    </row>
    <row r="1817" spans="2:8">
      <c r="B1817" t="s">
        <v>243</v>
      </c>
      <c r="C1817" t="s">
        <v>735</v>
      </c>
      <c r="D1817" s="11" t="s">
        <v>480</v>
      </c>
      <c r="E1817" s="1">
        <v>0</v>
      </c>
      <c r="G1817" s="2">
        <f t="shared" si="28"/>
        <v>0</v>
      </c>
      <c r="H1817" s="2">
        <v>0</v>
      </c>
    </row>
    <row r="1818" spans="2:8">
      <c r="B1818" t="s">
        <v>243</v>
      </c>
      <c r="C1818" t="s">
        <v>735</v>
      </c>
      <c r="D1818" s="13" t="s">
        <v>481</v>
      </c>
      <c r="E1818" s="1">
        <v>0</v>
      </c>
      <c r="G1818" s="2">
        <f t="shared" si="28"/>
        <v>0</v>
      </c>
      <c r="H1818" s="2">
        <v>0</v>
      </c>
    </row>
    <row r="1819" spans="2:8">
      <c r="B1819" t="s">
        <v>243</v>
      </c>
      <c r="C1819" t="s">
        <v>735</v>
      </c>
      <c r="D1819" s="12" t="s">
        <v>1033</v>
      </c>
      <c r="E1819" s="1">
        <v>0</v>
      </c>
      <c r="G1819" s="2">
        <f t="shared" si="28"/>
        <v>0</v>
      </c>
      <c r="H1819" s="2">
        <v>0</v>
      </c>
    </row>
    <row r="1820" spans="2:8">
      <c r="B1820" t="s">
        <v>327</v>
      </c>
      <c r="C1820" t="s">
        <v>736</v>
      </c>
      <c r="D1820" s="5" t="s">
        <v>474</v>
      </c>
      <c r="E1820" s="1">
        <v>0</v>
      </c>
      <c r="G1820" s="2">
        <f t="shared" si="28"/>
        <v>0</v>
      </c>
      <c r="H1820" s="2">
        <v>0</v>
      </c>
    </row>
    <row r="1821" spans="2:8">
      <c r="B1821" t="s">
        <v>327</v>
      </c>
      <c r="C1821" t="s">
        <v>736</v>
      </c>
      <c r="D1821" s="6" t="s">
        <v>475</v>
      </c>
      <c r="E1821" s="1">
        <v>0</v>
      </c>
      <c r="G1821" s="2">
        <f t="shared" si="28"/>
        <v>0</v>
      </c>
      <c r="H1821" s="2">
        <v>0</v>
      </c>
    </row>
    <row r="1822" spans="2:8">
      <c r="B1822" t="s">
        <v>327</v>
      </c>
      <c r="C1822" t="s">
        <v>736</v>
      </c>
      <c r="D1822" s="7" t="s">
        <v>476</v>
      </c>
      <c r="E1822" s="1">
        <v>0</v>
      </c>
      <c r="G1822" s="2">
        <f t="shared" si="28"/>
        <v>0</v>
      </c>
      <c r="H1822" s="2">
        <v>0</v>
      </c>
    </row>
    <row r="1823" spans="2:8">
      <c r="B1823" t="s">
        <v>327</v>
      </c>
      <c r="C1823" t="s">
        <v>736</v>
      </c>
      <c r="D1823" s="8" t="s">
        <v>477</v>
      </c>
      <c r="E1823" s="1">
        <v>0</v>
      </c>
      <c r="G1823" s="2">
        <f t="shared" si="28"/>
        <v>0</v>
      </c>
      <c r="H1823" s="2">
        <v>0</v>
      </c>
    </row>
    <row r="1824" spans="2:8">
      <c r="B1824" t="s">
        <v>327</v>
      </c>
      <c r="C1824" t="s">
        <v>736</v>
      </c>
      <c r="D1824" s="9" t="s">
        <v>478</v>
      </c>
      <c r="E1824" s="1">
        <v>0</v>
      </c>
      <c r="G1824" s="2">
        <f t="shared" si="28"/>
        <v>0</v>
      </c>
      <c r="H1824" s="2">
        <v>0</v>
      </c>
    </row>
    <row r="1825" spans="2:8">
      <c r="B1825" t="s">
        <v>327</v>
      </c>
      <c r="C1825" t="s">
        <v>736</v>
      </c>
      <c r="D1825" s="10" t="s">
        <v>479</v>
      </c>
      <c r="E1825" s="1">
        <v>0</v>
      </c>
      <c r="G1825" s="2">
        <f t="shared" si="28"/>
        <v>0</v>
      </c>
      <c r="H1825" s="2">
        <v>0</v>
      </c>
    </row>
    <row r="1826" spans="2:8">
      <c r="B1826" t="s">
        <v>327</v>
      </c>
      <c r="C1826" t="s">
        <v>736</v>
      </c>
      <c r="D1826" s="11" t="s">
        <v>480</v>
      </c>
      <c r="E1826" s="1">
        <v>0</v>
      </c>
      <c r="G1826" s="2">
        <f t="shared" si="28"/>
        <v>0</v>
      </c>
      <c r="H1826" s="2">
        <v>0</v>
      </c>
    </row>
    <row r="1827" spans="2:8">
      <c r="B1827" t="s">
        <v>327</v>
      </c>
      <c r="C1827" t="s">
        <v>736</v>
      </c>
      <c r="D1827" s="13" t="s">
        <v>481</v>
      </c>
      <c r="E1827" s="1">
        <v>0</v>
      </c>
      <c r="G1827" s="2">
        <f t="shared" si="28"/>
        <v>0</v>
      </c>
      <c r="H1827" s="2">
        <v>0</v>
      </c>
    </row>
    <row r="1828" spans="2:8">
      <c r="B1828" t="s">
        <v>327</v>
      </c>
      <c r="C1828" t="s">
        <v>736</v>
      </c>
      <c r="D1828" s="12" t="s">
        <v>1033</v>
      </c>
      <c r="E1828" s="1">
        <v>0</v>
      </c>
      <c r="G1828" s="2">
        <f t="shared" si="28"/>
        <v>0</v>
      </c>
      <c r="H1828" s="2">
        <v>0</v>
      </c>
    </row>
    <row r="1829" spans="2:8">
      <c r="B1829" t="s">
        <v>244</v>
      </c>
      <c r="C1829" t="s">
        <v>737</v>
      </c>
      <c r="D1829" s="5" t="s">
        <v>474</v>
      </c>
      <c r="E1829" s="1">
        <v>0</v>
      </c>
      <c r="G1829" s="2">
        <f t="shared" si="28"/>
        <v>0</v>
      </c>
      <c r="H1829" s="2">
        <v>0</v>
      </c>
    </row>
    <row r="1830" spans="2:8">
      <c r="B1830" t="s">
        <v>244</v>
      </c>
      <c r="C1830" t="s">
        <v>737</v>
      </c>
      <c r="D1830" s="6" t="s">
        <v>475</v>
      </c>
      <c r="E1830" s="1">
        <v>0</v>
      </c>
      <c r="G1830" s="2">
        <f t="shared" si="28"/>
        <v>0</v>
      </c>
      <c r="H1830" s="2">
        <v>0</v>
      </c>
    </row>
    <row r="1831" spans="2:8">
      <c r="B1831" t="s">
        <v>244</v>
      </c>
      <c r="C1831" t="s">
        <v>737</v>
      </c>
      <c r="D1831" s="7" t="s">
        <v>476</v>
      </c>
      <c r="E1831" s="1">
        <v>0</v>
      </c>
      <c r="G1831" s="2">
        <f t="shared" si="28"/>
        <v>0</v>
      </c>
      <c r="H1831" s="2">
        <v>0</v>
      </c>
    </row>
    <row r="1832" spans="2:8">
      <c r="B1832" t="s">
        <v>244</v>
      </c>
      <c r="C1832" t="s">
        <v>737</v>
      </c>
      <c r="D1832" s="8" t="s">
        <v>477</v>
      </c>
      <c r="E1832" s="1">
        <v>0</v>
      </c>
      <c r="G1832" s="2">
        <f t="shared" si="28"/>
        <v>0</v>
      </c>
      <c r="H1832" s="2">
        <v>0</v>
      </c>
    </row>
    <row r="1833" spans="2:8">
      <c r="B1833" t="s">
        <v>244</v>
      </c>
      <c r="C1833" t="s">
        <v>737</v>
      </c>
      <c r="D1833" s="9" t="s">
        <v>478</v>
      </c>
      <c r="E1833" s="1">
        <v>0</v>
      </c>
      <c r="G1833" s="2">
        <f t="shared" si="28"/>
        <v>0</v>
      </c>
      <c r="H1833" s="2">
        <v>0</v>
      </c>
    </row>
    <row r="1834" spans="2:8">
      <c r="B1834" t="s">
        <v>244</v>
      </c>
      <c r="C1834" t="s">
        <v>737</v>
      </c>
      <c r="D1834" s="10" t="s">
        <v>479</v>
      </c>
      <c r="E1834" s="1">
        <v>0</v>
      </c>
      <c r="G1834" s="2">
        <f t="shared" si="28"/>
        <v>0</v>
      </c>
      <c r="H1834" s="2">
        <v>0</v>
      </c>
    </row>
    <row r="1835" spans="2:8">
      <c r="B1835" t="s">
        <v>244</v>
      </c>
      <c r="C1835" t="s">
        <v>737</v>
      </c>
      <c r="D1835" s="11" t="s">
        <v>480</v>
      </c>
      <c r="E1835" s="1">
        <v>0</v>
      </c>
      <c r="G1835" s="2">
        <f t="shared" si="28"/>
        <v>0</v>
      </c>
      <c r="H1835" s="2">
        <v>0</v>
      </c>
    </row>
    <row r="1836" spans="2:8">
      <c r="B1836" t="s">
        <v>244</v>
      </c>
      <c r="C1836" t="s">
        <v>737</v>
      </c>
      <c r="D1836" s="13" t="s">
        <v>481</v>
      </c>
      <c r="E1836" s="1">
        <v>0</v>
      </c>
      <c r="G1836" s="2">
        <f t="shared" si="28"/>
        <v>0</v>
      </c>
      <c r="H1836" s="2">
        <v>0</v>
      </c>
    </row>
    <row r="1837" spans="2:8">
      <c r="B1837" t="s">
        <v>244</v>
      </c>
      <c r="C1837" t="s">
        <v>737</v>
      </c>
      <c r="D1837" s="12" t="s">
        <v>1033</v>
      </c>
      <c r="E1837" s="1">
        <v>0</v>
      </c>
      <c r="G1837" s="2">
        <f t="shared" si="28"/>
        <v>0</v>
      </c>
      <c r="H1837" s="2">
        <v>0</v>
      </c>
    </row>
    <row r="1838" spans="2:8">
      <c r="B1838" t="s">
        <v>269</v>
      </c>
      <c r="C1838" t="s">
        <v>738</v>
      </c>
      <c r="D1838" s="5" t="s">
        <v>474</v>
      </c>
      <c r="E1838" s="1">
        <v>0</v>
      </c>
      <c r="G1838" s="2">
        <f t="shared" si="28"/>
        <v>0</v>
      </c>
      <c r="H1838" s="2">
        <v>0</v>
      </c>
    </row>
    <row r="1839" spans="2:8">
      <c r="B1839" t="s">
        <v>269</v>
      </c>
      <c r="C1839" t="s">
        <v>738</v>
      </c>
      <c r="D1839" s="6" t="s">
        <v>475</v>
      </c>
      <c r="E1839" s="1">
        <v>0</v>
      </c>
      <c r="G1839" s="2">
        <f t="shared" si="28"/>
        <v>0</v>
      </c>
      <c r="H1839" s="2">
        <v>0</v>
      </c>
    </row>
    <row r="1840" spans="2:8">
      <c r="B1840" t="s">
        <v>269</v>
      </c>
      <c r="C1840" t="s">
        <v>738</v>
      </c>
      <c r="D1840" s="7" t="s">
        <v>476</v>
      </c>
      <c r="E1840" s="1">
        <v>0</v>
      </c>
      <c r="G1840" s="2">
        <f t="shared" si="28"/>
        <v>0</v>
      </c>
      <c r="H1840" s="2">
        <v>0</v>
      </c>
    </row>
    <row r="1841" spans="2:8">
      <c r="B1841" t="s">
        <v>269</v>
      </c>
      <c r="C1841" t="s">
        <v>738</v>
      </c>
      <c r="D1841" s="8" t="s">
        <v>477</v>
      </c>
      <c r="E1841" s="1">
        <v>0</v>
      </c>
      <c r="G1841" s="2">
        <f t="shared" si="28"/>
        <v>0</v>
      </c>
      <c r="H1841" s="2">
        <v>0</v>
      </c>
    </row>
    <row r="1842" spans="2:8">
      <c r="B1842" t="s">
        <v>269</v>
      </c>
      <c r="C1842" t="s">
        <v>738</v>
      </c>
      <c r="D1842" s="9" t="s">
        <v>478</v>
      </c>
      <c r="E1842" s="1">
        <v>0</v>
      </c>
      <c r="G1842" s="2">
        <f t="shared" si="28"/>
        <v>0</v>
      </c>
      <c r="H1842" s="2">
        <v>0</v>
      </c>
    </row>
    <row r="1843" spans="2:8">
      <c r="B1843" t="s">
        <v>269</v>
      </c>
      <c r="C1843" t="s">
        <v>738</v>
      </c>
      <c r="D1843" s="10" t="s">
        <v>479</v>
      </c>
      <c r="E1843" s="1">
        <v>0</v>
      </c>
      <c r="G1843" s="2">
        <f t="shared" si="28"/>
        <v>0</v>
      </c>
      <c r="H1843" s="2">
        <v>0</v>
      </c>
    </row>
    <row r="1844" spans="2:8">
      <c r="B1844" t="s">
        <v>269</v>
      </c>
      <c r="C1844" t="s">
        <v>738</v>
      </c>
      <c r="D1844" s="11" t="s">
        <v>480</v>
      </c>
      <c r="E1844" s="1">
        <v>0</v>
      </c>
      <c r="G1844" s="2">
        <f t="shared" si="28"/>
        <v>0</v>
      </c>
      <c r="H1844" s="2">
        <v>0</v>
      </c>
    </row>
    <row r="1845" spans="2:8">
      <c r="B1845" t="s">
        <v>269</v>
      </c>
      <c r="C1845" t="s">
        <v>738</v>
      </c>
      <c r="D1845" s="13" t="s">
        <v>481</v>
      </c>
      <c r="E1845" s="1">
        <v>0</v>
      </c>
      <c r="G1845" s="2">
        <f t="shared" si="28"/>
        <v>0</v>
      </c>
      <c r="H1845" s="2">
        <v>0</v>
      </c>
    </row>
    <row r="1846" spans="2:8">
      <c r="B1846" t="s">
        <v>269</v>
      </c>
      <c r="C1846" t="s">
        <v>738</v>
      </c>
      <c r="D1846" s="12" t="s">
        <v>1033</v>
      </c>
      <c r="E1846" s="1">
        <v>0</v>
      </c>
      <c r="G1846" s="2">
        <f t="shared" si="28"/>
        <v>0</v>
      </c>
      <c r="H1846" s="2">
        <v>0</v>
      </c>
    </row>
    <row r="1847" spans="2:8">
      <c r="B1847" t="s">
        <v>245</v>
      </c>
      <c r="C1847" t="s">
        <v>739</v>
      </c>
      <c r="D1847" s="5" t="s">
        <v>474</v>
      </c>
      <c r="E1847" s="1">
        <v>0</v>
      </c>
      <c r="G1847" s="2">
        <f t="shared" si="28"/>
        <v>0</v>
      </c>
      <c r="H1847" s="2">
        <v>0</v>
      </c>
    </row>
    <row r="1848" spans="2:8">
      <c r="B1848" t="s">
        <v>245</v>
      </c>
      <c r="C1848" t="s">
        <v>739</v>
      </c>
      <c r="D1848" s="6" t="s">
        <v>475</v>
      </c>
      <c r="E1848" s="1">
        <v>0</v>
      </c>
      <c r="G1848" s="2">
        <f t="shared" si="28"/>
        <v>0</v>
      </c>
      <c r="H1848" s="2">
        <v>0</v>
      </c>
    </row>
    <row r="1849" spans="2:8">
      <c r="B1849" t="s">
        <v>245</v>
      </c>
      <c r="C1849" t="s">
        <v>739</v>
      </c>
      <c r="D1849" s="7" t="s">
        <v>476</v>
      </c>
      <c r="E1849" s="1">
        <v>0</v>
      </c>
      <c r="G1849" s="2">
        <f t="shared" si="28"/>
        <v>0</v>
      </c>
      <c r="H1849" s="2">
        <v>0</v>
      </c>
    </row>
    <row r="1850" spans="2:8">
      <c r="B1850" t="s">
        <v>245</v>
      </c>
      <c r="C1850" t="s">
        <v>739</v>
      </c>
      <c r="D1850" s="8" t="s">
        <v>477</v>
      </c>
      <c r="E1850" s="1">
        <v>0</v>
      </c>
      <c r="G1850" s="2">
        <f t="shared" si="28"/>
        <v>0</v>
      </c>
      <c r="H1850" s="2">
        <v>0</v>
      </c>
    </row>
    <row r="1851" spans="2:8">
      <c r="B1851" t="s">
        <v>245</v>
      </c>
      <c r="C1851" t="s">
        <v>739</v>
      </c>
      <c r="D1851" s="9" t="s">
        <v>478</v>
      </c>
      <c r="E1851" s="1">
        <v>0</v>
      </c>
      <c r="G1851" s="2">
        <f t="shared" si="28"/>
        <v>0</v>
      </c>
      <c r="H1851" s="2">
        <v>0</v>
      </c>
    </row>
    <row r="1852" spans="2:8">
      <c r="B1852" t="s">
        <v>245</v>
      </c>
      <c r="C1852" t="s">
        <v>739</v>
      </c>
      <c r="D1852" s="10" t="s">
        <v>479</v>
      </c>
      <c r="E1852" s="1">
        <v>0</v>
      </c>
      <c r="G1852" s="2">
        <f t="shared" si="28"/>
        <v>0</v>
      </c>
      <c r="H1852" s="2">
        <v>0</v>
      </c>
    </row>
    <row r="1853" spans="2:8">
      <c r="B1853" t="s">
        <v>245</v>
      </c>
      <c r="C1853" t="s">
        <v>739</v>
      </c>
      <c r="D1853" s="11" t="s">
        <v>480</v>
      </c>
      <c r="E1853" s="1">
        <v>0</v>
      </c>
      <c r="G1853" s="2">
        <f t="shared" si="28"/>
        <v>0</v>
      </c>
      <c r="H1853" s="2">
        <v>0</v>
      </c>
    </row>
    <row r="1854" spans="2:8">
      <c r="B1854" t="s">
        <v>245</v>
      </c>
      <c r="C1854" t="s">
        <v>739</v>
      </c>
      <c r="D1854" s="13" t="s">
        <v>481</v>
      </c>
      <c r="E1854" s="1">
        <v>0</v>
      </c>
      <c r="G1854" s="2">
        <f t="shared" si="28"/>
        <v>0</v>
      </c>
      <c r="H1854" s="2">
        <v>0</v>
      </c>
    </row>
    <row r="1855" spans="2:8">
      <c r="B1855" t="s">
        <v>245</v>
      </c>
      <c r="C1855" t="s">
        <v>739</v>
      </c>
      <c r="D1855" s="12" t="s">
        <v>1033</v>
      </c>
      <c r="E1855" s="1">
        <v>0</v>
      </c>
      <c r="G1855" s="2">
        <f t="shared" si="28"/>
        <v>0</v>
      </c>
      <c r="H1855" s="2">
        <v>0</v>
      </c>
    </row>
    <row r="1856" spans="2:8">
      <c r="B1856" t="s">
        <v>203</v>
      </c>
      <c r="C1856" t="s">
        <v>740</v>
      </c>
      <c r="D1856" s="5" t="s">
        <v>474</v>
      </c>
      <c r="E1856" s="1">
        <v>0</v>
      </c>
      <c r="G1856" s="2">
        <f t="shared" si="28"/>
        <v>0</v>
      </c>
      <c r="H1856" s="2">
        <v>0</v>
      </c>
    </row>
    <row r="1857" spans="2:8">
      <c r="B1857" t="s">
        <v>203</v>
      </c>
      <c r="C1857" t="s">
        <v>740</v>
      </c>
      <c r="D1857" s="6" t="s">
        <v>475</v>
      </c>
      <c r="E1857" s="1">
        <v>0</v>
      </c>
      <c r="G1857" s="2">
        <f t="shared" si="28"/>
        <v>0</v>
      </c>
      <c r="H1857" s="2">
        <v>0</v>
      </c>
    </row>
    <row r="1858" spans="2:8">
      <c r="B1858" t="s">
        <v>203</v>
      </c>
      <c r="C1858" t="s">
        <v>740</v>
      </c>
      <c r="D1858" s="7" t="s">
        <v>476</v>
      </c>
      <c r="E1858" s="1">
        <v>0</v>
      </c>
      <c r="G1858" s="2">
        <f t="shared" ref="G1858:G1921" si="29">E1858*F1858</f>
        <v>0</v>
      </c>
      <c r="H1858" s="2">
        <v>0</v>
      </c>
    </row>
    <row r="1859" spans="2:8">
      <c r="B1859" t="s">
        <v>203</v>
      </c>
      <c r="C1859" t="s">
        <v>740</v>
      </c>
      <c r="D1859" s="8" t="s">
        <v>477</v>
      </c>
      <c r="E1859" s="1">
        <v>0</v>
      </c>
      <c r="G1859" s="2">
        <f t="shared" si="29"/>
        <v>0</v>
      </c>
      <c r="H1859" s="2">
        <v>0</v>
      </c>
    </row>
    <row r="1860" spans="2:8">
      <c r="B1860" t="s">
        <v>203</v>
      </c>
      <c r="C1860" t="s">
        <v>740</v>
      </c>
      <c r="D1860" s="9" t="s">
        <v>478</v>
      </c>
      <c r="E1860" s="1">
        <v>0</v>
      </c>
      <c r="G1860" s="2">
        <f t="shared" si="29"/>
        <v>0</v>
      </c>
      <c r="H1860" s="2">
        <v>0</v>
      </c>
    </row>
    <row r="1861" spans="2:8">
      <c r="B1861" t="s">
        <v>203</v>
      </c>
      <c r="C1861" t="s">
        <v>740</v>
      </c>
      <c r="D1861" s="10" t="s">
        <v>479</v>
      </c>
      <c r="E1861" s="1">
        <v>0</v>
      </c>
      <c r="G1861" s="2">
        <f t="shared" si="29"/>
        <v>0</v>
      </c>
      <c r="H1861" s="2">
        <v>0</v>
      </c>
    </row>
    <row r="1862" spans="2:8">
      <c r="B1862" t="s">
        <v>203</v>
      </c>
      <c r="C1862" t="s">
        <v>740</v>
      </c>
      <c r="D1862" s="11" t="s">
        <v>480</v>
      </c>
      <c r="E1862" s="1">
        <v>0</v>
      </c>
      <c r="G1862" s="2">
        <f t="shared" si="29"/>
        <v>0</v>
      </c>
      <c r="H1862" s="2">
        <v>0</v>
      </c>
    </row>
    <row r="1863" spans="2:8">
      <c r="B1863" t="s">
        <v>203</v>
      </c>
      <c r="C1863" t="s">
        <v>740</v>
      </c>
      <c r="D1863" s="13" t="s">
        <v>481</v>
      </c>
      <c r="E1863" s="1">
        <v>0</v>
      </c>
      <c r="G1863" s="2">
        <f t="shared" si="29"/>
        <v>0</v>
      </c>
      <c r="H1863" s="2">
        <v>0</v>
      </c>
    </row>
    <row r="1864" spans="2:8">
      <c r="B1864" t="s">
        <v>203</v>
      </c>
      <c r="C1864" t="s">
        <v>740</v>
      </c>
      <c r="D1864" s="12" t="s">
        <v>1033</v>
      </c>
      <c r="E1864" s="1">
        <v>0</v>
      </c>
      <c r="G1864" s="2">
        <f t="shared" si="29"/>
        <v>0</v>
      </c>
      <c r="H1864" s="2">
        <v>0</v>
      </c>
    </row>
    <row r="1865" spans="2:8">
      <c r="B1865" t="s">
        <v>211</v>
      </c>
      <c r="C1865" t="s">
        <v>741</v>
      </c>
      <c r="D1865" s="5" t="s">
        <v>474</v>
      </c>
      <c r="E1865" s="1">
        <v>0</v>
      </c>
      <c r="G1865" s="2">
        <f t="shared" si="29"/>
        <v>0</v>
      </c>
      <c r="H1865" s="2">
        <v>0</v>
      </c>
    </row>
    <row r="1866" spans="2:8">
      <c r="B1866" t="s">
        <v>211</v>
      </c>
      <c r="C1866" t="s">
        <v>741</v>
      </c>
      <c r="D1866" s="6" t="s">
        <v>475</v>
      </c>
      <c r="E1866" s="1">
        <v>0</v>
      </c>
      <c r="G1866" s="2">
        <f t="shared" si="29"/>
        <v>0</v>
      </c>
      <c r="H1866" s="2">
        <v>0</v>
      </c>
    </row>
    <row r="1867" spans="2:8">
      <c r="B1867" t="s">
        <v>211</v>
      </c>
      <c r="C1867" t="s">
        <v>741</v>
      </c>
      <c r="D1867" s="7" t="s">
        <v>476</v>
      </c>
      <c r="E1867" s="1">
        <v>0</v>
      </c>
      <c r="G1867" s="2">
        <f t="shared" si="29"/>
        <v>0</v>
      </c>
      <c r="H1867" s="2">
        <v>0</v>
      </c>
    </row>
    <row r="1868" spans="2:8">
      <c r="B1868" t="s">
        <v>211</v>
      </c>
      <c r="C1868" t="s">
        <v>741</v>
      </c>
      <c r="D1868" s="8" t="s">
        <v>477</v>
      </c>
      <c r="E1868" s="1">
        <v>0</v>
      </c>
      <c r="G1868" s="2">
        <f t="shared" si="29"/>
        <v>0</v>
      </c>
      <c r="H1868" s="2">
        <v>0</v>
      </c>
    </row>
    <row r="1869" spans="2:8">
      <c r="B1869" t="s">
        <v>211</v>
      </c>
      <c r="C1869" t="s">
        <v>741</v>
      </c>
      <c r="D1869" s="9" t="s">
        <v>478</v>
      </c>
      <c r="E1869" s="1">
        <v>0</v>
      </c>
      <c r="G1869" s="2">
        <f t="shared" si="29"/>
        <v>0</v>
      </c>
      <c r="H1869" s="2">
        <v>0</v>
      </c>
    </row>
    <row r="1870" spans="2:8">
      <c r="B1870" t="s">
        <v>211</v>
      </c>
      <c r="C1870" t="s">
        <v>741</v>
      </c>
      <c r="D1870" s="10" t="s">
        <v>479</v>
      </c>
      <c r="E1870" s="1">
        <v>0</v>
      </c>
      <c r="G1870" s="2">
        <f t="shared" si="29"/>
        <v>0</v>
      </c>
      <c r="H1870" s="2">
        <v>0</v>
      </c>
    </row>
    <row r="1871" spans="2:8">
      <c r="B1871" t="s">
        <v>211</v>
      </c>
      <c r="C1871" t="s">
        <v>741</v>
      </c>
      <c r="D1871" s="11" t="s">
        <v>480</v>
      </c>
      <c r="E1871" s="1">
        <v>0</v>
      </c>
      <c r="G1871" s="2">
        <f t="shared" si="29"/>
        <v>0</v>
      </c>
      <c r="H1871" s="2">
        <v>0</v>
      </c>
    </row>
    <row r="1872" spans="2:8">
      <c r="B1872" t="s">
        <v>211</v>
      </c>
      <c r="C1872" t="s">
        <v>741</v>
      </c>
      <c r="D1872" s="13" t="s">
        <v>481</v>
      </c>
      <c r="E1872" s="1">
        <v>0</v>
      </c>
      <c r="G1872" s="2">
        <f t="shared" si="29"/>
        <v>0</v>
      </c>
      <c r="H1872" s="2">
        <v>0</v>
      </c>
    </row>
    <row r="1873" spans="2:8">
      <c r="B1873" t="s">
        <v>211</v>
      </c>
      <c r="C1873" t="s">
        <v>741</v>
      </c>
      <c r="D1873" s="12" t="s">
        <v>1033</v>
      </c>
      <c r="E1873" s="1">
        <v>0</v>
      </c>
      <c r="G1873" s="2">
        <f t="shared" si="29"/>
        <v>0</v>
      </c>
      <c r="H1873" s="2">
        <v>0</v>
      </c>
    </row>
    <row r="1874" spans="2:8">
      <c r="B1874" t="s">
        <v>264</v>
      </c>
      <c r="C1874" t="s">
        <v>742</v>
      </c>
      <c r="D1874" s="5" t="s">
        <v>474</v>
      </c>
      <c r="E1874" s="1">
        <v>0</v>
      </c>
      <c r="G1874" s="2">
        <f t="shared" si="29"/>
        <v>0</v>
      </c>
      <c r="H1874" s="2">
        <v>0</v>
      </c>
    </row>
    <row r="1875" spans="2:8">
      <c r="B1875" t="s">
        <v>264</v>
      </c>
      <c r="C1875" t="s">
        <v>742</v>
      </c>
      <c r="D1875" s="6" t="s">
        <v>475</v>
      </c>
      <c r="E1875" s="1">
        <v>0</v>
      </c>
      <c r="G1875" s="2">
        <f t="shared" si="29"/>
        <v>0</v>
      </c>
      <c r="H1875" s="2">
        <v>0</v>
      </c>
    </row>
    <row r="1876" spans="2:8">
      <c r="B1876" t="s">
        <v>264</v>
      </c>
      <c r="C1876" t="s">
        <v>742</v>
      </c>
      <c r="D1876" s="7" t="s">
        <v>476</v>
      </c>
      <c r="E1876" s="1">
        <v>0</v>
      </c>
      <c r="G1876" s="2">
        <f t="shared" si="29"/>
        <v>0</v>
      </c>
      <c r="H1876" s="2">
        <v>0</v>
      </c>
    </row>
    <row r="1877" spans="2:8">
      <c r="B1877" t="s">
        <v>264</v>
      </c>
      <c r="C1877" t="s">
        <v>742</v>
      </c>
      <c r="D1877" s="8" t="s">
        <v>477</v>
      </c>
      <c r="E1877" s="1">
        <v>0</v>
      </c>
      <c r="G1877" s="2">
        <f t="shared" si="29"/>
        <v>0</v>
      </c>
      <c r="H1877" s="2">
        <v>0</v>
      </c>
    </row>
    <row r="1878" spans="2:8">
      <c r="B1878" t="s">
        <v>264</v>
      </c>
      <c r="C1878" t="s">
        <v>742</v>
      </c>
      <c r="D1878" s="9" t="s">
        <v>478</v>
      </c>
      <c r="E1878" s="1">
        <v>0</v>
      </c>
      <c r="G1878" s="2">
        <f t="shared" si="29"/>
        <v>0</v>
      </c>
      <c r="H1878" s="2">
        <v>0</v>
      </c>
    </row>
    <row r="1879" spans="2:8">
      <c r="B1879" t="s">
        <v>264</v>
      </c>
      <c r="C1879" t="s">
        <v>742</v>
      </c>
      <c r="D1879" s="10" t="s">
        <v>479</v>
      </c>
      <c r="E1879" s="1">
        <v>0</v>
      </c>
      <c r="G1879" s="2">
        <f t="shared" si="29"/>
        <v>0</v>
      </c>
      <c r="H1879" s="2">
        <v>0</v>
      </c>
    </row>
    <row r="1880" spans="2:8">
      <c r="B1880" t="s">
        <v>264</v>
      </c>
      <c r="C1880" t="s">
        <v>742</v>
      </c>
      <c r="D1880" s="11" t="s">
        <v>480</v>
      </c>
      <c r="E1880" s="1">
        <v>0</v>
      </c>
      <c r="G1880" s="2">
        <f t="shared" si="29"/>
        <v>0</v>
      </c>
      <c r="H1880" s="2">
        <v>0</v>
      </c>
    </row>
    <row r="1881" spans="2:8">
      <c r="B1881" t="s">
        <v>264</v>
      </c>
      <c r="C1881" t="s">
        <v>742</v>
      </c>
      <c r="D1881" s="13" t="s">
        <v>481</v>
      </c>
      <c r="E1881" s="1">
        <v>0</v>
      </c>
      <c r="G1881" s="2">
        <f t="shared" si="29"/>
        <v>0</v>
      </c>
      <c r="H1881" s="2">
        <v>0</v>
      </c>
    </row>
    <row r="1882" spans="2:8">
      <c r="B1882" t="s">
        <v>264</v>
      </c>
      <c r="C1882" t="s">
        <v>742</v>
      </c>
      <c r="D1882" s="12" t="s">
        <v>1033</v>
      </c>
      <c r="E1882" s="1">
        <v>0</v>
      </c>
      <c r="G1882" s="2">
        <f t="shared" si="29"/>
        <v>0</v>
      </c>
      <c r="H1882" s="2">
        <v>0</v>
      </c>
    </row>
    <row r="1883" spans="2:8">
      <c r="B1883" t="s">
        <v>265</v>
      </c>
      <c r="C1883" t="s">
        <v>743</v>
      </c>
      <c r="D1883" s="5" t="s">
        <v>474</v>
      </c>
      <c r="E1883" s="1">
        <v>0</v>
      </c>
      <c r="G1883" s="2">
        <f t="shared" si="29"/>
        <v>0</v>
      </c>
      <c r="H1883" s="2">
        <v>0</v>
      </c>
    </row>
    <row r="1884" spans="2:8">
      <c r="B1884" t="s">
        <v>265</v>
      </c>
      <c r="C1884" t="s">
        <v>743</v>
      </c>
      <c r="D1884" s="6" t="s">
        <v>475</v>
      </c>
      <c r="E1884" s="1">
        <v>0</v>
      </c>
      <c r="G1884" s="2">
        <f t="shared" si="29"/>
        <v>0</v>
      </c>
      <c r="H1884" s="2">
        <v>0</v>
      </c>
    </row>
    <row r="1885" spans="2:8">
      <c r="B1885" t="s">
        <v>265</v>
      </c>
      <c r="C1885" t="s">
        <v>743</v>
      </c>
      <c r="D1885" s="7" t="s">
        <v>476</v>
      </c>
      <c r="E1885" s="1">
        <v>0</v>
      </c>
      <c r="G1885" s="2">
        <f t="shared" si="29"/>
        <v>0</v>
      </c>
      <c r="H1885" s="2">
        <v>0</v>
      </c>
    </row>
    <row r="1886" spans="2:8">
      <c r="B1886" t="s">
        <v>265</v>
      </c>
      <c r="C1886" t="s">
        <v>743</v>
      </c>
      <c r="D1886" s="8" t="s">
        <v>477</v>
      </c>
      <c r="E1886" s="1">
        <v>0</v>
      </c>
      <c r="G1886" s="2">
        <f t="shared" si="29"/>
        <v>0</v>
      </c>
      <c r="H1886" s="2">
        <v>0</v>
      </c>
    </row>
    <row r="1887" spans="2:8">
      <c r="B1887" t="s">
        <v>265</v>
      </c>
      <c r="C1887" t="s">
        <v>743</v>
      </c>
      <c r="D1887" s="9" t="s">
        <v>478</v>
      </c>
      <c r="E1887" s="1">
        <v>0</v>
      </c>
      <c r="G1887" s="2">
        <f t="shared" si="29"/>
        <v>0</v>
      </c>
      <c r="H1887" s="2">
        <v>0</v>
      </c>
    </row>
    <row r="1888" spans="2:8">
      <c r="B1888" t="s">
        <v>265</v>
      </c>
      <c r="C1888" t="s">
        <v>743</v>
      </c>
      <c r="D1888" s="10" t="s">
        <v>479</v>
      </c>
      <c r="E1888" s="1">
        <v>0</v>
      </c>
      <c r="G1888" s="2">
        <f t="shared" si="29"/>
        <v>0</v>
      </c>
      <c r="H1888" s="2">
        <v>0</v>
      </c>
    </row>
    <row r="1889" spans="2:8">
      <c r="B1889" t="s">
        <v>265</v>
      </c>
      <c r="C1889" t="s">
        <v>743</v>
      </c>
      <c r="D1889" s="11" t="s">
        <v>480</v>
      </c>
      <c r="E1889" s="1">
        <v>0</v>
      </c>
      <c r="G1889" s="2">
        <f t="shared" si="29"/>
        <v>0</v>
      </c>
      <c r="H1889" s="2">
        <v>0</v>
      </c>
    </row>
    <row r="1890" spans="2:8">
      <c r="B1890" t="s">
        <v>265</v>
      </c>
      <c r="C1890" t="s">
        <v>743</v>
      </c>
      <c r="D1890" s="13" t="s">
        <v>481</v>
      </c>
      <c r="E1890" s="1">
        <v>0</v>
      </c>
      <c r="G1890" s="2">
        <f t="shared" si="29"/>
        <v>0</v>
      </c>
      <c r="H1890" s="2">
        <v>0</v>
      </c>
    </row>
    <row r="1891" spans="2:8">
      <c r="B1891" t="s">
        <v>265</v>
      </c>
      <c r="C1891" t="s">
        <v>743</v>
      </c>
      <c r="D1891" s="12" t="s">
        <v>1033</v>
      </c>
      <c r="E1891" s="1">
        <v>0</v>
      </c>
      <c r="G1891" s="2">
        <f t="shared" si="29"/>
        <v>0</v>
      </c>
      <c r="H1891" s="2">
        <v>0</v>
      </c>
    </row>
    <row r="1892" spans="2:8">
      <c r="B1892" t="s">
        <v>266</v>
      </c>
      <c r="C1892" t="s">
        <v>744</v>
      </c>
      <c r="D1892" s="5" t="s">
        <v>474</v>
      </c>
      <c r="E1892" s="1">
        <v>0</v>
      </c>
      <c r="G1892" s="2">
        <f t="shared" si="29"/>
        <v>0</v>
      </c>
      <c r="H1892" s="2">
        <v>0</v>
      </c>
    </row>
    <row r="1893" spans="2:8">
      <c r="B1893" t="s">
        <v>266</v>
      </c>
      <c r="C1893" t="s">
        <v>744</v>
      </c>
      <c r="D1893" s="6" t="s">
        <v>475</v>
      </c>
      <c r="E1893" s="1">
        <v>0</v>
      </c>
      <c r="G1893" s="2">
        <f t="shared" si="29"/>
        <v>0</v>
      </c>
      <c r="H1893" s="2">
        <v>0</v>
      </c>
    </row>
    <row r="1894" spans="2:8">
      <c r="B1894" t="s">
        <v>266</v>
      </c>
      <c r="C1894" t="s">
        <v>744</v>
      </c>
      <c r="D1894" s="7" t="s">
        <v>476</v>
      </c>
      <c r="E1894" s="1">
        <v>0</v>
      </c>
      <c r="G1894" s="2">
        <f t="shared" si="29"/>
        <v>0</v>
      </c>
      <c r="H1894" s="2">
        <v>0</v>
      </c>
    </row>
    <row r="1895" spans="2:8">
      <c r="B1895" t="s">
        <v>266</v>
      </c>
      <c r="C1895" t="s">
        <v>744</v>
      </c>
      <c r="D1895" s="8" t="s">
        <v>477</v>
      </c>
      <c r="E1895" s="1">
        <v>0</v>
      </c>
      <c r="G1895" s="2">
        <f t="shared" si="29"/>
        <v>0</v>
      </c>
      <c r="H1895" s="2">
        <v>0</v>
      </c>
    </row>
    <row r="1896" spans="2:8">
      <c r="B1896" t="s">
        <v>266</v>
      </c>
      <c r="C1896" t="s">
        <v>744</v>
      </c>
      <c r="D1896" s="9" t="s">
        <v>478</v>
      </c>
      <c r="E1896" s="1">
        <v>0</v>
      </c>
      <c r="G1896" s="2">
        <f t="shared" si="29"/>
        <v>0</v>
      </c>
      <c r="H1896" s="2">
        <v>0</v>
      </c>
    </row>
    <row r="1897" spans="2:8">
      <c r="B1897" t="s">
        <v>266</v>
      </c>
      <c r="C1897" t="s">
        <v>744</v>
      </c>
      <c r="D1897" s="10" t="s">
        <v>479</v>
      </c>
      <c r="E1897" s="1">
        <v>0</v>
      </c>
      <c r="G1897" s="2">
        <f t="shared" si="29"/>
        <v>0</v>
      </c>
      <c r="H1897" s="2">
        <v>0</v>
      </c>
    </row>
    <row r="1898" spans="2:8">
      <c r="B1898" t="s">
        <v>266</v>
      </c>
      <c r="C1898" t="s">
        <v>744</v>
      </c>
      <c r="D1898" s="11" t="s">
        <v>480</v>
      </c>
      <c r="E1898" s="1">
        <v>0</v>
      </c>
      <c r="G1898" s="2">
        <f t="shared" si="29"/>
        <v>0</v>
      </c>
      <c r="H1898" s="2">
        <v>0</v>
      </c>
    </row>
    <row r="1899" spans="2:8">
      <c r="B1899" t="s">
        <v>266</v>
      </c>
      <c r="C1899" t="s">
        <v>744</v>
      </c>
      <c r="D1899" s="13" t="s">
        <v>481</v>
      </c>
      <c r="E1899" s="1">
        <v>0</v>
      </c>
      <c r="G1899" s="2">
        <f t="shared" si="29"/>
        <v>0</v>
      </c>
      <c r="H1899" s="2">
        <v>0</v>
      </c>
    </row>
    <row r="1900" spans="2:8">
      <c r="B1900" t="s">
        <v>266</v>
      </c>
      <c r="C1900" t="s">
        <v>744</v>
      </c>
      <c r="D1900" s="12" t="s">
        <v>1033</v>
      </c>
      <c r="E1900" s="1">
        <v>0</v>
      </c>
      <c r="G1900" s="2">
        <f t="shared" si="29"/>
        <v>0</v>
      </c>
      <c r="H1900" s="2">
        <v>0</v>
      </c>
    </row>
    <row r="1901" spans="2:8">
      <c r="B1901" t="s">
        <v>936</v>
      </c>
      <c r="C1901" t="s">
        <v>943</v>
      </c>
      <c r="D1901" s="5" t="s">
        <v>474</v>
      </c>
      <c r="E1901" s="1">
        <v>0</v>
      </c>
      <c r="G1901" s="2">
        <f t="shared" si="29"/>
        <v>0</v>
      </c>
      <c r="H1901" s="2">
        <v>0</v>
      </c>
    </row>
    <row r="1902" spans="2:8">
      <c r="B1902" t="s">
        <v>936</v>
      </c>
      <c r="C1902" t="s">
        <v>943</v>
      </c>
      <c r="D1902" s="6" t="s">
        <v>475</v>
      </c>
      <c r="E1902" s="1">
        <v>0</v>
      </c>
      <c r="G1902" s="2">
        <f t="shared" si="29"/>
        <v>0</v>
      </c>
      <c r="H1902" s="2">
        <v>0</v>
      </c>
    </row>
    <row r="1903" spans="2:8">
      <c r="B1903" t="s">
        <v>936</v>
      </c>
      <c r="C1903" t="s">
        <v>943</v>
      </c>
      <c r="D1903" s="7" t="s">
        <v>476</v>
      </c>
      <c r="E1903" s="1">
        <v>0</v>
      </c>
      <c r="G1903" s="2">
        <f t="shared" si="29"/>
        <v>0</v>
      </c>
      <c r="H1903" s="2">
        <v>0</v>
      </c>
    </row>
    <row r="1904" spans="2:8">
      <c r="B1904" t="s">
        <v>936</v>
      </c>
      <c r="C1904" t="s">
        <v>943</v>
      </c>
      <c r="D1904" s="8" t="s">
        <v>477</v>
      </c>
      <c r="E1904" s="1">
        <v>0</v>
      </c>
      <c r="G1904" s="2">
        <f t="shared" si="29"/>
        <v>0</v>
      </c>
      <c r="H1904" s="2">
        <v>0</v>
      </c>
    </row>
    <row r="1905" spans="2:8">
      <c r="B1905" t="s">
        <v>936</v>
      </c>
      <c r="C1905" t="s">
        <v>943</v>
      </c>
      <c r="D1905" s="9" t="s">
        <v>478</v>
      </c>
      <c r="E1905" s="1">
        <v>0</v>
      </c>
      <c r="G1905" s="2">
        <f t="shared" si="29"/>
        <v>0</v>
      </c>
      <c r="H1905" s="2">
        <v>0</v>
      </c>
    </row>
    <row r="1906" spans="2:8">
      <c r="B1906" t="s">
        <v>936</v>
      </c>
      <c r="C1906" t="s">
        <v>943</v>
      </c>
      <c r="D1906" s="10" t="s">
        <v>479</v>
      </c>
      <c r="E1906" s="1">
        <v>0</v>
      </c>
      <c r="G1906" s="2">
        <f t="shared" si="29"/>
        <v>0</v>
      </c>
      <c r="H1906" s="2">
        <v>0</v>
      </c>
    </row>
    <row r="1907" spans="2:8">
      <c r="B1907" t="s">
        <v>936</v>
      </c>
      <c r="C1907" t="s">
        <v>943</v>
      </c>
      <c r="D1907" s="11" t="s">
        <v>480</v>
      </c>
      <c r="E1907" s="1">
        <v>0</v>
      </c>
      <c r="G1907" s="2">
        <f t="shared" si="29"/>
        <v>0</v>
      </c>
      <c r="H1907" s="2">
        <v>0</v>
      </c>
    </row>
    <row r="1908" spans="2:8">
      <c r="B1908" t="s">
        <v>936</v>
      </c>
      <c r="C1908" t="s">
        <v>943</v>
      </c>
      <c r="D1908" s="13" t="s">
        <v>481</v>
      </c>
      <c r="E1908" s="1">
        <v>0</v>
      </c>
      <c r="G1908" s="2">
        <f t="shared" si="29"/>
        <v>0</v>
      </c>
      <c r="H1908" s="2">
        <v>0</v>
      </c>
    </row>
    <row r="1909" spans="2:8">
      <c r="B1909" t="s">
        <v>936</v>
      </c>
      <c r="C1909" t="s">
        <v>943</v>
      </c>
      <c r="D1909" s="12" t="s">
        <v>1033</v>
      </c>
      <c r="E1909" s="1">
        <v>0</v>
      </c>
      <c r="G1909" s="2">
        <f t="shared" si="29"/>
        <v>0</v>
      </c>
      <c r="H1909" s="2">
        <v>0</v>
      </c>
    </row>
    <row r="1910" spans="2:8">
      <c r="B1910" t="s">
        <v>937</v>
      </c>
      <c r="C1910" t="s">
        <v>944</v>
      </c>
      <c r="D1910" s="5" t="s">
        <v>474</v>
      </c>
      <c r="E1910" s="1">
        <v>0</v>
      </c>
      <c r="G1910" s="2">
        <f t="shared" si="29"/>
        <v>0</v>
      </c>
      <c r="H1910" s="2">
        <v>0</v>
      </c>
    </row>
    <row r="1911" spans="2:8">
      <c r="B1911" t="s">
        <v>937</v>
      </c>
      <c r="C1911" t="s">
        <v>944</v>
      </c>
      <c r="D1911" s="6" t="s">
        <v>475</v>
      </c>
      <c r="E1911" s="1">
        <v>0</v>
      </c>
      <c r="G1911" s="2">
        <f t="shared" si="29"/>
        <v>0</v>
      </c>
      <c r="H1911" s="2">
        <v>0</v>
      </c>
    </row>
    <row r="1912" spans="2:8">
      <c r="B1912" t="s">
        <v>937</v>
      </c>
      <c r="C1912" t="s">
        <v>944</v>
      </c>
      <c r="D1912" s="7" t="s">
        <v>476</v>
      </c>
      <c r="E1912" s="1">
        <v>0</v>
      </c>
      <c r="G1912" s="2">
        <f t="shared" si="29"/>
        <v>0</v>
      </c>
      <c r="H1912" s="2">
        <v>0</v>
      </c>
    </row>
    <row r="1913" spans="2:8">
      <c r="B1913" t="s">
        <v>937</v>
      </c>
      <c r="C1913" t="s">
        <v>944</v>
      </c>
      <c r="D1913" s="8" t="s">
        <v>477</v>
      </c>
      <c r="E1913" s="1">
        <v>0</v>
      </c>
      <c r="G1913" s="2">
        <f t="shared" si="29"/>
        <v>0</v>
      </c>
      <c r="H1913" s="2">
        <v>0</v>
      </c>
    </row>
    <row r="1914" spans="2:8">
      <c r="B1914" t="s">
        <v>937</v>
      </c>
      <c r="C1914" t="s">
        <v>944</v>
      </c>
      <c r="D1914" s="9" t="s">
        <v>478</v>
      </c>
      <c r="E1914" s="1">
        <v>0</v>
      </c>
      <c r="G1914" s="2">
        <f t="shared" si="29"/>
        <v>0</v>
      </c>
      <c r="H1914" s="2">
        <v>0</v>
      </c>
    </row>
    <row r="1915" spans="2:8">
      <c r="B1915" t="s">
        <v>937</v>
      </c>
      <c r="C1915" t="s">
        <v>944</v>
      </c>
      <c r="D1915" s="10" t="s">
        <v>479</v>
      </c>
      <c r="E1915" s="1">
        <v>0</v>
      </c>
      <c r="G1915" s="2">
        <f t="shared" si="29"/>
        <v>0</v>
      </c>
      <c r="H1915" s="2">
        <v>0</v>
      </c>
    </row>
    <row r="1916" spans="2:8">
      <c r="B1916" t="s">
        <v>937</v>
      </c>
      <c r="C1916" t="s">
        <v>944</v>
      </c>
      <c r="D1916" s="11" t="s">
        <v>480</v>
      </c>
      <c r="E1916" s="1">
        <v>0</v>
      </c>
      <c r="G1916" s="2">
        <f t="shared" si="29"/>
        <v>0</v>
      </c>
      <c r="H1916" s="2">
        <v>0</v>
      </c>
    </row>
    <row r="1917" spans="2:8">
      <c r="B1917" t="s">
        <v>937</v>
      </c>
      <c r="C1917" t="s">
        <v>944</v>
      </c>
      <c r="D1917" s="13" t="s">
        <v>481</v>
      </c>
      <c r="E1917" s="1">
        <v>0</v>
      </c>
      <c r="G1917" s="2">
        <f t="shared" si="29"/>
        <v>0</v>
      </c>
      <c r="H1917" s="2">
        <v>0</v>
      </c>
    </row>
    <row r="1918" spans="2:8">
      <c r="B1918" t="s">
        <v>937</v>
      </c>
      <c r="C1918" t="s">
        <v>944</v>
      </c>
      <c r="D1918" s="12" t="s">
        <v>1033</v>
      </c>
      <c r="E1918" s="1">
        <v>0</v>
      </c>
      <c r="G1918" s="2">
        <f t="shared" si="29"/>
        <v>0</v>
      </c>
      <c r="H1918" s="2">
        <v>0</v>
      </c>
    </row>
    <row r="1919" spans="2:8">
      <c r="B1919" t="s">
        <v>938</v>
      </c>
      <c r="C1919" t="s">
        <v>945</v>
      </c>
      <c r="D1919" s="5" t="s">
        <v>474</v>
      </c>
      <c r="E1919" s="1">
        <v>0</v>
      </c>
      <c r="G1919" s="2">
        <f t="shared" si="29"/>
        <v>0</v>
      </c>
      <c r="H1919" s="2">
        <v>0</v>
      </c>
    </row>
    <row r="1920" spans="2:8">
      <c r="B1920" t="s">
        <v>938</v>
      </c>
      <c r="C1920" t="s">
        <v>945</v>
      </c>
      <c r="D1920" s="6" t="s">
        <v>475</v>
      </c>
      <c r="E1920" s="1">
        <v>0</v>
      </c>
      <c r="G1920" s="2">
        <f t="shared" si="29"/>
        <v>0</v>
      </c>
      <c r="H1920" s="2">
        <v>0</v>
      </c>
    </row>
    <row r="1921" spans="2:8">
      <c r="B1921" t="s">
        <v>938</v>
      </c>
      <c r="C1921" t="s">
        <v>945</v>
      </c>
      <c r="D1921" s="7" t="s">
        <v>476</v>
      </c>
      <c r="E1921" s="1">
        <v>0</v>
      </c>
      <c r="G1921" s="2">
        <f t="shared" si="29"/>
        <v>0</v>
      </c>
      <c r="H1921" s="2">
        <v>0</v>
      </c>
    </row>
    <row r="1922" spans="2:8">
      <c r="B1922" t="s">
        <v>938</v>
      </c>
      <c r="C1922" t="s">
        <v>945</v>
      </c>
      <c r="D1922" s="8" t="s">
        <v>477</v>
      </c>
      <c r="E1922" s="1">
        <v>0</v>
      </c>
      <c r="G1922" s="2">
        <f t="shared" ref="G1922:G1985" si="30">E1922*F1922</f>
        <v>0</v>
      </c>
      <c r="H1922" s="2">
        <v>0</v>
      </c>
    </row>
    <row r="1923" spans="2:8">
      <c r="B1923" t="s">
        <v>938</v>
      </c>
      <c r="C1923" t="s">
        <v>945</v>
      </c>
      <c r="D1923" s="9" t="s">
        <v>478</v>
      </c>
      <c r="E1923" s="1">
        <v>0</v>
      </c>
      <c r="G1923" s="2">
        <f t="shared" si="30"/>
        <v>0</v>
      </c>
      <c r="H1923" s="2">
        <v>0</v>
      </c>
    </row>
    <row r="1924" spans="2:8">
      <c r="B1924" t="s">
        <v>938</v>
      </c>
      <c r="C1924" t="s">
        <v>945</v>
      </c>
      <c r="D1924" s="10" t="s">
        <v>479</v>
      </c>
      <c r="E1924" s="1">
        <v>0</v>
      </c>
      <c r="G1924" s="2">
        <f t="shared" si="30"/>
        <v>0</v>
      </c>
      <c r="H1924" s="2">
        <v>0</v>
      </c>
    </row>
    <row r="1925" spans="2:8">
      <c r="B1925" t="s">
        <v>938</v>
      </c>
      <c r="C1925" t="s">
        <v>945</v>
      </c>
      <c r="D1925" s="11" t="s">
        <v>480</v>
      </c>
      <c r="E1925" s="1">
        <v>0</v>
      </c>
      <c r="G1925" s="2">
        <f t="shared" si="30"/>
        <v>0</v>
      </c>
      <c r="H1925" s="2">
        <v>0</v>
      </c>
    </row>
    <row r="1926" spans="2:8">
      <c r="B1926" t="s">
        <v>938</v>
      </c>
      <c r="C1926" t="s">
        <v>945</v>
      </c>
      <c r="D1926" s="13" t="s">
        <v>481</v>
      </c>
      <c r="E1926" s="1">
        <v>0</v>
      </c>
      <c r="G1926" s="2">
        <f t="shared" si="30"/>
        <v>0</v>
      </c>
      <c r="H1926" s="2">
        <v>0</v>
      </c>
    </row>
    <row r="1927" spans="2:8">
      <c r="B1927" t="s">
        <v>938</v>
      </c>
      <c r="C1927" t="s">
        <v>945</v>
      </c>
      <c r="D1927" s="12" t="s">
        <v>1033</v>
      </c>
      <c r="E1927" s="1">
        <v>0</v>
      </c>
      <c r="G1927" s="2">
        <f t="shared" si="30"/>
        <v>0</v>
      </c>
      <c r="H1927" s="2">
        <v>0</v>
      </c>
    </row>
    <row r="1928" spans="2:8">
      <c r="B1928" t="s">
        <v>939</v>
      </c>
      <c r="C1928" t="s">
        <v>946</v>
      </c>
      <c r="D1928" s="5" t="s">
        <v>474</v>
      </c>
      <c r="E1928" s="1">
        <v>0</v>
      </c>
      <c r="G1928" s="2">
        <f t="shared" si="30"/>
        <v>0</v>
      </c>
      <c r="H1928" s="2">
        <v>0</v>
      </c>
    </row>
    <row r="1929" spans="2:8">
      <c r="B1929" t="s">
        <v>939</v>
      </c>
      <c r="C1929" t="s">
        <v>946</v>
      </c>
      <c r="D1929" s="6" t="s">
        <v>475</v>
      </c>
      <c r="E1929" s="1">
        <v>0</v>
      </c>
      <c r="G1929" s="2">
        <f t="shared" si="30"/>
        <v>0</v>
      </c>
      <c r="H1929" s="2">
        <v>0</v>
      </c>
    </row>
    <row r="1930" spans="2:8">
      <c r="B1930" t="s">
        <v>939</v>
      </c>
      <c r="C1930" t="s">
        <v>946</v>
      </c>
      <c r="D1930" s="7" t="s">
        <v>476</v>
      </c>
      <c r="E1930" s="1">
        <v>0</v>
      </c>
      <c r="G1930" s="2">
        <f t="shared" si="30"/>
        <v>0</v>
      </c>
      <c r="H1930" s="2">
        <v>0</v>
      </c>
    </row>
    <row r="1931" spans="2:8">
      <c r="B1931" t="s">
        <v>939</v>
      </c>
      <c r="C1931" t="s">
        <v>946</v>
      </c>
      <c r="D1931" s="8" t="s">
        <v>477</v>
      </c>
      <c r="E1931" s="1">
        <v>0</v>
      </c>
      <c r="G1931" s="2">
        <f t="shared" si="30"/>
        <v>0</v>
      </c>
      <c r="H1931" s="2">
        <v>0</v>
      </c>
    </row>
    <row r="1932" spans="2:8">
      <c r="B1932" t="s">
        <v>939</v>
      </c>
      <c r="C1932" t="s">
        <v>946</v>
      </c>
      <c r="D1932" s="9" t="s">
        <v>478</v>
      </c>
      <c r="E1932" s="1">
        <v>0</v>
      </c>
      <c r="G1932" s="2">
        <f t="shared" si="30"/>
        <v>0</v>
      </c>
      <c r="H1932" s="2">
        <v>0</v>
      </c>
    </row>
    <row r="1933" spans="2:8">
      <c r="B1933" t="s">
        <v>939</v>
      </c>
      <c r="C1933" t="s">
        <v>946</v>
      </c>
      <c r="D1933" s="10" t="s">
        <v>479</v>
      </c>
      <c r="E1933" s="1">
        <v>0</v>
      </c>
      <c r="G1933" s="2">
        <f t="shared" si="30"/>
        <v>0</v>
      </c>
      <c r="H1933" s="2">
        <v>0</v>
      </c>
    </row>
    <row r="1934" spans="2:8">
      <c r="B1934" t="s">
        <v>939</v>
      </c>
      <c r="C1934" t="s">
        <v>946</v>
      </c>
      <c r="D1934" s="11" t="s">
        <v>480</v>
      </c>
      <c r="E1934" s="1">
        <v>0</v>
      </c>
      <c r="G1934" s="2">
        <f t="shared" si="30"/>
        <v>0</v>
      </c>
      <c r="H1934" s="2">
        <v>0</v>
      </c>
    </row>
    <row r="1935" spans="2:8">
      <c r="B1935" t="s">
        <v>939</v>
      </c>
      <c r="C1935" t="s">
        <v>946</v>
      </c>
      <c r="D1935" s="13" t="s">
        <v>481</v>
      </c>
      <c r="E1935" s="1">
        <v>0</v>
      </c>
      <c r="G1935" s="2">
        <f t="shared" si="30"/>
        <v>0</v>
      </c>
      <c r="H1935" s="2">
        <v>0</v>
      </c>
    </row>
    <row r="1936" spans="2:8">
      <c r="B1936" t="s">
        <v>939</v>
      </c>
      <c r="C1936" t="s">
        <v>946</v>
      </c>
      <c r="D1936" s="12" t="s">
        <v>1033</v>
      </c>
      <c r="E1936" s="1">
        <v>0</v>
      </c>
      <c r="G1936" s="2">
        <f t="shared" si="30"/>
        <v>0</v>
      </c>
      <c r="H1936" s="2">
        <v>0</v>
      </c>
    </row>
    <row r="1937" spans="2:8">
      <c r="B1937" t="s">
        <v>948</v>
      </c>
      <c r="C1937" t="s">
        <v>954</v>
      </c>
      <c r="D1937" s="5" t="s">
        <v>474</v>
      </c>
      <c r="E1937" s="1">
        <v>0</v>
      </c>
      <c r="G1937" s="2">
        <f t="shared" si="30"/>
        <v>0</v>
      </c>
      <c r="H1937" s="2">
        <v>0</v>
      </c>
    </row>
    <row r="1938" spans="2:8">
      <c r="B1938" t="s">
        <v>948</v>
      </c>
      <c r="C1938" t="s">
        <v>954</v>
      </c>
      <c r="D1938" s="6" t="s">
        <v>475</v>
      </c>
      <c r="E1938" s="1">
        <v>0</v>
      </c>
      <c r="G1938" s="2">
        <f t="shared" si="30"/>
        <v>0</v>
      </c>
      <c r="H1938" s="2">
        <v>0</v>
      </c>
    </row>
    <row r="1939" spans="2:8">
      <c r="B1939" t="s">
        <v>948</v>
      </c>
      <c r="C1939" t="s">
        <v>954</v>
      </c>
      <c r="D1939" s="7" t="s">
        <v>476</v>
      </c>
      <c r="E1939" s="1">
        <v>0</v>
      </c>
      <c r="G1939" s="2">
        <f t="shared" si="30"/>
        <v>0</v>
      </c>
      <c r="H1939" s="2">
        <v>0</v>
      </c>
    </row>
    <row r="1940" spans="2:8">
      <c r="B1940" t="s">
        <v>948</v>
      </c>
      <c r="C1940" t="s">
        <v>954</v>
      </c>
      <c r="D1940" s="8" t="s">
        <v>477</v>
      </c>
      <c r="E1940" s="1">
        <v>0</v>
      </c>
      <c r="G1940" s="2">
        <f t="shared" si="30"/>
        <v>0</v>
      </c>
      <c r="H1940" s="2">
        <v>0</v>
      </c>
    </row>
    <row r="1941" spans="2:8">
      <c r="B1941" t="s">
        <v>948</v>
      </c>
      <c r="C1941" t="s">
        <v>954</v>
      </c>
      <c r="D1941" s="9" t="s">
        <v>478</v>
      </c>
      <c r="E1941" s="1">
        <v>0</v>
      </c>
      <c r="G1941" s="2">
        <f t="shared" si="30"/>
        <v>0</v>
      </c>
      <c r="H1941" s="2">
        <v>0</v>
      </c>
    </row>
    <row r="1942" spans="2:8">
      <c r="B1942" t="s">
        <v>948</v>
      </c>
      <c r="C1942" t="s">
        <v>954</v>
      </c>
      <c r="D1942" s="10" t="s">
        <v>479</v>
      </c>
      <c r="E1942" s="1">
        <v>0</v>
      </c>
      <c r="G1942" s="2">
        <f t="shared" si="30"/>
        <v>0</v>
      </c>
      <c r="H1942" s="2">
        <v>0</v>
      </c>
    </row>
    <row r="1943" spans="2:8">
      <c r="B1943" t="s">
        <v>948</v>
      </c>
      <c r="C1943" t="s">
        <v>954</v>
      </c>
      <c r="D1943" s="11" t="s">
        <v>480</v>
      </c>
      <c r="E1943" s="1">
        <v>0</v>
      </c>
      <c r="G1943" s="2">
        <f t="shared" si="30"/>
        <v>0</v>
      </c>
      <c r="H1943" s="2">
        <v>0</v>
      </c>
    </row>
    <row r="1944" spans="2:8">
      <c r="B1944" t="s">
        <v>948</v>
      </c>
      <c r="C1944" t="s">
        <v>954</v>
      </c>
      <c r="D1944" s="13" t="s">
        <v>481</v>
      </c>
      <c r="E1944" s="1">
        <v>0</v>
      </c>
      <c r="G1944" s="2">
        <f t="shared" si="30"/>
        <v>0</v>
      </c>
      <c r="H1944" s="2">
        <v>0</v>
      </c>
    </row>
    <row r="1945" spans="2:8">
      <c r="B1945" t="s">
        <v>948</v>
      </c>
      <c r="C1945" t="s">
        <v>954</v>
      </c>
      <c r="D1945" s="12" t="s">
        <v>1033</v>
      </c>
      <c r="E1945" s="1">
        <v>0</v>
      </c>
      <c r="G1945" s="2">
        <f t="shared" si="30"/>
        <v>0</v>
      </c>
      <c r="H1945" s="2">
        <v>0</v>
      </c>
    </row>
    <row r="1946" spans="2:8">
      <c r="B1946" t="s">
        <v>949</v>
      </c>
      <c r="C1946" t="s">
        <v>955</v>
      </c>
      <c r="D1946" s="5" t="s">
        <v>474</v>
      </c>
      <c r="E1946" s="1">
        <v>0</v>
      </c>
      <c r="G1946" s="2">
        <f t="shared" si="30"/>
        <v>0</v>
      </c>
      <c r="H1946" s="2">
        <v>0</v>
      </c>
    </row>
    <row r="1947" spans="2:8">
      <c r="B1947" t="s">
        <v>949</v>
      </c>
      <c r="C1947" t="s">
        <v>955</v>
      </c>
      <c r="D1947" s="6" t="s">
        <v>475</v>
      </c>
      <c r="E1947" s="1">
        <v>0</v>
      </c>
      <c r="G1947" s="2">
        <f t="shared" si="30"/>
        <v>0</v>
      </c>
      <c r="H1947" s="2">
        <v>0</v>
      </c>
    </row>
    <row r="1948" spans="2:8">
      <c r="B1948" t="s">
        <v>949</v>
      </c>
      <c r="C1948" t="s">
        <v>955</v>
      </c>
      <c r="D1948" s="7" t="s">
        <v>476</v>
      </c>
      <c r="E1948" s="1">
        <v>0</v>
      </c>
      <c r="G1948" s="2">
        <f t="shared" si="30"/>
        <v>0</v>
      </c>
      <c r="H1948" s="2">
        <v>0</v>
      </c>
    </row>
    <row r="1949" spans="2:8">
      <c r="B1949" t="s">
        <v>949</v>
      </c>
      <c r="C1949" t="s">
        <v>955</v>
      </c>
      <c r="D1949" s="8" t="s">
        <v>477</v>
      </c>
      <c r="E1949" s="1">
        <v>0</v>
      </c>
      <c r="G1949" s="2">
        <f t="shared" si="30"/>
        <v>0</v>
      </c>
      <c r="H1949" s="2">
        <v>0</v>
      </c>
    </row>
    <row r="1950" spans="2:8">
      <c r="B1950" t="s">
        <v>949</v>
      </c>
      <c r="C1950" t="s">
        <v>955</v>
      </c>
      <c r="D1950" s="9" t="s">
        <v>478</v>
      </c>
      <c r="E1950" s="1">
        <v>0</v>
      </c>
      <c r="G1950" s="2">
        <f t="shared" si="30"/>
        <v>0</v>
      </c>
      <c r="H1950" s="2">
        <v>0</v>
      </c>
    </row>
    <row r="1951" spans="2:8">
      <c r="B1951" t="s">
        <v>949</v>
      </c>
      <c r="C1951" t="s">
        <v>955</v>
      </c>
      <c r="D1951" s="10" t="s">
        <v>479</v>
      </c>
      <c r="E1951" s="1">
        <v>0</v>
      </c>
      <c r="G1951" s="2">
        <f t="shared" si="30"/>
        <v>0</v>
      </c>
      <c r="H1951" s="2">
        <v>0</v>
      </c>
    </row>
    <row r="1952" spans="2:8">
      <c r="B1952" t="s">
        <v>949</v>
      </c>
      <c r="C1952" t="s">
        <v>955</v>
      </c>
      <c r="D1952" s="11" t="s">
        <v>480</v>
      </c>
      <c r="E1952" s="1">
        <v>0</v>
      </c>
      <c r="G1952" s="2">
        <f t="shared" si="30"/>
        <v>0</v>
      </c>
      <c r="H1952" s="2">
        <v>0</v>
      </c>
    </row>
    <row r="1953" spans="2:8">
      <c r="B1953" t="s">
        <v>949</v>
      </c>
      <c r="C1953" t="s">
        <v>955</v>
      </c>
      <c r="D1953" s="13" t="s">
        <v>481</v>
      </c>
      <c r="E1953" s="1">
        <v>0</v>
      </c>
      <c r="G1953" s="2">
        <f t="shared" si="30"/>
        <v>0</v>
      </c>
      <c r="H1953" s="2">
        <v>0</v>
      </c>
    </row>
    <row r="1954" spans="2:8">
      <c r="B1954" t="s">
        <v>949</v>
      </c>
      <c r="C1954" t="s">
        <v>955</v>
      </c>
      <c r="D1954" s="12" t="s">
        <v>1033</v>
      </c>
      <c r="E1954" s="1">
        <v>0</v>
      </c>
      <c r="G1954" s="2">
        <f t="shared" si="30"/>
        <v>0</v>
      </c>
      <c r="H1954" s="2">
        <v>0</v>
      </c>
    </row>
    <row r="1955" spans="2:8">
      <c r="B1955" t="s">
        <v>950</v>
      </c>
      <c r="C1955" t="s">
        <v>956</v>
      </c>
      <c r="D1955" s="5" t="s">
        <v>474</v>
      </c>
      <c r="E1955" s="1">
        <v>0</v>
      </c>
      <c r="G1955" s="2">
        <f t="shared" si="30"/>
        <v>0</v>
      </c>
      <c r="H1955" s="2">
        <v>0</v>
      </c>
    </row>
    <row r="1956" spans="2:8">
      <c r="B1956" t="s">
        <v>950</v>
      </c>
      <c r="C1956" t="s">
        <v>956</v>
      </c>
      <c r="D1956" s="6" t="s">
        <v>475</v>
      </c>
      <c r="E1956" s="1">
        <v>0</v>
      </c>
      <c r="G1956" s="2">
        <f t="shared" si="30"/>
        <v>0</v>
      </c>
      <c r="H1956" s="2">
        <v>0</v>
      </c>
    </row>
    <row r="1957" spans="2:8">
      <c r="B1957" t="s">
        <v>950</v>
      </c>
      <c r="C1957" t="s">
        <v>956</v>
      </c>
      <c r="D1957" s="7" t="s">
        <v>476</v>
      </c>
      <c r="E1957" s="1">
        <v>0</v>
      </c>
      <c r="G1957" s="2">
        <f t="shared" si="30"/>
        <v>0</v>
      </c>
      <c r="H1957" s="2">
        <v>0</v>
      </c>
    </row>
    <row r="1958" spans="2:8">
      <c r="B1958" t="s">
        <v>950</v>
      </c>
      <c r="C1958" t="s">
        <v>956</v>
      </c>
      <c r="D1958" s="8" t="s">
        <v>477</v>
      </c>
      <c r="E1958" s="1">
        <v>0</v>
      </c>
      <c r="G1958" s="2">
        <f t="shared" si="30"/>
        <v>0</v>
      </c>
      <c r="H1958" s="2">
        <v>0</v>
      </c>
    </row>
    <row r="1959" spans="2:8">
      <c r="B1959" t="s">
        <v>950</v>
      </c>
      <c r="C1959" t="s">
        <v>956</v>
      </c>
      <c r="D1959" s="9" t="s">
        <v>478</v>
      </c>
      <c r="E1959" s="1">
        <v>0</v>
      </c>
      <c r="G1959" s="2">
        <f t="shared" si="30"/>
        <v>0</v>
      </c>
      <c r="H1959" s="2">
        <v>0</v>
      </c>
    </row>
    <row r="1960" spans="2:8">
      <c r="B1960" t="s">
        <v>950</v>
      </c>
      <c r="C1960" t="s">
        <v>956</v>
      </c>
      <c r="D1960" s="10" t="s">
        <v>479</v>
      </c>
      <c r="E1960" s="1">
        <v>0</v>
      </c>
      <c r="G1960" s="2">
        <f t="shared" si="30"/>
        <v>0</v>
      </c>
      <c r="H1960" s="2">
        <v>0</v>
      </c>
    </row>
    <row r="1961" spans="2:8">
      <c r="B1961" t="s">
        <v>950</v>
      </c>
      <c r="C1961" t="s">
        <v>956</v>
      </c>
      <c r="D1961" s="11" t="s">
        <v>480</v>
      </c>
      <c r="E1961" s="1">
        <v>0</v>
      </c>
      <c r="G1961" s="2">
        <f t="shared" si="30"/>
        <v>0</v>
      </c>
      <c r="H1961" s="2">
        <v>0</v>
      </c>
    </row>
    <row r="1962" spans="2:8">
      <c r="B1962" t="s">
        <v>950</v>
      </c>
      <c r="C1962" t="s">
        <v>956</v>
      </c>
      <c r="D1962" s="13" t="s">
        <v>481</v>
      </c>
      <c r="E1962" s="1">
        <v>0</v>
      </c>
      <c r="G1962" s="2">
        <f t="shared" si="30"/>
        <v>0</v>
      </c>
      <c r="H1962" s="2">
        <v>0</v>
      </c>
    </row>
    <row r="1963" spans="2:8">
      <c r="B1963" t="s">
        <v>950</v>
      </c>
      <c r="C1963" t="s">
        <v>956</v>
      </c>
      <c r="D1963" s="12" t="s">
        <v>1033</v>
      </c>
      <c r="E1963" s="1">
        <v>0</v>
      </c>
      <c r="G1963" s="2">
        <f t="shared" si="30"/>
        <v>0</v>
      </c>
      <c r="H1963" s="2">
        <v>0</v>
      </c>
    </row>
    <row r="1964" spans="2:8">
      <c r="B1964" t="s">
        <v>951</v>
      </c>
      <c r="C1964" t="s">
        <v>957</v>
      </c>
      <c r="D1964" s="5" t="s">
        <v>474</v>
      </c>
      <c r="E1964" s="1">
        <v>0</v>
      </c>
      <c r="G1964" s="2">
        <f t="shared" si="30"/>
        <v>0</v>
      </c>
      <c r="H1964" s="2">
        <v>0</v>
      </c>
    </row>
    <row r="1965" spans="2:8">
      <c r="B1965" t="s">
        <v>951</v>
      </c>
      <c r="C1965" t="s">
        <v>957</v>
      </c>
      <c r="D1965" s="6" t="s">
        <v>475</v>
      </c>
      <c r="E1965" s="1">
        <v>0</v>
      </c>
      <c r="G1965" s="2">
        <f t="shared" si="30"/>
        <v>0</v>
      </c>
      <c r="H1965" s="2">
        <v>0</v>
      </c>
    </row>
    <row r="1966" spans="2:8">
      <c r="B1966" t="s">
        <v>951</v>
      </c>
      <c r="C1966" t="s">
        <v>957</v>
      </c>
      <c r="D1966" s="7" t="s">
        <v>476</v>
      </c>
      <c r="E1966" s="1">
        <v>0</v>
      </c>
      <c r="G1966" s="2">
        <f t="shared" si="30"/>
        <v>0</v>
      </c>
      <c r="H1966" s="2">
        <v>0</v>
      </c>
    </row>
    <row r="1967" spans="2:8">
      <c r="B1967" t="s">
        <v>951</v>
      </c>
      <c r="C1967" t="s">
        <v>957</v>
      </c>
      <c r="D1967" s="8" t="s">
        <v>477</v>
      </c>
      <c r="E1967" s="1">
        <v>0</v>
      </c>
      <c r="G1967" s="2">
        <f t="shared" si="30"/>
        <v>0</v>
      </c>
      <c r="H1967" s="2">
        <v>0</v>
      </c>
    </row>
    <row r="1968" spans="2:8">
      <c r="B1968" t="s">
        <v>951</v>
      </c>
      <c r="C1968" t="s">
        <v>957</v>
      </c>
      <c r="D1968" s="9" t="s">
        <v>478</v>
      </c>
      <c r="E1968" s="1">
        <v>0</v>
      </c>
      <c r="G1968" s="2">
        <f t="shared" si="30"/>
        <v>0</v>
      </c>
      <c r="H1968" s="2">
        <v>0</v>
      </c>
    </row>
    <row r="1969" spans="2:8">
      <c r="B1969" t="s">
        <v>951</v>
      </c>
      <c r="C1969" t="s">
        <v>957</v>
      </c>
      <c r="D1969" s="10" t="s">
        <v>479</v>
      </c>
      <c r="E1969" s="1">
        <v>0</v>
      </c>
      <c r="G1969" s="2">
        <f t="shared" si="30"/>
        <v>0</v>
      </c>
      <c r="H1969" s="2">
        <v>0</v>
      </c>
    </row>
    <row r="1970" spans="2:8">
      <c r="B1970" t="s">
        <v>951</v>
      </c>
      <c r="C1970" t="s">
        <v>957</v>
      </c>
      <c r="D1970" s="11" t="s">
        <v>480</v>
      </c>
      <c r="E1970" s="1">
        <v>0</v>
      </c>
      <c r="G1970" s="2">
        <f t="shared" si="30"/>
        <v>0</v>
      </c>
      <c r="H1970" s="2">
        <v>0</v>
      </c>
    </row>
    <row r="1971" spans="2:8">
      <c r="B1971" t="s">
        <v>951</v>
      </c>
      <c r="C1971" t="s">
        <v>957</v>
      </c>
      <c r="D1971" s="13" t="s">
        <v>481</v>
      </c>
      <c r="E1971" s="1">
        <v>0</v>
      </c>
      <c r="G1971" s="2">
        <f t="shared" si="30"/>
        <v>0</v>
      </c>
      <c r="H1971" s="2">
        <v>0</v>
      </c>
    </row>
    <row r="1972" spans="2:8">
      <c r="B1972" t="s">
        <v>951</v>
      </c>
      <c r="C1972" t="s">
        <v>957</v>
      </c>
      <c r="D1972" s="12" t="s">
        <v>1033</v>
      </c>
      <c r="E1972" s="1">
        <v>0</v>
      </c>
      <c r="G1972" s="2">
        <f t="shared" si="30"/>
        <v>0</v>
      </c>
      <c r="H1972" s="2">
        <v>0</v>
      </c>
    </row>
    <row r="1973" spans="2:8">
      <c r="B1973" t="s">
        <v>952</v>
      </c>
      <c r="C1973" t="s">
        <v>958</v>
      </c>
      <c r="D1973" s="5" t="s">
        <v>474</v>
      </c>
      <c r="E1973" s="1">
        <v>0</v>
      </c>
      <c r="G1973" s="2">
        <f t="shared" si="30"/>
        <v>0</v>
      </c>
      <c r="H1973" s="2">
        <v>0</v>
      </c>
    </row>
    <row r="1974" spans="2:8">
      <c r="B1974" t="s">
        <v>952</v>
      </c>
      <c r="C1974" t="s">
        <v>958</v>
      </c>
      <c r="D1974" s="6" t="s">
        <v>475</v>
      </c>
      <c r="E1974" s="1">
        <v>0</v>
      </c>
      <c r="G1974" s="2">
        <f t="shared" si="30"/>
        <v>0</v>
      </c>
      <c r="H1974" s="2">
        <v>0</v>
      </c>
    </row>
    <row r="1975" spans="2:8">
      <c r="B1975" t="s">
        <v>952</v>
      </c>
      <c r="C1975" t="s">
        <v>958</v>
      </c>
      <c r="D1975" s="7" t="s">
        <v>476</v>
      </c>
      <c r="E1975" s="1">
        <v>0</v>
      </c>
      <c r="G1975" s="2">
        <f t="shared" si="30"/>
        <v>0</v>
      </c>
      <c r="H1975" s="2">
        <v>0</v>
      </c>
    </row>
    <row r="1976" spans="2:8">
      <c r="B1976" t="s">
        <v>952</v>
      </c>
      <c r="C1976" t="s">
        <v>958</v>
      </c>
      <c r="D1976" s="8" t="s">
        <v>477</v>
      </c>
      <c r="E1976" s="1">
        <v>0</v>
      </c>
      <c r="G1976" s="2">
        <f t="shared" si="30"/>
        <v>0</v>
      </c>
      <c r="H1976" s="2">
        <v>0</v>
      </c>
    </row>
    <row r="1977" spans="2:8">
      <c r="B1977" t="s">
        <v>952</v>
      </c>
      <c r="C1977" t="s">
        <v>958</v>
      </c>
      <c r="D1977" s="9" t="s">
        <v>478</v>
      </c>
      <c r="E1977" s="1">
        <v>0</v>
      </c>
      <c r="G1977" s="2">
        <f t="shared" si="30"/>
        <v>0</v>
      </c>
      <c r="H1977" s="2">
        <v>0</v>
      </c>
    </row>
    <row r="1978" spans="2:8">
      <c r="B1978" t="s">
        <v>952</v>
      </c>
      <c r="C1978" t="s">
        <v>958</v>
      </c>
      <c r="D1978" s="10" t="s">
        <v>479</v>
      </c>
      <c r="E1978" s="1">
        <v>0</v>
      </c>
      <c r="G1978" s="2">
        <f t="shared" si="30"/>
        <v>0</v>
      </c>
      <c r="H1978" s="2">
        <v>0</v>
      </c>
    </row>
    <row r="1979" spans="2:8">
      <c r="B1979" t="s">
        <v>952</v>
      </c>
      <c r="C1979" t="s">
        <v>958</v>
      </c>
      <c r="D1979" s="11" t="s">
        <v>480</v>
      </c>
      <c r="E1979" s="1">
        <v>0</v>
      </c>
      <c r="G1979" s="2">
        <f t="shared" si="30"/>
        <v>0</v>
      </c>
      <c r="H1979" s="2">
        <v>0</v>
      </c>
    </row>
    <row r="1980" spans="2:8">
      <c r="B1980" t="s">
        <v>952</v>
      </c>
      <c r="C1980" t="s">
        <v>958</v>
      </c>
      <c r="D1980" s="13" t="s">
        <v>481</v>
      </c>
      <c r="E1980" s="1">
        <v>0</v>
      </c>
      <c r="G1980" s="2">
        <f t="shared" si="30"/>
        <v>0</v>
      </c>
      <c r="H1980" s="2">
        <v>0</v>
      </c>
    </row>
    <row r="1981" spans="2:8">
      <c r="B1981" t="s">
        <v>952</v>
      </c>
      <c r="C1981" t="s">
        <v>958</v>
      </c>
      <c r="D1981" s="12" t="s">
        <v>1033</v>
      </c>
      <c r="E1981" s="1">
        <v>0</v>
      </c>
      <c r="G1981" s="2">
        <f t="shared" si="30"/>
        <v>0</v>
      </c>
      <c r="H1981" s="2">
        <v>0</v>
      </c>
    </row>
    <row r="1982" spans="2:8">
      <c r="B1982" t="s">
        <v>1581</v>
      </c>
      <c r="C1982" t="s">
        <v>1582</v>
      </c>
      <c r="D1982" s="5" t="s">
        <v>474</v>
      </c>
      <c r="E1982" s="1">
        <v>0</v>
      </c>
      <c r="G1982" s="2">
        <f t="shared" si="30"/>
        <v>0</v>
      </c>
      <c r="H1982" s="2">
        <v>0</v>
      </c>
    </row>
    <row r="1983" spans="2:8">
      <c r="B1983" t="s">
        <v>1581</v>
      </c>
      <c r="C1983" t="s">
        <v>1582</v>
      </c>
      <c r="D1983" s="6" t="s">
        <v>475</v>
      </c>
      <c r="E1983" s="1">
        <v>0</v>
      </c>
      <c r="G1983" s="2">
        <f t="shared" si="30"/>
        <v>0</v>
      </c>
      <c r="H1983" s="2">
        <v>0</v>
      </c>
    </row>
    <row r="1984" spans="2:8">
      <c r="B1984" t="s">
        <v>1581</v>
      </c>
      <c r="C1984" t="s">
        <v>1582</v>
      </c>
      <c r="D1984" s="7" t="s">
        <v>476</v>
      </c>
      <c r="E1984" s="1">
        <v>0</v>
      </c>
      <c r="G1984" s="2">
        <f t="shared" si="30"/>
        <v>0</v>
      </c>
      <c r="H1984" s="2">
        <v>0</v>
      </c>
    </row>
    <row r="1985" spans="1:8">
      <c r="B1985" t="s">
        <v>1581</v>
      </c>
      <c r="C1985" t="s">
        <v>1582</v>
      </c>
      <c r="D1985" s="8" t="s">
        <v>477</v>
      </c>
      <c r="E1985" s="1">
        <v>0</v>
      </c>
      <c r="G1985" s="2">
        <f t="shared" si="30"/>
        <v>0</v>
      </c>
      <c r="H1985" s="2">
        <v>0</v>
      </c>
    </row>
    <row r="1986" spans="1:8">
      <c r="B1986" t="s">
        <v>1581</v>
      </c>
      <c r="C1986" t="s">
        <v>1582</v>
      </c>
      <c r="D1986" s="9" t="s">
        <v>478</v>
      </c>
      <c r="E1986" s="1">
        <v>0</v>
      </c>
      <c r="G1986" s="2">
        <f t="shared" ref="G1986:G2049" si="31">E1986*F1986</f>
        <v>0</v>
      </c>
      <c r="H1986" s="2">
        <v>0</v>
      </c>
    </row>
    <row r="1987" spans="1:8">
      <c r="B1987" t="s">
        <v>1581</v>
      </c>
      <c r="C1987" t="s">
        <v>1582</v>
      </c>
      <c r="D1987" s="10" t="s">
        <v>479</v>
      </c>
      <c r="E1987" s="1">
        <v>0</v>
      </c>
      <c r="G1987" s="2">
        <f t="shared" si="31"/>
        <v>0</v>
      </c>
      <c r="H1987" s="2">
        <v>0</v>
      </c>
    </row>
    <row r="1988" spans="1:8">
      <c r="B1988" t="s">
        <v>1581</v>
      </c>
      <c r="C1988" t="s">
        <v>1582</v>
      </c>
      <c r="D1988" s="11" t="s">
        <v>480</v>
      </c>
      <c r="E1988" s="1">
        <v>0</v>
      </c>
      <c r="G1988" s="2">
        <f t="shared" si="31"/>
        <v>0</v>
      </c>
      <c r="H1988" s="2">
        <v>0</v>
      </c>
    </row>
    <row r="1989" spans="1:8">
      <c r="B1989" t="s">
        <v>1581</v>
      </c>
      <c r="C1989" t="s">
        <v>1582</v>
      </c>
      <c r="D1989" s="13" t="s">
        <v>481</v>
      </c>
      <c r="E1989" s="1">
        <v>0</v>
      </c>
      <c r="G1989" s="2">
        <f t="shared" si="31"/>
        <v>0</v>
      </c>
      <c r="H1989" s="2">
        <v>0</v>
      </c>
    </row>
    <row r="1990" spans="1:8">
      <c r="B1990" t="s">
        <v>1581</v>
      </c>
      <c r="C1990" t="s">
        <v>1582</v>
      </c>
      <c r="D1990" s="12" t="s">
        <v>1033</v>
      </c>
      <c r="E1990" s="1">
        <v>0</v>
      </c>
      <c r="G1990" s="2">
        <f t="shared" si="31"/>
        <v>0</v>
      </c>
      <c r="H1990" s="2">
        <v>0</v>
      </c>
    </row>
    <row r="1991" spans="1:8">
      <c r="A1991" t="s">
        <v>1061</v>
      </c>
      <c r="B1991" t="s">
        <v>1059</v>
      </c>
      <c r="C1991" t="s">
        <v>1062</v>
      </c>
      <c r="D1991" s="5" t="s">
        <v>474</v>
      </c>
      <c r="E1991" s="1">
        <v>0</v>
      </c>
      <c r="G1991" s="2">
        <f t="shared" si="31"/>
        <v>0</v>
      </c>
      <c r="H1991" s="2">
        <v>0</v>
      </c>
    </row>
    <row r="1992" spans="1:8">
      <c r="A1992" t="s">
        <v>1061</v>
      </c>
      <c r="B1992" t="s">
        <v>1059</v>
      </c>
      <c r="C1992" t="s">
        <v>1062</v>
      </c>
      <c r="D1992" s="6" t="s">
        <v>475</v>
      </c>
      <c r="E1992" s="1">
        <v>0</v>
      </c>
      <c r="G1992" s="2">
        <f t="shared" si="31"/>
        <v>0</v>
      </c>
      <c r="H1992" s="2">
        <v>0</v>
      </c>
    </row>
    <row r="1993" spans="1:8">
      <c r="A1993" t="s">
        <v>1061</v>
      </c>
      <c r="B1993" t="s">
        <v>1059</v>
      </c>
      <c r="C1993" t="s">
        <v>1062</v>
      </c>
      <c r="D1993" s="7" t="s">
        <v>476</v>
      </c>
      <c r="E1993" s="1">
        <v>0</v>
      </c>
      <c r="G1993" s="2">
        <f t="shared" si="31"/>
        <v>0</v>
      </c>
      <c r="H1993" s="2">
        <v>0</v>
      </c>
    </row>
    <row r="1994" spans="1:8">
      <c r="A1994" t="s">
        <v>1061</v>
      </c>
      <c r="B1994" t="s">
        <v>1059</v>
      </c>
      <c r="C1994" t="s">
        <v>1062</v>
      </c>
      <c r="D1994" s="8" t="s">
        <v>477</v>
      </c>
      <c r="E1994" s="1">
        <v>0</v>
      </c>
      <c r="G1994" s="2">
        <f t="shared" si="31"/>
        <v>0</v>
      </c>
      <c r="H1994" s="2">
        <v>0</v>
      </c>
    </row>
    <row r="1995" spans="1:8">
      <c r="A1995" t="s">
        <v>1061</v>
      </c>
      <c r="B1995" t="s">
        <v>1059</v>
      </c>
      <c r="C1995" t="s">
        <v>1062</v>
      </c>
      <c r="D1995" s="9" t="s">
        <v>478</v>
      </c>
      <c r="E1995" s="1">
        <v>0</v>
      </c>
      <c r="G1995" s="2">
        <f t="shared" si="31"/>
        <v>0</v>
      </c>
      <c r="H1995" s="2">
        <v>0</v>
      </c>
    </row>
    <row r="1996" spans="1:8">
      <c r="A1996" t="s">
        <v>1061</v>
      </c>
      <c r="B1996" t="s">
        <v>1059</v>
      </c>
      <c r="C1996" t="s">
        <v>1062</v>
      </c>
      <c r="D1996" s="10" t="s">
        <v>479</v>
      </c>
      <c r="E1996" s="1">
        <v>0</v>
      </c>
      <c r="G1996" s="2">
        <f t="shared" si="31"/>
        <v>0</v>
      </c>
      <c r="H1996" s="2">
        <v>0</v>
      </c>
    </row>
    <row r="1997" spans="1:8">
      <c r="A1997" t="s">
        <v>1061</v>
      </c>
      <c r="B1997" t="s">
        <v>1059</v>
      </c>
      <c r="C1997" t="s">
        <v>1062</v>
      </c>
      <c r="D1997" s="11" t="s">
        <v>480</v>
      </c>
      <c r="E1997" s="1">
        <v>0</v>
      </c>
      <c r="G1997" s="2">
        <f t="shared" si="31"/>
        <v>0</v>
      </c>
      <c r="H1997" s="2">
        <v>0</v>
      </c>
    </row>
    <row r="1998" spans="1:8">
      <c r="A1998" t="s">
        <v>1061</v>
      </c>
      <c r="B1998" t="s">
        <v>1059</v>
      </c>
      <c r="C1998" t="s">
        <v>1062</v>
      </c>
      <c r="D1998" s="13" t="s">
        <v>481</v>
      </c>
      <c r="E1998" s="1">
        <v>0</v>
      </c>
      <c r="G1998" s="2">
        <f t="shared" si="31"/>
        <v>0</v>
      </c>
      <c r="H1998" s="2">
        <v>0</v>
      </c>
    </row>
    <row r="1999" spans="1:8">
      <c r="A1999" t="s">
        <v>1061</v>
      </c>
      <c r="B1999" t="s">
        <v>1059</v>
      </c>
      <c r="C1999" t="s">
        <v>1062</v>
      </c>
      <c r="D1999" s="12" t="s">
        <v>1033</v>
      </c>
      <c r="E1999" s="1">
        <v>0</v>
      </c>
      <c r="G1999" s="2">
        <f t="shared" si="31"/>
        <v>0</v>
      </c>
      <c r="H1999" s="2">
        <v>0</v>
      </c>
    </row>
    <row r="2000" spans="1:8">
      <c r="A2000" t="s">
        <v>1061</v>
      </c>
      <c r="B2000" t="s">
        <v>1060</v>
      </c>
      <c r="C2000" t="s">
        <v>1063</v>
      </c>
      <c r="D2000" s="5" t="s">
        <v>474</v>
      </c>
      <c r="E2000" s="1">
        <v>0</v>
      </c>
      <c r="G2000" s="2">
        <f t="shared" si="31"/>
        <v>0</v>
      </c>
      <c r="H2000" s="2">
        <v>0</v>
      </c>
    </row>
    <row r="2001" spans="1:8">
      <c r="A2001" t="s">
        <v>1061</v>
      </c>
      <c r="B2001" t="s">
        <v>1060</v>
      </c>
      <c r="C2001" t="s">
        <v>1063</v>
      </c>
      <c r="D2001" s="6" t="s">
        <v>475</v>
      </c>
      <c r="E2001" s="1">
        <v>0</v>
      </c>
      <c r="G2001" s="2">
        <f t="shared" si="31"/>
        <v>0</v>
      </c>
      <c r="H2001" s="2">
        <v>0</v>
      </c>
    </row>
    <row r="2002" spans="1:8">
      <c r="A2002" t="s">
        <v>1061</v>
      </c>
      <c r="B2002" t="s">
        <v>1060</v>
      </c>
      <c r="C2002" t="s">
        <v>1063</v>
      </c>
      <c r="D2002" s="7" t="s">
        <v>476</v>
      </c>
      <c r="E2002" s="1">
        <v>0</v>
      </c>
      <c r="G2002" s="2">
        <f t="shared" si="31"/>
        <v>0</v>
      </c>
      <c r="H2002" s="2">
        <v>0</v>
      </c>
    </row>
    <row r="2003" spans="1:8">
      <c r="A2003" t="s">
        <v>1061</v>
      </c>
      <c r="B2003" t="s">
        <v>1060</v>
      </c>
      <c r="C2003" t="s">
        <v>1063</v>
      </c>
      <c r="D2003" s="8" t="s">
        <v>477</v>
      </c>
      <c r="E2003" s="1">
        <v>0</v>
      </c>
      <c r="G2003" s="2">
        <f t="shared" si="31"/>
        <v>0</v>
      </c>
      <c r="H2003" s="2">
        <v>0</v>
      </c>
    </row>
    <row r="2004" spans="1:8">
      <c r="A2004" t="s">
        <v>1061</v>
      </c>
      <c r="B2004" t="s">
        <v>1060</v>
      </c>
      <c r="C2004" t="s">
        <v>1063</v>
      </c>
      <c r="D2004" s="9" t="s">
        <v>478</v>
      </c>
      <c r="E2004" s="1">
        <v>0</v>
      </c>
      <c r="G2004" s="2">
        <f t="shared" si="31"/>
        <v>0</v>
      </c>
      <c r="H2004" s="2">
        <v>0</v>
      </c>
    </row>
    <row r="2005" spans="1:8">
      <c r="A2005" t="s">
        <v>1061</v>
      </c>
      <c r="B2005" t="s">
        <v>1060</v>
      </c>
      <c r="C2005" t="s">
        <v>1063</v>
      </c>
      <c r="D2005" s="10" t="s">
        <v>479</v>
      </c>
      <c r="E2005" s="1">
        <v>0</v>
      </c>
      <c r="G2005" s="2">
        <f t="shared" si="31"/>
        <v>0</v>
      </c>
      <c r="H2005" s="2">
        <v>0</v>
      </c>
    </row>
    <row r="2006" spans="1:8">
      <c r="A2006" t="s">
        <v>1061</v>
      </c>
      <c r="B2006" t="s">
        <v>1060</v>
      </c>
      <c r="C2006" t="s">
        <v>1063</v>
      </c>
      <c r="D2006" s="11" t="s">
        <v>480</v>
      </c>
      <c r="E2006" s="1">
        <v>0</v>
      </c>
      <c r="G2006" s="2">
        <f t="shared" si="31"/>
        <v>0</v>
      </c>
      <c r="H2006" s="2">
        <v>0</v>
      </c>
    </row>
    <row r="2007" spans="1:8">
      <c r="A2007" t="s">
        <v>1061</v>
      </c>
      <c r="B2007" t="s">
        <v>1060</v>
      </c>
      <c r="C2007" t="s">
        <v>1063</v>
      </c>
      <c r="D2007" s="13" t="s">
        <v>481</v>
      </c>
      <c r="E2007" s="1">
        <v>0</v>
      </c>
      <c r="G2007" s="2">
        <f t="shared" si="31"/>
        <v>0</v>
      </c>
      <c r="H2007" s="2">
        <v>0</v>
      </c>
    </row>
    <row r="2008" spans="1:8">
      <c r="A2008" t="s">
        <v>1061</v>
      </c>
      <c r="B2008" t="s">
        <v>1060</v>
      </c>
      <c r="C2008" t="s">
        <v>1063</v>
      </c>
      <c r="D2008" s="12" t="s">
        <v>1033</v>
      </c>
      <c r="E2008" s="1">
        <v>0</v>
      </c>
      <c r="G2008" s="2">
        <f t="shared" si="31"/>
        <v>0</v>
      </c>
      <c r="H2008" s="2">
        <v>0</v>
      </c>
    </row>
    <row r="2009" spans="1:8">
      <c r="B2009" t="s">
        <v>1064</v>
      </c>
      <c r="C2009" t="s">
        <v>1065</v>
      </c>
      <c r="D2009" s="5" t="s">
        <v>474</v>
      </c>
      <c r="E2009" s="1">
        <v>0</v>
      </c>
      <c r="G2009" s="2">
        <f t="shared" si="31"/>
        <v>0</v>
      </c>
      <c r="H2009" s="2">
        <v>0</v>
      </c>
    </row>
    <row r="2010" spans="1:8">
      <c r="B2010" t="s">
        <v>1064</v>
      </c>
      <c r="C2010" t="s">
        <v>1065</v>
      </c>
      <c r="D2010" s="6" t="s">
        <v>475</v>
      </c>
      <c r="E2010" s="1">
        <v>0</v>
      </c>
      <c r="G2010" s="2">
        <f t="shared" si="31"/>
        <v>0</v>
      </c>
      <c r="H2010" s="2">
        <v>0</v>
      </c>
    </row>
    <row r="2011" spans="1:8">
      <c r="B2011" t="s">
        <v>1064</v>
      </c>
      <c r="C2011" t="s">
        <v>1065</v>
      </c>
      <c r="D2011" s="7" t="s">
        <v>476</v>
      </c>
      <c r="E2011" s="1">
        <v>0</v>
      </c>
      <c r="G2011" s="2">
        <f t="shared" si="31"/>
        <v>0</v>
      </c>
      <c r="H2011" s="2">
        <v>0</v>
      </c>
    </row>
    <row r="2012" spans="1:8">
      <c r="B2012" t="s">
        <v>1064</v>
      </c>
      <c r="C2012" t="s">
        <v>1065</v>
      </c>
      <c r="D2012" s="8" t="s">
        <v>477</v>
      </c>
      <c r="E2012" s="1">
        <v>0</v>
      </c>
      <c r="G2012" s="2">
        <f t="shared" si="31"/>
        <v>0</v>
      </c>
      <c r="H2012" s="2">
        <v>0</v>
      </c>
    </row>
    <row r="2013" spans="1:8">
      <c r="B2013" t="s">
        <v>1064</v>
      </c>
      <c r="C2013" t="s">
        <v>1065</v>
      </c>
      <c r="D2013" s="9" t="s">
        <v>478</v>
      </c>
      <c r="E2013" s="1">
        <v>0</v>
      </c>
      <c r="G2013" s="2">
        <f t="shared" si="31"/>
        <v>0</v>
      </c>
      <c r="H2013" s="2">
        <v>0</v>
      </c>
    </row>
    <row r="2014" spans="1:8">
      <c r="B2014" t="s">
        <v>1064</v>
      </c>
      <c r="C2014" t="s">
        <v>1065</v>
      </c>
      <c r="D2014" s="10" t="s">
        <v>479</v>
      </c>
      <c r="E2014" s="1">
        <v>0</v>
      </c>
      <c r="G2014" s="2">
        <f t="shared" si="31"/>
        <v>0</v>
      </c>
      <c r="H2014" s="2">
        <v>0</v>
      </c>
    </row>
    <row r="2015" spans="1:8">
      <c r="B2015" t="s">
        <v>1064</v>
      </c>
      <c r="C2015" t="s">
        <v>1065</v>
      </c>
      <c r="D2015" s="11" t="s">
        <v>480</v>
      </c>
      <c r="E2015" s="1">
        <v>0</v>
      </c>
      <c r="G2015" s="2">
        <f t="shared" si="31"/>
        <v>0</v>
      </c>
      <c r="H2015" s="2">
        <v>0</v>
      </c>
    </row>
    <row r="2016" spans="1:8">
      <c r="B2016" t="s">
        <v>1064</v>
      </c>
      <c r="C2016" t="s">
        <v>1065</v>
      </c>
      <c r="D2016" s="13" t="s">
        <v>481</v>
      </c>
      <c r="E2016" s="1">
        <v>0</v>
      </c>
      <c r="G2016" s="2">
        <f t="shared" si="31"/>
        <v>0</v>
      </c>
      <c r="H2016" s="2">
        <v>0</v>
      </c>
    </row>
    <row r="2017" spans="2:8">
      <c r="B2017" t="s">
        <v>1064</v>
      </c>
      <c r="C2017" t="s">
        <v>1065</v>
      </c>
      <c r="D2017" s="12" t="s">
        <v>1033</v>
      </c>
      <c r="E2017" s="1">
        <v>0</v>
      </c>
      <c r="G2017" s="2">
        <f t="shared" si="31"/>
        <v>0</v>
      </c>
      <c r="H2017" s="2">
        <v>0</v>
      </c>
    </row>
    <row r="2018" spans="2:8">
      <c r="B2018" t="s">
        <v>1207</v>
      </c>
      <c r="C2018" t="s">
        <v>1216</v>
      </c>
      <c r="D2018" s="5" t="s">
        <v>474</v>
      </c>
      <c r="E2018" s="1">
        <v>0</v>
      </c>
      <c r="G2018" s="2">
        <f t="shared" si="31"/>
        <v>0</v>
      </c>
      <c r="H2018" s="2">
        <v>0</v>
      </c>
    </row>
    <row r="2019" spans="2:8">
      <c r="B2019" t="s">
        <v>1207</v>
      </c>
      <c r="C2019" t="s">
        <v>1216</v>
      </c>
      <c r="D2019" s="6" t="s">
        <v>475</v>
      </c>
      <c r="E2019" s="1">
        <v>0</v>
      </c>
      <c r="G2019" s="2">
        <f t="shared" si="31"/>
        <v>0</v>
      </c>
      <c r="H2019" s="2">
        <v>0</v>
      </c>
    </row>
    <row r="2020" spans="2:8">
      <c r="B2020" t="s">
        <v>1207</v>
      </c>
      <c r="C2020" t="s">
        <v>1216</v>
      </c>
      <c r="D2020" s="7" t="s">
        <v>476</v>
      </c>
      <c r="E2020" s="1">
        <v>0</v>
      </c>
      <c r="G2020" s="2">
        <f t="shared" si="31"/>
        <v>0</v>
      </c>
      <c r="H2020" s="2">
        <v>0</v>
      </c>
    </row>
    <row r="2021" spans="2:8">
      <c r="B2021" t="s">
        <v>1207</v>
      </c>
      <c r="C2021" t="s">
        <v>1216</v>
      </c>
      <c r="D2021" s="8" t="s">
        <v>477</v>
      </c>
      <c r="E2021" s="1">
        <v>0</v>
      </c>
      <c r="G2021" s="2">
        <f t="shared" si="31"/>
        <v>0</v>
      </c>
      <c r="H2021" s="2">
        <v>0</v>
      </c>
    </row>
    <row r="2022" spans="2:8">
      <c r="B2022" t="s">
        <v>1207</v>
      </c>
      <c r="C2022" t="s">
        <v>1216</v>
      </c>
      <c r="D2022" s="9" t="s">
        <v>478</v>
      </c>
      <c r="E2022" s="1">
        <v>0</v>
      </c>
      <c r="G2022" s="2">
        <f t="shared" si="31"/>
        <v>0</v>
      </c>
      <c r="H2022" s="2">
        <v>0</v>
      </c>
    </row>
    <row r="2023" spans="2:8">
      <c r="B2023" t="s">
        <v>1207</v>
      </c>
      <c r="C2023" t="s">
        <v>1216</v>
      </c>
      <c r="D2023" s="10" t="s">
        <v>479</v>
      </c>
      <c r="E2023" s="1">
        <v>0</v>
      </c>
      <c r="G2023" s="2">
        <f t="shared" si="31"/>
        <v>0</v>
      </c>
      <c r="H2023" s="2">
        <v>0</v>
      </c>
    </row>
    <row r="2024" spans="2:8">
      <c r="B2024" t="s">
        <v>1207</v>
      </c>
      <c r="C2024" t="s">
        <v>1216</v>
      </c>
      <c r="D2024" s="11" t="s">
        <v>480</v>
      </c>
      <c r="E2024" s="1">
        <v>0</v>
      </c>
      <c r="G2024" s="2">
        <f t="shared" si="31"/>
        <v>0</v>
      </c>
      <c r="H2024" s="2">
        <v>0</v>
      </c>
    </row>
    <row r="2025" spans="2:8">
      <c r="B2025" t="s">
        <v>1207</v>
      </c>
      <c r="C2025" t="s">
        <v>1216</v>
      </c>
      <c r="D2025" s="13" t="s">
        <v>481</v>
      </c>
      <c r="E2025" s="1">
        <v>0</v>
      </c>
      <c r="G2025" s="2">
        <f t="shared" si="31"/>
        <v>0</v>
      </c>
      <c r="H2025" s="2">
        <v>0</v>
      </c>
    </row>
    <row r="2026" spans="2:8">
      <c r="B2026" t="s">
        <v>1207</v>
      </c>
      <c r="C2026" t="s">
        <v>1216</v>
      </c>
      <c r="D2026" s="12" t="s">
        <v>1033</v>
      </c>
      <c r="E2026" s="1">
        <v>0</v>
      </c>
      <c r="G2026" s="2">
        <f t="shared" si="31"/>
        <v>0</v>
      </c>
      <c r="H2026" s="2">
        <v>0</v>
      </c>
    </row>
    <row r="2027" spans="2:8">
      <c r="B2027" t="s">
        <v>50</v>
      </c>
      <c r="C2027" t="s">
        <v>745</v>
      </c>
      <c r="D2027" s="5" t="s">
        <v>474</v>
      </c>
      <c r="E2027" s="1">
        <v>0</v>
      </c>
      <c r="G2027" s="2">
        <f t="shared" si="31"/>
        <v>0</v>
      </c>
      <c r="H2027" s="2">
        <v>0</v>
      </c>
    </row>
    <row r="2028" spans="2:8">
      <c r="B2028" t="s">
        <v>50</v>
      </c>
      <c r="C2028" t="s">
        <v>745</v>
      </c>
      <c r="D2028" s="6" t="s">
        <v>475</v>
      </c>
      <c r="E2028" s="1">
        <v>0</v>
      </c>
      <c r="G2028" s="2">
        <f t="shared" si="31"/>
        <v>0</v>
      </c>
      <c r="H2028" s="2">
        <v>0</v>
      </c>
    </row>
    <row r="2029" spans="2:8">
      <c r="B2029" t="s">
        <v>50</v>
      </c>
      <c r="C2029" t="s">
        <v>745</v>
      </c>
      <c r="D2029" s="7" t="s">
        <v>476</v>
      </c>
      <c r="E2029" s="1">
        <v>0</v>
      </c>
      <c r="G2029" s="2">
        <f t="shared" si="31"/>
        <v>0</v>
      </c>
      <c r="H2029" s="2">
        <v>0</v>
      </c>
    </row>
    <row r="2030" spans="2:8">
      <c r="B2030" t="s">
        <v>50</v>
      </c>
      <c r="C2030" t="s">
        <v>745</v>
      </c>
      <c r="D2030" s="8" t="s">
        <v>477</v>
      </c>
      <c r="E2030" s="1">
        <v>0</v>
      </c>
      <c r="G2030" s="2">
        <f t="shared" si="31"/>
        <v>0</v>
      </c>
      <c r="H2030" s="2">
        <v>0</v>
      </c>
    </row>
    <row r="2031" spans="2:8">
      <c r="B2031" t="s">
        <v>50</v>
      </c>
      <c r="C2031" t="s">
        <v>745</v>
      </c>
      <c r="D2031" s="9" t="s">
        <v>478</v>
      </c>
      <c r="E2031" s="1">
        <v>0</v>
      </c>
      <c r="G2031" s="2">
        <f t="shared" si="31"/>
        <v>0</v>
      </c>
      <c r="H2031" s="2">
        <v>0</v>
      </c>
    </row>
    <row r="2032" spans="2:8">
      <c r="B2032" t="s">
        <v>50</v>
      </c>
      <c r="C2032" t="s">
        <v>745</v>
      </c>
      <c r="D2032" s="10" t="s">
        <v>479</v>
      </c>
      <c r="E2032" s="1">
        <v>0</v>
      </c>
      <c r="G2032" s="2">
        <f t="shared" si="31"/>
        <v>0</v>
      </c>
      <c r="H2032" s="2">
        <v>0</v>
      </c>
    </row>
    <row r="2033" spans="2:8">
      <c r="B2033" t="s">
        <v>50</v>
      </c>
      <c r="C2033" t="s">
        <v>745</v>
      </c>
      <c r="D2033" s="11" t="s">
        <v>480</v>
      </c>
      <c r="E2033" s="1">
        <v>0</v>
      </c>
      <c r="G2033" s="2">
        <f t="shared" si="31"/>
        <v>0</v>
      </c>
      <c r="H2033" s="2">
        <v>0</v>
      </c>
    </row>
    <row r="2034" spans="2:8">
      <c r="B2034" t="s">
        <v>50</v>
      </c>
      <c r="C2034" t="s">
        <v>745</v>
      </c>
      <c r="D2034" s="13" t="s">
        <v>481</v>
      </c>
      <c r="E2034" s="1">
        <v>0</v>
      </c>
      <c r="G2034" s="2">
        <f t="shared" si="31"/>
        <v>0</v>
      </c>
      <c r="H2034" s="2">
        <v>0</v>
      </c>
    </row>
    <row r="2035" spans="2:8">
      <c r="B2035" t="s">
        <v>50</v>
      </c>
      <c r="C2035" t="s">
        <v>745</v>
      </c>
      <c r="D2035" s="12" t="s">
        <v>1033</v>
      </c>
      <c r="E2035" s="1">
        <v>0</v>
      </c>
      <c r="G2035" s="2">
        <f t="shared" si="31"/>
        <v>0</v>
      </c>
      <c r="H2035" s="2">
        <v>0</v>
      </c>
    </row>
    <row r="2036" spans="2:8">
      <c r="B2036" t="s">
        <v>47</v>
      </c>
      <c r="C2036" t="s">
        <v>746</v>
      </c>
      <c r="D2036" s="5" t="s">
        <v>474</v>
      </c>
      <c r="E2036" s="1">
        <v>0</v>
      </c>
      <c r="G2036" s="2">
        <f t="shared" si="31"/>
        <v>0</v>
      </c>
      <c r="H2036" s="2">
        <v>0</v>
      </c>
    </row>
    <row r="2037" spans="2:8">
      <c r="B2037" t="s">
        <v>47</v>
      </c>
      <c r="C2037" t="s">
        <v>746</v>
      </c>
      <c r="D2037" s="6" t="s">
        <v>475</v>
      </c>
      <c r="E2037" s="1">
        <v>0</v>
      </c>
      <c r="G2037" s="2">
        <f t="shared" si="31"/>
        <v>0</v>
      </c>
      <c r="H2037" s="2">
        <v>0</v>
      </c>
    </row>
    <row r="2038" spans="2:8">
      <c r="B2038" t="s">
        <v>47</v>
      </c>
      <c r="C2038" t="s">
        <v>746</v>
      </c>
      <c r="D2038" s="7" t="s">
        <v>476</v>
      </c>
      <c r="E2038" s="1">
        <v>0</v>
      </c>
      <c r="G2038" s="2">
        <f t="shared" si="31"/>
        <v>0</v>
      </c>
      <c r="H2038" s="2">
        <v>0</v>
      </c>
    </row>
    <row r="2039" spans="2:8">
      <c r="B2039" t="s">
        <v>47</v>
      </c>
      <c r="C2039" t="s">
        <v>746</v>
      </c>
      <c r="D2039" s="8" t="s">
        <v>477</v>
      </c>
      <c r="E2039" s="1">
        <v>0</v>
      </c>
      <c r="G2039" s="2">
        <f t="shared" si="31"/>
        <v>0</v>
      </c>
      <c r="H2039" s="2">
        <v>0</v>
      </c>
    </row>
    <row r="2040" spans="2:8">
      <c r="B2040" t="s">
        <v>47</v>
      </c>
      <c r="C2040" t="s">
        <v>746</v>
      </c>
      <c r="D2040" s="9" t="s">
        <v>478</v>
      </c>
      <c r="E2040" s="1">
        <v>0</v>
      </c>
      <c r="G2040" s="2">
        <f t="shared" si="31"/>
        <v>0</v>
      </c>
      <c r="H2040" s="2">
        <v>0</v>
      </c>
    </row>
    <row r="2041" spans="2:8">
      <c r="B2041" t="s">
        <v>47</v>
      </c>
      <c r="C2041" t="s">
        <v>746</v>
      </c>
      <c r="D2041" s="10" t="s">
        <v>479</v>
      </c>
      <c r="E2041" s="1">
        <v>0</v>
      </c>
      <c r="G2041" s="2">
        <f t="shared" si="31"/>
        <v>0</v>
      </c>
      <c r="H2041" s="2">
        <v>0</v>
      </c>
    </row>
    <row r="2042" spans="2:8">
      <c r="B2042" t="s">
        <v>47</v>
      </c>
      <c r="C2042" t="s">
        <v>746</v>
      </c>
      <c r="D2042" s="11" t="s">
        <v>480</v>
      </c>
      <c r="E2042" s="1">
        <v>0</v>
      </c>
      <c r="G2042" s="2">
        <f t="shared" si="31"/>
        <v>0</v>
      </c>
      <c r="H2042" s="2">
        <v>0</v>
      </c>
    </row>
    <row r="2043" spans="2:8">
      <c r="B2043" t="s">
        <v>47</v>
      </c>
      <c r="C2043" t="s">
        <v>746</v>
      </c>
      <c r="D2043" s="13" t="s">
        <v>481</v>
      </c>
      <c r="E2043" s="1">
        <v>0</v>
      </c>
      <c r="G2043" s="2">
        <f t="shared" si="31"/>
        <v>0</v>
      </c>
      <c r="H2043" s="2">
        <v>0</v>
      </c>
    </row>
    <row r="2044" spans="2:8">
      <c r="B2044" t="s">
        <v>47</v>
      </c>
      <c r="C2044" t="s">
        <v>746</v>
      </c>
      <c r="D2044" s="12" t="s">
        <v>1033</v>
      </c>
      <c r="E2044" s="1">
        <v>0</v>
      </c>
      <c r="G2044" s="2">
        <f t="shared" si="31"/>
        <v>0</v>
      </c>
      <c r="H2044" s="2">
        <v>0</v>
      </c>
    </row>
    <row r="2045" spans="2:8">
      <c r="B2045" t="s">
        <v>48</v>
      </c>
      <c r="C2045" t="s">
        <v>747</v>
      </c>
      <c r="D2045" s="5" t="s">
        <v>474</v>
      </c>
      <c r="E2045" s="1">
        <v>0</v>
      </c>
      <c r="G2045" s="2">
        <f t="shared" si="31"/>
        <v>0</v>
      </c>
      <c r="H2045" s="2">
        <v>0</v>
      </c>
    </row>
    <row r="2046" spans="2:8">
      <c r="B2046" t="s">
        <v>48</v>
      </c>
      <c r="C2046" t="s">
        <v>747</v>
      </c>
      <c r="D2046" s="6" t="s">
        <v>475</v>
      </c>
      <c r="E2046" s="1">
        <v>0</v>
      </c>
      <c r="G2046" s="2">
        <f t="shared" si="31"/>
        <v>0</v>
      </c>
      <c r="H2046" s="2">
        <v>0</v>
      </c>
    </row>
    <row r="2047" spans="2:8">
      <c r="B2047" t="s">
        <v>48</v>
      </c>
      <c r="C2047" t="s">
        <v>747</v>
      </c>
      <c r="D2047" s="7" t="s">
        <v>476</v>
      </c>
      <c r="E2047" s="1">
        <v>0</v>
      </c>
      <c r="G2047" s="2">
        <f t="shared" si="31"/>
        <v>0</v>
      </c>
      <c r="H2047" s="2">
        <v>0</v>
      </c>
    </row>
    <row r="2048" spans="2:8">
      <c r="B2048" t="s">
        <v>48</v>
      </c>
      <c r="C2048" t="s">
        <v>747</v>
      </c>
      <c r="D2048" s="8" t="s">
        <v>477</v>
      </c>
      <c r="E2048" s="1">
        <v>0</v>
      </c>
      <c r="G2048" s="2">
        <f t="shared" si="31"/>
        <v>0</v>
      </c>
      <c r="H2048" s="2">
        <v>0</v>
      </c>
    </row>
    <row r="2049" spans="2:8">
      <c r="B2049" t="s">
        <v>48</v>
      </c>
      <c r="C2049" t="s">
        <v>747</v>
      </c>
      <c r="D2049" s="9" t="s">
        <v>478</v>
      </c>
      <c r="E2049" s="1">
        <v>0</v>
      </c>
      <c r="G2049" s="2">
        <f t="shared" si="31"/>
        <v>0</v>
      </c>
      <c r="H2049" s="2">
        <v>0</v>
      </c>
    </row>
    <row r="2050" spans="2:8">
      <c r="B2050" t="s">
        <v>48</v>
      </c>
      <c r="C2050" t="s">
        <v>747</v>
      </c>
      <c r="D2050" s="10" t="s">
        <v>479</v>
      </c>
      <c r="E2050" s="1">
        <v>0</v>
      </c>
      <c r="G2050" s="2">
        <f t="shared" ref="G2050:G2113" si="32">E2050*F2050</f>
        <v>0</v>
      </c>
      <c r="H2050" s="2">
        <v>0</v>
      </c>
    </row>
    <row r="2051" spans="2:8">
      <c r="B2051" t="s">
        <v>48</v>
      </c>
      <c r="C2051" t="s">
        <v>747</v>
      </c>
      <c r="D2051" s="11" t="s">
        <v>480</v>
      </c>
      <c r="E2051" s="1">
        <v>0</v>
      </c>
      <c r="G2051" s="2">
        <f t="shared" si="32"/>
        <v>0</v>
      </c>
      <c r="H2051" s="2">
        <v>0</v>
      </c>
    </row>
    <row r="2052" spans="2:8">
      <c r="B2052" t="s">
        <v>48</v>
      </c>
      <c r="C2052" t="s">
        <v>747</v>
      </c>
      <c r="D2052" s="13" t="s">
        <v>481</v>
      </c>
      <c r="E2052" s="1">
        <v>0</v>
      </c>
      <c r="G2052" s="2">
        <f t="shared" si="32"/>
        <v>0</v>
      </c>
      <c r="H2052" s="2">
        <v>0</v>
      </c>
    </row>
    <row r="2053" spans="2:8">
      <c r="B2053" t="s">
        <v>48</v>
      </c>
      <c r="C2053" t="s">
        <v>747</v>
      </c>
      <c r="D2053" s="12" t="s">
        <v>1033</v>
      </c>
      <c r="E2053" s="1">
        <v>0</v>
      </c>
      <c r="G2053" s="2">
        <f t="shared" si="32"/>
        <v>0</v>
      </c>
      <c r="H2053" s="2">
        <v>0</v>
      </c>
    </row>
    <row r="2054" spans="2:8">
      <c r="B2054" t="s">
        <v>54</v>
      </c>
      <c r="C2054" t="s">
        <v>748</v>
      </c>
      <c r="D2054" s="5" t="s">
        <v>474</v>
      </c>
      <c r="E2054" s="1">
        <v>0</v>
      </c>
      <c r="G2054" s="2">
        <f t="shared" si="32"/>
        <v>0</v>
      </c>
      <c r="H2054" s="2">
        <v>0</v>
      </c>
    </row>
    <row r="2055" spans="2:8">
      <c r="B2055" t="s">
        <v>54</v>
      </c>
      <c r="C2055" t="s">
        <v>748</v>
      </c>
      <c r="D2055" s="6" t="s">
        <v>475</v>
      </c>
      <c r="E2055" s="1">
        <v>0</v>
      </c>
      <c r="G2055" s="2">
        <f t="shared" si="32"/>
        <v>0</v>
      </c>
      <c r="H2055" s="2">
        <v>0</v>
      </c>
    </row>
    <row r="2056" spans="2:8">
      <c r="B2056" t="s">
        <v>54</v>
      </c>
      <c r="C2056" t="s">
        <v>748</v>
      </c>
      <c r="D2056" s="7" t="s">
        <v>476</v>
      </c>
      <c r="E2056" s="1">
        <v>0</v>
      </c>
      <c r="G2056" s="2">
        <f t="shared" si="32"/>
        <v>0</v>
      </c>
      <c r="H2056" s="2">
        <v>0</v>
      </c>
    </row>
    <row r="2057" spans="2:8">
      <c r="B2057" t="s">
        <v>54</v>
      </c>
      <c r="C2057" t="s">
        <v>748</v>
      </c>
      <c r="D2057" s="8" t="s">
        <v>477</v>
      </c>
      <c r="E2057" s="1">
        <v>0</v>
      </c>
      <c r="G2057" s="2">
        <f t="shared" si="32"/>
        <v>0</v>
      </c>
      <c r="H2057" s="2">
        <v>0</v>
      </c>
    </row>
    <row r="2058" spans="2:8">
      <c r="B2058" t="s">
        <v>54</v>
      </c>
      <c r="C2058" t="s">
        <v>748</v>
      </c>
      <c r="D2058" s="9" t="s">
        <v>478</v>
      </c>
      <c r="E2058" s="1">
        <v>0</v>
      </c>
      <c r="G2058" s="2">
        <f t="shared" si="32"/>
        <v>0</v>
      </c>
      <c r="H2058" s="2">
        <v>0</v>
      </c>
    </row>
    <row r="2059" spans="2:8">
      <c r="B2059" t="s">
        <v>54</v>
      </c>
      <c r="C2059" t="s">
        <v>748</v>
      </c>
      <c r="D2059" s="10" t="s">
        <v>479</v>
      </c>
      <c r="E2059" s="1">
        <v>0</v>
      </c>
      <c r="G2059" s="2">
        <f t="shared" si="32"/>
        <v>0</v>
      </c>
      <c r="H2059" s="2">
        <v>0</v>
      </c>
    </row>
    <row r="2060" spans="2:8">
      <c r="B2060" t="s">
        <v>54</v>
      </c>
      <c r="C2060" t="s">
        <v>748</v>
      </c>
      <c r="D2060" s="11" t="s">
        <v>480</v>
      </c>
      <c r="E2060" s="1">
        <v>0</v>
      </c>
      <c r="G2060" s="2">
        <f t="shared" si="32"/>
        <v>0</v>
      </c>
      <c r="H2060" s="2">
        <v>0</v>
      </c>
    </row>
    <row r="2061" spans="2:8">
      <c r="B2061" t="s">
        <v>54</v>
      </c>
      <c r="C2061" t="s">
        <v>748</v>
      </c>
      <c r="D2061" s="13" t="s">
        <v>481</v>
      </c>
      <c r="E2061" s="1">
        <v>0</v>
      </c>
      <c r="G2061" s="2">
        <f t="shared" si="32"/>
        <v>0</v>
      </c>
      <c r="H2061" s="2">
        <v>0</v>
      </c>
    </row>
    <row r="2062" spans="2:8">
      <c r="B2062" t="s">
        <v>54</v>
      </c>
      <c r="C2062" t="s">
        <v>748</v>
      </c>
      <c r="D2062" s="12" t="s">
        <v>1033</v>
      </c>
      <c r="E2062" s="1">
        <v>0</v>
      </c>
      <c r="G2062" s="2">
        <f t="shared" si="32"/>
        <v>0</v>
      </c>
      <c r="H2062" s="2">
        <v>0</v>
      </c>
    </row>
    <row r="2063" spans="2:8">
      <c r="B2063" t="s">
        <v>39</v>
      </c>
      <c r="C2063" t="s">
        <v>749</v>
      </c>
      <c r="D2063" s="5" t="s">
        <v>474</v>
      </c>
      <c r="E2063" s="1">
        <v>0</v>
      </c>
      <c r="G2063" s="2">
        <f t="shared" si="32"/>
        <v>0</v>
      </c>
      <c r="H2063" s="2">
        <v>0</v>
      </c>
    </row>
    <row r="2064" spans="2:8">
      <c r="B2064" t="s">
        <v>39</v>
      </c>
      <c r="C2064" t="s">
        <v>749</v>
      </c>
      <c r="D2064" s="6" t="s">
        <v>475</v>
      </c>
      <c r="E2064" s="1">
        <v>0</v>
      </c>
      <c r="G2064" s="2">
        <f t="shared" si="32"/>
        <v>0</v>
      </c>
      <c r="H2064" s="2">
        <v>0</v>
      </c>
    </row>
    <row r="2065" spans="2:8">
      <c r="B2065" t="s">
        <v>39</v>
      </c>
      <c r="C2065" t="s">
        <v>749</v>
      </c>
      <c r="D2065" s="7" t="s">
        <v>476</v>
      </c>
      <c r="E2065" s="1">
        <v>0</v>
      </c>
      <c r="G2065" s="2">
        <f t="shared" si="32"/>
        <v>0</v>
      </c>
      <c r="H2065" s="2">
        <v>0</v>
      </c>
    </row>
    <row r="2066" spans="2:8">
      <c r="B2066" t="s">
        <v>39</v>
      </c>
      <c r="C2066" t="s">
        <v>749</v>
      </c>
      <c r="D2066" s="8" t="s">
        <v>477</v>
      </c>
      <c r="E2066" s="1">
        <v>0</v>
      </c>
      <c r="G2066" s="2">
        <f t="shared" si="32"/>
        <v>0</v>
      </c>
      <c r="H2066" s="2">
        <v>0</v>
      </c>
    </row>
    <row r="2067" spans="2:8">
      <c r="B2067" t="s">
        <v>39</v>
      </c>
      <c r="C2067" t="s">
        <v>749</v>
      </c>
      <c r="D2067" s="9" t="s">
        <v>478</v>
      </c>
      <c r="E2067" s="1">
        <v>0</v>
      </c>
      <c r="G2067" s="2">
        <f t="shared" si="32"/>
        <v>0</v>
      </c>
      <c r="H2067" s="2">
        <v>0</v>
      </c>
    </row>
    <row r="2068" spans="2:8">
      <c r="B2068" t="s">
        <v>39</v>
      </c>
      <c r="C2068" t="s">
        <v>749</v>
      </c>
      <c r="D2068" s="10" t="s">
        <v>479</v>
      </c>
      <c r="E2068" s="1">
        <v>0</v>
      </c>
      <c r="G2068" s="2">
        <f t="shared" si="32"/>
        <v>0</v>
      </c>
      <c r="H2068" s="2">
        <v>0</v>
      </c>
    </row>
    <row r="2069" spans="2:8">
      <c r="B2069" t="s">
        <v>39</v>
      </c>
      <c r="C2069" t="s">
        <v>749</v>
      </c>
      <c r="D2069" s="11" t="s">
        <v>480</v>
      </c>
      <c r="E2069" s="1">
        <v>0</v>
      </c>
      <c r="G2069" s="2">
        <f t="shared" si="32"/>
        <v>0</v>
      </c>
      <c r="H2069" s="2">
        <v>0</v>
      </c>
    </row>
    <row r="2070" spans="2:8">
      <c r="B2070" t="s">
        <v>39</v>
      </c>
      <c r="C2070" t="s">
        <v>749</v>
      </c>
      <c r="D2070" s="13" t="s">
        <v>481</v>
      </c>
      <c r="E2070" s="1">
        <v>0</v>
      </c>
      <c r="G2070" s="2">
        <f t="shared" si="32"/>
        <v>0</v>
      </c>
      <c r="H2070" s="2">
        <v>0</v>
      </c>
    </row>
    <row r="2071" spans="2:8">
      <c r="B2071" t="s">
        <v>39</v>
      </c>
      <c r="C2071" t="s">
        <v>749</v>
      </c>
      <c r="D2071" s="12" t="s">
        <v>1033</v>
      </c>
      <c r="E2071" s="1">
        <v>0</v>
      </c>
      <c r="G2071" s="2">
        <f t="shared" si="32"/>
        <v>0</v>
      </c>
      <c r="H2071" s="2">
        <v>0</v>
      </c>
    </row>
    <row r="2072" spans="2:8">
      <c r="B2072" t="s">
        <v>42</v>
      </c>
      <c r="C2072" t="s">
        <v>750</v>
      </c>
      <c r="D2072" s="5" t="s">
        <v>474</v>
      </c>
      <c r="E2072" s="1">
        <v>0</v>
      </c>
      <c r="G2072" s="2">
        <f t="shared" si="32"/>
        <v>0</v>
      </c>
      <c r="H2072" s="2">
        <v>0</v>
      </c>
    </row>
    <row r="2073" spans="2:8">
      <c r="B2073" t="s">
        <v>42</v>
      </c>
      <c r="C2073" t="s">
        <v>750</v>
      </c>
      <c r="D2073" s="6" t="s">
        <v>475</v>
      </c>
      <c r="E2073" s="1">
        <v>0</v>
      </c>
      <c r="G2073" s="2">
        <f t="shared" si="32"/>
        <v>0</v>
      </c>
      <c r="H2073" s="2">
        <v>0</v>
      </c>
    </row>
    <row r="2074" spans="2:8">
      <c r="B2074" t="s">
        <v>42</v>
      </c>
      <c r="C2074" t="s">
        <v>750</v>
      </c>
      <c r="D2074" s="7" t="s">
        <v>476</v>
      </c>
      <c r="E2074" s="1">
        <v>0</v>
      </c>
      <c r="G2074" s="2">
        <f t="shared" si="32"/>
        <v>0</v>
      </c>
      <c r="H2074" s="2">
        <v>0</v>
      </c>
    </row>
    <row r="2075" spans="2:8">
      <c r="B2075" t="s">
        <v>42</v>
      </c>
      <c r="C2075" t="s">
        <v>750</v>
      </c>
      <c r="D2075" s="8" t="s">
        <v>477</v>
      </c>
      <c r="E2075" s="1">
        <v>0</v>
      </c>
      <c r="G2075" s="2">
        <f t="shared" si="32"/>
        <v>0</v>
      </c>
      <c r="H2075" s="2">
        <v>0</v>
      </c>
    </row>
    <row r="2076" spans="2:8">
      <c r="B2076" t="s">
        <v>42</v>
      </c>
      <c r="C2076" t="s">
        <v>750</v>
      </c>
      <c r="D2076" s="9" t="s">
        <v>478</v>
      </c>
      <c r="E2076" s="1">
        <v>0</v>
      </c>
      <c r="G2076" s="2">
        <f t="shared" si="32"/>
        <v>0</v>
      </c>
      <c r="H2076" s="2">
        <v>0</v>
      </c>
    </row>
    <row r="2077" spans="2:8">
      <c r="B2077" t="s">
        <v>42</v>
      </c>
      <c r="C2077" t="s">
        <v>750</v>
      </c>
      <c r="D2077" s="10" t="s">
        <v>479</v>
      </c>
      <c r="E2077" s="1">
        <v>0</v>
      </c>
      <c r="G2077" s="2">
        <f t="shared" si="32"/>
        <v>0</v>
      </c>
      <c r="H2077" s="2">
        <v>0</v>
      </c>
    </row>
    <row r="2078" spans="2:8">
      <c r="B2078" t="s">
        <v>42</v>
      </c>
      <c r="C2078" t="s">
        <v>750</v>
      </c>
      <c r="D2078" s="11" t="s">
        <v>480</v>
      </c>
      <c r="E2078" s="1">
        <v>0</v>
      </c>
      <c r="G2078" s="2">
        <f t="shared" si="32"/>
        <v>0</v>
      </c>
      <c r="H2078" s="2">
        <v>0</v>
      </c>
    </row>
    <row r="2079" spans="2:8">
      <c r="B2079" t="s">
        <v>42</v>
      </c>
      <c r="C2079" t="s">
        <v>750</v>
      </c>
      <c r="D2079" s="13" t="s">
        <v>481</v>
      </c>
      <c r="E2079" s="1">
        <v>0</v>
      </c>
      <c r="G2079" s="2">
        <f t="shared" si="32"/>
        <v>0</v>
      </c>
      <c r="H2079" s="2">
        <v>0</v>
      </c>
    </row>
    <row r="2080" spans="2:8">
      <c r="B2080" t="s">
        <v>42</v>
      </c>
      <c r="C2080" t="s">
        <v>750</v>
      </c>
      <c r="D2080" s="12" t="s">
        <v>1033</v>
      </c>
      <c r="E2080" s="1">
        <v>0</v>
      </c>
      <c r="G2080" s="2">
        <f t="shared" si="32"/>
        <v>0</v>
      </c>
      <c r="H2080" s="2">
        <v>0</v>
      </c>
    </row>
    <row r="2081" spans="2:8">
      <c r="B2081" t="s">
        <v>43</v>
      </c>
      <c r="C2081" t="s">
        <v>751</v>
      </c>
      <c r="D2081" s="5" t="s">
        <v>474</v>
      </c>
      <c r="E2081" s="1">
        <v>0</v>
      </c>
      <c r="G2081" s="2">
        <f t="shared" si="32"/>
        <v>0</v>
      </c>
      <c r="H2081" s="2">
        <v>0</v>
      </c>
    </row>
    <row r="2082" spans="2:8">
      <c r="B2082" t="s">
        <v>43</v>
      </c>
      <c r="C2082" t="s">
        <v>751</v>
      </c>
      <c r="D2082" s="6" t="s">
        <v>475</v>
      </c>
      <c r="E2082" s="1">
        <v>0</v>
      </c>
      <c r="G2082" s="2">
        <f t="shared" si="32"/>
        <v>0</v>
      </c>
      <c r="H2082" s="2">
        <v>0</v>
      </c>
    </row>
    <row r="2083" spans="2:8">
      <c r="B2083" t="s">
        <v>43</v>
      </c>
      <c r="C2083" t="s">
        <v>751</v>
      </c>
      <c r="D2083" s="7" t="s">
        <v>476</v>
      </c>
      <c r="E2083" s="1">
        <v>0</v>
      </c>
      <c r="G2083" s="2">
        <f t="shared" si="32"/>
        <v>0</v>
      </c>
      <c r="H2083" s="2">
        <v>0</v>
      </c>
    </row>
    <row r="2084" spans="2:8">
      <c r="B2084" t="s">
        <v>43</v>
      </c>
      <c r="C2084" t="s">
        <v>751</v>
      </c>
      <c r="D2084" s="8" t="s">
        <v>477</v>
      </c>
      <c r="E2084" s="1">
        <v>0</v>
      </c>
      <c r="G2084" s="2">
        <f t="shared" si="32"/>
        <v>0</v>
      </c>
      <c r="H2084" s="2">
        <v>0</v>
      </c>
    </row>
    <row r="2085" spans="2:8">
      <c r="B2085" t="s">
        <v>43</v>
      </c>
      <c r="C2085" t="s">
        <v>751</v>
      </c>
      <c r="D2085" s="9" t="s">
        <v>478</v>
      </c>
      <c r="E2085" s="1">
        <v>0</v>
      </c>
      <c r="G2085" s="2">
        <f t="shared" si="32"/>
        <v>0</v>
      </c>
      <c r="H2085" s="2">
        <v>0</v>
      </c>
    </row>
    <row r="2086" spans="2:8">
      <c r="B2086" t="s">
        <v>43</v>
      </c>
      <c r="C2086" t="s">
        <v>751</v>
      </c>
      <c r="D2086" s="10" t="s">
        <v>479</v>
      </c>
      <c r="E2086" s="1">
        <v>0</v>
      </c>
      <c r="G2086" s="2">
        <f t="shared" si="32"/>
        <v>0</v>
      </c>
      <c r="H2086" s="2">
        <v>0</v>
      </c>
    </row>
    <row r="2087" spans="2:8">
      <c r="B2087" t="s">
        <v>43</v>
      </c>
      <c r="C2087" t="s">
        <v>751</v>
      </c>
      <c r="D2087" s="11" t="s">
        <v>480</v>
      </c>
      <c r="E2087" s="1">
        <v>0</v>
      </c>
      <c r="G2087" s="2">
        <f t="shared" si="32"/>
        <v>0</v>
      </c>
      <c r="H2087" s="2">
        <v>0</v>
      </c>
    </row>
    <row r="2088" spans="2:8">
      <c r="B2088" t="s">
        <v>43</v>
      </c>
      <c r="C2088" t="s">
        <v>751</v>
      </c>
      <c r="D2088" s="13" t="s">
        <v>481</v>
      </c>
      <c r="E2088" s="1">
        <v>0</v>
      </c>
      <c r="G2088" s="2">
        <f t="shared" si="32"/>
        <v>0</v>
      </c>
      <c r="H2088" s="2">
        <v>0</v>
      </c>
    </row>
    <row r="2089" spans="2:8">
      <c r="B2089" t="s">
        <v>43</v>
      </c>
      <c r="C2089" t="s">
        <v>751</v>
      </c>
      <c r="D2089" s="12" t="s">
        <v>1033</v>
      </c>
      <c r="E2089" s="1">
        <v>0</v>
      </c>
      <c r="G2089" s="2">
        <f t="shared" si="32"/>
        <v>0</v>
      </c>
      <c r="H2089" s="2">
        <v>0</v>
      </c>
    </row>
    <row r="2090" spans="2:8">
      <c r="B2090" t="s">
        <v>44</v>
      </c>
      <c r="C2090" t="s">
        <v>752</v>
      </c>
      <c r="D2090" s="5" t="s">
        <v>474</v>
      </c>
      <c r="E2090" s="1">
        <v>0</v>
      </c>
      <c r="G2090" s="2">
        <f t="shared" si="32"/>
        <v>0</v>
      </c>
      <c r="H2090" s="2">
        <v>0</v>
      </c>
    </row>
    <row r="2091" spans="2:8">
      <c r="B2091" t="s">
        <v>44</v>
      </c>
      <c r="C2091" t="s">
        <v>752</v>
      </c>
      <c r="D2091" s="6" t="s">
        <v>475</v>
      </c>
      <c r="E2091" s="1">
        <v>0</v>
      </c>
      <c r="G2091" s="2">
        <f t="shared" si="32"/>
        <v>0</v>
      </c>
      <c r="H2091" s="2">
        <v>0</v>
      </c>
    </row>
    <row r="2092" spans="2:8">
      <c r="B2092" t="s">
        <v>44</v>
      </c>
      <c r="C2092" t="s">
        <v>752</v>
      </c>
      <c r="D2092" s="7" t="s">
        <v>476</v>
      </c>
      <c r="E2092" s="1">
        <v>0</v>
      </c>
      <c r="G2092" s="2">
        <f t="shared" si="32"/>
        <v>0</v>
      </c>
      <c r="H2092" s="2">
        <v>0</v>
      </c>
    </row>
    <row r="2093" spans="2:8">
      <c r="B2093" t="s">
        <v>44</v>
      </c>
      <c r="C2093" t="s">
        <v>752</v>
      </c>
      <c r="D2093" s="8" t="s">
        <v>477</v>
      </c>
      <c r="E2093" s="1">
        <v>0</v>
      </c>
      <c r="G2093" s="2">
        <f t="shared" si="32"/>
        <v>0</v>
      </c>
      <c r="H2093" s="2">
        <v>0</v>
      </c>
    </row>
    <row r="2094" spans="2:8">
      <c r="B2094" t="s">
        <v>44</v>
      </c>
      <c r="C2094" t="s">
        <v>752</v>
      </c>
      <c r="D2094" s="9" t="s">
        <v>478</v>
      </c>
      <c r="E2094" s="1">
        <v>0</v>
      </c>
      <c r="G2094" s="2">
        <f t="shared" si="32"/>
        <v>0</v>
      </c>
      <c r="H2094" s="2">
        <v>0</v>
      </c>
    </row>
    <row r="2095" spans="2:8">
      <c r="B2095" t="s">
        <v>44</v>
      </c>
      <c r="C2095" t="s">
        <v>752</v>
      </c>
      <c r="D2095" s="10" t="s">
        <v>479</v>
      </c>
      <c r="E2095" s="1">
        <v>0</v>
      </c>
      <c r="G2095" s="2">
        <f t="shared" si="32"/>
        <v>0</v>
      </c>
      <c r="H2095" s="2">
        <v>0</v>
      </c>
    </row>
    <row r="2096" spans="2:8">
      <c r="B2096" t="s">
        <v>44</v>
      </c>
      <c r="C2096" t="s">
        <v>752</v>
      </c>
      <c r="D2096" s="11" t="s">
        <v>480</v>
      </c>
      <c r="E2096" s="1">
        <v>0</v>
      </c>
      <c r="G2096" s="2">
        <f t="shared" si="32"/>
        <v>0</v>
      </c>
      <c r="H2096" s="2">
        <v>0</v>
      </c>
    </row>
    <row r="2097" spans="2:8">
      <c r="B2097" t="s">
        <v>44</v>
      </c>
      <c r="C2097" t="s">
        <v>752</v>
      </c>
      <c r="D2097" s="13" t="s">
        <v>481</v>
      </c>
      <c r="E2097" s="1">
        <v>0</v>
      </c>
      <c r="G2097" s="2">
        <f t="shared" si="32"/>
        <v>0</v>
      </c>
      <c r="H2097" s="2">
        <v>0</v>
      </c>
    </row>
    <row r="2098" spans="2:8">
      <c r="B2098" t="s">
        <v>44</v>
      </c>
      <c r="C2098" t="s">
        <v>752</v>
      </c>
      <c r="D2098" s="12" t="s">
        <v>1033</v>
      </c>
      <c r="E2098" s="1">
        <v>0</v>
      </c>
      <c r="G2098" s="2">
        <f t="shared" si="32"/>
        <v>0</v>
      </c>
      <c r="H2098" s="2">
        <v>0</v>
      </c>
    </row>
    <row r="2099" spans="2:8">
      <c r="B2099" t="s">
        <v>51</v>
      </c>
      <c r="C2099" t="s">
        <v>753</v>
      </c>
      <c r="D2099" s="5" t="s">
        <v>474</v>
      </c>
      <c r="E2099" s="1">
        <v>0</v>
      </c>
      <c r="G2099" s="2">
        <f t="shared" si="32"/>
        <v>0</v>
      </c>
      <c r="H2099" s="2">
        <v>0</v>
      </c>
    </row>
    <row r="2100" spans="2:8">
      <c r="B2100" t="s">
        <v>51</v>
      </c>
      <c r="C2100" t="s">
        <v>753</v>
      </c>
      <c r="D2100" s="6" t="s">
        <v>475</v>
      </c>
      <c r="E2100" s="1">
        <v>0</v>
      </c>
      <c r="G2100" s="2">
        <f t="shared" si="32"/>
        <v>0</v>
      </c>
      <c r="H2100" s="2">
        <v>0</v>
      </c>
    </row>
    <row r="2101" spans="2:8">
      <c r="B2101" t="s">
        <v>51</v>
      </c>
      <c r="C2101" t="s">
        <v>753</v>
      </c>
      <c r="D2101" s="7" t="s">
        <v>476</v>
      </c>
      <c r="E2101" s="1">
        <v>0</v>
      </c>
      <c r="G2101" s="2">
        <f t="shared" si="32"/>
        <v>0</v>
      </c>
      <c r="H2101" s="2">
        <v>0</v>
      </c>
    </row>
    <row r="2102" spans="2:8">
      <c r="B2102" t="s">
        <v>51</v>
      </c>
      <c r="C2102" t="s">
        <v>753</v>
      </c>
      <c r="D2102" s="8" t="s">
        <v>477</v>
      </c>
      <c r="E2102" s="1">
        <v>0</v>
      </c>
      <c r="G2102" s="2">
        <f t="shared" si="32"/>
        <v>0</v>
      </c>
      <c r="H2102" s="2">
        <v>0</v>
      </c>
    </row>
    <row r="2103" spans="2:8">
      <c r="B2103" t="s">
        <v>51</v>
      </c>
      <c r="C2103" t="s">
        <v>753</v>
      </c>
      <c r="D2103" s="9" t="s">
        <v>478</v>
      </c>
      <c r="E2103" s="1">
        <v>0</v>
      </c>
      <c r="G2103" s="2">
        <f t="shared" si="32"/>
        <v>0</v>
      </c>
      <c r="H2103" s="2">
        <v>0</v>
      </c>
    </row>
    <row r="2104" spans="2:8">
      <c r="B2104" t="s">
        <v>51</v>
      </c>
      <c r="C2104" t="s">
        <v>753</v>
      </c>
      <c r="D2104" s="10" t="s">
        <v>479</v>
      </c>
      <c r="E2104" s="1">
        <v>0</v>
      </c>
      <c r="G2104" s="2">
        <f t="shared" si="32"/>
        <v>0</v>
      </c>
      <c r="H2104" s="2">
        <v>0</v>
      </c>
    </row>
    <row r="2105" spans="2:8">
      <c r="B2105" t="s">
        <v>51</v>
      </c>
      <c r="C2105" t="s">
        <v>753</v>
      </c>
      <c r="D2105" s="11" t="s">
        <v>480</v>
      </c>
      <c r="E2105" s="1">
        <v>0</v>
      </c>
      <c r="G2105" s="2">
        <f t="shared" si="32"/>
        <v>0</v>
      </c>
      <c r="H2105" s="2">
        <v>0</v>
      </c>
    </row>
    <row r="2106" spans="2:8">
      <c r="B2106" t="s">
        <v>51</v>
      </c>
      <c r="C2106" t="s">
        <v>753</v>
      </c>
      <c r="D2106" s="13" t="s">
        <v>481</v>
      </c>
      <c r="E2106" s="1">
        <v>0</v>
      </c>
      <c r="G2106" s="2">
        <f t="shared" si="32"/>
        <v>0</v>
      </c>
      <c r="H2106" s="2">
        <v>0</v>
      </c>
    </row>
    <row r="2107" spans="2:8">
      <c r="B2107" t="s">
        <v>51</v>
      </c>
      <c r="C2107" t="s">
        <v>753</v>
      </c>
      <c r="D2107" s="12" t="s">
        <v>1033</v>
      </c>
      <c r="E2107" s="1">
        <v>0</v>
      </c>
      <c r="G2107" s="2">
        <f t="shared" si="32"/>
        <v>0</v>
      </c>
      <c r="H2107" s="2">
        <v>0</v>
      </c>
    </row>
    <row r="2108" spans="2:8">
      <c r="B2108" t="s">
        <v>45</v>
      </c>
      <c r="C2108" t="s">
        <v>754</v>
      </c>
      <c r="D2108" s="5" t="s">
        <v>474</v>
      </c>
      <c r="E2108" s="1">
        <v>0</v>
      </c>
      <c r="G2108" s="2">
        <f t="shared" si="32"/>
        <v>0</v>
      </c>
      <c r="H2108" s="2">
        <v>0</v>
      </c>
    </row>
    <row r="2109" spans="2:8">
      <c r="B2109" t="s">
        <v>45</v>
      </c>
      <c r="C2109" t="s">
        <v>754</v>
      </c>
      <c r="D2109" s="6" t="s">
        <v>475</v>
      </c>
      <c r="E2109" s="1">
        <v>0</v>
      </c>
      <c r="G2109" s="2">
        <f t="shared" si="32"/>
        <v>0</v>
      </c>
      <c r="H2109" s="2">
        <v>0</v>
      </c>
    </row>
    <row r="2110" spans="2:8">
      <c r="B2110" t="s">
        <v>45</v>
      </c>
      <c r="C2110" t="s">
        <v>754</v>
      </c>
      <c r="D2110" s="7" t="s">
        <v>476</v>
      </c>
      <c r="E2110" s="1">
        <v>0</v>
      </c>
      <c r="G2110" s="2">
        <f t="shared" si="32"/>
        <v>0</v>
      </c>
      <c r="H2110" s="2">
        <v>0</v>
      </c>
    </row>
    <row r="2111" spans="2:8">
      <c r="B2111" t="s">
        <v>45</v>
      </c>
      <c r="C2111" t="s">
        <v>754</v>
      </c>
      <c r="D2111" s="8" t="s">
        <v>477</v>
      </c>
      <c r="E2111" s="1">
        <v>0</v>
      </c>
      <c r="G2111" s="2">
        <f t="shared" si="32"/>
        <v>0</v>
      </c>
      <c r="H2111" s="2">
        <v>0</v>
      </c>
    </row>
    <row r="2112" spans="2:8">
      <c r="B2112" t="s">
        <v>45</v>
      </c>
      <c r="C2112" t="s">
        <v>754</v>
      </c>
      <c r="D2112" s="9" t="s">
        <v>478</v>
      </c>
      <c r="E2112" s="1">
        <v>0</v>
      </c>
      <c r="G2112" s="2">
        <f t="shared" si="32"/>
        <v>0</v>
      </c>
      <c r="H2112" s="2">
        <v>0</v>
      </c>
    </row>
    <row r="2113" spans="2:8">
      <c r="B2113" t="s">
        <v>45</v>
      </c>
      <c r="C2113" t="s">
        <v>754</v>
      </c>
      <c r="D2113" s="10" t="s">
        <v>479</v>
      </c>
      <c r="E2113" s="1">
        <v>0</v>
      </c>
      <c r="G2113" s="2">
        <f t="shared" si="32"/>
        <v>0</v>
      </c>
      <c r="H2113" s="2">
        <v>0</v>
      </c>
    </row>
    <row r="2114" spans="2:8">
      <c r="B2114" t="s">
        <v>45</v>
      </c>
      <c r="C2114" t="s">
        <v>754</v>
      </c>
      <c r="D2114" s="11" t="s">
        <v>480</v>
      </c>
      <c r="E2114" s="1">
        <v>0</v>
      </c>
      <c r="G2114" s="2">
        <f t="shared" ref="G2114:G2177" si="33">E2114*F2114</f>
        <v>0</v>
      </c>
      <c r="H2114" s="2">
        <v>0</v>
      </c>
    </row>
    <row r="2115" spans="2:8">
      <c r="B2115" t="s">
        <v>45</v>
      </c>
      <c r="C2115" t="s">
        <v>754</v>
      </c>
      <c r="D2115" s="13" t="s">
        <v>481</v>
      </c>
      <c r="E2115" s="1">
        <v>0</v>
      </c>
      <c r="G2115" s="2">
        <f t="shared" si="33"/>
        <v>0</v>
      </c>
      <c r="H2115" s="2">
        <v>0</v>
      </c>
    </row>
    <row r="2116" spans="2:8">
      <c r="B2116" t="s">
        <v>45</v>
      </c>
      <c r="C2116" t="s">
        <v>754</v>
      </c>
      <c r="D2116" s="12" t="s">
        <v>1033</v>
      </c>
      <c r="E2116" s="1">
        <v>0</v>
      </c>
      <c r="G2116" s="2">
        <f t="shared" si="33"/>
        <v>0</v>
      </c>
      <c r="H2116" s="2">
        <v>0</v>
      </c>
    </row>
    <row r="2117" spans="2:8">
      <c r="B2117" t="s">
        <v>46</v>
      </c>
      <c r="C2117" t="s">
        <v>755</v>
      </c>
      <c r="D2117" s="5" t="s">
        <v>474</v>
      </c>
      <c r="E2117" s="1">
        <v>0</v>
      </c>
      <c r="G2117" s="2">
        <f t="shared" si="33"/>
        <v>0</v>
      </c>
      <c r="H2117" s="2">
        <v>0</v>
      </c>
    </row>
    <row r="2118" spans="2:8">
      <c r="B2118" t="s">
        <v>46</v>
      </c>
      <c r="C2118" t="s">
        <v>755</v>
      </c>
      <c r="D2118" s="6" t="s">
        <v>475</v>
      </c>
      <c r="E2118" s="1">
        <v>0</v>
      </c>
      <c r="G2118" s="2">
        <f t="shared" si="33"/>
        <v>0</v>
      </c>
      <c r="H2118" s="2">
        <v>0</v>
      </c>
    </row>
    <row r="2119" spans="2:8">
      <c r="B2119" t="s">
        <v>46</v>
      </c>
      <c r="C2119" t="s">
        <v>755</v>
      </c>
      <c r="D2119" s="7" t="s">
        <v>476</v>
      </c>
      <c r="E2119" s="1">
        <v>0</v>
      </c>
      <c r="G2119" s="2">
        <f t="shared" si="33"/>
        <v>0</v>
      </c>
      <c r="H2119" s="2">
        <v>0</v>
      </c>
    </row>
    <row r="2120" spans="2:8">
      <c r="B2120" t="s">
        <v>46</v>
      </c>
      <c r="C2120" t="s">
        <v>755</v>
      </c>
      <c r="D2120" s="8" t="s">
        <v>477</v>
      </c>
      <c r="E2120" s="1">
        <v>0</v>
      </c>
      <c r="G2120" s="2">
        <f t="shared" si="33"/>
        <v>0</v>
      </c>
      <c r="H2120" s="2">
        <v>0</v>
      </c>
    </row>
    <row r="2121" spans="2:8">
      <c r="B2121" t="s">
        <v>46</v>
      </c>
      <c r="C2121" t="s">
        <v>755</v>
      </c>
      <c r="D2121" s="9" t="s">
        <v>478</v>
      </c>
      <c r="E2121" s="1">
        <v>0</v>
      </c>
      <c r="G2121" s="2">
        <f t="shared" si="33"/>
        <v>0</v>
      </c>
      <c r="H2121" s="2">
        <v>0</v>
      </c>
    </row>
    <row r="2122" spans="2:8">
      <c r="B2122" t="s">
        <v>46</v>
      </c>
      <c r="C2122" t="s">
        <v>755</v>
      </c>
      <c r="D2122" s="10" t="s">
        <v>479</v>
      </c>
      <c r="E2122" s="1">
        <v>0</v>
      </c>
      <c r="G2122" s="2">
        <f t="shared" si="33"/>
        <v>0</v>
      </c>
      <c r="H2122" s="2">
        <v>0</v>
      </c>
    </row>
    <row r="2123" spans="2:8">
      <c r="B2123" t="s">
        <v>46</v>
      </c>
      <c r="C2123" t="s">
        <v>755</v>
      </c>
      <c r="D2123" s="11" t="s">
        <v>480</v>
      </c>
      <c r="E2123" s="1">
        <v>0</v>
      </c>
      <c r="G2123" s="2">
        <f t="shared" si="33"/>
        <v>0</v>
      </c>
      <c r="H2123" s="2">
        <v>0</v>
      </c>
    </row>
    <row r="2124" spans="2:8">
      <c r="B2124" t="s">
        <v>46</v>
      </c>
      <c r="C2124" t="s">
        <v>755</v>
      </c>
      <c r="D2124" s="13" t="s">
        <v>481</v>
      </c>
      <c r="E2124" s="1">
        <v>0</v>
      </c>
      <c r="G2124" s="2">
        <f t="shared" si="33"/>
        <v>0</v>
      </c>
      <c r="H2124" s="2">
        <v>0</v>
      </c>
    </row>
    <row r="2125" spans="2:8">
      <c r="B2125" t="s">
        <v>46</v>
      </c>
      <c r="C2125" t="s">
        <v>755</v>
      </c>
      <c r="D2125" s="12" t="s">
        <v>1033</v>
      </c>
      <c r="E2125" s="1">
        <v>0</v>
      </c>
      <c r="G2125" s="2">
        <f t="shared" si="33"/>
        <v>0</v>
      </c>
      <c r="H2125" s="2">
        <v>0</v>
      </c>
    </row>
    <row r="2126" spans="2:8">
      <c r="B2126" t="s">
        <v>52</v>
      </c>
      <c r="C2126" t="s">
        <v>756</v>
      </c>
      <c r="D2126" s="5" t="s">
        <v>474</v>
      </c>
      <c r="E2126" s="1">
        <v>0</v>
      </c>
      <c r="G2126" s="2">
        <f t="shared" si="33"/>
        <v>0</v>
      </c>
      <c r="H2126" s="2">
        <v>0</v>
      </c>
    </row>
    <row r="2127" spans="2:8">
      <c r="B2127" t="s">
        <v>52</v>
      </c>
      <c r="C2127" t="s">
        <v>756</v>
      </c>
      <c r="D2127" s="6" t="s">
        <v>475</v>
      </c>
      <c r="E2127" s="1">
        <v>0</v>
      </c>
      <c r="G2127" s="2">
        <f t="shared" si="33"/>
        <v>0</v>
      </c>
      <c r="H2127" s="2">
        <v>0</v>
      </c>
    </row>
    <row r="2128" spans="2:8">
      <c r="B2128" t="s">
        <v>52</v>
      </c>
      <c r="C2128" t="s">
        <v>756</v>
      </c>
      <c r="D2128" s="7" t="s">
        <v>476</v>
      </c>
      <c r="E2128" s="1">
        <v>0</v>
      </c>
      <c r="G2128" s="2">
        <f t="shared" si="33"/>
        <v>0</v>
      </c>
      <c r="H2128" s="2">
        <v>0</v>
      </c>
    </row>
    <row r="2129" spans="2:8">
      <c r="B2129" t="s">
        <v>52</v>
      </c>
      <c r="C2129" t="s">
        <v>756</v>
      </c>
      <c r="D2129" s="8" t="s">
        <v>477</v>
      </c>
      <c r="E2129" s="1">
        <v>0</v>
      </c>
      <c r="G2129" s="2">
        <f t="shared" si="33"/>
        <v>0</v>
      </c>
      <c r="H2129" s="2">
        <v>0</v>
      </c>
    </row>
    <row r="2130" spans="2:8">
      <c r="B2130" t="s">
        <v>52</v>
      </c>
      <c r="C2130" t="s">
        <v>756</v>
      </c>
      <c r="D2130" s="9" t="s">
        <v>478</v>
      </c>
      <c r="E2130" s="1">
        <v>0</v>
      </c>
      <c r="G2130" s="2">
        <f t="shared" si="33"/>
        <v>0</v>
      </c>
      <c r="H2130" s="2">
        <v>0</v>
      </c>
    </row>
    <row r="2131" spans="2:8">
      <c r="B2131" t="s">
        <v>52</v>
      </c>
      <c r="C2131" t="s">
        <v>756</v>
      </c>
      <c r="D2131" s="10" t="s">
        <v>479</v>
      </c>
      <c r="E2131" s="1">
        <v>0</v>
      </c>
      <c r="G2131" s="2">
        <f t="shared" si="33"/>
        <v>0</v>
      </c>
      <c r="H2131" s="2">
        <v>0</v>
      </c>
    </row>
    <row r="2132" spans="2:8">
      <c r="B2132" t="s">
        <v>52</v>
      </c>
      <c r="C2132" t="s">
        <v>756</v>
      </c>
      <c r="D2132" s="11" t="s">
        <v>480</v>
      </c>
      <c r="E2132" s="1">
        <v>0</v>
      </c>
      <c r="G2132" s="2">
        <f t="shared" si="33"/>
        <v>0</v>
      </c>
      <c r="H2132" s="2">
        <v>0</v>
      </c>
    </row>
    <row r="2133" spans="2:8">
      <c r="B2133" t="s">
        <v>52</v>
      </c>
      <c r="C2133" t="s">
        <v>756</v>
      </c>
      <c r="D2133" s="13" t="s">
        <v>481</v>
      </c>
      <c r="E2133" s="1">
        <v>0</v>
      </c>
      <c r="G2133" s="2">
        <f t="shared" si="33"/>
        <v>0</v>
      </c>
      <c r="H2133" s="2">
        <v>0</v>
      </c>
    </row>
    <row r="2134" spans="2:8">
      <c r="B2134" t="s">
        <v>52</v>
      </c>
      <c r="C2134" t="s">
        <v>756</v>
      </c>
      <c r="D2134" s="12" t="s">
        <v>1033</v>
      </c>
      <c r="E2134" s="1">
        <v>0</v>
      </c>
      <c r="G2134" s="2">
        <f t="shared" si="33"/>
        <v>0</v>
      </c>
      <c r="H2134" s="2">
        <v>0</v>
      </c>
    </row>
    <row r="2135" spans="2:8">
      <c r="B2135" t="s">
        <v>53</v>
      </c>
      <c r="C2135" t="s">
        <v>757</v>
      </c>
      <c r="D2135" s="5" t="s">
        <v>474</v>
      </c>
      <c r="E2135" s="1">
        <v>0</v>
      </c>
      <c r="G2135" s="2">
        <f t="shared" si="33"/>
        <v>0</v>
      </c>
      <c r="H2135" s="2">
        <v>0</v>
      </c>
    </row>
    <row r="2136" spans="2:8">
      <c r="B2136" t="s">
        <v>53</v>
      </c>
      <c r="C2136" t="s">
        <v>757</v>
      </c>
      <c r="D2136" s="6" t="s">
        <v>475</v>
      </c>
      <c r="E2136" s="1">
        <v>0</v>
      </c>
      <c r="G2136" s="2">
        <f t="shared" si="33"/>
        <v>0</v>
      </c>
      <c r="H2136" s="2">
        <v>0</v>
      </c>
    </row>
    <row r="2137" spans="2:8">
      <c r="B2137" t="s">
        <v>53</v>
      </c>
      <c r="C2137" t="s">
        <v>757</v>
      </c>
      <c r="D2137" s="7" t="s">
        <v>476</v>
      </c>
      <c r="E2137" s="1">
        <v>0</v>
      </c>
      <c r="G2137" s="2">
        <f t="shared" si="33"/>
        <v>0</v>
      </c>
      <c r="H2137" s="2">
        <v>0</v>
      </c>
    </row>
    <row r="2138" spans="2:8">
      <c r="B2138" t="s">
        <v>53</v>
      </c>
      <c r="C2138" t="s">
        <v>757</v>
      </c>
      <c r="D2138" s="8" t="s">
        <v>477</v>
      </c>
      <c r="E2138" s="1">
        <v>0</v>
      </c>
      <c r="G2138" s="2">
        <f t="shared" si="33"/>
        <v>0</v>
      </c>
      <c r="H2138" s="2">
        <v>0</v>
      </c>
    </row>
    <row r="2139" spans="2:8">
      <c r="B2139" t="s">
        <v>53</v>
      </c>
      <c r="C2139" t="s">
        <v>757</v>
      </c>
      <c r="D2139" s="9" t="s">
        <v>478</v>
      </c>
      <c r="E2139" s="1">
        <v>0</v>
      </c>
      <c r="G2139" s="2">
        <f t="shared" si="33"/>
        <v>0</v>
      </c>
      <c r="H2139" s="2">
        <v>0</v>
      </c>
    </row>
    <row r="2140" spans="2:8">
      <c r="B2140" t="s">
        <v>53</v>
      </c>
      <c r="C2140" t="s">
        <v>757</v>
      </c>
      <c r="D2140" s="10" t="s">
        <v>479</v>
      </c>
      <c r="E2140" s="1">
        <v>0</v>
      </c>
      <c r="G2140" s="2">
        <f t="shared" si="33"/>
        <v>0</v>
      </c>
      <c r="H2140" s="2">
        <v>0</v>
      </c>
    </row>
    <row r="2141" spans="2:8">
      <c r="B2141" t="s">
        <v>53</v>
      </c>
      <c r="C2141" t="s">
        <v>757</v>
      </c>
      <c r="D2141" s="11" t="s">
        <v>480</v>
      </c>
      <c r="E2141" s="1">
        <v>0</v>
      </c>
      <c r="G2141" s="2">
        <f t="shared" si="33"/>
        <v>0</v>
      </c>
      <c r="H2141" s="2">
        <v>0</v>
      </c>
    </row>
    <row r="2142" spans="2:8">
      <c r="B2142" t="s">
        <v>53</v>
      </c>
      <c r="C2142" t="s">
        <v>757</v>
      </c>
      <c r="D2142" s="13" t="s">
        <v>481</v>
      </c>
      <c r="E2142" s="1">
        <v>0</v>
      </c>
      <c r="G2142" s="2">
        <f t="shared" si="33"/>
        <v>0</v>
      </c>
      <c r="H2142" s="2">
        <v>0</v>
      </c>
    </row>
    <row r="2143" spans="2:8">
      <c r="B2143" t="s">
        <v>53</v>
      </c>
      <c r="C2143" t="s">
        <v>757</v>
      </c>
      <c r="D2143" s="12" t="s">
        <v>1033</v>
      </c>
      <c r="E2143" s="1">
        <v>0</v>
      </c>
      <c r="G2143" s="2">
        <f t="shared" si="33"/>
        <v>0</v>
      </c>
      <c r="H2143" s="2">
        <v>0</v>
      </c>
    </row>
    <row r="2144" spans="2:8">
      <c r="B2144" t="s">
        <v>49</v>
      </c>
      <c r="C2144" t="s">
        <v>758</v>
      </c>
      <c r="D2144" s="5" t="s">
        <v>474</v>
      </c>
      <c r="E2144" s="1">
        <v>0</v>
      </c>
      <c r="G2144" s="2">
        <f t="shared" si="33"/>
        <v>0</v>
      </c>
      <c r="H2144" s="2">
        <v>0</v>
      </c>
    </row>
    <row r="2145" spans="2:8">
      <c r="B2145" t="s">
        <v>49</v>
      </c>
      <c r="C2145" t="s">
        <v>758</v>
      </c>
      <c r="D2145" s="6" t="s">
        <v>475</v>
      </c>
      <c r="E2145" s="1">
        <v>0</v>
      </c>
      <c r="G2145" s="2">
        <f t="shared" si="33"/>
        <v>0</v>
      </c>
      <c r="H2145" s="2">
        <v>0</v>
      </c>
    </row>
    <row r="2146" spans="2:8">
      <c r="B2146" t="s">
        <v>49</v>
      </c>
      <c r="C2146" t="s">
        <v>758</v>
      </c>
      <c r="D2146" s="7" t="s">
        <v>476</v>
      </c>
      <c r="E2146" s="1">
        <v>0</v>
      </c>
      <c r="G2146" s="2">
        <f t="shared" si="33"/>
        <v>0</v>
      </c>
      <c r="H2146" s="2">
        <v>0</v>
      </c>
    </row>
    <row r="2147" spans="2:8">
      <c r="B2147" t="s">
        <v>49</v>
      </c>
      <c r="C2147" t="s">
        <v>758</v>
      </c>
      <c r="D2147" s="8" t="s">
        <v>477</v>
      </c>
      <c r="E2147" s="1">
        <v>0</v>
      </c>
      <c r="G2147" s="2">
        <f t="shared" si="33"/>
        <v>0</v>
      </c>
      <c r="H2147" s="2">
        <v>0</v>
      </c>
    </row>
    <row r="2148" spans="2:8">
      <c r="B2148" t="s">
        <v>49</v>
      </c>
      <c r="C2148" t="s">
        <v>758</v>
      </c>
      <c r="D2148" s="9" t="s">
        <v>478</v>
      </c>
      <c r="E2148" s="1">
        <v>0</v>
      </c>
      <c r="G2148" s="2">
        <f t="shared" si="33"/>
        <v>0</v>
      </c>
      <c r="H2148" s="2">
        <v>0</v>
      </c>
    </row>
    <row r="2149" spans="2:8">
      <c r="B2149" t="s">
        <v>49</v>
      </c>
      <c r="C2149" t="s">
        <v>758</v>
      </c>
      <c r="D2149" s="10" t="s">
        <v>479</v>
      </c>
      <c r="E2149" s="1">
        <v>0</v>
      </c>
      <c r="G2149" s="2">
        <f t="shared" si="33"/>
        <v>0</v>
      </c>
      <c r="H2149" s="2">
        <v>0</v>
      </c>
    </row>
    <row r="2150" spans="2:8">
      <c r="B2150" t="s">
        <v>49</v>
      </c>
      <c r="C2150" t="s">
        <v>758</v>
      </c>
      <c r="D2150" s="11" t="s">
        <v>480</v>
      </c>
      <c r="E2150" s="1">
        <v>0</v>
      </c>
      <c r="G2150" s="2">
        <f t="shared" si="33"/>
        <v>0</v>
      </c>
      <c r="H2150" s="2">
        <v>0</v>
      </c>
    </row>
    <row r="2151" spans="2:8">
      <c r="B2151" t="s">
        <v>49</v>
      </c>
      <c r="C2151" t="s">
        <v>758</v>
      </c>
      <c r="D2151" s="13" t="s">
        <v>481</v>
      </c>
      <c r="E2151" s="1">
        <v>0</v>
      </c>
      <c r="G2151" s="2">
        <f t="shared" si="33"/>
        <v>0</v>
      </c>
      <c r="H2151" s="2">
        <v>0</v>
      </c>
    </row>
    <row r="2152" spans="2:8">
      <c r="B2152" t="s">
        <v>49</v>
      </c>
      <c r="C2152" t="s">
        <v>758</v>
      </c>
      <c r="D2152" s="12" t="s">
        <v>1033</v>
      </c>
      <c r="E2152" s="1">
        <v>0</v>
      </c>
      <c r="G2152" s="2">
        <f t="shared" si="33"/>
        <v>0</v>
      </c>
      <c r="H2152" s="2">
        <v>0</v>
      </c>
    </row>
    <row r="2153" spans="2:8">
      <c r="B2153" t="s">
        <v>494</v>
      </c>
      <c r="C2153" t="s">
        <v>759</v>
      </c>
      <c r="D2153" s="5" t="s">
        <v>474</v>
      </c>
      <c r="E2153" s="1">
        <v>0</v>
      </c>
      <c r="G2153" s="2">
        <f t="shared" si="33"/>
        <v>0</v>
      </c>
      <c r="H2153" s="2">
        <v>0</v>
      </c>
    </row>
    <row r="2154" spans="2:8">
      <c r="B2154" t="s">
        <v>494</v>
      </c>
      <c r="C2154" t="s">
        <v>759</v>
      </c>
      <c r="D2154" s="6" t="s">
        <v>475</v>
      </c>
      <c r="E2154" s="1">
        <v>0</v>
      </c>
      <c r="G2154" s="2">
        <f t="shared" si="33"/>
        <v>0</v>
      </c>
      <c r="H2154" s="2">
        <v>0</v>
      </c>
    </row>
    <row r="2155" spans="2:8">
      <c r="B2155" t="s">
        <v>494</v>
      </c>
      <c r="C2155" t="s">
        <v>759</v>
      </c>
      <c r="D2155" s="7" t="s">
        <v>476</v>
      </c>
      <c r="E2155" s="1">
        <v>0</v>
      </c>
      <c r="G2155" s="2">
        <f t="shared" si="33"/>
        <v>0</v>
      </c>
      <c r="H2155" s="2">
        <v>0</v>
      </c>
    </row>
    <row r="2156" spans="2:8">
      <c r="B2156" t="s">
        <v>494</v>
      </c>
      <c r="C2156" t="s">
        <v>759</v>
      </c>
      <c r="D2156" s="8" t="s">
        <v>477</v>
      </c>
      <c r="E2156" s="1">
        <v>0</v>
      </c>
      <c r="G2156" s="2">
        <f t="shared" si="33"/>
        <v>0</v>
      </c>
      <c r="H2156" s="2">
        <v>0</v>
      </c>
    </row>
    <row r="2157" spans="2:8">
      <c r="B2157" t="s">
        <v>494</v>
      </c>
      <c r="C2157" t="s">
        <v>759</v>
      </c>
      <c r="D2157" s="9" t="s">
        <v>478</v>
      </c>
      <c r="E2157" s="1">
        <v>0</v>
      </c>
      <c r="G2157" s="2">
        <f t="shared" si="33"/>
        <v>0</v>
      </c>
      <c r="H2157" s="2">
        <v>0</v>
      </c>
    </row>
    <row r="2158" spans="2:8">
      <c r="B2158" t="s">
        <v>494</v>
      </c>
      <c r="C2158" t="s">
        <v>759</v>
      </c>
      <c r="D2158" s="10" t="s">
        <v>479</v>
      </c>
      <c r="E2158" s="1">
        <v>0</v>
      </c>
      <c r="G2158" s="2">
        <f t="shared" si="33"/>
        <v>0</v>
      </c>
      <c r="H2158" s="2">
        <v>0</v>
      </c>
    </row>
    <row r="2159" spans="2:8">
      <c r="B2159" t="s">
        <v>494</v>
      </c>
      <c r="C2159" t="s">
        <v>759</v>
      </c>
      <c r="D2159" s="11" t="s">
        <v>480</v>
      </c>
      <c r="E2159" s="1">
        <v>0</v>
      </c>
      <c r="G2159" s="2">
        <f t="shared" si="33"/>
        <v>0</v>
      </c>
      <c r="H2159" s="2">
        <v>0</v>
      </c>
    </row>
    <row r="2160" spans="2:8">
      <c r="B2160" t="s">
        <v>494</v>
      </c>
      <c r="C2160" t="s">
        <v>759</v>
      </c>
      <c r="D2160" s="13" t="s">
        <v>481</v>
      </c>
      <c r="E2160" s="1">
        <v>0</v>
      </c>
      <c r="G2160" s="2">
        <f t="shared" si="33"/>
        <v>0</v>
      </c>
      <c r="H2160" s="2">
        <v>0</v>
      </c>
    </row>
    <row r="2161" spans="2:8">
      <c r="B2161" t="s">
        <v>494</v>
      </c>
      <c r="C2161" t="s">
        <v>759</v>
      </c>
      <c r="D2161" s="12" t="s">
        <v>1033</v>
      </c>
      <c r="E2161" s="1">
        <v>0</v>
      </c>
      <c r="G2161" s="2">
        <f t="shared" si="33"/>
        <v>0</v>
      </c>
      <c r="H2161" s="2">
        <v>0</v>
      </c>
    </row>
    <row r="2162" spans="2:8">
      <c r="B2162" t="s">
        <v>495</v>
      </c>
      <c r="C2162" t="s">
        <v>760</v>
      </c>
      <c r="D2162" s="5" t="s">
        <v>474</v>
      </c>
      <c r="E2162" s="1">
        <v>0</v>
      </c>
      <c r="G2162" s="2">
        <f t="shared" si="33"/>
        <v>0</v>
      </c>
      <c r="H2162" s="2">
        <v>0</v>
      </c>
    </row>
    <row r="2163" spans="2:8">
      <c r="B2163" t="s">
        <v>495</v>
      </c>
      <c r="C2163" t="s">
        <v>760</v>
      </c>
      <c r="D2163" s="6" t="s">
        <v>475</v>
      </c>
      <c r="E2163" s="1">
        <v>0</v>
      </c>
      <c r="G2163" s="2">
        <f t="shared" si="33"/>
        <v>0</v>
      </c>
      <c r="H2163" s="2">
        <v>0</v>
      </c>
    </row>
    <row r="2164" spans="2:8">
      <c r="B2164" t="s">
        <v>495</v>
      </c>
      <c r="C2164" t="s">
        <v>760</v>
      </c>
      <c r="D2164" s="7" t="s">
        <v>476</v>
      </c>
      <c r="E2164" s="1">
        <v>0</v>
      </c>
      <c r="G2164" s="2">
        <f t="shared" si="33"/>
        <v>0</v>
      </c>
      <c r="H2164" s="2">
        <v>0</v>
      </c>
    </row>
    <row r="2165" spans="2:8">
      <c r="B2165" t="s">
        <v>495</v>
      </c>
      <c r="C2165" t="s">
        <v>760</v>
      </c>
      <c r="D2165" s="8" t="s">
        <v>477</v>
      </c>
      <c r="E2165" s="1">
        <v>0</v>
      </c>
      <c r="G2165" s="2">
        <f t="shared" si="33"/>
        <v>0</v>
      </c>
      <c r="H2165" s="2">
        <v>0</v>
      </c>
    </row>
    <row r="2166" spans="2:8">
      <c r="B2166" t="s">
        <v>495</v>
      </c>
      <c r="C2166" t="s">
        <v>760</v>
      </c>
      <c r="D2166" s="9" t="s">
        <v>478</v>
      </c>
      <c r="E2166" s="1">
        <v>0</v>
      </c>
      <c r="G2166" s="2">
        <f t="shared" si="33"/>
        <v>0</v>
      </c>
      <c r="H2166" s="2">
        <v>0</v>
      </c>
    </row>
    <row r="2167" spans="2:8">
      <c r="B2167" t="s">
        <v>495</v>
      </c>
      <c r="C2167" t="s">
        <v>760</v>
      </c>
      <c r="D2167" s="10" t="s">
        <v>479</v>
      </c>
      <c r="E2167" s="1">
        <v>0</v>
      </c>
      <c r="G2167" s="2">
        <f t="shared" si="33"/>
        <v>0</v>
      </c>
      <c r="H2167" s="2">
        <v>0</v>
      </c>
    </row>
    <row r="2168" spans="2:8">
      <c r="B2168" t="s">
        <v>495</v>
      </c>
      <c r="C2168" t="s">
        <v>760</v>
      </c>
      <c r="D2168" s="11" t="s">
        <v>480</v>
      </c>
      <c r="E2168" s="1">
        <v>0</v>
      </c>
      <c r="G2168" s="2">
        <f t="shared" si="33"/>
        <v>0</v>
      </c>
      <c r="H2168" s="2">
        <v>0</v>
      </c>
    </row>
    <row r="2169" spans="2:8">
      <c r="B2169" t="s">
        <v>495</v>
      </c>
      <c r="C2169" t="s">
        <v>760</v>
      </c>
      <c r="D2169" s="13" t="s">
        <v>481</v>
      </c>
      <c r="E2169" s="1">
        <v>0</v>
      </c>
      <c r="G2169" s="2">
        <f t="shared" si="33"/>
        <v>0</v>
      </c>
      <c r="H2169" s="2">
        <v>0</v>
      </c>
    </row>
    <row r="2170" spans="2:8">
      <c r="B2170" t="s">
        <v>495</v>
      </c>
      <c r="C2170" t="s">
        <v>760</v>
      </c>
      <c r="D2170" s="12" t="s">
        <v>1033</v>
      </c>
      <c r="E2170" s="1">
        <v>0</v>
      </c>
      <c r="G2170" s="2">
        <f t="shared" si="33"/>
        <v>0</v>
      </c>
      <c r="H2170" s="2">
        <v>0</v>
      </c>
    </row>
    <row r="2171" spans="2:8">
      <c r="B2171" t="s">
        <v>496</v>
      </c>
      <c r="C2171" t="s">
        <v>761</v>
      </c>
      <c r="D2171" s="5" t="s">
        <v>474</v>
      </c>
      <c r="E2171" s="1">
        <v>0</v>
      </c>
      <c r="G2171" s="2">
        <f t="shared" si="33"/>
        <v>0</v>
      </c>
      <c r="H2171" s="2">
        <v>0</v>
      </c>
    </row>
    <row r="2172" spans="2:8">
      <c r="B2172" t="s">
        <v>496</v>
      </c>
      <c r="C2172" t="s">
        <v>761</v>
      </c>
      <c r="D2172" s="6" t="s">
        <v>475</v>
      </c>
      <c r="E2172" s="1">
        <v>0</v>
      </c>
      <c r="G2172" s="2">
        <f t="shared" si="33"/>
        <v>0</v>
      </c>
      <c r="H2172" s="2">
        <v>0</v>
      </c>
    </row>
    <row r="2173" spans="2:8">
      <c r="B2173" t="s">
        <v>496</v>
      </c>
      <c r="C2173" t="s">
        <v>761</v>
      </c>
      <c r="D2173" s="7" t="s">
        <v>476</v>
      </c>
      <c r="E2173" s="1">
        <v>0</v>
      </c>
      <c r="G2173" s="2">
        <f t="shared" si="33"/>
        <v>0</v>
      </c>
      <c r="H2173" s="2">
        <v>0</v>
      </c>
    </row>
    <row r="2174" spans="2:8">
      <c r="B2174" t="s">
        <v>496</v>
      </c>
      <c r="C2174" t="s">
        <v>761</v>
      </c>
      <c r="D2174" s="8" t="s">
        <v>477</v>
      </c>
      <c r="E2174" s="1">
        <v>0</v>
      </c>
      <c r="G2174" s="2">
        <f t="shared" si="33"/>
        <v>0</v>
      </c>
      <c r="H2174" s="2">
        <v>0</v>
      </c>
    </row>
    <row r="2175" spans="2:8">
      <c r="B2175" t="s">
        <v>496</v>
      </c>
      <c r="C2175" t="s">
        <v>761</v>
      </c>
      <c r="D2175" s="9" t="s">
        <v>478</v>
      </c>
      <c r="E2175" s="1">
        <v>0</v>
      </c>
      <c r="G2175" s="2">
        <f t="shared" si="33"/>
        <v>0</v>
      </c>
      <c r="H2175" s="2">
        <v>0</v>
      </c>
    </row>
    <row r="2176" spans="2:8">
      <c r="B2176" t="s">
        <v>496</v>
      </c>
      <c r="C2176" t="s">
        <v>761</v>
      </c>
      <c r="D2176" s="10" t="s">
        <v>479</v>
      </c>
      <c r="E2176" s="1">
        <v>0</v>
      </c>
      <c r="G2176" s="2">
        <f t="shared" si="33"/>
        <v>0</v>
      </c>
      <c r="H2176" s="2">
        <v>0</v>
      </c>
    </row>
    <row r="2177" spans="2:8">
      <c r="B2177" t="s">
        <v>496</v>
      </c>
      <c r="C2177" t="s">
        <v>761</v>
      </c>
      <c r="D2177" s="11" t="s">
        <v>480</v>
      </c>
      <c r="E2177" s="1">
        <v>0</v>
      </c>
      <c r="G2177" s="2">
        <f t="shared" si="33"/>
        <v>0</v>
      </c>
      <c r="H2177" s="2">
        <v>0</v>
      </c>
    </row>
    <row r="2178" spans="2:8">
      <c r="B2178" t="s">
        <v>496</v>
      </c>
      <c r="C2178" t="s">
        <v>761</v>
      </c>
      <c r="D2178" s="13" t="s">
        <v>481</v>
      </c>
      <c r="E2178" s="1">
        <v>0</v>
      </c>
      <c r="G2178" s="2">
        <f t="shared" ref="G2178:G2241" si="34">E2178*F2178</f>
        <v>0</v>
      </c>
      <c r="H2178" s="2">
        <v>0</v>
      </c>
    </row>
    <row r="2179" spans="2:8">
      <c r="B2179" t="s">
        <v>496</v>
      </c>
      <c r="C2179" t="s">
        <v>761</v>
      </c>
      <c r="D2179" s="12" t="s">
        <v>1033</v>
      </c>
      <c r="E2179" s="1">
        <v>0</v>
      </c>
      <c r="G2179" s="2">
        <f t="shared" si="34"/>
        <v>0</v>
      </c>
      <c r="H2179" s="2">
        <v>0</v>
      </c>
    </row>
    <row r="2180" spans="2:8">
      <c r="B2180" t="s">
        <v>497</v>
      </c>
      <c r="C2180" t="s">
        <v>762</v>
      </c>
      <c r="D2180" s="5" t="s">
        <v>474</v>
      </c>
      <c r="E2180" s="1">
        <v>0</v>
      </c>
      <c r="G2180" s="2">
        <f t="shared" si="34"/>
        <v>0</v>
      </c>
      <c r="H2180" s="2">
        <v>0</v>
      </c>
    </row>
    <row r="2181" spans="2:8">
      <c r="B2181" t="s">
        <v>497</v>
      </c>
      <c r="C2181" t="s">
        <v>762</v>
      </c>
      <c r="D2181" s="6" t="s">
        <v>475</v>
      </c>
      <c r="E2181" s="1">
        <v>0</v>
      </c>
      <c r="G2181" s="2">
        <f t="shared" si="34"/>
        <v>0</v>
      </c>
      <c r="H2181" s="2">
        <v>0</v>
      </c>
    </row>
    <row r="2182" spans="2:8">
      <c r="B2182" t="s">
        <v>497</v>
      </c>
      <c r="C2182" t="s">
        <v>762</v>
      </c>
      <c r="D2182" s="7" t="s">
        <v>476</v>
      </c>
      <c r="E2182" s="1">
        <v>0</v>
      </c>
      <c r="G2182" s="2">
        <f t="shared" si="34"/>
        <v>0</v>
      </c>
      <c r="H2182" s="2">
        <v>0</v>
      </c>
    </row>
    <row r="2183" spans="2:8">
      <c r="B2183" t="s">
        <v>497</v>
      </c>
      <c r="C2183" t="s">
        <v>762</v>
      </c>
      <c r="D2183" s="8" t="s">
        <v>477</v>
      </c>
      <c r="E2183" s="1">
        <v>0</v>
      </c>
      <c r="G2183" s="2">
        <f t="shared" si="34"/>
        <v>0</v>
      </c>
      <c r="H2183" s="2">
        <v>0</v>
      </c>
    </row>
    <row r="2184" spans="2:8">
      <c r="B2184" t="s">
        <v>497</v>
      </c>
      <c r="C2184" t="s">
        <v>762</v>
      </c>
      <c r="D2184" s="9" t="s">
        <v>478</v>
      </c>
      <c r="E2184" s="1">
        <v>0</v>
      </c>
      <c r="G2184" s="2">
        <f t="shared" si="34"/>
        <v>0</v>
      </c>
      <c r="H2184" s="2">
        <v>0</v>
      </c>
    </row>
    <row r="2185" spans="2:8">
      <c r="B2185" t="s">
        <v>497</v>
      </c>
      <c r="C2185" t="s">
        <v>762</v>
      </c>
      <c r="D2185" s="10" t="s">
        <v>479</v>
      </c>
      <c r="E2185" s="1">
        <v>0</v>
      </c>
      <c r="G2185" s="2">
        <f t="shared" si="34"/>
        <v>0</v>
      </c>
      <c r="H2185" s="2">
        <v>0</v>
      </c>
    </row>
    <row r="2186" spans="2:8">
      <c r="B2186" t="s">
        <v>497</v>
      </c>
      <c r="C2186" t="s">
        <v>762</v>
      </c>
      <c r="D2186" s="11" t="s">
        <v>480</v>
      </c>
      <c r="E2186" s="1">
        <v>0</v>
      </c>
      <c r="G2186" s="2">
        <f t="shared" si="34"/>
        <v>0</v>
      </c>
      <c r="H2186" s="2">
        <v>0</v>
      </c>
    </row>
    <row r="2187" spans="2:8">
      <c r="B2187" t="s">
        <v>497</v>
      </c>
      <c r="C2187" t="s">
        <v>762</v>
      </c>
      <c r="D2187" s="13" t="s">
        <v>481</v>
      </c>
      <c r="E2187" s="1">
        <v>0</v>
      </c>
      <c r="G2187" s="2">
        <f t="shared" si="34"/>
        <v>0</v>
      </c>
      <c r="H2187" s="2">
        <v>0</v>
      </c>
    </row>
    <row r="2188" spans="2:8">
      <c r="B2188" t="s">
        <v>497</v>
      </c>
      <c r="C2188" t="s">
        <v>762</v>
      </c>
      <c r="D2188" s="12" t="s">
        <v>1033</v>
      </c>
      <c r="E2188" s="1">
        <v>0</v>
      </c>
      <c r="G2188" s="2">
        <f t="shared" si="34"/>
        <v>0</v>
      </c>
      <c r="H2188" s="2">
        <v>0</v>
      </c>
    </row>
    <row r="2189" spans="2:8">
      <c r="B2189" t="s">
        <v>444</v>
      </c>
      <c r="C2189" t="s">
        <v>763</v>
      </c>
      <c r="D2189" s="5" t="s">
        <v>474</v>
      </c>
      <c r="E2189" s="1">
        <v>0</v>
      </c>
      <c r="G2189" s="2">
        <f t="shared" si="34"/>
        <v>0</v>
      </c>
      <c r="H2189" s="2">
        <v>0</v>
      </c>
    </row>
    <row r="2190" spans="2:8">
      <c r="B2190" t="s">
        <v>444</v>
      </c>
      <c r="C2190" t="s">
        <v>763</v>
      </c>
      <c r="D2190" s="6" t="s">
        <v>475</v>
      </c>
      <c r="E2190" s="1">
        <v>0</v>
      </c>
      <c r="G2190" s="2">
        <f t="shared" si="34"/>
        <v>0</v>
      </c>
      <c r="H2190" s="2">
        <v>0</v>
      </c>
    </row>
    <row r="2191" spans="2:8">
      <c r="B2191" t="s">
        <v>444</v>
      </c>
      <c r="C2191" t="s">
        <v>763</v>
      </c>
      <c r="D2191" s="7" t="s">
        <v>476</v>
      </c>
      <c r="E2191" s="1">
        <v>0</v>
      </c>
      <c r="G2191" s="2">
        <f t="shared" si="34"/>
        <v>0</v>
      </c>
      <c r="H2191" s="2">
        <v>0</v>
      </c>
    </row>
    <row r="2192" spans="2:8">
      <c r="B2192" t="s">
        <v>444</v>
      </c>
      <c r="C2192" t="s">
        <v>763</v>
      </c>
      <c r="D2192" s="8" t="s">
        <v>477</v>
      </c>
      <c r="E2192" s="1">
        <v>0</v>
      </c>
      <c r="G2192" s="2">
        <f t="shared" si="34"/>
        <v>0</v>
      </c>
      <c r="H2192" s="2">
        <v>0</v>
      </c>
    </row>
    <row r="2193" spans="2:8">
      <c r="B2193" t="s">
        <v>444</v>
      </c>
      <c r="C2193" t="s">
        <v>763</v>
      </c>
      <c r="D2193" s="9" t="s">
        <v>478</v>
      </c>
      <c r="E2193" s="1">
        <v>0</v>
      </c>
      <c r="G2193" s="2">
        <f t="shared" si="34"/>
        <v>0</v>
      </c>
      <c r="H2193" s="2">
        <v>0</v>
      </c>
    </row>
    <row r="2194" spans="2:8">
      <c r="B2194" t="s">
        <v>444</v>
      </c>
      <c r="C2194" t="s">
        <v>763</v>
      </c>
      <c r="D2194" s="10" t="s">
        <v>479</v>
      </c>
      <c r="E2194" s="1">
        <v>0</v>
      </c>
      <c r="G2194" s="2">
        <f t="shared" si="34"/>
        <v>0</v>
      </c>
      <c r="H2194" s="2">
        <v>0</v>
      </c>
    </row>
    <row r="2195" spans="2:8">
      <c r="B2195" t="s">
        <v>444</v>
      </c>
      <c r="C2195" t="s">
        <v>763</v>
      </c>
      <c r="D2195" s="11" t="s">
        <v>480</v>
      </c>
      <c r="E2195" s="1">
        <v>0</v>
      </c>
      <c r="G2195" s="2">
        <f t="shared" si="34"/>
        <v>0</v>
      </c>
      <c r="H2195" s="2">
        <v>0</v>
      </c>
    </row>
    <row r="2196" spans="2:8">
      <c r="B2196" t="s">
        <v>444</v>
      </c>
      <c r="C2196" t="s">
        <v>763</v>
      </c>
      <c r="D2196" s="13" t="s">
        <v>481</v>
      </c>
      <c r="E2196" s="1">
        <v>0</v>
      </c>
      <c r="G2196" s="2">
        <f t="shared" si="34"/>
        <v>0</v>
      </c>
      <c r="H2196" s="2">
        <v>0</v>
      </c>
    </row>
    <row r="2197" spans="2:8">
      <c r="B2197" t="s">
        <v>444</v>
      </c>
      <c r="C2197" t="s">
        <v>763</v>
      </c>
      <c r="D2197" s="12" t="s">
        <v>1033</v>
      </c>
      <c r="E2197" s="1">
        <v>0</v>
      </c>
      <c r="G2197" s="2">
        <f t="shared" si="34"/>
        <v>0</v>
      </c>
      <c r="H2197" s="2">
        <v>0</v>
      </c>
    </row>
    <row r="2198" spans="2:8">
      <c r="B2198" t="s">
        <v>498</v>
      </c>
      <c r="C2198" t="s">
        <v>764</v>
      </c>
      <c r="D2198" s="5" t="s">
        <v>474</v>
      </c>
      <c r="E2198" s="1">
        <v>0</v>
      </c>
      <c r="G2198" s="2">
        <f t="shared" si="34"/>
        <v>0</v>
      </c>
      <c r="H2198" s="2">
        <v>0</v>
      </c>
    </row>
    <row r="2199" spans="2:8">
      <c r="B2199" t="s">
        <v>498</v>
      </c>
      <c r="C2199" t="s">
        <v>764</v>
      </c>
      <c r="D2199" s="6" t="s">
        <v>475</v>
      </c>
      <c r="E2199" s="1">
        <v>0</v>
      </c>
      <c r="G2199" s="2">
        <f t="shared" si="34"/>
        <v>0</v>
      </c>
      <c r="H2199" s="2">
        <v>0</v>
      </c>
    </row>
    <row r="2200" spans="2:8">
      <c r="B2200" t="s">
        <v>498</v>
      </c>
      <c r="C2200" t="s">
        <v>764</v>
      </c>
      <c r="D2200" s="7" t="s">
        <v>476</v>
      </c>
      <c r="E2200" s="1">
        <v>0</v>
      </c>
      <c r="G2200" s="2">
        <f t="shared" si="34"/>
        <v>0</v>
      </c>
      <c r="H2200" s="2">
        <v>0</v>
      </c>
    </row>
    <row r="2201" spans="2:8">
      <c r="B2201" t="s">
        <v>498</v>
      </c>
      <c r="C2201" t="s">
        <v>764</v>
      </c>
      <c r="D2201" s="8" t="s">
        <v>477</v>
      </c>
      <c r="E2201" s="1">
        <v>0</v>
      </c>
      <c r="G2201" s="2">
        <f t="shared" si="34"/>
        <v>0</v>
      </c>
      <c r="H2201" s="2">
        <v>0</v>
      </c>
    </row>
    <row r="2202" spans="2:8">
      <c r="B2202" t="s">
        <v>498</v>
      </c>
      <c r="C2202" t="s">
        <v>764</v>
      </c>
      <c r="D2202" s="9" t="s">
        <v>478</v>
      </c>
      <c r="E2202" s="1">
        <v>0</v>
      </c>
      <c r="G2202" s="2">
        <f t="shared" si="34"/>
        <v>0</v>
      </c>
      <c r="H2202" s="2">
        <v>0</v>
      </c>
    </row>
    <row r="2203" spans="2:8">
      <c r="B2203" t="s">
        <v>498</v>
      </c>
      <c r="C2203" t="s">
        <v>764</v>
      </c>
      <c r="D2203" s="10" t="s">
        <v>479</v>
      </c>
      <c r="E2203" s="1">
        <v>0</v>
      </c>
      <c r="G2203" s="2">
        <f t="shared" si="34"/>
        <v>0</v>
      </c>
      <c r="H2203" s="2">
        <v>0</v>
      </c>
    </row>
    <row r="2204" spans="2:8">
      <c r="B2204" t="s">
        <v>498</v>
      </c>
      <c r="C2204" t="s">
        <v>764</v>
      </c>
      <c r="D2204" s="11" t="s">
        <v>480</v>
      </c>
      <c r="E2204" s="1">
        <v>0</v>
      </c>
      <c r="G2204" s="2">
        <f t="shared" si="34"/>
        <v>0</v>
      </c>
      <c r="H2204" s="2">
        <v>0</v>
      </c>
    </row>
    <row r="2205" spans="2:8">
      <c r="B2205" t="s">
        <v>498</v>
      </c>
      <c r="C2205" t="s">
        <v>764</v>
      </c>
      <c r="D2205" s="13" t="s">
        <v>481</v>
      </c>
      <c r="E2205" s="1">
        <v>0</v>
      </c>
      <c r="G2205" s="2">
        <f t="shared" si="34"/>
        <v>0</v>
      </c>
      <c r="H2205" s="2">
        <v>0</v>
      </c>
    </row>
    <row r="2206" spans="2:8">
      <c r="B2206" t="s">
        <v>498</v>
      </c>
      <c r="C2206" t="s">
        <v>764</v>
      </c>
      <c r="D2206" s="12" t="s">
        <v>1033</v>
      </c>
      <c r="E2206" s="1">
        <v>0</v>
      </c>
      <c r="G2206" s="2">
        <f t="shared" si="34"/>
        <v>0</v>
      </c>
      <c r="H2206" s="2">
        <v>0</v>
      </c>
    </row>
    <row r="2207" spans="2:8">
      <c r="B2207" t="s">
        <v>499</v>
      </c>
      <c r="C2207" t="s">
        <v>765</v>
      </c>
      <c r="D2207" s="5" t="s">
        <v>474</v>
      </c>
      <c r="E2207" s="1">
        <v>0</v>
      </c>
      <c r="G2207" s="2">
        <f t="shared" si="34"/>
        <v>0</v>
      </c>
      <c r="H2207" s="2">
        <v>0</v>
      </c>
    </row>
    <row r="2208" spans="2:8">
      <c r="B2208" t="s">
        <v>499</v>
      </c>
      <c r="C2208" t="s">
        <v>765</v>
      </c>
      <c r="D2208" s="6" t="s">
        <v>475</v>
      </c>
      <c r="E2208" s="1">
        <v>0</v>
      </c>
      <c r="G2208" s="2">
        <f t="shared" si="34"/>
        <v>0</v>
      </c>
      <c r="H2208" s="2">
        <v>0</v>
      </c>
    </row>
    <row r="2209" spans="2:8">
      <c r="B2209" t="s">
        <v>499</v>
      </c>
      <c r="C2209" t="s">
        <v>765</v>
      </c>
      <c r="D2209" s="7" t="s">
        <v>476</v>
      </c>
      <c r="E2209" s="1">
        <v>0</v>
      </c>
      <c r="G2209" s="2">
        <f t="shared" si="34"/>
        <v>0</v>
      </c>
      <c r="H2209" s="2">
        <v>0</v>
      </c>
    </row>
    <row r="2210" spans="2:8">
      <c r="B2210" t="s">
        <v>499</v>
      </c>
      <c r="C2210" t="s">
        <v>765</v>
      </c>
      <c r="D2210" s="8" t="s">
        <v>477</v>
      </c>
      <c r="E2210" s="1">
        <v>0</v>
      </c>
      <c r="G2210" s="2">
        <f t="shared" si="34"/>
        <v>0</v>
      </c>
      <c r="H2210" s="2">
        <v>0</v>
      </c>
    </row>
    <row r="2211" spans="2:8">
      <c r="B2211" t="s">
        <v>499</v>
      </c>
      <c r="C2211" t="s">
        <v>765</v>
      </c>
      <c r="D2211" s="9" t="s">
        <v>478</v>
      </c>
      <c r="E2211" s="1">
        <v>0</v>
      </c>
      <c r="G2211" s="2">
        <f t="shared" si="34"/>
        <v>0</v>
      </c>
      <c r="H2211" s="2">
        <v>0</v>
      </c>
    </row>
    <row r="2212" spans="2:8">
      <c r="B2212" t="s">
        <v>499</v>
      </c>
      <c r="C2212" t="s">
        <v>765</v>
      </c>
      <c r="D2212" s="10" t="s">
        <v>479</v>
      </c>
      <c r="E2212" s="1">
        <v>0</v>
      </c>
      <c r="G2212" s="2">
        <f t="shared" si="34"/>
        <v>0</v>
      </c>
      <c r="H2212" s="2">
        <v>0</v>
      </c>
    </row>
    <row r="2213" spans="2:8">
      <c r="B2213" t="s">
        <v>499</v>
      </c>
      <c r="C2213" t="s">
        <v>765</v>
      </c>
      <c r="D2213" s="11" t="s">
        <v>480</v>
      </c>
      <c r="E2213" s="1">
        <v>0</v>
      </c>
      <c r="G2213" s="2">
        <f t="shared" si="34"/>
        <v>0</v>
      </c>
      <c r="H2213" s="2">
        <v>0</v>
      </c>
    </row>
    <row r="2214" spans="2:8">
      <c r="B2214" t="s">
        <v>499</v>
      </c>
      <c r="C2214" t="s">
        <v>765</v>
      </c>
      <c r="D2214" s="13" t="s">
        <v>481</v>
      </c>
      <c r="E2214" s="1">
        <v>0</v>
      </c>
      <c r="G2214" s="2">
        <f t="shared" si="34"/>
        <v>0</v>
      </c>
      <c r="H2214" s="2">
        <v>0</v>
      </c>
    </row>
    <row r="2215" spans="2:8">
      <c r="B2215" t="s">
        <v>499</v>
      </c>
      <c r="C2215" t="s">
        <v>765</v>
      </c>
      <c r="D2215" s="12" t="s">
        <v>1033</v>
      </c>
      <c r="E2215" s="1">
        <v>0</v>
      </c>
      <c r="G2215" s="2">
        <f t="shared" si="34"/>
        <v>0</v>
      </c>
      <c r="H2215" s="2">
        <v>0</v>
      </c>
    </row>
    <row r="2216" spans="2:8">
      <c r="B2216" t="s">
        <v>500</v>
      </c>
      <c r="C2216" t="s">
        <v>766</v>
      </c>
      <c r="D2216" s="5" t="s">
        <v>474</v>
      </c>
      <c r="E2216" s="1">
        <v>0</v>
      </c>
      <c r="G2216" s="2">
        <f t="shared" si="34"/>
        <v>0</v>
      </c>
      <c r="H2216" s="2">
        <v>0</v>
      </c>
    </row>
    <row r="2217" spans="2:8">
      <c r="B2217" t="s">
        <v>500</v>
      </c>
      <c r="C2217" t="s">
        <v>766</v>
      </c>
      <c r="D2217" s="6" t="s">
        <v>475</v>
      </c>
      <c r="E2217" s="1">
        <v>0</v>
      </c>
      <c r="G2217" s="2">
        <f t="shared" si="34"/>
        <v>0</v>
      </c>
      <c r="H2217" s="2">
        <v>0</v>
      </c>
    </row>
    <row r="2218" spans="2:8">
      <c r="B2218" t="s">
        <v>500</v>
      </c>
      <c r="C2218" t="s">
        <v>766</v>
      </c>
      <c r="D2218" s="7" t="s">
        <v>476</v>
      </c>
      <c r="E2218" s="1">
        <v>0</v>
      </c>
      <c r="G2218" s="2">
        <f t="shared" si="34"/>
        <v>0</v>
      </c>
      <c r="H2218" s="2">
        <v>0</v>
      </c>
    </row>
    <row r="2219" spans="2:8">
      <c r="B2219" t="s">
        <v>500</v>
      </c>
      <c r="C2219" t="s">
        <v>766</v>
      </c>
      <c r="D2219" s="8" t="s">
        <v>477</v>
      </c>
      <c r="E2219" s="1">
        <v>0</v>
      </c>
      <c r="G2219" s="2">
        <f t="shared" si="34"/>
        <v>0</v>
      </c>
      <c r="H2219" s="2">
        <v>0</v>
      </c>
    </row>
    <row r="2220" spans="2:8">
      <c r="B2220" t="s">
        <v>500</v>
      </c>
      <c r="C2220" t="s">
        <v>766</v>
      </c>
      <c r="D2220" s="9" t="s">
        <v>478</v>
      </c>
      <c r="E2220" s="1">
        <v>0</v>
      </c>
      <c r="G2220" s="2">
        <f t="shared" si="34"/>
        <v>0</v>
      </c>
      <c r="H2220" s="2">
        <v>0</v>
      </c>
    </row>
    <row r="2221" spans="2:8">
      <c r="B2221" t="s">
        <v>500</v>
      </c>
      <c r="C2221" t="s">
        <v>766</v>
      </c>
      <c r="D2221" s="10" t="s">
        <v>479</v>
      </c>
      <c r="E2221" s="1">
        <v>0</v>
      </c>
      <c r="G2221" s="2">
        <f t="shared" si="34"/>
        <v>0</v>
      </c>
      <c r="H2221" s="2">
        <v>0</v>
      </c>
    </row>
    <row r="2222" spans="2:8">
      <c r="B2222" t="s">
        <v>500</v>
      </c>
      <c r="C2222" t="s">
        <v>766</v>
      </c>
      <c r="D2222" s="11" t="s">
        <v>480</v>
      </c>
      <c r="E2222" s="1">
        <v>0</v>
      </c>
      <c r="G2222" s="2">
        <f t="shared" si="34"/>
        <v>0</v>
      </c>
      <c r="H2222" s="2">
        <v>0</v>
      </c>
    </row>
    <row r="2223" spans="2:8">
      <c r="B2223" t="s">
        <v>500</v>
      </c>
      <c r="C2223" t="s">
        <v>766</v>
      </c>
      <c r="D2223" s="13" t="s">
        <v>481</v>
      </c>
      <c r="E2223" s="1">
        <v>0</v>
      </c>
      <c r="G2223" s="2">
        <f t="shared" si="34"/>
        <v>0</v>
      </c>
      <c r="H2223" s="2">
        <v>0</v>
      </c>
    </row>
    <row r="2224" spans="2:8">
      <c r="B2224" t="s">
        <v>500</v>
      </c>
      <c r="C2224" t="s">
        <v>766</v>
      </c>
      <c r="D2224" s="12" t="s">
        <v>1033</v>
      </c>
      <c r="E2224" s="1">
        <v>0</v>
      </c>
      <c r="G2224" s="2">
        <f t="shared" si="34"/>
        <v>0</v>
      </c>
      <c r="H2224" s="2">
        <v>0</v>
      </c>
    </row>
    <row r="2225" spans="2:8">
      <c r="B2225" t="s">
        <v>501</v>
      </c>
      <c r="C2225" t="s">
        <v>767</v>
      </c>
      <c r="D2225" s="5" t="s">
        <v>474</v>
      </c>
      <c r="E2225" s="1">
        <v>0</v>
      </c>
      <c r="G2225" s="2">
        <f t="shared" si="34"/>
        <v>0</v>
      </c>
      <c r="H2225" s="2">
        <v>0</v>
      </c>
    </row>
    <row r="2226" spans="2:8">
      <c r="B2226" t="s">
        <v>501</v>
      </c>
      <c r="C2226" t="s">
        <v>767</v>
      </c>
      <c r="D2226" s="6" t="s">
        <v>475</v>
      </c>
      <c r="E2226" s="1">
        <v>0</v>
      </c>
      <c r="G2226" s="2">
        <f t="shared" si="34"/>
        <v>0</v>
      </c>
      <c r="H2226" s="2">
        <v>0</v>
      </c>
    </row>
    <row r="2227" spans="2:8">
      <c r="B2227" t="s">
        <v>501</v>
      </c>
      <c r="C2227" t="s">
        <v>767</v>
      </c>
      <c r="D2227" s="7" t="s">
        <v>476</v>
      </c>
      <c r="E2227" s="1">
        <v>0</v>
      </c>
      <c r="G2227" s="2">
        <f t="shared" si="34"/>
        <v>0</v>
      </c>
      <c r="H2227" s="2">
        <v>0</v>
      </c>
    </row>
    <row r="2228" spans="2:8">
      <c r="B2228" t="s">
        <v>501</v>
      </c>
      <c r="C2228" t="s">
        <v>767</v>
      </c>
      <c r="D2228" s="8" t="s">
        <v>477</v>
      </c>
      <c r="E2228" s="1">
        <v>0</v>
      </c>
      <c r="G2228" s="2">
        <f t="shared" si="34"/>
        <v>0</v>
      </c>
      <c r="H2228" s="2">
        <v>0</v>
      </c>
    </row>
    <row r="2229" spans="2:8">
      <c r="B2229" t="s">
        <v>501</v>
      </c>
      <c r="C2229" t="s">
        <v>767</v>
      </c>
      <c r="D2229" s="9" t="s">
        <v>478</v>
      </c>
      <c r="E2229" s="1">
        <v>0</v>
      </c>
      <c r="G2229" s="2">
        <f t="shared" si="34"/>
        <v>0</v>
      </c>
      <c r="H2229" s="2">
        <v>0</v>
      </c>
    </row>
    <row r="2230" spans="2:8">
      <c r="B2230" t="s">
        <v>501</v>
      </c>
      <c r="C2230" t="s">
        <v>767</v>
      </c>
      <c r="D2230" s="10" t="s">
        <v>479</v>
      </c>
      <c r="E2230" s="1">
        <v>0</v>
      </c>
      <c r="G2230" s="2">
        <f t="shared" si="34"/>
        <v>0</v>
      </c>
      <c r="H2230" s="2">
        <v>0</v>
      </c>
    </row>
    <row r="2231" spans="2:8">
      <c r="B2231" t="s">
        <v>501</v>
      </c>
      <c r="C2231" t="s">
        <v>767</v>
      </c>
      <c r="D2231" s="11" t="s">
        <v>480</v>
      </c>
      <c r="E2231" s="1">
        <v>0</v>
      </c>
      <c r="G2231" s="2">
        <f t="shared" si="34"/>
        <v>0</v>
      </c>
      <c r="H2231" s="2">
        <v>0</v>
      </c>
    </row>
    <row r="2232" spans="2:8">
      <c r="B2232" t="s">
        <v>501</v>
      </c>
      <c r="C2232" t="s">
        <v>767</v>
      </c>
      <c r="D2232" s="13" t="s">
        <v>481</v>
      </c>
      <c r="E2232" s="1">
        <v>0</v>
      </c>
      <c r="G2232" s="2">
        <f t="shared" si="34"/>
        <v>0</v>
      </c>
      <c r="H2232" s="2">
        <v>0</v>
      </c>
    </row>
    <row r="2233" spans="2:8">
      <c r="B2233" t="s">
        <v>501</v>
      </c>
      <c r="C2233" t="s">
        <v>767</v>
      </c>
      <c r="D2233" s="12" t="s">
        <v>1033</v>
      </c>
      <c r="E2233" s="1">
        <v>0</v>
      </c>
      <c r="G2233" s="2">
        <f t="shared" si="34"/>
        <v>0</v>
      </c>
      <c r="H2233" s="2">
        <v>0</v>
      </c>
    </row>
    <row r="2234" spans="2:8">
      <c r="B2234" t="s">
        <v>502</v>
      </c>
      <c r="C2234" t="s">
        <v>768</v>
      </c>
      <c r="D2234" s="5" t="s">
        <v>474</v>
      </c>
      <c r="E2234" s="1">
        <v>0</v>
      </c>
      <c r="G2234" s="2">
        <f t="shared" si="34"/>
        <v>0</v>
      </c>
      <c r="H2234" s="2">
        <v>0</v>
      </c>
    </row>
    <row r="2235" spans="2:8">
      <c r="B2235" t="s">
        <v>502</v>
      </c>
      <c r="C2235" t="s">
        <v>768</v>
      </c>
      <c r="D2235" s="6" t="s">
        <v>475</v>
      </c>
      <c r="E2235" s="1">
        <v>0</v>
      </c>
      <c r="G2235" s="2">
        <f t="shared" si="34"/>
        <v>0</v>
      </c>
      <c r="H2235" s="2">
        <v>0</v>
      </c>
    </row>
    <row r="2236" spans="2:8">
      <c r="B2236" t="s">
        <v>502</v>
      </c>
      <c r="C2236" t="s">
        <v>768</v>
      </c>
      <c r="D2236" s="7" t="s">
        <v>476</v>
      </c>
      <c r="E2236" s="1">
        <v>0</v>
      </c>
      <c r="G2236" s="2">
        <f t="shared" si="34"/>
        <v>0</v>
      </c>
      <c r="H2236" s="2">
        <v>0</v>
      </c>
    </row>
    <row r="2237" spans="2:8">
      <c r="B2237" t="s">
        <v>502</v>
      </c>
      <c r="C2237" t="s">
        <v>768</v>
      </c>
      <c r="D2237" s="8" t="s">
        <v>477</v>
      </c>
      <c r="E2237" s="1">
        <v>0</v>
      </c>
      <c r="G2237" s="2">
        <f t="shared" si="34"/>
        <v>0</v>
      </c>
      <c r="H2237" s="2">
        <v>0</v>
      </c>
    </row>
    <row r="2238" spans="2:8">
      <c r="B2238" t="s">
        <v>502</v>
      </c>
      <c r="C2238" t="s">
        <v>768</v>
      </c>
      <c r="D2238" s="9" t="s">
        <v>478</v>
      </c>
      <c r="E2238" s="1">
        <v>0</v>
      </c>
      <c r="G2238" s="2">
        <f t="shared" si="34"/>
        <v>0</v>
      </c>
      <c r="H2238" s="2">
        <v>0</v>
      </c>
    </row>
    <row r="2239" spans="2:8">
      <c r="B2239" t="s">
        <v>502</v>
      </c>
      <c r="C2239" t="s">
        <v>768</v>
      </c>
      <c r="D2239" s="10" t="s">
        <v>479</v>
      </c>
      <c r="E2239" s="1">
        <v>0</v>
      </c>
      <c r="G2239" s="2">
        <f t="shared" si="34"/>
        <v>0</v>
      </c>
      <c r="H2239" s="2">
        <v>0</v>
      </c>
    </row>
    <row r="2240" spans="2:8">
      <c r="B2240" t="s">
        <v>502</v>
      </c>
      <c r="C2240" t="s">
        <v>768</v>
      </c>
      <c r="D2240" s="11" t="s">
        <v>480</v>
      </c>
      <c r="E2240" s="1">
        <v>0</v>
      </c>
      <c r="G2240" s="2">
        <f t="shared" si="34"/>
        <v>0</v>
      </c>
      <c r="H2240" s="2">
        <v>0</v>
      </c>
    </row>
    <row r="2241" spans="2:8">
      <c r="B2241" t="s">
        <v>502</v>
      </c>
      <c r="C2241" t="s">
        <v>768</v>
      </c>
      <c r="D2241" s="13" t="s">
        <v>481</v>
      </c>
      <c r="E2241" s="1">
        <v>0</v>
      </c>
      <c r="G2241" s="2">
        <f t="shared" si="34"/>
        <v>0</v>
      </c>
      <c r="H2241" s="2">
        <v>0</v>
      </c>
    </row>
    <row r="2242" spans="2:8">
      <c r="B2242" t="s">
        <v>502</v>
      </c>
      <c r="C2242" t="s">
        <v>768</v>
      </c>
      <c r="D2242" s="12" t="s">
        <v>1033</v>
      </c>
      <c r="E2242" s="1">
        <v>0</v>
      </c>
      <c r="G2242" s="2">
        <f t="shared" ref="G2242:G2305" si="35">E2242*F2242</f>
        <v>0</v>
      </c>
      <c r="H2242" s="2">
        <v>0</v>
      </c>
    </row>
    <row r="2243" spans="2:8">
      <c r="B2243" t="s">
        <v>101</v>
      </c>
      <c r="C2243" t="s">
        <v>769</v>
      </c>
      <c r="D2243" s="5" t="s">
        <v>474</v>
      </c>
      <c r="E2243" s="1">
        <v>0</v>
      </c>
      <c r="G2243" s="2">
        <f t="shared" si="35"/>
        <v>0</v>
      </c>
      <c r="H2243" s="2">
        <v>0</v>
      </c>
    </row>
    <row r="2244" spans="2:8">
      <c r="B2244" t="s">
        <v>101</v>
      </c>
      <c r="C2244" t="s">
        <v>769</v>
      </c>
      <c r="D2244" s="6" t="s">
        <v>475</v>
      </c>
      <c r="E2244" s="1">
        <v>0</v>
      </c>
      <c r="G2244" s="2">
        <f t="shared" si="35"/>
        <v>0</v>
      </c>
      <c r="H2244" s="2">
        <v>0</v>
      </c>
    </row>
    <row r="2245" spans="2:8">
      <c r="B2245" t="s">
        <v>101</v>
      </c>
      <c r="C2245" t="s">
        <v>769</v>
      </c>
      <c r="D2245" s="7" t="s">
        <v>476</v>
      </c>
      <c r="E2245" s="1">
        <v>0</v>
      </c>
      <c r="G2245" s="2">
        <f t="shared" si="35"/>
        <v>0</v>
      </c>
      <c r="H2245" s="2">
        <v>0</v>
      </c>
    </row>
    <row r="2246" spans="2:8">
      <c r="B2246" t="s">
        <v>101</v>
      </c>
      <c r="C2246" t="s">
        <v>769</v>
      </c>
      <c r="D2246" s="8" t="s">
        <v>477</v>
      </c>
      <c r="E2246" s="1">
        <v>0</v>
      </c>
      <c r="G2246" s="2">
        <f t="shared" si="35"/>
        <v>0</v>
      </c>
      <c r="H2246" s="2">
        <v>0</v>
      </c>
    </row>
    <row r="2247" spans="2:8">
      <c r="B2247" t="s">
        <v>101</v>
      </c>
      <c r="C2247" t="s">
        <v>769</v>
      </c>
      <c r="D2247" s="9" t="s">
        <v>478</v>
      </c>
      <c r="E2247" s="1">
        <v>0</v>
      </c>
      <c r="G2247" s="2">
        <f t="shared" si="35"/>
        <v>0</v>
      </c>
      <c r="H2247" s="2">
        <v>0</v>
      </c>
    </row>
    <row r="2248" spans="2:8">
      <c r="B2248" t="s">
        <v>101</v>
      </c>
      <c r="C2248" t="s">
        <v>769</v>
      </c>
      <c r="D2248" s="10" t="s">
        <v>479</v>
      </c>
      <c r="E2248" s="1">
        <v>0</v>
      </c>
      <c r="G2248" s="2">
        <f t="shared" si="35"/>
        <v>0</v>
      </c>
      <c r="H2248" s="2">
        <v>0</v>
      </c>
    </row>
    <row r="2249" spans="2:8">
      <c r="B2249" t="s">
        <v>101</v>
      </c>
      <c r="C2249" t="s">
        <v>769</v>
      </c>
      <c r="D2249" s="11" t="s">
        <v>480</v>
      </c>
      <c r="E2249" s="1">
        <v>0</v>
      </c>
      <c r="G2249" s="2">
        <f t="shared" si="35"/>
        <v>0</v>
      </c>
      <c r="H2249" s="2">
        <v>0</v>
      </c>
    </row>
    <row r="2250" spans="2:8">
      <c r="B2250" t="s">
        <v>101</v>
      </c>
      <c r="C2250" t="s">
        <v>769</v>
      </c>
      <c r="D2250" s="13" t="s">
        <v>481</v>
      </c>
      <c r="E2250" s="1">
        <v>0</v>
      </c>
      <c r="G2250" s="2">
        <f t="shared" si="35"/>
        <v>0</v>
      </c>
      <c r="H2250" s="2">
        <v>0</v>
      </c>
    </row>
    <row r="2251" spans="2:8">
      <c r="B2251" t="s">
        <v>101</v>
      </c>
      <c r="C2251" t="s">
        <v>769</v>
      </c>
      <c r="D2251" s="12" t="s">
        <v>1033</v>
      </c>
      <c r="E2251" s="1">
        <v>0</v>
      </c>
      <c r="G2251" s="2">
        <f t="shared" si="35"/>
        <v>0</v>
      </c>
      <c r="H2251" s="2">
        <v>0</v>
      </c>
    </row>
    <row r="2252" spans="2:8">
      <c r="B2252" t="s">
        <v>102</v>
      </c>
      <c r="C2252" t="s">
        <v>770</v>
      </c>
      <c r="D2252" s="5" t="s">
        <v>474</v>
      </c>
      <c r="E2252" s="1">
        <v>0</v>
      </c>
      <c r="G2252" s="2">
        <f t="shared" si="35"/>
        <v>0</v>
      </c>
      <c r="H2252" s="2">
        <v>0</v>
      </c>
    </row>
    <row r="2253" spans="2:8">
      <c r="B2253" t="s">
        <v>102</v>
      </c>
      <c r="C2253" t="s">
        <v>770</v>
      </c>
      <c r="D2253" s="6" t="s">
        <v>475</v>
      </c>
      <c r="E2253" s="1">
        <v>0</v>
      </c>
      <c r="G2253" s="2">
        <f t="shared" si="35"/>
        <v>0</v>
      </c>
      <c r="H2253" s="2">
        <v>0</v>
      </c>
    </row>
    <row r="2254" spans="2:8">
      <c r="B2254" t="s">
        <v>102</v>
      </c>
      <c r="C2254" t="s">
        <v>770</v>
      </c>
      <c r="D2254" s="7" t="s">
        <v>476</v>
      </c>
      <c r="E2254" s="1">
        <v>0</v>
      </c>
      <c r="G2254" s="2">
        <f t="shared" si="35"/>
        <v>0</v>
      </c>
      <c r="H2254" s="2">
        <v>0</v>
      </c>
    </row>
    <row r="2255" spans="2:8">
      <c r="B2255" t="s">
        <v>102</v>
      </c>
      <c r="C2255" t="s">
        <v>770</v>
      </c>
      <c r="D2255" s="8" t="s">
        <v>477</v>
      </c>
      <c r="E2255" s="1">
        <v>0</v>
      </c>
      <c r="G2255" s="2">
        <f t="shared" si="35"/>
        <v>0</v>
      </c>
      <c r="H2255" s="2">
        <v>0</v>
      </c>
    </row>
    <row r="2256" spans="2:8">
      <c r="B2256" t="s">
        <v>102</v>
      </c>
      <c r="C2256" t="s">
        <v>770</v>
      </c>
      <c r="D2256" s="9" t="s">
        <v>478</v>
      </c>
      <c r="E2256" s="1">
        <v>0</v>
      </c>
      <c r="G2256" s="2">
        <f t="shared" si="35"/>
        <v>0</v>
      </c>
      <c r="H2256" s="2">
        <v>0</v>
      </c>
    </row>
    <row r="2257" spans="2:8">
      <c r="B2257" t="s">
        <v>102</v>
      </c>
      <c r="C2257" t="s">
        <v>770</v>
      </c>
      <c r="D2257" s="10" t="s">
        <v>479</v>
      </c>
      <c r="E2257" s="1">
        <v>0</v>
      </c>
      <c r="G2257" s="2">
        <f t="shared" si="35"/>
        <v>0</v>
      </c>
      <c r="H2257" s="2">
        <v>0</v>
      </c>
    </row>
    <row r="2258" spans="2:8">
      <c r="B2258" t="s">
        <v>102</v>
      </c>
      <c r="C2258" t="s">
        <v>770</v>
      </c>
      <c r="D2258" s="11" t="s">
        <v>480</v>
      </c>
      <c r="E2258" s="1">
        <v>0</v>
      </c>
      <c r="G2258" s="2">
        <f t="shared" si="35"/>
        <v>0</v>
      </c>
      <c r="H2258" s="2">
        <v>0</v>
      </c>
    </row>
    <row r="2259" spans="2:8">
      <c r="B2259" t="s">
        <v>102</v>
      </c>
      <c r="C2259" t="s">
        <v>770</v>
      </c>
      <c r="D2259" s="13" t="s">
        <v>481</v>
      </c>
      <c r="E2259" s="1">
        <v>0</v>
      </c>
      <c r="G2259" s="2">
        <f t="shared" si="35"/>
        <v>0</v>
      </c>
      <c r="H2259" s="2">
        <v>0</v>
      </c>
    </row>
    <row r="2260" spans="2:8">
      <c r="B2260" t="s">
        <v>102</v>
      </c>
      <c r="C2260" t="s">
        <v>770</v>
      </c>
      <c r="D2260" s="12" t="s">
        <v>1033</v>
      </c>
      <c r="E2260" s="1">
        <v>0</v>
      </c>
      <c r="G2260" s="2">
        <f t="shared" si="35"/>
        <v>0</v>
      </c>
      <c r="H2260" s="2">
        <v>0</v>
      </c>
    </row>
    <row r="2261" spans="2:8">
      <c r="B2261" t="s">
        <v>60</v>
      </c>
      <c r="C2261" t="s">
        <v>771</v>
      </c>
      <c r="D2261" s="5" t="s">
        <v>474</v>
      </c>
      <c r="E2261" s="1">
        <v>0</v>
      </c>
      <c r="G2261" s="2">
        <f t="shared" si="35"/>
        <v>0</v>
      </c>
      <c r="H2261" s="2">
        <v>0</v>
      </c>
    </row>
    <row r="2262" spans="2:8">
      <c r="B2262" t="s">
        <v>60</v>
      </c>
      <c r="C2262" t="s">
        <v>771</v>
      </c>
      <c r="D2262" s="6" t="s">
        <v>475</v>
      </c>
      <c r="E2262" s="1">
        <v>0</v>
      </c>
      <c r="G2262" s="2">
        <f t="shared" si="35"/>
        <v>0</v>
      </c>
      <c r="H2262" s="2">
        <v>0</v>
      </c>
    </row>
    <row r="2263" spans="2:8">
      <c r="B2263" t="s">
        <v>60</v>
      </c>
      <c r="C2263" t="s">
        <v>771</v>
      </c>
      <c r="D2263" s="7" t="s">
        <v>476</v>
      </c>
      <c r="E2263" s="1">
        <v>0</v>
      </c>
      <c r="G2263" s="2">
        <f t="shared" si="35"/>
        <v>0</v>
      </c>
      <c r="H2263" s="2">
        <v>0</v>
      </c>
    </row>
    <row r="2264" spans="2:8">
      <c r="B2264" t="s">
        <v>60</v>
      </c>
      <c r="C2264" t="s">
        <v>771</v>
      </c>
      <c r="D2264" s="8" t="s">
        <v>477</v>
      </c>
      <c r="E2264" s="1">
        <v>0</v>
      </c>
      <c r="G2264" s="2">
        <f t="shared" si="35"/>
        <v>0</v>
      </c>
      <c r="H2264" s="2">
        <v>0</v>
      </c>
    </row>
    <row r="2265" spans="2:8">
      <c r="B2265" t="s">
        <v>60</v>
      </c>
      <c r="C2265" t="s">
        <v>771</v>
      </c>
      <c r="D2265" s="9" t="s">
        <v>478</v>
      </c>
      <c r="E2265" s="1">
        <v>0</v>
      </c>
      <c r="G2265" s="2">
        <f t="shared" si="35"/>
        <v>0</v>
      </c>
      <c r="H2265" s="2">
        <v>0</v>
      </c>
    </row>
    <row r="2266" spans="2:8">
      <c r="B2266" t="s">
        <v>60</v>
      </c>
      <c r="C2266" t="s">
        <v>771</v>
      </c>
      <c r="D2266" s="10" t="s">
        <v>479</v>
      </c>
      <c r="E2266" s="1">
        <v>0</v>
      </c>
      <c r="G2266" s="2">
        <f t="shared" si="35"/>
        <v>0</v>
      </c>
      <c r="H2266" s="2">
        <v>0</v>
      </c>
    </row>
    <row r="2267" spans="2:8">
      <c r="B2267" t="s">
        <v>60</v>
      </c>
      <c r="C2267" t="s">
        <v>771</v>
      </c>
      <c r="D2267" s="11" t="s">
        <v>480</v>
      </c>
      <c r="E2267" s="1">
        <v>0</v>
      </c>
      <c r="G2267" s="2">
        <f t="shared" si="35"/>
        <v>0</v>
      </c>
      <c r="H2267" s="2">
        <v>0</v>
      </c>
    </row>
    <row r="2268" spans="2:8">
      <c r="B2268" t="s">
        <v>60</v>
      </c>
      <c r="C2268" t="s">
        <v>771</v>
      </c>
      <c r="D2268" s="13" t="s">
        <v>481</v>
      </c>
      <c r="E2268" s="1">
        <v>0</v>
      </c>
      <c r="G2268" s="2">
        <f t="shared" si="35"/>
        <v>0</v>
      </c>
      <c r="H2268" s="2">
        <v>0</v>
      </c>
    </row>
    <row r="2269" spans="2:8">
      <c r="B2269" t="s">
        <v>60</v>
      </c>
      <c r="C2269" t="s">
        <v>771</v>
      </c>
      <c r="D2269" s="12" t="s">
        <v>1033</v>
      </c>
      <c r="E2269" s="1">
        <v>0</v>
      </c>
      <c r="G2269" s="2">
        <f t="shared" si="35"/>
        <v>0</v>
      </c>
      <c r="H2269" s="2">
        <v>0</v>
      </c>
    </row>
    <row r="2270" spans="2:8">
      <c r="B2270" t="s">
        <v>58</v>
      </c>
      <c r="C2270" t="s">
        <v>772</v>
      </c>
      <c r="D2270" s="5" t="s">
        <v>474</v>
      </c>
      <c r="E2270" s="1">
        <v>0</v>
      </c>
      <c r="G2270" s="2">
        <f t="shared" si="35"/>
        <v>0</v>
      </c>
      <c r="H2270" s="2">
        <v>0</v>
      </c>
    </row>
    <row r="2271" spans="2:8">
      <c r="B2271" t="s">
        <v>58</v>
      </c>
      <c r="C2271" t="s">
        <v>772</v>
      </c>
      <c r="D2271" s="6" t="s">
        <v>475</v>
      </c>
      <c r="E2271" s="1">
        <v>0</v>
      </c>
      <c r="G2271" s="2">
        <f t="shared" si="35"/>
        <v>0</v>
      </c>
      <c r="H2271" s="2">
        <v>0</v>
      </c>
    </row>
    <row r="2272" spans="2:8">
      <c r="B2272" t="s">
        <v>58</v>
      </c>
      <c r="C2272" t="s">
        <v>772</v>
      </c>
      <c r="D2272" s="7" t="s">
        <v>476</v>
      </c>
      <c r="E2272" s="1">
        <v>0</v>
      </c>
      <c r="G2272" s="2">
        <f t="shared" si="35"/>
        <v>0</v>
      </c>
      <c r="H2272" s="2">
        <v>0</v>
      </c>
    </row>
    <row r="2273" spans="2:8">
      <c r="B2273" t="s">
        <v>58</v>
      </c>
      <c r="C2273" t="s">
        <v>772</v>
      </c>
      <c r="D2273" s="8" t="s">
        <v>477</v>
      </c>
      <c r="E2273" s="1">
        <v>0</v>
      </c>
      <c r="G2273" s="2">
        <f t="shared" si="35"/>
        <v>0</v>
      </c>
      <c r="H2273" s="2">
        <v>0</v>
      </c>
    </row>
    <row r="2274" spans="2:8">
      <c r="B2274" t="s">
        <v>58</v>
      </c>
      <c r="C2274" t="s">
        <v>772</v>
      </c>
      <c r="D2274" s="9" t="s">
        <v>478</v>
      </c>
      <c r="E2274" s="1">
        <v>0</v>
      </c>
      <c r="G2274" s="2">
        <f t="shared" si="35"/>
        <v>0</v>
      </c>
      <c r="H2274" s="2">
        <v>0</v>
      </c>
    </row>
    <row r="2275" spans="2:8">
      <c r="B2275" t="s">
        <v>58</v>
      </c>
      <c r="C2275" t="s">
        <v>772</v>
      </c>
      <c r="D2275" s="10" t="s">
        <v>479</v>
      </c>
      <c r="E2275" s="1">
        <v>0</v>
      </c>
      <c r="G2275" s="2">
        <f t="shared" si="35"/>
        <v>0</v>
      </c>
      <c r="H2275" s="2">
        <v>0</v>
      </c>
    </row>
    <row r="2276" spans="2:8">
      <c r="B2276" t="s">
        <v>58</v>
      </c>
      <c r="C2276" t="s">
        <v>772</v>
      </c>
      <c r="D2276" s="11" t="s">
        <v>480</v>
      </c>
      <c r="E2276" s="1">
        <v>0</v>
      </c>
      <c r="G2276" s="2">
        <f t="shared" si="35"/>
        <v>0</v>
      </c>
      <c r="H2276" s="2">
        <v>0</v>
      </c>
    </row>
    <row r="2277" spans="2:8">
      <c r="B2277" t="s">
        <v>58</v>
      </c>
      <c r="C2277" t="s">
        <v>772</v>
      </c>
      <c r="D2277" s="13" t="s">
        <v>481</v>
      </c>
      <c r="E2277" s="1">
        <v>0</v>
      </c>
      <c r="G2277" s="2">
        <f t="shared" si="35"/>
        <v>0</v>
      </c>
      <c r="H2277" s="2">
        <v>0</v>
      </c>
    </row>
    <row r="2278" spans="2:8">
      <c r="B2278" t="s">
        <v>58</v>
      </c>
      <c r="C2278" t="s">
        <v>772</v>
      </c>
      <c r="D2278" s="12" t="s">
        <v>1033</v>
      </c>
      <c r="E2278" s="1">
        <v>0</v>
      </c>
      <c r="G2278" s="2">
        <f t="shared" si="35"/>
        <v>0</v>
      </c>
      <c r="H2278" s="2">
        <v>0</v>
      </c>
    </row>
    <row r="2279" spans="2:8">
      <c r="B2279" t="s">
        <v>59</v>
      </c>
      <c r="C2279" t="s">
        <v>773</v>
      </c>
      <c r="D2279" s="5" t="s">
        <v>474</v>
      </c>
      <c r="E2279" s="1">
        <v>0</v>
      </c>
      <c r="G2279" s="2">
        <f t="shared" si="35"/>
        <v>0</v>
      </c>
      <c r="H2279" s="2">
        <v>0</v>
      </c>
    </row>
    <row r="2280" spans="2:8">
      <c r="B2280" t="s">
        <v>59</v>
      </c>
      <c r="C2280" t="s">
        <v>773</v>
      </c>
      <c r="D2280" s="6" t="s">
        <v>475</v>
      </c>
      <c r="E2280" s="1">
        <v>0</v>
      </c>
      <c r="G2280" s="2">
        <f t="shared" si="35"/>
        <v>0</v>
      </c>
      <c r="H2280" s="2">
        <v>0</v>
      </c>
    </row>
    <row r="2281" spans="2:8">
      <c r="B2281" t="s">
        <v>59</v>
      </c>
      <c r="C2281" t="s">
        <v>773</v>
      </c>
      <c r="D2281" s="7" t="s">
        <v>476</v>
      </c>
      <c r="E2281" s="1">
        <v>0</v>
      </c>
      <c r="G2281" s="2">
        <f t="shared" si="35"/>
        <v>0</v>
      </c>
      <c r="H2281" s="2">
        <v>0</v>
      </c>
    </row>
    <row r="2282" spans="2:8">
      <c r="B2282" t="s">
        <v>59</v>
      </c>
      <c r="C2282" t="s">
        <v>773</v>
      </c>
      <c r="D2282" s="8" t="s">
        <v>477</v>
      </c>
      <c r="E2282" s="1">
        <v>0</v>
      </c>
      <c r="G2282" s="2">
        <f t="shared" si="35"/>
        <v>0</v>
      </c>
      <c r="H2282" s="2">
        <v>0</v>
      </c>
    </row>
    <row r="2283" spans="2:8">
      <c r="B2283" t="s">
        <v>59</v>
      </c>
      <c r="C2283" t="s">
        <v>773</v>
      </c>
      <c r="D2283" s="9" t="s">
        <v>478</v>
      </c>
      <c r="E2283" s="1">
        <v>0</v>
      </c>
      <c r="G2283" s="2">
        <f t="shared" si="35"/>
        <v>0</v>
      </c>
      <c r="H2283" s="2">
        <v>0</v>
      </c>
    </row>
    <row r="2284" spans="2:8">
      <c r="B2284" t="s">
        <v>59</v>
      </c>
      <c r="C2284" t="s">
        <v>773</v>
      </c>
      <c r="D2284" s="10" t="s">
        <v>479</v>
      </c>
      <c r="E2284" s="1">
        <v>0</v>
      </c>
      <c r="G2284" s="2">
        <f t="shared" si="35"/>
        <v>0</v>
      </c>
      <c r="H2284" s="2">
        <v>0</v>
      </c>
    </row>
    <row r="2285" spans="2:8">
      <c r="B2285" t="s">
        <v>59</v>
      </c>
      <c r="C2285" t="s">
        <v>773</v>
      </c>
      <c r="D2285" s="11" t="s">
        <v>480</v>
      </c>
      <c r="E2285" s="1">
        <v>0</v>
      </c>
      <c r="G2285" s="2">
        <f t="shared" si="35"/>
        <v>0</v>
      </c>
      <c r="H2285" s="2">
        <v>0</v>
      </c>
    </row>
    <row r="2286" spans="2:8">
      <c r="B2286" t="s">
        <v>59</v>
      </c>
      <c r="C2286" t="s">
        <v>773</v>
      </c>
      <c r="D2286" s="13" t="s">
        <v>481</v>
      </c>
      <c r="E2286" s="1">
        <v>0</v>
      </c>
      <c r="G2286" s="2">
        <f t="shared" si="35"/>
        <v>0</v>
      </c>
      <c r="H2286" s="2">
        <v>0</v>
      </c>
    </row>
    <row r="2287" spans="2:8">
      <c r="B2287" t="s">
        <v>59</v>
      </c>
      <c r="C2287" t="s">
        <v>773</v>
      </c>
      <c r="D2287" s="12" t="s">
        <v>1033</v>
      </c>
      <c r="E2287" s="1">
        <v>0</v>
      </c>
      <c r="G2287" s="2">
        <f t="shared" si="35"/>
        <v>0</v>
      </c>
      <c r="H2287" s="2">
        <v>0</v>
      </c>
    </row>
    <row r="2288" spans="2:8">
      <c r="B2288" t="s">
        <v>57</v>
      </c>
      <c r="C2288" t="s">
        <v>774</v>
      </c>
      <c r="D2288" s="5" t="s">
        <v>474</v>
      </c>
      <c r="E2288" s="1">
        <v>0</v>
      </c>
      <c r="G2288" s="2">
        <f t="shared" si="35"/>
        <v>0</v>
      </c>
      <c r="H2288" s="2">
        <v>0</v>
      </c>
    </row>
    <row r="2289" spans="2:8">
      <c r="B2289" t="s">
        <v>57</v>
      </c>
      <c r="C2289" t="s">
        <v>774</v>
      </c>
      <c r="D2289" s="6" t="s">
        <v>475</v>
      </c>
      <c r="E2289" s="1">
        <v>0</v>
      </c>
      <c r="G2289" s="2">
        <f t="shared" si="35"/>
        <v>0</v>
      </c>
      <c r="H2289" s="2">
        <v>0</v>
      </c>
    </row>
    <row r="2290" spans="2:8">
      <c r="B2290" t="s">
        <v>57</v>
      </c>
      <c r="C2290" t="s">
        <v>774</v>
      </c>
      <c r="D2290" s="7" t="s">
        <v>476</v>
      </c>
      <c r="E2290" s="1">
        <v>0</v>
      </c>
      <c r="G2290" s="2">
        <f t="shared" si="35"/>
        <v>0</v>
      </c>
      <c r="H2290" s="2">
        <v>0</v>
      </c>
    </row>
    <row r="2291" spans="2:8">
      <c r="B2291" t="s">
        <v>57</v>
      </c>
      <c r="C2291" t="s">
        <v>774</v>
      </c>
      <c r="D2291" s="8" t="s">
        <v>477</v>
      </c>
      <c r="E2291" s="1">
        <v>0</v>
      </c>
      <c r="G2291" s="2">
        <f t="shared" si="35"/>
        <v>0</v>
      </c>
      <c r="H2291" s="2">
        <v>0</v>
      </c>
    </row>
    <row r="2292" spans="2:8">
      <c r="B2292" t="s">
        <v>57</v>
      </c>
      <c r="C2292" t="s">
        <v>774</v>
      </c>
      <c r="D2292" s="9" t="s">
        <v>478</v>
      </c>
      <c r="E2292" s="1">
        <v>0</v>
      </c>
      <c r="G2292" s="2">
        <f t="shared" si="35"/>
        <v>0</v>
      </c>
      <c r="H2292" s="2">
        <v>0</v>
      </c>
    </row>
    <row r="2293" spans="2:8">
      <c r="B2293" t="s">
        <v>57</v>
      </c>
      <c r="C2293" t="s">
        <v>774</v>
      </c>
      <c r="D2293" s="10" t="s">
        <v>479</v>
      </c>
      <c r="E2293" s="1">
        <v>0</v>
      </c>
      <c r="G2293" s="2">
        <f t="shared" si="35"/>
        <v>0</v>
      </c>
      <c r="H2293" s="2">
        <v>0</v>
      </c>
    </row>
    <row r="2294" spans="2:8">
      <c r="B2294" t="s">
        <v>57</v>
      </c>
      <c r="C2294" t="s">
        <v>774</v>
      </c>
      <c r="D2294" s="11" t="s">
        <v>480</v>
      </c>
      <c r="E2294" s="1">
        <v>0</v>
      </c>
      <c r="G2294" s="2">
        <f t="shared" si="35"/>
        <v>0</v>
      </c>
      <c r="H2294" s="2">
        <v>0</v>
      </c>
    </row>
    <row r="2295" spans="2:8">
      <c r="B2295" t="s">
        <v>57</v>
      </c>
      <c r="C2295" t="s">
        <v>774</v>
      </c>
      <c r="D2295" s="13" t="s">
        <v>481</v>
      </c>
      <c r="E2295" s="1">
        <v>0</v>
      </c>
      <c r="G2295" s="2">
        <f t="shared" si="35"/>
        <v>0</v>
      </c>
      <c r="H2295" s="2">
        <v>0</v>
      </c>
    </row>
    <row r="2296" spans="2:8">
      <c r="B2296" t="s">
        <v>57</v>
      </c>
      <c r="C2296" t="s">
        <v>774</v>
      </c>
      <c r="D2296" s="12" t="s">
        <v>1033</v>
      </c>
      <c r="E2296" s="1">
        <v>0</v>
      </c>
      <c r="G2296" s="2">
        <f t="shared" si="35"/>
        <v>0</v>
      </c>
      <c r="H2296" s="2">
        <v>0</v>
      </c>
    </row>
    <row r="2297" spans="2:8">
      <c r="B2297" t="s">
        <v>55</v>
      </c>
      <c r="C2297" t="s">
        <v>775</v>
      </c>
      <c r="D2297" s="5" t="s">
        <v>474</v>
      </c>
      <c r="E2297" s="1">
        <v>0</v>
      </c>
      <c r="G2297" s="2">
        <f t="shared" si="35"/>
        <v>0</v>
      </c>
      <c r="H2297" s="2">
        <v>0</v>
      </c>
    </row>
    <row r="2298" spans="2:8">
      <c r="B2298" t="s">
        <v>55</v>
      </c>
      <c r="C2298" t="s">
        <v>775</v>
      </c>
      <c r="D2298" s="6" t="s">
        <v>475</v>
      </c>
      <c r="E2298" s="1">
        <v>0</v>
      </c>
      <c r="G2298" s="2">
        <f t="shared" si="35"/>
        <v>0</v>
      </c>
      <c r="H2298" s="2">
        <v>0</v>
      </c>
    </row>
    <row r="2299" spans="2:8">
      <c r="B2299" t="s">
        <v>55</v>
      </c>
      <c r="C2299" t="s">
        <v>775</v>
      </c>
      <c r="D2299" s="7" t="s">
        <v>476</v>
      </c>
      <c r="E2299" s="1">
        <v>0</v>
      </c>
      <c r="G2299" s="2">
        <f t="shared" si="35"/>
        <v>0</v>
      </c>
      <c r="H2299" s="2">
        <v>0</v>
      </c>
    </row>
    <row r="2300" spans="2:8">
      <c r="B2300" t="s">
        <v>55</v>
      </c>
      <c r="C2300" t="s">
        <v>775</v>
      </c>
      <c r="D2300" s="8" t="s">
        <v>477</v>
      </c>
      <c r="E2300" s="1">
        <v>0</v>
      </c>
      <c r="G2300" s="2">
        <f t="shared" si="35"/>
        <v>0</v>
      </c>
      <c r="H2300" s="2">
        <v>0</v>
      </c>
    </row>
    <row r="2301" spans="2:8">
      <c r="B2301" t="s">
        <v>55</v>
      </c>
      <c r="C2301" t="s">
        <v>775</v>
      </c>
      <c r="D2301" s="9" t="s">
        <v>478</v>
      </c>
      <c r="E2301" s="1">
        <v>0</v>
      </c>
      <c r="G2301" s="2">
        <f t="shared" si="35"/>
        <v>0</v>
      </c>
      <c r="H2301" s="2">
        <v>0</v>
      </c>
    </row>
    <row r="2302" spans="2:8">
      <c r="B2302" t="s">
        <v>55</v>
      </c>
      <c r="C2302" t="s">
        <v>775</v>
      </c>
      <c r="D2302" s="10" t="s">
        <v>479</v>
      </c>
      <c r="E2302" s="1">
        <v>0</v>
      </c>
      <c r="G2302" s="2">
        <f t="shared" si="35"/>
        <v>0</v>
      </c>
      <c r="H2302" s="2">
        <v>0</v>
      </c>
    </row>
    <row r="2303" spans="2:8">
      <c r="B2303" t="s">
        <v>55</v>
      </c>
      <c r="C2303" t="s">
        <v>775</v>
      </c>
      <c r="D2303" s="11" t="s">
        <v>480</v>
      </c>
      <c r="E2303" s="1">
        <v>0</v>
      </c>
      <c r="G2303" s="2">
        <f t="shared" si="35"/>
        <v>0</v>
      </c>
      <c r="H2303" s="2">
        <v>0</v>
      </c>
    </row>
    <row r="2304" spans="2:8">
      <c r="B2304" t="s">
        <v>55</v>
      </c>
      <c r="C2304" t="s">
        <v>775</v>
      </c>
      <c r="D2304" s="13" t="s">
        <v>481</v>
      </c>
      <c r="E2304" s="1">
        <v>0</v>
      </c>
      <c r="G2304" s="2">
        <f t="shared" si="35"/>
        <v>0</v>
      </c>
      <c r="H2304" s="2">
        <v>0</v>
      </c>
    </row>
    <row r="2305" spans="2:8">
      <c r="B2305" t="s">
        <v>55</v>
      </c>
      <c r="C2305" t="s">
        <v>775</v>
      </c>
      <c r="D2305" s="12" t="s">
        <v>1033</v>
      </c>
      <c r="E2305" s="1">
        <v>0</v>
      </c>
      <c r="G2305" s="2">
        <f t="shared" si="35"/>
        <v>0</v>
      </c>
      <c r="H2305" s="2">
        <v>0</v>
      </c>
    </row>
    <row r="2306" spans="2:8">
      <c r="B2306" t="s">
        <v>270</v>
      </c>
      <c r="C2306" t="s">
        <v>776</v>
      </c>
      <c r="D2306" s="5" t="s">
        <v>474</v>
      </c>
      <c r="E2306" s="1">
        <v>0</v>
      </c>
      <c r="G2306" s="2">
        <f t="shared" ref="G2306:G2369" si="36">E2306*F2306</f>
        <v>0</v>
      </c>
      <c r="H2306" s="2">
        <v>0</v>
      </c>
    </row>
    <row r="2307" spans="2:8">
      <c r="B2307" t="s">
        <v>270</v>
      </c>
      <c r="C2307" t="s">
        <v>776</v>
      </c>
      <c r="D2307" s="6" t="s">
        <v>475</v>
      </c>
      <c r="E2307" s="1">
        <v>0</v>
      </c>
      <c r="G2307" s="2">
        <f t="shared" si="36"/>
        <v>0</v>
      </c>
      <c r="H2307" s="2">
        <v>0</v>
      </c>
    </row>
    <row r="2308" spans="2:8">
      <c r="B2308" t="s">
        <v>270</v>
      </c>
      <c r="C2308" t="s">
        <v>776</v>
      </c>
      <c r="D2308" s="7" t="s">
        <v>476</v>
      </c>
      <c r="E2308" s="1">
        <v>0</v>
      </c>
      <c r="G2308" s="2">
        <f t="shared" si="36"/>
        <v>0</v>
      </c>
      <c r="H2308" s="2">
        <v>0</v>
      </c>
    </row>
    <row r="2309" spans="2:8">
      <c r="B2309" t="s">
        <v>270</v>
      </c>
      <c r="C2309" t="s">
        <v>776</v>
      </c>
      <c r="D2309" s="8" t="s">
        <v>477</v>
      </c>
      <c r="E2309" s="1">
        <v>0</v>
      </c>
      <c r="G2309" s="2">
        <f t="shared" si="36"/>
        <v>0</v>
      </c>
      <c r="H2309" s="2">
        <v>0</v>
      </c>
    </row>
    <row r="2310" spans="2:8">
      <c r="B2310" t="s">
        <v>270</v>
      </c>
      <c r="C2310" t="s">
        <v>776</v>
      </c>
      <c r="D2310" s="9" t="s">
        <v>478</v>
      </c>
      <c r="E2310" s="1">
        <v>0</v>
      </c>
      <c r="G2310" s="2">
        <f t="shared" si="36"/>
        <v>0</v>
      </c>
      <c r="H2310" s="2">
        <v>0</v>
      </c>
    </row>
    <row r="2311" spans="2:8">
      <c r="B2311" t="s">
        <v>270</v>
      </c>
      <c r="C2311" t="s">
        <v>776</v>
      </c>
      <c r="D2311" s="10" t="s">
        <v>479</v>
      </c>
      <c r="E2311" s="1">
        <v>0</v>
      </c>
      <c r="G2311" s="2">
        <f t="shared" si="36"/>
        <v>0</v>
      </c>
      <c r="H2311" s="2">
        <v>0</v>
      </c>
    </row>
    <row r="2312" spans="2:8">
      <c r="B2312" t="s">
        <v>270</v>
      </c>
      <c r="C2312" t="s">
        <v>776</v>
      </c>
      <c r="D2312" s="11" t="s">
        <v>480</v>
      </c>
      <c r="E2312" s="1">
        <v>0</v>
      </c>
      <c r="G2312" s="2">
        <f t="shared" si="36"/>
        <v>0</v>
      </c>
      <c r="H2312" s="2">
        <v>0</v>
      </c>
    </row>
    <row r="2313" spans="2:8">
      <c r="B2313" t="s">
        <v>270</v>
      </c>
      <c r="C2313" t="s">
        <v>776</v>
      </c>
      <c r="D2313" s="13" t="s">
        <v>481</v>
      </c>
      <c r="E2313" s="1">
        <v>0</v>
      </c>
      <c r="G2313" s="2">
        <f t="shared" si="36"/>
        <v>0</v>
      </c>
      <c r="H2313" s="2">
        <v>0</v>
      </c>
    </row>
    <row r="2314" spans="2:8">
      <c r="B2314" t="s">
        <v>270</v>
      </c>
      <c r="C2314" t="s">
        <v>776</v>
      </c>
      <c r="D2314" s="12" t="s">
        <v>1033</v>
      </c>
      <c r="E2314" s="1">
        <v>0</v>
      </c>
      <c r="G2314" s="2">
        <f t="shared" si="36"/>
        <v>0</v>
      </c>
      <c r="H2314" s="2">
        <v>0</v>
      </c>
    </row>
    <row r="2315" spans="2:8">
      <c r="B2315" t="s">
        <v>95</v>
      </c>
      <c r="C2315" t="s">
        <v>777</v>
      </c>
      <c r="D2315" s="5" t="s">
        <v>474</v>
      </c>
      <c r="E2315" s="1">
        <v>0</v>
      </c>
      <c r="G2315" s="2">
        <f t="shared" si="36"/>
        <v>0</v>
      </c>
      <c r="H2315" s="2">
        <v>0</v>
      </c>
    </row>
    <row r="2316" spans="2:8">
      <c r="B2316" t="s">
        <v>95</v>
      </c>
      <c r="C2316" t="s">
        <v>777</v>
      </c>
      <c r="D2316" s="6" t="s">
        <v>475</v>
      </c>
      <c r="E2316" s="1">
        <v>0</v>
      </c>
      <c r="G2316" s="2">
        <f t="shared" si="36"/>
        <v>0</v>
      </c>
      <c r="H2316" s="2">
        <v>0</v>
      </c>
    </row>
    <row r="2317" spans="2:8">
      <c r="B2317" t="s">
        <v>95</v>
      </c>
      <c r="C2317" t="s">
        <v>777</v>
      </c>
      <c r="D2317" s="7" t="s">
        <v>476</v>
      </c>
      <c r="E2317" s="1">
        <v>0</v>
      </c>
      <c r="G2317" s="2">
        <f t="shared" si="36"/>
        <v>0</v>
      </c>
      <c r="H2317" s="2">
        <v>0</v>
      </c>
    </row>
    <row r="2318" spans="2:8">
      <c r="B2318" t="s">
        <v>95</v>
      </c>
      <c r="C2318" t="s">
        <v>777</v>
      </c>
      <c r="D2318" s="8" t="s">
        <v>477</v>
      </c>
      <c r="E2318" s="1">
        <v>0</v>
      </c>
      <c r="G2318" s="2">
        <f t="shared" si="36"/>
        <v>0</v>
      </c>
      <c r="H2318" s="2">
        <v>0</v>
      </c>
    </row>
    <row r="2319" spans="2:8">
      <c r="B2319" t="s">
        <v>95</v>
      </c>
      <c r="C2319" t="s">
        <v>777</v>
      </c>
      <c r="D2319" s="9" t="s">
        <v>478</v>
      </c>
      <c r="E2319" s="1">
        <v>0</v>
      </c>
      <c r="G2319" s="2">
        <f t="shared" si="36"/>
        <v>0</v>
      </c>
      <c r="H2319" s="2">
        <v>0</v>
      </c>
    </row>
    <row r="2320" spans="2:8">
      <c r="B2320" t="s">
        <v>95</v>
      </c>
      <c r="C2320" t="s">
        <v>777</v>
      </c>
      <c r="D2320" s="10" t="s">
        <v>479</v>
      </c>
      <c r="E2320" s="1">
        <v>0</v>
      </c>
      <c r="G2320" s="2">
        <f t="shared" si="36"/>
        <v>0</v>
      </c>
      <c r="H2320" s="2">
        <v>0</v>
      </c>
    </row>
    <row r="2321" spans="2:8">
      <c r="B2321" t="s">
        <v>95</v>
      </c>
      <c r="C2321" t="s">
        <v>777</v>
      </c>
      <c r="D2321" s="11" t="s">
        <v>480</v>
      </c>
      <c r="E2321" s="1">
        <v>0</v>
      </c>
      <c r="G2321" s="2">
        <f t="shared" si="36"/>
        <v>0</v>
      </c>
      <c r="H2321" s="2">
        <v>0</v>
      </c>
    </row>
    <row r="2322" spans="2:8">
      <c r="B2322" t="s">
        <v>95</v>
      </c>
      <c r="C2322" t="s">
        <v>777</v>
      </c>
      <c r="D2322" s="13" t="s">
        <v>481</v>
      </c>
      <c r="E2322" s="1">
        <v>0</v>
      </c>
      <c r="G2322" s="2">
        <f t="shared" si="36"/>
        <v>0</v>
      </c>
      <c r="H2322" s="2">
        <v>0</v>
      </c>
    </row>
    <row r="2323" spans="2:8">
      <c r="B2323" t="s">
        <v>95</v>
      </c>
      <c r="C2323" t="s">
        <v>777</v>
      </c>
      <c r="D2323" s="12" t="s">
        <v>1033</v>
      </c>
      <c r="E2323" s="1">
        <v>0</v>
      </c>
      <c r="G2323" s="2">
        <f t="shared" si="36"/>
        <v>0</v>
      </c>
      <c r="H2323" s="2">
        <v>0</v>
      </c>
    </row>
    <row r="2324" spans="2:8">
      <c r="B2324" t="s">
        <v>271</v>
      </c>
      <c r="C2324" t="s">
        <v>778</v>
      </c>
      <c r="D2324" s="5" t="s">
        <v>474</v>
      </c>
      <c r="E2324" s="1">
        <v>0</v>
      </c>
      <c r="G2324" s="2">
        <f t="shared" si="36"/>
        <v>0</v>
      </c>
      <c r="H2324" s="2">
        <v>0</v>
      </c>
    </row>
    <row r="2325" spans="2:8">
      <c r="B2325" t="s">
        <v>271</v>
      </c>
      <c r="C2325" t="s">
        <v>778</v>
      </c>
      <c r="D2325" s="6" t="s">
        <v>475</v>
      </c>
      <c r="E2325" s="1">
        <v>0</v>
      </c>
      <c r="G2325" s="2">
        <f t="shared" si="36"/>
        <v>0</v>
      </c>
      <c r="H2325" s="2">
        <v>0</v>
      </c>
    </row>
    <row r="2326" spans="2:8">
      <c r="B2326" t="s">
        <v>271</v>
      </c>
      <c r="C2326" t="s">
        <v>778</v>
      </c>
      <c r="D2326" s="7" t="s">
        <v>476</v>
      </c>
      <c r="E2326" s="1">
        <v>0</v>
      </c>
      <c r="G2326" s="2">
        <f t="shared" si="36"/>
        <v>0</v>
      </c>
      <c r="H2326" s="2">
        <v>0</v>
      </c>
    </row>
    <row r="2327" spans="2:8">
      <c r="B2327" t="s">
        <v>271</v>
      </c>
      <c r="C2327" t="s">
        <v>778</v>
      </c>
      <c r="D2327" s="8" t="s">
        <v>477</v>
      </c>
      <c r="E2327" s="1">
        <v>0</v>
      </c>
      <c r="G2327" s="2">
        <f t="shared" si="36"/>
        <v>0</v>
      </c>
      <c r="H2327" s="2">
        <v>0</v>
      </c>
    </row>
    <row r="2328" spans="2:8">
      <c r="B2328" t="s">
        <v>271</v>
      </c>
      <c r="C2328" t="s">
        <v>778</v>
      </c>
      <c r="D2328" s="9" t="s">
        <v>478</v>
      </c>
      <c r="E2328" s="1">
        <v>0</v>
      </c>
      <c r="G2328" s="2">
        <f t="shared" si="36"/>
        <v>0</v>
      </c>
      <c r="H2328" s="2">
        <v>0</v>
      </c>
    </row>
    <row r="2329" spans="2:8">
      <c r="B2329" t="s">
        <v>271</v>
      </c>
      <c r="C2329" t="s">
        <v>778</v>
      </c>
      <c r="D2329" s="10" t="s">
        <v>479</v>
      </c>
      <c r="E2329" s="1">
        <v>0</v>
      </c>
      <c r="G2329" s="2">
        <f t="shared" si="36"/>
        <v>0</v>
      </c>
      <c r="H2329" s="2">
        <v>0</v>
      </c>
    </row>
    <row r="2330" spans="2:8">
      <c r="B2330" t="s">
        <v>271</v>
      </c>
      <c r="C2330" t="s">
        <v>778</v>
      </c>
      <c r="D2330" s="11" t="s">
        <v>480</v>
      </c>
      <c r="E2330" s="1">
        <v>0</v>
      </c>
      <c r="G2330" s="2">
        <f t="shared" si="36"/>
        <v>0</v>
      </c>
      <c r="H2330" s="2">
        <v>0</v>
      </c>
    </row>
    <row r="2331" spans="2:8">
      <c r="B2331" t="s">
        <v>271</v>
      </c>
      <c r="C2331" t="s">
        <v>778</v>
      </c>
      <c r="D2331" s="13" t="s">
        <v>481</v>
      </c>
      <c r="E2331" s="1">
        <v>0</v>
      </c>
      <c r="G2331" s="2">
        <f t="shared" si="36"/>
        <v>0</v>
      </c>
      <c r="H2331" s="2">
        <v>0</v>
      </c>
    </row>
    <row r="2332" spans="2:8">
      <c r="B2332" t="s">
        <v>271</v>
      </c>
      <c r="C2332" t="s">
        <v>778</v>
      </c>
      <c r="D2332" s="12" t="s">
        <v>1033</v>
      </c>
      <c r="E2332" s="1">
        <v>0</v>
      </c>
      <c r="G2332" s="2">
        <f t="shared" si="36"/>
        <v>0</v>
      </c>
      <c r="H2332" s="2">
        <v>0</v>
      </c>
    </row>
    <row r="2333" spans="2:8">
      <c r="B2333" t="s">
        <v>96</v>
      </c>
      <c r="C2333" t="s">
        <v>779</v>
      </c>
      <c r="D2333" s="5" t="s">
        <v>474</v>
      </c>
      <c r="E2333" s="1">
        <v>0</v>
      </c>
      <c r="G2333" s="2">
        <f t="shared" si="36"/>
        <v>0</v>
      </c>
      <c r="H2333" s="2">
        <v>0</v>
      </c>
    </row>
    <row r="2334" spans="2:8">
      <c r="B2334" t="s">
        <v>96</v>
      </c>
      <c r="C2334" t="s">
        <v>779</v>
      </c>
      <c r="D2334" s="6" t="s">
        <v>475</v>
      </c>
      <c r="E2334" s="1">
        <v>0</v>
      </c>
      <c r="G2334" s="2">
        <f t="shared" si="36"/>
        <v>0</v>
      </c>
      <c r="H2334" s="2">
        <v>0</v>
      </c>
    </row>
    <row r="2335" spans="2:8">
      <c r="B2335" t="s">
        <v>96</v>
      </c>
      <c r="C2335" t="s">
        <v>779</v>
      </c>
      <c r="D2335" s="7" t="s">
        <v>476</v>
      </c>
      <c r="E2335" s="1">
        <v>0</v>
      </c>
      <c r="G2335" s="2">
        <f t="shared" si="36"/>
        <v>0</v>
      </c>
      <c r="H2335" s="2">
        <v>0</v>
      </c>
    </row>
    <row r="2336" spans="2:8">
      <c r="B2336" t="s">
        <v>96</v>
      </c>
      <c r="C2336" t="s">
        <v>779</v>
      </c>
      <c r="D2336" s="8" t="s">
        <v>477</v>
      </c>
      <c r="E2336" s="1">
        <v>0</v>
      </c>
      <c r="G2336" s="2">
        <f t="shared" si="36"/>
        <v>0</v>
      </c>
      <c r="H2336" s="2">
        <v>0</v>
      </c>
    </row>
    <row r="2337" spans="2:8">
      <c r="B2337" t="s">
        <v>96</v>
      </c>
      <c r="C2337" t="s">
        <v>779</v>
      </c>
      <c r="D2337" s="9" t="s">
        <v>478</v>
      </c>
      <c r="E2337" s="1">
        <v>0</v>
      </c>
      <c r="G2337" s="2">
        <f t="shared" si="36"/>
        <v>0</v>
      </c>
      <c r="H2337" s="2">
        <v>0</v>
      </c>
    </row>
    <row r="2338" spans="2:8">
      <c r="B2338" t="s">
        <v>96</v>
      </c>
      <c r="C2338" t="s">
        <v>779</v>
      </c>
      <c r="D2338" s="10" t="s">
        <v>479</v>
      </c>
      <c r="E2338" s="1">
        <v>0</v>
      </c>
      <c r="G2338" s="2">
        <f t="shared" si="36"/>
        <v>0</v>
      </c>
      <c r="H2338" s="2">
        <v>0</v>
      </c>
    </row>
    <row r="2339" spans="2:8">
      <c r="B2339" t="s">
        <v>96</v>
      </c>
      <c r="C2339" t="s">
        <v>779</v>
      </c>
      <c r="D2339" s="11" t="s">
        <v>480</v>
      </c>
      <c r="E2339" s="1">
        <v>0</v>
      </c>
      <c r="G2339" s="2">
        <f t="shared" si="36"/>
        <v>0</v>
      </c>
      <c r="H2339" s="2">
        <v>0</v>
      </c>
    </row>
    <row r="2340" spans="2:8">
      <c r="B2340" t="s">
        <v>96</v>
      </c>
      <c r="C2340" t="s">
        <v>779</v>
      </c>
      <c r="D2340" s="13" t="s">
        <v>481</v>
      </c>
      <c r="E2340" s="1">
        <v>0</v>
      </c>
      <c r="G2340" s="2">
        <f t="shared" si="36"/>
        <v>0</v>
      </c>
      <c r="H2340" s="2">
        <v>0</v>
      </c>
    </row>
    <row r="2341" spans="2:8">
      <c r="B2341" t="s">
        <v>96</v>
      </c>
      <c r="C2341" t="s">
        <v>779</v>
      </c>
      <c r="D2341" s="12" t="s">
        <v>1033</v>
      </c>
      <c r="E2341" s="1">
        <v>0</v>
      </c>
      <c r="G2341" s="2">
        <f t="shared" si="36"/>
        <v>0</v>
      </c>
      <c r="H2341" s="2">
        <v>0</v>
      </c>
    </row>
    <row r="2342" spans="2:8">
      <c r="B2342" t="s">
        <v>56</v>
      </c>
      <c r="C2342" t="s">
        <v>780</v>
      </c>
      <c r="D2342" s="5" t="s">
        <v>474</v>
      </c>
      <c r="E2342" s="1">
        <v>0</v>
      </c>
      <c r="G2342" s="2">
        <f t="shared" si="36"/>
        <v>0</v>
      </c>
      <c r="H2342" s="2">
        <v>0</v>
      </c>
    </row>
    <row r="2343" spans="2:8">
      <c r="B2343" t="s">
        <v>56</v>
      </c>
      <c r="C2343" t="s">
        <v>780</v>
      </c>
      <c r="D2343" s="6" t="s">
        <v>475</v>
      </c>
      <c r="E2343" s="1">
        <v>0</v>
      </c>
      <c r="G2343" s="2">
        <f t="shared" si="36"/>
        <v>0</v>
      </c>
      <c r="H2343" s="2">
        <v>0</v>
      </c>
    </row>
    <row r="2344" spans="2:8">
      <c r="B2344" t="s">
        <v>56</v>
      </c>
      <c r="C2344" t="s">
        <v>780</v>
      </c>
      <c r="D2344" s="7" t="s">
        <v>476</v>
      </c>
      <c r="E2344" s="1">
        <v>0</v>
      </c>
      <c r="G2344" s="2">
        <f t="shared" si="36"/>
        <v>0</v>
      </c>
      <c r="H2344" s="2">
        <v>0</v>
      </c>
    </row>
    <row r="2345" spans="2:8">
      <c r="B2345" t="s">
        <v>56</v>
      </c>
      <c r="C2345" t="s">
        <v>780</v>
      </c>
      <c r="D2345" s="8" t="s">
        <v>477</v>
      </c>
      <c r="E2345" s="1">
        <v>0</v>
      </c>
      <c r="G2345" s="2">
        <f t="shared" si="36"/>
        <v>0</v>
      </c>
      <c r="H2345" s="2">
        <v>0</v>
      </c>
    </row>
    <row r="2346" spans="2:8">
      <c r="B2346" t="s">
        <v>56</v>
      </c>
      <c r="C2346" t="s">
        <v>780</v>
      </c>
      <c r="D2346" s="9" t="s">
        <v>478</v>
      </c>
      <c r="E2346" s="1">
        <v>0</v>
      </c>
      <c r="G2346" s="2">
        <f t="shared" si="36"/>
        <v>0</v>
      </c>
      <c r="H2346" s="2">
        <v>0</v>
      </c>
    </row>
    <row r="2347" spans="2:8">
      <c r="B2347" t="s">
        <v>56</v>
      </c>
      <c r="C2347" t="s">
        <v>780</v>
      </c>
      <c r="D2347" s="10" t="s">
        <v>479</v>
      </c>
      <c r="E2347" s="1">
        <v>0</v>
      </c>
      <c r="G2347" s="2">
        <f t="shared" si="36"/>
        <v>0</v>
      </c>
      <c r="H2347" s="2">
        <v>0</v>
      </c>
    </row>
    <row r="2348" spans="2:8">
      <c r="B2348" t="s">
        <v>56</v>
      </c>
      <c r="C2348" t="s">
        <v>780</v>
      </c>
      <c r="D2348" s="11" t="s">
        <v>480</v>
      </c>
      <c r="E2348" s="1">
        <v>0</v>
      </c>
      <c r="G2348" s="2">
        <f t="shared" si="36"/>
        <v>0</v>
      </c>
      <c r="H2348" s="2">
        <v>0</v>
      </c>
    </row>
    <row r="2349" spans="2:8">
      <c r="B2349" t="s">
        <v>56</v>
      </c>
      <c r="C2349" t="s">
        <v>780</v>
      </c>
      <c r="D2349" s="13" t="s">
        <v>481</v>
      </c>
      <c r="E2349" s="1">
        <v>0</v>
      </c>
      <c r="G2349" s="2">
        <f t="shared" si="36"/>
        <v>0</v>
      </c>
      <c r="H2349" s="2">
        <v>0</v>
      </c>
    </row>
    <row r="2350" spans="2:8">
      <c r="B2350" t="s">
        <v>56</v>
      </c>
      <c r="C2350" t="s">
        <v>780</v>
      </c>
      <c r="D2350" s="12" t="s">
        <v>1033</v>
      </c>
      <c r="E2350" s="1">
        <v>0</v>
      </c>
      <c r="G2350" s="2">
        <f t="shared" si="36"/>
        <v>0</v>
      </c>
      <c r="H2350" s="2">
        <v>0</v>
      </c>
    </row>
    <row r="2351" spans="2:8">
      <c r="B2351" t="s">
        <v>930</v>
      </c>
      <c r="C2351" t="s">
        <v>931</v>
      </c>
      <c r="D2351" s="5" t="s">
        <v>474</v>
      </c>
      <c r="E2351" s="1">
        <v>0</v>
      </c>
      <c r="G2351" s="2">
        <f t="shared" si="36"/>
        <v>0</v>
      </c>
      <c r="H2351" s="2">
        <v>0</v>
      </c>
    </row>
    <row r="2352" spans="2:8">
      <c r="B2352" t="s">
        <v>930</v>
      </c>
      <c r="C2352" t="s">
        <v>931</v>
      </c>
      <c r="D2352" s="6" t="s">
        <v>475</v>
      </c>
      <c r="E2352" s="1">
        <v>0</v>
      </c>
      <c r="G2352" s="2">
        <f t="shared" si="36"/>
        <v>0</v>
      </c>
      <c r="H2352" s="2">
        <v>0</v>
      </c>
    </row>
    <row r="2353" spans="2:8">
      <c r="B2353" t="s">
        <v>930</v>
      </c>
      <c r="C2353" t="s">
        <v>931</v>
      </c>
      <c r="D2353" s="7" t="s">
        <v>476</v>
      </c>
      <c r="E2353" s="1">
        <v>0</v>
      </c>
      <c r="G2353" s="2">
        <f t="shared" si="36"/>
        <v>0</v>
      </c>
      <c r="H2353" s="2">
        <v>0</v>
      </c>
    </row>
    <row r="2354" spans="2:8">
      <c r="B2354" t="s">
        <v>930</v>
      </c>
      <c r="C2354" t="s">
        <v>931</v>
      </c>
      <c r="D2354" s="8" t="s">
        <v>477</v>
      </c>
      <c r="E2354" s="1">
        <v>0</v>
      </c>
      <c r="G2354" s="2">
        <f t="shared" si="36"/>
        <v>0</v>
      </c>
      <c r="H2354" s="2">
        <v>0</v>
      </c>
    </row>
    <row r="2355" spans="2:8">
      <c r="B2355" t="s">
        <v>930</v>
      </c>
      <c r="C2355" t="s">
        <v>931</v>
      </c>
      <c r="D2355" s="9" t="s">
        <v>478</v>
      </c>
      <c r="E2355" s="1">
        <v>0</v>
      </c>
      <c r="G2355" s="2">
        <f t="shared" si="36"/>
        <v>0</v>
      </c>
      <c r="H2355" s="2">
        <v>0</v>
      </c>
    </row>
    <row r="2356" spans="2:8">
      <c r="B2356" t="s">
        <v>930</v>
      </c>
      <c r="C2356" t="s">
        <v>931</v>
      </c>
      <c r="D2356" s="10" t="s">
        <v>479</v>
      </c>
      <c r="E2356" s="1">
        <v>0</v>
      </c>
      <c r="G2356" s="2">
        <f t="shared" si="36"/>
        <v>0</v>
      </c>
      <c r="H2356" s="2">
        <v>0</v>
      </c>
    </row>
    <row r="2357" spans="2:8">
      <c r="B2357" t="s">
        <v>930</v>
      </c>
      <c r="C2357" t="s">
        <v>931</v>
      </c>
      <c r="D2357" s="11" t="s">
        <v>480</v>
      </c>
      <c r="E2357" s="1">
        <v>0</v>
      </c>
      <c r="G2357" s="2">
        <f t="shared" si="36"/>
        <v>0</v>
      </c>
      <c r="H2357" s="2">
        <v>0</v>
      </c>
    </row>
    <row r="2358" spans="2:8">
      <c r="B2358" t="s">
        <v>930</v>
      </c>
      <c r="C2358" t="s">
        <v>931</v>
      </c>
      <c r="D2358" s="13" t="s">
        <v>481</v>
      </c>
      <c r="E2358" s="1">
        <v>0</v>
      </c>
      <c r="G2358" s="2">
        <f t="shared" si="36"/>
        <v>0</v>
      </c>
      <c r="H2358" s="2">
        <v>0</v>
      </c>
    </row>
    <row r="2359" spans="2:8">
      <c r="B2359" t="s">
        <v>930</v>
      </c>
      <c r="C2359" t="s">
        <v>931</v>
      </c>
      <c r="D2359" s="12" t="s">
        <v>1033</v>
      </c>
      <c r="E2359" s="1">
        <v>0</v>
      </c>
      <c r="G2359" s="2">
        <f t="shared" si="36"/>
        <v>0</v>
      </c>
      <c r="H2359" s="2">
        <v>0</v>
      </c>
    </row>
    <row r="2360" spans="2:8">
      <c r="B2360" t="s">
        <v>889</v>
      </c>
      <c r="C2360" t="s">
        <v>909</v>
      </c>
      <c r="D2360" s="5" t="s">
        <v>474</v>
      </c>
      <c r="E2360" s="1">
        <v>0</v>
      </c>
      <c r="G2360" s="2">
        <f t="shared" si="36"/>
        <v>0</v>
      </c>
      <c r="H2360" s="2">
        <v>0</v>
      </c>
    </row>
    <row r="2361" spans="2:8">
      <c r="B2361" t="s">
        <v>889</v>
      </c>
      <c r="C2361" t="s">
        <v>909</v>
      </c>
      <c r="D2361" s="6" t="s">
        <v>475</v>
      </c>
      <c r="E2361" s="1">
        <v>0</v>
      </c>
      <c r="G2361" s="2">
        <f t="shared" si="36"/>
        <v>0</v>
      </c>
      <c r="H2361" s="2">
        <v>0</v>
      </c>
    </row>
    <row r="2362" spans="2:8">
      <c r="B2362" t="s">
        <v>889</v>
      </c>
      <c r="C2362" t="s">
        <v>909</v>
      </c>
      <c r="D2362" s="7" t="s">
        <v>476</v>
      </c>
      <c r="E2362" s="1">
        <v>0</v>
      </c>
      <c r="G2362" s="2">
        <f t="shared" si="36"/>
        <v>0</v>
      </c>
      <c r="H2362" s="2">
        <v>0</v>
      </c>
    </row>
    <row r="2363" spans="2:8">
      <c r="B2363" t="s">
        <v>889</v>
      </c>
      <c r="C2363" t="s">
        <v>909</v>
      </c>
      <c r="D2363" s="8" t="s">
        <v>477</v>
      </c>
      <c r="E2363" s="1">
        <v>0</v>
      </c>
      <c r="G2363" s="2">
        <f t="shared" si="36"/>
        <v>0</v>
      </c>
      <c r="H2363" s="2">
        <v>0</v>
      </c>
    </row>
    <row r="2364" spans="2:8">
      <c r="B2364" t="s">
        <v>889</v>
      </c>
      <c r="C2364" t="s">
        <v>909</v>
      </c>
      <c r="D2364" s="9" t="s">
        <v>478</v>
      </c>
      <c r="E2364" s="1">
        <v>0</v>
      </c>
      <c r="G2364" s="2">
        <f t="shared" si="36"/>
        <v>0</v>
      </c>
      <c r="H2364" s="2">
        <v>0</v>
      </c>
    </row>
    <row r="2365" spans="2:8">
      <c r="B2365" t="s">
        <v>889</v>
      </c>
      <c r="C2365" t="s">
        <v>909</v>
      </c>
      <c r="D2365" s="10" t="s">
        <v>479</v>
      </c>
      <c r="E2365" s="1">
        <v>0</v>
      </c>
      <c r="G2365" s="2">
        <f t="shared" si="36"/>
        <v>0</v>
      </c>
      <c r="H2365" s="2">
        <v>0</v>
      </c>
    </row>
    <row r="2366" spans="2:8">
      <c r="B2366" t="s">
        <v>889</v>
      </c>
      <c r="C2366" t="s">
        <v>909</v>
      </c>
      <c r="D2366" s="11" t="s">
        <v>480</v>
      </c>
      <c r="E2366" s="1">
        <v>0</v>
      </c>
      <c r="G2366" s="2">
        <f t="shared" si="36"/>
        <v>0</v>
      </c>
      <c r="H2366" s="2">
        <v>0</v>
      </c>
    </row>
    <row r="2367" spans="2:8">
      <c r="B2367" t="s">
        <v>889</v>
      </c>
      <c r="C2367" t="s">
        <v>909</v>
      </c>
      <c r="D2367" s="13" t="s">
        <v>481</v>
      </c>
      <c r="E2367" s="1">
        <v>0</v>
      </c>
      <c r="G2367" s="2">
        <f t="shared" si="36"/>
        <v>0</v>
      </c>
      <c r="H2367" s="2">
        <v>0</v>
      </c>
    </row>
    <row r="2368" spans="2:8">
      <c r="B2368" t="s">
        <v>889</v>
      </c>
      <c r="C2368" t="s">
        <v>909</v>
      </c>
      <c r="D2368" s="12" t="s">
        <v>1033</v>
      </c>
      <c r="E2368" s="1">
        <v>0</v>
      </c>
      <c r="G2368" s="2">
        <f t="shared" si="36"/>
        <v>0</v>
      </c>
      <c r="H2368" s="2">
        <v>0</v>
      </c>
    </row>
    <row r="2369" spans="2:8">
      <c r="B2369" t="s">
        <v>64</v>
      </c>
      <c r="C2369" t="s">
        <v>781</v>
      </c>
      <c r="D2369" s="5" t="s">
        <v>474</v>
      </c>
      <c r="E2369" s="1">
        <v>0</v>
      </c>
      <c r="G2369" s="2">
        <f t="shared" si="36"/>
        <v>0</v>
      </c>
      <c r="H2369" s="2">
        <v>0</v>
      </c>
    </row>
    <row r="2370" spans="2:8">
      <c r="B2370" t="s">
        <v>64</v>
      </c>
      <c r="C2370" t="s">
        <v>781</v>
      </c>
      <c r="D2370" s="6" t="s">
        <v>475</v>
      </c>
      <c r="E2370" s="1">
        <v>0</v>
      </c>
      <c r="G2370" s="2">
        <f t="shared" ref="G2370:G2433" si="37">E2370*F2370</f>
        <v>0</v>
      </c>
      <c r="H2370" s="2">
        <v>0</v>
      </c>
    </row>
    <row r="2371" spans="2:8">
      <c r="B2371" t="s">
        <v>64</v>
      </c>
      <c r="C2371" t="s">
        <v>781</v>
      </c>
      <c r="D2371" s="7" t="s">
        <v>476</v>
      </c>
      <c r="E2371" s="1">
        <v>0</v>
      </c>
      <c r="G2371" s="2">
        <f t="shared" si="37"/>
        <v>0</v>
      </c>
      <c r="H2371" s="2">
        <v>0</v>
      </c>
    </row>
    <row r="2372" spans="2:8">
      <c r="B2372" t="s">
        <v>64</v>
      </c>
      <c r="C2372" t="s">
        <v>781</v>
      </c>
      <c r="D2372" s="8" t="s">
        <v>477</v>
      </c>
      <c r="E2372" s="1">
        <v>0</v>
      </c>
      <c r="G2372" s="2">
        <f t="shared" si="37"/>
        <v>0</v>
      </c>
      <c r="H2372" s="2">
        <v>0</v>
      </c>
    </row>
    <row r="2373" spans="2:8">
      <c r="B2373" t="s">
        <v>64</v>
      </c>
      <c r="C2373" t="s">
        <v>781</v>
      </c>
      <c r="D2373" s="9" t="s">
        <v>478</v>
      </c>
      <c r="E2373" s="1">
        <v>0</v>
      </c>
      <c r="G2373" s="2">
        <f t="shared" si="37"/>
        <v>0</v>
      </c>
      <c r="H2373" s="2">
        <v>0</v>
      </c>
    </row>
    <row r="2374" spans="2:8">
      <c r="B2374" t="s">
        <v>64</v>
      </c>
      <c r="C2374" t="s">
        <v>781</v>
      </c>
      <c r="D2374" s="10" t="s">
        <v>479</v>
      </c>
      <c r="E2374" s="1">
        <v>0</v>
      </c>
      <c r="G2374" s="2">
        <f t="shared" si="37"/>
        <v>0</v>
      </c>
      <c r="H2374" s="2">
        <v>0</v>
      </c>
    </row>
    <row r="2375" spans="2:8">
      <c r="B2375" t="s">
        <v>64</v>
      </c>
      <c r="C2375" t="s">
        <v>781</v>
      </c>
      <c r="D2375" s="11" t="s">
        <v>480</v>
      </c>
      <c r="E2375" s="1">
        <v>0</v>
      </c>
      <c r="G2375" s="2">
        <f t="shared" si="37"/>
        <v>0</v>
      </c>
      <c r="H2375" s="2">
        <v>0</v>
      </c>
    </row>
    <row r="2376" spans="2:8">
      <c r="B2376" t="s">
        <v>64</v>
      </c>
      <c r="C2376" t="s">
        <v>781</v>
      </c>
      <c r="D2376" s="13" t="s">
        <v>481</v>
      </c>
      <c r="E2376" s="1">
        <v>0</v>
      </c>
      <c r="G2376" s="2">
        <f t="shared" si="37"/>
        <v>0</v>
      </c>
      <c r="H2376" s="2">
        <v>0</v>
      </c>
    </row>
    <row r="2377" spans="2:8">
      <c r="B2377" t="s">
        <v>64</v>
      </c>
      <c r="C2377" t="s">
        <v>781</v>
      </c>
      <c r="D2377" s="12" t="s">
        <v>1033</v>
      </c>
      <c r="E2377" s="1">
        <v>0</v>
      </c>
      <c r="G2377" s="2">
        <f t="shared" si="37"/>
        <v>0</v>
      </c>
      <c r="H2377" s="2">
        <v>0</v>
      </c>
    </row>
    <row r="2378" spans="2:8">
      <c r="B2378" t="s">
        <v>65</v>
      </c>
      <c r="C2378" t="s">
        <v>782</v>
      </c>
      <c r="D2378" s="5" t="s">
        <v>474</v>
      </c>
      <c r="E2378" s="1">
        <v>0</v>
      </c>
      <c r="G2378" s="2">
        <f t="shared" si="37"/>
        <v>0</v>
      </c>
      <c r="H2378" s="2">
        <v>0</v>
      </c>
    </row>
    <row r="2379" spans="2:8">
      <c r="B2379" t="s">
        <v>65</v>
      </c>
      <c r="C2379" t="s">
        <v>782</v>
      </c>
      <c r="D2379" s="6" t="s">
        <v>475</v>
      </c>
      <c r="E2379" s="1">
        <v>0</v>
      </c>
      <c r="G2379" s="2">
        <f t="shared" si="37"/>
        <v>0</v>
      </c>
      <c r="H2379" s="2">
        <v>0</v>
      </c>
    </row>
    <row r="2380" spans="2:8">
      <c r="B2380" t="s">
        <v>65</v>
      </c>
      <c r="C2380" t="s">
        <v>782</v>
      </c>
      <c r="D2380" s="7" t="s">
        <v>476</v>
      </c>
      <c r="E2380" s="1">
        <v>0</v>
      </c>
      <c r="G2380" s="2">
        <f t="shared" si="37"/>
        <v>0</v>
      </c>
      <c r="H2380" s="2">
        <v>0</v>
      </c>
    </row>
    <row r="2381" spans="2:8">
      <c r="B2381" t="s">
        <v>65</v>
      </c>
      <c r="C2381" t="s">
        <v>782</v>
      </c>
      <c r="D2381" s="8" t="s">
        <v>477</v>
      </c>
      <c r="E2381" s="1">
        <v>0</v>
      </c>
      <c r="G2381" s="2">
        <f t="shared" si="37"/>
        <v>0</v>
      </c>
      <c r="H2381" s="2">
        <v>0</v>
      </c>
    </row>
    <row r="2382" spans="2:8">
      <c r="B2382" t="s">
        <v>65</v>
      </c>
      <c r="C2382" t="s">
        <v>782</v>
      </c>
      <c r="D2382" s="9" t="s">
        <v>478</v>
      </c>
      <c r="E2382" s="1">
        <v>0</v>
      </c>
      <c r="G2382" s="2">
        <f t="shared" si="37"/>
        <v>0</v>
      </c>
      <c r="H2382" s="2">
        <v>0</v>
      </c>
    </row>
    <row r="2383" spans="2:8">
      <c r="B2383" t="s">
        <v>65</v>
      </c>
      <c r="C2383" t="s">
        <v>782</v>
      </c>
      <c r="D2383" s="10" t="s">
        <v>479</v>
      </c>
      <c r="E2383" s="1">
        <v>0</v>
      </c>
      <c r="G2383" s="2">
        <f t="shared" si="37"/>
        <v>0</v>
      </c>
      <c r="H2383" s="2">
        <v>0</v>
      </c>
    </row>
    <row r="2384" spans="2:8">
      <c r="B2384" t="s">
        <v>65</v>
      </c>
      <c r="C2384" t="s">
        <v>782</v>
      </c>
      <c r="D2384" s="11" t="s">
        <v>480</v>
      </c>
      <c r="E2384" s="1">
        <v>0</v>
      </c>
      <c r="G2384" s="2">
        <f t="shared" si="37"/>
        <v>0</v>
      </c>
      <c r="H2384" s="2">
        <v>0</v>
      </c>
    </row>
    <row r="2385" spans="2:8">
      <c r="B2385" t="s">
        <v>65</v>
      </c>
      <c r="C2385" t="s">
        <v>782</v>
      </c>
      <c r="D2385" s="13" t="s">
        <v>481</v>
      </c>
      <c r="E2385" s="1">
        <v>0</v>
      </c>
      <c r="G2385" s="2">
        <f t="shared" si="37"/>
        <v>0</v>
      </c>
      <c r="H2385" s="2">
        <v>0</v>
      </c>
    </row>
    <row r="2386" spans="2:8">
      <c r="B2386" t="s">
        <v>65</v>
      </c>
      <c r="C2386" t="s">
        <v>782</v>
      </c>
      <c r="D2386" s="12" t="s">
        <v>1033</v>
      </c>
      <c r="E2386" s="1">
        <v>0</v>
      </c>
      <c r="G2386" s="2">
        <f t="shared" si="37"/>
        <v>0</v>
      </c>
      <c r="H2386" s="2">
        <v>0</v>
      </c>
    </row>
    <row r="2387" spans="2:8">
      <c r="B2387" t="s">
        <v>92</v>
      </c>
      <c r="C2387" t="s">
        <v>783</v>
      </c>
      <c r="D2387" s="5" t="s">
        <v>474</v>
      </c>
      <c r="E2387" s="1">
        <v>0</v>
      </c>
      <c r="G2387" s="2">
        <f t="shared" si="37"/>
        <v>0</v>
      </c>
      <c r="H2387" s="2">
        <v>0</v>
      </c>
    </row>
    <row r="2388" spans="2:8">
      <c r="B2388" t="s">
        <v>92</v>
      </c>
      <c r="C2388" t="s">
        <v>783</v>
      </c>
      <c r="D2388" s="6" t="s">
        <v>475</v>
      </c>
      <c r="E2388" s="1">
        <v>0</v>
      </c>
      <c r="G2388" s="2">
        <f t="shared" si="37"/>
        <v>0</v>
      </c>
      <c r="H2388" s="2">
        <v>0</v>
      </c>
    </row>
    <row r="2389" spans="2:8">
      <c r="B2389" t="s">
        <v>92</v>
      </c>
      <c r="C2389" t="s">
        <v>783</v>
      </c>
      <c r="D2389" s="7" t="s">
        <v>476</v>
      </c>
      <c r="E2389" s="1">
        <v>0</v>
      </c>
      <c r="G2389" s="2">
        <f t="shared" si="37"/>
        <v>0</v>
      </c>
      <c r="H2389" s="2">
        <v>0</v>
      </c>
    </row>
    <row r="2390" spans="2:8">
      <c r="B2390" t="s">
        <v>92</v>
      </c>
      <c r="C2390" t="s">
        <v>783</v>
      </c>
      <c r="D2390" s="8" t="s">
        <v>477</v>
      </c>
      <c r="E2390" s="1">
        <v>0</v>
      </c>
      <c r="G2390" s="2">
        <f t="shared" si="37"/>
        <v>0</v>
      </c>
      <c r="H2390" s="2">
        <v>0</v>
      </c>
    </row>
    <row r="2391" spans="2:8">
      <c r="B2391" t="s">
        <v>92</v>
      </c>
      <c r="C2391" t="s">
        <v>783</v>
      </c>
      <c r="D2391" s="9" t="s">
        <v>478</v>
      </c>
      <c r="E2391" s="1">
        <v>0</v>
      </c>
      <c r="G2391" s="2">
        <f t="shared" si="37"/>
        <v>0</v>
      </c>
      <c r="H2391" s="2">
        <v>0</v>
      </c>
    </row>
    <row r="2392" spans="2:8">
      <c r="B2392" t="s">
        <v>92</v>
      </c>
      <c r="C2392" t="s">
        <v>783</v>
      </c>
      <c r="D2392" s="10" t="s">
        <v>479</v>
      </c>
      <c r="E2392" s="1">
        <v>0</v>
      </c>
      <c r="G2392" s="2">
        <f t="shared" si="37"/>
        <v>0</v>
      </c>
      <c r="H2392" s="2">
        <v>0</v>
      </c>
    </row>
    <row r="2393" spans="2:8">
      <c r="B2393" t="s">
        <v>92</v>
      </c>
      <c r="C2393" t="s">
        <v>783</v>
      </c>
      <c r="D2393" s="11" t="s">
        <v>480</v>
      </c>
      <c r="E2393" s="1">
        <v>0</v>
      </c>
      <c r="G2393" s="2">
        <f t="shared" si="37"/>
        <v>0</v>
      </c>
      <c r="H2393" s="2">
        <v>0</v>
      </c>
    </row>
    <row r="2394" spans="2:8">
      <c r="B2394" t="s">
        <v>92</v>
      </c>
      <c r="C2394" t="s">
        <v>783</v>
      </c>
      <c r="D2394" s="13" t="s">
        <v>481</v>
      </c>
      <c r="E2394" s="1">
        <v>0</v>
      </c>
      <c r="G2394" s="2">
        <f t="shared" si="37"/>
        <v>0</v>
      </c>
      <c r="H2394" s="2">
        <v>0</v>
      </c>
    </row>
    <row r="2395" spans="2:8">
      <c r="B2395" t="s">
        <v>92</v>
      </c>
      <c r="C2395" t="s">
        <v>783</v>
      </c>
      <c r="D2395" s="12" t="s">
        <v>1033</v>
      </c>
      <c r="E2395" s="1">
        <v>0</v>
      </c>
      <c r="G2395" s="2">
        <f t="shared" si="37"/>
        <v>0</v>
      </c>
      <c r="H2395" s="2">
        <v>0</v>
      </c>
    </row>
    <row r="2396" spans="2:8">
      <c r="B2396" t="s">
        <v>518</v>
      </c>
      <c r="C2396" t="s">
        <v>784</v>
      </c>
      <c r="D2396" s="5" t="s">
        <v>474</v>
      </c>
      <c r="E2396" s="1">
        <v>0</v>
      </c>
      <c r="G2396" s="2">
        <f t="shared" si="37"/>
        <v>0</v>
      </c>
      <c r="H2396" s="2">
        <v>0</v>
      </c>
    </row>
    <row r="2397" spans="2:8">
      <c r="B2397" t="s">
        <v>518</v>
      </c>
      <c r="C2397" t="s">
        <v>784</v>
      </c>
      <c r="D2397" s="6" t="s">
        <v>475</v>
      </c>
      <c r="E2397" s="1">
        <v>0</v>
      </c>
      <c r="G2397" s="2">
        <f t="shared" si="37"/>
        <v>0</v>
      </c>
      <c r="H2397" s="2">
        <v>0</v>
      </c>
    </row>
    <row r="2398" spans="2:8">
      <c r="B2398" t="s">
        <v>518</v>
      </c>
      <c r="C2398" t="s">
        <v>784</v>
      </c>
      <c r="D2398" s="7" t="s">
        <v>476</v>
      </c>
      <c r="E2398" s="1">
        <v>0</v>
      </c>
      <c r="G2398" s="2">
        <f t="shared" si="37"/>
        <v>0</v>
      </c>
      <c r="H2398" s="2">
        <v>0</v>
      </c>
    </row>
    <row r="2399" spans="2:8">
      <c r="B2399" t="s">
        <v>518</v>
      </c>
      <c r="C2399" t="s">
        <v>784</v>
      </c>
      <c r="D2399" s="8" t="s">
        <v>477</v>
      </c>
      <c r="E2399" s="1">
        <v>0</v>
      </c>
      <c r="G2399" s="2">
        <f t="shared" si="37"/>
        <v>0</v>
      </c>
      <c r="H2399" s="2">
        <v>0</v>
      </c>
    </row>
    <row r="2400" spans="2:8">
      <c r="B2400" t="s">
        <v>518</v>
      </c>
      <c r="C2400" t="s">
        <v>784</v>
      </c>
      <c r="D2400" s="9" t="s">
        <v>478</v>
      </c>
      <c r="E2400" s="1">
        <v>0</v>
      </c>
      <c r="G2400" s="2">
        <f t="shared" si="37"/>
        <v>0</v>
      </c>
      <c r="H2400" s="2">
        <v>0</v>
      </c>
    </row>
    <row r="2401" spans="2:8">
      <c r="B2401" t="s">
        <v>518</v>
      </c>
      <c r="C2401" t="s">
        <v>784</v>
      </c>
      <c r="D2401" s="10" t="s">
        <v>479</v>
      </c>
      <c r="E2401" s="1">
        <v>0</v>
      </c>
      <c r="G2401" s="2">
        <f t="shared" si="37"/>
        <v>0</v>
      </c>
      <c r="H2401" s="2">
        <v>0</v>
      </c>
    </row>
    <row r="2402" spans="2:8">
      <c r="B2402" t="s">
        <v>518</v>
      </c>
      <c r="C2402" t="s">
        <v>784</v>
      </c>
      <c r="D2402" s="11" t="s">
        <v>480</v>
      </c>
      <c r="E2402" s="1">
        <v>0</v>
      </c>
      <c r="G2402" s="2">
        <f t="shared" si="37"/>
        <v>0</v>
      </c>
      <c r="H2402" s="2">
        <v>0</v>
      </c>
    </row>
    <row r="2403" spans="2:8">
      <c r="B2403" t="s">
        <v>518</v>
      </c>
      <c r="C2403" t="s">
        <v>784</v>
      </c>
      <c r="D2403" s="13" t="s">
        <v>481</v>
      </c>
      <c r="E2403" s="1">
        <v>0</v>
      </c>
      <c r="G2403" s="2">
        <f t="shared" si="37"/>
        <v>0</v>
      </c>
      <c r="H2403" s="2">
        <v>0</v>
      </c>
    </row>
    <row r="2404" spans="2:8">
      <c r="B2404" t="s">
        <v>518</v>
      </c>
      <c r="C2404" t="s">
        <v>784</v>
      </c>
      <c r="D2404" s="12" t="s">
        <v>1033</v>
      </c>
      <c r="E2404" s="1">
        <v>0</v>
      </c>
      <c r="G2404" s="2">
        <f t="shared" si="37"/>
        <v>0</v>
      </c>
      <c r="H2404" s="2">
        <v>0</v>
      </c>
    </row>
    <row r="2405" spans="2:8">
      <c r="B2405" t="s">
        <v>93</v>
      </c>
      <c r="C2405" t="s">
        <v>785</v>
      </c>
      <c r="D2405" s="5" t="s">
        <v>474</v>
      </c>
      <c r="E2405" s="1">
        <v>0</v>
      </c>
      <c r="G2405" s="2">
        <f t="shared" si="37"/>
        <v>0</v>
      </c>
      <c r="H2405" s="2">
        <v>0</v>
      </c>
    </row>
    <row r="2406" spans="2:8">
      <c r="B2406" t="s">
        <v>93</v>
      </c>
      <c r="C2406" t="s">
        <v>785</v>
      </c>
      <c r="D2406" s="6" t="s">
        <v>475</v>
      </c>
      <c r="E2406" s="1">
        <v>0</v>
      </c>
      <c r="G2406" s="2">
        <f t="shared" si="37"/>
        <v>0</v>
      </c>
      <c r="H2406" s="2">
        <v>0</v>
      </c>
    </row>
    <row r="2407" spans="2:8">
      <c r="B2407" t="s">
        <v>93</v>
      </c>
      <c r="C2407" t="s">
        <v>785</v>
      </c>
      <c r="D2407" s="7" t="s">
        <v>476</v>
      </c>
      <c r="E2407" s="1">
        <v>0</v>
      </c>
      <c r="G2407" s="2">
        <f t="shared" si="37"/>
        <v>0</v>
      </c>
      <c r="H2407" s="2">
        <v>0</v>
      </c>
    </row>
    <row r="2408" spans="2:8">
      <c r="B2408" t="s">
        <v>93</v>
      </c>
      <c r="C2408" t="s">
        <v>785</v>
      </c>
      <c r="D2408" s="8" t="s">
        <v>477</v>
      </c>
      <c r="E2408" s="1">
        <v>0</v>
      </c>
      <c r="G2408" s="2">
        <f t="shared" si="37"/>
        <v>0</v>
      </c>
      <c r="H2408" s="2">
        <v>0</v>
      </c>
    </row>
    <row r="2409" spans="2:8">
      <c r="B2409" t="s">
        <v>93</v>
      </c>
      <c r="C2409" t="s">
        <v>785</v>
      </c>
      <c r="D2409" s="9" t="s">
        <v>478</v>
      </c>
      <c r="E2409" s="1">
        <v>0</v>
      </c>
      <c r="G2409" s="2">
        <f t="shared" si="37"/>
        <v>0</v>
      </c>
      <c r="H2409" s="2">
        <v>0</v>
      </c>
    </row>
    <row r="2410" spans="2:8">
      <c r="B2410" t="s">
        <v>93</v>
      </c>
      <c r="C2410" t="s">
        <v>785</v>
      </c>
      <c r="D2410" s="10" t="s">
        <v>479</v>
      </c>
      <c r="E2410" s="1">
        <v>0</v>
      </c>
      <c r="G2410" s="2">
        <f t="shared" si="37"/>
        <v>0</v>
      </c>
      <c r="H2410" s="2">
        <v>0</v>
      </c>
    </row>
    <row r="2411" spans="2:8">
      <c r="B2411" t="s">
        <v>93</v>
      </c>
      <c r="C2411" t="s">
        <v>785</v>
      </c>
      <c r="D2411" s="11" t="s">
        <v>480</v>
      </c>
      <c r="E2411" s="1">
        <v>0</v>
      </c>
      <c r="G2411" s="2">
        <f t="shared" si="37"/>
        <v>0</v>
      </c>
      <c r="H2411" s="2">
        <v>0</v>
      </c>
    </row>
    <row r="2412" spans="2:8">
      <c r="B2412" t="s">
        <v>93</v>
      </c>
      <c r="C2412" t="s">
        <v>785</v>
      </c>
      <c r="D2412" s="13" t="s">
        <v>481</v>
      </c>
      <c r="E2412" s="1">
        <v>0</v>
      </c>
      <c r="G2412" s="2">
        <f t="shared" si="37"/>
        <v>0</v>
      </c>
      <c r="H2412" s="2">
        <v>0</v>
      </c>
    </row>
    <row r="2413" spans="2:8">
      <c r="B2413" t="s">
        <v>93</v>
      </c>
      <c r="C2413" t="s">
        <v>785</v>
      </c>
      <c r="D2413" s="12" t="s">
        <v>1033</v>
      </c>
      <c r="E2413" s="1">
        <v>0</v>
      </c>
      <c r="G2413" s="2">
        <f t="shared" si="37"/>
        <v>0</v>
      </c>
      <c r="H2413" s="2">
        <v>0</v>
      </c>
    </row>
    <row r="2414" spans="2:8">
      <c r="B2414" t="s">
        <v>94</v>
      </c>
      <c r="C2414" t="s">
        <v>786</v>
      </c>
      <c r="D2414" s="5" t="s">
        <v>474</v>
      </c>
      <c r="E2414" s="1">
        <v>0</v>
      </c>
      <c r="G2414" s="2">
        <f t="shared" si="37"/>
        <v>0</v>
      </c>
      <c r="H2414" s="2">
        <v>0</v>
      </c>
    </row>
    <row r="2415" spans="2:8">
      <c r="B2415" t="s">
        <v>94</v>
      </c>
      <c r="C2415" t="s">
        <v>786</v>
      </c>
      <c r="D2415" s="6" t="s">
        <v>475</v>
      </c>
      <c r="E2415" s="1">
        <v>0</v>
      </c>
      <c r="G2415" s="2">
        <f t="shared" si="37"/>
        <v>0</v>
      </c>
      <c r="H2415" s="2">
        <v>0</v>
      </c>
    </row>
    <row r="2416" spans="2:8">
      <c r="B2416" t="s">
        <v>94</v>
      </c>
      <c r="C2416" t="s">
        <v>786</v>
      </c>
      <c r="D2416" s="7" t="s">
        <v>476</v>
      </c>
      <c r="E2416" s="1">
        <v>0</v>
      </c>
      <c r="G2416" s="2">
        <f t="shared" si="37"/>
        <v>0</v>
      </c>
      <c r="H2416" s="2">
        <v>0</v>
      </c>
    </row>
    <row r="2417" spans="2:8">
      <c r="B2417" t="s">
        <v>94</v>
      </c>
      <c r="C2417" t="s">
        <v>786</v>
      </c>
      <c r="D2417" s="8" t="s">
        <v>477</v>
      </c>
      <c r="E2417" s="1">
        <v>0</v>
      </c>
      <c r="G2417" s="2">
        <f t="shared" si="37"/>
        <v>0</v>
      </c>
      <c r="H2417" s="2">
        <v>0</v>
      </c>
    </row>
    <row r="2418" spans="2:8">
      <c r="B2418" t="s">
        <v>94</v>
      </c>
      <c r="C2418" t="s">
        <v>786</v>
      </c>
      <c r="D2418" s="9" t="s">
        <v>478</v>
      </c>
      <c r="E2418" s="1">
        <v>0</v>
      </c>
      <c r="G2418" s="2">
        <f t="shared" si="37"/>
        <v>0</v>
      </c>
      <c r="H2418" s="2">
        <v>0</v>
      </c>
    </row>
    <row r="2419" spans="2:8">
      <c r="B2419" t="s">
        <v>94</v>
      </c>
      <c r="C2419" t="s">
        <v>786</v>
      </c>
      <c r="D2419" s="10" t="s">
        <v>479</v>
      </c>
      <c r="E2419" s="1">
        <v>0</v>
      </c>
      <c r="G2419" s="2">
        <f t="shared" si="37"/>
        <v>0</v>
      </c>
      <c r="H2419" s="2">
        <v>0</v>
      </c>
    </row>
    <row r="2420" spans="2:8">
      <c r="B2420" t="s">
        <v>94</v>
      </c>
      <c r="C2420" t="s">
        <v>786</v>
      </c>
      <c r="D2420" s="11" t="s">
        <v>480</v>
      </c>
      <c r="E2420" s="1">
        <v>0</v>
      </c>
      <c r="G2420" s="2">
        <f t="shared" si="37"/>
        <v>0</v>
      </c>
      <c r="H2420" s="2">
        <v>0</v>
      </c>
    </row>
    <row r="2421" spans="2:8">
      <c r="B2421" t="s">
        <v>94</v>
      </c>
      <c r="C2421" t="s">
        <v>786</v>
      </c>
      <c r="D2421" s="13" t="s">
        <v>481</v>
      </c>
      <c r="E2421" s="1">
        <v>0</v>
      </c>
      <c r="G2421" s="2">
        <f t="shared" si="37"/>
        <v>0</v>
      </c>
      <c r="H2421" s="2">
        <v>0</v>
      </c>
    </row>
    <row r="2422" spans="2:8">
      <c r="B2422" t="s">
        <v>94</v>
      </c>
      <c r="C2422" t="s">
        <v>786</v>
      </c>
      <c r="D2422" s="12" t="s">
        <v>1033</v>
      </c>
      <c r="E2422" s="1">
        <v>0</v>
      </c>
      <c r="G2422" s="2">
        <f t="shared" si="37"/>
        <v>0</v>
      </c>
      <c r="H2422" s="2">
        <v>0</v>
      </c>
    </row>
    <row r="2423" spans="2:8">
      <c r="B2423" t="s">
        <v>97</v>
      </c>
      <c r="C2423" t="s">
        <v>787</v>
      </c>
      <c r="D2423" s="5" t="s">
        <v>474</v>
      </c>
      <c r="E2423" s="1">
        <v>0</v>
      </c>
      <c r="G2423" s="2">
        <f t="shared" si="37"/>
        <v>0</v>
      </c>
      <c r="H2423" s="2">
        <v>0</v>
      </c>
    </row>
    <row r="2424" spans="2:8">
      <c r="B2424" t="s">
        <v>97</v>
      </c>
      <c r="C2424" t="s">
        <v>787</v>
      </c>
      <c r="D2424" s="6" t="s">
        <v>475</v>
      </c>
      <c r="E2424" s="1">
        <v>0</v>
      </c>
      <c r="G2424" s="2">
        <f t="shared" si="37"/>
        <v>0</v>
      </c>
      <c r="H2424" s="2">
        <v>0</v>
      </c>
    </row>
    <row r="2425" spans="2:8">
      <c r="B2425" t="s">
        <v>97</v>
      </c>
      <c r="C2425" t="s">
        <v>787</v>
      </c>
      <c r="D2425" s="7" t="s">
        <v>476</v>
      </c>
      <c r="E2425" s="1">
        <v>0</v>
      </c>
      <c r="G2425" s="2">
        <f t="shared" si="37"/>
        <v>0</v>
      </c>
      <c r="H2425" s="2">
        <v>0</v>
      </c>
    </row>
    <row r="2426" spans="2:8">
      <c r="B2426" t="s">
        <v>97</v>
      </c>
      <c r="C2426" t="s">
        <v>787</v>
      </c>
      <c r="D2426" s="8" t="s">
        <v>477</v>
      </c>
      <c r="E2426" s="1">
        <v>0</v>
      </c>
      <c r="G2426" s="2">
        <f t="shared" si="37"/>
        <v>0</v>
      </c>
      <c r="H2426" s="2">
        <v>0</v>
      </c>
    </row>
    <row r="2427" spans="2:8">
      <c r="B2427" t="s">
        <v>97</v>
      </c>
      <c r="C2427" t="s">
        <v>787</v>
      </c>
      <c r="D2427" s="9" t="s">
        <v>478</v>
      </c>
      <c r="E2427" s="1">
        <v>0</v>
      </c>
      <c r="G2427" s="2">
        <f t="shared" si="37"/>
        <v>0</v>
      </c>
      <c r="H2427" s="2">
        <v>0</v>
      </c>
    </row>
    <row r="2428" spans="2:8">
      <c r="B2428" t="s">
        <v>97</v>
      </c>
      <c r="C2428" t="s">
        <v>787</v>
      </c>
      <c r="D2428" s="10" t="s">
        <v>479</v>
      </c>
      <c r="E2428" s="1">
        <v>0</v>
      </c>
      <c r="G2428" s="2">
        <f t="shared" si="37"/>
        <v>0</v>
      </c>
      <c r="H2428" s="2">
        <v>0</v>
      </c>
    </row>
    <row r="2429" spans="2:8">
      <c r="B2429" t="s">
        <v>97</v>
      </c>
      <c r="C2429" t="s">
        <v>787</v>
      </c>
      <c r="D2429" s="11" t="s">
        <v>480</v>
      </c>
      <c r="E2429" s="1">
        <v>0</v>
      </c>
      <c r="G2429" s="2">
        <f t="shared" si="37"/>
        <v>0</v>
      </c>
      <c r="H2429" s="2">
        <v>0</v>
      </c>
    </row>
    <row r="2430" spans="2:8">
      <c r="B2430" t="s">
        <v>97</v>
      </c>
      <c r="C2430" t="s">
        <v>787</v>
      </c>
      <c r="D2430" s="13" t="s">
        <v>481</v>
      </c>
      <c r="E2430" s="1">
        <v>0</v>
      </c>
      <c r="G2430" s="2">
        <f t="shared" si="37"/>
        <v>0</v>
      </c>
      <c r="H2430" s="2">
        <v>0</v>
      </c>
    </row>
    <row r="2431" spans="2:8">
      <c r="B2431" t="s">
        <v>97</v>
      </c>
      <c r="C2431" t="s">
        <v>787</v>
      </c>
      <c r="D2431" s="12" t="s">
        <v>1033</v>
      </c>
      <c r="E2431" s="1">
        <v>0</v>
      </c>
      <c r="G2431" s="2">
        <f t="shared" si="37"/>
        <v>0</v>
      </c>
      <c r="H2431" s="2">
        <v>0</v>
      </c>
    </row>
    <row r="2432" spans="2:8">
      <c r="B2432" t="s">
        <v>87</v>
      </c>
      <c r="C2432" t="s">
        <v>788</v>
      </c>
      <c r="D2432" s="5" t="s">
        <v>474</v>
      </c>
      <c r="E2432" s="1">
        <v>0</v>
      </c>
      <c r="G2432" s="2">
        <f t="shared" si="37"/>
        <v>0</v>
      </c>
      <c r="H2432" s="2">
        <v>0</v>
      </c>
    </row>
    <row r="2433" spans="2:8">
      <c r="B2433" t="s">
        <v>87</v>
      </c>
      <c r="C2433" t="s">
        <v>788</v>
      </c>
      <c r="D2433" s="6" t="s">
        <v>475</v>
      </c>
      <c r="E2433" s="1">
        <v>0</v>
      </c>
      <c r="G2433" s="2">
        <f t="shared" si="37"/>
        <v>0</v>
      </c>
      <c r="H2433" s="2">
        <v>0</v>
      </c>
    </row>
    <row r="2434" spans="2:8">
      <c r="B2434" t="s">
        <v>87</v>
      </c>
      <c r="C2434" t="s">
        <v>788</v>
      </c>
      <c r="D2434" s="7" t="s">
        <v>476</v>
      </c>
      <c r="E2434" s="1">
        <v>0</v>
      </c>
      <c r="G2434" s="2">
        <f t="shared" ref="G2434:G2497" si="38">E2434*F2434</f>
        <v>0</v>
      </c>
      <c r="H2434" s="2">
        <v>0</v>
      </c>
    </row>
    <row r="2435" spans="2:8">
      <c r="B2435" t="s">
        <v>87</v>
      </c>
      <c r="C2435" t="s">
        <v>788</v>
      </c>
      <c r="D2435" s="8" t="s">
        <v>477</v>
      </c>
      <c r="E2435" s="1">
        <v>0</v>
      </c>
      <c r="G2435" s="2">
        <f t="shared" si="38"/>
        <v>0</v>
      </c>
      <c r="H2435" s="2">
        <v>0</v>
      </c>
    </row>
    <row r="2436" spans="2:8">
      <c r="B2436" t="s">
        <v>87</v>
      </c>
      <c r="C2436" t="s">
        <v>788</v>
      </c>
      <c r="D2436" s="9" t="s">
        <v>478</v>
      </c>
      <c r="E2436" s="1">
        <v>0</v>
      </c>
      <c r="G2436" s="2">
        <f t="shared" si="38"/>
        <v>0</v>
      </c>
      <c r="H2436" s="2">
        <v>0</v>
      </c>
    </row>
    <row r="2437" spans="2:8">
      <c r="B2437" t="s">
        <v>87</v>
      </c>
      <c r="C2437" t="s">
        <v>788</v>
      </c>
      <c r="D2437" s="10" t="s">
        <v>479</v>
      </c>
      <c r="E2437" s="1">
        <v>0</v>
      </c>
      <c r="G2437" s="2">
        <f t="shared" si="38"/>
        <v>0</v>
      </c>
      <c r="H2437" s="2">
        <v>0</v>
      </c>
    </row>
    <row r="2438" spans="2:8">
      <c r="B2438" t="s">
        <v>87</v>
      </c>
      <c r="C2438" t="s">
        <v>788</v>
      </c>
      <c r="D2438" s="11" t="s">
        <v>480</v>
      </c>
      <c r="E2438" s="1">
        <v>0</v>
      </c>
      <c r="G2438" s="2">
        <f t="shared" si="38"/>
        <v>0</v>
      </c>
      <c r="H2438" s="2">
        <v>0</v>
      </c>
    </row>
    <row r="2439" spans="2:8">
      <c r="B2439" t="s">
        <v>87</v>
      </c>
      <c r="C2439" t="s">
        <v>788</v>
      </c>
      <c r="D2439" s="13" t="s">
        <v>481</v>
      </c>
      <c r="E2439" s="1">
        <v>0</v>
      </c>
      <c r="G2439" s="2">
        <f t="shared" si="38"/>
        <v>0</v>
      </c>
      <c r="H2439" s="2">
        <v>0</v>
      </c>
    </row>
    <row r="2440" spans="2:8">
      <c r="B2440" t="s">
        <v>87</v>
      </c>
      <c r="C2440" t="s">
        <v>788</v>
      </c>
      <c r="D2440" s="12" t="s">
        <v>1033</v>
      </c>
      <c r="E2440" s="1">
        <v>0</v>
      </c>
      <c r="G2440" s="2">
        <f t="shared" si="38"/>
        <v>0</v>
      </c>
      <c r="H2440" s="2">
        <v>0</v>
      </c>
    </row>
    <row r="2441" spans="2:8">
      <c r="B2441" t="s">
        <v>81</v>
      </c>
      <c r="C2441" t="s">
        <v>789</v>
      </c>
      <c r="D2441" s="5" t="s">
        <v>474</v>
      </c>
      <c r="E2441" s="1">
        <v>0</v>
      </c>
      <c r="G2441" s="2">
        <f t="shared" si="38"/>
        <v>0</v>
      </c>
      <c r="H2441" s="2">
        <v>0</v>
      </c>
    </row>
    <row r="2442" spans="2:8">
      <c r="B2442" t="s">
        <v>81</v>
      </c>
      <c r="C2442" t="s">
        <v>789</v>
      </c>
      <c r="D2442" s="6" t="s">
        <v>475</v>
      </c>
      <c r="E2442" s="1">
        <v>0</v>
      </c>
      <c r="G2442" s="2">
        <f t="shared" si="38"/>
        <v>0</v>
      </c>
      <c r="H2442" s="2">
        <v>0</v>
      </c>
    </row>
    <row r="2443" spans="2:8">
      <c r="B2443" t="s">
        <v>81</v>
      </c>
      <c r="C2443" t="s">
        <v>789</v>
      </c>
      <c r="D2443" s="7" t="s">
        <v>476</v>
      </c>
      <c r="E2443" s="1">
        <v>0</v>
      </c>
      <c r="G2443" s="2">
        <f t="shared" si="38"/>
        <v>0</v>
      </c>
      <c r="H2443" s="2">
        <v>0</v>
      </c>
    </row>
    <row r="2444" spans="2:8">
      <c r="B2444" t="s">
        <v>81</v>
      </c>
      <c r="C2444" t="s">
        <v>789</v>
      </c>
      <c r="D2444" s="8" t="s">
        <v>477</v>
      </c>
      <c r="E2444" s="1">
        <v>0</v>
      </c>
      <c r="G2444" s="2">
        <f t="shared" si="38"/>
        <v>0</v>
      </c>
      <c r="H2444" s="2">
        <v>0</v>
      </c>
    </row>
    <row r="2445" spans="2:8">
      <c r="B2445" t="s">
        <v>81</v>
      </c>
      <c r="C2445" t="s">
        <v>789</v>
      </c>
      <c r="D2445" s="9" t="s">
        <v>478</v>
      </c>
      <c r="E2445" s="1">
        <v>0</v>
      </c>
      <c r="G2445" s="2">
        <f t="shared" si="38"/>
        <v>0</v>
      </c>
      <c r="H2445" s="2">
        <v>0</v>
      </c>
    </row>
    <row r="2446" spans="2:8">
      <c r="B2446" t="s">
        <v>81</v>
      </c>
      <c r="C2446" t="s">
        <v>789</v>
      </c>
      <c r="D2446" s="10" t="s">
        <v>479</v>
      </c>
      <c r="E2446" s="1">
        <v>0</v>
      </c>
      <c r="G2446" s="2">
        <f t="shared" si="38"/>
        <v>0</v>
      </c>
      <c r="H2446" s="2">
        <v>0</v>
      </c>
    </row>
    <row r="2447" spans="2:8">
      <c r="B2447" t="s">
        <v>81</v>
      </c>
      <c r="C2447" t="s">
        <v>789</v>
      </c>
      <c r="D2447" s="11" t="s">
        <v>480</v>
      </c>
      <c r="E2447" s="1">
        <v>0</v>
      </c>
      <c r="G2447" s="2">
        <f t="shared" si="38"/>
        <v>0</v>
      </c>
      <c r="H2447" s="2">
        <v>0</v>
      </c>
    </row>
    <row r="2448" spans="2:8">
      <c r="B2448" t="s">
        <v>81</v>
      </c>
      <c r="C2448" t="s">
        <v>789</v>
      </c>
      <c r="D2448" s="13" t="s">
        <v>481</v>
      </c>
      <c r="E2448" s="1">
        <v>0</v>
      </c>
      <c r="G2448" s="2">
        <f t="shared" si="38"/>
        <v>0</v>
      </c>
      <c r="H2448" s="2">
        <v>0</v>
      </c>
    </row>
    <row r="2449" spans="2:8">
      <c r="B2449" t="s">
        <v>81</v>
      </c>
      <c r="C2449" t="s">
        <v>789</v>
      </c>
      <c r="D2449" s="12" t="s">
        <v>1033</v>
      </c>
      <c r="E2449" s="1">
        <v>0</v>
      </c>
      <c r="G2449" s="2">
        <f t="shared" si="38"/>
        <v>0</v>
      </c>
      <c r="H2449" s="2">
        <v>0</v>
      </c>
    </row>
    <row r="2450" spans="2:8">
      <c r="B2450" t="s">
        <v>82</v>
      </c>
      <c r="C2450" t="s">
        <v>790</v>
      </c>
      <c r="D2450" s="5" t="s">
        <v>474</v>
      </c>
      <c r="E2450" s="1">
        <v>0</v>
      </c>
      <c r="G2450" s="2">
        <f t="shared" si="38"/>
        <v>0</v>
      </c>
      <c r="H2450" s="2">
        <v>0</v>
      </c>
    </row>
    <row r="2451" spans="2:8">
      <c r="B2451" t="s">
        <v>82</v>
      </c>
      <c r="C2451" t="s">
        <v>790</v>
      </c>
      <c r="D2451" s="6" t="s">
        <v>475</v>
      </c>
      <c r="E2451" s="1">
        <v>0</v>
      </c>
      <c r="G2451" s="2">
        <f t="shared" si="38"/>
        <v>0</v>
      </c>
      <c r="H2451" s="2">
        <v>0</v>
      </c>
    </row>
    <row r="2452" spans="2:8">
      <c r="B2452" t="s">
        <v>82</v>
      </c>
      <c r="C2452" t="s">
        <v>790</v>
      </c>
      <c r="D2452" s="7" t="s">
        <v>476</v>
      </c>
      <c r="E2452" s="1">
        <v>0</v>
      </c>
      <c r="G2452" s="2">
        <f t="shared" si="38"/>
        <v>0</v>
      </c>
      <c r="H2452" s="2">
        <v>0</v>
      </c>
    </row>
    <row r="2453" spans="2:8">
      <c r="B2453" t="s">
        <v>82</v>
      </c>
      <c r="C2453" t="s">
        <v>790</v>
      </c>
      <c r="D2453" s="8" t="s">
        <v>477</v>
      </c>
      <c r="E2453" s="1">
        <v>0</v>
      </c>
      <c r="G2453" s="2">
        <f t="shared" si="38"/>
        <v>0</v>
      </c>
      <c r="H2453" s="2">
        <v>0</v>
      </c>
    </row>
    <row r="2454" spans="2:8">
      <c r="B2454" t="s">
        <v>82</v>
      </c>
      <c r="C2454" t="s">
        <v>790</v>
      </c>
      <c r="D2454" s="9" t="s">
        <v>478</v>
      </c>
      <c r="E2454" s="1">
        <v>0</v>
      </c>
      <c r="G2454" s="2">
        <f t="shared" si="38"/>
        <v>0</v>
      </c>
      <c r="H2454" s="2">
        <v>0</v>
      </c>
    </row>
    <row r="2455" spans="2:8">
      <c r="B2455" t="s">
        <v>82</v>
      </c>
      <c r="C2455" t="s">
        <v>790</v>
      </c>
      <c r="D2455" s="10" t="s">
        <v>479</v>
      </c>
      <c r="E2455" s="1">
        <v>0</v>
      </c>
      <c r="G2455" s="2">
        <f t="shared" si="38"/>
        <v>0</v>
      </c>
      <c r="H2455" s="2">
        <v>0</v>
      </c>
    </row>
    <row r="2456" spans="2:8">
      <c r="B2456" t="s">
        <v>82</v>
      </c>
      <c r="C2456" t="s">
        <v>790</v>
      </c>
      <c r="D2456" s="11" t="s">
        <v>480</v>
      </c>
      <c r="E2456" s="1">
        <v>0</v>
      </c>
      <c r="G2456" s="2">
        <f t="shared" si="38"/>
        <v>0</v>
      </c>
      <c r="H2456" s="2">
        <v>0</v>
      </c>
    </row>
    <row r="2457" spans="2:8">
      <c r="B2457" t="s">
        <v>82</v>
      </c>
      <c r="C2457" t="s">
        <v>790</v>
      </c>
      <c r="D2457" s="13" t="s">
        <v>481</v>
      </c>
      <c r="E2457" s="1">
        <v>0</v>
      </c>
      <c r="G2457" s="2">
        <f t="shared" si="38"/>
        <v>0</v>
      </c>
      <c r="H2457" s="2">
        <v>0</v>
      </c>
    </row>
    <row r="2458" spans="2:8">
      <c r="B2458" t="s">
        <v>82</v>
      </c>
      <c r="C2458" t="s">
        <v>790</v>
      </c>
      <c r="D2458" s="12" t="s">
        <v>1033</v>
      </c>
      <c r="E2458" s="1">
        <v>0</v>
      </c>
      <c r="G2458" s="2">
        <f t="shared" si="38"/>
        <v>0</v>
      </c>
      <c r="H2458" s="2">
        <v>0</v>
      </c>
    </row>
    <row r="2459" spans="2:8">
      <c r="B2459" t="s">
        <v>88</v>
      </c>
      <c r="C2459" t="s">
        <v>791</v>
      </c>
      <c r="D2459" s="5" t="s">
        <v>474</v>
      </c>
      <c r="E2459" s="1">
        <v>0</v>
      </c>
      <c r="G2459" s="2">
        <f t="shared" si="38"/>
        <v>0</v>
      </c>
      <c r="H2459" s="2">
        <v>0</v>
      </c>
    </row>
    <row r="2460" spans="2:8">
      <c r="B2460" t="s">
        <v>88</v>
      </c>
      <c r="C2460" t="s">
        <v>791</v>
      </c>
      <c r="D2460" s="6" t="s">
        <v>475</v>
      </c>
      <c r="E2460" s="1">
        <v>0</v>
      </c>
      <c r="G2460" s="2">
        <f t="shared" si="38"/>
        <v>0</v>
      </c>
      <c r="H2460" s="2">
        <v>0</v>
      </c>
    </row>
    <row r="2461" spans="2:8">
      <c r="B2461" t="s">
        <v>88</v>
      </c>
      <c r="C2461" t="s">
        <v>791</v>
      </c>
      <c r="D2461" s="7" t="s">
        <v>476</v>
      </c>
      <c r="E2461" s="1">
        <v>0</v>
      </c>
      <c r="G2461" s="2">
        <f t="shared" si="38"/>
        <v>0</v>
      </c>
      <c r="H2461" s="2">
        <v>0</v>
      </c>
    </row>
    <row r="2462" spans="2:8">
      <c r="B2462" t="s">
        <v>88</v>
      </c>
      <c r="C2462" t="s">
        <v>791</v>
      </c>
      <c r="D2462" s="8" t="s">
        <v>477</v>
      </c>
      <c r="E2462" s="1">
        <v>0</v>
      </c>
      <c r="G2462" s="2">
        <f t="shared" si="38"/>
        <v>0</v>
      </c>
      <c r="H2462" s="2">
        <v>0</v>
      </c>
    </row>
    <row r="2463" spans="2:8">
      <c r="B2463" t="s">
        <v>88</v>
      </c>
      <c r="C2463" t="s">
        <v>791</v>
      </c>
      <c r="D2463" s="9" t="s">
        <v>478</v>
      </c>
      <c r="E2463" s="1">
        <v>0</v>
      </c>
      <c r="G2463" s="2">
        <f t="shared" si="38"/>
        <v>0</v>
      </c>
      <c r="H2463" s="2">
        <v>0</v>
      </c>
    </row>
    <row r="2464" spans="2:8">
      <c r="B2464" t="s">
        <v>88</v>
      </c>
      <c r="C2464" t="s">
        <v>791</v>
      </c>
      <c r="D2464" s="10" t="s">
        <v>479</v>
      </c>
      <c r="E2464" s="1">
        <v>0</v>
      </c>
      <c r="G2464" s="2">
        <f t="shared" si="38"/>
        <v>0</v>
      </c>
      <c r="H2464" s="2">
        <v>0</v>
      </c>
    </row>
    <row r="2465" spans="2:8">
      <c r="B2465" t="s">
        <v>88</v>
      </c>
      <c r="C2465" t="s">
        <v>791</v>
      </c>
      <c r="D2465" s="11" t="s">
        <v>480</v>
      </c>
      <c r="E2465" s="1">
        <v>0</v>
      </c>
      <c r="G2465" s="2">
        <f t="shared" si="38"/>
        <v>0</v>
      </c>
      <c r="H2465" s="2">
        <v>0</v>
      </c>
    </row>
    <row r="2466" spans="2:8">
      <c r="B2466" t="s">
        <v>88</v>
      </c>
      <c r="C2466" t="s">
        <v>791</v>
      </c>
      <c r="D2466" s="13" t="s">
        <v>481</v>
      </c>
      <c r="E2466" s="1">
        <v>0</v>
      </c>
      <c r="G2466" s="2">
        <f t="shared" si="38"/>
        <v>0</v>
      </c>
      <c r="H2466" s="2">
        <v>0</v>
      </c>
    </row>
    <row r="2467" spans="2:8">
      <c r="B2467" t="s">
        <v>88</v>
      </c>
      <c r="C2467" t="s">
        <v>791</v>
      </c>
      <c r="D2467" s="12" t="s">
        <v>1033</v>
      </c>
      <c r="E2467" s="1">
        <v>0</v>
      </c>
      <c r="G2467" s="2">
        <f t="shared" si="38"/>
        <v>0</v>
      </c>
      <c r="H2467" s="2">
        <v>0</v>
      </c>
    </row>
    <row r="2468" spans="2:8">
      <c r="B2468" t="s">
        <v>1045</v>
      </c>
      <c r="C2468" t="s">
        <v>1046</v>
      </c>
      <c r="D2468" s="5" t="s">
        <v>474</v>
      </c>
      <c r="E2468" s="1">
        <v>0</v>
      </c>
      <c r="G2468" s="2">
        <f t="shared" si="38"/>
        <v>0</v>
      </c>
      <c r="H2468" s="2">
        <v>0</v>
      </c>
    </row>
    <row r="2469" spans="2:8">
      <c r="B2469" t="s">
        <v>1045</v>
      </c>
      <c r="C2469" t="s">
        <v>1046</v>
      </c>
      <c r="D2469" s="6" t="s">
        <v>475</v>
      </c>
      <c r="E2469" s="1">
        <v>0</v>
      </c>
      <c r="G2469" s="2">
        <f t="shared" si="38"/>
        <v>0</v>
      </c>
      <c r="H2469" s="2">
        <v>0</v>
      </c>
    </row>
    <row r="2470" spans="2:8">
      <c r="B2470" t="s">
        <v>1045</v>
      </c>
      <c r="C2470" t="s">
        <v>1046</v>
      </c>
      <c r="D2470" s="7" t="s">
        <v>476</v>
      </c>
      <c r="E2470" s="1">
        <v>0</v>
      </c>
      <c r="G2470" s="2">
        <f t="shared" si="38"/>
        <v>0</v>
      </c>
      <c r="H2470" s="2">
        <v>0</v>
      </c>
    </row>
    <row r="2471" spans="2:8">
      <c r="B2471" t="s">
        <v>1045</v>
      </c>
      <c r="C2471" t="s">
        <v>1046</v>
      </c>
      <c r="D2471" s="8" t="s">
        <v>477</v>
      </c>
      <c r="E2471" s="1">
        <v>0</v>
      </c>
      <c r="G2471" s="2">
        <f t="shared" si="38"/>
        <v>0</v>
      </c>
      <c r="H2471" s="2">
        <v>0</v>
      </c>
    </row>
    <row r="2472" spans="2:8">
      <c r="B2472" t="s">
        <v>1045</v>
      </c>
      <c r="C2472" t="s">
        <v>1046</v>
      </c>
      <c r="D2472" s="9" t="s">
        <v>478</v>
      </c>
      <c r="E2472" s="1">
        <v>0</v>
      </c>
      <c r="G2472" s="2">
        <f t="shared" si="38"/>
        <v>0</v>
      </c>
      <c r="H2472" s="2">
        <v>0</v>
      </c>
    </row>
    <row r="2473" spans="2:8">
      <c r="B2473" t="s">
        <v>1045</v>
      </c>
      <c r="C2473" t="s">
        <v>1046</v>
      </c>
      <c r="D2473" s="10" t="s">
        <v>479</v>
      </c>
      <c r="E2473" s="1">
        <v>0</v>
      </c>
      <c r="G2473" s="2">
        <f t="shared" si="38"/>
        <v>0</v>
      </c>
      <c r="H2473" s="2">
        <v>0</v>
      </c>
    </row>
    <row r="2474" spans="2:8">
      <c r="B2474" t="s">
        <v>1045</v>
      </c>
      <c r="C2474" t="s">
        <v>1046</v>
      </c>
      <c r="D2474" s="11" t="s">
        <v>480</v>
      </c>
      <c r="E2474" s="1">
        <v>0</v>
      </c>
      <c r="G2474" s="2">
        <f t="shared" si="38"/>
        <v>0</v>
      </c>
      <c r="H2474" s="2">
        <v>0</v>
      </c>
    </row>
    <row r="2475" spans="2:8">
      <c r="B2475" t="s">
        <v>1045</v>
      </c>
      <c r="C2475" t="s">
        <v>1046</v>
      </c>
      <c r="D2475" s="13" t="s">
        <v>481</v>
      </c>
      <c r="E2475" s="1">
        <v>0</v>
      </c>
      <c r="G2475" s="2">
        <f t="shared" si="38"/>
        <v>0</v>
      </c>
      <c r="H2475" s="2">
        <v>0</v>
      </c>
    </row>
    <row r="2476" spans="2:8">
      <c r="B2476" t="s">
        <v>1045</v>
      </c>
      <c r="C2476" t="s">
        <v>1046</v>
      </c>
      <c r="D2476" s="12" t="s">
        <v>1033</v>
      </c>
      <c r="E2476" s="1">
        <v>0</v>
      </c>
      <c r="G2476" s="2">
        <f t="shared" si="38"/>
        <v>0</v>
      </c>
      <c r="H2476" s="2">
        <v>0</v>
      </c>
    </row>
    <row r="2477" spans="2:8">
      <c r="B2477" t="s">
        <v>1066</v>
      </c>
      <c r="C2477" t="s">
        <v>1069</v>
      </c>
      <c r="D2477" s="5" t="s">
        <v>474</v>
      </c>
      <c r="E2477" s="1">
        <v>0</v>
      </c>
      <c r="G2477" s="2">
        <f t="shared" si="38"/>
        <v>0</v>
      </c>
      <c r="H2477" s="2">
        <v>0</v>
      </c>
    </row>
    <row r="2478" spans="2:8">
      <c r="B2478" t="s">
        <v>1066</v>
      </c>
      <c r="C2478" t="s">
        <v>1069</v>
      </c>
      <c r="D2478" s="6" t="s">
        <v>475</v>
      </c>
      <c r="E2478" s="1">
        <v>0</v>
      </c>
      <c r="G2478" s="2">
        <f t="shared" si="38"/>
        <v>0</v>
      </c>
      <c r="H2478" s="2">
        <v>0</v>
      </c>
    </row>
    <row r="2479" spans="2:8">
      <c r="B2479" t="s">
        <v>1066</v>
      </c>
      <c r="C2479" t="s">
        <v>1069</v>
      </c>
      <c r="D2479" s="7" t="s">
        <v>476</v>
      </c>
      <c r="E2479" s="1">
        <v>0</v>
      </c>
      <c r="G2479" s="2">
        <f t="shared" si="38"/>
        <v>0</v>
      </c>
      <c r="H2479" s="2">
        <v>0</v>
      </c>
    </row>
    <row r="2480" spans="2:8">
      <c r="B2480" t="s">
        <v>1066</v>
      </c>
      <c r="C2480" t="s">
        <v>1069</v>
      </c>
      <c r="D2480" s="8" t="s">
        <v>477</v>
      </c>
      <c r="E2480" s="1">
        <v>0</v>
      </c>
      <c r="G2480" s="2">
        <f t="shared" si="38"/>
        <v>0</v>
      </c>
      <c r="H2480" s="2">
        <v>0</v>
      </c>
    </row>
    <row r="2481" spans="2:8">
      <c r="B2481" t="s">
        <v>1066</v>
      </c>
      <c r="C2481" t="s">
        <v>1069</v>
      </c>
      <c r="D2481" s="9" t="s">
        <v>478</v>
      </c>
      <c r="E2481" s="1">
        <v>0</v>
      </c>
      <c r="G2481" s="2">
        <f t="shared" si="38"/>
        <v>0</v>
      </c>
      <c r="H2481" s="2">
        <v>0</v>
      </c>
    </row>
    <row r="2482" spans="2:8">
      <c r="B2482" t="s">
        <v>1066</v>
      </c>
      <c r="C2482" t="s">
        <v>1069</v>
      </c>
      <c r="D2482" s="10" t="s">
        <v>479</v>
      </c>
      <c r="E2482" s="1">
        <v>0</v>
      </c>
      <c r="G2482" s="2">
        <f t="shared" si="38"/>
        <v>0</v>
      </c>
      <c r="H2482" s="2">
        <v>0</v>
      </c>
    </row>
    <row r="2483" spans="2:8">
      <c r="B2483" t="s">
        <v>1066</v>
      </c>
      <c r="C2483" t="s">
        <v>1069</v>
      </c>
      <c r="D2483" s="11" t="s">
        <v>480</v>
      </c>
      <c r="E2483" s="1">
        <v>0</v>
      </c>
      <c r="G2483" s="2">
        <f t="shared" si="38"/>
        <v>0</v>
      </c>
      <c r="H2483" s="2">
        <v>0</v>
      </c>
    </row>
    <row r="2484" spans="2:8">
      <c r="B2484" t="s">
        <v>1066</v>
      </c>
      <c r="C2484" t="s">
        <v>1069</v>
      </c>
      <c r="D2484" s="13" t="s">
        <v>481</v>
      </c>
      <c r="E2484" s="1">
        <v>0</v>
      </c>
      <c r="G2484" s="2">
        <f t="shared" si="38"/>
        <v>0</v>
      </c>
      <c r="H2484" s="2">
        <v>0</v>
      </c>
    </row>
    <row r="2485" spans="2:8">
      <c r="B2485" t="s">
        <v>1066</v>
      </c>
      <c r="C2485" t="s">
        <v>1069</v>
      </c>
      <c r="D2485" s="12" t="s">
        <v>1033</v>
      </c>
      <c r="E2485" s="1">
        <v>0</v>
      </c>
      <c r="G2485" s="2">
        <f t="shared" si="38"/>
        <v>0</v>
      </c>
      <c r="H2485" s="2">
        <v>0</v>
      </c>
    </row>
    <row r="2486" spans="2:8">
      <c r="B2486" t="s">
        <v>1067</v>
      </c>
      <c r="C2486" t="s">
        <v>1070</v>
      </c>
      <c r="D2486" s="5" t="s">
        <v>474</v>
      </c>
      <c r="E2486" s="1">
        <v>0</v>
      </c>
      <c r="G2486" s="2">
        <f t="shared" si="38"/>
        <v>0</v>
      </c>
      <c r="H2486" s="2">
        <v>0</v>
      </c>
    </row>
    <row r="2487" spans="2:8">
      <c r="B2487" t="s">
        <v>1067</v>
      </c>
      <c r="C2487" t="s">
        <v>1070</v>
      </c>
      <c r="D2487" s="6" t="s">
        <v>475</v>
      </c>
      <c r="E2487" s="1">
        <v>0</v>
      </c>
      <c r="G2487" s="2">
        <f t="shared" si="38"/>
        <v>0</v>
      </c>
      <c r="H2487" s="2">
        <v>0</v>
      </c>
    </row>
    <row r="2488" spans="2:8">
      <c r="B2488" t="s">
        <v>1067</v>
      </c>
      <c r="C2488" t="s">
        <v>1070</v>
      </c>
      <c r="D2488" s="7" t="s">
        <v>476</v>
      </c>
      <c r="E2488" s="1">
        <v>0</v>
      </c>
      <c r="G2488" s="2">
        <f t="shared" si="38"/>
        <v>0</v>
      </c>
      <c r="H2488" s="2">
        <v>0</v>
      </c>
    </row>
    <row r="2489" spans="2:8">
      <c r="B2489" t="s">
        <v>1067</v>
      </c>
      <c r="C2489" t="s">
        <v>1070</v>
      </c>
      <c r="D2489" s="8" t="s">
        <v>477</v>
      </c>
      <c r="E2489" s="1">
        <v>0</v>
      </c>
      <c r="G2489" s="2">
        <f t="shared" si="38"/>
        <v>0</v>
      </c>
      <c r="H2489" s="2">
        <v>0</v>
      </c>
    </row>
    <row r="2490" spans="2:8">
      <c r="B2490" t="s">
        <v>1067</v>
      </c>
      <c r="C2490" t="s">
        <v>1070</v>
      </c>
      <c r="D2490" s="9" t="s">
        <v>478</v>
      </c>
      <c r="E2490" s="1">
        <v>0</v>
      </c>
      <c r="G2490" s="2">
        <f t="shared" si="38"/>
        <v>0</v>
      </c>
      <c r="H2490" s="2">
        <v>0</v>
      </c>
    </row>
    <row r="2491" spans="2:8">
      <c r="B2491" t="s">
        <v>1067</v>
      </c>
      <c r="C2491" t="s">
        <v>1070</v>
      </c>
      <c r="D2491" s="10" t="s">
        <v>479</v>
      </c>
      <c r="E2491" s="1">
        <v>0</v>
      </c>
      <c r="G2491" s="2">
        <f t="shared" si="38"/>
        <v>0</v>
      </c>
      <c r="H2491" s="2">
        <v>0</v>
      </c>
    </row>
    <row r="2492" spans="2:8">
      <c r="B2492" t="s">
        <v>1067</v>
      </c>
      <c r="C2492" t="s">
        <v>1070</v>
      </c>
      <c r="D2492" s="11" t="s">
        <v>480</v>
      </c>
      <c r="E2492" s="1">
        <v>0</v>
      </c>
      <c r="G2492" s="2">
        <f t="shared" si="38"/>
        <v>0</v>
      </c>
      <c r="H2492" s="2">
        <v>0</v>
      </c>
    </row>
    <row r="2493" spans="2:8">
      <c r="B2493" t="s">
        <v>1067</v>
      </c>
      <c r="C2493" t="s">
        <v>1070</v>
      </c>
      <c r="D2493" s="13" t="s">
        <v>481</v>
      </c>
      <c r="E2493" s="1">
        <v>0</v>
      </c>
      <c r="G2493" s="2">
        <f t="shared" si="38"/>
        <v>0</v>
      </c>
      <c r="H2493" s="2">
        <v>0</v>
      </c>
    </row>
    <row r="2494" spans="2:8">
      <c r="B2494" t="s">
        <v>1067</v>
      </c>
      <c r="C2494" t="s">
        <v>1070</v>
      </c>
      <c r="D2494" s="12" t="s">
        <v>1033</v>
      </c>
      <c r="E2494" s="1">
        <v>0</v>
      </c>
      <c r="G2494" s="2">
        <f t="shared" si="38"/>
        <v>0</v>
      </c>
      <c r="H2494" s="2">
        <v>0</v>
      </c>
    </row>
    <row r="2495" spans="2:8">
      <c r="B2495" t="s">
        <v>1206</v>
      </c>
      <c r="C2495" t="s">
        <v>1217</v>
      </c>
      <c r="D2495" s="5" t="s">
        <v>474</v>
      </c>
      <c r="E2495" s="1">
        <v>0</v>
      </c>
      <c r="G2495" s="2">
        <f t="shared" si="38"/>
        <v>0</v>
      </c>
      <c r="H2495" s="2">
        <v>0</v>
      </c>
    </row>
    <row r="2496" spans="2:8">
      <c r="B2496" t="s">
        <v>1206</v>
      </c>
      <c r="C2496" t="s">
        <v>1217</v>
      </c>
      <c r="D2496" s="6" t="s">
        <v>475</v>
      </c>
      <c r="E2496" s="1">
        <v>0</v>
      </c>
      <c r="G2496" s="2">
        <f t="shared" si="38"/>
        <v>0</v>
      </c>
      <c r="H2496" s="2">
        <v>0</v>
      </c>
    </row>
    <row r="2497" spans="2:8">
      <c r="B2497" t="s">
        <v>1206</v>
      </c>
      <c r="C2497" t="s">
        <v>1217</v>
      </c>
      <c r="D2497" s="7" t="s">
        <v>476</v>
      </c>
      <c r="E2497" s="1">
        <v>0</v>
      </c>
      <c r="G2497" s="2">
        <f t="shared" si="38"/>
        <v>0</v>
      </c>
      <c r="H2497" s="2">
        <v>0</v>
      </c>
    </row>
    <row r="2498" spans="2:8">
      <c r="B2498" t="s">
        <v>1206</v>
      </c>
      <c r="C2498" t="s">
        <v>1217</v>
      </c>
      <c r="D2498" s="8" t="s">
        <v>477</v>
      </c>
      <c r="E2498" s="1">
        <v>0</v>
      </c>
      <c r="G2498" s="2">
        <f t="shared" ref="G2498:G2561" si="39">E2498*F2498</f>
        <v>0</v>
      </c>
      <c r="H2498" s="2">
        <v>0</v>
      </c>
    </row>
    <row r="2499" spans="2:8">
      <c r="B2499" t="s">
        <v>1206</v>
      </c>
      <c r="C2499" t="s">
        <v>1217</v>
      </c>
      <c r="D2499" s="9" t="s">
        <v>478</v>
      </c>
      <c r="E2499" s="1">
        <v>0</v>
      </c>
      <c r="G2499" s="2">
        <f t="shared" si="39"/>
        <v>0</v>
      </c>
      <c r="H2499" s="2">
        <v>0</v>
      </c>
    </row>
    <row r="2500" spans="2:8">
      <c r="B2500" t="s">
        <v>1206</v>
      </c>
      <c r="C2500" t="s">
        <v>1217</v>
      </c>
      <c r="D2500" s="10" t="s">
        <v>479</v>
      </c>
      <c r="E2500" s="1">
        <v>0</v>
      </c>
      <c r="G2500" s="2">
        <f t="shared" si="39"/>
        <v>0</v>
      </c>
      <c r="H2500" s="2">
        <v>0</v>
      </c>
    </row>
    <row r="2501" spans="2:8">
      <c r="B2501" t="s">
        <v>1206</v>
      </c>
      <c r="C2501" t="s">
        <v>1217</v>
      </c>
      <c r="D2501" s="11" t="s">
        <v>480</v>
      </c>
      <c r="E2501" s="1">
        <v>0</v>
      </c>
      <c r="G2501" s="2">
        <f t="shared" si="39"/>
        <v>0</v>
      </c>
      <c r="H2501" s="2">
        <v>0</v>
      </c>
    </row>
    <row r="2502" spans="2:8">
      <c r="B2502" t="s">
        <v>1206</v>
      </c>
      <c r="C2502" t="s">
        <v>1217</v>
      </c>
      <c r="D2502" s="13" t="s">
        <v>481</v>
      </c>
      <c r="E2502" s="1">
        <v>0</v>
      </c>
      <c r="G2502" s="2">
        <f t="shared" si="39"/>
        <v>0</v>
      </c>
      <c r="H2502" s="2">
        <v>0</v>
      </c>
    </row>
    <row r="2503" spans="2:8">
      <c r="B2503" t="s">
        <v>1206</v>
      </c>
      <c r="C2503" t="s">
        <v>1217</v>
      </c>
      <c r="D2503" s="12" t="s">
        <v>1033</v>
      </c>
      <c r="E2503" s="1">
        <v>0</v>
      </c>
      <c r="G2503" s="2">
        <f t="shared" si="39"/>
        <v>0</v>
      </c>
      <c r="H2503" s="2">
        <v>0</v>
      </c>
    </row>
    <row r="2504" spans="2:8">
      <c r="B2504" t="s">
        <v>1068</v>
      </c>
      <c r="C2504" t="s">
        <v>1071</v>
      </c>
      <c r="D2504" s="5" t="s">
        <v>474</v>
      </c>
      <c r="E2504" s="1">
        <v>0</v>
      </c>
      <c r="G2504" s="2">
        <f t="shared" si="39"/>
        <v>0</v>
      </c>
      <c r="H2504" s="2">
        <v>0</v>
      </c>
    </row>
    <row r="2505" spans="2:8">
      <c r="B2505" t="s">
        <v>1068</v>
      </c>
      <c r="C2505" t="s">
        <v>1071</v>
      </c>
      <c r="D2505" s="6" t="s">
        <v>475</v>
      </c>
      <c r="E2505" s="1">
        <v>0</v>
      </c>
      <c r="G2505" s="2">
        <f t="shared" si="39"/>
        <v>0</v>
      </c>
      <c r="H2505" s="2">
        <v>0</v>
      </c>
    </row>
    <row r="2506" spans="2:8">
      <c r="B2506" t="s">
        <v>1068</v>
      </c>
      <c r="C2506" t="s">
        <v>1071</v>
      </c>
      <c r="D2506" s="7" t="s">
        <v>476</v>
      </c>
      <c r="E2506" s="1">
        <v>0</v>
      </c>
      <c r="G2506" s="2">
        <f t="shared" si="39"/>
        <v>0</v>
      </c>
      <c r="H2506" s="2">
        <v>0</v>
      </c>
    </row>
    <row r="2507" spans="2:8">
      <c r="B2507" t="s">
        <v>1068</v>
      </c>
      <c r="C2507" t="s">
        <v>1071</v>
      </c>
      <c r="D2507" s="8" t="s">
        <v>477</v>
      </c>
      <c r="E2507" s="1">
        <v>0</v>
      </c>
      <c r="G2507" s="2">
        <f t="shared" si="39"/>
        <v>0</v>
      </c>
      <c r="H2507" s="2">
        <v>0</v>
      </c>
    </row>
    <row r="2508" spans="2:8">
      <c r="B2508" t="s">
        <v>1068</v>
      </c>
      <c r="C2508" t="s">
        <v>1071</v>
      </c>
      <c r="D2508" s="9" t="s">
        <v>478</v>
      </c>
      <c r="E2508" s="1">
        <v>0</v>
      </c>
      <c r="G2508" s="2">
        <f t="shared" si="39"/>
        <v>0</v>
      </c>
      <c r="H2508" s="2">
        <v>0</v>
      </c>
    </row>
    <row r="2509" spans="2:8">
      <c r="B2509" t="s">
        <v>1068</v>
      </c>
      <c r="C2509" t="s">
        <v>1071</v>
      </c>
      <c r="D2509" s="10" t="s">
        <v>479</v>
      </c>
      <c r="E2509" s="1">
        <v>0</v>
      </c>
      <c r="G2509" s="2">
        <f t="shared" si="39"/>
        <v>0</v>
      </c>
      <c r="H2509" s="2">
        <v>0</v>
      </c>
    </row>
    <row r="2510" spans="2:8">
      <c r="B2510" t="s">
        <v>1068</v>
      </c>
      <c r="C2510" t="s">
        <v>1071</v>
      </c>
      <c r="D2510" s="11" t="s">
        <v>480</v>
      </c>
      <c r="E2510" s="1">
        <v>0</v>
      </c>
      <c r="G2510" s="2">
        <f t="shared" si="39"/>
        <v>0</v>
      </c>
      <c r="H2510" s="2">
        <v>0</v>
      </c>
    </row>
    <row r="2511" spans="2:8">
      <c r="B2511" t="s">
        <v>1068</v>
      </c>
      <c r="C2511" t="s">
        <v>1071</v>
      </c>
      <c r="D2511" s="13" t="s">
        <v>481</v>
      </c>
      <c r="E2511" s="1">
        <v>0</v>
      </c>
      <c r="G2511" s="2">
        <f t="shared" si="39"/>
        <v>0</v>
      </c>
      <c r="H2511" s="2">
        <v>0</v>
      </c>
    </row>
    <row r="2512" spans="2:8">
      <c r="B2512" t="s">
        <v>1068</v>
      </c>
      <c r="C2512" t="s">
        <v>1071</v>
      </c>
      <c r="D2512" s="12" t="s">
        <v>1033</v>
      </c>
      <c r="E2512" s="1">
        <v>0</v>
      </c>
      <c r="G2512" s="2">
        <f t="shared" si="39"/>
        <v>0</v>
      </c>
      <c r="H2512" s="2">
        <v>0</v>
      </c>
    </row>
    <row r="2513" spans="2:8">
      <c r="B2513" t="s">
        <v>103</v>
      </c>
      <c r="C2513" t="s">
        <v>792</v>
      </c>
      <c r="D2513" s="5" t="s">
        <v>474</v>
      </c>
      <c r="E2513" s="1">
        <v>0</v>
      </c>
      <c r="G2513" s="2">
        <f t="shared" si="39"/>
        <v>0</v>
      </c>
      <c r="H2513" s="2">
        <v>0</v>
      </c>
    </row>
    <row r="2514" spans="2:8">
      <c r="B2514" t="s">
        <v>103</v>
      </c>
      <c r="C2514" t="s">
        <v>792</v>
      </c>
      <c r="D2514" s="6" t="s">
        <v>475</v>
      </c>
      <c r="E2514" s="1">
        <v>0</v>
      </c>
      <c r="G2514" s="2">
        <f t="shared" si="39"/>
        <v>0</v>
      </c>
      <c r="H2514" s="2">
        <v>0</v>
      </c>
    </row>
    <row r="2515" spans="2:8">
      <c r="B2515" t="s">
        <v>103</v>
      </c>
      <c r="C2515" t="s">
        <v>792</v>
      </c>
      <c r="D2515" s="7" t="s">
        <v>476</v>
      </c>
      <c r="E2515" s="1">
        <v>0</v>
      </c>
      <c r="G2515" s="2">
        <f t="shared" si="39"/>
        <v>0</v>
      </c>
      <c r="H2515" s="2">
        <v>0</v>
      </c>
    </row>
    <row r="2516" spans="2:8">
      <c r="B2516" t="s">
        <v>103</v>
      </c>
      <c r="C2516" t="s">
        <v>792</v>
      </c>
      <c r="D2516" s="8" t="s">
        <v>477</v>
      </c>
      <c r="E2516" s="1">
        <v>0</v>
      </c>
      <c r="G2516" s="2">
        <f t="shared" si="39"/>
        <v>0</v>
      </c>
      <c r="H2516" s="2">
        <v>0</v>
      </c>
    </row>
    <row r="2517" spans="2:8">
      <c r="B2517" t="s">
        <v>103</v>
      </c>
      <c r="C2517" t="s">
        <v>792</v>
      </c>
      <c r="D2517" s="9" t="s">
        <v>478</v>
      </c>
      <c r="E2517" s="1">
        <v>0</v>
      </c>
      <c r="G2517" s="2">
        <f t="shared" si="39"/>
        <v>0</v>
      </c>
      <c r="H2517" s="2">
        <v>0</v>
      </c>
    </row>
    <row r="2518" spans="2:8">
      <c r="B2518" t="s">
        <v>103</v>
      </c>
      <c r="C2518" t="s">
        <v>792</v>
      </c>
      <c r="D2518" s="10" t="s">
        <v>479</v>
      </c>
      <c r="E2518" s="1">
        <v>0</v>
      </c>
      <c r="G2518" s="2">
        <f t="shared" si="39"/>
        <v>0</v>
      </c>
      <c r="H2518" s="2">
        <v>0</v>
      </c>
    </row>
    <row r="2519" spans="2:8">
      <c r="B2519" t="s">
        <v>103</v>
      </c>
      <c r="C2519" t="s">
        <v>792</v>
      </c>
      <c r="D2519" s="11" t="s">
        <v>480</v>
      </c>
      <c r="E2519" s="1">
        <v>0</v>
      </c>
      <c r="G2519" s="2">
        <f t="shared" si="39"/>
        <v>0</v>
      </c>
      <c r="H2519" s="2">
        <v>0</v>
      </c>
    </row>
    <row r="2520" spans="2:8">
      <c r="B2520" t="s">
        <v>103</v>
      </c>
      <c r="C2520" t="s">
        <v>792</v>
      </c>
      <c r="D2520" s="13" t="s">
        <v>481</v>
      </c>
      <c r="E2520" s="1">
        <v>0</v>
      </c>
      <c r="G2520" s="2">
        <f t="shared" si="39"/>
        <v>0</v>
      </c>
      <c r="H2520" s="2">
        <v>0</v>
      </c>
    </row>
    <row r="2521" spans="2:8">
      <c r="B2521" t="s">
        <v>103</v>
      </c>
      <c r="C2521" t="s">
        <v>792</v>
      </c>
      <c r="D2521" s="12" t="s">
        <v>1033</v>
      </c>
      <c r="E2521" s="1">
        <v>0</v>
      </c>
      <c r="G2521" s="2">
        <f t="shared" si="39"/>
        <v>0</v>
      </c>
      <c r="H2521" s="2">
        <v>0</v>
      </c>
    </row>
    <row r="2522" spans="2:8">
      <c r="B2522" t="s">
        <v>104</v>
      </c>
      <c r="C2522" t="s">
        <v>793</v>
      </c>
      <c r="D2522" s="5" t="s">
        <v>474</v>
      </c>
      <c r="E2522" s="1">
        <v>0</v>
      </c>
      <c r="G2522" s="2">
        <f t="shared" si="39"/>
        <v>0</v>
      </c>
      <c r="H2522" s="2">
        <v>0</v>
      </c>
    </row>
    <row r="2523" spans="2:8">
      <c r="B2523" t="s">
        <v>104</v>
      </c>
      <c r="C2523" t="s">
        <v>793</v>
      </c>
      <c r="D2523" s="6" t="s">
        <v>475</v>
      </c>
      <c r="E2523" s="1">
        <v>0</v>
      </c>
      <c r="G2523" s="2">
        <f t="shared" si="39"/>
        <v>0</v>
      </c>
      <c r="H2523" s="2">
        <v>0</v>
      </c>
    </row>
    <row r="2524" spans="2:8">
      <c r="B2524" t="s">
        <v>104</v>
      </c>
      <c r="C2524" t="s">
        <v>793</v>
      </c>
      <c r="D2524" s="7" t="s">
        <v>476</v>
      </c>
      <c r="E2524" s="1">
        <v>0</v>
      </c>
      <c r="G2524" s="2">
        <f t="shared" si="39"/>
        <v>0</v>
      </c>
      <c r="H2524" s="2">
        <v>0</v>
      </c>
    </row>
    <row r="2525" spans="2:8">
      <c r="B2525" t="s">
        <v>104</v>
      </c>
      <c r="C2525" t="s">
        <v>793</v>
      </c>
      <c r="D2525" s="8" t="s">
        <v>477</v>
      </c>
      <c r="E2525" s="1">
        <v>0</v>
      </c>
      <c r="G2525" s="2">
        <f t="shared" si="39"/>
        <v>0</v>
      </c>
      <c r="H2525" s="2">
        <v>0</v>
      </c>
    </row>
    <row r="2526" spans="2:8">
      <c r="B2526" t="s">
        <v>104</v>
      </c>
      <c r="C2526" t="s">
        <v>793</v>
      </c>
      <c r="D2526" s="9" t="s">
        <v>478</v>
      </c>
      <c r="E2526" s="1">
        <v>0</v>
      </c>
      <c r="G2526" s="2">
        <f t="shared" si="39"/>
        <v>0</v>
      </c>
      <c r="H2526" s="2">
        <v>0</v>
      </c>
    </row>
    <row r="2527" spans="2:8">
      <c r="B2527" t="s">
        <v>104</v>
      </c>
      <c r="C2527" t="s">
        <v>793</v>
      </c>
      <c r="D2527" s="10" t="s">
        <v>479</v>
      </c>
      <c r="E2527" s="1">
        <v>0</v>
      </c>
      <c r="G2527" s="2">
        <f t="shared" si="39"/>
        <v>0</v>
      </c>
      <c r="H2527" s="2">
        <v>0</v>
      </c>
    </row>
    <row r="2528" spans="2:8">
      <c r="B2528" t="s">
        <v>104</v>
      </c>
      <c r="C2528" t="s">
        <v>793</v>
      </c>
      <c r="D2528" s="11" t="s">
        <v>480</v>
      </c>
      <c r="E2528" s="1">
        <v>0</v>
      </c>
      <c r="G2528" s="2">
        <f t="shared" si="39"/>
        <v>0</v>
      </c>
      <c r="H2528" s="2">
        <v>0</v>
      </c>
    </row>
    <row r="2529" spans="2:8">
      <c r="B2529" t="s">
        <v>104</v>
      </c>
      <c r="C2529" t="s">
        <v>793</v>
      </c>
      <c r="D2529" s="13" t="s">
        <v>481</v>
      </c>
      <c r="E2529" s="1">
        <v>0</v>
      </c>
      <c r="G2529" s="2">
        <f t="shared" si="39"/>
        <v>0</v>
      </c>
      <c r="H2529" s="2">
        <v>0</v>
      </c>
    </row>
    <row r="2530" spans="2:8">
      <c r="B2530" t="s">
        <v>104</v>
      </c>
      <c r="C2530" t="s">
        <v>793</v>
      </c>
      <c r="D2530" s="12" t="s">
        <v>1033</v>
      </c>
      <c r="E2530" s="1">
        <v>0</v>
      </c>
      <c r="G2530" s="2">
        <f t="shared" si="39"/>
        <v>0</v>
      </c>
      <c r="H2530" s="2">
        <v>0</v>
      </c>
    </row>
    <row r="2531" spans="2:8">
      <c r="B2531" t="s">
        <v>105</v>
      </c>
      <c r="C2531" t="s">
        <v>794</v>
      </c>
      <c r="D2531" s="5" t="s">
        <v>474</v>
      </c>
      <c r="E2531" s="1">
        <v>0</v>
      </c>
      <c r="G2531" s="2">
        <f t="shared" si="39"/>
        <v>0</v>
      </c>
      <c r="H2531" s="2">
        <v>0</v>
      </c>
    </row>
    <row r="2532" spans="2:8">
      <c r="B2532" t="s">
        <v>105</v>
      </c>
      <c r="C2532" t="s">
        <v>794</v>
      </c>
      <c r="D2532" s="6" t="s">
        <v>475</v>
      </c>
      <c r="E2532" s="1">
        <v>0</v>
      </c>
      <c r="G2532" s="2">
        <f t="shared" si="39"/>
        <v>0</v>
      </c>
      <c r="H2532" s="2">
        <v>0</v>
      </c>
    </row>
    <row r="2533" spans="2:8">
      <c r="B2533" t="s">
        <v>105</v>
      </c>
      <c r="C2533" t="s">
        <v>794</v>
      </c>
      <c r="D2533" s="7" t="s">
        <v>476</v>
      </c>
      <c r="E2533" s="1">
        <v>0</v>
      </c>
      <c r="G2533" s="2">
        <f t="shared" si="39"/>
        <v>0</v>
      </c>
      <c r="H2533" s="2">
        <v>0</v>
      </c>
    </row>
    <row r="2534" spans="2:8">
      <c r="B2534" t="s">
        <v>105</v>
      </c>
      <c r="C2534" t="s">
        <v>794</v>
      </c>
      <c r="D2534" s="8" t="s">
        <v>477</v>
      </c>
      <c r="E2534" s="1">
        <v>0</v>
      </c>
      <c r="G2534" s="2">
        <f t="shared" si="39"/>
        <v>0</v>
      </c>
      <c r="H2534" s="2">
        <v>0</v>
      </c>
    </row>
    <row r="2535" spans="2:8">
      <c r="B2535" t="s">
        <v>105</v>
      </c>
      <c r="C2535" t="s">
        <v>794</v>
      </c>
      <c r="D2535" s="9" t="s">
        <v>478</v>
      </c>
      <c r="E2535" s="1">
        <v>0</v>
      </c>
      <c r="G2535" s="2">
        <f t="shared" si="39"/>
        <v>0</v>
      </c>
      <c r="H2535" s="2">
        <v>0</v>
      </c>
    </row>
    <row r="2536" spans="2:8">
      <c r="B2536" t="s">
        <v>105</v>
      </c>
      <c r="C2536" t="s">
        <v>794</v>
      </c>
      <c r="D2536" s="10" t="s">
        <v>479</v>
      </c>
      <c r="E2536" s="1">
        <v>0</v>
      </c>
      <c r="G2536" s="2">
        <f t="shared" si="39"/>
        <v>0</v>
      </c>
      <c r="H2536" s="2">
        <v>0</v>
      </c>
    </row>
    <row r="2537" spans="2:8">
      <c r="B2537" t="s">
        <v>105</v>
      </c>
      <c r="C2537" t="s">
        <v>794</v>
      </c>
      <c r="D2537" s="11" t="s">
        <v>480</v>
      </c>
      <c r="E2537" s="1">
        <v>0</v>
      </c>
      <c r="G2537" s="2">
        <f t="shared" si="39"/>
        <v>0</v>
      </c>
      <c r="H2537" s="2">
        <v>0</v>
      </c>
    </row>
    <row r="2538" spans="2:8">
      <c r="B2538" t="s">
        <v>105</v>
      </c>
      <c r="C2538" t="s">
        <v>794</v>
      </c>
      <c r="D2538" s="13" t="s">
        <v>481</v>
      </c>
      <c r="E2538" s="1">
        <v>0</v>
      </c>
      <c r="G2538" s="2">
        <f t="shared" si="39"/>
        <v>0</v>
      </c>
      <c r="H2538" s="2">
        <v>0</v>
      </c>
    </row>
    <row r="2539" spans="2:8">
      <c r="B2539" t="s">
        <v>105</v>
      </c>
      <c r="C2539" t="s">
        <v>794</v>
      </c>
      <c r="D2539" s="12" t="s">
        <v>1033</v>
      </c>
      <c r="E2539" s="1">
        <v>0</v>
      </c>
      <c r="G2539" s="2">
        <f t="shared" si="39"/>
        <v>0</v>
      </c>
      <c r="H2539" s="2">
        <v>0</v>
      </c>
    </row>
    <row r="2540" spans="2:8">
      <c r="B2540" t="s">
        <v>106</v>
      </c>
      <c r="C2540" t="s">
        <v>795</v>
      </c>
      <c r="D2540" s="5" t="s">
        <v>474</v>
      </c>
      <c r="E2540" s="1">
        <v>0</v>
      </c>
      <c r="G2540" s="2">
        <f t="shared" si="39"/>
        <v>0</v>
      </c>
      <c r="H2540" s="2">
        <v>0</v>
      </c>
    </row>
    <row r="2541" spans="2:8">
      <c r="B2541" t="s">
        <v>106</v>
      </c>
      <c r="C2541" t="s">
        <v>795</v>
      </c>
      <c r="D2541" s="6" t="s">
        <v>475</v>
      </c>
      <c r="E2541" s="1">
        <v>0</v>
      </c>
      <c r="G2541" s="2">
        <f t="shared" si="39"/>
        <v>0</v>
      </c>
      <c r="H2541" s="2">
        <v>0</v>
      </c>
    </row>
    <row r="2542" spans="2:8">
      <c r="B2542" t="s">
        <v>106</v>
      </c>
      <c r="C2542" t="s">
        <v>795</v>
      </c>
      <c r="D2542" s="7" t="s">
        <v>476</v>
      </c>
      <c r="E2542" s="1">
        <v>0</v>
      </c>
      <c r="G2542" s="2">
        <f t="shared" si="39"/>
        <v>0</v>
      </c>
      <c r="H2542" s="2">
        <v>0</v>
      </c>
    </row>
    <row r="2543" spans="2:8">
      <c r="B2543" t="s">
        <v>106</v>
      </c>
      <c r="C2543" t="s">
        <v>795</v>
      </c>
      <c r="D2543" s="8" t="s">
        <v>477</v>
      </c>
      <c r="E2543" s="1">
        <v>0</v>
      </c>
      <c r="G2543" s="2">
        <f t="shared" si="39"/>
        <v>0</v>
      </c>
      <c r="H2543" s="2">
        <v>0</v>
      </c>
    </row>
    <row r="2544" spans="2:8">
      <c r="B2544" t="s">
        <v>106</v>
      </c>
      <c r="C2544" t="s">
        <v>795</v>
      </c>
      <c r="D2544" s="9" t="s">
        <v>478</v>
      </c>
      <c r="E2544" s="1">
        <v>0</v>
      </c>
      <c r="G2544" s="2">
        <f t="shared" si="39"/>
        <v>0</v>
      </c>
      <c r="H2544" s="2">
        <v>0</v>
      </c>
    </row>
    <row r="2545" spans="2:8">
      <c r="B2545" t="s">
        <v>106</v>
      </c>
      <c r="C2545" t="s">
        <v>795</v>
      </c>
      <c r="D2545" s="10" t="s">
        <v>479</v>
      </c>
      <c r="E2545" s="1">
        <v>0</v>
      </c>
      <c r="G2545" s="2">
        <f t="shared" si="39"/>
        <v>0</v>
      </c>
      <c r="H2545" s="2">
        <v>0</v>
      </c>
    </row>
    <row r="2546" spans="2:8">
      <c r="B2546" t="s">
        <v>106</v>
      </c>
      <c r="C2546" t="s">
        <v>795</v>
      </c>
      <c r="D2546" s="11" t="s">
        <v>480</v>
      </c>
      <c r="E2546" s="1">
        <v>0</v>
      </c>
      <c r="G2546" s="2">
        <f t="shared" si="39"/>
        <v>0</v>
      </c>
      <c r="H2546" s="2">
        <v>0</v>
      </c>
    </row>
    <row r="2547" spans="2:8">
      <c r="B2547" t="s">
        <v>106</v>
      </c>
      <c r="C2547" t="s">
        <v>795</v>
      </c>
      <c r="D2547" s="13" t="s">
        <v>481</v>
      </c>
      <c r="E2547" s="1">
        <v>0</v>
      </c>
      <c r="G2547" s="2">
        <f t="shared" si="39"/>
        <v>0</v>
      </c>
      <c r="H2547" s="2">
        <v>0</v>
      </c>
    </row>
    <row r="2548" spans="2:8">
      <c r="B2548" t="s">
        <v>106</v>
      </c>
      <c r="C2548" t="s">
        <v>795</v>
      </c>
      <c r="D2548" s="12" t="s">
        <v>1033</v>
      </c>
      <c r="E2548" s="1">
        <v>0</v>
      </c>
      <c r="G2548" s="2">
        <f t="shared" si="39"/>
        <v>0</v>
      </c>
      <c r="H2548" s="2">
        <v>0</v>
      </c>
    </row>
    <row r="2549" spans="2:8">
      <c r="B2549" t="s">
        <v>1586</v>
      </c>
      <c r="C2549" t="s">
        <v>1587</v>
      </c>
      <c r="D2549" s="5" t="s">
        <v>474</v>
      </c>
      <c r="E2549" s="1">
        <v>0</v>
      </c>
      <c r="G2549" s="2">
        <f t="shared" si="39"/>
        <v>0</v>
      </c>
      <c r="H2549" s="2">
        <v>0</v>
      </c>
    </row>
    <row r="2550" spans="2:8">
      <c r="B2550" t="s">
        <v>1586</v>
      </c>
      <c r="C2550" t="s">
        <v>1587</v>
      </c>
      <c r="D2550" s="6" t="s">
        <v>475</v>
      </c>
      <c r="E2550" s="1">
        <v>0</v>
      </c>
      <c r="G2550" s="2">
        <f t="shared" si="39"/>
        <v>0</v>
      </c>
      <c r="H2550" s="2">
        <v>0</v>
      </c>
    </row>
    <row r="2551" spans="2:8">
      <c r="B2551" t="s">
        <v>1586</v>
      </c>
      <c r="C2551" t="s">
        <v>1587</v>
      </c>
      <c r="D2551" s="7" t="s">
        <v>476</v>
      </c>
      <c r="E2551" s="1">
        <v>0</v>
      </c>
      <c r="G2551" s="2">
        <f t="shared" si="39"/>
        <v>0</v>
      </c>
      <c r="H2551" s="2">
        <v>0</v>
      </c>
    </row>
    <row r="2552" spans="2:8">
      <c r="B2552" t="s">
        <v>1586</v>
      </c>
      <c r="C2552" t="s">
        <v>1587</v>
      </c>
      <c r="D2552" s="8" t="s">
        <v>477</v>
      </c>
      <c r="E2552" s="1">
        <v>0</v>
      </c>
      <c r="G2552" s="2">
        <f t="shared" si="39"/>
        <v>0</v>
      </c>
      <c r="H2552" s="2">
        <v>0</v>
      </c>
    </row>
    <row r="2553" spans="2:8">
      <c r="B2553" t="s">
        <v>1586</v>
      </c>
      <c r="C2553" t="s">
        <v>1587</v>
      </c>
      <c r="D2553" s="9" t="s">
        <v>478</v>
      </c>
      <c r="E2553" s="1">
        <v>0</v>
      </c>
      <c r="G2553" s="2">
        <f t="shared" si="39"/>
        <v>0</v>
      </c>
      <c r="H2553" s="2">
        <v>0</v>
      </c>
    </row>
    <row r="2554" spans="2:8">
      <c r="B2554" t="s">
        <v>1586</v>
      </c>
      <c r="C2554" t="s">
        <v>1587</v>
      </c>
      <c r="D2554" s="10" t="s">
        <v>479</v>
      </c>
      <c r="E2554" s="1">
        <v>0</v>
      </c>
      <c r="G2554" s="2">
        <f t="shared" si="39"/>
        <v>0</v>
      </c>
      <c r="H2554" s="2">
        <v>0</v>
      </c>
    </row>
    <row r="2555" spans="2:8">
      <c r="B2555" t="s">
        <v>1586</v>
      </c>
      <c r="C2555" t="s">
        <v>1587</v>
      </c>
      <c r="D2555" s="11" t="s">
        <v>480</v>
      </c>
      <c r="E2555" s="1">
        <v>0</v>
      </c>
      <c r="G2555" s="2">
        <f t="shared" si="39"/>
        <v>0</v>
      </c>
      <c r="H2555" s="2">
        <v>0</v>
      </c>
    </row>
    <row r="2556" spans="2:8">
      <c r="B2556" t="s">
        <v>1586</v>
      </c>
      <c r="C2556" t="s">
        <v>1587</v>
      </c>
      <c r="D2556" s="13" t="s">
        <v>481</v>
      </c>
      <c r="E2556" s="1">
        <v>0</v>
      </c>
      <c r="G2556" s="2">
        <f t="shared" si="39"/>
        <v>0</v>
      </c>
      <c r="H2556" s="2">
        <v>0</v>
      </c>
    </row>
    <row r="2557" spans="2:8">
      <c r="B2557" t="s">
        <v>1586</v>
      </c>
      <c r="C2557" t="s">
        <v>1587</v>
      </c>
      <c r="D2557" s="12" t="s">
        <v>1033</v>
      </c>
      <c r="E2557" s="1">
        <v>0</v>
      </c>
      <c r="G2557" s="2">
        <f t="shared" si="39"/>
        <v>0</v>
      </c>
      <c r="H2557" s="2">
        <v>0</v>
      </c>
    </row>
    <row r="2558" spans="2:8">
      <c r="B2558" t="s">
        <v>120</v>
      </c>
      <c r="C2558" t="s">
        <v>796</v>
      </c>
      <c r="D2558" s="5" t="s">
        <v>474</v>
      </c>
      <c r="E2558" s="1">
        <v>0</v>
      </c>
      <c r="G2558" s="2">
        <f t="shared" si="39"/>
        <v>0</v>
      </c>
      <c r="H2558" s="2">
        <v>0</v>
      </c>
    </row>
    <row r="2559" spans="2:8">
      <c r="B2559" t="s">
        <v>120</v>
      </c>
      <c r="C2559" t="s">
        <v>796</v>
      </c>
      <c r="D2559" s="6" t="s">
        <v>475</v>
      </c>
      <c r="E2559" s="1">
        <v>0</v>
      </c>
      <c r="G2559" s="2">
        <f t="shared" si="39"/>
        <v>0</v>
      </c>
      <c r="H2559" s="2">
        <v>0</v>
      </c>
    </row>
    <row r="2560" spans="2:8">
      <c r="B2560" t="s">
        <v>120</v>
      </c>
      <c r="C2560" t="s">
        <v>796</v>
      </c>
      <c r="D2560" s="7" t="s">
        <v>476</v>
      </c>
      <c r="E2560" s="1">
        <v>0</v>
      </c>
      <c r="G2560" s="2">
        <f t="shared" si="39"/>
        <v>0</v>
      </c>
      <c r="H2560" s="2">
        <v>0</v>
      </c>
    </row>
    <row r="2561" spans="2:8">
      <c r="B2561" t="s">
        <v>120</v>
      </c>
      <c r="C2561" t="s">
        <v>796</v>
      </c>
      <c r="D2561" s="8" t="s">
        <v>477</v>
      </c>
      <c r="E2561" s="1">
        <v>0</v>
      </c>
      <c r="G2561" s="2">
        <f t="shared" si="39"/>
        <v>0</v>
      </c>
      <c r="H2561" s="2">
        <v>0</v>
      </c>
    </row>
    <row r="2562" spans="2:8">
      <c r="B2562" t="s">
        <v>120</v>
      </c>
      <c r="C2562" t="s">
        <v>796</v>
      </c>
      <c r="D2562" s="9" t="s">
        <v>478</v>
      </c>
      <c r="E2562" s="1">
        <v>0</v>
      </c>
      <c r="G2562" s="2">
        <f t="shared" ref="G2562:G2625" si="40">E2562*F2562</f>
        <v>0</v>
      </c>
      <c r="H2562" s="2">
        <v>0</v>
      </c>
    </row>
    <row r="2563" spans="2:8">
      <c r="B2563" t="s">
        <v>120</v>
      </c>
      <c r="C2563" t="s">
        <v>796</v>
      </c>
      <c r="D2563" s="10" t="s">
        <v>479</v>
      </c>
      <c r="E2563" s="1">
        <v>0</v>
      </c>
      <c r="G2563" s="2">
        <f t="shared" si="40"/>
        <v>0</v>
      </c>
      <c r="H2563" s="2">
        <v>0</v>
      </c>
    </row>
    <row r="2564" spans="2:8">
      <c r="B2564" t="s">
        <v>120</v>
      </c>
      <c r="C2564" t="s">
        <v>796</v>
      </c>
      <c r="D2564" s="11" t="s">
        <v>480</v>
      </c>
      <c r="E2564" s="1">
        <v>0</v>
      </c>
      <c r="G2564" s="2">
        <f t="shared" si="40"/>
        <v>0</v>
      </c>
      <c r="H2564" s="2">
        <v>0</v>
      </c>
    </row>
    <row r="2565" spans="2:8">
      <c r="B2565" t="s">
        <v>120</v>
      </c>
      <c r="C2565" t="s">
        <v>796</v>
      </c>
      <c r="D2565" s="13" t="s">
        <v>481</v>
      </c>
      <c r="E2565" s="1">
        <v>0</v>
      </c>
      <c r="G2565" s="2">
        <f t="shared" si="40"/>
        <v>0</v>
      </c>
      <c r="H2565" s="2">
        <v>0</v>
      </c>
    </row>
    <row r="2566" spans="2:8">
      <c r="B2566" t="s">
        <v>120</v>
      </c>
      <c r="C2566" t="s">
        <v>796</v>
      </c>
      <c r="D2566" s="12" t="s">
        <v>1033</v>
      </c>
      <c r="E2566" s="1">
        <v>0</v>
      </c>
      <c r="G2566" s="2">
        <f t="shared" si="40"/>
        <v>0</v>
      </c>
      <c r="H2566" s="2">
        <v>0</v>
      </c>
    </row>
    <row r="2567" spans="2:8">
      <c r="B2567" t="s">
        <v>876</v>
      </c>
      <c r="C2567" t="s">
        <v>910</v>
      </c>
      <c r="D2567" s="5" t="s">
        <v>474</v>
      </c>
      <c r="E2567" s="1">
        <v>0</v>
      </c>
      <c r="G2567" s="2">
        <f t="shared" si="40"/>
        <v>0</v>
      </c>
      <c r="H2567" s="2">
        <v>0</v>
      </c>
    </row>
    <row r="2568" spans="2:8">
      <c r="B2568" t="s">
        <v>876</v>
      </c>
      <c r="C2568" t="s">
        <v>910</v>
      </c>
      <c r="D2568" s="6" t="s">
        <v>475</v>
      </c>
      <c r="E2568" s="1">
        <v>0</v>
      </c>
      <c r="G2568" s="2">
        <f t="shared" si="40"/>
        <v>0</v>
      </c>
      <c r="H2568" s="2">
        <v>0</v>
      </c>
    </row>
    <row r="2569" spans="2:8">
      <c r="B2569" t="s">
        <v>876</v>
      </c>
      <c r="C2569" t="s">
        <v>910</v>
      </c>
      <c r="D2569" s="7" t="s">
        <v>476</v>
      </c>
      <c r="E2569" s="1">
        <v>0</v>
      </c>
      <c r="G2569" s="2">
        <f t="shared" si="40"/>
        <v>0</v>
      </c>
      <c r="H2569" s="2">
        <v>0</v>
      </c>
    </row>
    <row r="2570" spans="2:8">
      <c r="B2570" t="s">
        <v>876</v>
      </c>
      <c r="C2570" t="s">
        <v>910</v>
      </c>
      <c r="D2570" s="8" t="s">
        <v>477</v>
      </c>
      <c r="E2570" s="1">
        <v>0</v>
      </c>
      <c r="G2570" s="2">
        <f t="shared" si="40"/>
        <v>0</v>
      </c>
      <c r="H2570" s="2">
        <v>0</v>
      </c>
    </row>
    <row r="2571" spans="2:8">
      <c r="B2571" t="s">
        <v>876</v>
      </c>
      <c r="C2571" t="s">
        <v>910</v>
      </c>
      <c r="D2571" s="9" t="s">
        <v>478</v>
      </c>
      <c r="E2571" s="1">
        <v>0</v>
      </c>
      <c r="G2571" s="2">
        <f t="shared" si="40"/>
        <v>0</v>
      </c>
      <c r="H2571" s="2">
        <v>0</v>
      </c>
    </row>
    <row r="2572" spans="2:8">
      <c r="B2572" t="s">
        <v>876</v>
      </c>
      <c r="C2572" t="s">
        <v>910</v>
      </c>
      <c r="D2572" s="10" t="s">
        <v>479</v>
      </c>
      <c r="E2572" s="1">
        <v>0</v>
      </c>
      <c r="G2572" s="2">
        <f t="shared" si="40"/>
        <v>0</v>
      </c>
      <c r="H2572" s="2">
        <v>0</v>
      </c>
    </row>
    <row r="2573" spans="2:8">
      <c r="B2573" t="s">
        <v>876</v>
      </c>
      <c r="C2573" t="s">
        <v>910</v>
      </c>
      <c r="D2573" s="11" t="s">
        <v>480</v>
      </c>
      <c r="E2573" s="1">
        <v>0</v>
      </c>
      <c r="G2573" s="2">
        <f t="shared" si="40"/>
        <v>0</v>
      </c>
      <c r="H2573" s="2">
        <v>0</v>
      </c>
    </row>
    <row r="2574" spans="2:8">
      <c r="B2574" t="s">
        <v>876</v>
      </c>
      <c r="C2574" t="s">
        <v>910</v>
      </c>
      <c r="D2574" s="13" t="s">
        <v>481</v>
      </c>
      <c r="E2574" s="1">
        <v>0</v>
      </c>
      <c r="G2574" s="2">
        <f t="shared" si="40"/>
        <v>0</v>
      </c>
      <c r="H2574" s="2">
        <v>0</v>
      </c>
    </row>
    <row r="2575" spans="2:8">
      <c r="B2575" t="s">
        <v>876</v>
      </c>
      <c r="C2575" t="s">
        <v>910</v>
      </c>
      <c r="D2575" s="12" t="s">
        <v>1033</v>
      </c>
      <c r="E2575" s="1">
        <v>0</v>
      </c>
      <c r="G2575" s="2">
        <f t="shared" si="40"/>
        <v>0</v>
      </c>
      <c r="H2575" s="2">
        <v>0</v>
      </c>
    </row>
    <row r="2576" spans="2:8">
      <c r="B2576" t="s">
        <v>113</v>
      </c>
      <c r="C2576" t="s">
        <v>797</v>
      </c>
      <c r="D2576" s="5" t="s">
        <v>474</v>
      </c>
      <c r="E2576" s="1">
        <v>0</v>
      </c>
      <c r="G2576" s="2">
        <f t="shared" si="40"/>
        <v>0</v>
      </c>
      <c r="H2576" s="2">
        <v>0</v>
      </c>
    </row>
    <row r="2577" spans="2:8">
      <c r="B2577" t="s">
        <v>113</v>
      </c>
      <c r="C2577" t="s">
        <v>797</v>
      </c>
      <c r="D2577" s="6" t="s">
        <v>475</v>
      </c>
      <c r="E2577" s="1">
        <v>0</v>
      </c>
      <c r="G2577" s="2">
        <f t="shared" si="40"/>
        <v>0</v>
      </c>
      <c r="H2577" s="2">
        <v>0</v>
      </c>
    </row>
    <row r="2578" spans="2:8">
      <c r="B2578" t="s">
        <v>113</v>
      </c>
      <c r="C2578" t="s">
        <v>797</v>
      </c>
      <c r="D2578" s="7" t="s">
        <v>476</v>
      </c>
      <c r="E2578" s="1">
        <v>0</v>
      </c>
      <c r="G2578" s="2">
        <f t="shared" si="40"/>
        <v>0</v>
      </c>
      <c r="H2578" s="2">
        <v>0</v>
      </c>
    </row>
    <row r="2579" spans="2:8">
      <c r="B2579" t="s">
        <v>113</v>
      </c>
      <c r="C2579" t="s">
        <v>797</v>
      </c>
      <c r="D2579" s="8" t="s">
        <v>477</v>
      </c>
      <c r="E2579" s="1">
        <v>0</v>
      </c>
      <c r="G2579" s="2">
        <f t="shared" si="40"/>
        <v>0</v>
      </c>
      <c r="H2579" s="2">
        <v>0</v>
      </c>
    </row>
    <row r="2580" spans="2:8">
      <c r="B2580" t="s">
        <v>113</v>
      </c>
      <c r="C2580" t="s">
        <v>797</v>
      </c>
      <c r="D2580" s="9" t="s">
        <v>478</v>
      </c>
      <c r="E2580" s="1">
        <v>0</v>
      </c>
      <c r="G2580" s="2">
        <f t="shared" si="40"/>
        <v>0</v>
      </c>
      <c r="H2580" s="2">
        <v>0</v>
      </c>
    </row>
    <row r="2581" spans="2:8">
      <c r="B2581" t="s">
        <v>113</v>
      </c>
      <c r="C2581" t="s">
        <v>797</v>
      </c>
      <c r="D2581" s="10" t="s">
        <v>479</v>
      </c>
      <c r="E2581" s="1">
        <v>0</v>
      </c>
      <c r="G2581" s="2">
        <f t="shared" si="40"/>
        <v>0</v>
      </c>
      <c r="H2581" s="2">
        <v>0</v>
      </c>
    </row>
    <row r="2582" spans="2:8">
      <c r="B2582" t="s">
        <v>113</v>
      </c>
      <c r="C2582" t="s">
        <v>797</v>
      </c>
      <c r="D2582" s="11" t="s">
        <v>480</v>
      </c>
      <c r="E2582" s="1">
        <v>0</v>
      </c>
      <c r="G2582" s="2">
        <f t="shared" si="40"/>
        <v>0</v>
      </c>
      <c r="H2582" s="2">
        <v>0</v>
      </c>
    </row>
    <row r="2583" spans="2:8">
      <c r="B2583" t="s">
        <v>113</v>
      </c>
      <c r="C2583" t="s">
        <v>797</v>
      </c>
      <c r="D2583" s="13" t="s">
        <v>481</v>
      </c>
      <c r="E2583" s="1">
        <v>0</v>
      </c>
      <c r="G2583" s="2">
        <f t="shared" si="40"/>
        <v>0</v>
      </c>
      <c r="H2583" s="2">
        <v>0</v>
      </c>
    </row>
    <row r="2584" spans="2:8">
      <c r="B2584" t="s">
        <v>113</v>
      </c>
      <c r="C2584" t="s">
        <v>797</v>
      </c>
      <c r="D2584" s="12" t="s">
        <v>1033</v>
      </c>
      <c r="E2584" s="1">
        <v>0</v>
      </c>
      <c r="G2584" s="2">
        <f t="shared" si="40"/>
        <v>0</v>
      </c>
      <c r="H2584" s="2">
        <v>0</v>
      </c>
    </row>
    <row r="2585" spans="2:8">
      <c r="B2585" t="s">
        <v>114</v>
      </c>
      <c r="C2585" t="s">
        <v>798</v>
      </c>
      <c r="D2585" s="5" t="s">
        <v>474</v>
      </c>
      <c r="E2585" s="1">
        <v>0</v>
      </c>
      <c r="G2585" s="2">
        <f t="shared" si="40"/>
        <v>0</v>
      </c>
      <c r="H2585" s="2">
        <v>0</v>
      </c>
    </row>
    <row r="2586" spans="2:8">
      <c r="B2586" t="s">
        <v>114</v>
      </c>
      <c r="C2586" t="s">
        <v>798</v>
      </c>
      <c r="D2586" s="6" t="s">
        <v>475</v>
      </c>
      <c r="E2586" s="1">
        <v>0</v>
      </c>
      <c r="G2586" s="2">
        <f t="shared" si="40"/>
        <v>0</v>
      </c>
      <c r="H2586" s="2">
        <v>0</v>
      </c>
    </row>
    <row r="2587" spans="2:8">
      <c r="B2587" t="s">
        <v>114</v>
      </c>
      <c r="C2587" t="s">
        <v>798</v>
      </c>
      <c r="D2587" s="7" t="s">
        <v>476</v>
      </c>
      <c r="E2587" s="1">
        <v>0</v>
      </c>
      <c r="G2587" s="2">
        <f t="shared" si="40"/>
        <v>0</v>
      </c>
      <c r="H2587" s="2">
        <v>0</v>
      </c>
    </row>
    <row r="2588" spans="2:8">
      <c r="B2588" t="s">
        <v>114</v>
      </c>
      <c r="C2588" t="s">
        <v>798</v>
      </c>
      <c r="D2588" s="8" t="s">
        <v>477</v>
      </c>
      <c r="E2588" s="1">
        <v>0</v>
      </c>
      <c r="G2588" s="2">
        <f t="shared" si="40"/>
        <v>0</v>
      </c>
      <c r="H2588" s="2">
        <v>0</v>
      </c>
    </row>
    <row r="2589" spans="2:8">
      <c r="B2589" t="s">
        <v>114</v>
      </c>
      <c r="C2589" t="s">
        <v>798</v>
      </c>
      <c r="D2589" s="9" t="s">
        <v>478</v>
      </c>
      <c r="E2589" s="1">
        <v>0</v>
      </c>
      <c r="G2589" s="2">
        <f t="shared" si="40"/>
        <v>0</v>
      </c>
      <c r="H2589" s="2">
        <v>0</v>
      </c>
    </row>
    <row r="2590" spans="2:8">
      <c r="B2590" t="s">
        <v>114</v>
      </c>
      <c r="C2590" t="s">
        <v>798</v>
      </c>
      <c r="D2590" s="10" t="s">
        <v>479</v>
      </c>
      <c r="E2590" s="1">
        <v>0</v>
      </c>
      <c r="G2590" s="2">
        <f t="shared" si="40"/>
        <v>0</v>
      </c>
      <c r="H2590" s="2">
        <v>0</v>
      </c>
    </row>
    <row r="2591" spans="2:8">
      <c r="B2591" t="s">
        <v>114</v>
      </c>
      <c r="C2591" t="s">
        <v>798</v>
      </c>
      <c r="D2591" s="11" t="s">
        <v>480</v>
      </c>
      <c r="E2591" s="1">
        <v>0</v>
      </c>
      <c r="G2591" s="2">
        <f t="shared" si="40"/>
        <v>0</v>
      </c>
      <c r="H2591" s="2">
        <v>0</v>
      </c>
    </row>
    <row r="2592" spans="2:8">
      <c r="B2592" t="s">
        <v>114</v>
      </c>
      <c r="C2592" t="s">
        <v>798</v>
      </c>
      <c r="D2592" s="13" t="s">
        <v>481</v>
      </c>
      <c r="E2592" s="1">
        <v>0</v>
      </c>
      <c r="G2592" s="2">
        <f t="shared" si="40"/>
        <v>0</v>
      </c>
      <c r="H2592" s="2">
        <v>0</v>
      </c>
    </row>
    <row r="2593" spans="2:8">
      <c r="B2593" t="s">
        <v>114</v>
      </c>
      <c r="C2593" t="s">
        <v>798</v>
      </c>
      <c r="D2593" s="12" t="s">
        <v>1033</v>
      </c>
      <c r="E2593" s="1">
        <v>0</v>
      </c>
      <c r="G2593" s="2">
        <f t="shared" si="40"/>
        <v>0</v>
      </c>
      <c r="H2593" s="2">
        <v>0</v>
      </c>
    </row>
    <row r="2594" spans="2:8">
      <c r="B2594" t="s">
        <v>115</v>
      </c>
      <c r="C2594" t="s">
        <v>799</v>
      </c>
      <c r="D2594" s="5" t="s">
        <v>474</v>
      </c>
      <c r="E2594" s="1">
        <v>0</v>
      </c>
      <c r="G2594" s="2">
        <f t="shared" si="40"/>
        <v>0</v>
      </c>
      <c r="H2594" s="2">
        <v>0</v>
      </c>
    </row>
    <row r="2595" spans="2:8">
      <c r="B2595" t="s">
        <v>115</v>
      </c>
      <c r="C2595" t="s">
        <v>799</v>
      </c>
      <c r="D2595" s="6" t="s">
        <v>475</v>
      </c>
      <c r="E2595" s="1">
        <v>0</v>
      </c>
      <c r="G2595" s="2">
        <f t="shared" si="40"/>
        <v>0</v>
      </c>
      <c r="H2595" s="2">
        <v>0</v>
      </c>
    </row>
    <row r="2596" spans="2:8">
      <c r="B2596" t="s">
        <v>115</v>
      </c>
      <c r="C2596" t="s">
        <v>799</v>
      </c>
      <c r="D2596" s="7" t="s">
        <v>476</v>
      </c>
      <c r="E2596" s="1">
        <v>0</v>
      </c>
      <c r="G2596" s="2">
        <f t="shared" si="40"/>
        <v>0</v>
      </c>
      <c r="H2596" s="2">
        <v>0</v>
      </c>
    </row>
    <row r="2597" spans="2:8">
      <c r="B2597" t="s">
        <v>115</v>
      </c>
      <c r="C2597" t="s">
        <v>799</v>
      </c>
      <c r="D2597" s="8" t="s">
        <v>477</v>
      </c>
      <c r="E2597" s="1">
        <v>0</v>
      </c>
      <c r="G2597" s="2">
        <f t="shared" si="40"/>
        <v>0</v>
      </c>
      <c r="H2597" s="2">
        <v>0</v>
      </c>
    </row>
    <row r="2598" spans="2:8">
      <c r="B2598" t="s">
        <v>115</v>
      </c>
      <c r="C2598" t="s">
        <v>799</v>
      </c>
      <c r="D2598" s="9" t="s">
        <v>478</v>
      </c>
      <c r="E2598" s="1">
        <v>0</v>
      </c>
      <c r="G2598" s="2">
        <f t="shared" si="40"/>
        <v>0</v>
      </c>
      <c r="H2598" s="2">
        <v>0</v>
      </c>
    </row>
    <row r="2599" spans="2:8">
      <c r="B2599" t="s">
        <v>115</v>
      </c>
      <c r="C2599" t="s">
        <v>799</v>
      </c>
      <c r="D2599" s="10" t="s">
        <v>479</v>
      </c>
      <c r="E2599" s="1">
        <v>0</v>
      </c>
      <c r="G2599" s="2">
        <f t="shared" si="40"/>
        <v>0</v>
      </c>
      <c r="H2599" s="2">
        <v>0</v>
      </c>
    </row>
    <row r="2600" spans="2:8">
      <c r="B2600" t="s">
        <v>115</v>
      </c>
      <c r="C2600" t="s">
        <v>799</v>
      </c>
      <c r="D2600" s="11" t="s">
        <v>480</v>
      </c>
      <c r="E2600" s="1">
        <v>0</v>
      </c>
      <c r="G2600" s="2">
        <f t="shared" si="40"/>
        <v>0</v>
      </c>
      <c r="H2600" s="2">
        <v>0</v>
      </c>
    </row>
    <row r="2601" spans="2:8">
      <c r="B2601" t="s">
        <v>115</v>
      </c>
      <c r="C2601" t="s">
        <v>799</v>
      </c>
      <c r="D2601" s="13" t="s">
        <v>481</v>
      </c>
      <c r="E2601" s="1">
        <v>0</v>
      </c>
      <c r="G2601" s="2">
        <f t="shared" si="40"/>
        <v>0</v>
      </c>
      <c r="H2601" s="2">
        <v>0</v>
      </c>
    </row>
    <row r="2602" spans="2:8">
      <c r="B2602" t="s">
        <v>115</v>
      </c>
      <c r="C2602" t="s">
        <v>799</v>
      </c>
      <c r="D2602" s="12" t="s">
        <v>1033</v>
      </c>
      <c r="E2602" s="1">
        <v>0</v>
      </c>
      <c r="G2602" s="2">
        <f t="shared" si="40"/>
        <v>0</v>
      </c>
      <c r="H2602" s="2">
        <v>0</v>
      </c>
    </row>
    <row r="2603" spans="2:8">
      <c r="B2603" t="s">
        <v>118</v>
      </c>
      <c r="C2603" t="s">
        <v>800</v>
      </c>
      <c r="D2603" s="5" t="s">
        <v>474</v>
      </c>
      <c r="E2603" s="1">
        <v>0</v>
      </c>
      <c r="G2603" s="2">
        <f t="shared" si="40"/>
        <v>0</v>
      </c>
      <c r="H2603" s="2">
        <v>0</v>
      </c>
    </row>
    <row r="2604" spans="2:8">
      <c r="B2604" t="s">
        <v>118</v>
      </c>
      <c r="C2604" t="s">
        <v>800</v>
      </c>
      <c r="D2604" s="6" t="s">
        <v>475</v>
      </c>
      <c r="E2604" s="1">
        <v>0</v>
      </c>
      <c r="G2604" s="2">
        <f t="shared" si="40"/>
        <v>0</v>
      </c>
      <c r="H2604" s="2">
        <v>0</v>
      </c>
    </row>
    <row r="2605" spans="2:8">
      <c r="B2605" t="s">
        <v>118</v>
      </c>
      <c r="C2605" t="s">
        <v>800</v>
      </c>
      <c r="D2605" s="7" t="s">
        <v>476</v>
      </c>
      <c r="E2605" s="1">
        <v>0</v>
      </c>
      <c r="G2605" s="2">
        <f t="shared" si="40"/>
        <v>0</v>
      </c>
      <c r="H2605" s="2">
        <v>0</v>
      </c>
    </row>
    <row r="2606" spans="2:8">
      <c r="B2606" t="s">
        <v>118</v>
      </c>
      <c r="C2606" t="s">
        <v>800</v>
      </c>
      <c r="D2606" s="8" t="s">
        <v>477</v>
      </c>
      <c r="E2606" s="1">
        <v>0</v>
      </c>
      <c r="G2606" s="2">
        <f t="shared" si="40"/>
        <v>0</v>
      </c>
      <c r="H2606" s="2">
        <v>0</v>
      </c>
    </row>
    <row r="2607" spans="2:8">
      <c r="B2607" t="s">
        <v>118</v>
      </c>
      <c r="C2607" t="s">
        <v>800</v>
      </c>
      <c r="D2607" s="9" t="s">
        <v>478</v>
      </c>
      <c r="E2607" s="1">
        <v>0</v>
      </c>
      <c r="G2607" s="2">
        <f t="shared" si="40"/>
        <v>0</v>
      </c>
      <c r="H2607" s="2">
        <v>0</v>
      </c>
    </row>
    <row r="2608" spans="2:8">
      <c r="B2608" t="s">
        <v>118</v>
      </c>
      <c r="C2608" t="s">
        <v>800</v>
      </c>
      <c r="D2608" s="10" t="s">
        <v>479</v>
      </c>
      <c r="E2608" s="1">
        <v>0</v>
      </c>
      <c r="G2608" s="2">
        <f t="shared" si="40"/>
        <v>0</v>
      </c>
      <c r="H2608" s="2">
        <v>0</v>
      </c>
    </row>
    <row r="2609" spans="2:8">
      <c r="B2609" t="s">
        <v>118</v>
      </c>
      <c r="C2609" t="s">
        <v>800</v>
      </c>
      <c r="D2609" s="11" t="s">
        <v>480</v>
      </c>
      <c r="E2609" s="1">
        <v>0</v>
      </c>
      <c r="G2609" s="2">
        <f t="shared" si="40"/>
        <v>0</v>
      </c>
      <c r="H2609" s="2">
        <v>0</v>
      </c>
    </row>
    <row r="2610" spans="2:8">
      <c r="B2610" t="s">
        <v>118</v>
      </c>
      <c r="C2610" t="s">
        <v>800</v>
      </c>
      <c r="D2610" s="13" t="s">
        <v>481</v>
      </c>
      <c r="E2610" s="1">
        <v>0</v>
      </c>
      <c r="G2610" s="2">
        <f t="shared" si="40"/>
        <v>0</v>
      </c>
      <c r="H2610" s="2">
        <v>0</v>
      </c>
    </row>
    <row r="2611" spans="2:8">
      <c r="B2611" t="s">
        <v>118</v>
      </c>
      <c r="C2611" t="s">
        <v>800</v>
      </c>
      <c r="D2611" s="12" t="s">
        <v>1033</v>
      </c>
      <c r="E2611" s="1">
        <v>0</v>
      </c>
      <c r="G2611" s="2">
        <f t="shared" si="40"/>
        <v>0</v>
      </c>
      <c r="H2611" s="2">
        <v>0</v>
      </c>
    </row>
    <row r="2612" spans="2:8">
      <c r="B2612" t="s">
        <v>116</v>
      </c>
      <c r="C2612" t="s">
        <v>801</v>
      </c>
      <c r="D2612" s="5" t="s">
        <v>474</v>
      </c>
      <c r="E2612" s="1">
        <v>0</v>
      </c>
      <c r="G2612" s="2">
        <f t="shared" si="40"/>
        <v>0</v>
      </c>
      <c r="H2612" s="2">
        <v>0</v>
      </c>
    </row>
    <row r="2613" spans="2:8">
      <c r="B2613" t="s">
        <v>116</v>
      </c>
      <c r="C2613" t="s">
        <v>801</v>
      </c>
      <c r="D2613" s="6" t="s">
        <v>475</v>
      </c>
      <c r="E2613" s="1">
        <v>0</v>
      </c>
      <c r="G2613" s="2">
        <f t="shared" si="40"/>
        <v>0</v>
      </c>
      <c r="H2613" s="2">
        <v>0</v>
      </c>
    </row>
    <row r="2614" spans="2:8">
      <c r="B2614" t="s">
        <v>116</v>
      </c>
      <c r="C2614" t="s">
        <v>801</v>
      </c>
      <c r="D2614" s="7" t="s">
        <v>476</v>
      </c>
      <c r="E2614" s="1">
        <v>0</v>
      </c>
      <c r="G2614" s="2">
        <f t="shared" si="40"/>
        <v>0</v>
      </c>
      <c r="H2614" s="2">
        <v>0</v>
      </c>
    </row>
    <row r="2615" spans="2:8">
      <c r="B2615" t="s">
        <v>116</v>
      </c>
      <c r="C2615" t="s">
        <v>801</v>
      </c>
      <c r="D2615" s="8" t="s">
        <v>477</v>
      </c>
      <c r="E2615" s="1">
        <v>0</v>
      </c>
      <c r="G2615" s="2">
        <f t="shared" si="40"/>
        <v>0</v>
      </c>
      <c r="H2615" s="2">
        <v>0</v>
      </c>
    </row>
    <row r="2616" spans="2:8">
      <c r="B2616" t="s">
        <v>116</v>
      </c>
      <c r="C2616" t="s">
        <v>801</v>
      </c>
      <c r="D2616" s="9" t="s">
        <v>478</v>
      </c>
      <c r="E2616" s="1">
        <v>0</v>
      </c>
      <c r="G2616" s="2">
        <f t="shared" si="40"/>
        <v>0</v>
      </c>
      <c r="H2616" s="2">
        <v>0</v>
      </c>
    </row>
    <row r="2617" spans="2:8">
      <c r="B2617" t="s">
        <v>116</v>
      </c>
      <c r="C2617" t="s">
        <v>801</v>
      </c>
      <c r="D2617" s="10" t="s">
        <v>479</v>
      </c>
      <c r="E2617" s="1">
        <v>0</v>
      </c>
      <c r="G2617" s="2">
        <f t="shared" si="40"/>
        <v>0</v>
      </c>
      <c r="H2617" s="2">
        <v>0</v>
      </c>
    </row>
    <row r="2618" spans="2:8">
      <c r="B2618" t="s">
        <v>116</v>
      </c>
      <c r="C2618" t="s">
        <v>801</v>
      </c>
      <c r="D2618" s="11" t="s">
        <v>480</v>
      </c>
      <c r="E2618" s="1">
        <v>0</v>
      </c>
      <c r="G2618" s="2">
        <f t="shared" si="40"/>
        <v>0</v>
      </c>
      <c r="H2618" s="2">
        <v>0</v>
      </c>
    </row>
    <row r="2619" spans="2:8">
      <c r="B2619" t="s">
        <v>116</v>
      </c>
      <c r="C2619" t="s">
        <v>801</v>
      </c>
      <c r="D2619" s="13" t="s">
        <v>481</v>
      </c>
      <c r="E2619" s="1">
        <v>0</v>
      </c>
      <c r="G2619" s="2">
        <f t="shared" si="40"/>
        <v>0</v>
      </c>
      <c r="H2619" s="2">
        <v>0</v>
      </c>
    </row>
    <row r="2620" spans="2:8">
      <c r="B2620" t="s">
        <v>116</v>
      </c>
      <c r="C2620" t="s">
        <v>801</v>
      </c>
      <c r="D2620" s="12" t="s">
        <v>1033</v>
      </c>
      <c r="E2620" s="1">
        <v>0</v>
      </c>
      <c r="G2620" s="2">
        <f t="shared" si="40"/>
        <v>0</v>
      </c>
      <c r="H2620" s="2">
        <v>0</v>
      </c>
    </row>
    <row r="2621" spans="2:8">
      <c r="B2621" t="s">
        <v>117</v>
      </c>
      <c r="C2621" t="s">
        <v>802</v>
      </c>
      <c r="D2621" s="5" t="s">
        <v>474</v>
      </c>
      <c r="E2621" s="1">
        <v>0</v>
      </c>
      <c r="G2621" s="2">
        <f t="shared" si="40"/>
        <v>0</v>
      </c>
      <c r="H2621" s="2">
        <v>0</v>
      </c>
    </row>
    <row r="2622" spans="2:8">
      <c r="B2622" t="s">
        <v>117</v>
      </c>
      <c r="C2622" t="s">
        <v>802</v>
      </c>
      <c r="D2622" s="6" t="s">
        <v>475</v>
      </c>
      <c r="E2622" s="1">
        <v>0</v>
      </c>
      <c r="G2622" s="2">
        <f t="shared" si="40"/>
        <v>0</v>
      </c>
      <c r="H2622" s="2">
        <v>0</v>
      </c>
    </row>
    <row r="2623" spans="2:8">
      <c r="B2623" t="s">
        <v>117</v>
      </c>
      <c r="C2623" t="s">
        <v>802</v>
      </c>
      <c r="D2623" s="7" t="s">
        <v>476</v>
      </c>
      <c r="E2623" s="1">
        <v>0</v>
      </c>
      <c r="G2623" s="2">
        <f t="shared" si="40"/>
        <v>0</v>
      </c>
      <c r="H2623" s="2">
        <v>0</v>
      </c>
    </row>
    <row r="2624" spans="2:8">
      <c r="B2624" t="s">
        <v>117</v>
      </c>
      <c r="C2624" t="s">
        <v>802</v>
      </c>
      <c r="D2624" s="8" t="s">
        <v>477</v>
      </c>
      <c r="E2624" s="1">
        <v>0</v>
      </c>
      <c r="G2624" s="2">
        <f t="shared" si="40"/>
        <v>0</v>
      </c>
      <c r="H2624" s="2">
        <v>0</v>
      </c>
    </row>
    <row r="2625" spans="2:8">
      <c r="B2625" t="s">
        <v>117</v>
      </c>
      <c r="C2625" t="s">
        <v>802</v>
      </c>
      <c r="D2625" s="9" t="s">
        <v>478</v>
      </c>
      <c r="E2625" s="1">
        <v>0</v>
      </c>
      <c r="G2625" s="2">
        <f t="shared" si="40"/>
        <v>0</v>
      </c>
      <c r="H2625" s="2">
        <v>0</v>
      </c>
    </row>
    <row r="2626" spans="2:8">
      <c r="B2626" t="s">
        <v>117</v>
      </c>
      <c r="C2626" t="s">
        <v>802</v>
      </c>
      <c r="D2626" s="10" t="s">
        <v>479</v>
      </c>
      <c r="E2626" s="1">
        <v>0</v>
      </c>
      <c r="G2626" s="2">
        <f t="shared" ref="G2626:G2689" si="41">E2626*F2626</f>
        <v>0</v>
      </c>
      <c r="H2626" s="2">
        <v>0</v>
      </c>
    </row>
    <row r="2627" spans="2:8">
      <c r="B2627" t="s">
        <v>117</v>
      </c>
      <c r="C2627" t="s">
        <v>802</v>
      </c>
      <c r="D2627" s="11" t="s">
        <v>480</v>
      </c>
      <c r="E2627" s="1">
        <v>0</v>
      </c>
      <c r="G2627" s="2">
        <f t="shared" si="41"/>
        <v>0</v>
      </c>
      <c r="H2627" s="2">
        <v>0</v>
      </c>
    </row>
    <row r="2628" spans="2:8">
      <c r="B2628" t="s">
        <v>117</v>
      </c>
      <c r="C2628" t="s">
        <v>802</v>
      </c>
      <c r="D2628" s="13" t="s">
        <v>481</v>
      </c>
      <c r="E2628" s="1">
        <v>0</v>
      </c>
      <c r="G2628" s="2">
        <f t="shared" si="41"/>
        <v>0</v>
      </c>
      <c r="H2628" s="2">
        <v>0</v>
      </c>
    </row>
    <row r="2629" spans="2:8">
      <c r="B2629" t="s">
        <v>117</v>
      </c>
      <c r="C2629" t="s">
        <v>802</v>
      </c>
      <c r="D2629" s="12" t="s">
        <v>1033</v>
      </c>
      <c r="E2629" s="1">
        <v>0</v>
      </c>
      <c r="G2629" s="2">
        <f t="shared" si="41"/>
        <v>0</v>
      </c>
      <c r="H2629" s="2">
        <v>0</v>
      </c>
    </row>
    <row r="2630" spans="2:8">
      <c r="B2630" t="s">
        <v>123</v>
      </c>
      <c r="C2630" t="s">
        <v>803</v>
      </c>
      <c r="D2630" s="5" t="s">
        <v>474</v>
      </c>
      <c r="E2630" s="1">
        <v>0</v>
      </c>
      <c r="G2630" s="2">
        <f t="shared" si="41"/>
        <v>0</v>
      </c>
      <c r="H2630" s="2">
        <v>0</v>
      </c>
    </row>
    <row r="2631" spans="2:8">
      <c r="B2631" t="s">
        <v>123</v>
      </c>
      <c r="C2631" t="s">
        <v>803</v>
      </c>
      <c r="D2631" s="6" t="s">
        <v>475</v>
      </c>
      <c r="E2631" s="1">
        <v>0</v>
      </c>
      <c r="G2631" s="2">
        <f t="shared" si="41"/>
        <v>0</v>
      </c>
      <c r="H2631" s="2">
        <v>0</v>
      </c>
    </row>
    <row r="2632" spans="2:8">
      <c r="B2632" t="s">
        <v>123</v>
      </c>
      <c r="C2632" t="s">
        <v>803</v>
      </c>
      <c r="D2632" s="7" t="s">
        <v>476</v>
      </c>
      <c r="E2632" s="1">
        <v>0</v>
      </c>
      <c r="G2632" s="2">
        <f t="shared" si="41"/>
        <v>0</v>
      </c>
      <c r="H2632" s="2">
        <v>0</v>
      </c>
    </row>
    <row r="2633" spans="2:8">
      <c r="B2633" t="s">
        <v>123</v>
      </c>
      <c r="C2633" t="s">
        <v>803</v>
      </c>
      <c r="D2633" s="8" t="s">
        <v>477</v>
      </c>
      <c r="E2633" s="1">
        <v>0</v>
      </c>
      <c r="G2633" s="2">
        <f t="shared" si="41"/>
        <v>0</v>
      </c>
      <c r="H2633" s="2">
        <v>0</v>
      </c>
    </row>
    <row r="2634" spans="2:8">
      <c r="B2634" t="s">
        <v>123</v>
      </c>
      <c r="C2634" t="s">
        <v>803</v>
      </c>
      <c r="D2634" s="9" t="s">
        <v>478</v>
      </c>
      <c r="E2634" s="1">
        <v>0</v>
      </c>
      <c r="G2634" s="2">
        <f t="shared" si="41"/>
        <v>0</v>
      </c>
      <c r="H2634" s="2">
        <v>0</v>
      </c>
    </row>
    <row r="2635" spans="2:8">
      <c r="B2635" t="s">
        <v>123</v>
      </c>
      <c r="C2635" t="s">
        <v>803</v>
      </c>
      <c r="D2635" s="10" t="s">
        <v>479</v>
      </c>
      <c r="E2635" s="1">
        <v>0</v>
      </c>
      <c r="G2635" s="2">
        <f t="shared" si="41"/>
        <v>0</v>
      </c>
      <c r="H2635" s="2">
        <v>0</v>
      </c>
    </row>
    <row r="2636" spans="2:8">
      <c r="B2636" t="s">
        <v>123</v>
      </c>
      <c r="C2636" t="s">
        <v>803</v>
      </c>
      <c r="D2636" s="11" t="s">
        <v>480</v>
      </c>
      <c r="E2636" s="1">
        <v>0</v>
      </c>
      <c r="G2636" s="2">
        <f t="shared" si="41"/>
        <v>0</v>
      </c>
      <c r="H2636" s="2">
        <v>0</v>
      </c>
    </row>
    <row r="2637" spans="2:8">
      <c r="B2637" t="s">
        <v>123</v>
      </c>
      <c r="C2637" t="s">
        <v>803</v>
      </c>
      <c r="D2637" s="13" t="s">
        <v>481</v>
      </c>
      <c r="E2637" s="1">
        <v>0</v>
      </c>
      <c r="G2637" s="2">
        <f t="shared" si="41"/>
        <v>0</v>
      </c>
      <c r="H2637" s="2">
        <v>0</v>
      </c>
    </row>
    <row r="2638" spans="2:8">
      <c r="B2638" t="s">
        <v>123</v>
      </c>
      <c r="C2638" t="s">
        <v>803</v>
      </c>
      <c r="D2638" s="12" t="s">
        <v>1033</v>
      </c>
      <c r="E2638" s="1">
        <v>0</v>
      </c>
      <c r="G2638" s="2">
        <f t="shared" si="41"/>
        <v>0</v>
      </c>
      <c r="H2638" s="2">
        <v>0</v>
      </c>
    </row>
    <row r="2639" spans="2:8">
      <c r="B2639" t="s">
        <v>124</v>
      </c>
      <c r="C2639" t="s">
        <v>804</v>
      </c>
      <c r="D2639" s="5" t="s">
        <v>474</v>
      </c>
      <c r="E2639" s="1">
        <v>0</v>
      </c>
      <c r="G2639" s="2">
        <f t="shared" si="41"/>
        <v>0</v>
      </c>
      <c r="H2639" s="2">
        <v>0</v>
      </c>
    </row>
    <row r="2640" spans="2:8">
      <c r="B2640" t="s">
        <v>124</v>
      </c>
      <c r="C2640" t="s">
        <v>804</v>
      </c>
      <c r="D2640" s="6" t="s">
        <v>475</v>
      </c>
      <c r="E2640" s="1">
        <v>0</v>
      </c>
      <c r="G2640" s="2">
        <f t="shared" si="41"/>
        <v>0</v>
      </c>
      <c r="H2640" s="2">
        <v>0</v>
      </c>
    </row>
    <row r="2641" spans="2:8">
      <c r="B2641" t="s">
        <v>124</v>
      </c>
      <c r="C2641" t="s">
        <v>804</v>
      </c>
      <c r="D2641" s="7" t="s">
        <v>476</v>
      </c>
      <c r="E2641" s="1">
        <v>0</v>
      </c>
      <c r="G2641" s="2">
        <f t="shared" si="41"/>
        <v>0</v>
      </c>
      <c r="H2641" s="2">
        <v>0</v>
      </c>
    </row>
    <row r="2642" spans="2:8">
      <c r="B2642" t="s">
        <v>124</v>
      </c>
      <c r="C2642" t="s">
        <v>804</v>
      </c>
      <c r="D2642" s="8" t="s">
        <v>477</v>
      </c>
      <c r="E2642" s="1">
        <v>0</v>
      </c>
      <c r="G2642" s="2">
        <f t="shared" si="41"/>
        <v>0</v>
      </c>
      <c r="H2642" s="2">
        <v>0</v>
      </c>
    </row>
    <row r="2643" spans="2:8">
      <c r="B2643" t="s">
        <v>124</v>
      </c>
      <c r="C2643" t="s">
        <v>804</v>
      </c>
      <c r="D2643" s="9" t="s">
        <v>478</v>
      </c>
      <c r="E2643" s="1">
        <v>0</v>
      </c>
      <c r="G2643" s="2">
        <f t="shared" si="41"/>
        <v>0</v>
      </c>
      <c r="H2643" s="2">
        <v>0</v>
      </c>
    </row>
    <row r="2644" spans="2:8">
      <c r="B2644" t="s">
        <v>124</v>
      </c>
      <c r="C2644" t="s">
        <v>804</v>
      </c>
      <c r="D2644" s="10" t="s">
        <v>479</v>
      </c>
      <c r="E2644" s="1">
        <v>0</v>
      </c>
      <c r="G2644" s="2">
        <f t="shared" si="41"/>
        <v>0</v>
      </c>
      <c r="H2644" s="2">
        <v>0</v>
      </c>
    </row>
    <row r="2645" spans="2:8">
      <c r="B2645" t="s">
        <v>124</v>
      </c>
      <c r="C2645" t="s">
        <v>804</v>
      </c>
      <c r="D2645" s="11" t="s">
        <v>480</v>
      </c>
      <c r="E2645" s="1">
        <v>0</v>
      </c>
      <c r="G2645" s="2">
        <f t="shared" si="41"/>
        <v>0</v>
      </c>
      <c r="H2645" s="2">
        <v>0</v>
      </c>
    </row>
    <row r="2646" spans="2:8">
      <c r="B2646" t="s">
        <v>124</v>
      </c>
      <c r="C2646" t="s">
        <v>804</v>
      </c>
      <c r="D2646" s="13" t="s">
        <v>481</v>
      </c>
      <c r="E2646" s="1">
        <v>0</v>
      </c>
      <c r="G2646" s="2">
        <f t="shared" si="41"/>
        <v>0</v>
      </c>
      <c r="H2646" s="2">
        <v>0</v>
      </c>
    </row>
    <row r="2647" spans="2:8">
      <c r="B2647" t="s">
        <v>124</v>
      </c>
      <c r="C2647" t="s">
        <v>804</v>
      </c>
      <c r="D2647" s="12" t="s">
        <v>1033</v>
      </c>
      <c r="E2647" s="1">
        <v>0</v>
      </c>
      <c r="G2647" s="2">
        <f t="shared" si="41"/>
        <v>0</v>
      </c>
      <c r="H2647" s="2">
        <v>0</v>
      </c>
    </row>
    <row r="2648" spans="2:8">
      <c r="B2648" t="s">
        <v>119</v>
      </c>
      <c r="C2648" t="s">
        <v>805</v>
      </c>
      <c r="D2648" s="5" t="s">
        <v>474</v>
      </c>
      <c r="E2648" s="1">
        <v>0</v>
      </c>
      <c r="G2648" s="2">
        <f t="shared" si="41"/>
        <v>0</v>
      </c>
      <c r="H2648" s="2">
        <v>0</v>
      </c>
    </row>
    <row r="2649" spans="2:8">
      <c r="B2649" t="s">
        <v>119</v>
      </c>
      <c r="C2649" t="s">
        <v>805</v>
      </c>
      <c r="D2649" s="6" t="s">
        <v>475</v>
      </c>
      <c r="E2649" s="1">
        <v>0</v>
      </c>
      <c r="G2649" s="2">
        <f t="shared" si="41"/>
        <v>0</v>
      </c>
      <c r="H2649" s="2">
        <v>0</v>
      </c>
    </row>
    <row r="2650" spans="2:8">
      <c r="B2650" t="s">
        <v>119</v>
      </c>
      <c r="C2650" t="s">
        <v>805</v>
      </c>
      <c r="D2650" s="7" t="s">
        <v>476</v>
      </c>
      <c r="E2650" s="1">
        <v>0</v>
      </c>
      <c r="G2650" s="2">
        <f t="shared" si="41"/>
        <v>0</v>
      </c>
      <c r="H2650" s="2">
        <v>0</v>
      </c>
    </row>
    <row r="2651" spans="2:8">
      <c r="B2651" t="s">
        <v>119</v>
      </c>
      <c r="C2651" t="s">
        <v>805</v>
      </c>
      <c r="D2651" s="8" t="s">
        <v>477</v>
      </c>
      <c r="E2651" s="1">
        <v>0</v>
      </c>
      <c r="G2651" s="2">
        <f t="shared" si="41"/>
        <v>0</v>
      </c>
      <c r="H2651" s="2">
        <v>0</v>
      </c>
    </row>
    <row r="2652" spans="2:8">
      <c r="B2652" t="s">
        <v>119</v>
      </c>
      <c r="C2652" t="s">
        <v>805</v>
      </c>
      <c r="D2652" s="9" t="s">
        <v>478</v>
      </c>
      <c r="E2652" s="1">
        <v>0</v>
      </c>
      <c r="G2652" s="2">
        <f t="shared" si="41"/>
        <v>0</v>
      </c>
      <c r="H2652" s="2">
        <v>0</v>
      </c>
    </row>
    <row r="2653" spans="2:8">
      <c r="B2653" t="s">
        <v>119</v>
      </c>
      <c r="C2653" t="s">
        <v>805</v>
      </c>
      <c r="D2653" s="10" t="s">
        <v>479</v>
      </c>
      <c r="E2653" s="1">
        <v>0</v>
      </c>
      <c r="G2653" s="2">
        <f t="shared" si="41"/>
        <v>0</v>
      </c>
      <c r="H2653" s="2">
        <v>0</v>
      </c>
    </row>
    <row r="2654" spans="2:8">
      <c r="B2654" t="s">
        <v>119</v>
      </c>
      <c r="C2654" t="s">
        <v>805</v>
      </c>
      <c r="D2654" s="11" t="s">
        <v>480</v>
      </c>
      <c r="E2654" s="1">
        <v>0</v>
      </c>
      <c r="G2654" s="2">
        <f t="shared" si="41"/>
        <v>0</v>
      </c>
      <c r="H2654" s="2">
        <v>0</v>
      </c>
    </row>
    <row r="2655" spans="2:8">
      <c r="B2655" t="s">
        <v>119</v>
      </c>
      <c r="C2655" t="s">
        <v>805</v>
      </c>
      <c r="D2655" s="13" t="s">
        <v>481</v>
      </c>
      <c r="E2655" s="1">
        <v>0</v>
      </c>
      <c r="G2655" s="2">
        <f t="shared" si="41"/>
        <v>0</v>
      </c>
      <c r="H2655" s="2">
        <v>0</v>
      </c>
    </row>
    <row r="2656" spans="2:8">
      <c r="B2656" t="s">
        <v>119</v>
      </c>
      <c r="C2656" t="s">
        <v>805</v>
      </c>
      <c r="D2656" s="12" t="s">
        <v>1033</v>
      </c>
      <c r="E2656" s="1">
        <v>0</v>
      </c>
      <c r="G2656" s="2">
        <f t="shared" si="41"/>
        <v>0</v>
      </c>
      <c r="H2656" s="2">
        <v>0</v>
      </c>
    </row>
    <row r="2657" spans="2:8">
      <c r="B2657" t="s">
        <v>122</v>
      </c>
      <c r="C2657" t="s">
        <v>806</v>
      </c>
      <c r="D2657" s="5" t="s">
        <v>474</v>
      </c>
      <c r="E2657" s="1">
        <v>0</v>
      </c>
      <c r="G2657" s="2">
        <f t="shared" si="41"/>
        <v>0</v>
      </c>
      <c r="H2657" s="2">
        <v>0</v>
      </c>
    </row>
    <row r="2658" spans="2:8">
      <c r="B2658" t="s">
        <v>122</v>
      </c>
      <c r="C2658" t="s">
        <v>806</v>
      </c>
      <c r="D2658" s="6" t="s">
        <v>475</v>
      </c>
      <c r="E2658" s="1">
        <v>0</v>
      </c>
      <c r="G2658" s="2">
        <f t="shared" si="41"/>
        <v>0</v>
      </c>
      <c r="H2658" s="2">
        <v>0</v>
      </c>
    </row>
    <row r="2659" spans="2:8">
      <c r="B2659" t="s">
        <v>122</v>
      </c>
      <c r="C2659" t="s">
        <v>806</v>
      </c>
      <c r="D2659" s="7" t="s">
        <v>476</v>
      </c>
      <c r="E2659" s="1">
        <v>0</v>
      </c>
      <c r="G2659" s="2">
        <f t="shared" si="41"/>
        <v>0</v>
      </c>
      <c r="H2659" s="2">
        <v>0</v>
      </c>
    </row>
    <row r="2660" spans="2:8">
      <c r="B2660" t="s">
        <v>122</v>
      </c>
      <c r="C2660" t="s">
        <v>806</v>
      </c>
      <c r="D2660" s="8" t="s">
        <v>477</v>
      </c>
      <c r="E2660" s="1">
        <v>0</v>
      </c>
      <c r="G2660" s="2">
        <f t="shared" si="41"/>
        <v>0</v>
      </c>
      <c r="H2660" s="2">
        <v>0</v>
      </c>
    </row>
    <row r="2661" spans="2:8">
      <c r="B2661" t="s">
        <v>122</v>
      </c>
      <c r="C2661" t="s">
        <v>806</v>
      </c>
      <c r="D2661" s="9" t="s">
        <v>478</v>
      </c>
      <c r="E2661" s="1">
        <v>0</v>
      </c>
      <c r="G2661" s="2">
        <f t="shared" si="41"/>
        <v>0</v>
      </c>
      <c r="H2661" s="2">
        <v>0</v>
      </c>
    </row>
    <row r="2662" spans="2:8">
      <c r="B2662" t="s">
        <v>122</v>
      </c>
      <c r="C2662" t="s">
        <v>806</v>
      </c>
      <c r="D2662" s="10" t="s">
        <v>479</v>
      </c>
      <c r="E2662" s="1">
        <v>0</v>
      </c>
      <c r="G2662" s="2">
        <f t="shared" si="41"/>
        <v>0</v>
      </c>
      <c r="H2662" s="2">
        <v>0</v>
      </c>
    </row>
    <row r="2663" spans="2:8">
      <c r="B2663" t="s">
        <v>122</v>
      </c>
      <c r="C2663" t="s">
        <v>806</v>
      </c>
      <c r="D2663" s="11" t="s">
        <v>480</v>
      </c>
      <c r="E2663" s="1">
        <v>0</v>
      </c>
      <c r="G2663" s="2">
        <f t="shared" si="41"/>
        <v>0</v>
      </c>
      <c r="H2663" s="2">
        <v>0</v>
      </c>
    </row>
    <row r="2664" spans="2:8">
      <c r="B2664" t="s">
        <v>122</v>
      </c>
      <c r="C2664" t="s">
        <v>806</v>
      </c>
      <c r="D2664" s="13" t="s">
        <v>481</v>
      </c>
      <c r="E2664" s="1">
        <v>0</v>
      </c>
      <c r="G2664" s="2">
        <f t="shared" si="41"/>
        <v>0</v>
      </c>
      <c r="H2664" s="2">
        <v>0</v>
      </c>
    </row>
    <row r="2665" spans="2:8">
      <c r="B2665" t="s">
        <v>122</v>
      </c>
      <c r="C2665" t="s">
        <v>806</v>
      </c>
      <c r="D2665" s="12" t="s">
        <v>1033</v>
      </c>
      <c r="E2665" s="1">
        <v>0</v>
      </c>
      <c r="G2665" s="2">
        <f t="shared" si="41"/>
        <v>0</v>
      </c>
      <c r="H2665" s="2">
        <v>0</v>
      </c>
    </row>
    <row r="2666" spans="2:8">
      <c r="B2666" t="s">
        <v>121</v>
      </c>
      <c r="C2666" t="s">
        <v>807</v>
      </c>
      <c r="D2666" s="5" t="s">
        <v>474</v>
      </c>
      <c r="E2666" s="1">
        <v>0</v>
      </c>
      <c r="G2666" s="2">
        <f t="shared" si="41"/>
        <v>0</v>
      </c>
      <c r="H2666" s="2">
        <v>0</v>
      </c>
    </row>
    <row r="2667" spans="2:8">
      <c r="B2667" t="s">
        <v>121</v>
      </c>
      <c r="C2667" t="s">
        <v>807</v>
      </c>
      <c r="D2667" s="6" t="s">
        <v>475</v>
      </c>
      <c r="E2667" s="1">
        <v>0</v>
      </c>
      <c r="G2667" s="2">
        <f t="shared" si="41"/>
        <v>0</v>
      </c>
      <c r="H2667" s="2">
        <v>0</v>
      </c>
    </row>
    <row r="2668" spans="2:8">
      <c r="B2668" t="s">
        <v>121</v>
      </c>
      <c r="C2668" t="s">
        <v>807</v>
      </c>
      <c r="D2668" s="7" t="s">
        <v>476</v>
      </c>
      <c r="E2668" s="1">
        <v>0</v>
      </c>
      <c r="G2668" s="2">
        <f t="shared" si="41"/>
        <v>0</v>
      </c>
      <c r="H2668" s="2">
        <v>0</v>
      </c>
    </row>
    <row r="2669" spans="2:8">
      <c r="B2669" t="s">
        <v>121</v>
      </c>
      <c r="C2669" t="s">
        <v>807</v>
      </c>
      <c r="D2669" s="8" t="s">
        <v>477</v>
      </c>
      <c r="E2669" s="1">
        <v>0</v>
      </c>
      <c r="G2669" s="2">
        <f t="shared" si="41"/>
        <v>0</v>
      </c>
      <c r="H2669" s="2">
        <v>0</v>
      </c>
    </row>
    <row r="2670" spans="2:8">
      <c r="B2670" t="s">
        <v>121</v>
      </c>
      <c r="C2670" t="s">
        <v>807</v>
      </c>
      <c r="D2670" s="9" t="s">
        <v>478</v>
      </c>
      <c r="E2670" s="1">
        <v>0</v>
      </c>
      <c r="G2670" s="2">
        <f t="shared" si="41"/>
        <v>0</v>
      </c>
      <c r="H2670" s="2">
        <v>0</v>
      </c>
    </row>
    <row r="2671" spans="2:8">
      <c r="B2671" t="s">
        <v>121</v>
      </c>
      <c r="C2671" t="s">
        <v>807</v>
      </c>
      <c r="D2671" s="10" t="s">
        <v>479</v>
      </c>
      <c r="E2671" s="1">
        <v>0</v>
      </c>
      <c r="G2671" s="2">
        <f t="shared" si="41"/>
        <v>0</v>
      </c>
      <c r="H2671" s="2">
        <v>0</v>
      </c>
    </row>
    <row r="2672" spans="2:8">
      <c r="B2672" t="s">
        <v>121</v>
      </c>
      <c r="C2672" t="s">
        <v>807</v>
      </c>
      <c r="D2672" s="11" t="s">
        <v>480</v>
      </c>
      <c r="E2672" s="1">
        <v>0</v>
      </c>
      <c r="G2672" s="2">
        <f t="shared" si="41"/>
        <v>0</v>
      </c>
      <c r="H2672" s="2">
        <v>0</v>
      </c>
    </row>
    <row r="2673" spans="2:8">
      <c r="B2673" t="s">
        <v>121</v>
      </c>
      <c r="C2673" t="s">
        <v>807</v>
      </c>
      <c r="D2673" s="13" t="s">
        <v>481</v>
      </c>
      <c r="E2673" s="1">
        <v>0</v>
      </c>
      <c r="G2673" s="2">
        <f t="shared" si="41"/>
        <v>0</v>
      </c>
      <c r="H2673" s="2">
        <v>0</v>
      </c>
    </row>
    <row r="2674" spans="2:8">
      <c r="B2674" t="s">
        <v>121</v>
      </c>
      <c r="C2674" t="s">
        <v>807</v>
      </c>
      <c r="D2674" s="12" t="s">
        <v>1033</v>
      </c>
      <c r="E2674" s="1">
        <v>0</v>
      </c>
      <c r="G2674" s="2">
        <f t="shared" si="41"/>
        <v>0</v>
      </c>
      <c r="H2674" s="2">
        <v>0</v>
      </c>
    </row>
    <row r="2675" spans="2:8">
      <c r="B2675" t="s">
        <v>352</v>
      </c>
      <c r="C2675" t="s">
        <v>808</v>
      </c>
      <c r="D2675" s="5" t="s">
        <v>474</v>
      </c>
      <c r="E2675" s="1">
        <v>0</v>
      </c>
      <c r="G2675" s="2">
        <f t="shared" si="41"/>
        <v>0</v>
      </c>
      <c r="H2675" s="2">
        <v>0</v>
      </c>
    </row>
    <row r="2676" spans="2:8">
      <c r="B2676" t="s">
        <v>352</v>
      </c>
      <c r="C2676" t="s">
        <v>808</v>
      </c>
      <c r="D2676" s="6" t="s">
        <v>475</v>
      </c>
      <c r="E2676" s="1">
        <v>0</v>
      </c>
      <c r="G2676" s="2">
        <f t="shared" si="41"/>
        <v>0</v>
      </c>
      <c r="H2676" s="2">
        <v>0</v>
      </c>
    </row>
    <row r="2677" spans="2:8">
      <c r="B2677" t="s">
        <v>352</v>
      </c>
      <c r="C2677" t="s">
        <v>808</v>
      </c>
      <c r="D2677" s="7" t="s">
        <v>476</v>
      </c>
      <c r="E2677" s="1">
        <v>0</v>
      </c>
      <c r="G2677" s="2">
        <f t="shared" si="41"/>
        <v>0</v>
      </c>
      <c r="H2677" s="2">
        <v>0</v>
      </c>
    </row>
    <row r="2678" spans="2:8">
      <c r="B2678" t="s">
        <v>352</v>
      </c>
      <c r="C2678" t="s">
        <v>808</v>
      </c>
      <c r="D2678" s="8" t="s">
        <v>477</v>
      </c>
      <c r="E2678" s="1">
        <v>0</v>
      </c>
      <c r="G2678" s="2">
        <f t="shared" si="41"/>
        <v>0</v>
      </c>
      <c r="H2678" s="2">
        <v>0</v>
      </c>
    </row>
    <row r="2679" spans="2:8">
      <c r="B2679" t="s">
        <v>352</v>
      </c>
      <c r="C2679" t="s">
        <v>808</v>
      </c>
      <c r="D2679" s="9" t="s">
        <v>478</v>
      </c>
      <c r="E2679" s="1">
        <v>0</v>
      </c>
      <c r="G2679" s="2">
        <f t="shared" si="41"/>
        <v>0</v>
      </c>
      <c r="H2679" s="2">
        <v>0</v>
      </c>
    </row>
    <row r="2680" spans="2:8">
      <c r="B2680" t="s">
        <v>352</v>
      </c>
      <c r="C2680" t="s">
        <v>808</v>
      </c>
      <c r="D2680" s="10" t="s">
        <v>479</v>
      </c>
      <c r="E2680" s="1">
        <v>0</v>
      </c>
      <c r="G2680" s="2">
        <f t="shared" si="41"/>
        <v>0</v>
      </c>
      <c r="H2680" s="2">
        <v>0</v>
      </c>
    </row>
    <row r="2681" spans="2:8">
      <c r="B2681" t="s">
        <v>352</v>
      </c>
      <c r="C2681" t="s">
        <v>808</v>
      </c>
      <c r="D2681" s="11" t="s">
        <v>480</v>
      </c>
      <c r="E2681" s="1">
        <v>0</v>
      </c>
      <c r="G2681" s="2">
        <f t="shared" si="41"/>
        <v>0</v>
      </c>
      <c r="H2681" s="2">
        <v>0</v>
      </c>
    </row>
    <row r="2682" spans="2:8">
      <c r="B2682" t="s">
        <v>352</v>
      </c>
      <c r="C2682" t="s">
        <v>808</v>
      </c>
      <c r="D2682" s="13" t="s">
        <v>481</v>
      </c>
      <c r="E2682" s="1">
        <v>0</v>
      </c>
      <c r="G2682" s="2">
        <f t="shared" si="41"/>
        <v>0</v>
      </c>
      <c r="H2682" s="2">
        <v>0</v>
      </c>
    </row>
    <row r="2683" spans="2:8">
      <c r="B2683" t="s">
        <v>352</v>
      </c>
      <c r="C2683" t="s">
        <v>808</v>
      </c>
      <c r="D2683" s="12" t="s">
        <v>1033</v>
      </c>
      <c r="E2683" s="1">
        <v>0</v>
      </c>
      <c r="G2683" s="2">
        <f t="shared" si="41"/>
        <v>0</v>
      </c>
      <c r="H2683" s="2">
        <v>0</v>
      </c>
    </row>
    <row r="2684" spans="2:8">
      <c r="B2684" t="s">
        <v>869</v>
      </c>
      <c r="C2684" t="s">
        <v>872</v>
      </c>
      <c r="D2684" s="5" t="s">
        <v>474</v>
      </c>
      <c r="E2684" s="1">
        <v>0</v>
      </c>
      <c r="G2684" s="2">
        <f t="shared" si="41"/>
        <v>0</v>
      </c>
      <c r="H2684" s="2">
        <v>0</v>
      </c>
    </row>
    <row r="2685" spans="2:8">
      <c r="B2685" t="s">
        <v>869</v>
      </c>
      <c r="C2685" t="s">
        <v>872</v>
      </c>
      <c r="D2685" s="6" t="s">
        <v>475</v>
      </c>
      <c r="E2685" s="1">
        <v>0</v>
      </c>
      <c r="G2685" s="2">
        <f t="shared" si="41"/>
        <v>0</v>
      </c>
      <c r="H2685" s="2">
        <v>0</v>
      </c>
    </row>
    <row r="2686" spans="2:8">
      <c r="B2686" t="s">
        <v>869</v>
      </c>
      <c r="C2686" t="s">
        <v>872</v>
      </c>
      <c r="D2686" s="7" t="s">
        <v>476</v>
      </c>
      <c r="E2686" s="1">
        <v>0</v>
      </c>
      <c r="G2686" s="2">
        <f t="shared" si="41"/>
        <v>0</v>
      </c>
      <c r="H2686" s="2">
        <v>0</v>
      </c>
    </row>
    <row r="2687" spans="2:8">
      <c r="B2687" t="s">
        <v>869</v>
      </c>
      <c r="C2687" t="s">
        <v>872</v>
      </c>
      <c r="D2687" s="8" t="s">
        <v>477</v>
      </c>
      <c r="E2687" s="1">
        <v>0</v>
      </c>
      <c r="G2687" s="2">
        <f t="shared" si="41"/>
        <v>0</v>
      </c>
      <c r="H2687" s="2">
        <v>0</v>
      </c>
    </row>
    <row r="2688" spans="2:8">
      <c r="B2688" t="s">
        <v>869</v>
      </c>
      <c r="C2688" t="s">
        <v>872</v>
      </c>
      <c r="D2688" s="9" t="s">
        <v>478</v>
      </c>
      <c r="E2688" s="1">
        <v>0</v>
      </c>
      <c r="G2688" s="2">
        <f t="shared" si="41"/>
        <v>0</v>
      </c>
      <c r="H2688" s="2">
        <v>0</v>
      </c>
    </row>
    <row r="2689" spans="2:8">
      <c r="B2689" t="s">
        <v>869</v>
      </c>
      <c r="C2689" t="s">
        <v>872</v>
      </c>
      <c r="D2689" s="10" t="s">
        <v>479</v>
      </c>
      <c r="E2689" s="1">
        <v>0</v>
      </c>
      <c r="G2689" s="2">
        <f t="shared" si="41"/>
        <v>0</v>
      </c>
      <c r="H2689" s="2">
        <v>0</v>
      </c>
    </row>
    <row r="2690" spans="2:8">
      <c r="B2690" t="s">
        <v>869</v>
      </c>
      <c r="C2690" t="s">
        <v>872</v>
      </c>
      <c r="D2690" s="11" t="s">
        <v>480</v>
      </c>
      <c r="E2690" s="1">
        <v>0</v>
      </c>
      <c r="G2690" s="2">
        <f t="shared" ref="G2690:G2753" si="42">E2690*F2690</f>
        <v>0</v>
      </c>
      <c r="H2690" s="2">
        <v>0</v>
      </c>
    </row>
    <row r="2691" spans="2:8">
      <c r="B2691" t="s">
        <v>869</v>
      </c>
      <c r="C2691" t="s">
        <v>872</v>
      </c>
      <c r="D2691" s="13" t="s">
        <v>481</v>
      </c>
      <c r="E2691" s="1">
        <v>0</v>
      </c>
      <c r="G2691" s="2">
        <f t="shared" si="42"/>
        <v>0</v>
      </c>
      <c r="H2691" s="2">
        <v>0</v>
      </c>
    </row>
    <row r="2692" spans="2:8">
      <c r="B2692" t="s">
        <v>869</v>
      </c>
      <c r="C2692" t="s">
        <v>872</v>
      </c>
      <c r="D2692" s="12" t="s">
        <v>1033</v>
      </c>
      <c r="E2692" s="1">
        <v>0</v>
      </c>
      <c r="G2692" s="2">
        <f t="shared" si="42"/>
        <v>0</v>
      </c>
      <c r="H2692" s="2">
        <v>0</v>
      </c>
    </row>
    <row r="2693" spans="2:8">
      <c r="B2693" t="s">
        <v>870</v>
      </c>
      <c r="C2693" t="s">
        <v>873</v>
      </c>
      <c r="D2693" s="5" t="s">
        <v>474</v>
      </c>
      <c r="E2693" s="1">
        <v>0</v>
      </c>
      <c r="G2693" s="2">
        <f t="shared" si="42"/>
        <v>0</v>
      </c>
      <c r="H2693" s="2">
        <v>0</v>
      </c>
    </row>
    <row r="2694" spans="2:8">
      <c r="B2694" t="s">
        <v>870</v>
      </c>
      <c r="C2694" t="s">
        <v>873</v>
      </c>
      <c r="D2694" s="6" t="s">
        <v>475</v>
      </c>
      <c r="E2694" s="1">
        <v>0</v>
      </c>
      <c r="G2694" s="2">
        <f t="shared" si="42"/>
        <v>0</v>
      </c>
      <c r="H2694" s="2">
        <v>0</v>
      </c>
    </row>
    <row r="2695" spans="2:8">
      <c r="B2695" t="s">
        <v>870</v>
      </c>
      <c r="C2695" t="s">
        <v>873</v>
      </c>
      <c r="D2695" s="7" t="s">
        <v>476</v>
      </c>
      <c r="E2695" s="1">
        <v>0</v>
      </c>
      <c r="G2695" s="2">
        <f t="shared" si="42"/>
        <v>0</v>
      </c>
      <c r="H2695" s="2">
        <v>0</v>
      </c>
    </row>
    <row r="2696" spans="2:8">
      <c r="B2696" t="s">
        <v>870</v>
      </c>
      <c r="C2696" t="s">
        <v>873</v>
      </c>
      <c r="D2696" s="8" t="s">
        <v>477</v>
      </c>
      <c r="E2696" s="1">
        <v>0</v>
      </c>
      <c r="G2696" s="2">
        <f t="shared" si="42"/>
        <v>0</v>
      </c>
      <c r="H2696" s="2">
        <v>0</v>
      </c>
    </row>
    <row r="2697" spans="2:8">
      <c r="B2697" t="s">
        <v>870</v>
      </c>
      <c r="C2697" t="s">
        <v>873</v>
      </c>
      <c r="D2697" s="9" t="s">
        <v>478</v>
      </c>
      <c r="E2697" s="1">
        <v>0</v>
      </c>
      <c r="G2697" s="2">
        <f t="shared" si="42"/>
        <v>0</v>
      </c>
      <c r="H2697" s="2">
        <v>0</v>
      </c>
    </row>
    <row r="2698" spans="2:8">
      <c r="B2698" t="s">
        <v>870</v>
      </c>
      <c r="C2698" t="s">
        <v>873</v>
      </c>
      <c r="D2698" s="10" t="s">
        <v>479</v>
      </c>
      <c r="E2698" s="1">
        <v>0</v>
      </c>
      <c r="G2698" s="2">
        <f t="shared" si="42"/>
        <v>0</v>
      </c>
      <c r="H2698" s="2">
        <v>0</v>
      </c>
    </row>
    <row r="2699" spans="2:8">
      <c r="B2699" t="s">
        <v>870</v>
      </c>
      <c r="C2699" t="s">
        <v>873</v>
      </c>
      <c r="D2699" s="11" t="s">
        <v>480</v>
      </c>
      <c r="E2699" s="1">
        <v>0</v>
      </c>
      <c r="G2699" s="2">
        <f t="shared" si="42"/>
        <v>0</v>
      </c>
      <c r="H2699" s="2">
        <v>0</v>
      </c>
    </row>
    <row r="2700" spans="2:8">
      <c r="B2700" t="s">
        <v>870</v>
      </c>
      <c r="C2700" t="s">
        <v>873</v>
      </c>
      <c r="D2700" s="13" t="s">
        <v>481</v>
      </c>
      <c r="E2700" s="1">
        <v>0</v>
      </c>
      <c r="G2700" s="2">
        <f t="shared" si="42"/>
        <v>0</v>
      </c>
      <c r="H2700" s="2">
        <v>0</v>
      </c>
    </row>
    <row r="2701" spans="2:8">
      <c r="B2701" t="s">
        <v>870</v>
      </c>
      <c r="C2701" t="s">
        <v>873</v>
      </c>
      <c r="D2701" s="12" t="s">
        <v>1033</v>
      </c>
      <c r="E2701" s="1">
        <v>0</v>
      </c>
      <c r="G2701" s="2">
        <f t="shared" si="42"/>
        <v>0</v>
      </c>
      <c r="H2701" s="2">
        <v>0</v>
      </c>
    </row>
    <row r="2702" spans="2:8">
      <c r="B2702" t="s">
        <v>871</v>
      </c>
      <c r="C2702" t="s">
        <v>874</v>
      </c>
      <c r="D2702" s="5" t="s">
        <v>474</v>
      </c>
      <c r="E2702" s="1">
        <v>0</v>
      </c>
      <c r="G2702" s="2">
        <f t="shared" si="42"/>
        <v>0</v>
      </c>
      <c r="H2702" s="2">
        <v>0</v>
      </c>
    </row>
    <row r="2703" spans="2:8">
      <c r="B2703" t="s">
        <v>871</v>
      </c>
      <c r="C2703" t="s">
        <v>874</v>
      </c>
      <c r="D2703" s="6" t="s">
        <v>475</v>
      </c>
      <c r="E2703" s="1">
        <v>0</v>
      </c>
      <c r="G2703" s="2">
        <f t="shared" si="42"/>
        <v>0</v>
      </c>
      <c r="H2703" s="2">
        <v>0</v>
      </c>
    </row>
    <row r="2704" spans="2:8">
      <c r="B2704" t="s">
        <v>871</v>
      </c>
      <c r="C2704" t="s">
        <v>874</v>
      </c>
      <c r="D2704" s="7" t="s">
        <v>476</v>
      </c>
      <c r="E2704" s="1">
        <v>0</v>
      </c>
      <c r="G2704" s="2">
        <f t="shared" si="42"/>
        <v>0</v>
      </c>
      <c r="H2704" s="2">
        <v>0</v>
      </c>
    </row>
    <row r="2705" spans="2:8">
      <c r="B2705" t="s">
        <v>871</v>
      </c>
      <c r="C2705" t="s">
        <v>874</v>
      </c>
      <c r="D2705" s="8" t="s">
        <v>477</v>
      </c>
      <c r="E2705" s="1">
        <v>0</v>
      </c>
      <c r="G2705" s="2">
        <f t="shared" si="42"/>
        <v>0</v>
      </c>
      <c r="H2705" s="2">
        <v>0</v>
      </c>
    </row>
    <row r="2706" spans="2:8">
      <c r="B2706" t="s">
        <v>871</v>
      </c>
      <c r="C2706" t="s">
        <v>874</v>
      </c>
      <c r="D2706" s="9" t="s">
        <v>478</v>
      </c>
      <c r="E2706" s="1">
        <v>0</v>
      </c>
      <c r="G2706" s="2">
        <f t="shared" si="42"/>
        <v>0</v>
      </c>
      <c r="H2706" s="2">
        <v>0</v>
      </c>
    </row>
    <row r="2707" spans="2:8">
      <c r="B2707" t="s">
        <v>871</v>
      </c>
      <c r="C2707" t="s">
        <v>874</v>
      </c>
      <c r="D2707" s="10" t="s">
        <v>479</v>
      </c>
      <c r="E2707" s="1">
        <v>0</v>
      </c>
      <c r="G2707" s="2">
        <f t="shared" si="42"/>
        <v>0</v>
      </c>
      <c r="H2707" s="2">
        <v>0</v>
      </c>
    </row>
    <row r="2708" spans="2:8">
      <c r="B2708" t="s">
        <v>871</v>
      </c>
      <c r="C2708" t="s">
        <v>874</v>
      </c>
      <c r="D2708" s="11" t="s">
        <v>480</v>
      </c>
      <c r="E2708" s="1">
        <v>0</v>
      </c>
      <c r="G2708" s="2">
        <f t="shared" si="42"/>
        <v>0</v>
      </c>
      <c r="H2708" s="2">
        <v>0</v>
      </c>
    </row>
    <row r="2709" spans="2:8">
      <c r="B2709" t="s">
        <v>871</v>
      </c>
      <c r="C2709" t="s">
        <v>874</v>
      </c>
      <c r="D2709" s="13" t="s">
        <v>481</v>
      </c>
      <c r="E2709" s="1">
        <v>0</v>
      </c>
      <c r="G2709" s="2">
        <f t="shared" si="42"/>
        <v>0</v>
      </c>
      <c r="H2709" s="2">
        <v>0</v>
      </c>
    </row>
    <row r="2710" spans="2:8">
      <c r="B2710" t="s">
        <v>871</v>
      </c>
      <c r="C2710" t="s">
        <v>874</v>
      </c>
      <c r="D2710" s="12" t="s">
        <v>1033</v>
      </c>
      <c r="E2710" s="1">
        <v>0</v>
      </c>
      <c r="G2710" s="2">
        <f t="shared" si="42"/>
        <v>0</v>
      </c>
      <c r="H2710" s="2">
        <v>0</v>
      </c>
    </row>
    <row r="2711" spans="2:8">
      <c r="B2711" t="s">
        <v>135</v>
      </c>
      <c r="C2711" t="s">
        <v>809</v>
      </c>
      <c r="D2711" s="5" t="s">
        <v>474</v>
      </c>
      <c r="E2711" s="1">
        <v>0</v>
      </c>
      <c r="G2711" s="2">
        <f t="shared" si="42"/>
        <v>0</v>
      </c>
      <c r="H2711" s="2">
        <v>0</v>
      </c>
    </row>
    <row r="2712" spans="2:8">
      <c r="B2712" t="s">
        <v>135</v>
      </c>
      <c r="C2712" t="s">
        <v>809</v>
      </c>
      <c r="D2712" s="6" t="s">
        <v>475</v>
      </c>
      <c r="E2712" s="1">
        <v>0</v>
      </c>
      <c r="G2712" s="2">
        <f t="shared" si="42"/>
        <v>0</v>
      </c>
      <c r="H2712" s="2">
        <v>0</v>
      </c>
    </row>
    <row r="2713" spans="2:8">
      <c r="B2713" t="s">
        <v>135</v>
      </c>
      <c r="C2713" t="s">
        <v>809</v>
      </c>
      <c r="D2713" s="7" t="s">
        <v>476</v>
      </c>
      <c r="E2713" s="1">
        <v>0</v>
      </c>
      <c r="G2713" s="2">
        <f t="shared" si="42"/>
        <v>0</v>
      </c>
      <c r="H2713" s="2">
        <v>0</v>
      </c>
    </row>
    <row r="2714" spans="2:8">
      <c r="B2714" t="s">
        <v>135</v>
      </c>
      <c r="C2714" t="s">
        <v>809</v>
      </c>
      <c r="D2714" s="8" t="s">
        <v>477</v>
      </c>
      <c r="E2714" s="1">
        <v>0</v>
      </c>
      <c r="G2714" s="2">
        <f t="shared" si="42"/>
        <v>0</v>
      </c>
      <c r="H2714" s="2">
        <v>0</v>
      </c>
    </row>
    <row r="2715" spans="2:8">
      <c r="B2715" t="s">
        <v>135</v>
      </c>
      <c r="C2715" t="s">
        <v>809</v>
      </c>
      <c r="D2715" s="9" t="s">
        <v>478</v>
      </c>
      <c r="E2715" s="1">
        <v>0</v>
      </c>
      <c r="G2715" s="2">
        <f t="shared" si="42"/>
        <v>0</v>
      </c>
      <c r="H2715" s="2">
        <v>0</v>
      </c>
    </row>
    <row r="2716" spans="2:8">
      <c r="B2716" t="s">
        <v>135</v>
      </c>
      <c r="C2716" t="s">
        <v>809</v>
      </c>
      <c r="D2716" s="10" t="s">
        <v>479</v>
      </c>
      <c r="E2716" s="1">
        <v>0</v>
      </c>
      <c r="G2716" s="2">
        <f t="shared" si="42"/>
        <v>0</v>
      </c>
      <c r="H2716" s="2">
        <v>0</v>
      </c>
    </row>
    <row r="2717" spans="2:8">
      <c r="B2717" t="s">
        <v>135</v>
      </c>
      <c r="C2717" t="s">
        <v>809</v>
      </c>
      <c r="D2717" s="11" t="s">
        <v>480</v>
      </c>
      <c r="E2717" s="1">
        <v>0</v>
      </c>
      <c r="G2717" s="2">
        <f t="shared" si="42"/>
        <v>0</v>
      </c>
      <c r="H2717" s="2">
        <v>0</v>
      </c>
    </row>
    <row r="2718" spans="2:8">
      <c r="B2718" t="s">
        <v>135</v>
      </c>
      <c r="C2718" t="s">
        <v>809</v>
      </c>
      <c r="D2718" s="13" t="s">
        <v>481</v>
      </c>
      <c r="E2718" s="1">
        <v>0</v>
      </c>
      <c r="G2718" s="2">
        <f t="shared" si="42"/>
        <v>0</v>
      </c>
      <c r="H2718" s="2">
        <v>0</v>
      </c>
    </row>
    <row r="2719" spans="2:8">
      <c r="B2719" t="s">
        <v>135</v>
      </c>
      <c r="C2719" t="s">
        <v>809</v>
      </c>
      <c r="D2719" s="12" t="s">
        <v>1033</v>
      </c>
      <c r="E2719" s="1">
        <v>0</v>
      </c>
      <c r="G2719" s="2">
        <f t="shared" si="42"/>
        <v>0</v>
      </c>
      <c r="H2719" s="2">
        <v>0</v>
      </c>
    </row>
    <row r="2720" spans="2:8">
      <c r="B2720" t="s">
        <v>136</v>
      </c>
      <c r="C2720" t="s">
        <v>810</v>
      </c>
      <c r="D2720" s="5" t="s">
        <v>474</v>
      </c>
      <c r="E2720" s="1">
        <v>0</v>
      </c>
      <c r="G2720" s="2">
        <f t="shared" si="42"/>
        <v>0</v>
      </c>
      <c r="H2720" s="2">
        <v>0</v>
      </c>
    </row>
    <row r="2721" spans="2:8">
      <c r="B2721" t="s">
        <v>136</v>
      </c>
      <c r="C2721" t="s">
        <v>810</v>
      </c>
      <c r="D2721" s="6" t="s">
        <v>475</v>
      </c>
      <c r="E2721" s="1">
        <v>0</v>
      </c>
      <c r="G2721" s="2">
        <f t="shared" si="42"/>
        <v>0</v>
      </c>
      <c r="H2721" s="2">
        <v>0</v>
      </c>
    </row>
    <row r="2722" spans="2:8">
      <c r="B2722" t="s">
        <v>136</v>
      </c>
      <c r="C2722" t="s">
        <v>810</v>
      </c>
      <c r="D2722" s="7" t="s">
        <v>476</v>
      </c>
      <c r="E2722" s="1">
        <v>0</v>
      </c>
      <c r="G2722" s="2">
        <f t="shared" si="42"/>
        <v>0</v>
      </c>
      <c r="H2722" s="2">
        <v>0</v>
      </c>
    </row>
    <row r="2723" spans="2:8">
      <c r="B2723" t="s">
        <v>136</v>
      </c>
      <c r="C2723" t="s">
        <v>810</v>
      </c>
      <c r="D2723" s="8" t="s">
        <v>477</v>
      </c>
      <c r="E2723" s="1">
        <v>0</v>
      </c>
      <c r="G2723" s="2">
        <f t="shared" si="42"/>
        <v>0</v>
      </c>
      <c r="H2723" s="2">
        <v>0</v>
      </c>
    </row>
    <row r="2724" spans="2:8">
      <c r="B2724" t="s">
        <v>136</v>
      </c>
      <c r="C2724" t="s">
        <v>810</v>
      </c>
      <c r="D2724" s="9" t="s">
        <v>478</v>
      </c>
      <c r="E2724" s="1">
        <v>0</v>
      </c>
      <c r="G2724" s="2">
        <f t="shared" si="42"/>
        <v>0</v>
      </c>
      <c r="H2724" s="2">
        <v>0</v>
      </c>
    </row>
    <row r="2725" spans="2:8">
      <c r="B2725" t="s">
        <v>136</v>
      </c>
      <c r="C2725" t="s">
        <v>810</v>
      </c>
      <c r="D2725" s="10" t="s">
        <v>479</v>
      </c>
      <c r="E2725" s="1">
        <v>0</v>
      </c>
      <c r="G2725" s="2">
        <f t="shared" si="42"/>
        <v>0</v>
      </c>
      <c r="H2725" s="2">
        <v>0</v>
      </c>
    </row>
    <row r="2726" spans="2:8">
      <c r="B2726" t="s">
        <v>136</v>
      </c>
      <c r="C2726" t="s">
        <v>810</v>
      </c>
      <c r="D2726" s="11" t="s">
        <v>480</v>
      </c>
      <c r="E2726" s="1">
        <v>0</v>
      </c>
      <c r="G2726" s="2">
        <f t="shared" si="42"/>
        <v>0</v>
      </c>
      <c r="H2726" s="2">
        <v>0</v>
      </c>
    </row>
    <row r="2727" spans="2:8">
      <c r="B2727" t="s">
        <v>136</v>
      </c>
      <c r="C2727" t="s">
        <v>810</v>
      </c>
      <c r="D2727" s="13" t="s">
        <v>481</v>
      </c>
      <c r="E2727" s="1">
        <v>0</v>
      </c>
      <c r="G2727" s="2">
        <f t="shared" si="42"/>
        <v>0</v>
      </c>
      <c r="H2727" s="2">
        <v>0</v>
      </c>
    </row>
    <row r="2728" spans="2:8">
      <c r="B2728" t="s">
        <v>136</v>
      </c>
      <c r="C2728" t="s">
        <v>810</v>
      </c>
      <c r="D2728" s="12" t="s">
        <v>1033</v>
      </c>
      <c r="E2728" s="1">
        <v>0</v>
      </c>
      <c r="G2728" s="2">
        <f t="shared" si="42"/>
        <v>0</v>
      </c>
      <c r="H2728" s="2">
        <v>0</v>
      </c>
    </row>
    <row r="2729" spans="2:8">
      <c r="B2729" t="s">
        <v>137</v>
      </c>
      <c r="C2729" t="s">
        <v>811</v>
      </c>
      <c r="D2729" s="5" t="s">
        <v>474</v>
      </c>
      <c r="E2729" s="1">
        <v>0</v>
      </c>
      <c r="G2729" s="2">
        <f t="shared" si="42"/>
        <v>0</v>
      </c>
      <c r="H2729" s="2">
        <v>0</v>
      </c>
    </row>
    <row r="2730" spans="2:8">
      <c r="B2730" t="s">
        <v>137</v>
      </c>
      <c r="C2730" t="s">
        <v>811</v>
      </c>
      <c r="D2730" s="6" t="s">
        <v>475</v>
      </c>
      <c r="E2730" s="1">
        <v>0</v>
      </c>
      <c r="G2730" s="2">
        <f t="shared" si="42"/>
        <v>0</v>
      </c>
      <c r="H2730" s="2">
        <v>0</v>
      </c>
    </row>
    <row r="2731" spans="2:8">
      <c r="B2731" t="s">
        <v>137</v>
      </c>
      <c r="C2731" t="s">
        <v>811</v>
      </c>
      <c r="D2731" s="7" t="s">
        <v>476</v>
      </c>
      <c r="E2731" s="1">
        <v>0</v>
      </c>
      <c r="G2731" s="2">
        <f t="shared" si="42"/>
        <v>0</v>
      </c>
      <c r="H2731" s="2">
        <v>0</v>
      </c>
    </row>
    <row r="2732" spans="2:8">
      <c r="B2732" t="s">
        <v>137</v>
      </c>
      <c r="C2732" t="s">
        <v>811</v>
      </c>
      <c r="D2732" s="8" t="s">
        <v>477</v>
      </c>
      <c r="E2732" s="1">
        <v>0</v>
      </c>
      <c r="G2732" s="2">
        <f t="shared" si="42"/>
        <v>0</v>
      </c>
      <c r="H2732" s="2">
        <v>0</v>
      </c>
    </row>
    <row r="2733" spans="2:8">
      <c r="B2733" t="s">
        <v>137</v>
      </c>
      <c r="C2733" t="s">
        <v>811</v>
      </c>
      <c r="D2733" s="9" t="s">
        <v>478</v>
      </c>
      <c r="E2733" s="1">
        <v>0</v>
      </c>
      <c r="G2733" s="2">
        <f t="shared" si="42"/>
        <v>0</v>
      </c>
      <c r="H2733" s="2">
        <v>0</v>
      </c>
    </row>
    <row r="2734" spans="2:8">
      <c r="B2734" t="s">
        <v>137</v>
      </c>
      <c r="C2734" t="s">
        <v>811</v>
      </c>
      <c r="D2734" s="10" t="s">
        <v>479</v>
      </c>
      <c r="E2734" s="1">
        <v>0</v>
      </c>
      <c r="G2734" s="2">
        <f t="shared" si="42"/>
        <v>0</v>
      </c>
      <c r="H2734" s="2">
        <v>0</v>
      </c>
    </row>
    <row r="2735" spans="2:8">
      <c r="B2735" t="s">
        <v>137</v>
      </c>
      <c r="C2735" t="s">
        <v>811</v>
      </c>
      <c r="D2735" s="11" t="s">
        <v>480</v>
      </c>
      <c r="E2735" s="1">
        <v>0</v>
      </c>
      <c r="G2735" s="2">
        <f t="shared" si="42"/>
        <v>0</v>
      </c>
      <c r="H2735" s="2">
        <v>0</v>
      </c>
    </row>
    <row r="2736" spans="2:8">
      <c r="B2736" t="s">
        <v>137</v>
      </c>
      <c r="C2736" t="s">
        <v>811</v>
      </c>
      <c r="D2736" s="13" t="s">
        <v>481</v>
      </c>
      <c r="E2736" s="1">
        <v>0</v>
      </c>
      <c r="G2736" s="2">
        <f t="shared" si="42"/>
        <v>0</v>
      </c>
      <c r="H2736" s="2">
        <v>0</v>
      </c>
    </row>
    <row r="2737" spans="2:8">
      <c r="B2737" t="s">
        <v>137</v>
      </c>
      <c r="C2737" t="s">
        <v>811</v>
      </c>
      <c r="D2737" s="12" t="s">
        <v>1033</v>
      </c>
      <c r="E2737" s="1">
        <v>0</v>
      </c>
      <c r="G2737" s="2">
        <f t="shared" si="42"/>
        <v>0</v>
      </c>
      <c r="H2737" s="2">
        <v>0</v>
      </c>
    </row>
    <row r="2738" spans="2:8">
      <c r="B2738" t="s">
        <v>138</v>
      </c>
      <c r="C2738" t="s">
        <v>812</v>
      </c>
      <c r="D2738" s="5" t="s">
        <v>474</v>
      </c>
      <c r="E2738" s="1">
        <v>0</v>
      </c>
      <c r="G2738" s="2">
        <f t="shared" si="42"/>
        <v>0</v>
      </c>
      <c r="H2738" s="2">
        <v>0</v>
      </c>
    </row>
    <row r="2739" spans="2:8">
      <c r="B2739" t="s">
        <v>138</v>
      </c>
      <c r="C2739" t="s">
        <v>812</v>
      </c>
      <c r="D2739" s="6" t="s">
        <v>475</v>
      </c>
      <c r="E2739" s="1">
        <v>0</v>
      </c>
      <c r="G2739" s="2">
        <f t="shared" si="42"/>
        <v>0</v>
      </c>
      <c r="H2739" s="2">
        <v>0</v>
      </c>
    </row>
    <row r="2740" spans="2:8">
      <c r="B2740" t="s">
        <v>138</v>
      </c>
      <c r="C2740" t="s">
        <v>812</v>
      </c>
      <c r="D2740" s="7" t="s">
        <v>476</v>
      </c>
      <c r="E2740" s="1">
        <v>0</v>
      </c>
      <c r="G2740" s="2">
        <f t="shared" si="42"/>
        <v>0</v>
      </c>
      <c r="H2740" s="2">
        <v>0</v>
      </c>
    </row>
    <row r="2741" spans="2:8">
      <c r="B2741" t="s">
        <v>138</v>
      </c>
      <c r="C2741" t="s">
        <v>812</v>
      </c>
      <c r="D2741" s="8" t="s">
        <v>477</v>
      </c>
      <c r="E2741" s="1">
        <v>0</v>
      </c>
      <c r="G2741" s="2">
        <f t="shared" si="42"/>
        <v>0</v>
      </c>
      <c r="H2741" s="2">
        <v>0</v>
      </c>
    </row>
    <row r="2742" spans="2:8">
      <c r="B2742" t="s">
        <v>138</v>
      </c>
      <c r="C2742" t="s">
        <v>812</v>
      </c>
      <c r="D2742" s="9" t="s">
        <v>478</v>
      </c>
      <c r="E2742" s="1">
        <v>0</v>
      </c>
      <c r="G2742" s="2">
        <f t="shared" si="42"/>
        <v>0</v>
      </c>
      <c r="H2742" s="2">
        <v>0</v>
      </c>
    </row>
    <row r="2743" spans="2:8">
      <c r="B2743" t="s">
        <v>138</v>
      </c>
      <c r="C2743" t="s">
        <v>812</v>
      </c>
      <c r="D2743" s="10" t="s">
        <v>479</v>
      </c>
      <c r="E2743" s="1">
        <v>0</v>
      </c>
      <c r="G2743" s="2">
        <f t="shared" si="42"/>
        <v>0</v>
      </c>
      <c r="H2743" s="2">
        <v>0</v>
      </c>
    </row>
    <row r="2744" spans="2:8">
      <c r="B2744" t="s">
        <v>138</v>
      </c>
      <c r="C2744" t="s">
        <v>812</v>
      </c>
      <c r="D2744" s="11" t="s">
        <v>480</v>
      </c>
      <c r="E2744" s="1">
        <v>0</v>
      </c>
      <c r="G2744" s="2">
        <f t="shared" si="42"/>
        <v>0</v>
      </c>
      <c r="H2744" s="2">
        <v>0</v>
      </c>
    </row>
    <row r="2745" spans="2:8">
      <c r="B2745" t="s">
        <v>138</v>
      </c>
      <c r="C2745" t="s">
        <v>812</v>
      </c>
      <c r="D2745" s="13" t="s">
        <v>481</v>
      </c>
      <c r="E2745" s="1">
        <v>0</v>
      </c>
      <c r="G2745" s="2">
        <f t="shared" si="42"/>
        <v>0</v>
      </c>
      <c r="H2745" s="2">
        <v>0</v>
      </c>
    </row>
    <row r="2746" spans="2:8">
      <c r="B2746" t="s">
        <v>138</v>
      </c>
      <c r="C2746" t="s">
        <v>812</v>
      </c>
      <c r="D2746" s="12" t="s">
        <v>1033</v>
      </c>
      <c r="E2746" s="1">
        <v>0</v>
      </c>
      <c r="G2746" s="2">
        <f t="shared" si="42"/>
        <v>0</v>
      </c>
      <c r="H2746" s="2">
        <v>0</v>
      </c>
    </row>
    <row r="2747" spans="2:8">
      <c r="B2747" t="s">
        <v>131</v>
      </c>
      <c r="C2747" t="s">
        <v>813</v>
      </c>
      <c r="D2747" s="5" t="s">
        <v>474</v>
      </c>
      <c r="E2747" s="1">
        <v>0</v>
      </c>
      <c r="G2747" s="2">
        <f t="shared" si="42"/>
        <v>0</v>
      </c>
      <c r="H2747" s="2">
        <v>0</v>
      </c>
    </row>
    <row r="2748" spans="2:8">
      <c r="B2748" t="s">
        <v>131</v>
      </c>
      <c r="C2748" t="s">
        <v>813</v>
      </c>
      <c r="D2748" s="6" t="s">
        <v>475</v>
      </c>
      <c r="E2748" s="1">
        <v>0</v>
      </c>
      <c r="G2748" s="2">
        <f t="shared" si="42"/>
        <v>0</v>
      </c>
      <c r="H2748" s="2">
        <v>0</v>
      </c>
    </row>
    <row r="2749" spans="2:8">
      <c r="B2749" t="s">
        <v>131</v>
      </c>
      <c r="C2749" t="s">
        <v>813</v>
      </c>
      <c r="D2749" s="7" t="s">
        <v>476</v>
      </c>
      <c r="E2749" s="1">
        <v>0</v>
      </c>
      <c r="G2749" s="2">
        <f t="shared" si="42"/>
        <v>0</v>
      </c>
      <c r="H2749" s="2">
        <v>0</v>
      </c>
    </row>
    <row r="2750" spans="2:8">
      <c r="B2750" t="s">
        <v>131</v>
      </c>
      <c r="C2750" t="s">
        <v>813</v>
      </c>
      <c r="D2750" s="8" t="s">
        <v>477</v>
      </c>
      <c r="E2750" s="1">
        <v>0</v>
      </c>
      <c r="G2750" s="2">
        <f t="shared" si="42"/>
        <v>0</v>
      </c>
      <c r="H2750" s="2">
        <v>0</v>
      </c>
    </row>
    <row r="2751" spans="2:8">
      <c r="B2751" t="s">
        <v>131</v>
      </c>
      <c r="C2751" t="s">
        <v>813</v>
      </c>
      <c r="D2751" s="9" t="s">
        <v>478</v>
      </c>
      <c r="E2751" s="1">
        <v>0</v>
      </c>
      <c r="G2751" s="2">
        <f t="shared" si="42"/>
        <v>0</v>
      </c>
      <c r="H2751" s="2">
        <v>0</v>
      </c>
    </row>
    <row r="2752" spans="2:8">
      <c r="B2752" t="s">
        <v>131</v>
      </c>
      <c r="C2752" t="s">
        <v>813</v>
      </c>
      <c r="D2752" s="10" t="s">
        <v>479</v>
      </c>
      <c r="E2752" s="1">
        <v>0</v>
      </c>
      <c r="G2752" s="2">
        <f t="shared" si="42"/>
        <v>0</v>
      </c>
      <c r="H2752" s="2">
        <v>0</v>
      </c>
    </row>
    <row r="2753" spans="2:8">
      <c r="B2753" t="s">
        <v>131</v>
      </c>
      <c r="C2753" t="s">
        <v>813</v>
      </c>
      <c r="D2753" s="11" t="s">
        <v>480</v>
      </c>
      <c r="E2753" s="1">
        <v>0</v>
      </c>
      <c r="G2753" s="2">
        <f t="shared" si="42"/>
        <v>0</v>
      </c>
      <c r="H2753" s="2">
        <v>0</v>
      </c>
    </row>
    <row r="2754" spans="2:8">
      <c r="B2754" t="s">
        <v>131</v>
      </c>
      <c r="C2754" t="s">
        <v>813</v>
      </c>
      <c r="D2754" s="13" t="s">
        <v>481</v>
      </c>
      <c r="E2754" s="1">
        <v>0</v>
      </c>
      <c r="G2754" s="2">
        <f t="shared" ref="G2754:G2817" si="43">E2754*F2754</f>
        <v>0</v>
      </c>
      <c r="H2754" s="2">
        <v>0</v>
      </c>
    </row>
    <row r="2755" spans="2:8">
      <c r="B2755" t="s">
        <v>131</v>
      </c>
      <c r="C2755" t="s">
        <v>813</v>
      </c>
      <c r="D2755" s="12" t="s">
        <v>1033</v>
      </c>
      <c r="E2755" s="1">
        <v>0</v>
      </c>
      <c r="G2755" s="2">
        <f t="shared" si="43"/>
        <v>0</v>
      </c>
      <c r="H2755" s="2">
        <v>0</v>
      </c>
    </row>
    <row r="2756" spans="2:8">
      <c r="B2756" t="s">
        <v>128</v>
      </c>
      <c r="C2756" t="s">
        <v>814</v>
      </c>
      <c r="D2756" s="5" t="s">
        <v>474</v>
      </c>
      <c r="E2756" s="1">
        <v>0</v>
      </c>
      <c r="G2756" s="2">
        <f t="shared" si="43"/>
        <v>0</v>
      </c>
      <c r="H2756" s="2">
        <v>0</v>
      </c>
    </row>
    <row r="2757" spans="2:8">
      <c r="B2757" t="s">
        <v>128</v>
      </c>
      <c r="C2757" t="s">
        <v>814</v>
      </c>
      <c r="D2757" s="6" t="s">
        <v>475</v>
      </c>
      <c r="E2757" s="1">
        <v>0</v>
      </c>
      <c r="G2757" s="2">
        <f t="shared" si="43"/>
        <v>0</v>
      </c>
      <c r="H2757" s="2">
        <v>0</v>
      </c>
    </row>
    <row r="2758" spans="2:8">
      <c r="B2758" t="s">
        <v>128</v>
      </c>
      <c r="C2758" t="s">
        <v>814</v>
      </c>
      <c r="D2758" s="7" t="s">
        <v>476</v>
      </c>
      <c r="E2758" s="1">
        <v>0</v>
      </c>
      <c r="G2758" s="2">
        <f t="shared" si="43"/>
        <v>0</v>
      </c>
      <c r="H2758" s="2">
        <v>0</v>
      </c>
    </row>
    <row r="2759" spans="2:8">
      <c r="B2759" t="s">
        <v>128</v>
      </c>
      <c r="C2759" t="s">
        <v>814</v>
      </c>
      <c r="D2759" s="8" t="s">
        <v>477</v>
      </c>
      <c r="E2759" s="1">
        <v>0</v>
      </c>
      <c r="G2759" s="2">
        <f t="shared" si="43"/>
        <v>0</v>
      </c>
      <c r="H2759" s="2">
        <v>0</v>
      </c>
    </row>
    <row r="2760" spans="2:8">
      <c r="B2760" t="s">
        <v>128</v>
      </c>
      <c r="C2760" t="s">
        <v>814</v>
      </c>
      <c r="D2760" s="9" t="s">
        <v>478</v>
      </c>
      <c r="E2760" s="1">
        <v>0</v>
      </c>
      <c r="G2760" s="2">
        <f t="shared" si="43"/>
        <v>0</v>
      </c>
      <c r="H2760" s="2">
        <v>0</v>
      </c>
    </row>
    <row r="2761" spans="2:8">
      <c r="B2761" t="s">
        <v>128</v>
      </c>
      <c r="C2761" t="s">
        <v>814</v>
      </c>
      <c r="D2761" s="10" t="s">
        <v>479</v>
      </c>
      <c r="E2761" s="1">
        <v>0</v>
      </c>
      <c r="G2761" s="2">
        <f t="shared" si="43"/>
        <v>0</v>
      </c>
      <c r="H2761" s="2">
        <v>0</v>
      </c>
    </row>
    <row r="2762" spans="2:8">
      <c r="B2762" t="s">
        <v>128</v>
      </c>
      <c r="C2762" t="s">
        <v>814</v>
      </c>
      <c r="D2762" s="11" t="s">
        <v>480</v>
      </c>
      <c r="E2762" s="1">
        <v>0</v>
      </c>
      <c r="G2762" s="2">
        <f t="shared" si="43"/>
        <v>0</v>
      </c>
      <c r="H2762" s="2">
        <v>0</v>
      </c>
    </row>
    <row r="2763" spans="2:8">
      <c r="B2763" t="s">
        <v>128</v>
      </c>
      <c r="C2763" t="s">
        <v>814</v>
      </c>
      <c r="D2763" s="13" t="s">
        <v>481</v>
      </c>
      <c r="E2763" s="1">
        <v>0</v>
      </c>
      <c r="G2763" s="2">
        <f t="shared" si="43"/>
        <v>0</v>
      </c>
      <c r="H2763" s="2">
        <v>0</v>
      </c>
    </row>
    <row r="2764" spans="2:8">
      <c r="B2764" t="s">
        <v>128</v>
      </c>
      <c r="C2764" t="s">
        <v>814</v>
      </c>
      <c r="D2764" s="12" t="s">
        <v>1033</v>
      </c>
      <c r="E2764" s="1">
        <v>0</v>
      </c>
      <c r="G2764" s="2">
        <f t="shared" si="43"/>
        <v>0</v>
      </c>
      <c r="H2764" s="2">
        <v>0</v>
      </c>
    </row>
    <row r="2765" spans="2:8">
      <c r="B2765" t="s">
        <v>877</v>
      </c>
      <c r="C2765" t="s">
        <v>911</v>
      </c>
      <c r="D2765" s="5" t="s">
        <v>474</v>
      </c>
      <c r="E2765" s="1">
        <v>0</v>
      </c>
      <c r="G2765" s="2">
        <f t="shared" si="43"/>
        <v>0</v>
      </c>
      <c r="H2765" s="2">
        <v>0</v>
      </c>
    </row>
    <row r="2766" spans="2:8">
      <c r="B2766" t="s">
        <v>877</v>
      </c>
      <c r="C2766" t="s">
        <v>911</v>
      </c>
      <c r="D2766" s="6" t="s">
        <v>475</v>
      </c>
      <c r="E2766" s="1">
        <v>0</v>
      </c>
      <c r="G2766" s="2">
        <f t="shared" si="43"/>
        <v>0</v>
      </c>
      <c r="H2766" s="2">
        <v>0</v>
      </c>
    </row>
    <row r="2767" spans="2:8">
      <c r="B2767" t="s">
        <v>877</v>
      </c>
      <c r="C2767" t="s">
        <v>911</v>
      </c>
      <c r="D2767" s="7" t="s">
        <v>476</v>
      </c>
      <c r="E2767" s="1">
        <v>0</v>
      </c>
      <c r="G2767" s="2">
        <f t="shared" si="43"/>
        <v>0</v>
      </c>
      <c r="H2767" s="2">
        <v>0</v>
      </c>
    </row>
    <row r="2768" spans="2:8">
      <c r="B2768" t="s">
        <v>877</v>
      </c>
      <c r="C2768" t="s">
        <v>911</v>
      </c>
      <c r="D2768" s="8" t="s">
        <v>477</v>
      </c>
      <c r="E2768" s="1">
        <v>0</v>
      </c>
      <c r="G2768" s="2">
        <f t="shared" si="43"/>
        <v>0</v>
      </c>
      <c r="H2768" s="2">
        <v>0</v>
      </c>
    </row>
    <row r="2769" spans="2:8">
      <c r="B2769" t="s">
        <v>877</v>
      </c>
      <c r="C2769" t="s">
        <v>911</v>
      </c>
      <c r="D2769" s="9" t="s">
        <v>478</v>
      </c>
      <c r="E2769" s="1">
        <v>0</v>
      </c>
      <c r="G2769" s="2">
        <f t="shared" si="43"/>
        <v>0</v>
      </c>
      <c r="H2769" s="2">
        <v>0</v>
      </c>
    </row>
    <row r="2770" spans="2:8">
      <c r="B2770" t="s">
        <v>877</v>
      </c>
      <c r="C2770" t="s">
        <v>911</v>
      </c>
      <c r="D2770" s="10" t="s">
        <v>479</v>
      </c>
      <c r="E2770" s="1">
        <v>0</v>
      </c>
      <c r="G2770" s="2">
        <f t="shared" si="43"/>
        <v>0</v>
      </c>
      <c r="H2770" s="2">
        <v>0</v>
      </c>
    </row>
    <row r="2771" spans="2:8">
      <c r="B2771" t="s">
        <v>877</v>
      </c>
      <c r="C2771" t="s">
        <v>911</v>
      </c>
      <c r="D2771" s="11" t="s">
        <v>480</v>
      </c>
      <c r="E2771" s="1">
        <v>0</v>
      </c>
      <c r="G2771" s="2">
        <f t="shared" si="43"/>
        <v>0</v>
      </c>
      <c r="H2771" s="2">
        <v>0</v>
      </c>
    </row>
    <row r="2772" spans="2:8">
      <c r="B2772" t="s">
        <v>877</v>
      </c>
      <c r="C2772" t="s">
        <v>911</v>
      </c>
      <c r="D2772" s="13" t="s">
        <v>481</v>
      </c>
      <c r="E2772" s="1">
        <v>0</v>
      </c>
      <c r="G2772" s="2">
        <f t="shared" si="43"/>
        <v>0</v>
      </c>
      <c r="H2772" s="2">
        <v>0</v>
      </c>
    </row>
    <row r="2773" spans="2:8">
      <c r="B2773" t="s">
        <v>877</v>
      </c>
      <c r="C2773" t="s">
        <v>911</v>
      </c>
      <c r="D2773" s="12" t="s">
        <v>1033</v>
      </c>
      <c r="E2773" s="1">
        <v>0</v>
      </c>
      <c r="G2773" s="2">
        <f t="shared" si="43"/>
        <v>0</v>
      </c>
      <c r="H2773" s="2">
        <v>0</v>
      </c>
    </row>
    <row r="2774" spans="2:8">
      <c r="B2774" t="s">
        <v>125</v>
      </c>
      <c r="C2774" t="s">
        <v>815</v>
      </c>
      <c r="D2774" s="5" t="s">
        <v>474</v>
      </c>
      <c r="E2774" s="1">
        <v>0</v>
      </c>
      <c r="G2774" s="2">
        <f t="shared" si="43"/>
        <v>0</v>
      </c>
      <c r="H2774" s="2">
        <v>0</v>
      </c>
    </row>
    <row r="2775" spans="2:8">
      <c r="B2775" t="s">
        <v>125</v>
      </c>
      <c r="C2775" t="s">
        <v>815</v>
      </c>
      <c r="D2775" s="6" t="s">
        <v>475</v>
      </c>
      <c r="E2775" s="1">
        <v>0</v>
      </c>
      <c r="G2775" s="2">
        <f t="shared" si="43"/>
        <v>0</v>
      </c>
      <c r="H2775" s="2">
        <v>0</v>
      </c>
    </row>
    <row r="2776" spans="2:8">
      <c r="B2776" t="s">
        <v>125</v>
      </c>
      <c r="C2776" t="s">
        <v>815</v>
      </c>
      <c r="D2776" s="7" t="s">
        <v>476</v>
      </c>
      <c r="E2776" s="1">
        <v>0</v>
      </c>
      <c r="G2776" s="2">
        <f t="shared" si="43"/>
        <v>0</v>
      </c>
      <c r="H2776" s="2">
        <v>0</v>
      </c>
    </row>
    <row r="2777" spans="2:8">
      <c r="B2777" t="s">
        <v>125</v>
      </c>
      <c r="C2777" t="s">
        <v>815</v>
      </c>
      <c r="D2777" s="8" t="s">
        <v>477</v>
      </c>
      <c r="E2777" s="1">
        <v>0</v>
      </c>
      <c r="G2777" s="2">
        <f t="shared" si="43"/>
        <v>0</v>
      </c>
      <c r="H2777" s="2">
        <v>0</v>
      </c>
    </row>
    <row r="2778" spans="2:8">
      <c r="B2778" t="s">
        <v>125</v>
      </c>
      <c r="C2778" t="s">
        <v>815</v>
      </c>
      <c r="D2778" s="9" t="s">
        <v>478</v>
      </c>
      <c r="E2778" s="1">
        <v>0</v>
      </c>
      <c r="G2778" s="2">
        <f t="shared" si="43"/>
        <v>0</v>
      </c>
      <c r="H2778" s="2">
        <v>0</v>
      </c>
    </row>
    <row r="2779" spans="2:8">
      <c r="B2779" t="s">
        <v>125</v>
      </c>
      <c r="C2779" t="s">
        <v>815</v>
      </c>
      <c r="D2779" s="10" t="s">
        <v>479</v>
      </c>
      <c r="E2779" s="1">
        <v>0</v>
      </c>
      <c r="G2779" s="2">
        <f t="shared" si="43"/>
        <v>0</v>
      </c>
      <c r="H2779" s="2">
        <v>0</v>
      </c>
    </row>
    <row r="2780" spans="2:8">
      <c r="B2780" t="s">
        <v>125</v>
      </c>
      <c r="C2780" t="s">
        <v>815</v>
      </c>
      <c r="D2780" s="11" t="s">
        <v>480</v>
      </c>
      <c r="E2780" s="1">
        <v>0</v>
      </c>
      <c r="G2780" s="2">
        <f t="shared" si="43"/>
        <v>0</v>
      </c>
      <c r="H2780" s="2">
        <v>0</v>
      </c>
    </row>
    <row r="2781" spans="2:8">
      <c r="B2781" t="s">
        <v>125</v>
      </c>
      <c r="C2781" t="s">
        <v>815</v>
      </c>
      <c r="D2781" s="13" t="s">
        <v>481</v>
      </c>
      <c r="E2781" s="1">
        <v>0</v>
      </c>
      <c r="G2781" s="2">
        <f t="shared" si="43"/>
        <v>0</v>
      </c>
      <c r="H2781" s="2">
        <v>0</v>
      </c>
    </row>
    <row r="2782" spans="2:8">
      <c r="B2782" t="s">
        <v>125</v>
      </c>
      <c r="C2782" t="s">
        <v>815</v>
      </c>
      <c r="D2782" s="12" t="s">
        <v>1033</v>
      </c>
      <c r="E2782" s="1">
        <v>0</v>
      </c>
      <c r="G2782" s="2">
        <f t="shared" si="43"/>
        <v>0</v>
      </c>
      <c r="H2782" s="2">
        <v>0</v>
      </c>
    </row>
    <row r="2783" spans="2:8">
      <c r="B2783" t="s">
        <v>126</v>
      </c>
      <c r="C2783" t="s">
        <v>816</v>
      </c>
      <c r="D2783" s="5" t="s">
        <v>474</v>
      </c>
      <c r="E2783" s="1">
        <v>0</v>
      </c>
      <c r="G2783" s="2">
        <f t="shared" si="43"/>
        <v>0</v>
      </c>
      <c r="H2783" s="2">
        <v>0</v>
      </c>
    </row>
    <row r="2784" spans="2:8">
      <c r="B2784" t="s">
        <v>126</v>
      </c>
      <c r="C2784" t="s">
        <v>816</v>
      </c>
      <c r="D2784" s="6" t="s">
        <v>475</v>
      </c>
      <c r="E2784" s="1">
        <v>0</v>
      </c>
      <c r="G2784" s="2">
        <f t="shared" si="43"/>
        <v>0</v>
      </c>
      <c r="H2784" s="2">
        <v>0</v>
      </c>
    </row>
    <row r="2785" spans="2:8">
      <c r="B2785" t="s">
        <v>126</v>
      </c>
      <c r="C2785" t="s">
        <v>816</v>
      </c>
      <c r="D2785" s="7" t="s">
        <v>476</v>
      </c>
      <c r="E2785" s="1">
        <v>0</v>
      </c>
      <c r="G2785" s="2">
        <f t="shared" si="43"/>
        <v>0</v>
      </c>
      <c r="H2785" s="2">
        <v>0</v>
      </c>
    </row>
    <row r="2786" spans="2:8">
      <c r="B2786" t="s">
        <v>126</v>
      </c>
      <c r="C2786" t="s">
        <v>816</v>
      </c>
      <c r="D2786" s="8" t="s">
        <v>477</v>
      </c>
      <c r="E2786" s="1">
        <v>0</v>
      </c>
      <c r="G2786" s="2">
        <f t="shared" si="43"/>
        <v>0</v>
      </c>
      <c r="H2786" s="2">
        <v>0</v>
      </c>
    </row>
    <row r="2787" spans="2:8">
      <c r="B2787" t="s">
        <v>126</v>
      </c>
      <c r="C2787" t="s">
        <v>816</v>
      </c>
      <c r="D2787" s="9" t="s">
        <v>478</v>
      </c>
      <c r="E2787" s="1">
        <v>0</v>
      </c>
      <c r="G2787" s="2">
        <f t="shared" si="43"/>
        <v>0</v>
      </c>
      <c r="H2787" s="2">
        <v>0</v>
      </c>
    </row>
    <row r="2788" spans="2:8">
      <c r="B2788" t="s">
        <v>126</v>
      </c>
      <c r="C2788" t="s">
        <v>816</v>
      </c>
      <c r="D2788" s="10" t="s">
        <v>479</v>
      </c>
      <c r="E2788" s="1">
        <v>0</v>
      </c>
      <c r="G2788" s="2">
        <f t="shared" si="43"/>
        <v>0</v>
      </c>
      <c r="H2788" s="2">
        <v>0</v>
      </c>
    </row>
    <row r="2789" spans="2:8">
      <c r="B2789" t="s">
        <v>126</v>
      </c>
      <c r="C2789" t="s">
        <v>816</v>
      </c>
      <c r="D2789" s="11" t="s">
        <v>480</v>
      </c>
      <c r="E2789" s="1">
        <v>0</v>
      </c>
      <c r="G2789" s="2">
        <f t="shared" si="43"/>
        <v>0</v>
      </c>
      <c r="H2789" s="2">
        <v>0</v>
      </c>
    </row>
    <row r="2790" spans="2:8">
      <c r="B2790" t="s">
        <v>126</v>
      </c>
      <c r="C2790" t="s">
        <v>816</v>
      </c>
      <c r="D2790" s="13" t="s">
        <v>481</v>
      </c>
      <c r="E2790" s="1">
        <v>0</v>
      </c>
      <c r="G2790" s="2">
        <f t="shared" si="43"/>
        <v>0</v>
      </c>
      <c r="H2790" s="2">
        <v>0</v>
      </c>
    </row>
    <row r="2791" spans="2:8">
      <c r="B2791" t="s">
        <v>126</v>
      </c>
      <c r="C2791" t="s">
        <v>816</v>
      </c>
      <c r="D2791" s="12" t="s">
        <v>1033</v>
      </c>
      <c r="E2791" s="1">
        <v>0</v>
      </c>
      <c r="G2791" s="2">
        <f t="shared" si="43"/>
        <v>0</v>
      </c>
      <c r="H2791" s="2">
        <v>0</v>
      </c>
    </row>
    <row r="2792" spans="2:8">
      <c r="B2792" t="s">
        <v>127</v>
      </c>
      <c r="C2792" t="s">
        <v>817</v>
      </c>
      <c r="D2792" s="5" t="s">
        <v>474</v>
      </c>
      <c r="E2792" s="1">
        <v>0</v>
      </c>
      <c r="G2792" s="2">
        <f t="shared" si="43"/>
        <v>0</v>
      </c>
      <c r="H2792" s="2">
        <v>0</v>
      </c>
    </row>
    <row r="2793" spans="2:8">
      <c r="B2793" t="s">
        <v>127</v>
      </c>
      <c r="C2793" t="s">
        <v>817</v>
      </c>
      <c r="D2793" s="6" t="s">
        <v>475</v>
      </c>
      <c r="E2793" s="1">
        <v>0</v>
      </c>
      <c r="G2793" s="2">
        <f t="shared" si="43"/>
        <v>0</v>
      </c>
      <c r="H2793" s="2">
        <v>0</v>
      </c>
    </row>
    <row r="2794" spans="2:8">
      <c r="B2794" t="s">
        <v>127</v>
      </c>
      <c r="C2794" t="s">
        <v>817</v>
      </c>
      <c r="D2794" s="7" t="s">
        <v>476</v>
      </c>
      <c r="E2794" s="1">
        <v>0</v>
      </c>
      <c r="G2794" s="2">
        <f t="shared" si="43"/>
        <v>0</v>
      </c>
      <c r="H2794" s="2">
        <v>0</v>
      </c>
    </row>
    <row r="2795" spans="2:8">
      <c r="B2795" t="s">
        <v>127</v>
      </c>
      <c r="C2795" t="s">
        <v>817</v>
      </c>
      <c r="D2795" s="8" t="s">
        <v>477</v>
      </c>
      <c r="E2795" s="1">
        <v>0</v>
      </c>
      <c r="G2795" s="2">
        <f t="shared" si="43"/>
        <v>0</v>
      </c>
      <c r="H2795" s="2">
        <v>0</v>
      </c>
    </row>
    <row r="2796" spans="2:8">
      <c r="B2796" t="s">
        <v>127</v>
      </c>
      <c r="C2796" t="s">
        <v>817</v>
      </c>
      <c r="D2796" s="9" t="s">
        <v>478</v>
      </c>
      <c r="E2796" s="1">
        <v>0</v>
      </c>
      <c r="G2796" s="2">
        <f t="shared" si="43"/>
        <v>0</v>
      </c>
      <c r="H2796" s="2">
        <v>0</v>
      </c>
    </row>
    <row r="2797" spans="2:8">
      <c r="B2797" t="s">
        <v>127</v>
      </c>
      <c r="C2797" t="s">
        <v>817</v>
      </c>
      <c r="D2797" s="10" t="s">
        <v>479</v>
      </c>
      <c r="E2797" s="1">
        <v>0</v>
      </c>
      <c r="G2797" s="2">
        <f t="shared" si="43"/>
        <v>0</v>
      </c>
      <c r="H2797" s="2">
        <v>0</v>
      </c>
    </row>
    <row r="2798" spans="2:8">
      <c r="B2798" t="s">
        <v>127</v>
      </c>
      <c r="C2798" t="s">
        <v>817</v>
      </c>
      <c r="D2798" s="11" t="s">
        <v>480</v>
      </c>
      <c r="E2798" s="1">
        <v>0</v>
      </c>
      <c r="G2798" s="2">
        <f t="shared" si="43"/>
        <v>0</v>
      </c>
      <c r="H2798" s="2">
        <v>0</v>
      </c>
    </row>
    <row r="2799" spans="2:8">
      <c r="B2799" t="s">
        <v>127</v>
      </c>
      <c r="C2799" t="s">
        <v>817</v>
      </c>
      <c r="D2799" s="13" t="s">
        <v>481</v>
      </c>
      <c r="E2799" s="1">
        <v>0</v>
      </c>
      <c r="G2799" s="2">
        <f t="shared" si="43"/>
        <v>0</v>
      </c>
      <c r="H2799" s="2">
        <v>0</v>
      </c>
    </row>
    <row r="2800" spans="2:8">
      <c r="B2800" t="s">
        <v>127</v>
      </c>
      <c r="C2800" t="s">
        <v>817</v>
      </c>
      <c r="D2800" s="12" t="s">
        <v>1033</v>
      </c>
      <c r="E2800" s="1">
        <v>0</v>
      </c>
      <c r="G2800" s="2">
        <f t="shared" si="43"/>
        <v>0</v>
      </c>
      <c r="H2800" s="2">
        <v>0</v>
      </c>
    </row>
    <row r="2801" spans="2:8">
      <c r="B2801" t="s">
        <v>132</v>
      </c>
      <c r="C2801" t="s">
        <v>818</v>
      </c>
      <c r="D2801" s="5" t="s">
        <v>474</v>
      </c>
      <c r="E2801" s="1">
        <v>0</v>
      </c>
      <c r="G2801" s="2">
        <f t="shared" si="43"/>
        <v>0</v>
      </c>
      <c r="H2801" s="2">
        <v>0</v>
      </c>
    </row>
    <row r="2802" spans="2:8">
      <c r="B2802" t="s">
        <v>132</v>
      </c>
      <c r="C2802" t="s">
        <v>818</v>
      </c>
      <c r="D2802" s="6" t="s">
        <v>475</v>
      </c>
      <c r="E2802" s="1">
        <v>0</v>
      </c>
      <c r="G2802" s="2">
        <f t="shared" si="43"/>
        <v>0</v>
      </c>
      <c r="H2802" s="2">
        <v>0</v>
      </c>
    </row>
    <row r="2803" spans="2:8">
      <c r="B2803" t="s">
        <v>132</v>
      </c>
      <c r="C2803" t="s">
        <v>818</v>
      </c>
      <c r="D2803" s="7" t="s">
        <v>476</v>
      </c>
      <c r="E2803" s="1">
        <v>0</v>
      </c>
      <c r="G2803" s="2">
        <f t="shared" si="43"/>
        <v>0</v>
      </c>
      <c r="H2803" s="2">
        <v>0</v>
      </c>
    </row>
    <row r="2804" spans="2:8">
      <c r="B2804" t="s">
        <v>132</v>
      </c>
      <c r="C2804" t="s">
        <v>818</v>
      </c>
      <c r="D2804" s="8" t="s">
        <v>477</v>
      </c>
      <c r="E2804" s="1">
        <v>0</v>
      </c>
      <c r="G2804" s="2">
        <f t="shared" si="43"/>
        <v>0</v>
      </c>
      <c r="H2804" s="2">
        <v>0</v>
      </c>
    </row>
    <row r="2805" spans="2:8">
      <c r="B2805" t="s">
        <v>132</v>
      </c>
      <c r="C2805" t="s">
        <v>818</v>
      </c>
      <c r="D2805" s="9" t="s">
        <v>478</v>
      </c>
      <c r="E2805" s="1">
        <v>0</v>
      </c>
      <c r="G2805" s="2">
        <f t="shared" si="43"/>
        <v>0</v>
      </c>
      <c r="H2805" s="2">
        <v>0</v>
      </c>
    </row>
    <row r="2806" spans="2:8">
      <c r="B2806" t="s">
        <v>132</v>
      </c>
      <c r="C2806" t="s">
        <v>818</v>
      </c>
      <c r="D2806" s="10" t="s">
        <v>479</v>
      </c>
      <c r="E2806" s="1">
        <v>0</v>
      </c>
      <c r="G2806" s="2">
        <f t="shared" si="43"/>
        <v>0</v>
      </c>
      <c r="H2806" s="2">
        <v>0</v>
      </c>
    </row>
    <row r="2807" spans="2:8">
      <c r="B2807" t="s">
        <v>132</v>
      </c>
      <c r="C2807" t="s">
        <v>818</v>
      </c>
      <c r="D2807" s="11" t="s">
        <v>480</v>
      </c>
      <c r="E2807" s="1">
        <v>0</v>
      </c>
      <c r="G2807" s="2">
        <f t="shared" si="43"/>
        <v>0</v>
      </c>
      <c r="H2807" s="2">
        <v>0</v>
      </c>
    </row>
    <row r="2808" spans="2:8">
      <c r="B2808" t="s">
        <v>132</v>
      </c>
      <c r="C2808" t="s">
        <v>818</v>
      </c>
      <c r="D2808" s="13" t="s">
        <v>481</v>
      </c>
      <c r="E2808" s="1">
        <v>0</v>
      </c>
      <c r="G2808" s="2">
        <f t="shared" si="43"/>
        <v>0</v>
      </c>
      <c r="H2808" s="2">
        <v>0</v>
      </c>
    </row>
    <row r="2809" spans="2:8">
      <c r="B2809" t="s">
        <v>132</v>
      </c>
      <c r="C2809" t="s">
        <v>818</v>
      </c>
      <c r="D2809" s="12" t="s">
        <v>1033</v>
      </c>
      <c r="E2809" s="1">
        <v>0</v>
      </c>
      <c r="G2809" s="2">
        <f t="shared" si="43"/>
        <v>0</v>
      </c>
      <c r="H2809" s="2">
        <v>0</v>
      </c>
    </row>
    <row r="2810" spans="2:8">
      <c r="B2810" t="s">
        <v>139</v>
      </c>
      <c r="C2810" t="s">
        <v>819</v>
      </c>
      <c r="D2810" s="5" t="s">
        <v>474</v>
      </c>
      <c r="E2810" s="1">
        <v>0</v>
      </c>
      <c r="G2810" s="2">
        <f t="shared" si="43"/>
        <v>0</v>
      </c>
      <c r="H2810" s="2">
        <v>0</v>
      </c>
    </row>
    <row r="2811" spans="2:8">
      <c r="B2811" t="s">
        <v>139</v>
      </c>
      <c r="C2811" t="s">
        <v>819</v>
      </c>
      <c r="D2811" s="6" t="s">
        <v>475</v>
      </c>
      <c r="E2811" s="1">
        <v>0</v>
      </c>
      <c r="G2811" s="2">
        <f t="shared" si="43"/>
        <v>0</v>
      </c>
      <c r="H2811" s="2">
        <v>0</v>
      </c>
    </row>
    <row r="2812" spans="2:8">
      <c r="B2812" t="s">
        <v>139</v>
      </c>
      <c r="C2812" t="s">
        <v>819</v>
      </c>
      <c r="D2812" s="7" t="s">
        <v>476</v>
      </c>
      <c r="E2812" s="1">
        <v>0</v>
      </c>
      <c r="G2812" s="2">
        <f t="shared" si="43"/>
        <v>0</v>
      </c>
      <c r="H2812" s="2">
        <v>0</v>
      </c>
    </row>
    <row r="2813" spans="2:8">
      <c r="B2813" t="s">
        <v>139</v>
      </c>
      <c r="C2813" t="s">
        <v>819</v>
      </c>
      <c r="D2813" s="8" t="s">
        <v>477</v>
      </c>
      <c r="E2813" s="1">
        <v>0</v>
      </c>
      <c r="G2813" s="2">
        <f t="shared" si="43"/>
        <v>0</v>
      </c>
      <c r="H2813" s="2">
        <v>0</v>
      </c>
    </row>
    <row r="2814" spans="2:8">
      <c r="B2814" t="s">
        <v>139</v>
      </c>
      <c r="C2814" t="s">
        <v>819</v>
      </c>
      <c r="D2814" s="9" t="s">
        <v>478</v>
      </c>
      <c r="E2814" s="1">
        <v>0</v>
      </c>
      <c r="G2814" s="2">
        <f t="shared" si="43"/>
        <v>0</v>
      </c>
      <c r="H2814" s="2">
        <v>0</v>
      </c>
    </row>
    <row r="2815" spans="2:8">
      <c r="B2815" t="s">
        <v>139</v>
      </c>
      <c r="C2815" t="s">
        <v>819</v>
      </c>
      <c r="D2815" s="10" t="s">
        <v>479</v>
      </c>
      <c r="E2815" s="1">
        <v>0</v>
      </c>
      <c r="G2815" s="2">
        <f t="shared" si="43"/>
        <v>0</v>
      </c>
      <c r="H2815" s="2">
        <v>0</v>
      </c>
    </row>
    <row r="2816" spans="2:8">
      <c r="B2816" t="s">
        <v>139</v>
      </c>
      <c r="C2816" t="s">
        <v>819</v>
      </c>
      <c r="D2816" s="11" t="s">
        <v>480</v>
      </c>
      <c r="E2816" s="1">
        <v>0</v>
      </c>
      <c r="G2816" s="2">
        <f t="shared" si="43"/>
        <v>0</v>
      </c>
      <c r="H2816" s="2">
        <v>0</v>
      </c>
    </row>
    <row r="2817" spans="2:8">
      <c r="B2817" t="s">
        <v>139</v>
      </c>
      <c r="C2817" t="s">
        <v>819</v>
      </c>
      <c r="D2817" s="13" t="s">
        <v>481</v>
      </c>
      <c r="E2817" s="1">
        <v>0</v>
      </c>
      <c r="G2817" s="2">
        <f t="shared" si="43"/>
        <v>0</v>
      </c>
      <c r="H2817" s="2">
        <v>0</v>
      </c>
    </row>
    <row r="2818" spans="2:8">
      <c r="B2818" t="s">
        <v>139</v>
      </c>
      <c r="C2818" t="s">
        <v>819</v>
      </c>
      <c r="D2818" s="12" t="s">
        <v>1033</v>
      </c>
      <c r="E2818" s="1">
        <v>0</v>
      </c>
      <c r="G2818" s="2">
        <f t="shared" ref="G2818:G2881" si="44">E2818*F2818</f>
        <v>0</v>
      </c>
      <c r="H2818" s="2">
        <v>0</v>
      </c>
    </row>
    <row r="2819" spans="2:8">
      <c r="B2819" t="s">
        <v>133</v>
      </c>
      <c r="C2819" t="s">
        <v>820</v>
      </c>
      <c r="D2819" s="5" t="s">
        <v>474</v>
      </c>
      <c r="E2819" s="1">
        <v>0</v>
      </c>
      <c r="G2819" s="2">
        <f t="shared" si="44"/>
        <v>0</v>
      </c>
      <c r="H2819" s="2">
        <v>0</v>
      </c>
    </row>
    <row r="2820" spans="2:8">
      <c r="B2820" t="s">
        <v>133</v>
      </c>
      <c r="C2820" t="s">
        <v>820</v>
      </c>
      <c r="D2820" s="6" t="s">
        <v>475</v>
      </c>
      <c r="E2820" s="1">
        <v>0</v>
      </c>
      <c r="G2820" s="2">
        <f t="shared" si="44"/>
        <v>0</v>
      </c>
      <c r="H2820" s="2">
        <v>0</v>
      </c>
    </row>
    <row r="2821" spans="2:8">
      <c r="B2821" t="s">
        <v>133</v>
      </c>
      <c r="C2821" t="s">
        <v>820</v>
      </c>
      <c r="D2821" s="7" t="s">
        <v>476</v>
      </c>
      <c r="E2821" s="1">
        <v>0</v>
      </c>
      <c r="G2821" s="2">
        <f t="shared" si="44"/>
        <v>0</v>
      </c>
      <c r="H2821" s="2">
        <v>0</v>
      </c>
    </row>
    <row r="2822" spans="2:8">
      <c r="B2822" t="s">
        <v>133</v>
      </c>
      <c r="C2822" t="s">
        <v>820</v>
      </c>
      <c r="D2822" s="8" t="s">
        <v>477</v>
      </c>
      <c r="E2822" s="1">
        <v>0</v>
      </c>
      <c r="G2822" s="2">
        <f t="shared" si="44"/>
        <v>0</v>
      </c>
      <c r="H2822" s="2">
        <v>0</v>
      </c>
    </row>
    <row r="2823" spans="2:8">
      <c r="B2823" t="s">
        <v>133</v>
      </c>
      <c r="C2823" t="s">
        <v>820</v>
      </c>
      <c r="D2823" s="9" t="s">
        <v>478</v>
      </c>
      <c r="E2823" s="1">
        <v>0</v>
      </c>
      <c r="G2823" s="2">
        <f t="shared" si="44"/>
        <v>0</v>
      </c>
      <c r="H2823" s="2">
        <v>0</v>
      </c>
    </row>
    <row r="2824" spans="2:8">
      <c r="B2824" t="s">
        <v>133</v>
      </c>
      <c r="C2824" t="s">
        <v>820</v>
      </c>
      <c r="D2824" s="10" t="s">
        <v>479</v>
      </c>
      <c r="E2824" s="1">
        <v>0</v>
      </c>
      <c r="G2824" s="2">
        <f t="shared" si="44"/>
        <v>0</v>
      </c>
      <c r="H2824" s="2">
        <v>0</v>
      </c>
    </row>
    <row r="2825" spans="2:8">
      <c r="B2825" t="s">
        <v>133</v>
      </c>
      <c r="C2825" t="s">
        <v>820</v>
      </c>
      <c r="D2825" s="11" t="s">
        <v>480</v>
      </c>
      <c r="E2825" s="1">
        <v>0</v>
      </c>
      <c r="G2825" s="2">
        <f t="shared" si="44"/>
        <v>0</v>
      </c>
      <c r="H2825" s="2">
        <v>0</v>
      </c>
    </row>
    <row r="2826" spans="2:8">
      <c r="B2826" t="s">
        <v>133</v>
      </c>
      <c r="C2826" t="s">
        <v>820</v>
      </c>
      <c r="D2826" s="13" t="s">
        <v>481</v>
      </c>
      <c r="E2826" s="1">
        <v>0</v>
      </c>
      <c r="G2826" s="2">
        <f t="shared" si="44"/>
        <v>0</v>
      </c>
      <c r="H2826" s="2">
        <v>0</v>
      </c>
    </row>
    <row r="2827" spans="2:8">
      <c r="B2827" t="s">
        <v>133</v>
      </c>
      <c r="C2827" t="s">
        <v>820</v>
      </c>
      <c r="D2827" s="12" t="s">
        <v>1033</v>
      </c>
      <c r="E2827" s="1">
        <v>0</v>
      </c>
      <c r="G2827" s="2">
        <f t="shared" si="44"/>
        <v>0</v>
      </c>
      <c r="H2827" s="2">
        <v>0</v>
      </c>
    </row>
    <row r="2828" spans="2:8">
      <c r="B2828" t="s">
        <v>134</v>
      </c>
      <c r="C2828" t="s">
        <v>821</v>
      </c>
      <c r="D2828" s="5" t="s">
        <v>474</v>
      </c>
      <c r="E2828" s="1">
        <v>0</v>
      </c>
      <c r="G2828" s="2">
        <f t="shared" si="44"/>
        <v>0</v>
      </c>
      <c r="H2828" s="2">
        <v>0</v>
      </c>
    </row>
    <row r="2829" spans="2:8">
      <c r="B2829" t="s">
        <v>134</v>
      </c>
      <c r="C2829" t="s">
        <v>821</v>
      </c>
      <c r="D2829" s="6" t="s">
        <v>475</v>
      </c>
      <c r="E2829" s="1">
        <v>0</v>
      </c>
      <c r="G2829" s="2">
        <f t="shared" si="44"/>
        <v>0</v>
      </c>
      <c r="H2829" s="2">
        <v>0</v>
      </c>
    </row>
    <row r="2830" spans="2:8">
      <c r="B2830" t="s">
        <v>134</v>
      </c>
      <c r="C2830" t="s">
        <v>821</v>
      </c>
      <c r="D2830" s="7" t="s">
        <v>476</v>
      </c>
      <c r="E2830" s="1">
        <v>0</v>
      </c>
      <c r="G2830" s="2">
        <f t="shared" si="44"/>
        <v>0</v>
      </c>
      <c r="H2830" s="2">
        <v>0</v>
      </c>
    </row>
    <row r="2831" spans="2:8">
      <c r="B2831" t="s">
        <v>134</v>
      </c>
      <c r="C2831" t="s">
        <v>821</v>
      </c>
      <c r="D2831" s="8" t="s">
        <v>477</v>
      </c>
      <c r="E2831" s="1">
        <v>0</v>
      </c>
      <c r="G2831" s="2">
        <f t="shared" si="44"/>
        <v>0</v>
      </c>
      <c r="H2831" s="2">
        <v>0</v>
      </c>
    </row>
    <row r="2832" spans="2:8">
      <c r="B2832" t="s">
        <v>134</v>
      </c>
      <c r="C2832" t="s">
        <v>821</v>
      </c>
      <c r="D2832" s="9" t="s">
        <v>478</v>
      </c>
      <c r="E2832" s="1">
        <v>0</v>
      </c>
      <c r="G2832" s="2">
        <f t="shared" si="44"/>
        <v>0</v>
      </c>
      <c r="H2832" s="2">
        <v>0</v>
      </c>
    </row>
    <row r="2833" spans="2:8">
      <c r="B2833" t="s">
        <v>134</v>
      </c>
      <c r="C2833" t="s">
        <v>821</v>
      </c>
      <c r="D2833" s="10" t="s">
        <v>479</v>
      </c>
      <c r="E2833" s="1">
        <v>0</v>
      </c>
      <c r="G2833" s="2">
        <f t="shared" si="44"/>
        <v>0</v>
      </c>
      <c r="H2833" s="2">
        <v>0</v>
      </c>
    </row>
    <row r="2834" spans="2:8">
      <c r="B2834" t="s">
        <v>134</v>
      </c>
      <c r="C2834" t="s">
        <v>821</v>
      </c>
      <c r="D2834" s="11" t="s">
        <v>480</v>
      </c>
      <c r="E2834" s="1">
        <v>0</v>
      </c>
      <c r="G2834" s="2">
        <f t="shared" si="44"/>
        <v>0</v>
      </c>
      <c r="H2834" s="2">
        <v>0</v>
      </c>
    </row>
    <row r="2835" spans="2:8">
      <c r="B2835" t="s">
        <v>134</v>
      </c>
      <c r="C2835" t="s">
        <v>821</v>
      </c>
      <c r="D2835" s="13" t="s">
        <v>481</v>
      </c>
      <c r="E2835" s="1">
        <v>0</v>
      </c>
      <c r="G2835" s="2">
        <f t="shared" si="44"/>
        <v>0</v>
      </c>
      <c r="H2835" s="2">
        <v>0</v>
      </c>
    </row>
    <row r="2836" spans="2:8">
      <c r="B2836" t="s">
        <v>134</v>
      </c>
      <c r="C2836" t="s">
        <v>821</v>
      </c>
      <c r="D2836" s="12" t="s">
        <v>1033</v>
      </c>
      <c r="E2836" s="1">
        <v>0</v>
      </c>
      <c r="G2836" s="2">
        <f t="shared" si="44"/>
        <v>0</v>
      </c>
      <c r="H2836" s="2">
        <v>0</v>
      </c>
    </row>
    <row r="2837" spans="2:8">
      <c r="B2837" t="s">
        <v>130</v>
      </c>
      <c r="C2837" t="s">
        <v>822</v>
      </c>
      <c r="D2837" s="5" t="s">
        <v>474</v>
      </c>
      <c r="E2837" s="1">
        <v>0</v>
      </c>
      <c r="G2837" s="2">
        <f t="shared" si="44"/>
        <v>0</v>
      </c>
      <c r="H2837" s="2">
        <v>0</v>
      </c>
    </row>
    <row r="2838" spans="2:8">
      <c r="B2838" t="s">
        <v>130</v>
      </c>
      <c r="C2838" t="s">
        <v>822</v>
      </c>
      <c r="D2838" s="6" t="s">
        <v>475</v>
      </c>
      <c r="E2838" s="1">
        <v>0</v>
      </c>
      <c r="G2838" s="2">
        <f t="shared" si="44"/>
        <v>0</v>
      </c>
      <c r="H2838" s="2">
        <v>0</v>
      </c>
    </row>
    <row r="2839" spans="2:8">
      <c r="B2839" t="s">
        <v>130</v>
      </c>
      <c r="C2839" t="s">
        <v>822</v>
      </c>
      <c r="D2839" s="7" t="s">
        <v>476</v>
      </c>
      <c r="E2839" s="1">
        <v>0</v>
      </c>
      <c r="G2839" s="2">
        <f t="shared" si="44"/>
        <v>0</v>
      </c>
      <c r="H2839" s="2">
        <v>0</v>
      </c>
    </row>
    <row r="2840" spans="2:8">
      <c r="B2840" t="s">
        <v>130</v>
      </c>
      <c r="C2840" t="s">
        <v>822</v>
      </c>
      <c r="D2840" s="8" t="s">
        <v>477</v>
      </c>
      <c r="E2840" s="1">
        <v>0</v>
      </c>
      <c r="G2840" s="2">
        <f t="shared" si="44"/>
        <v>0</v>
      </c>
      <c r="H2840" s="2">
        <v>0</v>
      </c>
    </row>
    <row r="2841" spans="2:8">
      <c r="B2841" t="s">
        <v>130</v>
      </c>
      <c r="C2841" t="s">
        <v>822</v>
      </c>
      <c r="D2841" s="9" t="s">
        <v>478</v>
      </c>
      <c r="E2841" s="1">
        <v>0</v>
      </c>
      <c r="G2841" s="2">
        <f t="shared" si="44"/>
        <v>0</v>
      </c>
      <c r="H2841" s="2">
        <v>0</v>
      </c>
    </row>
    <row r="2842" spans="2:8">
      <c r="B2842" t="s">
        <v>130</v>
      </c>
      <c r="C2842" t="s">
        <v>822</v>
      </c>
      <c r="D2842" s="10" t="s">
        <v>479</v>
      </c>
      <c r="E2842" s="1">
        <v>0</v>
      </c>
      <c r="G2842" s="2">
        <f t="shared" si="44"/>
        <v>0</v>
      </c>
      <c r="H2842" s="2">
        <v>0</v>
      </c>
    </row>
    <row r="2843" spans="2:8">
      <c r="B2843" t="s">
        <v>130</v>
      </c>
      <c r="C2843" t="s">
        <v>822</v>
      </c>
      <c r="D2843" s="11" t="s">
        <v>480</v>
      </c>
      <c r="E2843" s="1">
        <v>0</v>
      </c>
      <c r="G2843" s="2">
        <f t="shared" si="44"/>
        <v>0</v>
      </c>
      <c r="H2843" s="2">
        <v>0</v>
      </c>
    </row>
    <row r="2844" spans="2:8">
      <c r="B2844" t="s">
        <v>130</v>
      </c>
      <c r="C2844" t="s">
        <v>822</v>
      </c>
      <c r="D2844" s="13" t="s">
        <v>481</v>
      </c>
      <c r="E2844" s="1">
        <v>0</v>
      </c>
      <c r="G2844" s="2">
        <f t="shared" si="44"/>
        <v>0</v>
      </c>
      <c r="H2844" s="2">
        <v>0</v>
      </c>
    </row>
    <row r="2845" spans="2:8">
      <c r="B2845" t="s">
        <v>130</v>
      </c>
      <c r="C2845" t="s">
        <v>822</v>
      </c>
      <c r="D2845" s="12" t="s">
        <v>1033</v>
      </c>
      <c r="E2845" s="1">
        <v>0</v>
      </c>
      <c r="G2845" s="2">
        <f t="shared" si="44"/>
        <v>0</v>
      </c>
      <c r="H2845" s="2">
        <v>0</v>
      </c>
    </row>
    <row r="2846" spans="2:8">
      <c r="B2846" t="s">
        <v>129</v>
      </c>
      <c r="C2846" t="s">
        <v>823</v>
      </c>
      <c r="D2846" s="5" t="s">
        <v>474</v>
      </c>
      <c r="E2846" s="1">
        <v>0</v>
      </c>
      <c r="G2846" s="2">
        <f t="shared" si="44"/>
        <v>0</v>
      </c>
      <c r="H2846" s="2">
        <v>0</v>
      </c>
    </row>
    <row r="2847" spans="2:8">
      <c r="B2847" t="s">
        <v>129</v>
      </c>
      <c r="C2847" t="s">
        <v>823</v>
      </c>
      <c r="D2847" s="6" t="s">
        <v>475</v>
      </c>
      <c r="E2847" s="1">
        <v>0</v>
      </c>
      <c r="G2847" s="2">
        <f t="shared" si="44"/>
        <v>0</v>
      </c>
      <c r="H2847" s="2">
        <v>0</v>
      </c>
    </row>
    <row r="2848" spans="2:8">
      <c r="B2848" t="s">
        <v>129</v>
      </c>
      <c r="C2848" t="s">
        <v>823</v>
      </c>
      <c r="D2848" s="7" t="s">
        <v>476</v>
      </c>
      <c r="E2848" s="1">
        <v>0</v>
      </c>
      <c r="G2848" s="2">
        <f t="shared" si="44"/>
        <v>0</v>
      </c>
      <c r="H2848" s="2">
        <v>0</v>
      </c>
    </row>
    <row r="2849" spans="2:8">
      <c r="B2849" t="s">
        <v>129</v>
      </c>
      <c r="C2849" t="s">
        <v>823</v>
      </c>
      <c r="D2849" s="8" t="s">
        <v>477</v>
      </c>
      <c r="E2849" s="1">
        <v>0</v>
      </c>
      <c r="G2849" s="2">
        <f t="shared" si="44"/>
        <v>0</v>
      </c>
      <c r="H2849" s="2">
        <v>0</v>
      </c>
    </row>
    <row r="2850" spans="2:8">
      <c r="B2850" t="s">
        <v>129</v>
      </c>
      <c r="C2850" t="s">
        <v>823</v>
      </c>
      <c r="D2850" s="9" t="s">
        <v>478</v>
      </c>
      <c r="E2850" s="1">
        <v>0</v>
      </c>
      <c r="G2850" s="2">
        <f t="shared" si="44"/>
        <v>0</v>
      </c>
      <c r="H2850" s="2">
        <v>0</v>
      </c>
    </row>
    <row r="2851" spans="2:8">
      <c r="B2851" t="s">
        <v>129</v>
      </c>
      <c r="C2851" t="s">
        <v>823</v>
      </c>
      <c r="D2851" s="10" t="s">
        <v>479</v>
      </c>
      <c r="E2851" s="1">
        <v>0</v>
      </c>
      <c r="G2851" s="2">
        <f t="shared" si="44"/>
        <v>0</v>
      </c>
      <c r="H2851" s="2">
        <v>0</v>
      </c>
    </row>
    <row r="2852" spans="2:8">
      <c r="B2852" t="s">
        <v>129</v>
      </c>
      <c r="C2852" t="s">
        <v>823</v>
      </c>
      <c r="D2852" s="11" t="s">
        <v>480</v>
      </c>
      <c r="E2852" s="1">
        <v>0</v>
      </c>
      <c r="G2852" s="2">
        <f t="shared" si="44"/>
        <v>0</v>
      </c>
      <c r="H2852" s="2">
        <v>0</v>
      </c>
    </row>
    <row r="2853" spans="2:8">
      <c r="B2853" t="s">
        <v>129</v>
      </c>
      <c r="C2853" t="s">
        <v>823</v>
      </c>
      <c r="D2853" s="13" t="s">
        <v>481</v>
      </c>
      <c r="E2853" s="1">
        <v>0</v>
      </c>
      <c r="G2853" s="2">
        <f t="shared" si="44"/>
        <v>0</v>
      </c>
      <c r="H2853" s="2">
        <v>0</v>
      </c>
    </row>
    <row r="2854" spans="2:8">
      <c r="B2854" t="s">
        <v>129</v>
      </c>
      <c r="C2854" t="s">
        <v>823</v>
      </c>
      <c r="D2854" s="12" t="s">
        <v>1033</v>
      </c>
      <c r="E2854" s="1">
        <v>0</v>
      </c>
      <c r="G2854" s="2">
        <f t="shared" si="44"/>
        <v>0</v>
      </c>
      <c r="H2854" s="2">
        <v>0</v>
      </c>
    </row>
    <row r="2855" spans="2:8">
      <c r="B2855" t="s">
        <v>140</v>
      </c>
      <c r="C2855" t="s">
        <v>824</v>
      </c>
      <c r="D2855" s="5" t="s">
        <v>474</v>
      </c>
      <c r="E2855" s="1">
        <v>0</v>
      </c>
      <c r="G2855" s="2">
        <f t="shared" si="44"/>
        <v>0</v>
      </c>
      <c r="H2855" s="2">
        <v>0</v>
      </c>
    </row>
    <row r="2856" spans="2:8">
      <c r="B2856" t="s">
        <v>140</v>
      </c>
      <c r="C2856" t="s">
        <v>824</v>
      </c>
      <c r="D2856" s="6" t="s">
        <v>475</v>
      </c>
      <c r="E2856" s="1">
        <v>0</v>
      </c>
      <c r="G2856" s="2">
        <f t="shared" si="44"/>
        <v>0</v>
      </c>
      <c r="H2856" s="2">
        <v>0</v>
      </c>
    </row>
    <row r="2857" spans="2:8">
      <c r="B2857" t="s">
        <v>140</v>
      </c>
      <c r="C2857" t="s">
        <v>824</v>
      </c>
      <c r="D2857" s="7" t="s">
        <v>476</v>
      </c>
      <c r="E2857" s="1">
        <v>0</v>
      </c>
      <c r="G2857" s="2">
        <f t="shared" si="44"/>
        <v>0</v>
      </c>
      <c r="H2857" s="2">
        <v>0</v>
      </c>
    </row>
    <row r="2858" spans="2:8">
      <c r="B2858" t="s">
        <v>140</v>
      </c>
      <c r="C2858" t="s">
        <v>824</v>
      </c>
      <c r="D2858" s="8" t="s">
        <v>477</v>
      </c>
      <c r="E2858" s="1">
        <v>0</v>
      </c>
      <c r="G2858" s="2">
        <f t="shared" si="44"/>
        <v>0</v>
      </c>
      <c r="H2858" s="2">
        <v>0</v>
      </c>
    </row>
    <row r="2859" spans="2:8">
      <c r="B2859" t="s">
        <v>140</v>
      </c>
      <c r="C2859" t="s">
        <v>824</v>
      </c>
      <c r="D2859" s="9" t="s">
        <v>478</v>
      </c>
      <c r="E2859" s="1">
        <v>0</v>
      </c>
      <c r="G2859" s="2">
        <f t="shared" si="44"/>
        <v>0</v>
      </c>
      <c r="H2859" s="2">
        <v>0</v>
      </c>
    </row>
    <row r="2860" spans="2:8">
      <c r="B2860" t="s">
        <v>140</v>
      </c>
      <c r="C2860" t="s">
        <v>824</v>
      </c>
      <c r="D2860" s="10" t="s">
        <v>479</v>
      </c>
      <c r="E2860" s="1">
        <v>0</v>
      </c>
      <c r="G2860" s="2">
        <f t="shared" si="44"/>
        <v>0</v>
      </c>
      <c r="H2860" s="2">
        <v>0</v>
      </c>
    </row>
    <row r="2861" spans="2:8">
      <c r="B2861" t="s">
        <v>140</v>
      </c>
      <c r="C2861" t="s">
        <v>824</v>
      </c>
      <c r="D2861" s="11" t="s">
        <v>480</v>
      </c>
      <c r="E2861" s="1">
        <v>0</v>
      </c>
      <c r="G2861" s="2">
        <f t="shared" si="44"/>
        <v>0</v>
      </c>
      <c r="H2861" s="2">
        <v>0</v>
      </c>
    </row>
    <row r="2862" spans="2:8">
      <c r="B2862" t="s">
        <v>140</v>
      </c>
      <c r="C2862" t="s">
        <v>824</v>
      </c>
      <c r="D2862" s="13" t="s">
        <v>481</v>
      </c>
      <c r="E2862" s="1">
        <v>0</v>
      </c>
      <c r="G2862" s="2">
        <f t="shared" si="44"/>
        <v>0</v>
      </c>
      <c r="H2862" s="2">
        <v>0</v>
      </c>
    </row>
    <row r="2863" spans="2:8">
      <c r="B2863" t="s">
        <v>140</v>
      </c>
      <c r="C2863" t="s">
        <v>824</v>
      </c>
      <c r="D2863" s="12" t="s">
        <v>1033</v>
      </c>
      <c r="E2863" s="1">
        <v>0</v>
      </c>
      <c r="G2863" s="2">
        <f t="shared" si="44"/>
        <v>0</v>
      </c>
      <c r="H2863" s="2">
        <v>0</v>
      </c>
    </row>
    <row r="2864" spans="2:8">
      <c r="B2864" t="s">
        <v>145</v>
      </c>
      <c r="C2864" t="s">
        <v>825</v>
      </c>
      <c r="D2864" s="5" t="s">
        <v>474</v>
      </c>
      <c r="E2864" s="1">
        <v>0</v>
      </c>
      <c r="G2864" s="2">
        <f t="shared" si="44"/>
        <v>0</v>
      </c>
      <c r="H2864" s="2">
        <v>0</v>
      </c>
    </row>
    <row r="2865" spans="2:8">
      <c r="B2865" t="s">
        <v>145</v>
      </c>
      <c r="C2865" t="s">
        <v>825</v>
      </c>
      <c r="D2865" s="6" t="s">
        <v>475</v>
      </c>
      <c r="E2865" s="1">
        <v>0</v>
      </c>
      <c r="G2865" s="2">
        <f t="shared" si="44"/>
        <v>0</v>
      </c>
      <c r="H2865" s="2">
        <v>0</v>
      </c>
    </row>
    <row r="2866" spans="2:8">
      <c r="B2866" t="s">
        <v>145</v>
      </c>
      <c r="C2866" t="s">
        <v>825</v>
      </c>
      <c r="D2866" s="7" t="s">
        <v>476</v>
      </c>
      <c r="E2866" s="1">
        <v>0</v>
      </c>
      <c r="G2866" s="2">
        <f t="shared" si="44"/>
        <v>0</v>
      </c>
      <c r="H2866" s="2">
        <v>0</v>
      </c>
    </row>
    <row r="2867" spans="2:8">
      <c r="B2867" t="s">
        <v>145</v>
      </c>
      <c r="C2867" t="s">
        <v>825</v>
      </c>
      <c r="D2867" s="8" t="s">
        <v>477</v>
      </c>
      <c r="E2867" s="1">
        <v>0</v>
      </c>
      <c r="G2867" s="2">
        <f t="shared" si="44"/>
        <v>0</v>
      </c>
      <c r="H2867" s="2">
        <v>0</v>
      </c>
    </row>
    <row r="2868" spans="2:8">
      <c r="B2868" t="s">
        <v>145</v>
      </c>
      <c r="C2868" t="s">
        <v>825</v>
      </c>
      <c r="D2868" s="9" t="s">
        <v>478</v>
      </c>
      <c r="E2868" s="1">
        <v>0</v>
      </c>
      <c r="G2868" s="2">
        <f t="shared" si="44"/>
        <v>0</v>
      </c>
      <c r="H2868" s="2">
        <v>0</v>
      </c>
    </row>
    <row r="2869" spans="2:8">
      <c r="B2869" t="s">
        <v>145</v>
      </c>
      <c r="C2869" t="s">
        <v>825</v>
      </c>
      <c r="D2869" s="10" t="s">
        <v>479</v>
      </c>
      <c r="E2869" s="1">
        <v>0</v>
      </c>
      <c r="G2869" s="2">
        <f t="shared" si="44"/>
        <v>0</v>
      </c>
      <c r="H2869" s="2">
        <v>0</v>
      </c>
    </row>
    <row r="2870" spans="2:8">
      <c r="B2870" t="s">
        <v>145</v>
      </c>
      <c r="C2870" t="s">
        <v>825</v>
      </c>
      <c r="D2870" s="11" t="s">
        <v>480</v>
      </c>
      <c r="E2870" s="1">
        <v>0</v>
      </c>
      <c r="G2870" s="2">
        <f t="shared" si="44"/>
        <v>0</v>
      </c>
      <c r="H2870" s="2">
        <v>0</v>
      </c>
    </row>
    <row r="2871" spans="2:8">
      <c r="B2871" t="s">
        <v>145</v>
      </c>
      <c r="C2871" t="s">
        <v>825</v>
      </c>
      <c r="D2871" s="13" t="s">
        <v>481</v>
      </c>
      <c r="E2871" s="1">
        <v>0</v>
      </c>
      <c r="G2871" s="2">
        <f t="shared" si="44"/>
        <v>0</v>
      </c>
      <c r="H2871" s="2">
        <v>0</v>
      </c>
    </row>
    <row r="2872" spans="2:8">
      <c r="B2872" t="s">
        <v>145</v>
      </c>
      <c r="C2872" t="s">
        <v>825</v>
      </c>
      <c r="D2872" s="12" t="s">
        <v>1033</v>
      </c>
      <c r="E2872" s="1">
        <v>0</v>
      </c>
      <c r="G2872" s="2">
        <f t="shared" si="44"/>
        <v>0</v>
      </c>
      <c r="H2872" s="2">
        <v>0</v>
      </c>
    </row>
    <row r="2873" spans="2:8">
      <c r="B2873" t="s">
        <v>143</v>
      </c>
      <c r="C2873" t="s">
        <v>826</v>
      </c>
      <c r="D2873" s="5" t="s">
        <v>474</v>
      </c>
      <c r="E2873" s="1">
        <v>0</v>
      </c>
      <c r="G2873" s="2">
        <f t="shared" si="44"/>
        <v>0</v>
      </c>
      <c r="H2873" s="2">
        <v>0</v>
      </c>
    </row>
    <row r="2874" spans="2:8">
      <c r="B2874" t="s">
        <v>143</v>
      </c>
      <c r="C2874" t="s">
        <v>826</v>
      </c>
      <c r="D2874" s="6" t="s">
        <v>475</v>
      </c>
      <c r="E2874" s="1">
        <v>0</v>
      </c>
      <c r="G2874" s="2">
        <f t="shared" si="44"/>
        <v>0</v>
      </c>
      <c r="H2874" s="2">
        <v>0</v>
      </c>
    </row>
    <row r="2875" spans="2:8">
      <c r="B2875" t="s">
        <v>143</v>
      </c>
      <c r="C2875" t="s">
        <v>826</v>
      </c>
      <c r="D2875" s="7" t="s">
        <v>476</v>
      </c>
      <c r="E2875" s="1">
        <v>0</v>
      </c>
      <c r="G2875" s="2">
        <f t="shared" si="44"/>
        <v>0</v>
      </c>
      <c r="H2875" s="2">
        <v>0</v>
      </c>
    </row>
    <row r="2876" spans="2:8">
      <c r="B2876" t="s">
        <v>143</v>
      </c>
      <c r="C2876" t="s">
        <v>826</v>
      </c>
      <c r="D2876" s="8" t="s">
        <v>477</v>
      </c>
      <c r="E2876" s="1">
        <v>0</v>
      </c>
      <c r="G2876" s="2">
        <f t="shared" si="44"/>
        <v>0</v>
      </c>
      <c r="H2876" s="2">
        <v>0</v>
      </c>
    </row>
    <row r="2877" spans="2:8">
      <c r="B2877" t="s">
        <v>143</v>
      </c>
      <c r="C2877" t="s">
        <v>826</v>
      </c>
      <c r="D2877" s="9" t="s">
        <v>478</v>
      </c>
      <c r="E2877" s="1">
        <v>0</v>
      </c>
      <c r="G2877" s="2">
        <f t="shared" si="44"/>
        <v>0</v>
      </c>
      <c r="H2877" s="2">
        <v>0</v>
      </c>
    </row>
    <row r="2878" spans="2:8">
      <c r="B2878" t="s">
        <v>143</v>
      </c>
      <c r="C2878" t="s">
        <v>826</v>
      </c>
      <c r="D2878" s="10" t="s">
        <v>479</v>
      </c>
      <c r="E2878" s="1">
        <v>0</v>
      </c>
      <c r="G2878" s="2">
        <f t="shared" si="44"/>
        <v>0</v>
      </c>
      <c r="H2878" s="2">
        <v>0</v>
      </c>
    </row>
    <row r="2879" spans="2:8">
      <c r="B2879" t="s">
        <v>143</v>
      </c>
      <c r="C2879" t="s">
        <v>826</v>
      </c>
      <c r="D2879" s="11" t="s">
        <v>480</v>
      </c>
      <c r="E2879" s="1">
        <v>0</v>
      </c>
      <c r="G2879" s="2">
        <f t="shared" si="44"/>
        <v>0</v>
      </c>
      <c r="H2879" s="2">
        <v>0</v>
      </c>
    </row>
    <row r="2880" spans="2:8">
      <c r="B2880" t="s">
        <v>143</v>
      </c>
      <c r="C2880" t="s">
        <v>826</v>
      </c>
      <c r="D2880" s="13" t="s">
        <v>481</v>
      </c>
      <c r="E2880" s="1">
        <v>0</v>
      </c>
      <c r="G2880" s="2">
        <f t="shared" si="44"/>
        <v>0</v>
      </c>
      <c r="H2880" s="2">
        <v>0</v>
      </c>
    </row>
    <row r="2881" spans="2:8">
      <c r="B2881" t="s">
        <v>143</v>
      </c>
      <c r="C2881" t="s">
        <v>826</v>
      </c>
      <c r="D2881" s="12" t="s">
        <v>1033</v>
      </c>
      <c r="E2881" s="1">
        <v>0</v>
      </c>
      <c r="G2881" s="2">
        <f t="shared" si="44"/>
        <v>0</v>
      </c>
      <c r="H2881" s="2">
        <v>0</v>
      </c>
    </row>
    <row r="2882" spans="2:8">
      <c r="B2882" t="s">
        <v>141</v>
      </c>
      <c r="C2882" t="s">
        <v>827</v>
      </c>
      <c r="D2882" s="5" t="s">
        <v>474</v>
      </c>
      <c r="E2882" s="1">
        <v>0</v>
      </c>
      <c r="G2882" s="2">
        <f t="shared" ref="G2882:G2945" si="45">E2882*F2882</f>
        <v>0</v>
      </c>
      <c r="H2882" s="2">
        <v>0</v>
      </c>
    </row>
    <row r="2883" spans="2:8">
      <c r="B2883" t="s">
        <v>141</v>
      </c>
      <c r="C2883" t="s">
        <v>827</v>
      </c>
      <c r="D2883" s="6" t="s">
        <v>475</v>
      </c>
      <c r="E2883" s="1">
        <v>0</v>
      </c>
      <c r="G2883" s="2">
        <f t="shared" si="45"/>
        <v>0</v>
      </c>
      <c r="H2883" s="2">
        <v>0</v>
      </c>
    </row>
    <row r="2884" spans="2:8">
      <c r="B2884" t="s">
        <v>141</v>
      </c>
      <c r="C2884" t="s">
        <v>827</v>
      </c>
      <c r="D2884" s="7" t="s">
        <v>476</v>
      </c>
      <c r="E2884" s="1">
        <v>0</v>
      </c>
      <c r="G2884" s="2">
        <f t="shared" si="45"/>
        <v>0</v>
      </c>
      <c r="H2884" s="2">
        <v>0</v>
      </c>
    </row>
    <row r="2885" spans="2:8">
      <c r="B2885" t="s">
        <v>141</v>
      </c>
      <c r="C2885" t="s">
        <v>827</v>
      </c>
      <c r="D2885" s="8" t="s">
        <v>477</v>
      </c>
      <c r="E2885" s="1">
        <v>0</v>
      </c>
      <c r="G2885" s="2">
        <f t="shared" si="45"/>
        <v>0</v>
      </c>
      <c r="H2885" s="2">
        <v>0</v>
      </c>
    </row>
    <row r="2886" spans="2:8">
      <c r="B2886" t="s">
        <v>141</v>
      </c>
      <c r="C2886" t="s">
        <v>827</v>
      </c>
      <c r="D2886" s="9" t="s">
        <v>478</v>
      </c>
      <c r="E2886" s="1">
        <v>0</v>
      </c>
      <c r="G2886" s="2">
        <f t="shared" si="45"/>
        <v>0</v>
      </c>
      <c r="H2886" s="2">
        <v>0</v>
      </c>
    </row>
    <row r="2887" spans="2:8">
      <c r="B2887" t="s">
        <v>141</v>
      </c>
      <c r="C2887" t="s">
        <v>827</v>
      </c>
      <c r="D2887" s="10" t="s">
        <v>479</v>
      </c>
      <c r="E2887" s="1">
        <v>0</v>
      </c>
      <c r="G2887" s="2">
        <f t="shared" si="45"/>
        <v>0</v>
      </c>
      <c r="H2887" s="2">
        <v>0</v>
      </c>
    </row>
    <row r="2888" spans="2:8">
      <c r="B2888" t="s">
        <v>141</v>
      </c>
      <c r="C2888" t="s">
        <v>827</v>
      </c>
      <c r="D2888" s="11" t="s">
        <v>480</v>
      </c>
      <c r="E2888" s="1">
        <v>0</v>
      </c>
      <c r="G2888" s="2">
        <f t="shared" si="45"/>
        <v>0</v>
      </c>
      <c r="H2888" s="2">
        <v>0</v>
      </c>
    </row>
    <row r="2889" spans="2:8">
      <c r="B2889" t="s">
        <v>141</v>
      </c>
      <c r="C2889" t="s">
        <v>827</v>
      </c>
      <c r="D2889" s="13" t="s">
        <v>481</v>
      </c>
      <c r="E2889" s="1">
        <v>0</v>
      </c>
      <c r="G2889" s="2">
        <f t="shared" si="45"/>
        <v>0</v>
      </c>
      <c r="H2889" s="2">
        <v>0</v>
      </c>
    </row>
    <row r="2890" spans="2:8">
      <c r="B2890" t="s">
        <v>141</v>
      </c>
      <c r="C2890" t="s">
        <v>827</v>
      </c>
      <c r="D2890" s="12" t="s">
        <v>1033</v>
      </c>
      <c r="E2890" s="1">
        <v>0</v>
      </c>
      <c r="G2890" s="2">
        <f t="shared" si="45"/>
        <v>0</v>
      </c>
      <c r="H2890" s="2">
        <v>0</v>
      </c>
    </row>
    <row r="2891" spans="2:8">
      <c r="B2891" t="s">
        <v>142</v>
      </c>
      <c r="C2891" t="s">
        <v>828</v>
      </c>
      <c r="D2891" s="5" t="s">
        <v>474</v>
      </c>
      <c r="E2891" s="1">
        <v>0</v>
      </c>
      <c r="G2891" s="2">
        <f t="shared" si="45"/>
        <v>0</v>
      </c>
      <c r="H2891" s="2">
        <v>0</v>
      </c>
    </row>
    <row r="2892" spans="2:8">
      <c r="B2892" t="s">
        <v>142</v>
      </c>
      <c r="C2892" t="s">
        <v>828</v>
      </c>
      <c r="D2892" s="6" t="s">
        <v>475</v>
      </c>
      <c r="E2892" s="1">
        <v>0</v>
      </c>
      <c r="G2892" s="2">
        <f t="shared" si="45"/>
        <v>0</v>
      </c>
      <c r="H2892" s="2">
        <v>0</v>
      </c>
    </row>
    <row r="2893" spans="2:8">
      <c r="B2893" t="s">
        <v>142</v>
      </c>
      <c r="C2893" t="s">
        <v>828</v>
      </c>
      <c r="D2893" s="7" t="s">
        <v>476</v>
      </c>
      <c r="E2893" s="1">
        <v>0</v>
      </c>
      <c r="G2893" s="2">
        <f t="shared" si="45"/>
        <v>0</v>
      </c>
      <c r="H2893" s="2">
        <v>0</v>
      </c>
    </row>
    <row r="2894" spans="2:8">
      <c r="B2894" t="s">
        <v>142</v>
      </c>
      <c r="C2894" t="s">
        <v>828</v>
      </c>
      <c r="D2894" s="8" t="s">
        <v>477</v>
      </c>
      <c r="E2894" s="1">
        <v>0</v>
      </c>
      <c r="G2894" s="2">
        <f t="shared" si="45"/>
        <v>0</v>
      </c>
      <c r="H2894" s="2">
        <v>0</v>
      </c>
    </row>
    <row r="2895" spans="2:8">
      <c r="B2895" t="s">
        <v>142</v>
      </c>
      <c r="C2895" t="s">
        <v>828</v>
      </c>
      <c r="D2895" s="9" t="s">
        <v>478</v>
      </c>
      <c r="E2895" s="1">
        <v>0</v>
      </c>
      <c r="G2895" s="2">
        <f t="shared" si="45"/>
        <v>0</v>
      </c>
      <c r="H2895" s="2">
        <v>0</v>
      </c>
    </row>
    <row r="2896" spans="2:8">
      <c r="B2896" t="s">
        <v>142</v>
      </c>
      <c r="C2896" t="s">
        <v>828</v>
      </c>
      <c r="D2896" s="10" t="s">
        <v>479</v>
      </c>
      <c r="E2896" s="1">
        <v>0</v>
      </c>
      <c r="G2896" s="2">
        <f t="shared" si="45"/>
        <v>0</v>
      </c>
      <c r="H2896" s="2">
        <v>0</v>
      </c>
    </row>
    <row r="2897" spans="2:8">
      <c r="B2897" t="s">
        <v>142</v>
      </c>
      <c r="C2897" t="s">
        <v>828</v>
      </c>
      <c r="D2897" s="11" t="s">
        <v>480</v>
      </c>
      <c r="E2897" s="1">
        <v>0</v>
      </c>
      <c r="G2897" s="2">
        <f t="shared" si="45"/>
        <v>0</v>
      </c>
      <c r="H2897" s="2">
        <v>0</v>
      </c>
    </row>
    <row r="2898" spans="2:8">
      <c r="B2898" t="s">
        <v>142</v>
      </c>
      <c r="C2898" t="s">
        <v>828</v>
      </c>
      <c r="D2898" s="13" t="s">
        <v>481</v>
      </c>
      <c r="E2898" s="1">
        <v>0</v>
      </c>
      <c r="G2898" s="2">
        <f t="shared" si="45"/>
        <v>0</v>
      </c>
      <c r="H2898" s="2">
        <v>0</v>
      </c>
    </row>
    <row r="2899" spans="2:8">
      <c r="B2899" t="s">
        <v>142</v>
      </c>
      <c r="C2899" t="s">
        <v>828</v>
      </c>
      <c r="D2899" s="12" t="s">
        <v>1033</v>
      </c>
      <c r="E2899" s="1">
        <v>0</v>
      </c>
      <c r="G2899" s="2">
        <f t="shared" si="45"/>
        <v>0</v>
      </c>
      <c r="H2899" s="2">
        <v>0</v>
      </c>
    </row>
    <row r="2900" spans="2:8">
      <c r="B2900" t="s">
        <v>144</v>
      </c>
      <c r="C2900" t="s">
        <v>829</v>
      </c>
      <c r="D2900" s="5" t="s">
        <v>474</v>
      </c>
      <c r="E2900" s="1">
        <v>0</v>
      </c>
      <c r="G2900" s="2">
        <f t="shared" si="45"/>
        <v>0</v>
      </c>
      <c r="H2900" s="2">
        <v>0</v>
      </c>
    </row>
    <row r="2901" spans="2:8">
      <c r="B2901" t="s">
        <v>144</v>
      </c>
      <c r="C2901" t="s">
        <v>829</v>
      </c>
      <c r="D2901" s="6" t="s">
        <v>475</v>
      </c>
      <c r="E2901" s="1">
        <v>0</v>
      </c>
      <c r="G2901" s="2">
        <f t="shared" si="45"/>
        <v>0</v>
      </c>
      <c r="H2901" s="2">
        <v>0</v>
      </c>
    </row>
    <row r="2902" spans="2:8">
      <c r="B2902" t="s">
        <v>144</v>
      </c>
      <c r="C2902" t="s">
        <v>829</v>
      </c>
      <c r="D2902" s="7" t="s">
        <v>476</v>
      </c>
      <c r="E2902" s="1">
        <v>0</v>
      </c>
      <c r="G2902" s="2">
        <f t="shared" si="45"/>
        <v>0</v>
      </c>
      <c r="H2902" s="2">
        <v>0</v>
      </c>
    </row>
    <row r="2903" spans="2:8">
      <c r="B2903" t="s">
        <v>144</v>
      </c>
      <c r="C2903" t="s">
        <v>829</v>
      </c>
      <c r="D2903" s="8" t="s">
        <v>477</v>
      </c>
      <c r="E2903" s="1">
        <v>0</v>
      </c>
      <c r="G2903" s="2">
        <f t="shared" si="45"/>
        <v>0</v>
      </c>
      <c r="H2903" s="2">
        <v>0</v>
      </c>
    </row>
    <row r="2904" spans="2:8">
      <c r="B2904" t="s">
        <v>144</v>
      </c>
      <c r="C2904" t="s">
        <v>829</v>
      </c>
      <c r="D2904" s="9" t="s">
        <v>478</v>
      </c>
      <c r="E2904" s="1">
        <v>0</v>
      </c>
      <c r="G2904" s="2">
        <f t="shared" si="45"/>
        <v>0</v>
      </c>
      <c r="H2904" s="2">
        <v>0</v>
      </c>
    </row>
    <row r="2905" spans="2:8">
      <c r="B2905" t="s">
        <v>144</v>
      </c>
      <c r="C2905" t="s">
        <v>829</v>
      </c>
      <c r="D2905" s="10" t="s">
        <v>479</v>
      </c>
      <c r="E2905" s="1">
        <v>0</v>
      </c>
      <c r="G2905" s="2">
        <f t="shared" si="45"/>
        <v>0</v>
      </c>
      <c r="H2905" s="2">
        <v>0</v>
      </c>
    </row>
    <row r="2906" spans="2:8">
      <c r="B2906" t="s">
        <v>144</v>
      </c>
      <c r="C2906" t="s">
        <v>829</v>
      </c>
      <c r="D2906" s="11" t="s">
        <v>480</v>
      </c>
      <c r="E2906" s="1">
        <v>0</v>
      </c>
      <c r="G2906" s="2">
        <f t="shared" si="45"/>
        <v>0</v>
      </c>
      <c r="H2906" s="2">
        <v>0</v>
      </c>
    </row>
    <row r="2907" spans="2:8">
      <c r="B2907" t="s">
        <v>144</v>
      </c>
      <c r="C2907" t="s">
        <v>829</v>
      </c>
      <c r="D2907" s="13" t="s">
        <v>481</v>
      </c>
      <c r="E2907" s="1">
        <v>0</v>
      </c>
      <c r="G2907" s="2">
        <f t="shared" si="45"/>
        <v>0</v>
      </c>
      <c r="H2907" s="2">
        <v>0</v>
      </c>
    </row>
    <row r="2908" spans="2:8">
      <c r="B2908" t="s">
        <v>144</v>
      </c>
      <c r="C2908" t="s">
        <v>829</v>
      </c>
      <c r="D2908" s="12" t="s">
        <v>1033</v>
      </c>
      <c r="E2908" s="1">
        <v>0</v>
      </c>
      <c r="G2908" s="2">
        <f t="shared" si="45"/>
        <v>0</v>
      </c>
      <c r="H2908" s="2">
        <v>0</v>
      </c>
    </row>
    <row r="2909" spans="2:8">
      <c r="B2909" t="s">
        <v>99</v>
      </c>
      <c r="C2909" t="s">
        <v>830</v>
      </c>
      <c r="D2909" s="5" t="s">
        <v>474</v>
      </c>
      <c r="E2909" s="1">
        <v>0</v>
      </c>
      <c r="G2909" s="2">
        <f t="shared" si="45"/>
        <v>0</v>
      </c>
      <c r="H2909" s="2">
        <v>0</v>
      </c>
    </row>
    <row r="2910" spans="2:8">
      <c r="B2910" t="s">
        <v>99</v>
      </c>
      <c r="C2910" t="s">
        <v>830</v>
      </c>
      <c r="D2910" s="6" t="s">
        <v>475</v>
      </c>
      <c r="E2910" s="1">
        <v>0</v>
      </c>
      <c r="G2910" s="2">
        <f t="shared" si="45"/>
        <v>0</v>
      </c>
      <c r="H2910" s="2">
        <v>0</v>
      </c>
    </row>
    <row r="2911" spans="2:8">
      <c r="B2911" t="s">
        <v>99</v>
      </c>
      <c r="C2911" t="s">
        <v>830</v>
      </c>
      <c r="D2911" s="7" t="s">
        <v>476</v>
      </c>
      <c r="E2911" s="1">
        <v>0</v>
      </c>
      <c r="G2911" s="2">
        <f t="shared" si="45"/>
        <v>0</v>
      </c>
      <c r="H2911" s="2">
        <v>0</v>
      </c>
    </row>
    <row r="2912" spans="2:8">
      <c r="B2912" t="s">
        <v>99</v>
      </c>
      <c r="C2912" t="s">
        <v>830</v>
      </c>
      <c r="D2912" s="8" t="s">
        <v>477</v>
      </c>
      <c r="E2912" s="1">
        <v>0</v>
      </c>
      <c r="G2912" s="2">
        <f t="shared" si="45"/>
        <v>0</v>
      </c>
      <c r="H2912" s="2">
        <v>0</v>
      </c>
    </row>
    <row r="2913" spans="2:8">
      <c r="B2913" t="s">
        <v>99</v>
      </c>
      <c r="C2913" t="s">
        <v>830</v>
      </c>
      <c r="D2913" s="9" t="s">
        <v>478</v>
      </c>
      <c r="E2913" s="1">
        <v>0</v>
      </c>
      <c r="G2913" s="2">
        <f t="shared" si="45"/>
        <v>0</v>
      </c>
      <c r="H2913" s="2">
        <v>0</v>
      </c>
    </row>
    <row r="2914" spans="2:8">
      <c r="B2914" t="s">
        <v>99</v>
      </c>
      <c r="C2914" t="s">
        <v>830</v>
      </c>
      <c r="D2914" s="10" t="s">
        <v>479</v>
      </c>
      <c r="E2914" s="1">
        <v>0</v>
      </c>
      <c r="G2914" s="2">
        <f t="shared" si="45"/>
        <v>0</v>
      </c>
      <c r="H2914" s="2">
        <v>0</v>
      </c>
    </row>
    <row r="2915" spans="2:8">
      <c r="B2915" t="s">
        <v>99</v>
      </c>
      <c r="C2915" t="s">
        <v>830</v>
      </c>
      <c r="D2915" s="11" t="s">
        <v>480</v>
      </c>
      <c r="E2915" s="1">
        <v>0</v>
      </c>
      <c r="G2915" s="2">
        <f t="shared" si="45"/>
        <v>0</v>
      </c>
      <c r="H2915" s="2">
        <v>0</v>
      </c>
    </row>
    <row r="2916" spans="2:8">
      <c r="B2916" t="s">
        <v>99</v>
      </c>
      <c r="C2916" t="s">
        <v>830</v>
      </c>
      <c r="D2916" s="13" t="s">
        <v>481</v>
      </c>
      <c r="E2916" s="1">
        <v>0</v>
      </c>
      <c r="G2916" s="2">
        <f t="shared" si="45"/>
        <v>0</v>
      </c>
      <c r="H2916" s="2">
        <v>0</v>
      </c>
    </row>
    <row r="2917" spans="2:8">
      <c r="B2917" t="s">
        <v>99</v>
      </c>
      <c r="C2917" t="s">
        <v>830</v>
      </c>
      <c r="D2917" s="12" t="s">
        <v>1033</v>
      </c>
      <c r="E2917" s="1">
        <v>0</v>
      </c>
      <c r="G2917" s="2">
        <f t="shared" si="45"/>
        <v>0</v>
      </c>
      <c r="H2917" s="2">
        <v>0</v>
      </c>
    </row>
    <row r="2918" spans="2:8">
      <c r="B2918" t="s">
        <v>940</v>
      </c>
      <c r="C2918" t="s">
        <v>942</v>
      </c>
      <c r="D2918" s="5" t="s">
        <v>474</v>
      </c>
      <c r="E2918" s="1">
        <v>0</v>
      </c>
      <c r="G2918" s="2">
        <f t="shared" si="45"/>
        <v>0</v>
      </c>
      <c r="H2918" s="2">
        <v>0</v>
      </c>
    </row>
    <row r="2919" spans="2:8">
      <c r="B2919" t="s">
        <v>940</v>
      </c>
      <c r="C2919" t="s">
        <v>942</v>
      </c>
      <c r="D2919" s="6" t="s">
        <v>475</v>
      </c>
      <c r="E2919" s="1">
        <v>0</v>
      </c>
      <c r="G2919" s="2">
        <f t="shared" si="45"/>
        <v>0</v>
      </c>
      <c r="H2919" s="2">
        <v>0</v>
      </c>
    </row>
    <row r="2920" spans="2:8">
      <c r="B2920" t="s">
        <v>940</v>
      </c>
      <c r="C2920" t="s">
        <v>942</v>
      </c>
      <c r="D2920" s="7" t="s">
        <v>476</v>
      </c>
      <c r="E2920" s="1">
        <v>0</v>
      </c>
      <c r="G2920" s="2">
        <f t="shared" si="45"/>
        <v>0</v>
      </c>
      <c r="H2920" s="2">
        <v>0</v>
      </c>
    </row>
    <row r="2921" spans="2:8">
      <c r="B2921" t="s">
        <v>940</v>
      </c>
      <c r="C2921" t="s">
        <v>942</v>
      </c>
      <c r="D2921" s="8" t="s">
        <v>477</v>
      </c>
      <c r="E2921" s="1">
        <v>0</v>
      </c>
      <c r="G2921" s="2">
        <f t="shared" si="45"/>
        <v>0</v>
      </c>
      <c r="H2921" s="2">
        <v>0</v>
      </c>
    </row>
    <row r="2922" spans="2:8">
      <c r="B2922" t="s">
        <v>940</v>
      </c>
      <c r="C2922" t="s">
        <v>942</v>
      </c>
      <c r="D2922" s="9" t="s">
        <v>478</v>
      </c>
      <c r="E2922" s="1">
        <v>0</v>
      </c>
      <c r="G2922" s="2">
        <f t="shared" si="45"/>
        <v>0</v>
      </c>
      <c r="H2922" s="2">
        <v>0</v>
      </c>
    </row>
    <row r="2923" spans="2:8">
      <c r="B2923" t="s">
        <v>940</v>
      </c>
      <c r="C2923" t="s">
        <v>942</v>
      </c>
      <c r="D2923" s="10" t="s">
        <v>479</v>
      </c>
      <c r="E2923" s="1">
        <v>0</v>
      </c>
      <c r="G2923" s="2">
        <f t="shared" si="45"/>
        <v>0</v>
      </c>
      <c r="H2923" s="2">
        <v>0</v>
      </c>
    </row>
    <row r="2924" spans="2:8">
      <c r="B2924" t="s">
        <v>940</v>
      </c>
      <c r="C2924" t="s">
        <v>942</v>
      </c>
      <c r="D2924" s="11" t="s">
        <v>480</v>
      </c>
      <c r="E2924" s="1">
        <v>0</v>
      </c>
      <c r="G2924" s="2">
        <f t="shared" si="45"/>
        <v>0</v>
      </c>
      <c r="H2924" s="2">
        <v>0</v>
      </c>
    </row>
    <row r="2925" spans="2:8">
      <c r="B2925" t="s">
        <v>940</v>
      </c>
      <c r="C2925" t="s">
        <v>942</v>
      </c>
      <c r="D2925" s="13" t="s">
        <v>481</v>
      </c>
      <c r="E2925" s="1">
        <v>0</v>
      </c>
      <c r="G2925" s="2">
        <f t="shared" si="45"/>
        <v>0</v>
      </c>
      <c r="H2925" s="2">
        <v>0</v>
      </c>
    </row>
    <row r="2926" spans="2:8">
      <c r="B2926" t="s">
        <v>940</v>
      </c>
      <c r="C2926" t="s">
        <v>942</v>
      </c>
      <c r="D2926" s="12" t="s">
        <v>1033</v>
      </c>
      <c r="E2926" s="1">
        <v>0</v>
      </c>
      <c r="G2926" s="2">
        <f t="shared" si="45"/>
        <v>0</v>
      </c>
      <c r="H2926" s="2">
        <v>0</v>
      </c>
    </row>
    <row r="2927" spans="2:8">
      <c r="B2927" t="s">
        <v>947</v>
      </c>
      <c r="C2927" t="s">
        <v>959</v>
      </c>
      <c r="D2927" s="5" t="s">
        <v>474</v>
      </c>
      <c r="E2927" s="1">
        <v>0</v>
      </c>
      <c r="G2927" s="2">
        <f t="shared" si="45"/>
        <v>0</v>
      </c>
      <c r="H2927" s="2">
        <v>0</v>
      </c>
    </row>
    <row r="2928" spans="2:8">
      <c r="B2928" t="s">
        <v>947</v>
      </c>
      <c r="C2928" t="s">
        <v>959</v>
      </c>
      <c r="D2928" s="6" t="s">
        <v>475</v>
      </c>
      <c r="E2928" s="1">
        <v>0</v>
      </c>
      <c r="G2928" s="2">
        <f t="shared" si="45"/>
        <v>0</v>
      </c>
      <c r="H2928" s="2">
        <v>0</v>
      </c>
    </row>
    <row r="2929" spans="2:8">
      <c r="B2929" t="s">
        <v>947</v>
      </c>
      <c r="C2929" t="s">
        <v>959</v>
      </c>
      <c r="D2929" s="7" t="s">
        <v>476</v>
      </c>
      <c r="E2929" s="1">
        <v>0</v>
      </c>
      <c r="G2929" s="2">
        <f t="shared" si="45"/>
        <v>0</v>
      </c>
      <c r="H2929" s="2">
        <v>0</v>
      </c>
    </row>
    <row r="2930" spans="2:8">
      <c r="B2930" t="s">
        <v>947</v>
      </c>
      <c r="C2930" t="s">
        <v>959</v>
      </c>
      <c r="D2930" s="8" t="s">
        <v>477</v>
      </c>
      <c r="E2930" s="1">
        <v>0</v>
      </c>
      <c r="G2930" s="2">
        <f t="shared" si="45"/>
        <v>0</v>
      </c>
      <c r="H2930" s="2">
        <v>0</v>
      </c>
    </row>
    <row r="2931" spans="2:8">
      <c r="B2931" t="s">
        <v>947</v>
      </c>
      <c r="C2931" t="s">
        <v>959</v>
      </c>
      <c r="D2931" s="9" t="s">
        <v>478</v>
      </c>
      <c r="E2931" s="1">
        <v>0</v>
      </c>
      <c r="G2931" s="2">
        <f t="shared" si="45"/>
        <v>0</v>
      </c>
      <c r="H2931" s="2">
        <v>0</v>
      </c>
    </row>
    <row r="2932" spans="2:8">
      <c r="B2932" t="s">
        <v>947</v>
      </c>
      <c r="C2932" t="s">
        <v>959</v>
      </c>
      <c r="D2932" s="10" t="s">
        <v>479</v>
      </c>
      <c r="E2932" s="1">
        <v>0</v>
      </c>
      <c r="G2932" s="2">
        <f t="shared" si="45"/>
        <v>0</v>
      </c>
      <c r="H2932" s="2">
        <v>0</v>
      </c>
    </row>
    <row r="2933" spans="2:8">
      <c r="B2933" t="s">
        <v>947</v>
      </c>
      <c r="C2933" t="s">
        <v>959</v>
      </c>
      <c r="D2933" s="11" t="s">
        <v>480</v>
      </c>
      <c r="E2933" s="1">
        <v>0</v>
      </c>
      <c r="G2933" s="2">
        <f t="shared" si="45"/>
        <v>0</v>
      </c>
      <c r="H2933" s="2">
        <v>0</v>
      </c>
    </row>
    <row r="2934" spans="2:8">
      <c r="B2934" t="s">
        <v>947</v>
      </c>
      <c r="C2934" t="s">
        <v>959</v>
      </c>
      <c r="D2934" s="13" t="s">
        <v>481</v>
      </c>
      <c r="E2934" s="1">
        <v>0</v>
      </c>
      <c r="G2934" s="2">
        <f t="shared" si="45"/>
        <v>0</v>
      </c>
      <c r="H2934" s="2">
        <v>0</v>
      </c>
    </row>
    <row r="2935" spans="2:8">
      <c r="B2935" t="s">
        <v>947</v>
      </c>
      <c r="C2935" t="s">
        <v>959</v>
      </c>
      <c r="D2935" s="12" t="s">
        <v>1033</v>
      </c>
      <c r="E2935" s="1">
        <v>0</v>
      </c>
      <c r="G2935" s="2">
        <f t="shared" si="45"/>
        <v>0</v>
      </c>
      <c r="H2935" s="2">
        <v>0</v>
      </c>
    </row>
    <row r="2936" spans="2:8">
      <c r="B2936" t="s">
        <v>1218</v>
      </c>
      <c r="C2936" t="s">
        <v>1219</v>
      </c>
      <c r="D2936" s="5" t="s">
        <v>474</v>
      </c>
      <c r="E2936" s="1">
        <v>0</v>
      </c>
      <c r="G2936" s="2">
        <f t="shared" si="45"/>
        <v>0</v>
      </c>
      <c r="H2936" s="2">
        <v>0</v>
      </c>
    </row>
    <row r="2937" spans="2:8">
      <c r="B2937" t="s">
        <v>1218</v>
      </c>
      <c r="C2937" t="s">
        <v>1219</v>
      </c>
      <c r="D2937" s="6" t="s">
        <v>475</v>
      </c>
      <c r="E2937" s="1">
        <v>0</v>
      </c>
      <c r="G2937" s="2">
        <f t="shared" si="45"/>
        <v>0</v>
      </c>
      <c r="H2937" s="2">
        <v>0</v>
      </c>
    </row>
    <row r="2938" spans="2:8">
      <c r="B2938" t="s">
        <v>1218</v>
      </c>
      <c r="C2938" t="s">
        <v>1219</v>
      </c>
      <c r="D2938" s="7" t="s">
        <v>476</v>
      </c>
      <c r="E2938" s="1">
        <v>0</v>
      </c>
      <c r="G2938" s="2">
        <f t="shared" si="45"/>
        <v>0</v>
      </c>
      <c r="H2938" s="2">
        <v>0</v>
      </c>
    </row>
    <row r="2939" spans="2:8">
      <c r="B2939" t="s">
        <v>1218</v>
      </c>
      <c r="C2939" t="s">
        <v>1219</v>
      </c>
      <c r="D2939" s="8" t="s">
        <v>477</v>
      </c>
      <c r="E2939" s="1">
        <v>0</v>
      </c>
      <c r="G2939" s="2">
        <f t="shared" si="45"/>
        <v>0</v>
      </c>
      <c r="H2939" s="2">
        <v>0</v>
      </c>
    </row>
    <row r="2940" spans="2:8">
      <c r="B2940" t="s">
        <v>1218</v>
      </c>
      <c r="C2940" t="s">
        <v>1219</v>
      </c>
      <c r="D2940" s="9" t="s">
        <v>478</v>
      </c>
      <c r="E2940" s="1">
        <v>0</v>
      </c>
      <c r="G2940" s="2">
        <f t="shared" si="45"/>
        <v>0</v>
      </c>
      <c r="H2940" s="2">
        <v>0</v>
      </c>
    </row>
    <row r="2941" spans="2:8">
      <c r="B2941" t="s">
        <v>1218</v>
      </c>
      <c r="C2941" t="s">
        <v>1219</v>
      </c>
      <c r="D2941" s="10" t="s">
        <v>479</v>
      </c>
      <c r="E2941" s="1">
        <v>0</v>
      </c>
      <c r="G2941" s="2">
        <f t="shared" si="45"/>
        <v>0</v>
      </c>
      <c r="H2941" s="2">
        <v>0</v>
      </c>
    </row>
    <row r="2942" spans="2:8">
      <c r="B2942" t="s">
        <v>1218</v>
      </c>
      <c r="C2942" t="s">
        <v>1219</v>
      </c>
      <c r="D2942" s="11" t="s">
        <v>480</v>
      </c>
      <c r="E2942" s="1">
        <v>0</v>
      </c>
      <c r="G2942" s="2">
        <f t="shared" si="45"/>
        <v>0</v>
      </c>
      <c r="H2942" s="2">
        <v>0</v>
      </c>
    </row>
    <row r="2943" spans="2:8">
      <c r="B2943" t="s">
        <v>1218</v>
      </c>
      <c r="C2943" t="s">
        <v>1219</v>
      </c>
      <c r="D2943" s="13" t="s">
        <v>481</v>
      </c>
      <c r="E2943" s="1">
        <v>0</v>
      </c>
      <c r="G2943" s="2">
        <f t="shared" si="45"/>
        <v>0</v>
      </c>
      <c r="H2943" s="2">
        <v>0</v>
      </c>
    </row>
    <row r="2944" spans="2:8">
      <c r="B2944" t="s">
        <v>1218</v>
      </c>
      <c r="C2944" t="s">
        <v>1219</v>
      </c>
      <c r="D2944" s="12" t="s">
        <v>1033</v>
      </c>
      <c r="E2944" s="1">
        <v>0</v>
      </c>
      <c r="G2944" s="2">
        <f t="shared" si="45"/>
        <v>0</v>
      </c>
      <c r="H2944" s="2">
        <v>0</v>
      </c>
    </row>
    <row r="2945" spans="2:8">
      <c r="B2945" t="s">
        <v>1208</v>
      </c>
      <c r="C2945" t="s">
        <v>1220</v>
      </c>
      <c r="D2945" s="5" t="s">
        <v>474</v>
      </c>
      <c r="E2945" s="1">
        <v>0</v>
      </c>
      <c r="G2945" s="2">
        <f t="shared" si="45"/>
        <v>0</v>
      </c>
      <c r="H2945" s="2">
        <v>0</v>
      </c>
    </row>
    <row r="2946" spans="2:8">
      <c r="B2946" t="s">
        <v>1208</v>
      </c>
      <c r="C2946" t="s">
        <v>1220</v>
      </c>
      <c r="D2946" s="6" t="s">
        <v>475</v>
      </c>
      <c r="E2946" s="1">
        <v>0</v>
      </c>
      <c r="G2946" s="2">
        <f t="shared" ref="G2946:G3009" si="46">E2946*F2946</f>
        <v>0</v>
      </c>
      <c r="H2946" s="2">
        <v>0</v>
      </c>
    </row>
    <row r="2947" spans="2:8">
      <c r="B2947" t="s">
        <v>1208</v>
      </c>
      <c r="C2947" t="s">
        <v>1220</v>
      </c>
      <c r="D2947" s="7" t="s">
        <v>476</v>
      </c>
      <c r="E2947" s="1">
        <v>0</v>
      </c>
      <c r="G2947" s="2">
        <f t="shared" si="46"/>
        <v>0</v>
      </c>
      <c r="H2947" s="2">
        <v>0</v>
      </c>
    </row>
    <row r="2948" spans="2:8">
      <c r="B2948" t="s">
        <v>1208</v>
      </c>
      <c r="C2948" t="s">
        <v>1220</v>
      </c>
      <c r="D2948" s="8" t="s">
        <v>477</v>
      </c>
      <c r="E2948" s="1">
        <v>0</v>
      </c>
      <c r="G2948" s="2">
        <f t="shared" si="46"/>
        <v>0</v>
      </c>
      <c r="H2948" s="2">
        <v>0</v>
      </c>
    </row>
    <row r="2949" spans="2:8">
      <c r="B2949" t="s">
        <v>1208</v>
      </c>
      <c r="C2949" t="s">
        <v>1220</v>
      </c>
      <c r="D2949" s="9" t="s">
        <v>478</v>
      </c>
      <c r="E2949" s="1">
        <v>0</v>
      </c>
      <c r="G2949" s="2">
        <f t="shared" si="46"/>
        <v>0</v>
      </c>
      <c r="H2949" s="2">
        <v>0</v>
      </c>
    </row>
    <row r="2950" spans="2:8">
      <c r="B2950" t="s">
        <v>1208</v>
      </c>
      <c r="C2950" t="s">
        <v>1220</v>
      </c>
      <c r="D2950" s="10" t="s">
        <v>479</v>
      </c>
      <c r="E2950" s="1">
        <v>0</v>
      </c>
      <c r="G2950" s="2">
        <f t="shared" si="46"/>
        <v>0</v>
      </c>
      <c r="H2950" s="2">
        <v>0</v>
      </c>
    </row>
    <row r="2951" spans="2:8">
      <c r="B2951" t="s">
        <v>1208</v>
      </c>
      <c r="C2951" t="s">
        <v>1220</v>
      </c>
      <c r="D2951" s="11" t="s">
        <v>480</v>
      </c>
      <c r="E2951" s="1">
        <v>0</v>
      </c>
      <c r="G2951" s="2">
        <f t="shared" si="46"/>
        <v>0</v>
      </c>
      <c r="H2951" s="2">
        <v>0</v>
      </c>
    </row>
    <row r="2952" spans="2:8">
      <c r="B2952" t="s">
        <v>1208</v>
      </c>
      <c r="C2952" t="s">
        <v>1220</v>
      </c>
      <c r="D2952" s="13" t="s">
        <v>481</v>
      </c>
      <c r="E2952" s="1">
        <v>0</v>
      </c>
      <c r="G2952" s="2">
        <f t="shared" si="46"/>
        <v>0</v>
      </c>
      <c r="H2952" s="2">
        <v>0</v>
      </c>
    </row>
    <row r="2953" spans="2:8">
      <c r="B2953" t="s">
        <v>1208</v>
      </c>
      <c r="C2953" t="s">
        <v>1220</v>
      </c>
      <c r="D2953" s="12" t="s">
        <v>1033</v>
      </c>
      <c r="E2953" s="1">
        <v>0</v>
      </c>
      <c r="G2953" s="2">
        <f t="shared" si="46"/>
        <v>0</v>
      </c>
      <c r="H2953" s="2">
        <v>0</v>
      </c>
    </row>
    <row r="2954" spans="2:8">
      <c r="B2954" t="s">
        <v>1221</v>
      </c>
      <c r="C2954" t="s">
        <v>1222</v>
      </c>
      <c r="D2954" s="5" t="s">
        <v>474</v>
      </c>
      <c r="E2954" s="1">
        <v>0</v>
      </c>
      <c r="G2954" s="2">
        <f t="shared" si="46"/>
        <v>0</v>
      </c>
      <c r="H2954" s="2">
        <v>0</v>
      </c>
    </row>
    <row r="2955" spans="2:8">
      <c r="B2955" t="s">
        <v>1221</v>
      </c>
      <c r="C2955" t="s">
        <v>1222</v>
      </c>
      <c r="D2955" s="6" t="s">
        <v>475</v>
      </c>
      <c r="E2955" s="1">
        <v>0</v>
      </c>
      <c r="G2955" s="2">
        <f t="shared" si="46"/>
        <v>0</v>
      </c>
      <c r="H2955" s="2">
        <v>0</v>
      </c>
    </row>
    <row r="2956" spans="2:8">
      <c r="B2956" t="s">
        <v>1221</v>
      </c>
      <c r="C2956" t="s">
        <v>1222</v>
      </c>
      <c r="D2956" s="7" t="s">
        <v>476</v>
      </c>
      <c r="E2956" s="1">
        <v>0</v>
      </c>
      <c r="G2956" s="2">
        <f t="shared" si="46"/>
        <v>0</v>
      </c>
      <c r="H2956" s="2">
        <v>0</v>
      </c>
    </row>
    <row r="2957" spans="2:8">
      <c r="B2957" t="s">
        <v>1221</v>
      </c>
      <c r="C2957" t="s">
        <v>1222</v>
      </c>
      <c r="D2957" s="8" t="s">
        <v>477</v>
      </c>
      <c r="E2957" s="1">
        <v>0</v>
      </c>
      <c r="G2957" s="2">
        <f t="shared" si="46"/>
        <v>0</v>
      </c>
      <c r="H2957" s="2">
        <v>0</v>
      </c>
    </row>
    <row r="2958" spans="2:8">
      <c r="B2958" t="s">
        <v>1221</v>
      </c>
      <c r="C2958" t="s">
        <v>1222</v>
      </c>
      <c r="D2958" s="9" t="s">
        <v>478</v>
      </c>
      <c r="E2958" s="1">
        <v>0</v>
      </c>
      <c r="G2958" s="2">
        <f t="shared" si="46"/>
        <v>0</v>
      </c>
      <c r="H2958" s="2">
        <v>0</v>
      </c>
    </row>
    <row r="2959" spans="2:8">
      <c r="B2959" t="s">
        <v>1221</v>
      </c>
      <c r="C2959" t="s">
        <v>1222</v>
      </c>
      <c r="D2959" s="10" t="s">
        <v>479</v>
      </c>
      <c r="E2959" s="1">
        <v>0</v>
      </c>
      <c r="G2959" s="2">
        <f t="shared" si="46"/>
        <v>0</v>
      </c>
      <c r="H2959" s="2">
        <v>0</v>
      </c>
    </row>
    <row r="2960" spans="2:8">
      <c r="B2960" t="s">
        <v>1221</v>
      </c>
      <c r="C2960" t="s">
        <v>1222</v>
      </c>
      <c r="D2960" s="11" t="s">
        <v>480</v>
      </c>
      <c r="E2960" s="1">
        <v>0</v>
      </c>
      <c r="G2960" s="2">
        <f t="shared" si="46"/>
        <v>0</v>
      </c>
      <c r="H2960" s="2">
        <v>0</v>
      </c>
    </row>
    <row r="2961" spans="2:8">
      <c r="B2961" t="s">
        <v>1221</v>
      </c>
      <c r="C2961" t="s">
        <v>1222</v>
      </c>
      <c r="D2961" s="13" t="s">
        <v>481</v>
      </c>
      <c r="E2961" s="1">
        <v>0</v>
      </c>
      <c r="G2961" s="2">
        <f t="shared" si="46"/>
        <v>0</v>
      </c>
      <c r="H2961" s="2">
        <v>0</v>
      </c>
    </row>
    <row r="2962" spans="2:8">
      <c r="B2962" t="s">
        <v>1221</v>
      </c>
      <c r="C2962" t="s">
        <v>1222</v>
      </c>
      <c r="D2962" s="12" t="s">
        <v>1033</v>
      </c>
      <c r="E2962" s="1">
        <v>0</v>
      </c>
      <c r="G2962" s="2">
        <f t="shared" si="46"/>
        <v>0</v>
      </c>
      <c r="H2962" s="2">
        <v>0</v>
      </c>
    </row>
    <row r="2963" spans="2:8">
      <c r="B2963" t="s">
        <v>1209</v>
      </c>
      <c r="C2963" t="s">
        <v>1223</v>
      </c>
      <c r="D2963" s="5" t="s">
        <v>474</v>
      </c>
      <c r="E2963" s="1">
        <v>0</v>
      </c>
      <c r="G2963" s="2">
        <f t="shared" si="46"/>
        <v>0</v>
      </c>
      <c r="H2963" s="2">
        <v>0</v>
      </c>
    </row>
    <row r="2964" spans="2:8">
      <c r="B2964" t="s">
        <v>1209</v>
      </c>
      <c r="C2964" t="s">
        <v>1223</v>
      </c>
      <c r="D2964" s="6" t="s">
        <v>475</v>
      </c>
      <c r="E2964" s="1">
        <v>0</v>
      </c>
      <c r="G2964" s="2">
        <f t="shared" si="46"/>
        <v>0</v>
      </c>
      <c r="H2964" s="2">
        <v>0</v>
      </c>
    </row>
    <row r="2965" spans="2:8">
      <c r="B2965" t="s">
        <v>1209</v>
      </c>
      <c r="C2965" t="s">
        <v>1223</v>
      </c>
      <c r="D2965" s="7" t="s">
        <v>476</v>
      </c>
      <c r="E2965" s="1">
        <v>0</v>
      </c>
      <c r="G2965" s="2">
        <f t="shared" si="46"/>
        <v>0</v>
      </c>
      <c r="H2965" s="2">
        <v>0</v>
      </c>
    </row>
    <row r="2966" spans="2:8">
      <c r="B2966" t="s">
        <v>1209</v>
      </c>
      <c r="C2966" t="s">
        <v>1223</v>
      </c>
      <c r="D2966" s="8" t="s">
        <v>477</v>
      </c>
      <c r="E2966" s="1">
        <v>0</v>
      </c>
      <c r="G2966" s="2">
        <f t="shared" si="46"/>
        <v>0</v>
      </c>
      <c r="H2966" s="2">
        <v>0</v>
      </c>
    </row>
    <row r="2967" spans="2:8">
      <c r="B2967" t="s">
        <v>1209</v>
      </c>
      <c r="C2967" t="s">
        <v>1223</v>
      </c>
      <c r="D2967" s="9" t="s">
        <v>478</v>
      </c>
      <c r="E2967" s="1">
        <v>0</v>
      </c>
      <c r="G2967" s="2">
        <f t="shared" si="46"/>
        <v>0</v>
      </c>
      <c r="H2967" s="2">
        <v>0</v>
      </c>
    </row>
    <row r="2968" spans="2:8">
      <c r="B2968" t="s">
        <v>1209</v>
      </c>
      <c r="C2968" t="s">
        <v>1223</v>
      </c>
      <c r="D2968" s="10" t="s">
        <v>479</v>
      </c>
      <c r="E2968" s="1">
        <v>0</v>
      </c>
      <c r="G2968" s="2">
        <f t="shared" si="46"/>
        <v>0</v>
      </c>
      <c r="H2968" s="2">
        <v>0</v>
      </c>
    </row>
    <row r="2969" spans="2:8">
      <c r="B2969" t="s">
        <v>1209</v>
      </c>
      <c r="C2969" t="s">
        <v>1223</v>
      </c>
      <c r="D2969" s="11" t="s">
        <v>480</v>
      </c>
      <c r="E2969" s="1">
        <v>0</v>
      </c>
      <c r="G2969" s="2">
        <f t="shared" si="46"/>
        <v>0</v>
      </c>
      <c r="H2969" s="2">
        <v>0</v>
      </c>
    </row>
    <row r="2970" spans="2:8">
      <c r="B2970" t="s">
        <v>1209</v>
      </c>
      <c r="C2970" t="s">
        <v>1223</v>
      </c>
      <c r="D2970" s="13" t="s">
        <v>481</v>
      </c>
      <c r="E2970" s="1">
        <v>0</v>
      </c>
      <c r="G2970" s="2">
        <f t="shared" si="46"/>
        <v>0</v>
      </c>
      <c r="H2970" s="2">
        <v>0</v>
      </c>
    </row>
    <row r="2971" spans="2:8">
      <c r="B2971" t="s">
        <v>1209</v>
      </c>
      <c r="C2971" t="s">
        <v>1223</v>
      </c>
      <c r="D2971" s="12" t="s">
        <v>1033</v>
      </c>
      <c r="E2971" s="1">
        <v>0</v>
      </c>
      <c r="G2971" s="2">
        <f t="shared" si="46"/>
        <v>0</v>
      </c>
      <c r="H2971" s="2">
        <v>0</v>
      </c>
    </row>
    <row r="2972" spans="2:8">
      <c r="B2972" t="s">
        <v>1210</v>
      </c>
      <c r="C2972" t="s">
        <v>1224</v>
      </c>
      <c r="D2972" s="5" t="s">
        <v>474</v>
      </c>
      <c r="E2972" s="1">
        <v>0</v>
      </c>
      <c r="G2972" s="2">
        <f t="shared" si="46"/>
        <v>0</v>
      </c>
      <c r="H2972" s="2">
        <v>0</v>
      </c>
    </row>
    <row r="2973" spans="2:8">
      <c r="B2973" t="s">
        <v>1210</v>
      </c>
      <c r="C2973" t="s">
        <v>1224</v>
      </c>
      <c r="D2973" s="6" t="s">
        <v>475</v>
      </c>
      <c r="E2973" s="1">
        <v>0</v>
      </c>
      <c r="G2973" s="2">
        <f t="shared" si="46"/>
        <v>0</v>
      </c>
      <c r="H2973" s="2">
        <v>0</v>
      </c>
    </row>
    <row r="2974" spans="2:8">
      <c r="B2974" t="s">
        <v>1210</v>
      </c>
      <c r="C2974" t="s">
        <v>1224</v>
      </c>
      <c r="D2974" s="7" t="s">
        <v>476</v>
      </c>
      <c r="E2974" s="1">
        <v>0</v>
      </c>
      <c r="G2974" s="2">
        <f t="shared" si="46"/>
        <v>0</v>
      </c>
      <c r="H2974" s="2">
        <v>0</v>
      </c>
    </row>
    <row r="2975" spans="2:8">
      <c r="B2975" t="s">
        <v>1210</v>
      </c>
      <c r="C2975" t="s">
        <v>1224</v>
      </c>
      <c r="D2975" s="8" t="s">
        <v>477</v>
      </c>
      <c r="E2975" s="1">
        <v>0</v>
      </c>
      <c r="G2975" s="2">
        <f t="shared" si="46"/>
        <v>0</v>
      </c>
      <c r="H2975" s="2">
        <v>0</v>
      </c>
    </row>
    <row r="2976" spans="2:8">
      <c r="B2976" t="s">
        <v>1210</v>
      </c>
      <c r="C2976" t="s">
        <v>1224</v>
      </c>
      <c r="D2976" s="9" t="s">
        <v>478</v>
      </c>
      <c r="E2976" s="1">
        <v>0</v>
      </c>
      <c r="G2976" s="2">
        <f t="shared" si="46"/>
        <v>0</v>
      </c>
      <c r="H2976" s="2">
        <v>0</v>
      </c>
    </row>
    <row r="2977" spans="2:8">
      <c r="B2977" t="s">
        <v>1210</v>
      </c>
      <c r="C2977" t="s">
        <v>1224</v>
      </c>
      <c r="D2977" s="10" t="s">
        <v>479</v>
      </c>
      <c r="E2977" s="1">
        <v>0</v>
      </c>
      <c r="G2977" s="2">
        <f t="shared" si="46"/>
        <v>0</v>
      </c>
      <c r="H2977" s="2">
        <v>0</v>
      </c>
    </row>
    <row r="2978" spans="2:8">
      <c r="B2978" t="s">
        <v>1210</v>
      </c>
      <c r="C2978" t="s">
        <v>1224</v>
      </c>
      <c r="D2978" s="11" t="s">
        <v>480</v>
      </c>
      <c r="E2978" s="1">
        <v>0</v>
      </c>
      <c r="G2978" s="2">
        <f t="shared" si="46"/>
        <v>0</v>
      </c>
      <c r="H2978" s="2">
        <v>0</v>
      </c>
    </row>
    <row r="2979" spans="2:8">
      <c r="B2979" t="s">
        <v>1210</v>
      </c>
      <c r="C2979" t="s">
        <v>1224</v>
      </c>
      <c r="D2979" s="13" t="s">
        <v>481</v>
      </c>
      <c r="E2979" s="1">
        <v>0</v>
      </c>
      <c r="G2979" s="2">
        <f t="shared" si="46"/>
        <v>0</v>
      </c>
      <c r="H2979" s="2">
        <v>0</v>
      </c>
    </row>
    <row r="2980" spans="2:8">
      <c r="B2980" t="s">
        <v>1210</v>
      </c>
      <c r="C2980" t="s">
        <v>1224</v>
      </c>
      <c r="D2980" s="12" t="s">
        <v>1033</v>
      </c>
      <c r="E2980" s="1">
        <v>0</v>
      </c>
      <c r="G2980" s="2">
        <f t="shared" si="46"/>
        <v>0</v>
      </c>
      <c r="H2980" s="2">
        <v>0</v>
      </c>
    </row>
    <row r="2981" spans="2:8">
      <c r="B2981" t="s">
        <v>1211</v>
      </c>
      <c r="C2981" t="s">
        <v>1225</v>
      </c>
      <c r="D2981" s="5" t="s">
        <v>474</v>
      </c>
      <c r="E2981" s="1">
        <v>0</v>
      </c>
      <c r="G2981" s="2">
        <f t="shared" si="46"/>
        <v>0</v>
      </c>
      <c r="H2981" s="2">
        <v>0</v>
      </c>
    </row>
    <row r="2982" spans="2:8">
      <c r="B2982" t="s">
        <v>1211</v>
      </c>
      <c r="C2982" t="s">
        <v>1225</v>
      </c>
      <c r="D2982" s="6" t="s">
        <v>475</v>
      </c>
      <c r="E2982" s="1">
        <v>0</v>
      </c>
      <c r="G2982" s="2">
        <f t="shared" si="46"/>
        <v>0</v>
      </c>
      <c r="H2982" s="2">
        <v>0</v>
      </c>
    </row>
    <row r="2983" spans="2:8">
      <c r="B2983" t="s">
        <v>1211</v>
      </c>
      <c r="C2983" t="s">
        <v>1225</v>
      </c>
      <c r="D2983" s="7" t="s">
        <v>476</v>
      </c>
      <c r="E2983" s="1">
        <v>0</v>
      </c>
      <c r="G2983" s="2">
        <f t="shared" si="46"/>
        <v>0</v>
      </c>
      <c r="H2983" s="2">
        <v>0</v>
      </c>
    </row>
    <row r="2984" spans="2:8">
      <c r="B2984" t="s">
        <v>1211</v>
      </c>
      <c r="C2984" t="s">
        <v>1225</v>
      </c>
      <c r="D2984" s="8" t="s">
        <v>477</v>
      </c>
      <c r="E2984" s="1">
        <v>0</v>
      </c>
      <c r="G2984" s="2">
        <f t="shared" si="46"/>
        <v>0</v>
      </c>
      <c r="H2984" s="2">
        <v>0</v>
      </c>
    </row>
    <row r="2985" spans="2:8">
      <c r="B2985" t="s">
        <v>1211</v>
      </c>
      <c r="C2985" t="s">
        <v>1225</v>
      </c>
      <c r="D2985" s="9" t="s">
        <v>478</v>
      </c>
      <c r="E2985" s="1">
        <v>0</v>
      </c>
      <c r="G2985" s="2">
        <f t="shared" si="46"/>
        <v>0</v>
      </c>
      <c r="H2985" s="2">
        <v>0</v>
      </c>
    </row>
    <row r="2986" spans="2:8">
      <c r="B2986" t="s">
        <v>1211</v>
      </c>
      <c r="C2986" t="s">
        <v>1225</v>
      </c>
      <c r="D2986" s="10" t="s">
        <v>479</v>
      </c>
      <c r="E2986" s="1">
        <v>0</v>
      </c>
      <c r="G2986" s="2">
        <f t="shared" si="46"/>
        <v>0</v>
      </c>
      <c r="H2986" s="2">
        <v>0</v>
      </c>
    </row>
    <row r="2987" spans="2:8">
      <c r="B2987" t="s">
        <v>1211</v>
      </c>
      <c r="C2987" t="s">
        <v>1225</v>
      </c>
      <c r="D2987" s="11" t="s">
        <v>480</v>
      </c>
      <c r="E2987" s="1">
        <v>0</v>
      </c>
      <c r="G2987" s="2">
        <f t="shared" si="46"/>
        <v>0</v>
      </c>
      <c r="H2987" s="2">
        <v>0</v>
      </c>
    </row>
    <row r="2988" spans="2:8">
      <c r="B2988" t="s">
        <v>1211</v>
      </c>
      <c r="C2988" t="s">
        <v>1225</v>
      </c>
      <c r="D2988" s="13" t="s">
        <v>481</v>
      </c>
      <c r="E2988" s="1">
        <v>0</v>
      </c>
      <c r="G2988" s="2">
        <f t="shared" si="46"/>
        <v>0</v>
      </c>
      <c r="H2988" s="2">
        <v>0</v>
      </c>
    </row>
    <row r="2989" spans="2:8">
      <c r="B2989" t="s">
        <v>1211</v>
      </c>
      <c r="C2989" t="s">
        <v>1225</v>
      </c>
      <c r="D2989" s="12" t="s">
        <v>1033</v>
      </c>
      <c r="E2989" s="1">
        <v>0</v>
      </c>
      <c r="G2989" s="2">
        <f t="shared" si="46"/>
        <v>0</v>
      </c>
      <c r="H2989" s="2">
        <v>0</v>
      </c>
    </row>
    <row r="2990" spans="2:8">
      <c r="B2990" t="s">
        <v>1212</v>
      </c>
      <c r="C2990" t="s">
        <v>1226</v>
      </c>
      <c r="D2990" s="5" t="s">
        <v>474</v>
      </c>
      <c r="E2990" s="1">
        <v>0</v>
      </c>
      <c r="G2990" s="2">
        <f t="shared" si="46"/>
        <v>0</v>
      </c>
      <c r="H2990" s="2">
        <v>0</v>
      </c>
    </row>
    <row r="2991" spans="2:8">
      <c r="B2991" t="s">
        <v>1212</v>
      </c>
      <c r="C2991" t="s">
        <v>1226</v>
      </c>
      <c r="D2991" s="6" t="s">
        <v>475</v>
      </c>
      <c r="E2991" s="1">
        <v>0</v>
      </c>
      <c r="G2991" s="2">
        <f t="shared" si="46"/>
        <v>0</v>
      </c>
      <c r="H2991" s="2">
        <v>0</v>
      </c>
    </row>
    <row r="2992" spans="2:8">
      <c r="B2992" t="s">
        <v>1212</v>
      </c>
      <c r="C2992" t="s">
        <v>1226</v>
      </c>
      <c r="D2992" s="7" t="s">
        <v>476</v>
      </c>
      <c r="E2992" s="1">
        <v>0</v>
      </c>
      <c r="G2992" s="2">
        <f t="shared" si="46"/>
        <v>0</v>
      </c>
      <c r="H2992" s="2">
        <v>0</v>
      </c>
    </row>
    <row r="2993" spans="2:8">
      <c r="B2993" t="s">
        <v>1212</v>
      </c>
      <c r="C2993" t="s">
        <v>1226</v>
      </c>
      <c r="D2993" s="8" t="s">
        <v>477</v>
      </c>
      <c r="E2993" s="1">
        <v>0</v>
      </c>
      <c r="G2993" s="2">
        <f t="shared" si="46"/>
        <v>0</v>
      </c>
      <c r="H2993" s="2">
        <v>0</v>
      </c>
    </row>
    <row r="2994" spans="2:8">
      <c r="B2994" t="s">
        <v>1212</v>
      </c>
      <c r="C2994" t="s">
        <v>1226</v>
      </c>
      <c r="D2994" s="9" t="s">
        <v>478</v>
      </c>
      <c r="E2994" s="1">
        <v>0</v>
      </c>
      <c r="G2994" s="2">
        <f t="shared" si="46"/>
        <v>0</v>
      </c>
      <c r="H2994" s="2">
        <v>0</v>
      </c>
    </row>
    <row r="2995" spans="2:8">
      <c r="B2995" t="s">
        <v>1212</v>
      </c>
      <c r="C2995" t="s">
        <v>1226</v>
      </c>
      <c r="D2995" s="10" t="s">
        <v>479</v>
      </c>
      <c r="E2995" s="1">
        <v>0</v>
      </c>
      <c r="G2995" s="2">
        <f t="shared" si="46"/>
        <v>0</v>
      </c>
      <c r="H2995" s="2">
        <v>0</v>
      </c>
    </row>
    <row r="2996" spans="2:8">
      <c r="B2996" t="s">
        <v>1212</v>
      </c>
      <c r="C2996" t="s">
        <v>1226</v>
      </c>
      <c r="D2996" s="11" t="s">
        <v>480</v>
      </c>
      <c r="E2996" s="1">
        <v>0</v>
      </c>
      <c r="G2996" s="2">
        <f t="shared" si="46"/>
        <v>0</v>
      </c>
      <c r="H2996" s="2">
        <v>0</v>
      </c>
    </row>
    <row r="2997" spans="2:8">
      <c r="B2997" t="s">
        <v>1212</v>
      </c>
      <c r="C2997" t="s">
        <v>1226</v>
      </c>
      <c r="D2997" s="13" t="s">
        <v>481</v>
      </c>
      <c r="E2997" s="1">
        <v>0</v>
      </c>
      <c r="G2997" s="2">
        <f t="shared" si="46"/>
        <v>0</v>
      </c>
      <c r="H2997" s="2">
        <v>0</v>
      </c>
    </row>
    <row r="2998" spans="2:8">
      <c r="B2998" t="s">
        <v>1212</v>
      </c>
      <c r="C2998" t="s">
        <v>1226</v>
      </c>
      <c r="D2998" s="12" t="s">
        <v>1033</v>
      </c>
      <c r="E2998" s="1">
        <v>0</v>
      </c>
      <c r="G2998" s="2">
        <f t="shared" si="46"/>
        <v>0</v>
      </c>
      <c r="H2998" s="2">
        <v>0</v>
      </c>
    </row>
    <row r="2999" spans="2:8">
      <c r="B2999" t="s">
        <v>1213</v>
      </c>
      <c r="C2999" t="s">
        <v>1227</v>
      </c>
      <c r="D2999" s="5" t="s">
        <v>474</v>
      </c>
      <c r="E2999" s="1">
        <v>0</v>
      </c>
      <c r="G2999" s="2">
        <f t="shared" si="46"/>
        <v>0</v>
      </c>
      <c r="H2999" s="2">
        <v>0</v>
      </c>
    </row>
    <row r="3000" spans="2:8">
      <c r="B3000" t="s">
        <v>1213</v>
      </c>
      <c r="C3000" t="s">
        <v>1227</v>
      </c>
      <c r="D3000" s="6" t="s">
        <v>475</v>
      </c>
      <c r="E3000" s="1">
        <v>0</v>
      </c>
      <c r="G3000" s="2">
        <f t="shared" si="46"/>
        <v>0</v>
      </c>
      <c r="H3000" s="2">
        <v>0</v>
      </c>
    </row>
    <row r="3001" spans="2:8">
      <c r="B3001" t="s">
        <v>1213</v>
      </c>
      <c r="C3001" t="s">
        <v>1227</v>
      </c>
      <c r="D3001" s="7" t="s">
        <v>476</v>
      </c>
      <c r="E3001" s="1">
        <v>0</v>
      </c>
      <c r="G3001" s="2">
        <f t="shared" si="46"/>
        <v>0</v>
      </c>
      <c r="H3001" s="2">
        <v>0</v>
      </c>
    </row>
    <row r="3002" spans="2:8">
      <c r="B3002" t="s">
        <v>1213</v>
      </c>
      <c r="C3002" t="s">
        <v>1227</v>
      </c>
      <c r="D3002" s="8" t="s">
        <v>477</v>
      </c>
      <c r="E3002" s="1">
        <v>0</v>
      </c>
      <c r="G3002" s="2">
        <f t="shared" si="46"/>
        <v>0</v>
      </c>
      <c r="H3002" s="2">
        <v>0</v>
      </c>
    </row>
    <row r="3003" spans="2:8">
      <c r="B3003" t="s">
        <v>1213</v>
      </c>
      <c r="C3003" t="s">
        <v>1227</v>
      </c>
      <c r="D3003" s="9" t="s">
        <v>478</v>
      </c>
      <c r="E3003" s="1">
        <v>0</v>
      </c>
      <c r="G3003" s="2">
        <f t="shared" si="46"/>
        <v>0</v>
      </c>
      <c r="H3003" s="2">
        <v>0</v>
      </c>
    </row>
    <row r="3004" spans="2:8">
      <c r="B3004" t="s">
        <v>1213</v>
      </c>
      <c r="C3004" t="s">
        <v>1227</v>
      </c>
      <c r="D3004" s="10" t="s">
        <v>479</v>
      </c>
      <c r="E3004" s="1">
        <v>0</v>
      </c>
      <c r="G3004" s="2">
        <f t="shared" si="46"/>
        <v>0</v>
      </c>
      <c r="H3004" s="2">
        <v>0</v>
      </c>
    </row>
    <row r="3005" spans="2:8">
      <c r="B3005" t="s">
        <v>1213</v>
      </c>
      <c r="C3005" t="s">
        <v>1227</v>
      </c>
      <c r="D3005" s="11" t="s">
        <v>480</v>
      </c>
      <c r="E3005" s="1">
        <v>0</v>
      </c>
      <c r="G3005" s="2">
        <f t="shared" si="46"/>
        <v>0</v>
      </c>
      <c r="H3005" s="2">
        <v>0</v>
      </c>
    </row>
    <row r="3006" spans="2:8">
      <c r="B3006" t="s">
        <v>1213</v>
      </c>
      <c r="C3006" t="s">
        <v>1227</v>
      </c>
      <c r="D3006" s="13" t="s">
        <v>481</v>
      </c>
      <c r="E3006" s="1">
        <v>0</v>
      </c>
      <c r="G3006" s="2">
        <f t="shared" si="46"/>
        <v>0</v>
      </c>
      <c r="H3006" s="2">
        <v>0</v>
      </c>
    </row>
    <row r="3007" spans="2:8">
      <c r="B3007" t="s">
        <v>1213</v>
      </c>
      <c r="C3007" t="s">
        <v>1227</v>
      </c>
      <c r="D3007" s="12" t="s">
        <v>1033</v>
      </c>
      <c r="E3007" s="1">
        <v>0</v>
      </c>
      <c r="G3007" s="2">
        <f t="shared" si="46"/>
        <v>0</v>
      </c>
      <c r="H3007" s="2">
        <v>0</v>
      </c>
    </row>
    <row r="3008" spans="2:8">
      <c r="B3008" t="s">
        <v>1072</v>
      </c>
      <c r="C3008" t="s">
        <v>1075</v>
      </c>
      <c r="D3008" s="5" t="s">
        <v>474</v>
      </c>
      <c r="E3008" s="1">
        <v>0</v>
      </c>
      <c r="G3008" s="2">
        <f t="shared" si="46"/>
        <v>0</v>
      </c>
      <c r="H3008" s="2">
        <v>0</v>
      </c>
    </row>
    <row r="3009" spans="2:8">
      <c r="B3009" t="s">
        <v>1072</v>
      </c>
      <c r="C3009" t="s">
        <v>1075</v>
      </c>
      <c r="D3009" s="6" t="s">
        <v>475</v>
      </c>
      <c r="E3009" s="1">
        <v>0</v>
      </c>
      <c r="G3009" s="2">
        <f t="shared" si="46"/>
        <v>0</v>
      </c>
      <c r="H3009" s="2">
        <v>0</v>
      </c>
    </row>
    <row r="3010" spans="2:8">
      <c r="B3010" t="s">
        <v>1072</v>
      </c>
      <c r="C3010" t="s">
        <v>1075</v>
      </c>
      <c r="D3010" s="7" t="s">
        <v>476</v>
      </c>
      <c r="E3010" s="1">
        <v>0</v>
      </c>
      <c r="G3010" s="2">
        <f t="shared" ref="G3010:G3073" si="47">E3010*F3010</f>
        <v>0</v>
      </c>
      <c r="H3010" s="2">
        <v>0</v>
      </c>
    </row>
    <row r="3011" spans="2:8">
      <c r="B3011" t="s">
        <v>1072</v>
      </c>
      <c r="C3011" t="s">
        <v>1075</v>
      </c>
      <c r="D3011" s="8" t="s">
        <v>477</v>
      </c>
      <c r="E3011" s="1">
        <v>0</v>
      </c>
      <c r="G3011" s="2">
        <f t="shared" si="47"/>
        <v>0</v>
      </c>
      <c r="H3011" s="2">
        <v>0</v>
      </c>
    </row>
    <row r="3012" spans="2:8">
      <c r="B3012" t="s">
        <v>1072</v>
      </c>
      <c r="C3012" t="s">
        <v>1075</v>
      </c>
      <c r="D3012" s="9" t="s">
        <v>478</v>
      </c>
      <c r="E3012" s="1">
        <v>0</v>
      </c>
      <c r="G3012" s="2">
        <f t="shared" si="47"/>
        <v>0</v>
      </c>
      <c r="H3012" s="2">
        <v>0</v>
      </c>
    </row>
    <row r="3013" spans="2:8">
      <c r="B3013" t="s">
        <v>1072</v>
      </c>
      <c r="C3013" t="s">
        <v>1075</v>
      </c>
      <c r="D3013" s="10" t="s">
        <v>479</v>
      </c>
      <c r="E3013" s="1">
        <v>0</v>
      </c>
      <c r="G3013" s="2">
        <f t="shared" si="47"/>
        <v>0</v>
      </c>
      <c r="H3013" s="2">
        <v>0</v>
      </c>
    </row>
    <row r="3014" spans="2:8">
      <c r="B3014" t="s">
        <v>1072</v>
      </c>
      <c r="C3014" t="s">
        <v>1075</v>
      </c>
      <c r="D3014" s="11" t="s">
        <v>480</v>
      </c>
      <c r="E3014" s="1">
        <v>0</v>
      </c>
      <c r="G3014" s="2">
        <f t="shared" si="47"/>
        <v>0</v>
      </c>
      <c r="H3014" s="2">
        <v>0</v>
      </c>
    </row>
    <row r="3015" spans="2:8">
      <c r="B3015" t="s">
        <v>1072</v>
      </c>
      <c r="C3015" t="s">
        <v>1075</v>
      </c>
      <c r="D3015" s="13" t="s">
        <v>481</v>
      </c>
      <c r="E3015" s="1">
        <v>0</v>
      </c>
      <c r="G3015" s="2">
        <f t="shared" si="47"/>
        <v>0</v>
      </c>
      <c r="H3015" s="2">
        <v>0</v>
      </c>
    </row>
    <row r="3016" spans="2:8">
      <c r="B3016" t="s">
        <v>1072</v>
      </c>
      <c r="C3016" t="s">
        <v>1075</v>
      </c>
      <c r="D3016" s="12" t="s">
        <v>1033</v>
      </c>
      <c r="E3016" s="1">
        <v>0</v>
      </c>
      <c r="G3016" s="2">
        <f t="shared" si="47"/>
        <v>0</v>
      </c>
      <c r="H3016" s="2">
        <v>0</v>
      </c>
    </row>
    <row r="3017" spans="2:8">
      <c r="B3017" t="s">
        <v>1214</v>
      </c>
      <c r="C3017" t="s">
        <v>1228</v>
      </c>
      <c r="D3017" s="5" t="s">
        <v>474</v>
      </c>
      <c r="E3017" s="1">
        <v>0</v>
      </c>
      <c r="G3017" s="2">
        <f t="shared" si="47"/>
        <v>0</v>
      </c>
      <c r="H3017" s="2">
        <v>0</v>
      </c>
    </row>
    <row r="3018" spans="2:8">
      <c r="B3018" t="s">
        <v>1214</v>
      </c>
      <c r="C3018" t="s">
        <v>1228</v>
      </c>
      <c r="D3018" s="6" t="s">
        <v>475</v>
      </c>
      <c r="E3018" s="1">
        <v>0</v>
      </c>
      <c r="G3018" s="2">
        <f t="shared" si="47"/>
        <v>0</v>
      </c>
      <c r="H3018" s="2">
        <v>0</v>
      </c>
    </row>
    <row r="3019" spans="2:8">
      <c r="B3019" t="s">
        <v>1214</v>
      </c>
      <c r="C3019" t="s">
        <v>1228</v>
      </c>
      <c r="D3019" s="7" t="s">
        <v>476</v>
      </c>
      <c r="E3019" s="1">
        <v>0</v>
      </c>
      <c r="G3019" s="2">
        <f t="shared" si="47"/>
        <v>0</v>
      </c>
      <c r="H3019" s="2">
        <v>0</v>
      </c>
    </row>
    <row r="3020" spans="2:8">
      <c r="B3020" t="s">
        <v>1214</v>
      </c>
      <c r="C3020" t="s">
        <v>1228</v>
      </c>
      <c r="D3020" s="8" t="s">
        <v>477</v>
      </c>
      <c r="E3020" s="1">
        <v>0</v>
      </c>
      <c r="G3020" s="2">
        <f t="shared" si="47"/>
        <v>0</v>
      </c>
      <c r="H3020" s="2">
        <v>0</v>
      </c>
    </row>
    <row r="3021" spans="2:8">
      <c r="B3021" t="s">
        <v>1214</v>
      </c>
      <c r="C3021" t="s">
        <v>1228</v>
      </c>
      <c r="D3021" s="9" t="s">
        <v>478</v>
      </c>
      <c r="E3021" s="1">
        <v>0</v>
      </c>
      <c r="G3021" s="2">
        <f t="shared" si="47"/>
        <v>0</v>
      </c>
      <c r="H3021" s="2">
        <v>0</v>
      </c>
    </row>
    <row r="3022" spans="2:8">
      <c r="B3022" t="s">
        <v>1214</v>
      </c>
      <c r="C3022" t="s">
        <v>1228</v>
      </c>
      <c r="D3022" s="10" t="s">
        <v>479</v>
      </c>
      <c r="E3022" s="1">
        <v>0</v>
      </c>
      <c r="G3022" s="2">
        <f t="shared" si="47"/>
        <v>0</v>
      </c>
      <c r="H3022" s="2">
        <v>0</v>
      </c>
    </row>
    <row r="3023" spans="2:8">
      <c r="B3023" t="s">
        <v>1214</v>
      </c>
      <c r="C3023" t="s">
        <v>1228</v>
      </c>
      <c r="D3023" s="11" t="s">
        <v>480</v>
      </c>
      <c r="E3023" s="1">
        <v>0</v>
      </c>
      <c r="G3023" s="2">
        <f t="shared" si="47"/>
        <v>0</v>
      </c>
      <c r="H3023" s="2">
        <v>0</v>
      </c>
    </row>
    <row r="3024" spans="2:8">
      <c r="B3024" t="s">
        <v>1214</v>
      </c>
      <c r="C3024" t="s">
        <v>1228</v>
      </c>
      <c r="D3024" s="13" t="s">
        <v>481</v>
      </c>
      <c r="E3024" s="1">
        <v>0</v>
      </c>
      <c r="G3024" s="2">
        <f t="shared" si="47"/>
        <v>0</v>
      </c>
      <c r="H3024" s="2">
        <v>0</v>
      </c>
    </row>
    <row r="3025" spans="2:8">
      <c r="B3025" t="s">
        <v>1214</v>
      </c>
      <c r="C3025" t="s">
        <v>1228</v>
      </c>
      <c r="D3025" s="12" t="s">
        <v>1033</v>
      </c>
      <c r="E3025" s="1">
        <v>0</v>
      </c>
      <c r="G3025" s="2">
        <f t="shared" si="47"/>
        <v>0</v>
      </c>
      <c r="H3025" s="2">
        <v>0</v>
      </c>
    </row>
    <row r="3026" spans="2:8">
      <c r="B3026" t="s">
        <v>1215</v>
      </c>
      <c r="C3026" t="s">
        <v>1229</v>
      </c>
      <c r="D3026" s="5" t="s">
        <v>474</v>
      </c>
      <c r="E3026" s="1">
        <v>0</v>
      </c>
      <c r="G3026" s="2">
        <f t="shared" si="47"/>
        <v>0</v>
      </c>
      <c r="H3026" s="2">
        <v>0</v>
      </c>
    </row>
    <row r="3027" spans="2:8">
      <c r="B3027" t="s">
        <v>1215</v>
      </c>
      <c r="C3027" t="s">
        <v>1229</v>
      </c>
      <c r="D3027" s="6" t="s">
        <v>475</v>
      </c>
      <c r="E3027" s="1">
        <v>0</v>
      </c>
      <c r="G3027" s="2">
        <f t="shared" si="47"/>
        <v>0</v>
      </c>
      <c r="H3027" s="2">
        <v>0</v>
      </c>
    </row>
    <row r="3028" spans="2:8">
      <c r="B3028" t="s">
        <v>1215</v>
      </c>
      <c r="C3028" t="s">
        <v>1229</v>
      </c>
      <c r="D3028" s="7" t="s">
        <v>476</v>
      </c>
      <c r="E3028" s="1">
        <v>0</v>
      </c>
      <c r="G3028" s="2">
        <f t="shared" si="47"/>
        <v>0</v>
      </c>
      <c r="H3028" s="2">
        <v>0</v>
      </c>
    </row>
    <row r="3029" spans="2:8">
      <c r="B3029" t="s">
        <v>1215</v>
      </c>
      <c r="C3029" t="s">
        <v>1229</v>
      </c>
      <c r="D3029" s="8" t="s">
        <v>477</v>
      </c>
      <c r="E3029" s="1">
        <v>0</v>
      </c>
      <c r="G3029" s="2">
        <f t="shared" si="47"/>
        <v>0</v>
      </c>
      <c r="H3029" s="2">
        <v>0</v>
      </c>
    </row>
    <row r="3030" spans="2:8">
      <c r="B3030" t="s">
        <v>1215</v>
      </c>
      <c r="C3030" t="s">
        <v>1229</v>
      </c>
      <c r="D3030" s="9" t="s">
        <v>478</v>
      </c>
      <c r="E3030" s="1">
        <v>0</v>
      </c>
      <c r="G3030" s="2">
        <f t="shared" si="47"/>
        <v>0</v>
      </c>
      <c r="H3030" s="2">
        <v>0</v>
      </c>
    </row>
    <row r="3031" spans="2:8">
      <c r="B3031" t="s">
        <v>1215</v>
      </c>
      <c r="C3031" t="s">
        <v>1229</v>
      </c>
      <c r="D3031" s="10" t="s">
        <v>479</v>
      </c>
      <c r="E3031" s="1">
        <v>0</v>
      </c>
      <c r="G3031" s="2">
        <f t="shared" si="47"/>
        <v>0</v>
      </c>
      <c r="H3031" s="2">
        <v>0</v>
      </c>
    </row>
    <row r="3032" spans="2:8">
      <c r="B3032" t="s">
        <v>1215</v>
      </c>
      <c r="C3032" t="s">
        <v>1229</v>
      </c>
      <c r="D3032" s="11" t="s">
        <v>480</v>
      </c>
      <c r="E3032" s="1">
        <v>0</v>
      </c>
      <c r="G3032" s="2">
        <f t="shared" si="47"/>
        <v>0</v>
      </c>
      <c r="H3032" s="2">
        <v>0</v>
      </c>
    </row>
    <row r="3033" spans="2:8">
      <c r="B3033" t="s">
        <v>1215</v>
      </c>
      <c r="C3033" t="s">
        <v>1229</v>
      </c>
      <c r="D3033" s="13" t="s">
        <v>481</v>
      </c>
      <c r="E3033" s="1">
        <v>0</v>
      </c>
      <c r="G3033" s="2">
        <f t="shared" si="47"/>
        <v>0</v>
      </c>
      <c r="H3033" s="2">
        <v>0</v>
      </c>
    </row>
    <row r="3034" spans="2:8">
      <c r="B3034" t="s">
        <v>1215</v>
      </c>
      <c r="C3034" t="s">
        <v>1229</v>
      </c>
      <c r="D3034" s="12" t="s">
        <v>1033</v>
      </c>
      <c r="E3034" s="1">
        <v>0</v>
      </c>
      <c r="G3034" s="2">
        <f t="shared" si="47"/>
        <v>0</v>
      </c>
      <c r="H3034" s="2">
        <v>0</v>
      </c>
    </row>
    <row r="3035" spans="2:8">
      <c r="B3035" t="s">
        <v>1599</v>
      </c>
      <c r="C3035" t="s">
        <v>1600</v>
      </c>
      <c r="D3035" s="5" t="s">
        <v>474</v>
      </c>
      <c r="E3035" s="1">
        <v>0</v>
      </c>
      <c r="G3035" s="2">
        <f t="shared" si="47"/>
        <v>0</v>
      </c>
      <c r="H3035" s="2">
        <v>0</v>
      </c>
    </row>
    <row r="3036" spans="2:8">
      <c r="B3036" t="s">
        <v>1599</v>
      </c>
      <c r="C3036" t="s">
        <v>1600</v>
      </c>
      <c r="D3036" s="6" t="s">
        <v>475</v>
      </c>
      <c r="E3036" s="1">
        <v>0</v>
      </c>
      <c r="G3036" s="2">
        <f t="shared" si="47"/>
        <v>0</v>
      </c>
      <c r="H3036" s="2">
        <v>0</v>
      </c>
    </row>
    <row r="3037" spans="2:8">
      <c r="B3037" t="s">
        <v>1599</v>
      </c>
      <c r="C3037" t="s">
        <v>1600</v>
      </c>
      <c r="D3037" s="7" t="s">
        <v>476</v>
      </c>
      <c r="E3037" s="1">
        <v>0</v>
      </c>
      <c r="G3037" s="2">
        <f t="shared" si="47"/>
        <v>0</v>
      </c>
      <c r="H3037" s="2">
        <v>0</v>
      </c>
    </row>
    <row r="3038" spans="2:8">
      <c r="B3038" t="s">
        <v>1599</v>
      </c>
      <c r="C3038" t="s">
        <v>1600</v>
      </c>
      <c r="D3038" s="8" t="s">
        <v>477</v>
      </c>
      <c r="E3038" s="1">
        <v>0</v>
      </c>
      <c r="G3038" s="2">
        <f t="shared" si="47"/>
        <v>0</v>
      </c>
      <c r="H3038" s="2">
        <v>0</v>
      </c>
    </row>
    <row r="3039" spans="2:8">
      <c r="B3039" t="s">
        <v>1599</v>
      </c>
      <c r="C3039" t="s">
        <v>1600</v>
      </c>
      <c r="D3039" s="9" t="s">
        <v>478</v>
      </c>
      <c r="E3039" s="1">
        <v>0</v>
      </c>
      <c r="G3039" s="2">
        <f t="shared" si="47"/>
        <v>0</v>
      </c>
      <c r="H3039" s="2">
        <v>0</v>
      </c>
    </row>
    <row r="3040" spans="2:8">
      <c r="B3040" t="s">
        <v>1599</v>
      </c>
      <c r="C3040" t="s">
        <v>1600</v>
      </c>
      <c r="D3040" s="10" t="s">
        <v>479</v>
      </c>
      <c r="E3040" s="1">
        <v>0</v>
      </c>
      <c r="G3040" s="2">
        <f t="shared" si="47"/>
        <v>0</v>
      </c>
      <c r="H3040" s="2">
        <v>0</v>
      </c>
    </row>
    <row r="3041" spans="2:8">
      <c r="B3041" t="s">
        <v>1599</v>
      </c>
      <c r="C3041" t="s">
        <v>1600</v>
      </c>
      <c r="D3041" s="11" t="s">
        <v>480</v>
      </c>
      <c r="E3041" s="1">
        <v>0</v>
      </c>
      <c r="G3041" s="2">
        <f t="shared" si="47"/>
        <v>0</v>
      </c>
      <c r="H3041" s="2">
        <v>0</v>
      </c>
    </row>
    <row r="3042" spans="2:8">
      <c r="B3042" t="s">
        <v>1599</v>
      </c>
      <c r="C3042" t="s">
        <v>1600</v>
      </c>
      <c r="D3042" s="13" t="s">
        <v>481</v>
      </c>
      <c r="E3042" s="1">
        <v>0</v>
      </c>
      <c r="G3042" s="2">
        <f t="shared" si="47"/>
        <v>0</v>
      </c>
      <c r="H3042" s="2">
        <v>0</v>
      </c>
    </row>
    <row r="3043" spans="2:8">
      <c r="B3043" t="s">
        <v>1599</v>
      </c>
      <c r="C3043" t="s">
        <v>1600</v>
      </c>
      <c r="D3043" s="12" t="s">
        <v>1033</v>
      </c>
      <c r="E3043" s="1">
        <v>0</v>
      </c>
      <c r="G3043" s="2">
        <f t="shared" si="47"/>
        <v>0</v>
      </c>
      <c r="H3043" s="2">
        <v>0</v>
      </c>
    </row>
    <row r="3044" spans="2:8">
      <c r="B3044" t="s">
        <v>100</v>
      </c>
      <c r="C3044" t="s">
        <v>831</v>
      </c>
      <c r="D3044" s="5" t="s">
        <v>474</v>
      </c>
      <c r="E3044" s="1">
        <v>0</v>
      </c>
      <c r="G3044" s="2">
        <f t="shared" si="47"/>
        <v>0</v>
      </c>
      <c r="H3044" s="2">
        <v>0</v>
      </c>
    </row>
    <row r="3045" spans="2:8">
      <c r="B3045" t="s">
        <v>100</v>
      </c>
      <c r="C3045" t="s">
        <v>831</v>
      </c>
      <c r="D3045" s="6" t="s">
        <v>475</v>
      </c>
      <c r="E3045" s="1">
        <v>0</v>
      </c>
      <c r="G3045" s="2">
        <f t="shared" si="47"/>
        <v>0</v>
      </c>
      <c r="H3045" s="2">
        <v>0</v>
      </c>
    </row>
    <row r="3046" spans="2:8">
      <c r="B3046" t="s">
        <v>100</v>
      </c>
      <c r="C3046" t="s">
        <v>831</v>
      </c>
      <c r="D3046" s="7" t="s">
        <v>476</v>
      </c>
      <c r="E3046" s="1">
        <v>0</v>
      </c>
      <c r="G3046" s="2">
        <f t="shared" si="47"/>
        <v>0</v>
      </c>
      <c r="H3046" s="2">
        <v>0</v>
      </c>
    </row>
    <row r="3047" spans="2:8">
      <c r="B3047" t="s">
        <v>100</v>
      </c>
      <c r="C3047" t="s">
        <v>831</v>
      </c>
      <c r="D3047" s="8" t="s">
        <v>477</v>
      </c>
      <c r="E3047" s="1">
        <v>0</v>
      </c>
      <c r="G3047" s="2">
        <f t="shared" si="47"/>
        <v>0</v>
      </c>
      <c r="H3047" s="2">
        <v>0</v>
      </c>
    </row>
    <row r="3048" spans="2:8">
      <c r="B3048" t="s">
        <v>100</v>
      </c>
      <c r="C3048" t="s">
        <v>831</v>
      </c>
      <c r="D3048" s="9" t="s">
        <v>478</v>
      </c>
      <c r="E3048" s="1">
        <v>0</v>
      </c>
      <c r="G3048" s="2">
        <f t="shared" si="47"/>
        <v>0</v>
      </c>
      <c r="H3048" s="2">
        <v>0</v>
      </c>
    </row>
    <row r="3049" spans="2:8">
      <c r="B3049" t="s">
        <v>100</v>
      </c>
      <c r="C3049" t="s">
        <v>831</v>
      </c>
      <c r="D3049" s="10" t="s">
        <v>479</v>
      </c>
      <c r="E3049" s="1">
        <v>0</v>
      </c>
      <c r="G3049" s="2">
        <f t="shared" si="47"/>
        <v>0</v>
      </c>
      <c r="H3049" s="2">
        <v>0</v>
      </c>
    </row>
    <row r="3050" spans="2:8">
      <c r="B3050" t="s">
        <v>100</v>
      </c>
      <c r="C3050" t="s">
        <v>831</v>
      </c>
      <c r="D3050" s="11" t="s">
        <v>480</v>
      </c>
      <c r="E3050" s="1">
        <v>0</v>
      </c>
      <c r="G3050" s="2">
        <f t="shared" si="47"/>
        <v>0</v>
      </c>
      <c r="H3050" s="2">
        <v>0</v>
      </c>
    </row>
    <row r="3051" spans="2:8">
      <c r="B3051" t="s">
        <v>100</v>
      </c>
      <c r="C3051" t="s">
        <v>831</v>
      </c>
      <c r="D3051" s="13" t="s">
        <v>481</v>
      </c>
      <c r="E3051" s="1">
        <v>0</v>
      </c>
      <c r="G3051" s="2">
        <f t="shared" si="47"/>
        <v>0</v>
      </c>
      <c r="H3051" s="2">
        <v>0</v>
      </c>
    </row>
    <row r="3052" spans="2:8">
      <c r="B3052" t="s">
        <v>100</v>
      </c>
      <c r="C3052" t="s">
        <v>831</v>
      </c>
      <c r="D3052" s="12" t="s">
        <v>1033</v>
      </c>
      <c r="E3052" s="1">
        <v>0</v>
      </c>
      <c r="G3052" s="2">
        <f t="shared" si="47"/>
        <v>0</v>
      </c>
      <c r="H3052" s="2">
        <v>0</v>
      </c>
    </row>
    <row r="3053" spans="2:8">
      <c r="B3053" t="s">
        <v>112</v>
      </c>
      <c r="C3053" t="s">
        <v>832</v>
      </c>
      <c r="D3053" s="5" t="s">
        <v>474</v>
      </c>
      <c r="E3053" s="1">
        <v>0</v>
      </c>
      <c r="G3053" s="2">
        <f t="shared" si="47"/>
        <v>0</v>
      </c>
      <c r="H3053" s="2">
        <v>0</v>
      </c>
    </row>
    <row r="3054" spans="2:8">
      <c r="B3054" t="s">
        <v>112</v>
      </c>
      <c r="C3054" t="s">
        <v>832</v>
      </c>
      <c r="D3054" s="6" t="s">
        <v>475</v>
      </c>
      <c r="E3054" s="1">
        <v>0</v>
      </c>
      <c r="G3054" s="2">
        <f t="shared" si="47"/>
        <v>0</v>
      </c>
      <c r="H3054" s="2">
        <v>0</v>
      </c>
    </row>
    <row r="3055" spans="2:8">
      <c r="B3055" t="s">
        <v>112</v>
      </c>
      <c r="C3055" t="s">
        <v>832</v>
      </c>
      <c r="D3055" s="7" t="s">
        <v>476</v>
      </c>
      <c r="E3055" s="1">
        <v>0</v>
      </c>
      <c r="G3055" s="2">
        <f t="shared" si="47"/>
        <v>0</v>
      </c>
      <c r="H3055" s="2">
        <v>0</v>
      </c>
    </row>
    <row r="3056" spans="2:8">
      <c r="B3056" t="s">
        <v>112</v>
      </c>
      <c r="C3056" t="s">
        <v>832</v>
      </c>
      <c r="D3056" s="8" t="s">
        <v>477</v>
      </c>
      <c r="E3056" s="1">
        <v>0</v>
      </c>
      <c r="G3056" s="2">
        <f t="shared" si="47"/>
        <v>0</v>
      </c>
      <c r="H3056" s="2">
        <v>0</v>
      </c>
    </row>
    <row r="3057" spans="2:8">
      <c r="B3057" t="s">
        <v>112</v>
      </c>
      <c r="C3057" t="s">
        <v>832</v>
      </c>
      <c r="D3057" s="9" t="s">
        <v>478</v>
      </c>
      <c r="E3057" s="1">
        <v>0</v>
      </c>
      <c r="G3057" s="2">
        <f t="shared" si="47"/>
        <v>0</v>
      </c>
      <c r="H3057" s="2">
        <v>0</v>
      </c>
    </row>
    <row r="3058" spans="2:8">
      <c r="B3058" t="s">
        <v>112</v>
      </c>
      <c r="C3058" t="s">
        <v>832</v>
      </c>
      <c r="D3058" s="10" t="s">
        <v>479</v>
      </c>
      <c r="E3058" s="1">
        <v>0</v>
      </c>
      <c r="G3058" s="2">
        <f t="shared" si="47"/>
        <v>0</v>
      </c>
      <c r="H3058" s="2">
        <v>0</v>
      </c>
    </row>
    <row r="3059" spans="2:8">
      <c r="B3059" t="s">
        <v>112</v>
      </c>
      <c r="C3059" t="s">
        <v>832</v>
      </c>
      <c r="D3059" s="11" t="s">
        <v>480</v>
      </c>
      <c r="E3059" s="1">
        <v>0</v>
      </c>
      <c r="G3059" s="2">
        <f t="shared" si="47"/>
        <v>0</v>
      </c>
      <c r="H3059" s="2">
        <v>0</v>
      </c>
    </row>
    <row r="3060" spans="2:8">
      <c r="B3060" t="s">
        <v>112</v>
      </c>
      <c r="C3060" t="s">
        <v>832</v>
      </c>
      <c r="D3060" s="13" t="s">
        <v>481</v>
      </c>
      <c r="E3060" s="1">
        <v>0</v>
      </c>
      <c r="G3060" s="2">
        <f t="shared" si="47"/>
        <v>0</v>
      </c>
      <c r="H3060" s="2">
        <v>0</v>
      </c>
    </row>
    <row r="3061" spans="2:8">
      <c r="B3061" t="s">
        <v>112</v>
      </c>
      <c r="C3061" t="s">
        <v>832</v>
      </c>
      <c r="D3061" s="12" t="s">
        <v>1033</v>
      </c>
      <c r="E3061" s="1">
        <v>0</v>
      </c>
      <c r="G3061" s="2">
        <f t="shared" si="47"/>
        <v>0</v>
      </c>
      <c r="H3061" s="2">
        <v>0</v>
      </c>
    </row>
    <row r="3062" spans="2:8">
      <c r="B3062" t="s">
        <v>111</v>
      </c>
      <c r="C3062" t="s">
        <v>833</v>
      </c>
      <c r="D3062" s="5" t="s">
        <v>474</v>
      </c>
      <c r="E3062" s="1">
        <v>0</v>
      </c>
      <c r="G3062" s="2">
        <f t="shared" si="47"/>
        <v>0</v>
      </c>
      <c r="H3062" s="2">
        <v>0</v>
      </c>
    </row>
    <row r="3063" spans="2:8">
      <c r="B3063" t="s">
        <v>111</v>
      </c>
      <c r="C3063" t="s">
        <v>833</v>
      </c>
      <c r="D3063" s="6" t="s">
        <v>475</v>
      </c>
      <c r="E3063" s="1">
        <v>0</v>
      </c>
      <c r="G3063" s="2">
        <f t="shared" si="47"/>
        <v>0</v>
      </c>
      <c r="H3063" s="2">
        <v>0</v>
      </c>
    </row>
    <row r="3064" spans="2:8">
      <c r="B3064" t="s">
        <v>111</v>
      </c>
      <c r="C3064" t="s">
        <v>833</v>
      </c>
      <c r="D3064" s="7" t="s">
        <v>476</v>
      </c>
      <c r="E3064" s="1">
        <v>0</v>
      </c>
      <c r="G3064" s="2">
        <f t="shared" si="47"/>
        <v>0</v>
      </c>
      <c r="H3064" s="2">
        <v>0</v>
      </c>
    </row>
    <row r="3065" spans="2:8">
      <c r="B3065" t="s">
        <v>111</v>
      </c>
      <c r="C3065" t="s">
        <v>833</v>
      </c>
      <c r="D3065" s="8" t="s">
        <v>477</v>
      </c>
      <c r="E3065" s="1">
        <v>0</v>
      </c>
      <c r="G3065" s="2">
        <f t="shared" si="47"/>
        <v>0</v>
      </c>
      <c r="H3065" s="2">
        <v>0</v>
      </c>
    </row>
    <row r="3066" spans="2:8">
      <c r="B3066" t="s">
        <v>111</v>
      </c>
      <c r="C3066" t="s">
        <v>833</v>
      </c>
      <c r="D3066" s="9" t="s">
        <v>478</v>
      </c>
      <c r="E3066" s="1">
        <v>0</v>
      </c>
      <c r="G3066" s="2">
        <f t="shared" si="47"/>
        <v>0</v>
      </c>
      <c r="H3066" s="2">
        <v>0</v>
      </c>
    </row>
    <row r="3067" spans="2:8">
      <c r="B3067" t="s">
        <v>111</v>
      </c>
      <c r="C3067" t="s">
        <v>833</v>
      </c>
      <c r="D3067" s="10" t="s">
        <v>479</v>
      </c>
      <c r="E3067" s="1">
        <v>0</v>
      </c>
      <c r="G3067" s="2">
        <f t="shared" si="47"/>
        <v>0</v>
      </c>
      <c r="H3067" s="2">
        <v>0</v>
      </c>
    </row>
    <row r="3068" spans="2:8">
      <c r="B3068" t="s">
        <v>111</v>
      </c>
      <c r="C3068" t="s">
        <v>833</v>
      </c>
      <c r="D3068" s="11" t="s">
        <v>480</v>
      </c>
      <c r="E3068" s="1">
        <v>0</v>
      </c>
      <c r="G3068" s="2">
        <f t="shared" si="47"/>
        <v>0</v>
      </c>
      <c r="H3068" s="2">
        <v>0</v>
      </c>
    </row>
    <row r="3069" spans="2:8">
      <c r="B3069" t="s">
        <v>111</v>
      </c>
      <c r="C3069" t="s">
        <v>833</v>
      </c>
      <c r="D3069" s="13" t="s">
        <v>481</v>
      </c>
      <c r="E3069" s="1">
        <v>0</v>
      </c>
      <c r="G3069" s="2">
        <f t="shared" si="47"/>
        <v>0</v>
      </c>
      <c r="H3069" s="2">
        <v>0</v>
      </c>
    </row>
    <row r="3070" spans="2:8">
      <c r="B3070" t="s">
        <v>111</v>
      </c>
      <c r="C3070" t="s">
        <v>833</v>
      </c>
      <c r="D3070" s="12" t="s">
        <v>1033</v>
      </c>
      <c r="E3070" s="1">
        <v>0</v>
      </c>
      <c r="G3070" s="2">
        <f t="shared" si="47"/>
        <v>0</v>
      </c>
      <c r="H3070" s="2">
        <v>0</v>
      </c>
    </row>
    <row r="3071" spans="2:8">
      <c r="B3071" t="s">
        <v>110</v>
      </c>
      <c r="C3071" t="s">
        <v>834</v>
      </c>
      <c r="D3071" s="5" t="s">
        <v>474</v>
      </c>
      <c r="E3071" s="1">
        <v>0</v>
      </c>
      <c r="G3071" s="2">
        <f t="shared" si="47"/>
        <v>0</v>
      </c>
      <c r="H3071" s="2">
        <v>0</v>
      </c>
    </row>
    <row r="3072" spans="2:8">
      <c r="B3072" t="s">
        <v>110</v>
      </c>
      <c r="C3072" t="s">
        <v>834</v>
      </c>
      <c r="D3072" s="6" t="s">
        <v>475</v>
      </c>
      <c r="E3072" s="1">
        <v>0</v>
      </c>
      <c r="G3072" s="2">
        <f t="shared" si="47"/>
        <v>0</v>
      </c>
      <c r="H3072" s="2">
        <v>0</v>
      </c>
    </row>
    <row r="3073" spans="2:8">
      <c r="B3073" t="s">
        <v>110</v>
      </c>
      <c r="C3073" t="s">
        <v>834</v>
      </c>
      <c r="D3073" s="7" t="s">
        <v>476</v>
      </c>
      <c r="E3073" s="1">
        <v>0</v>
      </c>
      <c r="G3073" s="2">
        <f t="shared" si="47"/>
        <v>0</v>
      </c>
      <c r="H3073" s="2">
        <v>0</v>
      </c>
    </row>
    <row r="3074" spans="2:8">
      <c r="B3074" t="s">
        <v>110</v>
      </c>
      <c r="C3074" t="s">
        <v>834</v>
      </c>
      <c r="D3074" s="8" t="s">
        <v>477</v>
      </c>
      <c r="E3074" s="1">
        <v>0</v>
      </c>
      <c r="G3074" s="2">
        <f t="shared" ref="G3074:G3137" si="48">E3074*F3074</f>
        <v>0</v>
      </c>
      <c r="H3074" s="2">
        <v>0</v>
      </c>
    </row>
    <row r="3075" spans="2:8">
      <c r="B3075" t="s">
        <v>110</v>
      </c>
      <c r="C3075" t="s">
        <v>834</v>
      </c>
      <c r="D3075" s="9" t="s">
        <v>478</v>
      </c>
      <c r="E3075" s="1">
        <v>0</v>
      </c>
      <c r="G3075" s="2">
        <f t="shared" si="48"/>
        <v>0</v>
      </c>
      <c r="H3075" s="2">
        <v>0</v>
      </c>
    </row>
    <row r="3076" spans="2:8">
      <c r="B3076" t="s">
        <v>110</v>
      </c>
      <c r="C3076" t="s">
        <v>834</v>
      </c>
      <c r="D3076" s="10" t="s">
        <v>479</v>
      </c>
      <c r="E3076" s="1">
        <v>0</v>
      </c>
      <c r="G3076" s="2">
        <f t="shared" si="48"/>
        <v>0</v>
      </c>
      <c r="H3076" s="2">
        <v>0</v>
      </c>
    </row>
    <row r="3077" spans="2:8">
      <c r="B3077" t="s">
        <v>110</v>
      </c>
      <c r="C3077" t="s">
        <v>834</v>
      </c>
      <c r="D3077" s="11" t="s">
        <v>480</v>
      </c>
      <c r="E3077" s="1">
        <v>0</v>
      </c>
      <c r="G3077" s="2">
        <f t="shared" si="48"/>
        <v>0</v>
      </c>
      <c r="H3077" s="2">
        <v>0</v>
      </c>
    </row>
    <row r="3078" spans="2:8">
      <c r="B3078" t="s">
        <v>110</v>
      </c>
      <c r="C3078" t="s">
        <v>834</v>
      </c>
      <c r="D3078" s="13" t="s">
        <v>481</v>
      </c>
      <c r="E3078" s="1">
        <v>0</v>
      </c>
      <c r="G3078" s="2">
        <f t="shared" si="48"/>
        <v>0</v>
      </c>
      <c r="H3078" s="2">
        <v>0</v>
      </c>
    </row>
    <row r="3079" spans="2:8">
      <c r="B3079" t="s">
        <v>110</v>
      </c>
      <c r="C3079" t="s">
        <v>834</v>
      </c>
      <c r="D3079" s="12" t="s">
        <v>1033</v>
      </c>
      <c r="E3079" s="1">
        <v>0</v>
      </c>
      <c r="G3079" s="2">
        <f t="shared" si="48"/>
        <v>0</v>
      </c>
      <c r="H3079" s="2">
        <v>0</v>
      </c>
    </row>
    <row r="3080" spans="2:8">
      <c r="B3080" t="s">
        <v>109</v>
      </c>
      <c r="C3080" t="s">
        <v>835</v>
      </c>
      <c r="D3080" s="5" t="s">
        <v>474</v>
      </c>
      <c r="E3080" s="1">
        <v>0</v>
      </c>
      <c r="G3080" s="2">
        <f t="shared" si="48"/>
        <v>0</v>
      </c>
      <c r="H3080" s="2">
        <v>0</v>
      </c>
    </row>
    <row r="3081" spans="2:8">
      <c r="B3081" t="s">
        <v>109</v>
      </c>
      <c r="C3081" t="s">
        <v>835</v>
      </c>
      <c r="D3081" s="6" t="s">
        <v>475</v>
      </c>
      <c r="E3081" s="1">
        <v>0</v>
      </c>
      <c r="G3081" s="2">
        <f t="shared" si="48"/>
        <v>0</v>
      </c>
      <c r="H3081" s="2">
        <v>0</v>
      </c>
    </row>
    <row r="3082" spans="2:8">
      <c r="B3082" t="s">
        <v>109</v>
      </c>
      <c r="C3082" t="s">
        <v>835</v>
      </c>
      <c r="D3082" s="7" t="s">
        <v>476</v>
      </c>
      <c r="E3082" s="1">
        <v>0</v>
      </c>
      <c r="G3082" s="2">
        <f t="shared" si="48"/>
        <v>0</v>
      </c>
      <c r="H3082" s="2">
        <v>0</v>
      </c>
    </row>
    <row r="3083" spans="2:8">
      <c r="B3083" t="s">
        <v>109</v>
      </c>
      <c r="C3083" t="s">
        <v>835</v>
      </c>
      <c r="D3083" s="8" t="s">
        <v>477</v>
      </c>
      <c r="E3083" s="1">
        <v>0</v>
      </c>
      <c r="G3083" s="2">
        <f t="shared" si="48"/>
        <v>0</v>
      </c>
      <c r="H3083" s="2">
        <v>0</v>
      </c>
    </row>
    <row r="3084" spans="2:8">
      <c r="B3084" t="s">
        <v>109</v>
      </c>
      <c r="C3084" t="s">
        <v>835</v>
      </c>
      <c r="D3084" s="9" t="s">
        <v>478</v>
      </c>
      <c r="E3084" s="1">
        <v>0</v>
      </c>
      <c r="G3084" s="2">
        <f t="shared" si="48"/>
        <v>0</v>
      </c>
      <c r="H3084" s="2">
        <v>0</v>
      </c>
    </row>
    <row r="3085" spans="2:8">
      <c r="B3085" t="s">
        <v>109</v>
      </c>
      <c r="C3085" t="s">
        <v>835</v>
      </c>
      <c r="D3085" s="10" t="s">
        <v>479</v>
      </c>
      <c r="E3085" s="1">
        <v>0</v>
      </c>
      <c r="G3085" s="2">
        <f t="shared" si="48"/>
        <v>0</v>
      </c>
      <c r="H3085" s="2">
        <v>0</v>
      </c>
    </row>
    <row r="3086" spans="2:8">
      <c r="B3086" t="s">
        <v>109</v>
      </c>
      <c r="C3086" t="s">
        <v>835</v>
      </c>
      <c r="D3086" s="11" t="s">
        <v>480</v>
      </c>
      <c r="E3086" s="1">
        <v>0</v>
      </c>
      <c r="G3086" s="2">
        <f t="shared" si="48"/>
        <v>0</v>
      </c>
      <c r="H3086" s="2">
        <v>0</v>
      </c>
    </row>
    <row r="3087" spans="2:8">
      <c r="B3087" t="s">
        <v>109</v>
      </c>
      <c r="C3087" t="s">
        <v>835</v>
      </c>
      <c r="D3087" s="13" t="s">
        <v>481</v>
      </c>
      <c r="E3087" s="1">
        <v>0</v>
      </c>
      <c r="G3087" s="2">
        <f t="shared" si="48"/>
        <v>0</v>
      </c>
      <c r="H3087" s="2">
        <v>0</v>
      </c>
    </row>
    <row r="3088" spans="2:8">
      <c r="B3088" t="s">
        <v>109</v>
      </c>
      <c r="C3088" t="s">
        <v>835</v>
      </c>
      <c r="D3088" s="12" t="s">
        <v>1033</v>
      </c>
      <c r="E3088" s="1">
        <v>0</v>
      </c>
      <c r="G3088" s="2">
        <f t="shared" si="48"/>
        <v>0</v>
      </c>
      <c r="H3088" s="2">
        <v>0</v>
      </c>
    </row>
    <row r="3089" spans="2:8">
      <c r="B3089" t="s">
        <v>107</v>
      </c>
      <c r="C3089" t="s">
        <v>836</v>
      </c>
      <c r="D3089" s="5" t="s">
        <v>474</v>
      </c>
      <c r="E3089" s="1">
        <v>0</v>
      </c>
      <c r="G3089" s="2">
        <f t="shared" si="48"/>
        <v>0</v>
      </c>
      <c r="H3089" s="2">
        <v>0</v>
      </c>
    </row>
    <row r="3090" spans="2:8">
      <c r="B3090" t="s">
        <v>107</v>
      </c>
      <c r="C3090" t="s">
        <v>836</v>
      </c>
      <c r="D3090" s="6" t="s">
        <v>475</v>
      </c>
      <c r="E3090" s="1">
        <v>0</v>
      </c>
      <c r="G3090" s="2">
        <f t="shared" si="48"/>
        <v>0</v>
      </c>
      <c r="H3090" s="2">
        <v>0</v>
      </c>
    </row>
    <row r="3091" spans="2:8">
      <c r="B3091" t="s">
        <v>107</v>
      </c>
      <c r="C3091" t="s">
        <v>836</v>
      </c>
      <c r="D3091" s="7" t="s">
        <v>476</v>
      </c>
      <c r="E3091" s="1">
        <v>0</v>
      </c>
      <c r="G3091" s="2">
        <f t="shared" si="48"/>
        <v>0</v>
      </c>
      <c r="H3091" s="2">
        <v>0</v>
      </c>
    </row>
    <row r="3092" spans="2:8">
      <c r="B3092" t="s">
        <v>107</v>
      </c>
      <c r="C3092" t="s">
        <v>836</v>
      </c>
      <c r="D3092" s="8" t="s">
        <v>477</v>
      </c>
      <c r="E3092" s="1">
        <v>0</v>
      </c>
      <c r="G3092" s="2">
        <f t="shared" si="48"/>
        <v>0</v>
      </c>
      <c r="H3092" s="2">
        <v>0</v>
      </c>
    </row>
    <row r="3093" spans="2:8">
      <c r="B3093" t="s">
        <v>107</v>
      </c>
      <c r="C3093" t="s">
        <v>836</v>
      </c>
      <c r="D3093" s="9" t="s">
        <v>478</v>
      </c>
      <c r="E3093" s="1">
        <v>0</v>
      </c>
      <c r="G3093" s="2">
        <f t="shared" si="48"/>
        <v>0</v>
      </c>
      <c r="H3093" s="2">
        <v>0</v>
      </c>
    </row>
    <row r="3094" spans="2:8">
      <c r="B3094" t="s">
        <v>107</v>
      </c>
      <c r="C3094" t="s">
        <v>836</v>
      </c>
      <c r="D3094" s="10" t="s">
        <v>479</v>
      </c>
      <c r="E3094" s="1">
        <v>0</v>
      </c>
      <c r="G3094" s="2">
        <f t="shared" si="48"/>
        <v>0</v>
      </c>
      <c r="H3094" s="2">
        <v>0</v>
      </c>
    </row>
    <row r="3095" spans="2:8">
      <c r="B3095" t="s">
        <v>107</v>
      </c>
      <c r="C3095" t="s">
        <v>836</v>
      </c>
      <c r="D3095" s="11" t="s">
        <v>480</v>
      </c>
      <c r="E3095" s="1">
        <v>0</v>
      </c>
      <c r="G3095" s="2">
        <f t="shared" si="48"/>
        <v>0</v>
      </c>
      <c r="H3095" s="2">
        <v>0</v>
      </c>
    </row>
    <row r="3096" spans="2:8">
      <c r="B3096" t="s">
        <v>107</v>
      </c>
      <c r="C3096" t="s">
        <v>836</v>
      </c>
      <c r="D3096" s="13" t="s">
        <v>481</v>
      </c>
      <c r="E3096" s="1">
        <v>0</v>
      </c>
      <c r="G3096" s="2">
        <f t="shared" si="48"/>
        <v>0</v>
      </c>
      <c r="H3096" s="2">
        <v>0</v>
      </c>
    </row>
    <row r="3097" spans="2:8">
      <c r="B3097" t="s">
        <v>107</v>
      </c>
      <c r="C3097" t="s">
        <v>836</v>
      </c>
      <c r="D3097" s="12" t="s">
        <v>1033</v>
      </c>
      <c r="E3097" s="1">
        <v>0</v>
      </c>
      <c r="G3097" s="2">
        <f t="shared" si="48"/>
        <v>0</v>
      </c>
      <c r="H3097" s="2">
        <v>0</v>
      </c>
    </row>
    <row r="3098" spans="2:8">
      <c r="B3098" t="s">
        <v>108</v>
      </c>
      <c r="C3098" t="s">
        <v>837</v>
      </c>
      <c r="D3098" s="5" t="s">
        <v>474</v>
      </c>
      <c r="E3098" s="1">
        <v>0</v>
      </c>
      <c r="G3098" s="2">
        <f t="shared" si="48"/>
        <v>0</v>
      </c>
      <c r="H3098" s="2">
        <v>0</v>
      </c>
    </row>
    <row r="3099" spans="2:8">
      <c r="B3099" t="s">
        <v>108</v>
      </c>
      <c r="C3099" t="s">
        <v>837</v>
      </c>
      <c r="D3099" s="6" t="s">
        <v>475</v>
      </c>
      <c r="E3099" s="1">
        <v>0</v>
      </c>
      <c r="G3099" s="2">
        <f t="shared" si="48"/>
        <v>0</v>
      </c>
      <c r="H3099" s="2">
        <v>0</v>
      </c>
    </row>
    <row r="3100" spans="2:8">
      <c r="B3100" t="s">
        <v>108</v>
      </c>
      <c r="C3100" t="s">
        <v>837</v>
      </c>
      <c r="D3100" s="7" t="s">
        <v>476</v>
      </c>
      <c r="E3100" s="1">
        <v>0</v>
      </c>
      <c r="G3100" s="2">
        <f t="shared" si="48"/>
        <v>0</v>
      </c>
      <c r="H3100" s="2">
        <v>0</v>
      </c>
    </row>
    <row r="3101" spans="2:8">
      <c r="B3101" t="s">
        <v>108</v>
      </c>
      <c r="C3101" t="s">
        <v>837</v>
      </c>
      <c r="D3101" s="8" t="s">
        <v>477</v>
      </c>
      <c r="E3101" s="1">
        <v>0</v>
      </c>
      <c r="G3101" s="2">
        <f t="shared" si="48"/>
        <v>0</v>
      </c>
      <c r="H3101" s="2">
        <v>0</v>
      </c>
    </row>
    <row r="3102" spans="2:8">
      <c r="B3102" t="s">
        <v>108</v>
      </c>
      <c r="C3102" t="s">
        <v>837</v>
      </c>
      <c r="D3102" s="9" t="s">
        <v>478</v>
      </c>
      <c r="E3102" s="1">
        <v>0</v>
      </c>
      <c r="G3102" s="2">
        <f t="shared" si="48"/>
        <v>0</v>
      </c>
      <c r="H3102" s="2">
        <v>0</v>
      </c>
    </row>
    <row r="3103" spans="2:8">
      <c r="B3103" t="s">
        <v>108</v>
      </c>
      <c r="C3103" t="s">
        <v>837</v>
      </c>
      <c r="D3103" s="10" t="s">
        <v>479</v>
      </c>
      <c r="E3103" s="1">
        <v>0</v>
      </c>
      <c r="G3103" s="2">
        <f t="shared" si="48"/>
        <v>0</v>
      </c>
      <c r="H3103" s="2">
        <v>0</v>
      </c>
    </row>
    <row r="3104" spans="2:8">
      <c r="B3104" t="s">
        <v>108</v>
      </c>
      <c r="C3104" t="s">
        <v>837</v>
      </c>
      <c r="D3104" s="11" t="s">
        <v>480</v>
      </c>
      <c r="E3104" s="1">
        <v>0</v>
      </c>
      <c r="G3104" s="2">
        <f t="shared" si="48"/>
        <v>0</v>
      </c>
      <c r="H3104" s="2">
        <v>0</v>
      </c>
    </row>
    <row r="3105" spans="2:8">
      <c r="B3105" t="s">
        <v>108</v>
      </c>
      <c r="C3105" t="s">
        <v>837</v>
      </c>
      <c r="D3105" s="13" t="s">
        <v>481</v>
      </c>
      <c r="E3105" s="1">
        <v>0</v>
      </c>
      <c r="G3105" s="2">
        <f t="shared" si="48"/>
        <v>0</v>
      </c>
      <c r="H3105" s="2">
        <v>0</v>
      </c>
    </row>
    <row r="3106" spans="2:8">
      <c r="B3106" t="s">
        <v>108</v>
      </c>
      <c r="C3106" t="s">
        <v>837</v>
      </c>
      <c r="D3106" s="12" t="s">
        <v>1033</v>
      </c>
      <c r="E3106" s="1">
        <v>0</v>
      </c>
      <c r="G3106" s="2">
        <f t="shared" si="48"/>
        <v>0</v>
      </c>
      <c r="H3106" s="2">
        <v>0</v>
      </c>
    </row>
    <row r="3107" spans="2:8">
      <c r="B3107" t="s">
        <v>462</v>
      </c>
      <c r="C3107" t="s">
        <v>838</v>
      </c>
      <c r="D3107" s="5" t="s">
        <v>474</v>
      </c>
      <c r="E3107" s="1">
        <v>0</v>
      </c>
      <c r="G3107" s="2">
        <f t="shared" si="48"/>
        <v>0</v>
      </c>
      <c r="H3107" s="2">
        <v>0</v>
      </c>
    </row>
    <row r="3108" spans="2:8">
      <c r="B3108" t="s">
        <v>462</v>
      </c>
      <c r="C3108" t="s">
        <v>838</v>
      </c>
      <c r="D3108" s="6" t="s">
        <v>475</v>
      </c>
      <c r="E3108" s="1">
        <v>0</v>
      </c>
      <c r="G3108" s="2">
        <f t="shared" si="48"/>
        <v>0</v>
      </c>
      <c r="H3108" s="2">
        <v>0</v>
      </c>
    </row>
    <row r="3109" spans="2:8">
      <c r="B3109" t="s">
        <v>462</v>
      </c>
      <c r="C3109" t="s">
        <v>838</v>
      </c>
      <c r="D3109" s="7" t="s">
        <v>476</v>
      </c>
      <c r="E3109" s="1">
        <v>0</v>
      </c>
      <c r="G3109" s="2">
        <f t="shared" si="48"/>
        <v>0</v>
      </c>
      <c r="H3109" s="2">
        <v>0</v>
      </c>
    </row>
    <row r="3110" spans="2:8">
      <c r="B3110" t="s">
        <v>462</v>
      </c>
      <c r="C3110" t="s">
        <v>838</v>
      </c>
      <c r="D3110" s="8" t="s">
        <v>477</v>
      </c>
      <c r="E3110" s="1">
        <v>0</v>
      </c>
      <c r="G3110" s="2">
        <f t="shared" si="48"/>
        <v>0</v>
      </c>
      <c r="H3110" s="2">
        <v>0</v>
      </c>
    </row>
    <row r="3111" spans="2:8">
      <c r="B3111" t="s">
        <v>462</v>
      </c>
      <c r="C3111" t="s">
        <v>838</v>
      </c>
      <c r="D3111" s="9" t="s">
        <v>478</v>
      </c>
      <c r="E3111" s="1">
        <v>0</v>
      </c>
      <c r="G3111" s="2">
        <f t="shared" si="48"/>
        <v>0</v>
      </c>
      <c r="H3111" s="2">
        <v>0</v>
      </c>
    </row>
    <row r="3112" spans="2:8">
      <c r="B3112" t="s">
        <v>462</v>
      </c>
      <c r="C3112" t="s">
        <v>838</v>
      </c>
      <c r="D3112" s="10" t="s">
        <v>479</v>
      </c>
      <c r="E3112" s="1">
        <v>0</v>
      </c>
      <c r="G3112" s="2">
        <f t="shared" si="48"/>
        <v>0</v>
      </c>
      <c r="H3112" s="2">
        <v>0</v>
      </c>
    </row>
    <row r="3113" spans="2:8">
      <c r="B3113" t="s">
        <v>462</v>
      </c>
      <c r="C3113" t="s">
        <v>838</v>
      </c>
      <c r="D3113" s="11" t="s">
        <v>480</v>
      </c>
      <c r="E3113" s="1">
        <v>0</v>
      </c>
      <c r="G3113" s="2">
        <f t="shared" si="48"/>
        <v>0</v>
      </c>
      <c r="H3113" s="2">
        <v>0</v>
      </c>
    </row>
    <row r="3114" spans="2:8">
      <c r="B3114" t="s">
        <v>462</v>
      </c>
      <c r="C3114" t="s">
        <v>838</v>
      </c>
      <c r="D3114" s="13" t="s">
        <v>481</v>
      </c>
      <c r="E3114" s="1">
        <v>0</v>
      </c>
      <c r="G3114" s="2">
        <f t="shared" si="48"/>
        <v>0</v>
      </c>
      <c r="H3114" s="2">
        <v>0</v>
      </c>
    </row>
    <row r="3115" spans="2:8">
      <c r="B3115" t="s">
        <v>462</v>
      </c>
      <c r="C3115" t="s">
        <v>838</v>
      </c>
      <c r="D3115" s="12" t="s">
        <v>1033</v>
      </c>
      <c r="E3115" s="1">
        <v>0</v>
      </c>
      <c r="G3115" s="2">
        <f t="shared" si="48"/>
        <v>0</v>
      </c>
      <c r="H3115" s="2">
        <v>0</v>
      </c>
    </row>
    <row r="3116" spans="2:8">
      <c r="B3116" t="s">
        <v>463</v>
      </c>
      <c r="C3116" t="s">
        <v>839</v>
      </c>
      <c r="D3116" s="5" t="s">
        <v>474</v>
      </c>
      <c r="E3116" s="1">
        <v>0</v>
      </c>
      <c r="G3116" s="2">
        <f t="shared" si="48"/>
        <v>0</v>
      </c>
      <c r="H3116" s="2">
        <v>0</v>
      </c>
    </row>
    <row r="3117" spans="2:8">
      <c r="B3117" t="s">
        <v>463</v>
      </c>
      <c r="C3117" t="s">
        <v>839</v>
      </c>
      <c r="D3117" s="6" t="s">
        <v>475</v>
      </c>
      <c r="E3117" s="1">
        <v>0</v>
      </c>
      <c r="G3117" s="2">
        <f t="shared" si="48"/>
        <v>0</v>
      </c>
      <c r="H3117" s="2">
        <v>0</v>
      </c>
    </row>
    <row r="3118" spans="2:8">
      <c r="B3118" t="s">
        <v>463</v>
      </c>
      <c r="C3118" t="s">
        <v>839</v>
      </c>
      <c r="D3118" s="7" t="s">
        <v>476</v>
      </c>
      <c r="E3118" s="1">
        <v>0</v>
      </c>
      <c r="G3118" s="2">
        <f t="shared" si="48"/>
        <v>0</v>
      </c>
      <c r="H3118" s="2">
        <v>0</v>
      </c>
    </row>
    <row r="3119" spans="2:8">
      <c r="B3119" t="s">
        <v>463</v>
      </c>
      <c r="C3119" t="s">
        <v>839</v>
      </c>
      <c r="D3119" s="8" t="s">
        <v>477</v>
      </c>
      <c r="E3119" s="1">
        <v>0</v>
      </c>
      <c r="G3119" s="2">
        <f t="shared" si="48"/>
        <v>0</v>
      </c>
      <c r="H3119" s="2">
        <v>0</v>
      </c>
    </row>
    <row r="3120" spans="2:8">
      <c r="B3120" t="s">
        <v>463</v>
      </c>
      <c r="C3120" t="s">
        <v>839</v>
      </c>
      <c r="D3120" s="9" t="s">
        <v>478</v>
      </c>
      <c r="E3120" s="1">
        <v>0</v>
      </c>
      <c r="G3120" s="2">
        <f t="shared" si="48"/>
        <v>0</v>
      </c>
      <c r="H3120" s="2">
        <v>0</v>
      </c>
    </row>
    <row r="3121" spans="2:8">
      <c r="B3121" t="s">
        <v>463</v>
      </c>
      <c r="C3121" t="s">
        <v>839</v>
      </c>
      <c r="D3121" s="10" t="s">
        <v>479</v>
      </c>
      <c r="E3121" s="1">
        <v>0</v>
      </c>
      <c r="G3121" s="2">
        <f t="shared" si="48"/>
        <v>0</v>
      </c>
      <c r="H3121" s="2">
        <v>0</v>
      </c>
    </row>
    <row r="3122" spans="2:8">
      <c r="B3122" t="s">
        <v>463</v>
      </c>
      <c r="C3122" t="s">
        <v>839</v>
      </c>
      <c r="D3122" s="11" t="s">
        <v>480</v>
      </c>
      <c r="E3122" s="1">
        <v>0</v>
      </c>
      <c r="G3122" s="2">
        <f t="shared" si="48"/>
        <v>0</v>
      </c>
      <c r="H3122" s="2">
        <v>0</v>
      </c>
    </row>
    <row r="3123" spans="2:8">
      <c r="B3123" t="s">
        <v>463</v>
      </c>
      <c r="C3123" t="s">
        <v>839</v>
      </c>
      <c r="D3123" s="13" t="s">
        <v>481</v>
      </c>
      <c r="E3123" s="1">
        <v>0</v>
      </c>
      <c r="G3123" s="2">
        <f t="shared" si="48"/>
        <v>0</v>
      </c>
      <c r="H3123" s="2">
        <v>0</v>
      </c>
    </row>
    <row r="3124" spans="2:8">
      <c r="B3124" t="s">
        <v>463</v>
      </c>
      <c r="C3124" t="s">
        <v>839</v>
      </c>
      <c r="D3124" s="12" t="s">
        <v>1033</v>
      </c>
      <c r="E3124" s="1">
        <v>0</v>
      </c>
      <c r="G3124" s="2">
        <f t="shared" si="48"/>
        <v>0</v>
      </c>
      <c r="H3124" s="2">
        <v>0</v>
      </c>
    </row>
    <row r="3125" spans="2:8">
      <c r="B3125" t="s">
        <v>464</v>
      </c>
      <c r="C3125" t="s">
        <v>840</v>
      </c>
      <c r="D3125" s="5" t="s">
        <v>474</v>
      </c>
      <c r="E3125" s="1">
        <v>0</v>
      </c>
      <c r="G3125" s="2">
        <f t="shared" si="48"/>
        <v>0</v>
      </c>
      <c r="H3125" s="2">
        <v>0</v>
      </c>
    </row>
    <row r="3126" spans="2:8">
      <c r="B3126" t="s">
        <v>464</v>
      </c>
      <c r="C3126" t="s">
        <v>840</v>
      </c>
      <c r="D3126" s="6" t="s">
        <v>475</v>
      </c>
      <c r="E3126" s="1">
        <v>0</v>
      </c>
      <c r="G3126" s="2">
        <f t="shared" si="48"/>
        <v>0</v>
      </c>
      <c r="H3126" s="2">
        <v>0</v>
      </c>
    </row>
    <row r="3127" spans="2:8">
      <c r="B3127" t="s">
        <v>464</v>
      </c>
      <c r="C3127" t="s">
        <v>840</v>
      </c>
      <c r="D3127" s="7" t="s">
        <v>476</v>
      </c>
      <c r="E3127" s="1">
        <v>0</v>
      </c>
      <c r="G3127" s="2">
        <f t="shared" si="48"/>
        <v>0</v>
      </c>
      <c r="H3127" s="2">
        <v>0</v>
      </c>
    </row>
    <row r="3128" spans="2:8">
      <c r="B3128" t="s">
        <v>464</v>
      </c>
      <c r="C3128" t="s">
        <v>840</v>
      </c>
      <c r="D3128" s="8" t="s">
        <v>477</v>
      </c>
      <c r="E3128" s="1">
        <v>0</v>
      </c>
      <c r="G3128" s="2">
        <f t="shared" si="48"/>
        <v>0</v>
      </c>
      <c r="H3128" s="2">
        <v>0</v>
      </c>
    </row>
    <row r="3129" spans="2:8">
      <c r="B3129" t="s">
        <v>464</v>
      </c>
      <c r="C3129" t="s">
        <v>840</v>
      </c>
      <c r="D3129" s="9" t="s">
        <v>478</v>
      </c>
      <c r="E3129" s="1">
        <v>0</v>
      </c>
      <c r="G3129" s="2">
        <f t="shared" si="48"/>
        <v>0</v>
      </c>
      <c r="H3129" s="2">
        <v>0</v>
      </c>
    </row>
    <row r="3130" spans="2:8">
      <c r="B3130" t="s">
        <v>464</v>
      </c>
      <c r="C3130" t="s">
        <v>840</v>
      </c>
      <c r="D3130" s="10" t="s">
        <v>479</v>
      </c>
      <c r="E3130" s="1">
        <v>0</v>
      </c>
      <c r="G3130" s="2">
        <f t="shared" si="48"/>
        <v>0</v>
      </c>
      <c r="H3130" s="2">
        <v>0</v>
      </c>
    </row>
    <row r="3131" spans="2:8">
      <c r="B3131" t="s">
        <v>464</v>
      </c>
      <c r="C3131" t="s">
        <v>840</v>
      </c>
      <c r="D3131" s="11" t="s">
        <v>480</v>
      </c>
      <c r="E3131" s="1">
        <v>0</v>
      </c>
      <c r="G3131" s="2">
        <f t="shared" si="48"/>
        <v>0</v>
      </c>
      <c r="H3131" s="2">
        <v>0</v>
      </c>
    </row>
    <row r="3132" spans="2:8">
      <c r="B3132" t="s">
        <v>464</v>
      </c>
      <c r="C3132" t="s">
        <v>840</v>
      </c>
      <c r="D3132" s="13" t="s">
        <v>481</v>
      </c>
      <c r="E3132" s="1">
        <v>0</v>
      </c>
      <c r="G3132" s="2">
        <f t="shared" si="48"/>
        <v>0</v>
      </c>
      <c r="H3132" s="2">
        <v>0</v>
      </c>
    </row>
    <row r="3133" spans="2:8">
      <c r="B3133" t="s">
        <v>464</v>
      </c>
      <c r="C3133" t="s">
        <v>840</v>
      </c>
      <c r="D3133" s="12" t="s">
        <v>1033</v>
      </c>
      <c r="E3133" s="1">
        <v>0</v>
      </c>
      <c r="G3133" s="2">
        <f t="shared" si="48"/>
        <v>0</v>
      </c>
      <c r="H3133" s="2">
        <v>0</v>
      </c>
    </row>
    <row r="3134" spans="2:8">
      <c r="B3134" t="s">
        <v>465</v>
      </c>
      <c r="C3134" t="s">
        <v>841</v>
      </c>
      <c r="D3134" s="5" t="s">
        <v>474</v>
      </c>
      <c r="E3134" s="1">
        <v>0</v>
      </c>
      <c r="G3134" s="2">
        <f t="shared" si="48"/>
        <v>0</v>
      </c>
      <c r="H3134" s="2">
        <v>0</v>
      </c>
    </row>
    <row r="3135" spans="2:8">
      <c r="B3135" t="s">
        <v>465</v>
      </c>
      <c r="C3135" t="s">
        <v>841</v>
      </c>
      <c r="D3135" s="6" t="s">
        <v>475</v>
      </c>
      <c r="E3135" s="1">
        <v>0</v>
      </c>
      <c r="G3135" s="2">
        <f t="shared" si="48"/>
        <v>0</v>
      </c>
      <c r="H3135" s="2">
        <v>0</v>
      </c>
    </row>
    <row r="3136" spans="2:8">
      <c r="B3136" t="s">
        <v>465</v>
      </c>
      <c r="C3136" t="s">
        <v>841</v>
      </c>
      <c r="D3136" s="7" t="s">
        <v>476</v>
      </c>
      <c r="E3136" s="1">
        <v>0</v>
      </c>
      <c r="G3136" s="2">
        <f t="shared" si="48"/>
        <v>0</v>
      </c>
      <c r="H3136" s="2">
        <v>0</v>
      </c>
    </row>
    <row r="3137" spans="2:8">
      <c r="B3137" t="s">
        <v>465</v>
      </c>
      <c r="C3137" t="s">
        <v>841</v>
      </c>
      <c r="D3137" s="8" t="s">
        <v>477</v>
      </c>
      <c r="E3137" s="1">
        <v>0</v>
      </c>
      <c r="G3137" s="2">
        <f t="shared" si="48"/>
        <v>0</v>
      </c>
      <c r="H3137" s="2">
        <v>0</v>
      </c>
    </row>
    <row r="3138" spans="2:8">
      <c r="B3138" t="s">
        <v>465</v>
      </c>
      <c r="C3138" t="s">
        <v>841</v>
      </c>
      <c r="D3138" s="9" t="s">
        <v>478</v>
      </c>
      <c r="E3138" s="1">
        <v>0</v>
      </c>
      <c r="G3138" s="2">
        <f t="shared" ref="G3138:G3201" si="49">E3138*F3138</f>
        <v>0</v>
      </c>
      <c r="H3138" s="2">
        <v>0</v>
      </c>
    </row>
    <row r="3139" spans="2:8">
      <c r="B3139" t="s">
        <v>465</v>
      </c>
      <c r="C3139" t="s">
        <v>841</v>
      </c>
      <c r="D3139" s="10" t="s">
        <v>479</v>
      </c>
      <c r="E3139" s="1">
        <v>0</v>
      </c>
      <c r="G3139" s="2">
        <f t="shared" si="49"/>
        <v>0</v>
      </c>
      <c r="H3139" s="2">
        <v>0</v>
      </c>
    </row>
    <row r="3140" spans="2:8">
      <c r="B3140" t="s">
        <v>465</v>
      </c>
      <c r="C3140" t="s">
        <v>841</v>
      </c>
      <c r="D3140" s="11" t="s">
        <v>480</v>
      </c>
      <c r="E3140" s="1">
        <v>0</v>
      </c>
      <c r="G3140" s="2">
        <f t="shared" si="49"/>
        <v>0</v>
      </c>
      <c r="H3140" s="2">
        <v>0</v>
      </c>
    </row>
    <row r="3141" spans="2:8">
      <c r="B3141" t="s">
        <v>465</v>
      </c>
      <c r="C3141" t="s">
        <v>841</v>
      </c>
      <c r="D3141" s="13" t="s">
        <v>481</v>
      </c>
      <c r="E3141" s="1">
        <v>0</v>
      </c>
      <c r="G3141" s="2">
        <f t="shared" si="49"/>
        <v>0</v>
      </c>
      <c r="H3141" s="2">
        <v>0</v>
      </c>
    </row>
    <row r="3142" spans="2:8">
      <c r="B3142" t="s">
        <v>465</v>
      </c>
      <c r="C3142" t="s">
        <v>841</v>
      </c>
      <c r="D3142" s="12" t="s">
        <v>1033</v>
      </c>
      <c r="E3142" s="1">
        <v>0</v>
      </c>
      <c r="G3142" s="2">
        <f t="shared" si="49"/>
        <v>0</v>
      </c>
      <c r="H3142" s="2">
        <v>0</v>
      </c>
    </row>
    <row r="3143" spans="2:8">
      <c r="B3143" t="s">
        <v>466</v>
      </c>
      <c r="C3143" t="s">
        <v>842</v>
      </c>
      <c r="D3143" s="5" t="s">
        <v>474</v>
      </c>
      <c r="E3143" s="1">
        <v>0</v>
      </c>
      <c r="G3143" s="2">
        <f t="shared" si="49"/>
        <v>0</v>
      </c>
      <c r="H3143" s="2">
        <v>0</v>
      </c>
    </row>
    <row r="3144" spans="2:8">
      <c r="B3144" t="s">
        <v>466</v>
      </c>
      <c r="C3144" t="s">
        <v>842</v>
      </c>
      <c r="D3144" s="6" t="s">
        <v>475</v>
      </c>
      <c r="E3144" s="1">
        <v>0</v>
      </c>
      <c r="G3144" s="2">
        <f t="shared" si="49"/>
        <v>0</v>
      </c>
      <c r="H3144" s="2">
        <v>0</v>
      </c>
    </row>
    <row r="3145" spans="2:8">
      <c r="B3145" t="s">
        <v>466</v>
      </c>
      <c r="C3145" t="s">
        <v>842</v>
      </c>
      <c r="D3145" s="7" t="s">
        <v>476</v>
      </c>
      <c r="E3145" s="1">
        <v>0</v>
      </c>
      <c r="G3145" s="2">
        <f t="shared" si="49"/>
        <v>0</v>
      </c>
      <c r="H3145" s="2">
        <v>0</v>
      </c>
    </row>
    <row r="3146" spans="2:8">
      <c r="B3146" t="s">
        <v>466</v>
      </c>
      <c r="C3146" t="s">
        <v>842</v>
      </c>
      <c r="D3146" s="8" t="s">
        <v>477</v>
      </c>
      <c r="E3146" s="1">
        <v>0</v>
      </c>
      <c r="G3146" s="2">
        <f t="shared" si="49"/>
        <v>0</v>
      </c>
      <c r="H3146" s="2">
        <v>0</v>
      </c>
    </row>
    <row r="3147" spans="2:8">
      <c r="B3147" t="s">
        <v>466</v>
      </c>
      <c r="C3147" t="s">
        <v>842</v>
      </c>
      <c r="D3147" s="9" t="s">
        <v>478</v>
      </c>
      <c r="E3147" s="1">
        <v>0</v>
      </c>
      <c r="G3147" s="2">
        <f t="shared" si="49"/>
        <v>0</v>
      </c>
      <c r="H3147" s="2">
        <v>0</v>
      </c>
    </row>
    <row r="3148" spans="2:8">
      <c r="B3148" t="s">
        <v>466</v>
      </c>
      <c r="C3148" t="s">
        <v>842</v>
      </c>
      <c r="D3148" s="10" t="s">
        <v>479</v>
      </c>
      <c r="E3148" s="1">
        <v>0</v>
      </c>
      <c r="G3148" s="2">
        <f t="shared" si="49"/>
        <v>0</v>
      </c>
      <c r="H3148" s="2">
        <v>0</v>
      </c>
    </row>
    <row r="3149" spans="2:8">
      <c r="B3149" t="s">
        <v>466</v>
      </c>
      <c r="C3149" t="s">
        <v>842</v>
      </c>
      <c r="D3149" s="11" t="s">
        <v>480</v>
      </c>
      <c r="E3149" s="1">
        <v>0</v>
      </c>
      <c r="G3149" s="2">
        <f t="shared" si="49"/>
        <v>0</v>
      </c>
      <c r="H3149" s="2">
        <v>0</v>
      </c>
    </row>
    <row r="3150" spans="2:8">
      <c r="B3150" t="s">
        <v>466</v>
      </c>
      <c r="C3150" t="s">
        <v>842</v>
      </c>
      <c r="D3150" s="13" t="s">
        <v>481</v>
      </c>
      <c r="E3150" s="1">
        <v>0</v>
      </c>
      <c r="G3150" s="2">
        <f t="shared" si="49"/>
        <v>0</v>
      </c>
      <c r="H3150" s="2">
        <v>0</v>
      </c>
    </row>
    <row r="3151" spans="2:8">
      <c r="B3151" t="s">
        <v>466</v>
      </c>
      <c r="C3151" t="s">
        <v>842</v>
      </c>
      <c r="D3151" s="12" t="s">
        <v>1033</v>
      </c>
      <c r="E3151" s="1">
        <v>0</v>
      </c>
      <c r="G3151" s="2">
        <f t="shared" si="49"/>
        <v>0</v>
      </c>
      <c r="H3151" s="2">
        <v>0</v>
      </c>
    </row>
    <row r="3152" spans="2:8">
      <c r="B3152" t="s">
        <v>98</v>
      </c>
      <c r="C3152" t="s">
        <v>843</v>
      </c>
      <c r="D3152" s="5" t="s">
        <v>474</v>
      </c>
      <c r="E3152" s="1">
        <v>0</v>
      </c>
      <c r="G3152" s="2">
        <f t="shared" si="49"/>
        <v>0</v>
      </c>
      <c r="H3152" s="2">
        <v>0</v>
      </c>
    </row>
    <row r="3153" spans="2:8">
      <c r="B3153" t="s">
        <v>98</v>
      </c>
      <c r="C3153" t="s">
        <v>843</v>
      </c>
      <c r="D3153" s="6" t="s">
        <v>475</v>
      </c>
      <c r="E3153" s="1">
        <v>0</v>
      </c>
      <c r="G3153" s="2">
        <f t="shared" si="49"/>
        <v>0</v>
      </c>
      <c r="H3153" s="2">
        <v>0</v>
      </c>
    </row>
    <row r="3154" spans="2:8">
      <c r="B3154" t="s">
        <v>98</v>
      </c>
      <c r="C3154" t="s">
        <v>843</v>
      </c>
      <c r="D3154" s="7" t="s">
        <v>476</v>
      </c>
      <c r="E3154" s="1">
        <v>0</v>
      </c>
      <c r="G3154" s="2">
        <f t="shared" si="49"/>
        <v>0</v>
      </c>
      <c r="H3154" s="2">
        <v>0</v>
      </c>
    </row>
    <row r="3155" spans="2:8">
      <c r="B3155" t="s">
        <v>98</v>
      </c>
      <c r="C3155" t="s">
        <v>843</v>
      </c>
      <c r="D3155" s="8" t="s">
        <v>477</v>
      </c>
      <c r="E3155" s="1">
        <v>0</v>
      </c>
      <c r="G3155" s="2">
        <f t="shared" si="49"/>
        <v>0</v>
      </c>
      <c r="H3155" s="2">
        <v>0</v>
      </c>
    </row>
    <row r="3156" spans="2:8">
      <c r="B3156" t="s">
        <v>98</v>
      </c>
      <c r="C3156" t="s">
        <v>843</v>
      </c>
      <c r="D3156" s="9" t="s">
        <v>478</v>
      </c>
      <c r="E3156" s="1">
        <v>0</v>
      </c>
      <c r="G3156" s="2">
        <f t="shared" si="49"/>
        <v>0</v>
      </c>
      <c r="H3156" s="2">
        <v>0</v>
      </c>
    </row>
    <row r="3157" spans="2:8">
      <c r="B3157" t="s">
        <v>98</v>
      </c>
      <c r="C3157" t="s">
        <v>843</v>
      </c>
      <c r="D3157" s="10" t="s">
        <v>479</v>
      </c>
      <c r="E3157" s="1">
        <v>0</v>
      </c>
      <c r="G3157" s="2">
        <f t="shared" si="49"/>
        <v>0</v>
      </c>
      <c r="H3157" s="2">
        <v>0</v>
      </c>
    </row>
    <row r="3158" spans="2:8">
      <c r="B3158" t="s">
        <v>98</v>
      </c>
      <c r="C3158" t="s">
        <v>843</v>
      </c>
      <c r="D3158" s="11" t="s">
        <v>480</v>
      </c>
      <c r="E3158" s="1">
        <v>0</v>
      </c>
      <c r="G3158" s="2">
        <f t="shared" si="49"/>
        <v>0</v>
      </c>
      <c r="H3158" s="2">
        <v>0</v>
      </c>
    </row>
    <row r="3159" spans="2:8">
      <c r="B3159" t="s">
        <v>98</v>
      </c>
      <c r="C3159" t="s">
        <v>843</v>
      </c>
      <c r="D3159" s="13" t="s">
        <v>481</v>
      </c>
      <c r="E3159" s="1">
        <v>0</v>
      </c>
      <c r="G3159" s="2">
        <f t="shared" si="49"/>
        <v>0</v>
      </c>
      <c r="H3159" s="2">
        <v>0</v>
      </c>
    </row>
    <row r="3160" spans="2:8">
      <c r="B3160" t="s">
        <v>98</v>
      </c>
      <c r="C3160" t="s">
        <v>843</v>
      </c>
      <c r="D3160" s="12" t="s">
        <v>1033</v>
      </c>
      <c r="E3160" s="1">
        <v>0</v>
      </c>
      <c r="G3160" s="2">
        <f t="shared" si="49"/>
        <v>0</v>
      </c>
      <c r="H3160" s="2">
        <v>0</v>
      </c>
    </row>
    <row r="3161" spans="2:8">
      <c r="B3161" t="s">
        <v>72</v>
      </c>
      <c r="C3161" t="s">
        <v>844</v>
      </c>
      <c r="D3161" s="5" t="s">
        <v>474</v>
      </c>
      <c r="E3161" s="1">
        <v>0</v>
      </c>
      <c r="G3161" s="2">
        <f t="shared" si="49"/>
        <v>0</v>
      </c>
      <c r="H3161" s="2">
        <v>0</v>
      </c>
    </row>
    <row r="3162" spans="2:8">
      <c r="B3162" t="s">
        <v>72</v>
      </c>
      <c r="C3162" t="s">
        <v>844</v>
      </c>
      <c r="D3162" s="6" t="s">
        <v>475</v>
      </c>
      <c r="E3162" s="1">
        <v>0</v>
      </c>
      <c r="G3162" s="2">
        <f t="shared" si="49"/>
        <v>0</v>
      </c>
      <c r="H3162" s="2">
        <v>0</v>
      </c>
    </row>
    <row r="3163" spans="2:8">
      <c r="B3163" t="s">
        <v>72</v>
      </c>
      <c r="C3163" t="s">
        <v>844</v>
      </c>
      <c r="D3163" s="7" t="s">
        <v>476</v>
      </c>
      <c r="E3163" s="1">
        <v>0</v>
      </c>
      <c r="G3163" s="2">
        <f t="shared" si="49"/>
        <v>0</v>
      </c>
      <c r="H3163" s="2">
        <v>0</v>
      </c>
    </row>
    <row r="3164" spans="2:8">
      <c r="B3164" t="s">
        <v>72</v>
      </c>
      <c r="C3164" t="s">
        <v>844</v>
      </c>
      <c r="D3164" s="8" t="s">
        <v>477</v>
      </c>
      <c r="E3164" s="1">
        <v>0</v>
      </c>
      <c r="G3164" s="2">
        <f t="shared" si="49"/>
        <v>0</v>
      </c>
      <c r="H3164" s="2">
        <v>0</v>
      </c>
    </row>
    <row r="3165" spans="2:8">
      <c r="B3165" t="s">
        <v>72</v>
      </c>
      <c r="C3165" t="s">
        <v>844</v>
      </c>
      <c r="D3165" s="9" t="s">
        <v>478</v>
      </c>
      <c r="E3165" s="1">
        <v>0</v>
      </c>
      <c r="G3165" s="2">
        <f t="shared" si="49"/>
        <v>0</v>
      </c>
      <c r="H3165" s="2">
        <v>0</v>
      </c>
    </row>
    <row r="3166" spans="2:8">
      <c r="B3166" t="s">
        <v>72</v>
      </c>
      <c r="C3166" t="s">
        <v>844</v>
      </c>
      <c r="D3166" s="10" t="s">
        <v>479</v>
      </c>
      <c r="E3166" s="1">
        <v>0</v>
      </c>
      <c r="G3166" s="2">
        <f t="shared" si="49"/>
        <v>0</v>
      </c>
      <c r="H3166" s="2">
        <v>0</v>
      </c>
    </row>
    <row r="3167" spans="2:8">
      <c r="B3167" t="s">
        <v>72</v>
      </c>
      <c r="C3167" t="s">
        <v>844</v>
      </c>
      <c r="D3167" s="11" t="s">
        <v>480</v>
      </c>
      <c r="E3167" s="1">
        <v>0</v>
      </c>
      <c r="G3167" s="2">
        <f t="shared" si="49"/>
        <v>0</v>
      </c>
      <c r="H3167" s="2">
        <v>0</v>
      </c>
    </row>
    <row r="3168" spans="2:8">
      <c r="B3168" t="s">
        <v>72</v>
      </c>
      <c r="C3168" t="s">
        <v>844</v>
      </c>
      <c r="D3168" s="13" t="s">
        <v>481</v>
      </c>
      <c r="E3168" s="1">
        <v>0</v>
      </c>
      <c r="G3168" s="2">
        <f t="shared" si="49"/>
        <v>0</v>
      </c>
      <c r="H3168" s="2">
        <v>0</v>
      </c>
    </row>
    <row r="3169" spans="2:8">
      <c r="B3169" t="s">
        <v>72</v>
      </c>
      <c r="C3169" t="s">
        <v>844</v>
      </c>
      <c r="D3169" s="12" t="s">
        <v>1033</v>
      </c>
      <c r="E3169" s="1">
        <v>0</v>
      </c>
      <c r="G3169" s="2">
        <f t="shared" si="49"/>
        <v>0</v>
      </c>
      <c r="H3169" s="2">
        <v>0</v>
      </c>
    </row>
    <row r="3170" spans="2:8">
      <c r="B3170" t="s">
        <v>83</v>
      </c>
      <c r="C3170" t="s">
        <v>845</v>
      </c>
      <c r="D3170" s="5" t="s">
        <v>474</v>
      </c>
      <c r="E3170" s="1">
        <v>0</v>
      </c>
      <c r="G3170" s="2">
        <f t="shared" si="49"/>
        <v>0</v>
      </c>
      <c r="H3170" s="2">
        <v>0</v>
      </c>
    </row>
    <row r="3171" spans="2:8">
      <c r="B3171" t="s">
        <v>83</v>
      </c>
      <c r="C3171" t="s">
        <v>845</v>
      </c>
      <c r="D3171" s="6" t="s">
        <v>475</v>
      </c>
      <c r="E3171" s="1">
        <v>0</v>
      </c>
      <c r="G3171" s="2">
        <f t="shared" si="49"/>
        <v>0</v>
      </c>
      <c r="H3171" s="2">
        <v>0</v>
      </c>
    </row>
    <row r="3172" spans="2:8">
      <c r="B3172" t="s">
        <v>83</v>
      </c>
      <c r="C3172" t="s">
        <v>845</v>
      </c>
      <c r="D3172" s="7" t="s">
        <v>476</v>
      </c>
      <c r="E3172" s="1">
        <v>0</v>
      </c>
      <c r="G3172" s="2">
        <f t="shared" si="49"/>
        <v>0</v>
      </c>
      <c r="H3172" s="2">
        <v>0</v>
      </c>
    </row>
    <row r="3173" spans="2:8">
      <c r="B3173" t="s">
        <v>83</v>
      </c>
      <c r="C3173" t="s">
        <v>845</v>
      </c>
      <c r="D3173" s="8" t="s">
        <v>477</v>
      </c>
      <c r="E3173" s="1">
        <v>0</v>
      </c>
      <c r="G3173" s="2">
        <f t="shared" si="49"/>
        <v>0</v>
      </c>
      <c r="H3173" s="2">
        <v>0</v>
      </c>
    </row>
    <row r="3174" spans="2:8">
      <c r="B3174" t="s">
        <v>83</v>
      </c>
      <c r="C3174" t="s">
        <v>845</v>
      </c>
      <c r="D3174" s="9" t="s">
        <v>478</v>
      </c>
      <c r="E3174" s="1">
        <v>0</v>
      </c>
      <c r="G3174" s="2">
        <f t="shared" si="49"/>
        <v>0</v>
      </c>
      <c r="H3174" s="2">
        <v>0</v>
      </c>
    </row>
    <row r="3175" spans="2:8">
      <c r="B3175" t="s">
        <v>83</v>
      </c>
      <c r="C3175" t="s">
        <v>845</v>
      </c>
      <c r="D3175" s="10" t="s">
        <v>479</v>
      </c>
      <c r="E3175" s="1">
        <v>0</v>
      </c>
      <c r="G3175" s="2">
        <f t="shared" si="49"/>
        <v>0</v>
      </c>
      <c r="H3175" s="2">
        <v>0</v>
      </c>
    </row>
    <row r="3176" spans="2:8">
      <c r="B3176" t="s">
        <v>83</v>
      </c>
      <c r="C3176" t="s">
        <v>845</v>
      </c>
      <c r="D3176" s="11" t="s">
        <v>480</v>
      </c>
      <c r="E3176" s="1">
        <v>0</v>
      </c>
      <c r="G3176" s="2">
        <f t="shared" si="49"/>
        <v>0</v>
      </c>
      <c r="H3176" s="2">
        <v>0</v>
      </c>
    </row>
    <row r="3177" spans="2:8">
      <c r="B3177" t="s">
        <v>83</v>
      </c>
      <c r="C3177" t="s">
        <v>845</v>
      </c>
      <c r="D3177" s="13" t="s">
        <v>481</v>
      </c>
      <c r="E3177" s="1">
        <v>0</v>
      </c>
      <c r="G3177" s="2">
        <f t="shared" si="49"/>
        <v>0</v>
      </c>
      <c r="H3177" s="2">
        <v>0</v>
      </c>
    </row>
    <row r="3178" spans="2:8">
      <c r="B3178" t="s">
        <v>83</v>
      </c>
      <c r="C3178" t="s">
        <v>845</v>
      </c>
      <c r="D3178" s="12" t="s">
        <v>1033</v>
      </c>
      <c r="E3178" s="1">
        <v>0</v>
      </c>
      <c r="G3178" s="2">
        <f t="shared" si="49"/>
        <v>0</v>
      </c>
      <c r="H3178" s="2">
        <v>0</v>
      </c>
    </row>
    <row r="3179" spans="2:8">
      <c r="B3179" t="s">
        <v>91</v>
      </c>
      <c r="C3179" t="s">
        <v>846</v>
      </c>
      <c r="D3179" s="5" t="s">
        <v>474</v>
      </c>
      <c r="E3179" s="1">
        <v>0</v>
      </c>
      <c r="G3179" s="2">
        <f t="shared" si="49"/>
        <v>0</v>
      </c>
      <c r="H3179" s="2">
        <v>0</v>
      </c>
    </row>
    <row r="3180" spans="2:8">
      <c r="B3180" t="s">
        <v>91</v>
      </c>
      <c r="C3180" t="s">
        <v>846</v>
      </c>
      <c r="D3180" s="6" t="s">
        <v>475</v>
      </c>
      <c r="E3180" s="1">
        <v>0</v>
      </c>
      <c r="G3180" s="2">
        <f t="shared" si="49"/>
        <v>0</v>
      </c>
      <c r="H3180" s="2">
        <v>0</v>
      </c>
    </row>
    <row r="3181" spans="2:8">
      <c r="B3181" t="s">
        <v>91</v>
      </c>
      <c r="C3181" t="s">
        <v>846</v>
      </c>
      <c r="D3181" s="7" t="s">
        <v>476</v>
      </c>
      <c r="E3181" s="1">
        <v>0</v>
      </c>
      <c r="G3181" s="2">
        <f t="shared" si="49"/>
        <v>0</v>
      </c>
      <c r="H3181" s="2">
        <v>0</v>
      </c>
    </row>
    <row r="3182" spans="2:8">
      <c r="B3182" t="s">
        <v>91</v>
      </c>
      <c r="C3182" t="s">
        <v>846</v>
      </c>
      <c r="D3182" s="8" t="s">
        <v>477</v>
      </c>
      <c r="E3182" s="1">
        <v>0</v>
      </c>
      <c r="G3182" s="2">
        <f t="shared" si="49"/>
        <v>0</v>
      </c>
      <c r="H3182" s="2">
        <v>0</v>
      </c>
    </row>
    <row r="3183" spans="2:8">
      <c r="B3183" t="s">
        <v>91</v>
      </c>
      <c r="C3183" t="s">
        <v>846</v>
      </c>
      <c r="D3183" s="9" t="s">
        <v>478</v>
      </c>
      <c r="E3183" s="1">
        <v>0</v>
      </c>
      <c r="G3183" s="2">
        <f t="shared" si="49"/>
        <v>0</v>
      </c>
      <c r="H3183" s="2">
        <v>0</v>
      </c>
    </row>
    <row r="3184" spans="2:8">
      <c r="B3184" t="s">
        <v>91</v>
      </c>
      <c r="C3184" t="s">
        <v>846</v>
      </c>
      <c r="D3184" s="10" t="s">
        <v>479</v>
      </c>
      <c r="E3184" s="1">
        <v>0</v>
      </c>
      <c r="G3184" s="2">
        <f t="shared" si="49"/>
        <v>0</v>
      </c>
      <c r="H3184" s="2">
        <v>0</v>
      </c>
    </row>
    <row r="3185" spans="2:8">
      <c r="B3185" t="s">
        <v>91</v>
      </c>
      <c r="C3185" t="s">
        <v>846</v>
      </c>
      <c r="D3185" s="11" t="s">
        <v>480</v>
      </c>
      <c r="E3185" s="1">
        <v>0</v>
      </c>
      <c r="G3185" s="2">
        <f t="shared" si="49"/>
        <v>0</v>
      </c>
      <c r="H3185" s="2">
        <v>0</v>
      </c>
    </row>
    <row r="3186" spans="2:8">
      <c r="B3186" t="s">
        <v>91</v>
      </c>
      <c r="C3186" t="s">
        <v>846</v>
      </c>
      <c r="D3186" s="13" t="s">
        <v>481</v>
      </c>
      <c r="E3186" s="1">
        <v>0</v>
      </c>
      <c r="G3186" s="2">
        <f t="shared" si="49"/>
        <v>0</v>
      </c>
      <c r="H3186" s="2">
        <v>0</v>
      </c>
    </row>
    <row r="3187" spans="2:8">
      <c r="B3187" t="s">
        <v>91</v>
      </c>
      <c r="C3187" t="s">
        <v>846</v>
      </c>
      <c r="D3187" s="12" t="s">
        <v>1033</v>
      </c>
      <c r="E3187" s="1">
        <v>0</v>
      </c>
      <c r="G3187" s="2">
        <f t="shared" si="49"/>
        <v>0</v>
      </c>
      <c r="H3187" s="2">
        <v>0</v>
      </c>
    </row>
    <row r="3188" spans="2:8">
      <c r="B3188" t="s">
        <v>89</v>
      </c>
      <c r="C3188" t="s">
        <v>847</v>
      </c>
      <c r="D3188" s="5" t="s">
        <v>474</v>
      </c>
      <c r="E3188" s="1">
        <v>0</v>
      </c>
      <c r="G3188" s="2">
        <f t="shared" si="49"/>
        <v>0</v>
      </c>
      <c r="H3188" s="2">
        <v>0</v>
      </c>
    </row>
    <row r="3189" spans="2:8">
      <c r="B3189" t="s">
        <v>89</v>
      </c>
      <c r="C3189" t="s">
        <v>847</v>
      </c>
      <c r="D3189" s="6" t="s">
        <v>475</v>
      </c>
      <c r="E3189" s="1">
        <v>0</v>
      </c>
      <c r="G3189" s="2">
        <f t="shared" si="49"/>
        <v>0</v>
      </c>
      <c r="H3189" s="2">
        <v>0</v>
      </c>
    </row>
    <row r="3190" spans="2:8">
      <c r="B3190" t="s">
        <v>89</v>
      </c>
      <c r="C3190" t="s">
        <v>847</v>
      </c>
      <c r="D3190" s="7" t="s">
        <v>476</v>
      </c>
      <c r="E3190" s="1">
        <v>0</v>
      </c>
      <c r="G3190" s="2">
        <f t="shared" si="49"/>
        <v>0</v>
      </c>
      <c r="H3190" s="2">
        <v>0</v>
      </c>
    </row>
    <row r="3191" spans="2:8">
      <c r="B3191" t="s">
        <v>89</v>
      </c>
      <c r="C3191" t="s">
        <v>847</v>
      </c>
      <c r="D3191" s="8" t="s">
        <v>477</v>
      </c>
      <c r="E3191" s="1">
        <v>0</v>
      </c>
      <c r="G3191" s="2">
        <f t="shared" si="49"/>
        <v>0</v>
      </c>
      <c r="H3191" s="2">
        <v>0</v>
      </c>
    </row>
    <row r="3192" spans="2:8">
      <c r="B3192" t="s">
        <v>89</v>
      </c>
      <c r="C3192" t="s">
        <v>847</v>
      </c>
      <c r="D3192" s="9" t="s">
        <v>478</v>
      </c>
      <c r="E3192" s="1">
        <v>0</v>
      </c>
      <c r="G3192" s="2">
        <f t="shared" si="49"/>
        <v>0</v>
      </c>
      <c r="H3192" s="2">
        <v>0</v>
      </c>
    </row>
    <row r="3193" spans="2:8">
      <c r="B3193" t="s">
        <v>89</v>
      </c>
      <c r="C3193" t="s">
        <v>847</v>
      </c>
      <c r="D3193" s="10" t="s">
        <v>479</v>
      </c>
      <c r="E3193" s="1">
        <v>0</v>
      </c>
      <c r="G3193" s="2">
        <f t="shared" si="49"/>
        <v>0</v>
      </c>
      <c r="H3193" s="2">
        <v>0</v>
      </c>
    </row>
    <row r="3194" spans="2:8">
      <c r="B3194" t="s">
        <v>89</v>
      </c>
      <c r="C3194" t="s">
        <v>847</v>
      </c>
      <c r="D3194" s="11" t="s">
        <v>480</v>
      </c>
      <c r="E3194" s="1">
        <v>0</v>
      </c>
      <c r="G3194" s="2">
        <f t="shared" si="49"/>
        <v>0</v>
      </c>
      <c r="H3194" s="2">
        <v>0</v>
      </c>
    </row>
    <row r="3195" spans="2:8">
      <c r="B3195" t="s">
        <v>89</v>
      </c>
      <c r="C3195" t="s">
        <v>847</v>
      </c>
      <c r="D3195" s="13" t="s">
        <v>481</v>
      </c>
      <c r="E3195" s="1">
        <v>0</v>
      </c>
      <c r="G3195" s="2">
        <f t="shared" si="49"/>
        <v>0</v>
      </c>
      <c r="H3195" s="2">
        <v>0</v>
      </c>
    </row>
    <row r="3196" spans="2:8">
      <c r="B3196" t="s">
        <v>89</v>
      </c>
      <c r="C3196" t="s">
        <v>847</v>
      </c>
      <c r="D3196" s="12" t="s">
        <v>1033</v>
      </c>
      <c r="E3196" s="1">
        <v>0</v>
      </c>
      <c r="G3196" s="2">
        <f t="shared" si="49"/>
        <v>0</v>
      </c>
      <c r="H3196" s="2">
        <v>0</v>
      </c>
    </row>
    <row r="3197" spans="2:8">
      <c r="B3197" t="s">
        <v>84</v>
      </c>
      <c r="C3197" t="s">
        <v>848</v>
      </c>
      <c r="D3197" s="5" t="s">
        <v>474</v>
      </c>
      <c r="E3197" s="1">
        <v>0</v>
      </c>
      <c r="G3197" s="2">
        <f t="shared" si="49"/>
        <v>0</v>
      </c>
      <c r="H3197" s="2">
        <v>0</v>
      </c>
    </row>
    <row r="3198" spans="2:8">
      <c r="B3198" t="s">
        <v>84</v>
      </c>
      <c r="C3198" t="s">
        <v>848</v>
      </c>
      <c r="D3198" s="6" t="s">
        <v>475</v>
      </c>
      <c r="E3198" s="1">
        <v>0</v>
      </c>
      <c r="G3198" s="2">
        <f t="shared" si="49"/>
        <v>0</v>
      </c>
      <c r="H3198" s="2">
        <v>0</v>
      </c>
    </row>
    <row r="3199" spans="2:8">
      <c r="B3199" t="s">
        <v>84</v>
      </c>
      <c r="C3199" t="s">
        <v>848</v>
      </c>
      <c r="D3199" s="7" t="s">
        <v>476</v>
      </c>
      <c r="E3199" s="1">
        <v>0</v>
      </c>
      <c r="G3199" s="2">
        <f t="shared" si="49"/>
        <v>0</v>
      </c>
      <c r="H3199" s="2">
        <v>0</v>
      </c>
    </row>
    <row r="3200" spans="2:8">
      <c r="B3200" t="s">
        <v>84</v>
      </c>
      <c r="C3200" t="s">
        <v>848</v>
      </c>
      <c r="D3200" s="8" t="s">
        <v>477</v>
      </c>
      <c r="E3200" s="1">
        <v>0</v>
      </c>
      <c r="G3200" s="2">
        <f t="shared" si="49"/>
        <v>0</v>
      </c>
      <c r="H3200" s="2">
        <v>0</v>
      </c>
    </row>
    <row r="3201" spans="2:8">
      <c r="B3201" t="s">
        <v>84</v>
      </c>
      <c r="C3201" t="s">
        <v>848</v>
      </c>
      <c r="D3201" s="9" t="s">
        <v>478</v>
      </c>
      <c r="E3201" s="1">
        <v>0</v>
      </c>
      <c r="G3201" s="2">
        <f t="shared" si="49"/>
        <v>0</v>
      </c>
      <c r="H3201" s="2">
        <v>0</v>
      </c>
    </row>
    <row r="3202" spans="2:8">
      <c r="B3202" t="s">
        <v>84</v>
      </c>
      <c r="C3202" t="s">
        <v>848</v>
      </c>
      <c r="D3202" s="10" t="s">
        <v>479</v>
      </c>
      <c r="E3202" s="1">
        <v>0</v>
      </c>
      <c r="G3202" s="2">
        <f t="shared" ref="G3202:G3265" si="50">E3202*F3202</f>
        <v>0</v>
      </c>
      <c r="H3202" s="2">
        <v>0</v>
      </c>
    </row>
    <row r="3203" spans="2:8">
      <c r="B3203" t="s">
        <v>84</v>
      </c>
      <c r="C3203" t="s">
        <v>848</v>
      </c>
      <c r="D3203" s="11" t="s">
        <v>480</v>
      </c>
      <c r="E3203" s="1">
        <v>0</v>
      </c>
      <c r="G3203" s="2">
        <f t="shared" si="50"/>
        <v>0</v>
      </c>
      <c r="H3203" s="2">
        <v>0</v>
      </c>
    </row>
    <row r="3204" spans="2:8">
      <c r="B3204" t="s">
        <v>84</v>
      </c>
      <c r="C3204" t="s">
        <v>848</v>
      </c>
      <c r="D3204" s="13" t="s">
        <v>481</v>
      </c>
      <c r="E3204" s="1">
        <v>0</v>
      </c>
      <c r="G3204" s="2">
        <f t="shared" si="50"/>
        <v>0</v>
      </c>
      <c r="H3204" s="2">
        <v>0</v>
      </c>
    </row>
    <row r="3205" spans="2:8">
      <c r="B3205" t="s">
        <v>84</v>
      </c>
      <c r="C3205" t="s">
        <v>848</v>
      </c>
      <c r="D3205" s="12" t="s">
        <v>1033</v>
      </c>
      <c r="E3205" s="1">
        <v>0</v>
      </c>
      <c r="G3205" s="2">
        <f t="shared" si="50"/>
        <v>0</v>
      </c>
      <c r="H3205" s="2">
        <v>0</v>
      </c>
    </row>
    <row r="3206" spans="2:8">
      <c r="B3206" t="s">
        <v>85</v>
      </c>
      <c r="C3206" t="s">
        <v>849</v>
      </c>
      <c r="D3206" s="5" t="s">
        <v>474</v>
      </c>
      <c r="E3206" s="1">
        <v>0</v>
      </c>
      <c r="G3206" s="2">
        <f t="shared" si="50"/>
        <v>0</v>
      </c>
      <c r="H3206" s="2">
        <v>0</v>
      </c>
    </row>
    <row r="3207" spans="2:8">
      <c r="B3207" t="s">
        <v>85</v>
      </c>
      <c r="C3207" t="s">
        <v>849</v>
      </c>
      <c r="D3207" s="6" t="s">
        <v>475</v>
      </c>
      <c r="E3207" s="1">
        <v>0</v>
      </c>
      <c r="G3207" s="2">
        <f t="shared" si="50"/>
        <v>0</v>
      </c>
      <c r="H3207" s="2">
        <v>0</v>
      </c>
    </row>
    <row r="3208" spans="2:8">
      <c r="B3208" t="s">
        <v>85</v>
      </c>
      <c r="C3208" t="s">
        <v>849</v>
      </c>
      <c r="D3208" s="7" t="s">
        <v>476</v>
      </c>
      <c r="E3208" s="1">
        <v>0</v>
      </c>
      <c r="G3208" s="2">
        <f t="shared" si="50"/>
        <v>0</v>
      </c>
      <c r="H3208" s="2">
        <v>0</v>
      </c>
    </row>
    <row r="3209" spans="2:8">
      <c r="B3209" t="s">
        <v>85</v>
      </c>
      <c r="C3209" t="s">
        <v>849</v>
      </c>
      <c r="D3209" s="8" t="s">
        <v>477</v>
      </c>
      <c r="E3209" s="1">
        <v>0</v>
      </c>
      <c r="G3209" s="2">
        <f t="shared" si="50"/>
        <v>0</v>
      </c>
      <c r="H3209" s="2">
        <v>0</v>
      </c>
    </row>
    <row r="3210" spans="2:8">
      <c r="B3210" t="s">
        <v>85</v>
      </c>
      <c r="C3210" t="s">
        <v>849</v>
      </c>
      <c r="D3210" s="9" t="s">
        <v>478</v>
      </c>
      <c r="E3210" s="1">
        <v>0</v>
      </c>
      <c r="G3210" s="2">
        <f t="shared" si="50"/>
        <v>0</v>
      </c>
      <c r="H3210" s="2">
        <v>0</v>
      </c>
    </row>
    <row r="3211" spans="2:8">
      <c r="B3211" t="s">
        <v>85</v>
      </c>
      <c r="C3211" t="s">
        <v>849</v>
      </c>
      <c r="D3211" s="10" t="s">
        <v>479</v>
      </c>
      <c r="E3211" s="1">
        <v>0</v>
      </c>
      <c r="G3211" s="2">
        <f t="shared" si="50"/>
        <v>0</v>
      </c>
      <c r="H3211" s="2">
        <v>0</v>
      </c>
    </row>
    <row r="3212" spans="2:8">
      <c r="B3212" t="s">
        <v>85</v>
      </c>
      <c r="C3212" t="s">
        <v>849</v>
      </c>
      <c r="D3212" s="11" t="s">
        <v>480</v>
      </c>
      <c r="E3212" s="1">
        <v>0</v>
      </c>
      <c r="G3212" s="2">
        <f t="shared" si="50"/>
        <v>0</v>
      </c>
      <c r="H3212" s="2">
        <v>0</v>
      </c>
    </row>
    <row r="3213" spans="2:8">
      <c r="B3213" t="s">
        <v>85</v>
      </c>
      <c r="C3213" t="s">
        <v>849</v>
      </c>
      <c r="D3213" s="13" t="s">
        <v>481</v>
      </c>
      <c r="E3213" s="1">
        <v>0</v>
      </c>
      <c r="G3213" s="2">
        <f t="shared" si="50"/>
        <v>0</v>
      </c>
      <c r="H3213" s="2">
        <v>0</v>
      </c>
    </row>
    <row r="3214" spans="2:8">
      <c r="B3214" t="s">
        <v>85</v>
      </c>
      <c r="C3214" t="s">
        <v>849</v>
      </c>
      <c r="D3214" s="12" t="s">
        <v>1033</v>
      </c>
      <c r="E3214" s="1">
        <v>0</v>
      </c>
      <c r="G3214" s="2">
        <f t="shared" si="50"/>
        <v>0</v>
      </c>
      <c r="H3214" s="2">
        <v>0</v>
      </c>
    </row>
    <row r="3215" spans="2:8">
      <c r="B3215" t="s">
        <v>75</v>
      </c>
      <c r="C3215" t="s">
        <v>850</v>
      </c>
      <c r="D3215" s="5" t="s">
        <v>474</v>
      </c>
      <c r="E3215" s="1">
        <v>0</v>
      </c>
      <c r="G3215" s="2">
        <f t="shared" si="50"/>
        <v>0</v>
      </c>
      <c r="H3215" s="2">
        <v>0</v>
      </c>
    </row>
    <row r="3216" spans="2:8">
      <c r="B3216" t="s">
        <v>75</v>
      </c>
      <c r="C3216" t="s">
        <v>850</v>
      </c>
      <c r="D3216" s="6" t="s">
        <v>475</v>
      </c>
      <c r="E3216" s="1">
        <v>0</v>
      </c>
      <c r="G3216" s="2">
        <f t="shared" si="50"/>
        <v>0</v>
      </c>
      <c r="H3216" s="2">
        <v>0</v>
      </c>
    </row>
    <row r="3217" spans="2:8">
      <c r="B3217" t="s">
        <v>75</v>
      </c>
      <c r="C3217" t="s">
        <v>850</v>
      </c>
      <c r="D3217" s="7" t="s">
        <v>476</v>
      </c>
      <c r="E3217" s="1">
        <v>0</v>
      </c>
      <c r="G3217" s="2">
        <f t="shared" si="50"/>
        <v>0</v>
      </c>
      <c r="H3217" s="2">
        <v>0</v>
      </c>
    </row>
    <row r="3218" spans="2:8">
      <c r="B3218" t="s">
        <v>75</v>
      </c>
      <c r="C3218" t="s">
        <v>850</v>
      </c>
      <c r="D3218" s="8" t="s">
        <v>477</v>
      </c>
      <c r="E3218" s="1">
        <v>0</v>
      </c>
      <c r="G3218" s="2">
        <f t="shared" si="50"/>
        <v>0</v>
      </c>
      <c r="H3218" s="2">
        <v>0</v>
      </c>
    </row>
    <row r="3219" spans="2:8">
      <c r="B3219" t="s">
        <v>75</v>
      </c>
      <c r="C3219" t="s">
        <v>850</v>
      </c>
      <c r="D3219" s="9" t="s">
        <v>478</v>
      </c>
      <c r="E3219" s="1">
        <v>0</v>
      </c>
      <c r="G3219" s="2">
        <f t="shared" si="50"/>
        <v>0</v>
      </c>
      <c r="H3219" s="2">
        <v>0</v>
      </c>
    </row>
    <row r="3220" spans="2:8">
      <c r="B3220" t="s">
        <v>75</v>
      </c>
      <c r="C3220" t="s">
        <v>850</v>
      </c>
      <c r="D3220" s="10" t="s">
        <v>479</v>
      </c>
      <c r="E3220" s="1">
        <v>0</v>
      </c>
      <c r="G3220" s="2">
        <f t="shared" si="50"/>
        <v>0</v>
      </c>
      <c r="H3220" s="2">
        <v>0</v>
      </c>
    </row>
    <row r="3221" spans="2:8">
      <c r="B3221" t="s">
        <v>75</v>
      </c>
      <c r="C3221" t="s">
        <v>850</v>
      </c>
      <c r="D3221" s="11" t="s">
        <v>480</v>
      </c>
      <c r="E3221" s="1">
        <v>0</v>
      </c>
      <c r="G3221" s="2">
        <f t="shared" si="50"/>
        <v>0</v>
      </c>
      <c r="H3221" s="2">
        <v>0</v>
      </c>
    </row>
    <row r="3222" spans="2:8">
      <c r="B3222" t="s">
        <v>75</v>
      </c>
      <c r="C3222" t="s">
        <v>850</v>
      </c>
      <c r="D3222" s="13" t="s">
        <v>481</v>
      </c>
      <c r="E3222" s="1">
        <v>0</v>
      </c>
      <c r="G3222" s="2">
        <f t="shared" si="50"/>
        <v>0</v>
      </c>
      <c r="H3222" s="2">
        <v>0</v>
      </c>
    </row>
    <row r="3223" spans="2:8">
      <c r="B3223" t="s">
        <v>75</v>
      </c>
      <c r="C3223" t="s">
        <v>850</v>
      </c>
      <c r="D3223" s="12" t="s">
        <v>1033</v>
      </c>
      <c r="E3223" s="1">
        <v>0</v>
      </c>
      <c r="G3223" s="2">
        <f t="shared" si="50"/>
        <v>0</v>
      </c>
      <c r="H3223" s="2">
        <v>0</v>
      </c>
    </row>
    <row r="3224" spans="2:8">
      <c r="B3224" t="s">
        <v>76</v>
      </c>
      <c r="C3224" t="s">
        <v>851</v>
      </c>
      <c r="D3224" s="5" t="s">
        <v>474</v>
      </c>
      <c r="E3224" s="1">
        <v>0</v>
      </c>
      <c r="G3224" s="2">
        <f t="shared" si="50"/>
        <v>0</v>
      </c>
      <c r="H3224" s="2">
        <v>0</v>
      </c>
    </row>
    <row r="3225" spans="2:8">
      <c r="B3225" t="s">
        <v>76</v>
      </c>
      <c r="C3225" t="s">
        <v>851</v>
      </c>
      <c r="D3225" s="6" t="s">
        <v>475</v>
      </c>
      <c r="E3225" s="1">
        <v>0</v>
      </c>
      <c r="G3225" s="2">
        <f t="shared" si="50"/>
        <v>0</v>
      </c>
      <c r="H3225" s="2">
        <v>0</v>
      </c>
    </row>
    <row r="3226" spans="2:8">
      <c r="B3226" t="s">
        <v>76</v>
      </c>
      <c r="C3226" t="s">
        <v>851</v>
      </c>
      <c r="D3226" s="7" t="s">
        <v>476</v>
      </c>
      <c r="E3226" s="1">
        <v>0</v>
      </c>
      <c r="G3226" s="2">
        <f t="shared" si="50"/>
        <v>0</v>
      </c>
      <c r="H3226" s="2">
        <v>0</v>
      </c>
    </row>
    <row r="3227" spans="2:8">
      <c r="B3227" t="s">
        <v>76</v>
      </c>
      <c r="C3227" t="s">
        <v>851</v>
      </c>
      <c r="D3227" s="8" t="s">
        <v>477</v>
      </c>
      <c r="E3227" s="1">
        <v>0</v>
      </c>
      <c r="G3227" s="2">
        <f t="shared" si="50"/>
        <v>0</v>
      </c>
      <c r="H3227" s="2">
        <v>0</v>
      </c>
    </row>
    <row r="3228" spans="2:8">
      <c r="B3228" t="s">
        <v>76</v>
      </c>
      <c r="C3228" t="s">
        <v>851</v>
      </c>
      <c r="D3228" s="9" t="s">
        <v>478</v>
      </c>
      <c r="E3228" s="1">
        <v>0</v>
      </c>
      <c r="G3228" s="2">
        <f t="shared" si="50"/>
        <v>0</v>
      </c>
      <c r="H3228" s="2">
        <v>0</v>
      </c>
    </row>
    <row r="3229" spans="2:8">
      <c r="B3229" t="s">
        <v>76</v>
      </c>
      <c r="C3229" t="s">
        <v>851</v>
      </c>
      <c r="D3229" s="10" t="s">
        <v>479</v>
      </c>
      <c r="E3229" s="1">
        <v>0</v>
      </c>
      <c r="G3229" s="2">
        <f t="shared" si="50"/>
        <v>0</v>
      </c>
      <c r="H3229" s="2">
        <v>0</v>
      </c>
    </row>
    <row r="3230" spans="2:8">
      <c r="B3230" t="s">
        <v>76</v>
      </c>
      <c r="C3230" t="s">
        <v>851</v>
      </c>
      <c r="D3230" s="11" t="s">
        <v>480</v>
      </c>
      <c r="E3230" s="1">
        <v>0</v>
      </c>
      <c r="G3230" s="2">
        <f t="shared" si="50"/>
        <v>0</v>
      </c>
      <c r="H3230" s="2">
        <v>0</v>
      </c>
    </row>
    <row r="3231" spans="2:8">
      <c r="B3231" t="s">
        <v>76</v>
      </c>
      <c r="C3231" t="s">
        <v>851</v>
      </c>
      <c r="D3231" s="13" t="s">
        <v>481</v>
      </c>
      <c r="E3231" s="1">
        <v>0</v>
      </c>
      <c r="G3231" s="2">
        <f t="shared" si="50"/>
        <v>0</v>
      </c>
      <c r="H3231" s="2">
        <v>0</v>
      </c>
    </row>
    <row r="3232" spans="2:8">
      <c r="B3232" t="s">
        <v>76</v>
      </c>
      <c r="C3232" t="s">
        <v>851</v>
      </c>
      <c r="D3232" s="12" t="s">
        <v>1033</v>
      </c>
      <c r="E3232" s="1">
        <v>0</v>
      </c>
      <c r="G3232" s="2">
        <f t="shared" si="50"/>
        <v>0</v>
      </c>
      <c r="H3232" s="2">
        <v>0</v>
      </c>
    </row>
    <row r="3233" spans="2:8">
      <c r="B3233" t="s">
        <v>90</v>
      </c>
      <c r="C3233" t="s">
        <v>852</v>
      </c>
      <c r="D3233" s="5" t="s">
        <v>474</v>
      </c>
      <c r="E3233" s="1">
        <v>0</v>
      </c>
      <c r="G3233" s="2">
        <f t="shared" si="50"/>
        <v>0</v>
      </c>
      <c r="H3233" s="2">
        <v>0</v>
      </c>
    </row>
    <row r="3234" spans="2:8">
      <c r="B3234" t="s">
        <v>90</v>
      </c>
      <c r="C3234" t="s">
        <v>852</v>
      </c>
      <c r="D3234" s="6" t="s">
        <v>475</v>
      </c>
      <c r="E3234" s="1">
        <v>0</v>
      </c>
      <c r="G3234" s="2">
        <f t="shared" si="50"/>
        <v>0</v>
      </c>
      <c r="H3234" s="2">
        <v>0</v>
      </c>
    </row>
    <row r="3235" spans="2:8">
      <c r="B3235" t="s">
        <v>90</v>
      </c>
      <c r="C3235" t="s">
        <v>852</v>
      </c>
      <c r="D3235" s="7" t="s">
        <v>476</v>
      </c>
      <c r="E3235" s="1">
        <v>0</v>
      </c>
      <c r="G3235" s="2">
        <f t="shared" si="50"/>
        <v>0</v>
      </c>
      <c r="H3235" s="2">
        <v>0</v>
      </c>
    </row>
    <row r="3236" spans="2:8">
      <c r="B3236" t="s">
        <v>90</v>
      </c>
      <c r="C3236" t="s">
        <v>852</v>
      </c>
      <c r="D3236" s="8" t="s">
        <v>477</v>
      </c>
      <c r="E3236" s="1">
        <v>0</v>
      </c>
      <c r="G3236" s="2">
        <f t="shared" si="50"/>
        <v>0</v>
      </c>
      <c r="H3236" s="2">
        <v>0</v>
      </c>
    </row>
    <row r="3237" spans="2:8">
      <c r="B3237" t="s">
        <v>90</v>
      </c>
      <c r="C3237" t="s">
        <v>852</v>
      </c>
      <c r="D3237" s="9" t="s">
        <v>478</v>
      </c>
      <c r="E3237" s="1">
        <v>0</v>
      </c>
      <c r="G3237" s="2">
        <f t="shared" si="50"/>
        <v>0</v>
      </c>
      <c r="H3237" s="2">
        <v>0</v>
      </c>
    </row>
    <row r="3238" spans="2:8">
      <c r="B3238" t="s">
        <v>90</v>
      </c>
      <c r="C3238" t="s">
        <v>852</v>
      </c>
      <c r="D3238" s="10" t="s">
        <v>479</v>
      </c>
      <c r="E3238" s="1">
        <v>0</v>
      </c>
      <c r="G3238" s="2">
        <f t="shared" si="50"/>
        <v>0</v>
      </c>
      <c r="H3238" s="2">
        <v>0</v>
      </c>
    </row>
    <row r="3239" spans="2:8">
      <c r="B3239" t="s">
        <v>90</v>
      </c>
      <c r="C3239" t="s">
        <v>852</v>
      </c>
      <c r="D3239" s="11" t="s">
        <v>480</v>
      </c>
      <c r="E3239" s="1">
        <v>0</v>
      </c>
      <c r="G3239" s="2">
        <f t="shared" si="50"/>
        <v>0</v>
      </c>
      <c r="H3239" s="2">
        <v>0</v>
      </c>
    </row>
    <row r="3240" spans="2:8">
      <c r="B3240" t="s">
        <v>90</v>
      </c>
      <c r="C3240" t="s">
        <v>852</v>
      </c>
      <c r="D3240" s="13" t="s">
        <v>481</v>
      </c>
      <c r="E3240" s="1">
        <v>0</v>
      </c>
      <c r="G3240" s="2">
        <f t="shared" si="50"/>
        <v>0</v>
      </c>
      <c r="H3240" s="2">
        <v>0</v>
      </c>
    </row>
    <row r="3241" spans="2:8">
      <c r="B3241" t="s">
        <v>90</v>
      </c>
      <c r="C3241" t="s">
        <v>852</v>
      </c>
      <c r="D3241" s="12" t="s">
        <v>1033</v>
      </c>
      <c r="E3241" s="1">
        <v>0</v>
      </c>
      <c r="G3241" s="2">
        <f t="shared" si="50"/>
        <v>0</v>
      </c>
      <c r="H3241" s="2">
        <v>0</v>
      </c>
    </row>
    <row r="3242" spans="2:8">
      <c r="B3242" t="s">
        <v>77</v>
      </c>
      <c r="C3242" t="s">
        <v>853</v>
      </c>
      <c r="D3242" s="5" t="s">
        <v>474</v>
      </c>
      <c r="E3242" s="1">
        <v>0</v>
      </c>
      <c r="G3242" s="2">
        <f t="shared" si="50"/>
        <v>0</v>
      </c>
      <c r="H3242" s="2">
        <v>0</v>
      </c>
    </row>
    <row r="3243" spans="2:8">
      <c r="B3243" t="s">
        <v>77</v>
      </c>
      <c r="C3243" t="s">
        <v>853</v>
      </c>
      <c r="D3243" s="6" t="s">
        <v>475</v>
      </c>
      <c r="E3243" s="1">
        <v>0</v>
      </c>
      <c r="G3243" s="2">
        <f t="shared" si="50"/>
        <v>0</v>
      </c>
      <c r="H3243" s="2">
        <v>0</v>
      </c>
    </row>
    <row r="3244" spans="2:8">
      <c r="B3244" t="s">
        <v>77</v>
      </c>
      <c r="C3244" t="s">
        <v>853</v>
      </c>
      <c r="D3244" s="7" t="s">
        <v>476</v>
      </c>
      <c r="E3244" s="1">
        <v>0</v>
      </c>
      <c r="G3244" s="2">
        <f t="shared" si="50"/>
        <v>0</v>
      </c>
      <c r="H3244" s="2">
        <v>0</v>
      </c>
    </row>
    <row r="3245" spans="2:8">
      <c r="B3245" t="s">
        <v>77</v>
      </c>
      <c r="C3245" t="s">
        <v>853</v>
      </c>
      <c r="D3245" s="8" t="s">
        <v>477</v>
      </c>
      <c r="E3245" s="1">
        <v>0</v>
      </c>
      <c r="G3245" s="2">
        <f t="shared" si="50"/>
        <v>0</v>
      </c>
      <c r="H3245" s="2">
        <v>0</v>
      </c>
    </row>
    <row r="3246" spans="2:8">
      <c r="B3246" t="s">
        <v>77</v>
      </c>
      <c r="C3246" t="s">
        <v>853</v>
      </c>
      <c r="D3246" s="9" t="s">
        <v>478</v>
      </c>
      <c r="E3246" s="1">
        <v>0</v>
      </c>
      <c r="G3246" s="2">
        <f t="shared" si="50"/>
        <v>0</v>
      </c>
      <c r="H3246" s="2">
        <v>0</v>
      </c>
    </row>
    <row r="3247" spans="2:8">
      <c r="B3247" t="s">
        <v>77</v>
      </c>
      <c r="C3247" t="s">
        <v>853</v>
      </c>
      <c r="D3247" s="10" t="s">
        <v>479</v>
      </c>
      <c r="E3247" s="1">
        <v>0</v>
      </c>
      <c r="G3247" s="2">
        <f t="shared" si="50"/>
        <v>0</v>
      </c>
      <c r="H3247" s="2">
        <v>0</v>
      </c>
    </row>
    <row r="3248" spans="2:8">
      <c r="B3248" t="s">
        <v>77</v>
      </c>
      <c r="C3248" t="s">
        <v>853</v>
      </c>
      <c r="D3248" s="11" t="s">
        <v>480</v>
      </c>
      <c r="E3248" s="1">
        <v>0</v>
      </c>
      <c r="G3248" s="2">
        <f t="shared" si="50"/>
        <v>0</v>
      </c>
      <c r="H3248" s="2">
        <v>0</v>
      </c>
    </row>
    <row r="3249" spans="2:8">
      <c r="B3249" t="s">
        <v>77</v>
      </c>
      <c r="C3249" t="s">
        <v>853</v>
      </c>
      <c r="D3249" s="13" t="s">
        <v>481</v>
      </c>
      <c r="E3249" s="1">
        <v>0</v>
      </c>
      <c r="G3249" s="2">
        <f t="shared" si="50"/>
        <v>0</v>
      </c>
      <c r="H3249" s="2">
        <v>0</v>
      </c>
    </row>
    <row r="3250" spans="2:8">
      <c r="B3250" t="s">
        <v>77</v>
      </c>
      <c r="C3250" t="s">
        <v>853</v>
      </c>
      <c r="D3250" s="12" t="s">
        <v>1033</v>
      </c>
      <c r="E3250" s="1">
        <v>0</v>
      </c>
      <c r="G3250" s="2">
        <f t="shared" si="50"/>
        <v>0</v>
      </c>
      <c r="H3250" s="2">
        <v>0</v>
      </c>
    </row>
    <row r="3251" spans="2:8">
      <c r="B3251" t="s">
        <v>78</v>
      </c>
      <c r="C3251" t="s">
        <v>854</v>
      </c>
      <c r="D3251" s="5" t="s">
        <v>474</v>
      </c>
      <c r="E3251" s="1">
        <v>0</v>
      </c>
      <c r="G3251" s="2">
        <f t="shared" si="50"/>
        <v>0</v>
      </c>
      <c r="H3251" s="2">
        <v>0</v>
      </c>
    </row>
    <row r="3252" spans="2:8">
      <c r="B3252" t="s">
        <v>78</v>
      </c>
      <c r="C3252" t="s">
        <v>854</v>
      </c>
      <c r="D3252" s="6" t="s">
        <v>475</v>
      </c>
      <c r="E3252" s="1">
        <v>0</v>
      </c>
      <c r="G3252" s="2">
        <f t="shared" si="50"/>
        <v>0</v>
      </c>
      <c r="H3252" s="2">
        <v>0</v>
      </c>
    </row>
    <row r="3253" spans="2:8">
      <c r="B3253" t="s">
        <v>78</v>
      </c>
      <c r="C3253" t="s">
        <v>854</v>
      </c>
      <c r="D3253" s="7" t="s">
        <v>476</v>
      </c>
      <c r="E3253" s="1">
        <v>0</v>
      </c>
      <c r="G3253" s="2">
        <f t="shared" si="50"/>
        <v>0</v>
      </c>
      <c r="H3253" s="2">
        <v>0</v>
      </c>
    </row>
    <row r="3254" spans="2:8">
      <c r="B3254" t="s">
        <v>78</v>
      </c>
      <c r="C3254" t="s">
        <v>854</v>
      </c>
      <c r="D3254" s="8" t="s">
        <v>477</v>
      </c>
      <c r="E3254" s="1">
        <v>0</v>
      </c>
      <c r="G3254" s="2">
        <f t="shared" si="50"/>
        <v>0</v>
      </c>
      <c r="H3254" s="2">
        <v>0</v>
      </c>
    </row>
    <row r="3255" spans="2:8">
      <c r="B3255" t="s">
        <v>78</v>
      </c>
      <c r="C3255" t="s">
        <v>854</v>
      </c>
      <c r="D3255" s="9" t="s">
        <v>478</v>
      </c>
      <c r="E3255" s="1">
        <v>0</v>
      </c>
      <c r="G3255" s="2">
        <f t="shared" si="50"/>
        <v>0</v>
      </c>
      <c r="H3255" s="2">
        <v>0</v>
      </c>
    </row>
    <row r="3256" spans="2:8">
      <c r="B3256" t="s">
        <v>78</v>
      </c>
      <c r="C3256" t="s">
        <v>854</v>
      </c>
      <c r="D3256" s="10" t="s">
        <v>479</v>
      </c>
      <c r="E3256" s="1">
        <v>0</v>
      </c>
      <c r="G3256" s="2">
        <f t="shared" si="50"/>
        <v>0</v>
      </c>
      <c r="H3256" s="2">
        <v>0</v>
      </c>
    </row>
    <row r="3257" spans="2:8">
      <c r="B3257" t="s">
        <v>78</v>
      </c>
      <c r="C3257" t="s">
        <v>854</v>
      </c>
      <c r="D3257" s="11" t="s">
        <v>480</v>
      </c>
      <c r="E3257" s="1">
        <v>0</v>
      </c>
      <c r="G3257" s="2">
        <f t="shared" si="50"/>
        <v>0</v>
      </c>
      <c r="H3257" s="2">
        <v>0</v>
      </c>
    </row>
    <row r="3258" spans="2:8">
      <c r="B3258" t="s">
        <v>78</v>
      </c>
      <c r="C3258" t="s">
        <v>854</v>
      </c>
      <c r="D3258" s="13" t="s">
        <v>481</v>
      </c>
      <c r="E3258" s="1">
        <v>0</v>
      </c>
      <c r="G3258" s="2">
        <f t="shared" si="50"/>
        <v>0</v>
      </c>
      <c r="H3258" s="2">
        <v>0</v>
      </c>
    </row>
    <row r="3259" spans="2:8">
      <c r="B3259" t="s">
        <v>78</v>
      </c>
      <c r="C3259" t="s">
        <v>854</v>
      </c>
      <c r="D3259" s="12" t="s">
        <v>1033</v>
      </c>
      <c r="E3259" s="1">
        <v>0</v>
      </c>
      <c r="G3259" s="2">
        <f t="shared" si="50"/>
        <v>0</v>
      </c>
      <c r="H3259" s="2">
        <v>0</v>
      </c>
    </row>
    <row r="3260" spans="2:8">
      <c r="B3260" t="s">
        <v>68</v>
      </c>
      <c r="C3260" t="s">
        <v>855</v>
      </c>
      <c r="D3260" s="5" t="s">
        <v>474</v>
      </c>
      <c r="E3260" s="1">
        <v>0</v>
      </c>
      <c r="G3260" s="2">
        <f t="shared" si="50"/>
        <v>0</v>
      </c>
      <c r="H3260" s="2">
        <v>0</v>
      </c>
    </row>
    <row r="3261" spans="2:8">
      <c r="B3261" t="s">
        <v>68</v>
      </c>
      <c r="C3261" t="s">
        <v>855</v>
      </c>
      <c r="D3261" s="6" t="s">
        <v>475</v>
      </c>
      <c r="E3261" s="1">
        <v>0</v>
      </c>
      <c r="G3261" s="2">
        <f t="shared" si="50"/>
        <v>0</v>
      </c>
      <c r="H3261" s="2">
        <v>0</v>
      </c>
    </row>
    <row r="3262" spans="2:8">
      <c r="B3262" t="s">
        <v>68</v>
      </c>
      <c r="C3262" t="s">
        <v>855</v>
      </c>
      <c r="D3262" s="7" t="s">
        <v>476</v>
      </c>
      <c r="E3262" s="1">
        <v>0</v>
      </c>
      <c r="G3262" s="2">
        <f t="shared" si="50"/>
        <v>0</v>
      </c>
      <c r="H3262" s="2">
        <v>0</v>
      </c>
    </row>
    <row r="3263" spans="2:8">
      <c r="B3263" t="s">
        <v>68</v>
      </c>
      <c r="C3263" t="s">
        <v>855</v>
      </c>
      <c r="D3263" s="8" t="s">
        <v>477</v>
      </c>
      <c r="E3263" s="1">
        <v>0</v>
      </c>
      <c r="G3263" s="2">
        <f t="shared" si="50"/>
        <v>0</v>
      </c>
      <c r="H3263" s="2">
        <v>0</v>
      </c>
    </row>
    <row r="3264" spans="2:8">
      <c r="B3264" t="s">
        <v>68</v>
      </c>
      <c r="C3264" t="s">
        <v>855</v>
      </c>
      <c r="D3264" s="9" t="s">
        <v>478</v>
      </c>
      <c r="E3264" s="1">
        <v>0</v>
      </c>
      <c r="G3264" s="2">
        <f t="shared" si="50"/>
        <v>0</v>
      </c>
      <c r="H3264" s="2">
        <v>0</v>
      </c>
    </row>
    <row r="3265" spans="2:8">
      <c r="B3265" t="s">
        <v>68</v>
      </c>
      <c r="C3265" t="s">
        <v>855</v>
      </c>
      <c r="D3265" s="10" t="s">
        <v>479</v>
      </c>
      <c r="E3265" s="1">
        <v>0</v>
      </c>
      <c r="G3265" s="2">
        <f t="shared" si="50"/>
        <v>0</v>
      </c>
      <c r="H3265" s="2">
        <v>0</v>
      </c>
    </row>
    <row r="3266" spans="2:8">
      <c r="B3266" t="s">
        <v>68</v>
      </c>
      <c r="C3266" t="s">
        <v>855</v>
      </c>
      <c r="D3266" s="11" t="s">
        <v>480</v>
      </c>
      <c r="E3266" s="1">
        <v>0</v>
      </c>
      <c r="G3266" s="2">
        <f t="shared" ref="G3266:G3329" si="51">E3266*F3266</f>
        <v>0</v>
      </c>
      <c r="H3266" s="2">
        <v>0</v>
      </c>
    </row>
    <row r="3267" spans="2:8">
      <c r="B3267" t="s">
        <v>68</v>
      </c>
      <c r="C3267" t="s">
        <v>855</v>
      </c>
      <c r="D3267" s="13" t="s">
        <v>481</v>
      </c>
      <c r="E3267" s="1">
        <v>0</v>
      </c>
      <c r="G3267" s="2">
        <f t="shared" si="51"/>
        <v>0</v>
      </c>
      <c r="H3267" s="2">
        <v>0</v>
      </c>
    </row>
    <row r="3268" spans="2:8">
      <c r="B3268" t="s">
        <v>68</v>
      </c>
      <c r="C3268" t="s">
        <v>855</v>
      </c>
      <c r="D3268" s="12" t="s">
        <v>1033</v>
      </c>
      <c r="E3268" s="1">
        <v>0</v>
      </c>
      <c r="G3268" s="2">
        <f t="shared" si="51"/>
        <v>0</v>
      </c>
      <c r="H3268" s="2">
        <v>0</v>
      </c>
    </row>
    <row r="3269" spans="2:8">
      <c r="B3269" t="s">
        <v>66</v>
      </c>
      <c r="C3269" t="s">
        <v>856</v>
      </c>
      <c r="D3269" s="5" t="s">
        <v>474</v>
      </c>
      <c r="E3269" s="1">
        <v>0</v>
      </c>
      <c r="G3269" s="2">
        <f t="shared" si="51"/>
        <v>0</v>
      </c>
      <c r="H3269" s="2">
        <v>0</v>
      </c>
    </row>
    <row r="3270" spans="2:8">
      <c r="B3270" t="s">
        <v>66</v>
      </c>
      <c r="C3270" t="s">
        <v>856</v>
      </c>
      <c r="D3270" s="6" t="s">
        <v>475</v>
      </c>
      <c r="E3270" s="1">
        <v>0</v>
      </c>
      <c r="G3270" s="2">
        <f t="shared" si="51"/>
        <v>0</v>
      </c>
      <c r="H3270" s="2">
        <v>0</v>
      </c>
    </row>
    <row r="3271" spans="2:8">
      <c r="B3271" t="s">
        <v>66</v>
      </c>
      <c r="C3271" t="s">
        <v>856</v>
      </c>
      <c r="D3271" s="7" t="s">
        <v>476</v>
      </c>
      <c r="E3271" s="1">
        <v>0</v>
      </c>
      <c r="G3271" s="2">
        <f t="shared" si="51"/>
        <v>0</v>
      </c>
      <c r="H3271" s="2">
        <v>0</v>
      </c>
    </row>
    <row r="3272" spans="2:8">
      <c r="B3272" t="s">
        <v>66</v>
      </c>
      <c r="C3272" t="s">
        <v>856</v>
      </c>
      <c r="D3272" s="8" t="s">
        <v>477</v>
      </c>
      <c r="E3272" s="1">
        <v>0</v>
      </c>
      <c r="G3272" s="2">
        <f t="shared" si="51"/>
        <v>0</v>
      </c>
      <c r="H3272" s="2">
        <v>0</v>
      </c>
    </row>
    <row r="3273" spans="2:8">
      <c r="B3273" t="s">
        <v>66</v>
      </c>
      <c r="C3273" t="s">
        <v>856</v>
      </c>
      <c r="D3273" s="9" t="s">
        <v>478</v>
      </c>
      <c r="E3273" s="1">
        <v>0</v>
      </c>
      <c r="G3273" s="2">
        <f t="shared" si="51"/>
        <v>0</v>
      </c>
      <c r="H3273" s="2">
        <v>0</v>
      </c>
    </row>
    <row r="3274" spans="2:8">
      <c r="B3274" t="s">
        <v>66</v>
      </c>
      <c r="C3274" t="s">
        <v>856</v>
      </c>
      <c r="D3274" s="10" t="s">
        <v>479</v>
      </c>
      <c r="E3274" s="1">
        <v>0</v>
      </c>
      <c r="G3274" s="2">
        <f t="shared" si="51"/>
        <v>0</v>
      </c>
      <c r="H3274" s="2">
        <v>0</v>
      </c>
    </row>
    <row r="3275" spans="2:8">
      <c r="B3275" t="s">
        <v>66</v>
      </c>
      <c r="C3275" t="s">
        <v>856</v>
      </c>
      <c r="D3275" s="11" t="s">
        <v>480</v>
      </c>
      <c r="E3275" s="1">
        <v>0</v>
      </c>
      <c r="G3275" s="2">
        <f t="shared" si="51"/>
        <v>0</v>
      </c>
      <c r="H3275" s="2">
        <v>0</v>
      </c>
    </row>
    <row r="3276" spans="2:8">
      <c r="B3276" t="s">
        <v>66</v>
      </c>
      <c r="C3276" t="s">
        <v>856</v>
      </c>
      <c r="D3276" s="13" t="s">
        <v>481</v>
      </c>
      <c r="E3276" s="1">
        <v>0</v>
      </c>
      <c r="G3276" s="2">
        <f t="shared" si="51"/>
        <v>0</v>
      </c>
      <c r="H3276" s="2">
        <v>0</v>
      </c>
    </row>
    <row r="3277" spans="2:8">
      <c r="B3277" t="s">
        <v>66</v>
      </c>
      <c r="C3277" t="s">
        <v>856</v>
      </c>
      <c r="D3277" s="12" t="s">
        <v>1033</v>
      </c>
      <c r="E3277" s="1">
        <v>0</v>
      </c>
      <c r="G3277" s="2">
        <f t="shared" si="51"/>
        <v>0</v>
      </c>
      <c r="H3277" s="2">
        <v>0</v>
      </c>
    </row>
    <row r="3278" spans="2:8">
      <c r="B3278" t="s">
        <v>875</v>
      </c>
      <c r="C3278" t="s">
        <v>912</v>
      </c>
      <c r="D3278" s="5" t="s">
        <v>474</v>
      </c>
      <c r="E3278" s="1">
        <v>0</v>
      </c>
      <c r="G3278" s="2">
        <f t="shared" si="51"/>
        <v>0</v>
      </c>
      <c r="H3278" s="2">
        <v>0</v>
      </c>
    </row>
    <row r="3279" spans="2:8">
      <c r="B3279" t="s">
        <v>875</v>
      </c>
      <c r="C3279" t="s">
        <v>912</v>
      </c>
      <c r="D3279" s="6" t="s">
        <v>475</v>
      </c>
      <c r="E3279" s="1">
        <v>0</v>
      </c>
      <c r="G3279" s="2">
        <f t="shared" si="51"/>
        <v>0</v>
      </c>
      <c r="H3279" s="2">
        <v>0</v>
      </c>
    </row>
    <row r="3280" spans="2:8">
      <c r="B3280" t="s">
        <v>875</v>
      </c>
      <c r="C3280" t="s">
        <v>912</v>
      </c>
      <c r="D3280" s="7" t="s">
        <v>476</v>
      </c>
      <c r="E3280" s="1">
        <v>0</v>
      </c>
      <c r="G3280" s="2">
        <f t="shared" si="51"/>
        <v>0</v>
      </c>
      <c r="H3280" s="2">
        <v>0</v>
      </c>
    </row>
    <row r="3281" spans="2:8">
      <c r="B3281" t="s">
        <v>875</v>
      </c>
      <c r="C3281" t="s">
        <v>912</v>
      </c>
      <c r="D3281" s="8" t="s">
        <v>477</v>
      </c>
      <c r="E3281" s="1">
        <v>0</v>
      </c>
      <c r="G3281" s="2">
        <f t="shared" si="51"/>
        <v>0</v>
      </c>
      <c r="H3281" s="2">
        <v>0</v>
      </c>
    </row>
    <row r="3282" spans="2:8">
      <c r="B3282" t="s">
        <v>875</v>
      </c>
      <c r="C3282" t="s">
        <v>912</v>
      </c>
      <c r="D3282" s="9" t="s">
        <v>478</v>
      </c>
      <c r="E3282" s="1">
        <v>0</v>
      </c>
      <c r="G3282" s="2">
        <f t="shared" si="51"/>
        <v>0</v>
      </c>
      <c r="H3282" s="2">
        <v>0</v>
      </c>
    </row>
    <row r="3283" spans="2:8">
      <c r="B3283" t="s">
        <v>875</v>
      </c>
      <c r="C3283" t="s">
        <v>912</v>
      </c>
      <c r="D3283" s="10" t="s">
        <v>479</v>
      </c>
      <c r="E3283" s="1">
        <v>0</v>
      </c>
      <c r="G3283" s="2">
        <f t="shared" si="51"/>
        <v>0</v>
      </c>
      <c r="H3283" s="2">
        <v>0</v>
      </c>
    </row>
    <row r="3284" spans="2:8">
      <c r="B3284" t="s">
        <v>875</v>
      </c>
      <c r="C3284" t="s">
        <v>912</v>
      </c>
      <c r="D3284" s="11" t="s">
        <v>480</v>
      </c>
      <c r="E3284" s="1">
        <v>0</v>
      </c>
      <c r="G3284" s="2">
        <f t="shared" si="51"/>
        <v>0</v>
      </c>
      <c r="H3284" s="2">
        <v>0</v>
      </c>
    </row>
    <row r="3285" spans="2:8">
      <c r="B3285" t="s">
        <v>875</v>
      </c>
      <c r="C3285" t="s">
        <v>912</v>
      </c>
      <c r="D3285" s="13" t="s">
        <v>481</v>
      </c>
      <c r="E3285" s="1">
        <v>0</v>
      </c>
      <c r="G3285" s="2">
        <f t="shared" si="51"/>
        <v>0</v>
      </c>
      <c r="H3285" s="2">
        <v>0</v>
      </c>
    </row>
    <row r="3286" spans="2:8">
      <c r="B3286" t="s">
        <v>875</v>
      </c>
      <c r="C3286" t="s">
        <v>912</v>
      </c>
      <c r="D3286" s="12" t="s">
        <v>1033</v>
      </c>
      <c r="E3286" s="1">
        <v>0</v>
      </c>
      <c r="G3286" s="2">
        <f t="shared" si="51"/>
        <v>0</v>
      </c>
      <c r="H3286" s="2">
        <v>0</v>
      </c>
    </row>
    <row r="3287" spans="2:8">
      <c r="B3287" t="s">
        <v>61</v>
      </c>
      <c r="C3287" t="s">
        <v>857</v>
      </c>
      <c r="D3287" s="5" t="s">
        <v>474</v>
      </c>
      <c r="E3287" s="1">
        <v>0</v>
      </c>
      <c r="G3287" s="2">
        <f t="shared" si="51"/>
        <v>0</v>
      </c>
      <c r="H3287" s="2">
        <v>0</v>
      </c>
    </row>
    <row r="3288" spans="2:8">
      <c r="B3288" t="s">
        <v>61</v>
      </c>
      <c r="C3288" t="s">
        <v>857</v>
      </c>
      <c r="D3288" s="6" t="s">
        <v>475</v>
      </c>
      <c r="E3288" s="1">
        <v>0</v>
      </c>
      <c r="G3288" s="2">
        <f t="shared" si="51"/>
        <v>0</v>
      </c>
      <c r="H3288" s="2">
        <v>0</v>
      </c>
    </row>
    <row r="3289" spans="2:8">
      <c r="B3289" t="s">
        <v>61</v>
      </c>
      <c r="C3289" t="s">
        <v>857</v>
      </c>
      <c r="D3289" s="7" t="s">
        <v>476</v>
      </c>
      <c r="E3289" s="1">
        <v>0</v>
      </c>
      <c r="G3289" s="2">
        <f t="shared" si="51"/>
        <v>0</v>
      </c>
      <c r="H3289" s="2">
        <v>0</v>
      </c>
    </row>
    <row r="3290" spans="2:8">
      <c r="B3290" t="s">
        <v>61</v>
      </c>
      <c r="C3290" t="s">
        <v>857</v>
      </c>
      <c r="D3290" s="8" t="s">
        <v>477</v>
      </c>
      <c r="E3290" s="1">
        <v>0</v>
      </c>
      <c r="G3290" s="2">
        <f t="shared" si="51"/>
        <v>0</v>
      </c>
      <c r="H3290" s="2">
        <v>0</v>
      </c>
    </row>
    <row r="3291" spans="2:8">
      <c r="B3291" t="s">
        <v>61</v>
      </c>
      <c r="C3291" t="s">
        <v>857</v>
      </c>
      <c r="D3291" s="9" t="s">
        <v>478</v>
      </c>
      <c r="E3291" s="1">
        <v>0</v>
      </c>
      <c r="G3291" s="2">
        <f t="shared" si="51"/>
        <v>0</v>
      </c>
      <c r="H3291" s="2">
        <v>0</v>
      </c>
    </row>
    <row r="3292" spans="2:8">
      <c r="B3292" t="s">
        <v>61</v>
      </c>
      <c r="C3292" t="s">
        <v>857</v>
      </c>
      <c r="D3292" s="10" t="s">
        <v>479</v>
      </c>
      <c r="E3292" s="1">
        <v>0</v>
      </c>
      <c r="G3292" s="2">
        <f t="shared" si="51"/>
        <v>0</v>
      </c>
      <c r="H3292" s="2">
        <v>0</v>
      </c>
    </row>
    <row r="3293" spans="2:8">
      <c r="B3293" t="s">
        <v>61</v>
      </c>
      <c r="C3293" t="s">
        <v>857</v>
      </c>
      <c r="D3293" s="11" t="s">
        <v>480</v>
      </c>
      <c r="E3293" s="1">
        <v>0</v>
      </c>
      <c r="G3293" s="2">
        <f t="shared" si="51"/>
        <v>0</v>
      </c>
      <c r="H3293" s="2">
        <v>0</v>
      </c>
    </row>
    <row r="3294" spans="2:8">
      <c r="B3294" t="s">
        <v>61</v>
      </c>
      <c r="C3294" t="s">
        <v>857</v>
      </c>
      <c r="D3294" s="13" t="s">
        <v>481</v>
      </c>
      <c r="E3294" s="1">
        <v>0</v>
      </c>
      <c r="G3294" s="2">
        <f t="shared" si="51"/>
        <v>0</v>
      </c>
      <c r="H3294" s="2">
        <v>0</v>
      </c>
    </row>
    <row r="3295" spans="2:8">
      <c r="B3295" t="s">
        <v>61</v>
      </c>
      <c r="C3295" t="s">
        <v>857</v>
      </c>
      <c r="D3295" s="12" t="s">
        <v>1033</v>
      </c>
      <c r="E3295" s="1">
        <v>0</v>
      </c>
      <c r="G3295" s="2">
        <f t="shared" si="51"/>
        <v>0</v>
      </c>
      <c r="H3295" s="2">
        <v>0</v>
      </c>
    </row>
    <row r="3296" spans="2:8">
      <c r="B3296" t="s">
        <v>62</v>
      </c>
      <c r="C3296" t="s">
        <v>858</v>
      </c>
      <c r="D3296" s="5" t="s">
        <v>474</v>
      </c>
      <c r="E3296" s="1">
        <v>0</v>
      </c>
      <c r="G3296" s="2">
        <f t="shared" si="51"/>
        <v>0</v>
      </c>
      <c r="H3296" s="2">
        <v>0</v>
      </c>
    </row>
    <row r="3297" spans="2:8">
      <c r="B3297" t="s">
        <v>62</v>
      </c>
      <c r="C3297" t="s">
        <v>858</v>
      </c>
      <c r="D3297" s="6" t="s">
        <v>475</v>
      </c>
      <c r="E3297" s="1">
        <v>0</v>
      </c>
      <c r="G3297" s="2">
        <f t="shared" si="51"/>
        <v>0</v>
      </c>
      <c r="H3297" s="2">
        <v>0</v>
      </c>
    </row>
    <row r="3298" spans="2:8">
      <c r="B3298" t="s">
        <v>62</v>
      </c>
      <c r="C3298" t="s">
        <v>858</v>
      </c>
      <c r="D3298" s="7" t="s">
        <v>476</v>
      </c>
      <c r="E3298" s="1">
        <v>0</v>
      </c>
      <c r="G3298" s="2">
        <f t="shared" si="51"/>
        <v>0</v>
      </c>
      <c r="H3298" s="2">
        <v>0</v>
      </c>
    </row>
    <row r="3299" spans="2:8">
      <c r="B3299" t="s">
        <v>62</v>
      </c>
      <c r="C3299" t="s">
        <v>858</v>
      </c>
      <c r="D3299" s="8" t="s">
        <v>477</v>
      </c>
      <c r="E3299" s="1">
        <v>0</v>
      </c>
      <c r="G3299" s="2">
        <f t="shared" si="51"/>
        <v>0</v>
      </c>
      <c r="H3299" s="2">
        <v>0</v>
      </c>
    </row>
    <row r="3300" spans="2:8">
      <c r="B3300" t="s">
        <v>62</v>
      </c>
      <c r="C3300" t="s">
        <v>858</v>
      </c>
      <c r="D3300" s="9" t="s">
        <v>478</v>
      </c>
      <c r="E3300" s="1">
        <v>0</v>
      </c>
      <c r="G3300" s="2">
        <f t="shared" si="51"/>
        <v>0</v>
      </c>
      <c r="H3300" s="2">
        <v>0</v>
      </c>
    </row>
    <row r="3301" spans="2:8">
      <c r="B3301" t="s">
        <v>62</v>
      </c>
      <c r="C3301" t="s">
        <v>858</v>
      </c>
      <c r="D3301" s="10" t="s">
        <v>479</v>
      </c>
      <c r="E3301" s="1">
        <v>0</v>
      </c>
      <c r="G3301" s="2">
        <f t="shared" si="51"/>
        <v>0</v>
      </c>
      <c r="H3301" s="2">
        <v>0</v>
      </c>
    </row>
    <row r="3302" spans="2:8">
      <c r="B3302" t="s">
        <v>62</v>
      </c>
      <c r="C3302" t="s">
        <v>858</v>
      </c>
      <c r="D3302" s="11" t="s">
        <v>480</v>
      </c>
      <c r="E3302" s="1">
        <v>0</v>
      </c>
      <c r="G3302" s="2">
        <f t="shared" si="51"/>
        <v>0</v>
      </c>
      <c r="H3302" s="2">
        <v>0</v>
      </c>
    </row>
    <row r="3303" spans="2:8">
      <c r="B3303" t="s">
        <v>62</v>
      </c>
      <c r="C3303" t="s">
        <v>858</v>
      </c>
      <c r="D3303" s="13" t="s">
        <v>481</v>
      </c>
      <c r="E3303" s="1">
        <v>0</v>
      </c>
      <c r="G3303" s="2">
        <f t="shared" si="51"/>
        <v>0</v>
      </c>
      <c r="H3303" s="2">
        <v>0</v>
      </c>
    </row>
    <row r="3304" spans="2:8">
      <c r="B3304" t="s">
        <v>62</v>
      </c>
      <c r="C3304" t="s">
        <v>858</v>
      </c>
      <c r="D3304" s="12" t="s">
        <v>1033</v>
      </c>
      <c r="E3304" s="1">
        <v>0</v>
      </c>
      <c r="G3304" s="2">
        <f t="shared" si="51"/>
        <v>0</v>
      </c>
      <c r="H3304" s="2">
        <v>0</v>
      </c>
    </row>
    <row r="3305" spans="2:8">
      <c r="B3305" t="s">
        <v>63</v>
      </c>
      <c r="C3305" t="s">
        <v>859</v>
      </c>
      <c r="D3305" s="5" t="s">
        <v>474</v>
      </c>
      <c r="E3305" s="1">
        <v>0</v>
      </c>
      <c r="G3305" s="2">
        <f t="shared" si="51"/>
        <v>0</v>
      </c>
      <c r="H3305" s="2">
        <v>0</v>
      </c>
    </row>
    <row r="3306" spans="2:8">
      <c r="B3306" t="s">
        <v>63</v>
      </c>
      <c r="C3306" t="s">
        <v>859</v>
      </c>
      <c r="D3306" s="6" t="s">
        <v>475</v>
      </c>
      <c r="E3306" s="1">
        <v>0</v>
      </c>
      <c r="G3306" s="2">
        <f t="shared" si="51"/>
        <v>0</v>
      </c>
      <c r="H3306" s="2">
        <v>0</v>
      </c>
    </row>
    <row r="3307" spans="2:8">
      <c r="B3307" t="s">
        <v>63</v>
      </c>
      <c r="C3307" t="s">
        <v>859</v>
      </c>
      <c r="D3307" s="7" t="s">
        <v>476</v>
      </c>
      <c r="E3307" s="1">
        <v>0</v>
      </c>
      <c r="G3307" s="2">
        <f t="shared" si="51"/>
        <v>0</v>
      </c>
      <c r="H3307" s="2">
        <v>0</v>
      </c>
    </row>
    <row r="3308" spans="2:8">
      <c r="B3308" t="s">
        <v>63</v>
      </c>
      <c r="C3308" t="s">
        <v>859</v>
      </c>
      <c r="D3308" s="8" t="s">
        <v>477</v>
      </c>
      <c r="E3308" s="1">
        <v>0</v>
      </c>
      <c r="G3308" s="2">
        <f t="shared" si="51"/>
        <v>0</v>
      </c>
      <c r="H3308" s="2">
        <v>0</v>
      </c>
    </row>
    <row r="3309" spans="2:8">
      <c r="B3309" t="s">
        <v>63</v>
      </c>
      <c r="C3309" t="s">
        <v>859</v>
      </c>
      <c r="D3309" s="9" t="s">
        <v>478</v>
      </c>
      <c r="E3309" s="1">
        <v>0</v>
      </c>
      <c r="G3309" s="2">
        <f t="shared" si="51"/>
        <v>0</v>
      </c>
      <c r="H3309" s="2">
        <v>0</v>
      </c>
    </row>
    <row r="3310" spans="2:8">
      <c r="B3310" t="s">
        <v>63</v>
      </c>
      <c r="C3310" t="s">
        <v>859</v>
      </c>
      <c r="D3310" s="10" t="s">
        <v>479</v>
      </c>
      <c r="E3310" s="1">
        <v>0</v>
      </c>
      <c r="G3310" s="2">
        <f t="shared" si="51"/>
        <v>0</v>
      </c>
      <c r="H3310" s="2">
        <v>0</v>
      </c>
    </row>
    <row r="3311" spans="2:8">
      <c r="B3311" t="s">
        <v>63</v>
      </c>
      <c r="C3311" t="s">
        <v>859</v>
      </c>
      <c r="D3311" s="11" t="s">
        <v>480</v>
      </c>
      <c r="E3311" s="1">
        <v>0</v>
      </c>
      <c r="G3311" s="2">
        <f t="shared" si="51"/>
        <v>0</v>
      </c>
      <c r="H3311" s="2">
        <v>0</v>
      </c>
    </row>
    <row r="3312" spans="2:8">
      <c r="B3312" t="s">
        <v>63</v>
      </c>
      <c r="C3312" t="s">
        <v>859</v>
      </c>
      <c r="D3312" s="13" t="s">
        <v>481</v>
      </c>
      <c r="E3312" s="1">
        <v>0</v>
      </c>
      <c r="G3312" s="2">
        <f t="shared" si="51"/>
        <v>0</v>
      </c>
      <c r="H3312" s="2">
        <v>0</v>
      </c>
    </row>
    <row r="3313" spans="2:8">
      <c r="B3313" t="s">
        <v>63</v>
      </c>
      <c r="C3313" t="s">
        <v>859</v>
      </c>
      <c r="D3313" s="12" t="s">
        <v>1033</v>
      </c>
      <c r="E3313" s="1">
        <v>0</v>
      </c>
      <c r="G3313" s="2">
        <f t="shared" si="51"/>
        <v>0</v>
      </c>
      <c r="H3313" s="2">
        <v>0</v>
      </c>
    </row>
    <row r="3314" spans="2:8">
      <c r="B3314" t="s">
        <v>67</v>
      </c>
      <c r="C3314" t="s">
        <v>860</v>
      </c>
      <c r="D3314" s="5" t="s">
        <v>474</v>
      </c>
      <c r="E3314" s="1">
        <v>0</v>
      </c>
      <c r="G3314" s="2">
        <f t="shared" si="51"/>
        <v>0</v>
      </c>
      <c r="H3314" s="2">
        <v>0</v>
      </c>
    </row>
    <row r="3315" spans="2:8">
      <c r="B3315" t="s">
        <v>67</v>
      </c>
      <c r="C3315" t="s">
        <v>860</v>
      </c>
      <c r="D3315" s="6" t="s">
        <v>475</v>
      </c>
      <c r="E3315" s="1">
        <v>0</v>
      </c>
      <c r="G3315" s="2">
        <f t="shared" si="51"/>
        <v>0</v>
      </c>
      <c r="H3315" s="2">
        <v>0</v>
      </c>
    </row>
    <row r="3316" spans="2:8">
      <c r="B3316" t="s">
        <v>67</v>
      </c>
      <c r="C3316" t="s">
        <v>860</v>
      </c>
      <c r="D3316" s="7" t="s">
        <v>476</v>
      </c>
      <c r="E3316" s="1">
        <v>0</v>
      </c>
      <c r="G3316" s="2">
        <f t="shared" si="51"/>
        <v>0</v>
      </c>
      <c r="H3316" s="2">
        <v>0</v>
      </c>
    </row>
    <row r="3317" spans="2:8">
      <c r="B3317" t="s">
        <v>67</v>
      </c>
      <c r="C3317" t="s">
        <v>860</v>
      </c>
      <c r="D3317" s="8" t="s">
        <v>477</v>
      </c>
      <c r="E3317" s="1">
        <v>0</v>
      </c>
      <c r="G3317" s="2">
        <f t="shared" si="51"/>
        <v>0</v>
      </c>
      <c r="H3317" s="2">
        <v>0</v>
      </c>
    </row>
    <row r="3318" spans="2:8">
      <c r="B3318" t="s">
        <v>67</v>
      </c>
      <c r="C3318" t="s">
        <v>860</v>
      </c>
      <c r="D3318" s="9" t="s">
        <v>478</v>
      </c>
      <c r="E3318" s="1">
        <v>0</v>
      </c>
      <c r="G3318" s="2">
        <f t="shared" si="51"/>
        <v>0</v>
      </c>
      <c r="H3318" s="2">
        <v>0</v>
      </c>
    </row>
    <row r="3319" spans="2:8">
      <c r="B3319" t="s">
        <v>67</v>
      </c>
      <c r="C3319" t="s">
        <v>860</v>
      </c>
      <c r="D3319" s="10" t="s">
        <v>479</v>
      </c>
      <c r="E3319" s="1">
        <v>0</v>
      </c>
      <c r="G3319" s="2">
        <f t="shared" si="51"/>
        <v>0</v>
      </c>
      <c r="H3319" s="2">
        <v>0</v>
      </c>
    </row>
    <row r="3320" spans="2:8">
      <c r="B3320" t="s">
        <v>67</v>
      </c>
      <c r="C3320" t="s">
        <v>860</v>
      </c>
      <c r="D3320" s="11" t="s">
        <v>480</v>
      </c>
      <c r="E3320" s="1">
        <v>0</v>
      </c>
      <c r="G3320" s="2">
        <f t="shared" si="51"/>
        <v>0</v>
      </c>
      <c r="H3320" s="2">
        <v>0</v>
      </c>
    </row>
    <row r="3321" spans="2:8">
      <c r="B3321" t="s">
        <v>67</v>
      </c>
      <c r="C3321" t="s">
        <v>860</v>
      </c>
      <c r="D3321" s="13" t="s">
        <v>481</v>
      </c>
      <c r="E3321" s="1">
        <v>0</v>
      </c>
      <c r="G3321" s="2">
        <f t="shared" si="51"/>
        <v>0</v>
      </c>
      <c r="H3321" s="2">
        <v>0</v>
      </c>
    </row>
    <row r="3322" spans="2:8">
      <c r="B3322" t="s">
        <v>67</v>
      </c>
      <c r="C3322" t="s">
        <v>860</v>
      </c>
      <c r="D3322" s="12" t="s">
        <v>1033</v>
      </c>
      <c r="E3322" s="1">
        <v>0</v>
      </c>
      <c r="G3322" s="2">
        <f t="shared" si="51"/>
        <v>0</v>
      </c>
      <c r="H3322" s="2">
        <v>0</v>
      </c>
    </row>
    <row r="3323" spans="2:8">
      <c r="B3323" t="s">
        <v>80</v>
      </c>
      <c r="C3323" t="s">
        <v>861</v>
      </c>
      <c r="D3323" s="5" t="s">
        <v>474</v>
      </c>
      <c r="E3323" s="1">
        <v>0</v>
      </c>
      <c r="G3323" s="2">
        <f t="shared" si="51"/>
        <v>0</v>
      </c>
      <c r="H3323" s="2">
        <v>0</v>
      </c>
    </row>
    <row r="3324" spans="2:8">
      <c r="B3324" t="s">
        <v>80</v>
      </c>
      <c r="C3324" t="s">
        <v>861</v>
      </c>
      <c r="D3324" s="6" t="s">
        <v>475</v>
      </c>
      <c r="E3324" s="1">
        <v>0</v>
      </c>
      <c r="G3324" s="2">
        <f t="shared" si="51"/>
        <v>0</v>
      </c>
      <c r="H3324" s="2">
        <v>0</v>
      </c>
    </row>
    <row r="3325" spans="2:8">
      <c r="B3325" t="s">
        <v>80</v>
      </c>
      <c r="C3325" t="s">
        <v>861</v>
      </c>
      <c r="D3325" s="7" t="s">
        <v>476</v>
      </c>
      <c r="E3325" s="1">
        <v>0</v>
      </c>
      <c r="G3325" s="2">
        <f t="shared" si="51"/>
        <v>0</v>
      </c>
      <c r="H3325" s="2">
        <v>0</v>
      </c>
    </row>
    <row r="3326" spans="2:8">
      <c r="B3326" t="s">
        <v>80</v>
      </c>
      <c r="C3326" t="s">
        <v>861</v>
      </c>
      <c r="D3326" s="8" t="s">
        <v>477</v>
      </c>
      <c r="E3326" s="1">
        <v>0</v>
      </c>
      <c r="G3326" s="2">
        <f t="shared" si="51"/>
        <v>0</v>
      </c>
      <c r="H3326" s="2">
        <v>0</v>
      </c>
    </row>
    <row r="3327" spans="2:8">
      <c r="B3327" t="s">
        <v>80</v>
      </c>
      <c r="C3327" t="s">
        <v>861</v>
      </c>
      <c r="D3327" s="9" t="s">
        <v>478</v>
      </c>
      <c r="E3327" s="1">
        <v>0</v>
      </c>
      <c r="G3327" s="2">
        <f t="shared" si="51"/>
        <v>0</v>
      </c>
      <c r="H3327" s="2">
        <v>0</v>
      </c>
    </row>
    <row r="3328" spans="2:8">
      <c r="B3328" t="s">
        <v>80</v>
      </c>
      <c r="C3328" t="s">
        <v>861</v>
      </c>
      <c r="D3328" s="10" t="s">
        <v>479</v>
      </c>
      <c r="E3328" s="1">
        <v>0</v>
      </c>
      <c r="G3328" s="2">
        <f t="shared" si="51"/>
        <v>0</v>
      </c>
      <c r="H3328" s="2">
        <v>0</v>
      </c>
    </row>
    <row r="3329" spans="2:8">
      <c r="B3329" t="s">
        <v>80</v>
      </c>
      <c r="C3329" t="s">
        <v>861</v>
      </c>
      <c r="D3329" s="11" t="s">
        <v>480</v>
      </c>
      <c r="E3329" s="1">
        <v>0</v>
      </c>
      <c r="G3329" s="2">
        <f t="shared" si="51"/>
        <v>0</v>
      </c>
      <c r="H3329" s="2">
        <v>0</v>
      </c>
    </row>
    <row r="3330" spans="2:8">
      <c r="B3330" t="s">
        <v>80</v>
      </c>
      <c r="C3330" t="s">
        <v>861</v>
      </c>
      <c r="D3330" s="13" t="s">
        <v>481</v>
      </c>
      <c r="E3330" s="1">
        <v>0</v>
      </c>
      <c r="G3330" s="2">
        <f t="shared" ref="G3330:G3393" si="52">E3330*F3330</f>
        <v>0</v>
      </c>
      <c r="H3330" s="2">
        <v>0</v>
      </c>
    </row>
    <row r="3331" spans="2:8">
      <c r="B3331" t="s">
        <v>80</v>
      </c>
      <c r="C3331" t="s">
        <v>861</v>
      </c>
      <c r="D3331" s="12" t="s">
        <v>1033</v>
      </c>
      <c r="E3331" s="1">
        <v>0</v>
      </c>
      <c r="G3331" s="2">
        <f t="shared" si="52"/>
        <v>0</v>
      </c>
      <c r="H3331" s="2">
        <v>0</v>
      </c>
    </row>
    <row r="3332" spans="2:8">
      <c r="B3332" t="s">
        <v>69</v>
      </c>
      <c r="C3332" t="s">
        <v>862</v>
      </c>
      <c r="D3332" s="5" t="s">
        <v>474</v>
      </c>
      <c r="E3332" s="1">
        <v>0</v>
      </c>
      <c r="G3332" s="2">
        <f t="shared" si="52"/>
        <v>0</v>
      </c>
      <c r="H3332" s="2">
        <v>0</v>
      </c>
    </row>
    <row r="3333" spans="2:8">
      <c r="B3333" t="s">
        <v>69</v>
      </c>
      <c r="C3333" t="s">
        <v>862</v>
      </c>
      <c r="D3333" s="6" t="s">
        <v>475</v>
      </c>
      <c r="E3333" s="1">
        <v>0</v>
      </c>
      <c r="G3333" s="2">
        <f t="shared" si="52"/>
        <v>0</v>
      </c>
      <c r="H3333" s="2">
        <v>0</v>
      </c>
    </row>
    <row r="3334" spans="2:8">
      <c r="B3334" t="s">
        <v>69</v>
      </c>
      <c r="C3334" t="s">
        <v>862</v>
      </c>
      <c r="D3334" s="7" t="s">
        <v>476</v>
      </c>
      <c r="E3334" s="1">
        <v>0</v>
      </c>
      <c r="G3334" s="2">
        <f t="shared" si="52"/>
        <v>0</v>
      </c>
      <c r="H3334" s="2">
        <v>0</v>
      </c>
    </row>
    <row r="3335" spans="2:8">
      <c r="B3335" t="s">
        <v>69</v>
      </c>
      <c r="C3335" t="s">
        <v>862</v>
      </c>
      <c r="D3335" s="8" t="s">
        <v>477</v>
      </c>
      <c r="E3335" s="1">
        <v>0</v>
      </c>
      <c r="G3335" s="2">
        <f t="shared" si="52"/>
        <v>0</v>
      </c>
      <c r="H3335" s="2">
        <v>0</v>
      </c>
    </row>
    <row r="3336" spans="2:8">
      <c r="B3336" t="s">
        <v>69</v>
      </c>
      <c r="C3336" t="s">
        <v>862</v>
      </c>
      <c r="D3336" s="9" t="s">
        <v>478</v>
      </c>
      <c r="E3336" s="1">
        <v>0</v>
      </c>
      <c r="G3336" s="2">
        <f t="shared" si="52"/>
        <v>0</v>
      </c>
      <c r="H3336" s="2">
        <v>0</v>
      </c>
    </row>
    <row r="3337" spans="2:8">
      <c r="B3337" t="s">
        <v>69</v>
      </c>
      <c r="C3337" t="s">
        <v>862</v>
      </c>
      <c r="D3337" s="10" t="s">
        <v>479</v>
      </c>
      <c r="E3337" s="1">
        <v>0</v>
      </c>
      <c r="G3337" s="2">
        <f t="shared" si="52"/>
        <v>0</v>
      </c>
      <c r="H3337" s="2">
        <v>0</v>
      </c>
    </row>
    <row r="3338" spans="2:8">
      <c r="B3338" t="s">
        <v>69</v>
      </c>
      <c r="C3338" t="s">
        <v>862</v>
      </c>
      <c r="D3338" s="11" t="s">
        <v>480</v>
      </c>
      <c r="E3338" s="1">
        <v>0</v>
      </c>
      <c r="G3338" s="2">
        <f t="shared" si="52"/>
        <v>0</v>
      </c>
      <c r="H3338" s="2">
        <v>0</v>
      </c>
    </row>
    <row r="3339" spans="2:8">
      <c r="B3339" t="s">
        <v>69</v>
      </c>
      <c r="C3339" t="s">
        <v>862</v>
      </c>
      <c r="D3339" s="13" t="s">
        <v>481</v>
      </c>
      <c r="E3339" s="1">
        <v>0</v>
      </c>
      <c r="G3339" s="2">
        <f t="shared" si="52"/>
        <v>0</v>
      </c>
      <c r="H3339" s="2">
        <v>0</v>
      </c>
    </row>
    <row r="3340" spans="2:8">
      <c r="B3340" t="s">
        <v>69</v>
      </c>
      <c r="C3340" t="s">
        <v>862</v>
      </c>
      <c r="D3340" s="12" t="s">
        <v>1033</v>
      </c>
      <c r="E3340" s="1">
        <v>0</v>
      </c>
      <c r="G3340" s="2">
        <f t="shared" si="52"/>
        <v>0</v>
      </c>
      <c r="H3340" s="2">
        <v>0</v>
      </c>
    </row>
    <row r="3341" spans="2:8">
      <c r="B3341" t="s">
        <v>70</v>
      </c>
      <c r="C3341" t="s">
        <v>863</v>
      </c>
      <c r="D3341" s="5" t="s">
        <v>474</v>
      </c>
      <c r="E3341" s="1">
        <v>0</v>
      </c>
      <c r="G3341" s="2">
        <f t="shared" si="52"/>
        <v>0</v>
      </c>
      <c r="H3341" s="2">
        <v>0</v>
      </c>
    </row>
    <row r="3342" spans="2:8">
      <c r="B3342" t="s">
        <v>70</v>
      </c>
      <c r="C3342" t="s">
        <v>863</v>
      </c>
      <c r="D3342" s="6" t="s">
        <v>475</v>
      </c>
      <c r="E3342" s="1">
        <v>0</v>
      </c>
      <c r="G3342" s="2">
        <f t="shared" si="52"/>
        <v>0</v>
      </c>
      <c r="H3342" s="2">
        <v>0</v>
      </c>
    </row>
    <row r="3343" spans="2:8">
      <c r="B3343" t="s">
        <v>70</v>
      </c>
      <c r="C3343" t="s">
        <v>863</v>
      </c>
      <c r="D3343" s="7" t="s">
        <v>476</v>
      </c>
      <c r="E3343" s="1">
        <v>0</v>
      </c>
      <c r="G3343" s="2">
        <f t="shared" si="52"/>
        <v>0</v>
      </c>
      <c r="H3343" s="2">
        <v>0</v>
      </c>
    </row>
    <row r="3344" spans="2:8">
      <c r="B3344" t="s">
        <v>70</v>
      </c>
      <c r="C3344" t="s">
        <v>863</v>
      </c>
      <c r="D3344" s="8" t="s">
        <v>477</v>
      </c>
      <c r="E3344" s="1">
        <v>0</v>
      </c>
      <c r="G3344" s="2">
        <f t="shared" si="52"/>
        <v>0</v>
      </c>
      <c r="H3344" s="2">
        <v>0</v>
      </c>
    </row>
    <row r="3345" spans="2:8">
      <c r="B3345" t="s">
        <v>70</v>
      </c>
      <c r="C3345" t="s">
        <v>863</v>
      </c>
      <c r="D3345" s="9" t="s">
        <v>478</v>
      </c>
      <c r="E3345" s="1">
        <v>0</v>
      </c>
      <c r="G3345" s="2">
        <f t="shared" si="52"/>
        <v>0</v>
      </c>
      <c r="H3345" s="2">
        <v>0</v>
      </c>
    </row>
    <row r="3346" spans="2:8">
      <c r="B3346" t="s">
        <v>70</v>
      </c>
      <c r="C3346" t="s">
        <v>863</v>
      </c>
      <c r="D3346" s="10" t="s">
        <v>479</v>
      </c>
      <c r="E3346" s="1">
        <v>0</v>
      </c>
      <c r="G3346" s="2">
        <f t="shared" si="52"/>
        <v>0</v>
      </c>
      <c r="H3346" s="2">
        <v>0</v>
      </c>
    </row>
    <row r="3347" spans="2:8">
      <c r="B3347" t="s">
        <v>70</v>
      </c>
      <c r="C3347" t="s">
        <v>863</v>
      </c>
      <c r="D3347" s="11" t="s">
        <v>480</v>
      </c>
      <c r="E3347" s="1">
        <v>0</v>
      </c>
      <c r="G3347" s="2">
        <f t="shared" si="52"/>
        <v>0</v>
      </c>
      <c r="H3347" s="2">
        <v>0</v>
      </c>
    </row>
    <row r="3348" spans="2:8">
      <c r="B3348" t="s">
        <v>70</v>
      </c>
      <c r="C3348" t="s">
        <v>863</v>
      </c>
      <c r="D3348" s="13" t="s">
        <v>481</v>
      </c>
      <c r="E3348" s="1">
        <v>0</v>
      </c>
      <c r="G3348" s="2">
        <f t="shared" si="52"/>
        <v>0</v>
      </c>
      <c r="H3348" s="2">
        <v>0</v>
      </c>
    </row>
    <row r="3349" spans="2:8">
      <c r="B3349" t="s">
        <v>70</v>
      </c>
      <c r="C3349" t="s">
        <v>863</v>
      </c>
      <c r="D3349" s="12" t="s">
        <v>1033</v>
      </c>
      <c r="E3349" s="1">
        <v>0</v>
      </c>
      <c r="G3349" s="2">
        <f t="shared" si="52"/>
        <v>0</v>
      </c>
      <c r="H3349" s="2">
        <v>0</v>
      </c>
    </row>
    <row r="3350" spans="2:8">
      <c r="B3350" t="s">
        <v>86</v>
      </c>
      <c r="C3350" t="s">
        <v>864</v>
      </c>
      <c r="D3350" s="5" t="s">
        <v>474</v>
      </c>
      <c r="E3350" s="1">
        <v>0</v>
      </c>
      <c r="G3350" s="2">
        <f t="shared" si="52"/>
        <v>0</v>
      </c>
      <c r="H3350" s="2">
        <v>0</v>
      </c>
    </row>
    <row r="3351" spans="2:8">
      <c r="B3351" t="s">
        <v>86</v>
      </c>
      <c r="C3351" t="s">
        <v>864</v>
      </c>
      <c r="D3351" s="6" t="s">
        <v>475</v>
      </c>
      <c r="E3351" s="1">
        <v>0</v>
      </c>
      <c r="G3351" s="2">
        <f t="shared" si="52"/>
        <v>0</v>
      </c>
      <c r="H3351" s="2">
        <v>0</v>
      </c>
    </row>
    <row r="3352" spans="2:8">
      <c r="B3352" t="s">
        <v>86</v>
      </c>
      <c r="C3352" t="s">
        <v>864</v>
      </c>
      <c r="D3352" s="7" t="s">
        <v>476</v>
      </c>
      <c r="E3352" s="1">
        <v>0</v>
      </c>
      <c r="G3352" s="2">
        <f t="shared" si="52"/>
        <v>0</v>
      </c>
      <c r="H3352" s="2">
        <v>0</v>
      </c>
    </row>
    <row r="3353" spans="2:8">
      <c r="B3353" t="s">
        <v>86</v>
      </c>
      <c r="C3353" t="s">
        <v>864</v>
      </c>
      <c r="D3353" s="8" t="s">
        <v>477</v>
      </c>
      <c r="E3353" s="1">
        <v>0</v>
      </c>
      <c r="G3353" s="2">
        <f t="shared" si="52"/>
        <v>0</v>
      </c>
      <c r="H3353" s="2">
        <v>0</v>
      </c>
    </row>
    <row r="3354" spans="2:8">
      <c r="B3354" t="s">
        <v>86</v>
      </c>
      <c r="C3354" t="s">
        <v>864</v>
      </c>
      <c r="D3354" s="9" t="s">
        <v>478</v>
      </c>
      <c r="E3354" s="1">
        <v>0</v>
      </c>
      <c r="G3354" s="2">
        <f t="shared" si="52"/>
        <v>0</v>
      </c>
      <c r="H3354" s="2">
        <v>0</v>
      </c>
    </row>
    <row r="3355" spans="2:8">
      <c r="B3355" t="s">
        <v>86</v>
      </c>
      <c r="C3355" t="s">
        <v>864</v>
      </c>
      <c r="D3355" s="10" t="s">
        <v>479</v>
      </c>
      <c r="E3355" s="1">
        <v>0</v>
      </c>
      <c r="G3355" s="2">
        <f t="shared" si="52"/>
        <v>0</v>
      </c>
      <c r="H3355" s="2">
        <v>0</v>
      </c>
    </row>
    <row r="3356" spans="2:8">
      <c r="B3356" t="s">
        <v>86</v>
      </c>
      <c r="C3356" t="s">
        <v>864</v>
      </c>
      <c r="D3356" s="11" t="s">
        <v>480</v>
      </c>
      <c r="E3356" s="1">
        <v>0</v>
      </c>
      <c r="G3356" s="2">
        <f t="shared" si="52"/>
        <v>0</v>
      </c>
      <c r="H3356" s="2">
        <v>0</v>
      </c>
    </row>
    <row r="3357" spans="2:8">
      <c r="B3357" t="s">
        <v>86</v>
      </c>
      <c r="C3357" t="s">
        <v>864</v>
      </c>
      <c r="D3357" s="13" t="s">
        <v>481</v>
      </c>
      <c r="E3357" s="1">
        <v>0</v>
      </c>
      <c r="G3357" s="2">
        <f t="shared" si="52"/>
        <v>0</v>
      </c>
      <c r="H3357" s="2">
        <v>0</v>
      </c>
    </row>
    <row r="3358" spans="2:8">
      <c r="B3358" t="s">
        <v>86</v>
      </c>
      <c r="C3358" t="s">
        <v>864</v>
      </c>
      <c r="D3358" s="12" t="s">
        <v>1033</v>
      </c>
      <c r="E3358" s="1">
        <v>0</v>
      </c>
      <c r="G3358" s="2">
        <f t="shared" si="52"/>
        <v>0</v>
      </c>
      <c r="H3358" s="2">
        <v>0</v>
      </c>
    </row>
    <row r="3359" spans="2:8">
      <c r="B3359" t="s">
        <v>519</v>
      </c>
      <c r="C3359" t="s">
        <v>865</v>
      </c>
      <c r="D3359" s="5" t="s">
        <v>474</v>
      </c>
      <c r="E3359" s="1">
        <v>0</v>
      </c>
      <c r="G3359" s="2">
        <f t="shared" si="52"/>
        <v>0</v>
      </c>
      <c r="H3359" s="2">
        <v>0</v>
      </c>
    </row>
    <row r="3360" spans="2:8">
      <c r="B3360" t="s">
        <v>519</v>
      </c>
      <c r="C3360" t="s">
        <v>865</v>
      </c>
      <c r="D3360" s="6" t="s">
        <v>475</v>
      </c>
      <c r="E3360" s="1">
        <v>0</v>
      </c>
      <c r="G3360" s="2">
        <f t="shared" si="52"/>
        <v>0</v>
      </c>
      <c r="H3360" s="2">
        <v>0</v>
      </c>
    </row>
    <row r="3361" spans="2:8">
      <c r="B3361" t="s">
        <v>519</v>
      </c>
      <c r="C3361" t="s">
        <v>865</v>
      </c>
      <c r="D3361" s="7" t="s">
        <v>476</v>
      </c>
      <c r="E3361" s="1">
        <v>0</v>
      </c>
      <c r="G3361" s="2">
        <f t="shared" si="52"/>
        <v>0</v>
      </c>
      <c r="H3361" s="2">
        <v>0</v>
      </c>
    </row>
    <row r="3362" spans="2:8">
      <c r="B3362" t="s">
        <v>519</v>
      </c>
      <c r="C3362" t="s">
        <v>865</v>
      </c>
      <c r="D3362" s="8" t="s">
        <v>477</v>
      </c>
      <c r="E3362" s="1">
        <v>0</v>
      </c>
      <c r="G3362" s="2">
        <f t="shared" si="52"/>
        <v>0</v>
      </c>
      <c r="H3362" s="2">
        <v>0</v>
      </c>
    </row>
    <row r="3363" spans="2:8">
      <c r="B3363" t="s">
        <v>519</v>
      </c>
      <c r="C3363" t="s">
        <v>865</v>
      </c>
      <c r="D3363" s="9" t="s">
        <v>478</v>
      </c>
      <c r="E3363" s="1">
        <v>0</v>
      </c>
      <c r="G3363" s="2">
        <f t="shared" si="52"/>
        <v>0</v>
      </c>
      <c r="H3363" s="2">
        <v>0</v>
      </c>
    </row>
    <row r="3364" spans="2:8">
      <c r="B3364" t="s">
        <v>519</v>
      </c>
      <c r="C3364" t="s">
        <v>865</v>
      </c>
      <c r="D3364" s="10" t="s">
        <v>479</v>
      </c>
      <c r="E3364" s="1">
        <v>0</v>
      </c>
      <c r="G3364" s="2">
        <f t="shared" si="52"/>
        <v>0</v>
      </c>
      <c r="H3364" s="2">
        <v>0</v>
      </c>
    </row>
    <row r="3365" spans="2:8">
      <c r="B3365" t="s">
        <v>519</v>
      </c>
      <c r="C3365" t="s">
        <v>865</v>
      </c>
      <c r="D3365" s="11" t="s">
        <v>480</v>
      </c>
      <c r="E3365" s="1">
        <v>0</v>
      </c>
      <c r="G3365" s="2">
        <f t="shared" si="52"/>
        <v>0</v>
      </c>
      <c r="H3365" s="2">
        <v>0</v>
      </c>
    </row>
    <row r="3366" spans="2:8">
      <c r="B3366" t="s">
        <v>519</v>
      </c>
      <c r="C3366" t="s">
        <v>865</v>
      </c>
      <c r="D3366" s="13" t="s">
        <v>481</v>
      </c>
      <c r="E3366" s="1">
        <v>0</v>
      </c>
      <c r="G3366" s="2">
        <f t="shared" si="52"/>
        <v>0</v>
      </c>
      <c r="H3366" s="2">
        <v>0</v>
      </c>
    </row>
    <row r="3367" spans="2:8">
      <c r="B3367" t="s">
        <v>519</v>
      </c>
      <c r="C3367" t="s">
        <v>865</v>
      </c>
      <c r="D3367" s="12" t="s">
        <v>1033</v>
      </c>
      <c r="E3367" s="1">
        <v>0</v>
      </c>
      <c r="G3367" s="2">
        <f t="shared" si="52"/>
        <v>0</v>
      </c>
      <c r="H3367" s="2">
        <v>0</v>
      </c>
    </row>
    <row r="3368" spans="2:8">
      <c r="B3368" t="s">
        <v>1266</v>
      </c>
      <c r="C3368" t="s">
        <v>1448</v>
      </c>
      <c r="D3368" s="5" t="s">
        <v>474</v>
      </c>
      <c r="E3368" s="1">
        <v>0</v>
      </c>
      <c r="G3368" s="2">
        <f t="shared" si="52"/>
        <v>0</v>
      </c>
      <c r="H3368" s="2">
        <v>0</v>
      </c>
    </row>
    <row r="3369" spans="2:8">
      <c r="B3369" t="s">
        <v>1266</v>
      </c>
      <c r="C3369" t="s">
        <v>1448</v>
      </c>
      <c r="D3369" s="6" t="s">
        <v>475</v>
      </c>
      <c r="E3369" s="1">
        <v>0</v>
      </c>
      <c r="G3369" s="2">
        <f t="shared" si="52"/>
        <v>0</v>
      </c>
      <c r="H3369" s="2">
        <v>0</v>
      </c>
    </row>
    <row r="3370" spans="2:8">
      <c r="B3370" t="s">
        <v>1266</v>
      </c>
      <c r="C3370" t="s">
        <v>1448</v>
      </c>
      <c r="D3370" s="7" t="s">
        <v>476</v>
      </c>
      <c r="E3370" s="1">
        <v>0</v>
      </c>
      <c r="G3370" s="2">
        <f t="shared" si="52"/>
        <v>0</v>
      </c>
      <c r="H3370" s="2">
        <v>0</v>
      </c>
    </row>
    <row r="3371" spans="2:8">
      <c r="B3371" t="s">
        <v>1266</v>
      </c>
      <c r="C3371" t="s">
        <v>1448</v>
      </c>
      <c r="D3371" s="8" t="s">
        <v>477</v>
      </c>
      <c r="E3371" s="1">
        <v>0</v>
      </c>
      <c r="G3371" s="2">
        <f t="shared" si="52"/>
        <v>0</v>
      </c>
      <c r="H3371" s="2">
        <v>0</v>
      </c>
    </row>
    <row r="3372" spans="2:8">
      <c r="B3372" t="s">
        <v>1266</v>
      </c>
      <c r="C3372" t="s">
        <v>1448</v>
      </c>
      <c r="D3372" s="9" t="s">
        <v>478</v>
      </c>
      <c r="E3372" s="1">
        <v>0</v>
      </c>
      <c r="G3372" s="2">
        <f t="shared" si="52"/>
        <v>0</v>
      </c>
      <c r="H3372" s="2">
        <v>0</v>
      </c>
    </row>
    <row r="3373" spans="2:8">
      <c r="B3373" t="s">
        <v>1266</v>
      </c>
      <c r="C3373" t="s">
        <v>1448</v>
      </c>
      <c r="D3373" s="10" t="s">
        <v>479</v>
      </c>
      <c r="E3373" s="1">
        <v>0</v>
      </c>
      <c r="G3373" s="2">
        <f t="shared" si="52"/>
        <v>0</v>
      </c>
      <c r="H3373" s="2">
        <v>0</v>
      </c>
    </row>
    <row r="3374" spans="2:8">
      <c r="B3374" t="s">
        <v>1266</v>
      </c>
      <c r="C3374" t="s">
        <v>1448</v>
      </c>
      <c r="D3374" s="11" t="s">
        <v>480</v>
      </c>
      <c r="E3374" s="1">
        <v>0</v>
      </c>
      <c r="G3374" s="2">
        <f t="shared" si="52"/>
        <v>0</v>
      </c>
      <c r="H3374" s="2">
        <v>0</v>
      </c>
    </row>
    <row r="3375" spans="2:8">
      <c r="B3375" t="s">
        <v>1266</v>
      </c>
      <c r="C3375" t="s">
        <v>1448</v>
      </c>
      <c r="D3375" s="13" t="s">
        <v>481</v>
      </c>
      <c r="E3375" s="1">
        <v>0</v>
      </c>
      <c r="G3375" s="2">
        <f t="shared" si="52"/>
        <v>0</v>
      </c>
      <c r="H3375" s="2">
        <v>0</v>
      </c>
    </row>
    <row r="3376" spans="2:8">
      <c r="B3376" t="s">
        <v>1266</v>
      </c>
      <c r="C3376" t="s">
        <v>1448</v>
      </c>
      <c r="D3376" s="12" t="s">
        <v>1033</v>
      </c>
      <c r="E3376" s="1">
        <v>0</v>
      </c>
      <c r="G3376" s="2">
        <f t="shared" si="52"/>
        <v>0</v>
      </c>
      <c r="H3376" s="2">
        <v>0</v>
      </c>
    </row>
    <row r="3377" spans="2:8">
      <c r="B3377" t="s">
        <v>1298</v>
      </c>
      <c r="C3377" t="s">
        <v>1449</v>
      </c>
      <c r="D3377" s="5" t="s">
        <v>474</v>
      </c>
      <c r="E3377" s="1">
        <v>0</v>
      </c>
      <c r="G3377" s="2">
        <f t="shared" si="52"/>
        <v>0</v>
      </c>
      <c r="H3377" s="2">
        <v>0</v>
      </c>
    </row>
    <row r="3378" spans="2:8">
      <c r="B3378" t="s">
        <v>1298</v>
      </c>
      <c r="C3378" t="s">
        <v>1449</v>
      </c>
      <c r="D3378" s="6" t="s">
        <v>475</v>
      </c>
      <c r="E3378" s="1">
        <v>0</v>
      </c>
      <c r="G3378" s="2">
        <f t="shared" si="52"/>
        <v>0</v>
      </c>
      <c r="H3378" s="2">
        <v>0</v>
      </c>
    </row>
    <row r="3379" spans="2:8">
      <c r="B3379" t="s">
        <v>1298</v>
      </c>
      <c r="C3379" t="s">
        <v>1449</v>
      </c>
      <c r="D3379" s="7" t="s">
        <v>476</v>
      </c>
      <c r="E3379" s="1">
        <v>0</v>
      </c>
      <c r="G3379" s="2">
        <f t="shared" si="52"/>
        <v>0</v>
      </c>
      <c r="H3379" s="2">
        <v>0</v>
      </c>
    </row>
    <row r="3380" spans="2:8">
      <c r="B3380" t="s">
        <v>1298</v>
      </c>
      <c r="C3380" t="s">
        <v>1449</v>
      </c>
      <c r="D3380" s="8" t="s">
        <v>477</v>
      </c>
      <c r="E3380" s="1">
        <v>0</v>
      </c>
      <c r="G3380" s="2">
        <f t="shared" si="52"/>
        <v>0</v>
      </c>
      <c r="H3380" s="2">
        <v>0</v>
      </c>
    </row>
    <row r="3381" spans="2:8">
      <c r="B3381" t="s">
        <v>1298</v>
      </c>
      <c r="C3381" t="s">
        <v>1449</v>
      </c>
      <c r="D3381" s="9" t="s">
        <v>478</v>
      </c>
      <c r="E3381" s="1">
        <v>0</v>
      </c>
      <c r="G3381" s="2">
        <f t="shared" si="52"/>
        <v>0</v>
      </c>
      <c r="H3381" s="2">
        <v>0</v>
      </c>
    </row>
    <row r="3382" spans="2:8">
      <c r="B3382" t="s">
        <v>1298</v>
      </c>
      <c r="C3382" t="s">
        <v>1449</v>
      </c>
      <c r="D3382" s="10" t="s">
        <v>479</v>
      </c>
      <c r="E3382" s="1">
        <v>0</v>
      </c>
      <c r="G3382" s="2">
        <f t="shared" si="52"/>
        <v>0</v>
      </c>
      <c r="H3382" s="2">
        <v>0</v>
      </c>
    </row>
    <row r="3383" spans="2:8">
      <c r="B3383" t="s">
        <v>1298</v>
      </c>
      <c r="C3383" t="s">
        <v>1449</v>
      </c>
      <c r="D3383" s="11" t="s">
        <v>480</v>
      </c>
      <c r="E3383" s="1">
        <v>0</v>
      </c>
      <c r="G3383" s="2">
        <f t="shared" si="52"/>
        <v>0</v>
      </c>
      <c r="H3383" s="2">
        <v>0</v>
      </c>
    </row>
    <row r="3384" spans="2:8">
      <c r="B3384" t="s">
        <v>1298</v>
      </c>
      <c r="C3384" t="s">
        <v>1449</v>
      </c>
      <c r="D3384" s="13" t="s">
        <v>481</v>
      </c>
      <c r="E3384" s="1">
        <v>0</v>
      </c>
      <c r="G3384" s="2">
        <f t="shared" si="52"/>
        <v>0</v>
      </c>
      <c r="H3384" s="2">
        <v>0</v>
      </c>
    </row>
    <row r="3385" spans="2:8">
      <c r="B3385" t="s">
        <v>1298</v>
      </c>
      <c r="C3385" t="s">
        <v>1449</v>
      </c>
      <c r="D3385" s="12" t="s">
        <v>1033</v>
      </c>
      <c r="E3385" s="1">
        <v>0</v>
      </c>
      <c r="G3385" s="2">
        <f t="shared" si="52"/>
        <v>0</v>
      </c>
      <c r="H3385" s="2">
        <v>0</v>
      </c>
    </row>
    <row r="3386" spans="2:8">
      <c r="B3386" t="s">
        <v>1297</v>
      </c>
      <c r="C3386" t="s">
        <v>1450</v>
      </c>
      <c r="D3386" s="5" t="s">
        <v>474</v>
      </c>
      <c r="E3386" s="1">
        <v>0</v>
      </c>
      <c r="G3386" s="2">
        <f t="shared" si="52"/>
        <v>0</v>
      </c>
      <c r="H3386" s="2">
        <v>0</v>
      </c>
    </row>
    <row r="3387" spans="2:8">
      <c r="B3387" t="s">
        <v>1297</v>
      </c>
      <c r="C3387" t="s">
        <v>1450</v>
      </c>
      <c r="D3387" s="6" t="s">
        <v>475</v>
      </c>
      <c r="E3387" s="1">
        <v>0</v>
      </c>
      <c r="G3387" s="2">
        <f t="shared" si="52"/>
        <v>0</v>
      </c>
      <c r="H3387" s="2">
        <v>0</v>
      </c>
    </row>
    <row r="3388" spans="2:8">
      <c r="B3388" t="s">
        <v>1297</v>
      </c>
      <c r="C3388" t="s">
        <v>1450</v>
      </c>
      <c r="D3388" s="7" t="s">
        <v>476</v>
      </c>
      <c r="E3388" s="1">
        <v>0</v>
      </c>
      <c r="G3388" s="2">
        <f t="shared" si="52"/>
        <v>0</v>
      </c>
      <c r="H3388" s="2">
        <v>0</v>
      </c>
    </row>
    <row r="3389" spans="2:8">
      <c r="B3389" t="s">
        <v>1297</v>
      </c>
      <c r="C3389" t="s">
        <v>1450</v>
      </c>
      <c r="D3389" s="8" t="s">
        <v>477</v>
      </c>
      <c r="E3389" s="1">
        <v>0</v>
      </c>
      <c r="G3389" s="2">
        <f t="shared" si="52"/>
        <v>0</v>
      </c>
      <c r="H3389" s="2">
        <v>0</v>
      </c>
    </row>
    <row r="3390" spans="2:8">
      <c r="B3390" t="s">
        <v>1297</v>
      </c>
      <c r="C3390" t="s">
        <v>1450</v>
      </c>
      <c r="D3390" s="9" t="s">
        <v>478</v>
      </c>
      <c r="E3390" s="1">
        <v>0</v>
      </c>
      <c r="G3390" s="2">
        <f t="shared" si="52"/>
        <v>0</v>
      </c>
      <c r="H3390" s="2">
        <v>0</v>
      </c>
    </row>
    <row r="3391" spans="2:8">
      <c r="B3391" t="s">
        <v>1297</v>
      </c>
      <c r="C3391" t="s">
        <v>1450</v>
      </c>
      <c r="D3391" s="10" t="s">
        <v>479</v>
      </c>
      <c r="E3391" s="1">
        <v>0</v>
      </c>
      <c r="G3391" s="2">
        <f t="shared" si="52"/>
        <v>0</v>
      </c>
      <c r="H3391" s="2">
        <v>0</v>
      </c>
    </row>
    <row r="3392" spans="2:8">
      <c r="B3392" t="s">
        <v>1297</v>
      </c>
      <c r="C3392" t="s">
        <v>1450</v>
      </c>
      <c r="D3392" s="11" t="s">
        <v>480</v>
      </c>
      <c r="E3392" s="1">
        <v>0</v>
      </c>
      <c r="G3392" s="2">
        <f t="shared" si="52"/>
        <v>0</v>
      </c>
      <c r="H3392" s="2">
        <v>0</v>
      </c>
    </row>
    <row r="3393" spans="2:8">
      <c r="B3393" t="s">
        <v>1297</v>
      </c>
      <c r="C3393" t="s">
        <v>1450</v>
      </c>
      <c r="D3393" s="13" t="s">
        <v>481</v>
      </c>
      <c r="E3393" s="1">
        <v>0</v>
      </c>
      <c r="G3393" s="2">
        <f t="shared" si="52"/>
        <v>0</v>
      </c>
      <c r="H3393" s="2">
        <v>0</v>
      </c>
    </row>
    <row r="3394" spans="2:8">
      <c r="B3394" t="s">
        <v>1297</v>
      </c>
      <c r="C3394" t="s">
        <v>1450</v>
      </c>
      <c r="D3394" s="12" t="s">
        <v>1033</v>
      </c>
      <c r="E3394" s="1">
        <v>0</v>
      </c>
      <c r="G3394" s="2">
        <f t="shared" ref="G3394:G3457" si="53">E3394*F3394</f>
        <v>0</v>
      </c>
      <c r="H3394" s="2">
        <v>0</v>
      </c>
    </row>
    <row r="3395" spans="2:8">
      <c r="B3395" t="s">
        <v>1231</v>
      </c>
      <c r="C3395" t="s">
        <v>1451</v>
      </c>
      <c r="D3395" s="5" t="s">
        <v>474</v>
      </c>
      <c r="E3395" s="1">
        <v>0</v>
      </c>
      <c r="G3395" s="2">
        <f t="shared" si="53"/>
        <v>0</v>
      </c>
      <c r="H3395" s="2">
        <v>0</v>
      </c>
    </row>
    <row r="3396" spans="2:8">
      <c r="B3396" t="s">
        <v>1231</v>
      </c>
      <c r="C3396" t="s">
        <v>1451</v>
      </c>
      <c r="D3396" s="6" t="s">
        <v>475</v>
      </c>
      <c r="E3396" s="1">
        <v>0</v>
      </c>
      <c r="G3396" s="2">
        <f t="shared" si="53"/>
        <v>0</v>
      </c>
      <c r="H3396" s="2">
        <v>0</v>
      </c>
    </row>
    <row r="3397" spans="2:8">
      <c r="B3397" t="s">
        <v>1231</v>
      </c>
      <c r="C3397" t="s">
        <v>1451</v>
      </c>
      <c r="D3397" s="7" t="s">
        <v>476</v>
      </c>
      <c r="E3397" s="1">
        <v>0</v>
      </c>
      <c r="G3397" s="2">
        <f t="shared" si="53"/>
        <v>0</v>
      </c>
      <c r="H3397" s="2">
        <v>0</v>
      </c>
    </row>
    <row r="3398" spans="2:8">
      <c r="B3398" t="s">
        <v>1231</v>
      </c>
      <c r="C3398" t="s">
        <v>1451</v>
      </c>
      <c r="D3398" s="8" t="s">
        <v>477</v>
      </c>
      <c r="E3398" s="1">
        <v>0</v>
      </c>
      <c r="G3398" s="2">
        <f t="shared" si="53"/>
        <v>0</v>
      </c>
      <c r="H3398" s="2">
        <v>0</v>
      </c>
    </row>
    <row r="3399" spans="2:8">
      <c r="B3399" t="s">
        <v>1231</v>
      </c>
      <c r="C3399" t="s">
        <v>1451</v>
      </c>
      <c r="D3399" s="9" t="s">
        <v>478</v>
      </c>
      <c r="E3399" s="1">
        <v>0</v>
      </c>
      <c r="G3399" s="2">
        <f t="shared" si="53"/>
        <v>0</v>
      </c>
      <c r="H3399" s="2">
        <v>0</v>
      </c>
    </row>
    <row r="3400" spans="2:8">
      <c r="B3400" t="s">
        <v>1231</v>
      </c>
      <c r="C3400" t="s">
        <v>1451</v>
      </c>
      <c r="D3400" s="10" t="s">
        <v>479</v>
      </c>
      <c r="E3400" s="1">
        <v>0</v>
      </c>
      <c r="G3400" s="2">
        <f t="shared" si="53"/>
        <v>0</v>
      </c>
      <c r="H3400" s="2">
        <v>0</v>
      </c>
    </row>
    <row r="3401" spans="2:8">
      <c r="B3401" t="s">
        <v>1231</v>
      </c>
      <c r="C3401" t="s">
        <v>1451</v>
      </c>
      <c r="D3401" s="11" t="s">
        <v>480</v>
      </c>
      <c r="E3401" s="1">
        <v>0</v>
      </c>
      <c r="G3401" s="2">
        <f t="shared" si="53"/>
        <v>0</v>
      </c>
      <c r="H3401" s="2">
        <v>0</v>
      </c>
    </row>
    <row r="3402" spans="2:8">
      <c r="B3402" t="s">
        <v>1231</v>
      </c>
      <c r="C3402" t="s">
        <v>1451</v>
      </c>
      <c r="D3402" s="13" t="s">
        <v>481</v>
      </c>
      <c r="E3402" s="1">
        <v>0</v>
      </c>
      <c r="G3402" s="2">
        <f t="shared" si="53"/>
        <v>0</v>
      </c>
      <c r="H3402" s="2">
        <v>0</v>
      </c>
    </row>
    <row r="3403" spans="2:8">
      <c r="B3403" t="s">
        <v>1231</v>
      </c>
      <c r="C3403" t="s">
        <v>1451</v>
      </c>
      <c r="D3403" s="12" t="s">
        <v>1033</v>
      </c>
      <c r="E3403" s="1">
        <v>0</v>
      </c>
      <c r="G3403" s="2">
        <f t="shared" si="53"/>
        <v>0</v>
      </c>
      <c r="H3403" s="2">
        <v>0</v>
      </c>
    </row>
    <row r="3404" spans="2:8">
      <c r="B3404" t="s">
        <v>1232</v>
      </c>
      <c r="C3404" t="s">
        <v>1452</v>
      </c>
      <c r="D3404" s="5" t="s">
        <v>474</v>
      </c>
      <c r="E3404" s="1">
        <v>0</v>
      </c>
      <c r="G3404" s="2">
        <f t="shared" si="53"/>
        <v>0</v>
      </c>
      <c r="H3404" s="2">
        <v>0</v>
      </c>
    </row>
    <row r="3405" spans="2:8">
      <c r="B3405" t="s">
        <v>1232</v>
      </c>
      <c r="C3405" t="s">
        <v>1452</v>
      </c>
      <c r="D3405" s="6" t="s">
        <v>475</v>
      </c>
      <c r="E3405" s="1">
        <v>0</v>
      </c>
      <c r="G3405" s="2">
        <f t="shared" si="53"/>
        <v>0</v>
      </c>
      <c r="H3405" s="2">
        <v>0</v>
      </c>
    </row>
    <row r="3406" spans="2:8">
      <c r="B3406" t="s">
        <v>1232</v>
      </c>
      <c r="C3406" t="s">
        <v>1452</v>
      </c>
      <c r="D3406" s="7" t="s">
        <v>476</v>
      </c>
      <c r="E3406" s="1">
        <v>0</v>
      </c>
      <c r="G3406" s="2">
        <f t="shared" si="53"/>
        <v>0</v>
      </c>
      <c r="H3406" s="2">
        <v>0</v>
      </c>
    </row>
    <row r="3407" spans="2:8">
      <c r="B3407" t="s">
        <v>1232</v>
      </c>
      <c r="C3407" t="s">
        <v>1452</v>
      </c>
      <c r="D3407" s="8" t="s">
        <v>477</v>
      </c>
      <c r="E3407" s="1">
        <v>0</v>
      </c>
      <c r="G3407" s="2">
        <f t="shared" si="53"/>
        <v>0</v>
      </c>
      <c r="H3407" s="2">
        <v>0</v>
      </c>
    </row>
    <row r="3408" spans="2:8">
      <c r="B3408" t="s">
        <v>1232</v>
      </c>
      <c r="C3408" t="s">
        <v>1452</v>
      </c>
      <c r="D3408" s="9" t="s">
        <v>478</v>
      </c>
      <c r="E3408" s="1">
        <v>0</v>
      </c>
      <c r="G3408" s="2">
        <f t="shared" si="53"/>
        <v>0</v>
      </c>
      <c r="H3408" s="2">
        <v>0</v>
      </c>
    </row>
    <row r="3409" spans="2:8">
      <c r="B3409" t="s">
        <v>1232</v>
      </c>
      <c r="C3409" t="s">
        <v>1452</v>
      </c>
      <c r="D3409" s="10" t="s">
        <v>479</v>
      </c>
      <c r="E3409" s="1">
        <v>0</v>
      </c>
      <c r="G3409" s="2">
        <f t="shared" si="53"/>
        <v>0</v>
      </c>
      <c r="H3409" s="2">
        <v>0</v>
      </c>
    </row>
    <row r="3410" spans="2:8">
      <c r="B3410" t="s">
        <v>1232</v>
      </c>
      <c r="C3410" t="s">
        <v>1452</v>
      </c>
      <c r="D3410" s="11" t="s">
        <v>480</v>
      </c>
      <c r="E3410" s="1">
        <v>0</v>
      </c>
      <c r="G3410" s="2">
        <f t="shared" si="53"/>
        <v>0</v>
      </c>
      <c r="H3410" s="2">
        <v>0</v>
      </c>
    </row>
    <row r="3411" spans="2:8">
      <c r="B3411" t="s">
        <v>1232</v>
      </c>
      <c r="C3411" t="s">
        <v>1452</v>
      </c>
      <c r="D3411" s="13" t="s">
        <v>481</v>
      </c>
      <c r="E3411" s="1">
        <v>0</v>
      </c>
      <c r="G3411" s="2">
        <f t="shared" si="53"/>
        <v>0</v>
      </c>
      <c r="H3411" s="2">
        <v>0</v>
      </c>
    </row>
    <row r="3412" spans="2:8">
      <c r="B3412" t="s">
        <v>1232</v>
      </c>
      <c r="C3412" t="s">
        <v>1452</v>
      </c>
      <c r="D3412" s="12" t="s">
        <v>1033</v>
      </c>
      <c r="E3412" s="1">
        <v>0</v>
      </c>
      <c r="G3412" s="2">
        <f t="shared" si="53"/>
        <v>0</v>
      </c>
      <c r="H3412" s="2">
        <v>0</v>
      </c>
    </row>
    <row r="3413" spans="2:8">
      <c r="B3413" t="s">
        <v>1233</v>
      </c>
      <c r="C3413" t="s">
        <v>1453</v>
      </c>
      <c r="D3413" s="5" t="s">
        <v>474</v>
      </c>
      <c r="E3413" s="1">
        <v>0</v>
      </c>
      <c r="G3413" s="2">
        <f t="shared" si="53"/>
        <v>0</v>
      </c>
      <c r="H3413" s="2">
        <v>0</v>
      </c>
    </row>
    <row r="3414" spans="2:8">
      <c r="B3414" t="s">
        <v>1233</v>
      </c>
      <c r="C3414" t="s">
        <v>1453</v>
      </c>
      <c r="D3414" s="6" t="s">
        <v>475</v>
      </c>
      <c r="E3414" s="1">
        <v>0</v>
      </c>
      <c r="G3414" s="2">
        <f t="shared" si="53"/>
        <v>0</v>
      </c>
      <c r="H3414" s="2">
        <v>0</v>
      </c>
    </row>
    <row r="3415" spans="2:8">
      <c r="B3415" t="s">
        <v>1233</v>
      </c>
      <c r="C3415" t="s">
        <v>1453</v>
      </c>
      <c r="D3415" s="7" t="s">
        <v>476</v>
      </c>
      <c r="E3415" s="1">
        <v>0</v>
      </c>
      <c r="G3415" s="2">
        <f t="shared" si="53"/>
        <v>0</v>
      </c>
      <c r="H3415" s="2">
        <v>0</v>
      </c>
    </row>
    <row r="3416" spans="2:8">
      <c r="B3416" t="s">
        <v>1233</v>
      </c>
      <c r="C3416" t="s">
        <v>1453</v>
      </c>
      <c r="D3416" s="8" t="s">
        <v>477</v>
      </c>
      <c r="E3416" s="1">
        <v>0</v>
      </c>
      <c r="G3416" s="2">
        <f t="shared" si="53"/>
        <v>0</v>
      </c>
      <c r="H3416" s="2">
        <v>0</v>
      </c>
    </row>
    <row r="3417" spans="2:8">
      <c r="B3417" t="s">
        <v>1233</v>
      </c>
      <c r="C3417" t="s">
        <v>1453</v>
      </c>
      <c r="D3417" s="9" t="s">
        <v>478</v>
      </c>
      <c r="E3417" s="1">
        <v>0</v>
      </c>
      <c r="G3417" s="2">
        <f t="shared" si="53"/>
        <v>0</v>
      </c>
      <c r="H3417" s="2">
        <v>0</v>
      </c>
    </row>
    <row r="3418" spans="2:8">
      <c r="B3418" t="s">
        <v>1233</v>
      </c>
      <c r="C3418" t="s">
        <v>1453</v>
      </c>
      <c r="D3418" s="10" t="s">
        <v>479</v>
      </c>
      <c r="E3418" s="1">
        <v>0</v>
      </c>
      <c r="G3418" s="2">
        <f t="shared" si="53"/>
        <v>0</v>
      </c>
      <c r="H3418" s="2">
        <v>0</v>
      </c>
    </row>
    <row r="3419" spans="2:8">
      <c r="B3419" t="s">
        <v>1233</v>
      </c>
      <c r="C3419" t="s">
        <v>1453</v>
      </c>
      <c r="D3419" s="11" t="s">
        <v>480</v>
      </c>
      <c r="E3419" s="1">
        <v>0</v>
      </c>
      <c r="G3419" s="2">
        <f t="shared" si="53"/>
        <v>0</v>
      </c>
      <c r="H3419" s="2">
        <v>0</v>
      </c>
    </row>
    <row r="3420" spans="2:8">
      <c r="B3420" t="s">
        <v>1233</v>
      </c>
      <c r="C3420" t="s">
        <v>1453</v>
      </c>
      <c r="D3420" s="13" t="s">
        <v>481</v>
      </c>
      <c r="E3420" s="1">
        <v>0</v>
      </c>
      <c r="G3420" s="2">
        <f t="shared" si="53"/>
        <v>0</v>
      </c>
      <c r="H3420" s="2">
        <v>0</v>
      </c>
    </row>
    <row r="3421" spans="2:8">
      <c r="B3421" t="s">
        <v>1233</v>
      </c>
      <c r="C3421" t="s">
        <v>1453</v>
      </c>
      <c r="D3421" s="12" t="s">
        <v>1033</v>
      </c>
      <c r="E3421" s="1">
        <v>0</v>
      </c>
      <c r="G3421" s="2">
        <f t="shared" si="53"/>
        <v>0</v>
      </c>
      <c r="H3421" s="2">
        <v>0</v>
      </c>
    </row>
    <row r="3422" spans="2:8">
      <c r="B3422" t="s">
        <v>1286</v>
      </c>
      <c r="C3422" t="s">
        <v>1454</v>
      </c>
      <c r="D3422" s="5" t="s">
        <v>474</v>
      </c>
      <c r="E3422" s="1">
        <v>0</v>
      </c>
      <c r="G3422" s="2">
        <f t="shared" si="53"/>
        <v>0</v>
      </c>
      <c r="H3422" s="2">
        <v>0</v>
      </c>
    </row>
    <row r="3423" spans="2:8">
      <c r="B3423" t="s">
        <v>1286</v>
      </c>
      <c r="C3423" t="s">
        <v>1454</v>
      </c>
      <c r="D3423" s="6" t="s">
        <v>475</v>
      </c>
      <c r="E3423" s="1">
        <v>0</v>
      </c>
      <c r="G3423" s="2">
        <f t="shared" si="53"/>
        <v>0</v>
      </c>
      <c r="H3423" s="2">
        <v>0</v>
      </c>
    </row>
    <row r="3424" spans="2:8">
      <c r="B3424" t="s">
        <v>1286</v>
      </c>
      <c r="C3424" t="s">
        <v>1454</v>
      </c>
      <c r="D3424" s="7" t="s">
        <v>476</v>
      </c>
      <c r="E3424" s="1">
        <v>0</v>
      </c>
      <c r="G3424" s="2">
        <f t="shared" si="53"/>
        <v>0</v>
      </c>
      <c r="H3424" s="2">
        <v>0</v>
      </c>
    </row>
    <row r="3425" spans="2:8">
      <c r="B3425" t="s">
        <v>1286</v>
      </c>
      <c r="C3425" t="s">
        <v>1454</v>
      </c>
      <c r="D3425" s="8" t="s">
        <v>477</v>
      </c>
      <c r="E3425" s="1">
        <v>0</v>
      </c>
      <c r="G3425" s="2">
        <f t="shared" si="53"/>
        <v>0</v>
      </c>
      <c r="H3425" s="2">
        <v>0</v>
      </c>
    </row>
    <row r="3426" spans="2:8">
      <c r="B3426" t="s">
        <v>1286</v>
      </c>
      <c r="C3426" t="s">
        <v>1454</v>
      </c>
      <c r="D3426" s="9" t="s">
        <v>478</v>
      </c>
      <c r="E3426" s="1">
        <v>0</v>
      </c>
      <c r="G3426" s="2">
        <f t="shared" si="53"/>
        <v>0</v>
      </c>
      <c r="H3426" s="2">
        <v>0</v>
      </c>
    </row>
    <row r="3427" spans="2:8">
      <c r="B3427" t="s">
        <v>1286</v>
      </c>
      <c r="C3427" t="s">
        <v>1454</v>
      </c>
      <c r="D3427" s="10" t="s">
        <v>479</v>
      </c>
      <c r="E3427" s="1">
        <v>0</v>
      </c>
      <c r="G3427" s="2">
        <f t="shared" si="53"/>
        <v>0</v>
      </c>
      <c r="H3427" s="2">
        <v>0</v>
      </c>
    </row>
    <row r="3428" spans="2:8">
      <c r="B3428" t="s">
        <v>1286</v>
      </c>
      <c r="C3428" t="s">
        <v>1454</v>
      </c>
      <c r="D3428" s="11" t="s">
        <v>480</v>
      </c>
      <c r="E3428" s="1">
        <v>0</v>
      </c>
      <c r="G3428" s="2">
        <f t="shared" si="53"/>
        <v>0</v>
      </c>
      <c r="H3428" s="2">
        <v>0</v>
      </c>
    </row>
    <row r="3429" spans="2:8">
      <c r="B3429" t="s">
        <v>1286</v>
      </c>
      <c r="C3429" t="s">
        <v>1454</v>
      </c>
      <c r="D3429" s="13" t="s">
        <v>481</v>
      </c>
      <c r="E3429" s="1">
        <v>0</v>
      </c>
      <c r="G3429" s="2">
        <f t="shared" si="53"/>
        <v>0</v>
      </c>
      <c r="H3429" s="2">
        <v>0</v>
      </c>
    </row>
    <row r="3430" spans="2:8">
      <c r="B3430" t="s">
        <v>1286</v>
      </c>
      <c r="C3430" t="s">
        <v>1454</v>
      </c>
      <c r="D3430" s="12" t="s">
        <v>1033</v>
      </c>
      <c r="E3430" s="1">
        <v>0</v>
      </c>
      <c r="G3430" s="2">
        <f t="shared" si="53"/>
        <v>0</v>
      </c>
      <c r="H3430" s="2">
        <v>0</v>
      </c>
    </row>
    <row r="3431" spans="2:8">
      <c r="B3431" t="s">
        <v>1308</v>
      </c>
      <c r="C3431" t="s">
        <v>1455</v>
      </c>
      <c r="D3431" s="5" t="s">
        <v>474</v>
      </c>
      <c r="E3431" s="1">
        <v>0</v>
      </c>
      <c r="G3431" s="2">
        <f t="shared" si="53"/>
        <v>0</v>
      </c>
      <c r="H3431" s="2">
        <v>0</v>
      </c>
    </row>
    <row r="3432" spans="2:8">
      <c r="B3432" t="s">
        <v>1308</v>
      </c>
      <c r="C3432" t="s">
        <v>1455</v>
      </c>
      <c r="D3432" s="6" t="s">
        <v>475</v>
      </c>
      <c r="E3432" s="1">
        <v>0</v>
      </c>
      <c r="G3432" s="2">
        <f t="shared" si="53"/>
        <v>0</v>
      </c>
      <c r="H3432" s="2">
        <v>0</v>
      </c>
    </row>
    <row r="3433" spans="2:8">
      <c r="B3433" t="s">
        <v>1308</v>
      </c>
      <c r="C3433" t="s">
        <v>1455</v>
      </c>
      <c r="D3433" s="7" t="s">
        <v>476</v>
      </c>
      <c r="E3433" s="1">
        <v>0</v>
      </c>
      <c r="G3433" s="2">
        <f t="shared" si="53"/>
        <v>0</v>
      </c>
      <c r="H3433" s="2">
        <v>0</v>
      </c>
    </row>
    <row r="3434" spans="2:8">
      <c r="B3434" t="s">
        <v>1308</v>
      </c>
      <c r="C3434" t="s">
        <v>1455</v>
      </c>
      <c r="D3434" s="8" t="s">
        <v>477</v>
      </c>
      <c r="E3434" s="1">
        <v>0</v>
      </c>
      <c r="G3434" s="2">
        <f t="shared" si="53"/>
        <v>0</v>
      </c>
      <c r="H3434" s="2">
        <v>0</v>
      </c>
    </row>
    <row r="3435" spans="2:8">
      <c r="B3435" t="s">
        <v>1308</v>
      </c>
      <c r="C3435" t="s">
        <v>1455</v>
      </c>
      <c r="D3435" s="9" t="s">
        <v>478</v>
      </c>
      <c r="E3435" s="1">
        <v>0</v>
      </c>
      <c r="G3435" s="2">
        <f t="shared" si="53"/>
        <v>0</v>
      </c>
      <c r="H3435" s="2">
        <v>0</v>
      </c>
    </row>
    <row r="3436" spans="2:8">
      <c r="B3436" t="s">
        <v>1308</v>
      </c>
      <c r="C3436" t="s">
        <v>1455</v>
      </c>
      <c r="D3436" s="10" t="s">
        <v>479</v>
      </c>
      <c r="E3436" s="1">
        <v>0</v>
      </c>
      <c r="G3436" s="2">
        <f t="shared" si="53"/>
        <v>0</v>
      </c>
      <c r="H3436" s="2">
        <v>0</v>
      </c>
    </row>
    <row r="3437" spans="2:8">
      <c r="B3437" t="s">
        <v>1308</v>
      </c>
      <c r="C3437" t="s">
        <v>1455</v>
      </c>
      <c r="D3437" s="11" t="s">
        <v>480</v>
      </c>
      <c r="E3437" s="1">
        <v>0</v>
      </c>
      <c r="G3437" s="2">
        <f t="shared" si="53"/>
        <v>0</v>
      </c>
      <c r="H3437" s="2">
        <v>0</v>
      </c>
    </row>
    <row r="3438" spans="2:8">
      <c r="B3438" t="s">
        <v>1308</v>
      </c>
      <c r="C3438" t="s">
        <v>1455</v>
      </c>
      <c r="D3438" s="13" t="s">
        <v>481</v>
      </c>
      <c r="E3438" s="1">
        <v>0</v>
      </c>
      <c r="G3438" s="2">
        <f t="shared" si="53"/>
        <v>0</v>
      </c>
      <c r="H3438" s="2">
        <v>0</v>
      </c>
    </row>
    <row r="3439" spans="2:8">
      <c r="B3439" t="s">
        <v>1308</v>
      </c>
      <c r="C3439" t="s">
        <v>1455</v>
      </c>
      <c r="D3439" s="12" t="s">
        <v>1033</v>
      </c>
      <c r="E3439" s="1">
        <v>0</v>
      </c>
      <c r="G3439" s="2">
        <f t="shared" si="53"/>
        <v>0</v>
      </c>
      <c r="H3439" s="2">
        <v>0</v>
      </c>
    </row>
    <row r="3440" spans="2:8">
      <c r="B3440" t="s">
        <v>1311</v>
      </c>
      <c r="C3440" t="s">
        <v>1456</v>
      </c>
      <c r="D3440" s="5" t="s">
        <v>474</v>
      </c>
      <c r="E3440" s="1">
        <v>0</v>
      </c>
      <c r="G3440" s="2">
        <f t="shared" si="53"/>
        <v>0</v>
      </c>
      <c r="H3440" s="2">
        <v>0</v>
      </c>
    </row>
    <row r="3441" spans="2:8">
      <c r="B3441" t="s">
        <v>1311</v>
      </c>
      <c r="C3441" t="s">
        <v>1456</v>
      </c>
      <c r="D3441" s="6" t="s">
        <v>475</v>
      </c>
      <c r="E3441" s="1">
        <v>0</v>
      </c>
      <c r="G3441" s="2">
        <f t="shared" si="53"/>
        <v>0</v>
      </c>
      <c r="H3441" s="2">
        <v>0</v>
      </c>
    </row>
    <row r="3442" spans="2:8">
      <c r="B3442" t="s">
        <v>1311</v>
      </c>
      <c r="C3442" t="s">
        <v>1456</v>
      </c>
      <c r="D3442" s="7" t="s">
        <v>476</v>
      </c>
      <c r="E3442" s="1">
        <v>0</v>
      </c>
      <c r="G3442" s="2">
        <f t="shared" si="53"/>
        <v>0</v>
      </c>
      <c r="H3442" s="2">
        <v>0</v>
      </c>
    </row>
    <row r="3443" spans="2:8">
      <c r="B3443" t="s">
        <v>1311</v>
      </c>
      <c r="C3443" t="s">
        <v>1456</v>
      </c>
      <c r="D3443" s="8" t="s">
        <v>477</v>
      </c>
      <c r="E3443" s="1">
        <v>0</v>
      </c>
      <c r="G3443" s="2">
        <f t="shared" si="53"/>
        <v>0</v>
      </c>
      <c r="H3443" s="2">
        <v>0</v>
      </c>
    </row>
    <row r="3444" spans="2:8">
      <c r="B3444" t="s">
        <v>1311</v>
      </c>
      <c r="C3444" t="s">
        <v>1456</v>
      </c>
      <c r="D3444" s="9" t="s">
        <v>478</v>
      </c>
      <c r="E3444" s="1">
        <v>0</v>
      </c>
      <c r="G3444" s="2">
        <f t="shared" si="53"/>
        <v>0</v>
      </c>
      <c r="H3444" s="2">
        <v>0</v>
      </c>
    </row>
    <row r="3445" spans="2:8">
      <c r="B3445" t="s">
        <v>1311</v>
      </c>
      <c r="C3445" t="s">
        <v>1456</v>
      </c>
      <c r="D3445" s="10" t="s">
        <v>479</v>
      </c>
      <c r="E3445" s="1">
        <v>0</v>
      </c>
      <c r="G3445" s="2">
        <f t="shared" si="53"/>
        <v>0</v>
      </c>
      <c r="H3445" s="2">
        <v>0</v>
      </c>
    </row>
    <row r="3446" spans="2:8">
      <c r="B3446" t="s">
        <v>1311</v>
      </c>
      <c r="C3446" t="s">
        <v>1456</v>
      </c>
      <c r="D3446" s="11" t="s">
        <v>480</v>
      </c>
      <c r="E3446" s="1">
        <v>0</v>
      </c>
      <c r="G3446" s="2">
        <f t="shared" si="53"/>
        <v>0</v>
      </c>
      <c r="H3446" s="2">
        <v>0</v>
      </c>
    </row>
    <row r="3447" spans="2:8">
      <c r="B3447" t="s">
        <v>1311</v>
      </c>
      <c r="C3447" t="s">
        <v>1456</v>
      </c>
      <c r="D3447" s="13" t="s">
        <v>481</v>
      </c>
      <c r="E3447" s="1">
        <v>0</v>
      </c>
      <c r="G3447" s="2">
        <f t="shared" si="53"/>
        <v>0</v>
      </c>
      <c r="H3447" s="2">
        <v>0</v>
      </c>
    </row>
    <row r="3448" spans="2:8">
      <c r="B3448" t="s">
        <v>1311</v>
      </c>
      <c r="C3448" t="s">
        <v>1456</v>
      </c>
      <c r="D3448" s="12" t="s">
        <v>1033</v>
      </c>
      <c r="E3448" s="1">
        <v>0</v>
      </c>
      <c r="G3448" s="2">
        <f t="shared" si="53"/>
        <v>0</v>
      </c>
      <c r="H3448" s="2">
        <v>0</v>
      </c>
    </row>
    <row r="3449" spans="2:8">
      <c r="B3449" t="s">
        <v>1253</v>
      </c>
      <c r="C3449" t="s">
        <v>1457</v>
      </c>
      <c r="D3449" s="5" t="s">
        <v>474</v>
      </c>
      <c r="E3449" s="1">
        <v>0</v>
      </c>
      <c r="G3449" s="2">
        <f t="shared" si="53"/>
        <v>0</v>
      </c>
      <c r="H3449" s="2">
        <v>0</v>
      </c>
    </row>
    <row r="3450" spans="2:8">
      <c r="B3450" t="s">
        <v>1253</v>
      </c>
      <c r="C3450" t="s">
        <v>1457</v>
      </c>
      <c r="D3450" s="6" t="s">
        <v>475</v>
      </c>
      <c r="E3450" s="1">
        <v>0</v>
      </c>
      <c r="G3450" s="2">
        <f t="shared" si="53"/>
        <v>0</v>
      </c>
      <c r="H3450" s="2">
        <v>0</v>
      </c>
    </row>
    <row r="3451" spans="2:8">
      <c r="B3451" t="s">
        <v>1253</v>
      </c>
      <c r="C3451" t="s">
        <v>1457</v>
      </c>
      <c r="D3451" s="7" t="s">
        <v>476</v>
      </c>
      <c r="E3451" s="1">
        <v>0</v>
      </c>
      <c r="G3451" s="2">
        <f t="shared" si="53"/>
        <v>0</v>
      </c>
      <c r="H3451" s="2">
        <v>0</v>
      </c>
    </row>
    <row r="3452" spans="2:8">
      <c r="B3452" t="s">
        <v>1253</v>
      </c>
      <c r="C3452" t="s">
        <v>1457</v>
      </c>
      <c r="D3452" s="8" t="s">
        <v>477</v>
      </c>
      <c r="E3452" s="1">
        <v>0</v>
      </c>
      <c r="G3452" s="2">
        <f t="shared" si="53"/>
        <v>0</v>
      </c>
      <c r="H3452" s="2">
        <v>0</v>
      </c>
    </row>
    <row r="3453" spans="2:8">
      <c r="B3453" t="s">
        <v>1253</v>
      </c>
      <c r="C3453" t="s">
        <v>1457</v>
      </c>
      <c r="D3453" s="9" t="s">
        <v>478</v>
      </c>
      <c r="E3453" s="1">
        <v>0</v>
      </c>
      <c r="G3453" s="2">
        <f t="shared" si="53"/>
        <v>0</v>
      </c>
      <c r="H3453" s="2">
        <v>0</v>
      </c>
    </row>
    <row r="3454" spans="2:8">
      <c r="B3454" t="s">
        <v>1253</v>
      </c>
      <c r="C3454" t="s">
        <v>1457</v>
      </c>
      <c r="D3454" s="10" t="s">
        <v>479</v>
      </c>
      <c r="E3454" s="1">
        <v>0</v>
      </c>
      <c r="G3454" s="2">
        <f t="shared" si="53"/>
        <v>0</v>
      </c>
      <c r="H3454" s="2">
        <v>0</v>
      </c>
    </row>
    <row r="3455" spans="2:8">
      <c r="B3455" t="s">
        <v>1253</v>
      </c>
      <c r="C3455" t="s">
        <v>1457</v>
      </c>
      <c r="D3455" s="11" t="s">
        <v>480</v>
      </c>
      <c r="E3455" s="1">
        <v>0</v>
      </c>
      <c r="G3455" s="2">
        <f t="shared" si="53"/>
        <v>0</v>
      </c>
      <c r="H3455" s="2">
        <v>0</v>
      </c>
    </row>
    <row r="3456" spans="2:8">
      <c r="B3456" t="s">
        <v>1253</v>
      </c>
      <c r="C3456" t="s">
        <v>1457</v>
      </c>
      <c r="D3456" s="13" t="s">
        <v>481</v>
      </c>
      <c r="E3456" s="1">
        <v>0</v>
      </c>
      <c r="G3456" s="2">
        <f t="shared" si="53"/>
        <v>0</v>
      </c>
      <c r="H3456" s="2">
        <v>0</v>
      </c>
    </row>
    <row r="3457" spans="2:8">
      <c r="B3457" t="s">
        <v>1253</v>
      </c>
      <c r="C3457" t="s">
        <v>1457</v>
      </c>
      <c r="D3457" s="12" t="s">
        <v>1033</v>
      </c>
      <c r="E3457" s="1">
        <v>0</v>
      </c>
      <c r="G3457" s="2">
        <f t="shared" si="53"/>
        <v>0</v>
      </c>
      <c r="H3457" s="2">
        <v>0</v>
      </c>
    </row>
    <row r="3458" spans="2:8">
      <c r="B3458" t="s">
        <v>1289</v>
      </c>
      <c r="C3458" t="s">
        <v>1458</v>
      </c>
      <c r="D3458" s="5" t="s">
        <v>474</v>
      </c>
      <c r="E3458" s="1">
        <v>0</v>
      </c>
      <c r="G3458" s="2">
        <f t="shared" ref="G3458:G3521" si="54">E3458*F3458</f>
        <v>0</v>
      </c>
      <c r="H3458" s="2">
        <v>0</v>
      </c>
    </row>
    <row r="3459" spans="2:8">
      <c r="B3459" t="s">
        <v>1289</v>
      </c>
      <c r="C3459" t="s">
        <v>1458</v>
      </c>
      <c r="D3459" s="6" t="s">
        <v>475</v>
      </c>
      <c r="E3459" s="1">
        <v>0</v>
      </c>
      <c r="G3459" s="2">
        <f t="shared" si="54"/>
        <v>0</v>
      </c>
      <c r="H3459" s="2">
        <v>0</v>
      </c>
    </row>
    <row r="3460" spans="2:8">
      <c r="B3460" t="s">
        <v>1289</v>
      </c>
      <c r="C3460" t="s">
        <v>1458</v>
      </c>
      <c r="D3460" s="7" t="s">
        <v>476</v>
      </c>
      <c r="E3460" s="1">
        <v>0</v>
      </c>
      <c r="G3460" s="2">
        <f t="shared" si="54"/>
        <v>0</v>
      </c>
      <c r="H3460" s="2">
        <v>0</v>
      </c>
    </row>
    <row r="3461" spans="2:8">
      <c r="B3461" t="s">
        <v>1289</v>
      </c>
      <c r="C3461" t="s">
        <v>1458</v>
      </c>
      <c r="D3461" s="8" t="s">
        <v>477</v>
      </c>
      <c r="E3461" s="1">
        <v>0</v>
      </c>
      <c r="G3461" s="2">
        <f t="shared" si="54"/>
        <v>0</v>
      </c>
      <c r="H3461" s="2">
        <v>0</v>
      </c>
    </row>
    <row r="3462" spans="2:8">
      <c r="B3462" t="s">
        <v>1289</v>
      </c>
      <c r="C3462" t="s">
        <v>1458</v>
      </c>
      <c r="D3462" s="9" t="s">
        <v>478</v>
      </c>
      <c r="E3462" s="1">
        <v>0</v>
      </c>
      <c r="G3462" s="2">
        <f t="shared" si="54"/>
        <v>0</v>
      </c>
      <c r="H3462" s="2">
        <v>0</v>
      </c>
    </row>
    <row r="3463" spans="2:8">
      <c r="B3463" t="s">
        <v>1289</v>
      </c>
      <c r="C3463" t="s">
        <v>1458</v>
      </c>
      <c r="D3463" s="10" t="s">
        <v>479</v>
      </c>
      <c r="E3463" s="1">
        <v>0</v>
      </c>
      <c r="G3463" s="2">
        <f t="shared" si="54"/>
        <v>0</v>
      </c>
      <c r="H3463" s="2">
        <v>0</v>
      </c>
    </row>
    <row r="3464" spans="2:8">
      <c r="B3464" t="s">
        <v>1289</v>
      </c>
      <c r="C3464" t="s">
        <v>1458</v>
      </c>
      <c r="D3464" s="11" t="s">
        <v>480</v>
      </c>
      <c r="E3464" s="1">
        <v>0</v>
      </c>
      <c r="G3464" s="2">
        <f t="shared" si="54"/>
        <v>0</v>
      </c>
      <c r="H3464" s="2">
        <v>0</v>
      </c>
    </row>
    <row r="3465" spans="2:8">
      <c r="B3465" t="s">
        <v>1289</v>
      </c>
      <c r="C3465" t="s">
        <v>1458</v>
      </c>
      <c r="D3465" s="13" t="s">
        <v>481</v>
      </c>
      <c r="E3465" s="1">
        <v>0</v>
      </c>
      <c r="G3465" s="2">
        <f t="shared" si="54"/>
        <v>0</v>
      </c>
      <c r="H3465" s="2">
        <v>0</v>
      </c>
    </row>
    <row r="3466" spans="2:8">
      <c r="B3466" t="s">
        <v>1289</v>
      </c>
      <c r="C3466" t="s">
        <v>1458</v>
      </c>
      <c r="D3466" s="12" t="s">
        <v>1033</v>
      </c>
      <c r="E3466" s="1">
        <v>0</v>
      </c>
      <c r="G3466" s="2">
        <f t="shared" si="54"/>
        <v>0</v>
      </c>
      <c r="H3466" s="2">
        <v>0</v>
      </c>
    </row>
    <row r="3467" spans="2:8">
      <c r="B3467" t="s">
        <v>1270</v>
      </c>
      <c r="C3467" t="s">
        <v>1459</v>
      </c>
      <c r="D3467" s="5" t="s">
        <v>474</v>
      </c>
      <c r="E3467" s="1">
        <v>0</v>
      </c>
      <c r="G3467" s="2">
        <f t="shared" si="54"/>
        <v>0</v>
      </c>
      <c r="H3467" s="2">
        <v>0</v>
      </c>
    </row>
    <row r="3468" spans="2:8">
      <c r="B3468" t="s">
        <v>1270</v>
      </c>
      <c r="C3468" t="s">
        <v>1459</v>
      </c>
      <c r="D3468" s="6" t="s">
        <v>475</v>
      </c>
      <c r="E3468" s="1">
        <v>0</v>
      </c>
      <c r="G3468" s="2">
        <f t="shared" si="54"/>
        <v>0</v>
      </c>
      <c r="H3468" s="2">
        <v>0</v>
      </c>
    </row>
    <row r="3469" spans="2:8">
      <c r="B3469" t="s">
        <v>1270</v>
      </c>
      <c r="C3469" t="s">
        <v>1459</v>
      </c>
      <c r="D3469" s="7" t="s">
        <v>476</v>
      </c>
      <c r="E3469" s="1">
        <v>0</v>
      </c>
      <c r="G3469" s="2">
        <f t="shared" si="54"/>
        <v>0</v>
      </c>
      <c r="H3469" s="2">
        <v>0</v>
      </c>
    </row>
    <row r="3470" spans="2:8">
      <c r="B3470" t="s">
        <v>1270</v>
      </c>
      <c r="C3470" t="s">
        <v>1459</v>
      </c>
      <c r="D3470" s="8" t="s">
        <v>477</v>
      </c>
      <c r="E3470" s="1">
        <v>0</v>
      </c>
      <c r="G3470" s="2">
        <f t="shared" si="54"/>
        <v>0</v>
      </c>
      <c r="H3470" s="2">
        <v>0</v>
      </c>
    </row>
    <row r="3471" spans="2:8">
      <c r="B3471" t="s">
        <v>1270</v>
      </c>
      <c r="C3471" t="s">
        <v>1459</v>
      </c>
      <c r="D3471" s="9" t="s">
        <v>478</v>
      </c>
      <c r="E3471" s="1">
        <v>0</v>
      </c>
      <c r="G3471" s="2">
        <f t="shared" si="54"/>
        <v>0</v>
      </c>
      <c r="H3471" s="2">
        <v>0</v>
      </c>
    </row>
    <row r="3472" spans="2:8">
      <c r="B3472" t="s">
        <v>1270</v>
      </c>
      <c r="C3472" t="s">
        <v>1459</v>
      </c>
      <c r="D3472" s="10" t="s">
        <v>479</v>
      </c>
      <c r="E3472" s="1">
        <v>0</v>
      </c>
      <c r="G3472" s="2">
        <f t="shared" si="54"/>
        <v>0</v>
      </c>
      <c r="H3472" s="2">
        <v>0</v>
      </c>
    </row>
    <row r="3473" spans="2:8">
      <c r="B3473" t="s">
        <v>1270</v>
      </c>
      <c r="C3473" t="s">
        <v>1459</v>
      </c>
      <c r="D3473" s="11" t="s">
        <v>480</v>
      </c>
      <c r="E3473" s="1">
        <v>0</v>
      </c>
      <c r="G3473" s="2">
        <f t="shared" si="54"/>
        <v>0</v>
      </c>
      <c r="H3473" s="2">
        <v>0</v>
      </c>
    </row>
    <row r="3474" spans="2:8">
      <c r="B3474" t="s">
        <v>1270</v>
      </c>
      <c r="C3474" t="s">
        <v>1459</v>
      </c>
      <c r="D3474" s="13" t="s">
        <v>481</v>
      </c>
      <c r="E3474" s="1">
        <v>0</v>
      </c>
      <c r="G3474" s="2">
        <f t="shared" si="54"/>
        <v>0</v>
      </c>
      <c r="H3474" s="2">
        <v>0</v>
      </c>
    </row>
    <row r="3475" spans="2:8">
      <c r="B3475" t="s">
        <v>1270</v>
      </c>
      <c r="C3475" t="s">
        <v>1459</v>
      </c>
      <c r="D3475" s="12" t="s">
        <v>1033</v>
      </c>
      <c r="E3475" s="1">
        <v>0</v>
      </c>
      <c r="G3475" s="2">
        <f t="shared" si="54"/>
        <v>0</v>
      </c>
      <c r="H3475" s="2">
        <v>0</v>
      </c>
    </row>
    <row r="3476" spans="2:8">
      <c r="B3476" t="s">
        <v>1324</v>
      </c>
      <c r="C3476" t="s">
        <v>1460</v>
      </c>
      <c r="D3476" s="5" t="s">
        <v>474</v>
      </c>
      <c r="E3476" s="1">
        <v>0</v>
      </c>
      <c r="G3476" s="2">
        <f t="shared" si="54"/>
        <v>0</v>
      </c>
      <c r="H3476" s="2">
        <v>0</v>
      </c>
    </row>
    <row r="3477" spans="2:8">
      <c r="B3477" t="s">
        <v>1324</v>
      </c>
      <c r="C3477" t="s">
        <v>1460</v>
      </c>
      <c r="D3477" s="6" t="s">
        <v>475</v>
      </c>
      <c r="E3477" s="1">
        <v>0</v>
      </c>
      <c r="G3477" s="2">
        <f t="shared" si="54"/>
        <v>0</v>
      </c>
      <c r="H3477" s="2">
        <v>0</v>
      </c>
    </row>
    <row r="3478" spans="2:8">
      <c r="B3478" t="s">
        <v>1324</v>
      </c>
      <c r="C3478" t="s">
        <v>1460</v>
      </c>
      <c r="D3478" s="7" t="s">
        <v>476</v>
      </c>
      <c r="E3478" s="1">
        <v>0</v>
      </c>
      <c r="G3478" s="2">
        <f t="shared" si="54"/>
        <v>0</v>
      </c>
      <c r="H3478" s="2">
        <v>0</v>
      </c>
    </row>
    <row r="3479" spans="2:8">
      <c r="B3479" t="s">
        <v>1324</v>
      </c>
      <c r="C3479" t="s">
        <v>1460</v>
      </c>
      <c r="D3479" s="8" t="s">
        <v>477</v>
      </c>
      <c r="E3479" s="1">
        <v>0</v>
      </c>
      <c r="G3479" s="2">
        <f t="shared" si="54"/>
        <v>0</v>
      </c>
      <c r="H3479" s="2">
        <v>0</v>
      </c>
    </row>
    <row r="3480" spans="2:8">
      <c r="B3480" t="s">
        <v>1324</v>
      </c>
      <c r="C3480" t="s">
        <v>1460</v>
      </c>
      <c r="D3480" s="9" t="s">
        <v>478</v>
      </c>
      <c r="E3480" s="1">
        <v>0</v>
      </c>
      <c r="G3480" s="2">
        <f t="shared" si="54"/>
        <v>0</v>
      </c>
      <c r="H3480" s="2">
        <v>0</v>
      </c>
    </row>
    <row r="3481" spans="2:8">
      <c r="B3481" t="s">
        <v>1324</v>
      </c>
      <c r="C3481" t="s">
        <v>1460</v>
      </c>
      <c r="D3481" s="10" t="s">
        <v>479</v>
      </c>
      <c r="E3481" s="1">
        <v>0</v>
      </c>
      <c r="G3481" s="2">
        <f t="shared" si="54"/>
        <v>0</v>
      </c>
      <c r="H3481" s="2">
        <v>0</v>
      </c>
    </row>
    <row r="3482" spans="2:8">
      <c r="B3482" t="s">
        <v>1324</v>
      </c>
      <c r="C3482" t="s">
        <v>1460</v>
      </c>
      <c r="D3482" s="11" t="s">
        <v>480</v>
      </c>
      <c r="E3482" s="1">
        <v>0</v>
      </c>
      <c r="G3482" s="2">
        <f t="shared" si="54"/>
        <v>0</v>
      </c>
      <c r="H3482" s="2">
        <v>0</v>
      </c>
    </row>
    <row r="3483" spans="2:8">
      <c r="B3483" t="s">
        <v>1324</v>
      </c>
      <c r="C3483" t="s">
        <v>1460</v>
      </c>
      <c r="D3483" s="13" t="s">
        <v>481</v>
      </c>
      <c r="E3483" s="1">
        <v>0</v>
      </c>
      <c r="G3483" s="2">
        <f t="shared" si="54"/>
        <v>0</v>
      </c>
      <c r="H3483" s="2">
        <v>0</v>
      </c>
    </row>
    <row r="3484" spans="2:8">
      <c r="B3484" t="s">
        <v>1324</v>
      </c>
      <c r="C3484" t="s">
        <v>1460</v>
      </c>
      <c r="D3484" s="12" t="s">
        <v>1033</v>
      </c>
      <c r="E3484" s="1">
        <v>0</v>
      </c>
      <c r="G3484" s="2">
        <f t="shared" si="54"/>
        <v>0</v>
      </c>
      <c r="H3484" s="2">
        <v>0</v>
      </c>
    </row>
    <row r="3485" spans="2:8">
      <c r="B3485" t="s">
        <v>1323</v>
      </c>
      <c r="C3485" t="s">
        <v>1461</v>
      </c>
      <c r="D3485" s="5" t="s">
        <v>474</v>
      </c>
      <c r="E3485" s="1">
        <v>0</v>
      </c>
      <c r="G3485" s="2">
        <f t="shared" si="54"/>
        <v>0</v>
      </c>
      <c r="H3485" s="2">
        <v>0</v>
      </c>
    </row>
    <row r="3486" spans="2:8">
      <c r="B3486" t="s">
        <v>1323</v>
      </c>
      <c r="C3486" t="s">
        <v>1461</v>
      </c>
      <c r="D3486" s="6" t="s">
        <v>475</v>
      </c>
      <c r="E3486" s="1">
        <v>0</v>
      </c>
      <c r="G3486" s="2">
        <f t="shared" si="54"/>
        <v>0</v>
      </c>
      <c r="H3486" s="2">
        <v>0</v>
      </c>
    </row>
    <row r="3487" spans="2:8">
      <c r="B3487" t="s">
        <v>1323</v>
      </c>
      <c r="C3487" t="s">
        <v>1461</v>
      </c>
      <c r="D3487" s="7" t="s">
        <v>476</v>
      </c>
      <c r="E3487" s="1">
        <v>0</v>
      </c>
      <c r="G3487" s="2">
        <f t="shared" si="54"/>
        <v>0</v>
      </c>
      <c r="H3487" s="2">
        <v>0</v>
      </c>
    </row>
    <row r="3488" spans="2:8">
      <c r="B3488" t="s">
        <v>1323</v>
      </c>
      <c r="C3488" t="s">
        <v>1461</v>
      </c>
      <c r="D3488" s="8" t="s">
        <v>477</v>
      </c>
      <c r="E3488" s="1">
        <v>0</v>
      </c>
      <c r="G3488" s="2">
        <f t="shared" si="54"/>
        <v>0</v>
      </c>
      <c r="H3488" s="2">
        <v>0</v>
      </c>
    </row>
    <row r="3489" spans="2:8">
      <c r="B3489" t="s">
        <v>1323</v>
      </c>
      <c r="C3489" t="s">
        <v>1461</v>
      </c>
      <c r="D3489" s="9" t="s">
        <v>478</v>
      </c>
      <c r="E3489" s="1">
        <v>0</v>
      </c>
      <c r="G3489" s="2">
        <f t="shared" si="54"/>
        <v>0</v>
      </c>
      <c r="H3489" s="2">
        <v>0</v>
      </c>
    </row>
    <row r="3490" spans="2:8">
      <c r="B3490" t="s">
        <v>1323</v>
      </c>
      <c r="C3490" t="s">
        <v>1461</v>
      </c>
      <c r="D3490" s="10" t="s">
        <v>479</v>
      </c>
      <c r="E3490" s="1">
        <v>0</v>
      </c>
      <c r="G3490" s="2">
        <f t="shared" si="54"/>
        <v>0</v>
      </c>
      <c r="H3490" s="2">
        <v>0</v>
      </c>
    </row>
    <row r="3491" spans="2:8">
      <c r="B3491" t="s">
        <v>1323</v>
      </c>
      <c r="C3491" t="s">
        <v>1461</v>
      </c>
      <c r="D3491" s="11" t="s">
        <v>480</v>
      </c>
      <c r="E3491" s="1">
        <v>0</v>
      </c>
      <c r="G3491" s="2">
        <f t="shared" si="54"/>
        <v>0</v>
      </c>
      <c r="H3491" s="2">
        <v>0</v>
      </c>
    </row>
    <row r="3492" spans="2:8">
      <c r="B3492" t="s">
        <v>1323</v>
      </c>
      <c r="C3492" t="s">
        <v>1461</v>
      </c>
      <c r="D3492" s="13" t="s">
        <v>481</v>
      </c>
      <c r="E3492" s="1">
        <v>0</v>
      </c>
      <c r="G3492" s="2">
        <f t="shared" si="54"/>
        <v>0</v>
      </c>
      <c r="H3492" s="2">
        <v>0</v>
      </c>
    </row>
    <row r="3493" spans="2:8">
      <c r="B3493" t="s">
        <v>1323</v>
      </c>
      <c r="C3493" t="s">
        <v>1461</v>
      </c>
      <c r="D3493" s="12" t="s">
        <v>1033</v>
      </c>
      <c r="E3493" s="1">
        <v>0</v>
      </c>
      <c r="G3493" s="2">
        <f t="shared" si="54"/>
        <v>0</v>
      </c>
      <c r="H3493" s="2">
        <v>0</v>
      </c>
    </row>
    <row r="3494" spans="2:8">
      <c r="B3494" t="s">
        <v>1268</v>
      </c>
      <c r="C3494" t="s">
        <v>1462</v>
      </c>
      <c r="D3494" s="5" t="s">
        <v>474</v>
      </c>
      <c r="E3494" s="1">
        <v>0</v>
      </c>
      <c r="G3494" s="2">
        <f t="shared" si="54"/>
        <v>0</v>
      </c>
      <c r="H3494" s="2">
        <v>0</v>
      </c>
    </row>
    <row r="3495" spans="2:8">
      <c r="B3495" t="s">
        <v>1268</v>
      </c>
      <c r="C3495" t="s">
        <v>1462</v>
      </c>
      <c r="D3495" s="6" t="s">
        <v>475</v>
      </c>
      <c r="E3495" s="1">
        <v>0</v>
      </c>
      <c r="G3495" s="2">
        <f t="shared" si="54"/>
        <v>0</v>
      </c>
      <c r="H3495" s="2">
        <v>0</v>
      </c>
    </row>
    <row r="3496" spans="2:8">
      <c r="B3496" t="s">
        <v>1268</v>
      </c>
      <c r="C3496" t="s">
        <v>1462</v>
      </c>
      <c r="D3496" s="7" t="s">
        <v>476</v>
      </c>
      <c r="E3496" s="1">
        <v>0</v>
      </c>
      <c r="G3496" s="2">
        <f t="shared" si="54"/>
        <v>0</v>
      </c>
      <c r="H3496" s="2">
        <v>0</v>
      </c>
    </row>
    <row r="3497" spans="2:8">
      <c r="B3497" t="s">
        <v>1268</v>
      </c>
      <c r="C3497" t="s">
        <v>1462</v>
      </c>
      <c r="D3497" s="8" t="s">
        <v>477</v>
      </c>
      <c r="E3497" s="1">
        <v>0</v>
      </c>
      <c r="G3497" s="2">
        <f t="shared" si="54"/>
        <v>0</v>
      </c>
      <c r="H3497" s="2">
        <v>0</v>
      </c>
    </row>
    <row r="3498" spans="2:8">
      <c r="B3498" t="s">
        <v>1268</v>
      </c>
      <c r="C3498" t="s">
        <v>1462</v>
      </c>
      <c r="D3498" s="9" t="s">
        <v>478</v>
      </c>
      <c r="E3498" s="1">
        <v>0</v>
      </c>
      <c r="G3498" s="2">
        <f t="shared" si="54"/>
        <v>0</v>
      </c>
      <c r="H3498" s="2">
        <v>0</v>
      </c>
    </row>
    <row r="3499" spans="2:8">
      <c r="B3499" t="s">
        <v>1268</v>
      </c>
      <c r="C3499" t="s">
        <v>1462</v>
      </c>
      <c r="D3499" s="10" t="s">
        <v>479</v>
      </c>
      <c r="E3499" s="1">
        <v>0</v>
      </c>
      <c r="G3499" s="2">
        <f t="shared" si="54"/>
        <v>0</v>
      </c>
      <c r="H3499" s="2">
        <v>0</v>
      </c>
    </row>
    <row r="3500" spans="2:8">
      <c r="B3500" t="s">
        <v>1268</v>
      </c>
      <c r="C3500" t="s">
        <v>1462</v>
      </c>
      <c r="D3500" s="11" t="s">
        <v>480</v>
      </c>
      <c r="E3500" s="1">
        <v>0</v>
      </c>
      <c r="G3500" s="2">
        <f t="shared" si="54"/>
        <v>0</v>
      </c>
      <c r="H3500" s="2">
        <v>0</v>
      </c>
    </row>
    <row r="3501" spans="2:8">
      <c r="B3501" t="s">
        <v>1268</v>
      </c>
      <c r="C3501" t="s">
        <v>1462</v>
      </c>
      <c r="D3501" s="13" t="s">
        <v>481</v>
      </c>
      <c r="E3501" s="1">
        <v>0</v>
      </c>
      <c r="G3501" s="2">
        <f t="shared" si="54"/>
        <v>0</v>
      </c>
      <c r="H3501" s="2">
        <v>0</v>
      </c>
    </row>
    <row r="3502" spans="2:8">
      <c r="B3502" t="s">
        <v>1268</v>
      </c>
      <c r="C3502" t="s">
        <v>1462</v>
      </c>
      <c r="D3502" s="12" t="s">
        <v>1033</v>
      </c>
      <c r="E3502" s="1">
        <v>0</v>
      </c>
      <c r="G3502" s="2">
        <f t="shared" si="54"/>
        <v>0</v>
      </c>
      <c r="H3502" s="2">
        <v>0</v>
      </c>
    </row>
    <row r="3503" spans="2:8">
      <c r="B3503" t="s">
        <v>1312</v>
      </c>
      <c r="C3503" t="s">
        <v>1463</v>
      </c>
      <c r="D3503" s="5" t="s">
        <v>474</v>
      </c>
      <c r="E3503" s="1">
        <v>0</v>
      </c>
      <c r="G3503" s="2">
        <f t="shared" si="54"/>
        <v>0</v>
      </c>
      <c r="H3503" s="2">
        <v>0</v>
      </c>
    </row>
    <row r="3504" spans="2:8">
      <c r="B3504" t="s">
        <v>1312</v>
      </c>
      <c r="C3504" t="s">
        <v>1463</v>
      </c>
      <c r="D3504" s="6" t="s">
        <v>475</v>
      </c>
      <c r="E3504" s="1">
        <v>0</v>
      </c>
      <c r="G3504" s="2">
        <f t="shared" si="54"/>
        <v>0</v>
      </c>
      <c r="H3504" s="2">
        <v>0</v>
      </c>
    </row>
    <row r="3505" spans="2:8">
      <c r="B3505" t="s">
        <v>1312</v>
      </c>
      <c r="C3505" t="s">
        <v>1463</v>
      </c>
      <c r="D3505" s="7" t="s">
        <v>476</v>
      </c>
      <c r="E3505" s="1">
        <v>0</v>
      </c>
      <c r="G3505" s="2">
        <f t="shared" si="54"/>
        <v>0</v>
      </c>
      <c r="H3505" s="2">
        <v>0</v>
      </c>
    </row>
    <row r="3506" spans="2:8">
      <c r="B3506" t="s">
        <v>1312</v>
      </c>
      <c r="C3506" t="s">
        <v>1463</v>
      </c>
      <c r="D3506" s="8" t="s">
        <v>477</v>
      </c>
      <c r="E3506" s="1">
        <v>0</v>
      </c>
      <c r="G3506" s="2">
        <f t="shared" si="54"/>
        <v>0</v>
      </c>
      <c r="H3506" s="2">
        <v>0</v>
      </c>
    </row>
    <row r="3507" spans="2:8">
      <c r="B3507" t="s">
        <v>1312</v>
      </c>
      <c r="C3507" t="s">
        <v>1463</v>
      </c>
      <c r="D3507" s="9" t="s">
        <v>478</v>
      </c>
      <c r="E3507" s="1">
        <v>0</v>
      </c>
      <c r="G3507" s="2">
        <f t="shared" si="54"/>
        <v>0</v>
      </c>
      <c r="H3507" s="2">
        <v>0</v>
      </c>
    </row>
    <row r="3508" spans="2:8">
      <c r="B3508" t="s">
        <v>1312</v>
      </c>
      <c r="C3508" t="s">
        <v>1463</v>
      </c>
      <c r="D3508" s="10" t="s">
        <v>479</v>
      </c>
      <c r="E3508" s="1">
        <v>0</v>
      </c>
      <c r="G3508" s="2">
        <f t="shared" si="54"/>
        <v>0</v>
      </c>
      <c r="H3508" s="2">
        <v>0</v>
      </c>
    </row>
    <row r="3509" spans="2:8">
      <c r="B3509" t="s">
        <v>1312</v>
      </c>
      <c r="C3509" t="s">
        <v>1463</v>
      </c>
      <c r="D3509" s="11" t="s">
        <v>480</v>
      </c>
      <c r="E3509" s="1">
        <v>0</v>
      </c>
      <c r="G3509" s="2">
        <f t="shared" si="54"/>
        <v>0</v>
      </c>
      <c r="H3509" s="2">
        <v>0</v>
      </c>
    </row>
    <row r="3510" spans="2:8">
      <c r="B3510" t="s">
        <v>1312</v>
      </c>
      <c r="C3510" t="s">
        <v>1463</v>
      </c>
      <c r="D3510" s="13" t="s">
        <v>481</v>
      </c>
      <c r="E3510" s="1">
        <v>0</v>
      </c>
      <c r="G3510" s="2">
        <f t="shared" si="54"/>
        <v>0</v>
      </c>
      <c r="H3510" s="2">
        <v>0</v>
      </c>
    </row>
    <row r="3511" spans="2:8">
      <c r="B3511" t="s">
        <v>1312</v>
      </c>
      <c r="C3511" t="s">
        <v>1463</v>
      </c>
      <c r="D3511" s="12" t="s">
        <v>1033</v>
      </c>
      <c r="E3511" s="1">
        <v>0</v>
      </c>
      <c r="G3511" s="2">
        <f t="shared" si="54"/>
        <v>0</v>
      </c>
      <c r="H3511" s="2">
        <v>0</v>
      </c>
    </row>
    <row r="3512" spans="2:8">
      <c r="B3512" t="s">
        <v>1264</v>
      </c>
      <c r="C3512" t="s">
        <v>1464</v>
      </c>
      <c r="D3512" s="5" t="s">
        <v>474</v>
      </c>
      <c r="E3512" s="1">
        <v>0</v>
      </c>
      <c r="G3512" s="2">
        <f t="shared" si="54"/>
        <v>0</v>
      </c>
      <c r="H3512" s="2">
        <v>0</v>
      </c>
    </row>
    <row r="3513" spans="2:8">
      <c r="B3513" t="s">
        <v>1264</v>
      </c>
      <c r="C3513" t="s">
        <v>1464</v>
      </c>
      <c r="D3513" s="6" t="s">
        <v>475</v>
      </c>
      <c r="E3513" s="1">
        <v>0</v>
      </c>
      <c r="G3513" s="2">
        <f t="shared" si="54"/>
        <v>0</v>
      </c>
      <c r="H3513" s="2">
        <v>0</v>
      </c>
    </row>
    <row r="3514" spans="2:8">
      <c r="B3514" t="s">
        <v>1264</v>
      </c>
      <c r="C3514" t="s">
        <v>1464</v>
      </c>
      <c r="D3514" s="7" t="s">
        <v>476</v>
      </c>
      <c r="E3514" s="1">
        <v>0</v>
      </c>
      <c r="G3514" s="2">
        <f t="shared" si="54"/>
        <v>0</v>
      </c>
      <c r="H3514" s="2">
        <v>0</v>
      </c>
    </row>
    <row r="3515" spans="2:8">
      <c r="B3515" t="s">
        <v>1264</v>
      </c>
      <c r="C3515" t="s">
        <v>1464</v>
      </c>
      <c r="D3515" s="8" t="s">
        <v>477</v>
      </c>
      <c r="E3515" s="1">
        <v>0</v>
      </c>
      <c r="G3515" s="2">
        <f t="shared" si="54"/>
        <v>0</v>
      </c>
      <c r="H3515" s="2">
        <v>0</v>
      </c>
    </row>
    <row r="3516" spans="2:8">
      <c r="B3516" t="s">
        <v>1264</v>
      </c>
      <c r="C3516" t="s">
        <v>1464</v>
      </c>
      <c r="D3516" s="9" t="s">
        <v>478</v>
      </c>
      <c r="E3516" s="1">
        <v>0</v>
      </c>
      <c r="G3516" s="2">
        <f t="shared" si="54"/>
        <v>0</v>
      </c>
      <c r="H3516" s="2">
        <v>0</v>
      </c>
    </row>
    <row r="3517" spans="2:8">
      <c r="B3517" t="s">
        <v>1264</v>
      </c>
      <c r="C3517" t="s">
        <v>1464</v>
      </c>
      <c r="D3517" s="10" t="s">
        <v>479</v>
      </c>
      <c r="E3517" s="1">
        <v>0</v>
      </c>
      <c r="G3517" s="2">
        <f t="shared" si="54"/>
        <v>0</v>
      </c>
      <c r="H3517" s="2">
        <v>0</v>
      </c>
    </row>
    <row r="3518" spans="2:8">
      <c r="B3518" t="s">
        <v>1264</v>
      </c>
      <c r="C3518" t="s">
        <v>1464</v>
      </c>
      <c r="D3518" s="11" t="s">
        <v>480</v>
      </c>
      <c r="E3518" s="1">
        <v>0</v>
      </c>
      <c r="G3518" s="2">
        <f t="shared" si="54"/>
        <v>0</v>
      </c>
      <c r="H3518" s="2">
        <v>0</v>
      </c>
    </row>
    <row r="3519" spans="2:8">
      <c r="B3519" t="s">
        <v>1264</v>
      </c>
      <c r="C3519" t="s">
        <v>1464</v>
      </c>
      <c r="D3519" s="13" t="s">
        <v>481</v>
      </c>
      <c r="E3519" s="1">
        <v>0</v>
      </c>
      <c r="G3519" s="2">
        <f t="shared" si="54"/>
        <v>0</v>
      </c>
      <c r="H3519" s="2">
        <v>0</v>
      </c>
    </row>
    <row r="3520" spans="2:8">
      <c r="B3520" t="s">
        <v>1264</v>
      </c>
      <c r="C3520" t="s">
        <v>1464</v>
      </c>
      <c r="D3520" s="12" t="s">
        <v>1033</v>
      </c>
      <c r="E3520" s="1">
        <v>0</v>
      </c>
      <c r="G3520" s="2">
        <f t="shared" si="54"/>
        <v>0</v>
      </c>
      <c r="H3520" s="2">
        <v>0</v>
      </c>
    </row>
    <row r="3521" spans="2:8">
      <c r="B3521" t="s">
        <v>1296</v>
      </c>
      <c r="C3521" t="s">
        <v>1465</v>
      </c>
      <c r="D3521" s="5" t="s">
        <v>474</v>
      </c>
      <c r="E3521" s="1">
        <v>0</v>
      </c>
      <c r="G3521" s="2">
        <f t="shared" si="54"/>
        <v>0</v>
      </c>
      <c r="H3521" s="2">
        <v>0</v>
      </c>
    </row>
    <row r="3522" spans="2:8">
      <c r="B3522" t="s">
        <v>1296</v>
      </c>
      <c r="C3522" t="s">
        <v>1465</v>
      </c>
      <c r="D3522" s="6" t="s">
        <v>475</v>
      </c>
      <c r="E3522" s="1">
        <v>0</v>
      </c>
      <c r="G3522" s="2">
        <f t="shared" ref="G3522:G3585" si="55">E3522*F3522</f>
        <v>0</v>
      </c>
      <c r="H3522" s="2">
        <v>0</v>
      </c>
    </row>
    <row r="3523" spans="2:8">
      <c r="B3523" t="s">
        <v>1296</v>
      </c>
      <c r="C3523" t="s">
        <v>1465</v>
      </c>
      <c r="D3523" s="7" t="s">
        <v>476</v>
      </c>
      <c r="E3523" s="1">
        <v>0</v>
      </c>
      <c r="G3523" s="2">
        <f t="shared" si="55"/>
        <v>0</v>
      </c>
      <c r="H3523" s="2">
        <v>0</v>
      </c>
    </row>
    <row r="3524" spans="2:8">
      <c r="B3524" t="s">
        <v>1296</v>
      </c>
      <c r="C3524" t="s">
        <v>1465</v>
      </c>
      <c r="D3524" s="8" t="s">
        <v>477</v>
      </c>
      <c r="E3524" s="1">
        <v>0</v>
      </c>
      <c r="G3524" s="2">
        <f t="shared" si="55"/>
        <v>0</v>
      </c>
      <c r="H3524" s="2">
        <v>0</v>
      </c>
    </row>
    <row r="3525" spans="2:8">
      <c r="B3525" t="s">
        <v>1296</v>
      </c>
      <c r="C3525" t="s">
        <v>1465</v>
      </c>
      <c r="D3525" s="9" t="s">
        <v>478</v>
      </c>
      <c r="E3525" s="1">
        <v>0</v>
      </c>
      <c r="G3525" s="2">
        <f t="shared" si="55"/>
        <v>0</v>
      </c>
      <c r="H3525" s="2">
        <v>0</v>
      </c>
    </row>
    <row r="3526" spans="2:8">
      <c r="B3526" t="s">
        <v>1296</v>
      </c>
      <c r="C3526" t="s">
        <v>1465</v>
      </c>
      <c r="D3526" s="10" t="s">
        <v>479</v>
      </c>
      <c r="E3526" s="1">
        <v>0</v>
      </c>
      <c r="G3526" s="2">
        <f t="shared" si="55"/>
        <v>0</v>
      </c>
      <c r="H3526" s="2">
        <v>0</v>
      </c>
    </row>
    <row r="3527" spans="2:8">
      <c r="B3527" t="s">
        <v>1296</v>
      </c>
      <c r="C3527" t="s">
        <v>1465</v>
      </c>
      <c r="D3527" s="11" t="s">
        <v>480</v>
      </c>
      <c r="E3527" s="1">
        <v>0</v>
      </c>
      <c r="G3527" s="2">
        <f t="shared" si="55"/>
        <v>0</v>
      </c>
      <c r="H3527" s="2">
        <v>0</v>
      </c>
    </row>
    <row r="3528" spans="2:8">
      <c r="B3528" t="s">
        <v>1296</v>
      </c>
      <c r="C3528" t="s">
        <v>1465</v>
      </c>
      <c r="D3528" s="13" t="s">
        <v>481</v>
      </c>
      <c r="E3528" s="1">
        <v>0</v>
      </c>
      <c r="G3528" s="2">
        <f t="shared" si="55"/>
        <v>0</v>
      </c>
      <c r="H3528" s="2">
        <v>0</v>
      </c>
    </row>
    <row r="3529" spans="2:8">
      <c r="B3529" t="s">
        <v>1296</v>
      </c>
      <c r="C3529" t="s">
        <v>1465</v>
      </c>
      <c r="D3529" s="12" t="s">
        <v>1033</v>
      </c>
      <c r="E3529" s="1">
        <v>0</v>
      </c>
      <c r="G3529" s="2">
        <f t="shared" si="55"/>
        <v>0</v>
      </c>
      <c r="H3529" s="2">
        <v>0</v>
      </c>
    </row>
    <row r="3530" spans="2:8">
      <c r="B3530" t="s">
        <v>1242</v>
      </c>
      <c r="C3530" t="s">
        <v>1466</v>
      </c>
      <c r="D3530" s="5" t="s">
        <v>474</v>
      </c>
      <c r="E3530" s="1">
        <v>0</v>
      </c>
      <c r="G3530" s="2">
        <f t="shared" si="55"/>
        <v>0</v>
      </c>
      <c r="H3530" s="2">
        <v>0</v>
      </c>
    </row>
    <row r="3531" spans="2:8">
      <c r="B3531" t="s">
        <v>1242</v>
      </c>
      <c r="C3531" t="s">
        <v>1466</v>
      </c>
      <c r="D3531" s="6" t="s">
        <v>475</v>
      </c>
      <c r="E3531" s="1">
        <v>0</v>
      </c>
      <c r="G3531" s="2">
        <f t="shared" si="55"/>
        <v>0</v>
      </c>
      <c r="H3531" s="2">
        <v>0</v>
      </c>
    </row>
    <row r="3532" spans="2:8">
      <c r="B3532" t="s">
        <v>1242</v>
      </c>
      <c r="C3532" t="s">
        <v>1466</v>
      </c>
      <c r="D3532" s="7" t="s">
        <v>476</v>
      </c>
      <c r="E3532" s="1">
        <v>0</v>
      </c>
      <c r="G3532" s="2">
        <f t="shared" si="55"/>
        <v>0</v>
      </c>
      <c r="H3532" s="2">
        <v>0</v>
      </c>
    </row>
    <row r="3533" spans="2:8">
      <c r="B3533" t="s">
        <v>1242</v>
      </c>
      <c r="C3533" t="s">
        <v>1466</v>
      </c>
      <c r="D3533" s="8" t="s">
        <v>477</v>
      </c>
      <c r="E3533" s="1">
        <v>0</v>
      </c>
      <c r="G3533" s="2">
        <f t="shared" si="55"/>
        <v>0</v>
      </c>
      <c r="H3533" s="2">
        <v>0</v>
      </c>
    </row>
    <row r="3534" spans="2:8">
      <c r="B3534" t="s">
        <v>1242</v>
      </c>
      <c r="C3534" t="s">
        <v>1466</v>
      </c>
      <c r="D3534" s="9" t="s">
        <v>478</v>
      </c>
      <c r="E3534" s="1">
        <v>0</v>
      </c>
      <c r="G3534" s="2">
        <f t="shared" si="55"/>
        <v>0</v>
      </c>
      <c r="H3534" s="2">
        <v>0</v>
      </c>
    </row>
    <row r="3535" spans="2:8">
      <c r="B3535" t="s">
        <v>1242</v>
      </c>
      <c r="C3535" t="s">
        <v>1466</v>
      </c>
      <c r="D3535" s="10" t="s">
        <v>479</v>
      </c>
      <c r="E3535" s="1">
        <v>0</v>
      </c>
      <c r="G3535" s="2">
        <f t="shared" si="55"/>
        <v>0</v>
      </c>
      <c r="H3535" s="2">
        <v>0</v>
      </c>
    </row>
    <row r="3536" spans="2:8">
      <c r="B3536" t="s">
        <v>1242</v>
      </c>
      <c r="C3536" t="s">
        <v>1466</v>
      </c>
      <c r="D3536" s="11" t="s">
        <v>480</v>
      </c>
      <c r="E3536" s="1">
        <v>0</v>
      </c>
      <c r="G3536" s="2">
        <f t="shared" si="55"/>
        <v>0</v>
      </c>
      <c r="H3536" s="2">
        <v>0</v>
      </c>
    </row>
    <row r="3537" spans="2:8">
      <c r="B3537" t="s">
        <v>1242</v>
      </c>
      <c r="C3537" t="s">
        <v>1466</v>
      </c>
      <c r="D3537" s="13" t="s">
        <v>481</v>
      </c>
      <c r="E3537" s="1">
        <v>0</v>
      </c>
      <c r="G3537" s="2">
        <f t="shared" si="55"/>
        <v>0</v>
      </c>
      <c r="H3537" s="2">
        <v>0</v>
      </c>
    </row>
    <row r="3538" spans="2:8">
      <c r="B3538" t="s">
        <v>1242</v>
      </c>
      <c r="C3538" t="s">
        <v>1466</v>
      </c>
      <c r="D3538" s="12" t="s">
        <v>1033</v>
      </c>
      <c r="E3538" s="1">
        <v>0</v>
      </c>
      <c r="G3538" s="2">
        <f t="shared" si="55"/>
        <v>0</v>
      </c>
      <c r="H3538" s="2">
        <v>0</v>
      </c>
    </row>
    <row r="3539" spans="2:8">
      <c r="B3539" t="s">
        <v>1261</v>
      </c>
      <c r="C3539" t="s">
        <v>1467</v>
      </c>
      <c r="D3539" s="5" t="s">
        <v>474</v>
      </c>
      <c r="E3539" s="1">
        <v>0</v>
      </c>
      <c r="G3539" s="2">
        <f t="shared" si="55"/>
        <v>0</v>
      </c>
      <c r="H3539" s="2">
        <v>0</v>
      </c>
    </row>
    <row r="3540" spans="2:8">
      <c r="B3540" t="s">
        <v>1261</v>
      </c>
      <c r="C3540" t="s">
        <v>1467</v>
      </c>
      <c r="D3540" s="6" t="s">
        <v>475</v>
      </c>
      <c r="E3540" s="1">
        <v>0</v>
      </c>
      <c r="G3540" s="2">
        <f t="shared" si="55"/>
        <v>0</v>
      </c>
      <c r="H3540" s="2">
        <v>0</v>
      </c>
    </row>
    <row r="3541" spans="2:8">
      <c r="B3541" t="s">
        <v>1261</v>
      </c>
      <c r="C3541" t="s">
        <v>1467</v>
      </c>
      <c r="D3541" s="7" t="s">
        <v>476</v>
      </c>
      <c r="E3541" s="1">
        <v>0</v>
      </c>
      <c r="G3541" s="2">
        <f t="shared" si="55"/>
        <v>0</v>
      </c>
      <c r="H3541" s="2">
        <v>0</v>
      </c>
    </row>
    <row r="3542" spans="2:8">
      <c r="B3542" t="s">
        <v>1261</v>
      </c>
      <c r="C3542" t="s">
        <v>1467</v>
      </c>
      <c r="D3542" s="8" t="s">
        <v>477</v>
      </c>
      <c r="E3542" s="1">
        <v>0</v>
      </c>
      <c r="G3542" s="2">
        <f t="shared" si="55"/>
        <v>0</v>
      </c>
      <c r="H3542" s="2">
        <v>0</v>
      </c>
    </row>
    <row r="3543" spans="2:8">
      <c r="B3543" t="s">
        <v>1261</v>
      </c>
      <c r="C3543" t="s">
        <v>1467</v>
      </c>
      <c r="D3543" s="9" t="s">
        <v>478</v>
      </c>
      <c r="E3543" s="1">
        <v>0</v>
      </c>
      <c r="G3543" s="2">
        <f t="shared" si="55"/>
        <v>0</v>
      </c>
      <c r="H3543" s="2">
        <v>0</v>
      </c>
    </row>
    <row r="3544" spans="2:8">
      <c r="B3544" t="s">
        <v>1261</v>
      </c>
      <c r="C3544" t="s">
        <v>1467</v>
      </c>
      <c r="D3544" s="10" t="s">
        <v>479</v>
      </c>
      <c r="E3544" s="1">
        <v>0</v>
      </c>
      <c r="G3544" s="2">
        <f t="shared" si="55"/>
        <v>0</v>
      </c>
      <c r="H3544" s="2">
        <v>0</v>
      </c>
    </row>
    <row r="3545" spans="2:8">
      <c r="B3545" t="s">
        <v>1261</v>
      </c>
      <c r="C3545" t="s">
        <v>1467</v>
      </c>
      <c r="D3545" s="11" t="s">
        <v>480</v>
      </c>
      <c r="E3545" s="1">
        <v>0</v>
      </c>
      <c r="G3545" s="2">
        <f t="shared" si="55"/>
        <v>0</v>
      </c>
      <c r="H3545" s="2">
        <v>0</v>
      </c>
    </row>
    <row r="3546" spans="2:8">
      <c r="B3546" t="s">
        <v>1261</v>
      </c>
      <c r="C3546" t="s">
        <v>1467</v>
      </c>
      <c r="D3546" s="13" t="s">
        <v>481</v>
      </c>
      <c r="E3546" s="1">
        <v>0</v>
      </c>
      <c r="G3546" s="2">
        <f t="shared" si="55"/>
        <v>0</v>
      </c>
      <c r="H3546" s="2">
        <v>0</v>
      </c>
    </row>
    <row r="3547" spans="2:8">
      <c r="B3547" t="s">
        <v>1261</v>
      </c>
      <c r="C3547" t="s">
        <v>1467</v>
      </c>
      <c r="D3547" s="12" t="s">
        <v>1033</v>
      </c>
      <c r="E3547" s="1">
        <v>0</v>
      </c>
      <c r="G3547" s="2">
        <f t="shared" si="55"/>
        <v>0</v>
      </c>
      <c r="H3547" s="2">
        <v>0</v>
      </c>
    </row>
    <row r="3548" spans="2:8">
      <c r="B3548" t="s">
        <v>1262</v>
      </c>
      <c r="C3548" t="s">
        <v>1468</v>
      </c>
      <c r="D3548" s="5" t="s">
        <v>474</v>
      </c>
      <c r="E3548" s="1">
        <v>0</v>
      </c>
      <c r="G3548" s="2">
        <f t="shared" si="55"/>
        <v>0</v>
      </c>
      <c r="H3548" s="2">
        <v>0</v>
      </c>
    </row>
    <row r="3549" spans="2:8">
      <c r="B3549" t="s">
        <v>1262</v>
      </c>
      <c r="C3549" t="s">
        <v>1468</v>
      </c>
      <c r="D3549" s="6" t="s">
        <v>475</v>
      </c>
      <c r="E3549" s="1">
        <v>0</v>
      </c>
      <c r="G3549" s="2">
        <f t="shared" si="55"/>
        <v>0</v>
      </c>
      <c r="H3549" s="2">
        <v>0</v>
      </c>
    </row>
    <row r="3550" spans="2:8">
      <c r="B3550" t="s">
        <v>1262</v>
      </c>
      <c r="C3550" t="s">
        <v>1468</v>
      </c>
      <c r="D3550" s="7" t="s">
        <v>476</v>
      </c>
      <c r="E3550" s="1">
        <v>0</v>
      </c>
      <c r="G3550" s="2">
        <f t="shared" si="55"/>
        <v>0</v>
      </c>
      <c r="H3550" s="2">
        <v>0</v>
      </c>
    </row>
    <row r="3551" spans="2:8">
      <c r="B3551" t="s">
        <v>1262</v>
      </c>
      <c r="C3551" t="s">
        <v>1468</v>
      </c>
      <c r="D3551" s="8" t="s">
        <v>477</v>
      </c>
      <c r="E3551" s="1">
        <v>0</v>
      </c>
      <c r="G3551" s="2">
        <f t="shared" si="55"/>
        <v>0</v>
      </c>
      <c r="H3551" s="2">
        <v>0</v>
      </c>
    </row>
    <row r="3552" spans="2:8">
      <c r="B3552" t="s">
        <v>1262</v>
      </c>
      <c r="C3552" t="s">
        <v>1468</v>
      </c>
      <c r="D3552" s="9" t="s">
        <v>478</v>
      </c>
      <c r="E3552" s="1">
        <v>0</v>
      </c>
      <c r="G3552" s="2">
        <f t="shared" si="55"/>
        <v>0</v>
      </c>
      <c r="H3552" s="2">
        <v>0</v>
      </c>
    </row>
    <row r="3553" spans="2:8">
      <c r="B3553" t="s">
        <v>1262</v>
      </c>
      <c r="C3553" t="s">
        <v>1468</v>
      </c>
      <c r="D3553" s="10" t="s">
        <v>479</v>
      </c>
      <c r="E3553" s="1">
        <v>0</v>
      </c>
      <c r="G3553" s="2">
        <f t="shared" si="55"/>
        <v>0</v>
      </c>
      <c r="H3553" s="2">
        <v>0</v>
      </c>
    </row>
    <row r="3554" spans="2:8">
      <c r="B3554" t="s">
        <v>1262</v>
      </c>
      <c r="C3554" t="s">
        <v>1468</v>
      </c>
      <c r="D3554" s="11" t="s">
        <v>480</v>
      </c>
      <c r="E3554" s="1">
        <v>0</v>
      </c>
      <c r="G3554" s="2">
        <f t="shared" si="55"/>
        <v>0</v>
      </c>
      <c r="H3554" s="2">
        <v>0</v>
      </c>
    </row>
    <row r="3555" spans="2:8">
      <c r="B3555" t="s">
        <v>1262</v>
      </c>
      <c r="C3555" t="s">
        <v>1468</v>
      </c>
      <c r="D3555" s="13" t="s">
        <v>481</v>
      </c>
      <c r="E3555" s="1">
        <v>0</v>
      </c>
      <c r="G3555" s="2">
        <f t="shared" si="55"/>
        <v>0</v>
      </c>
      <c r="H3555" s="2">
        <v>0</v>
      </c>
    </row>
    <row r="3556" spans="2:8">
      <c r="B3556" t="s">
        <v>1262</v>
      </c>
      <c r="C3556" t="s">
        <v>1468</v>
      </c>
      <c r="D3556" s="12" t="s">
        <v>1033</v>
      </c>
      <c r="E3556" s="1">
        <v>0</v>
      </c>
      <c r="G3556" s="2">
        <f t="shared" si="55"/>
        <v>0</v>
      </c>
      <c r="H3556" s="2">
        <v>0</v>
      </c>
    </row>
    <row r="3557" spans="2:8">
      <c r="B3557" t="s">
        <v>1263</v>
      </c>
      <c r="C3557" t="s">
        <v>1469</v>
      </c>
      <c r="D3557" s="5" t="s">
        <v>474</v>
      </c>
      <c r="E3557" s="1">
        <v>0</v>
      </c>
      <c r="G3557" s="2">
        <f t="shared" si="55"/>
        <v>0</v>
      </c>
      <c r="H3557" s="2">
        <v>0</v>
      </c>
    </row>
    <row r="3558" spans="2:8">
      <c r="B3558" t="s">
        <v>1263</v>
      </c>
      <c r="C3558" t="s">
        <v>1469</v>
      </c>
      <c r="D3558" s="6" t="s">
        <v>475</v>
      </c>
      <c r="E3558" s="1">
        <v>0</v>
      </c>
      <c r="G3558" s="2">
        <f t="shared" si="55"/>
        <v>0</v>
      </c>
      <c r="H3558" s="2">
        <v>0</v>
      </c>
    </row>
    <row r="3559" spans="2:8">
      <c r="B3559" t="s">
        <v>1263</v>
      </c>
      <c r="C3559" t="s">
        <v>1469</v>
      </c>
      <c r="D3559" s="7" t="s">
        <v>476</v>
      </c>
      <c r="E3559" s="1">
        <v>0</v>
      </c>
      <c r="G3559" s="2">
        <f t="shared" si="55"/>
        <v>0</v>
      </c>
      <c r="H3559" s="2">
        <v>0</v>
      </c>
    </row>
    <row r="3560" spans="2:8">
      <c r="B3560" t="s">
        <v>1263</v>
      </c>
      <c r="C3560" t="s">
        <v>1469</v>
      </c>
      <c r="D3560" s="8" t="s">
        <v>477</v>
      </c>
      <c r="E3560" s="1">
        <v>0</v>
      </c>
      <c r="G3560" s="2">
        <f t="shared" si="55"/>
        <v>0</v>
      </c>
      <c r="H3560" s="2">
        <v>0</v>
      </c>
    </row>
    <row r="3561" spans="2:8">
      <c r="B3561" t="s">
        <v>1263</v>
      </c>
      <c r="C3561" t="s">
        <v>1469</v>
      </c>
      <c r="D3561" s="9" t="s">
        <v>478</v>
      </c>
      <c r="E3561" s="1">
        <v>0</v>
      </c>
      <c r="G3561" s="2">
        <f t="shared" si="55"/>
        <v>0</v>
      </c>
      <c r="H3561" s="2">
        <v>0</v>
      </c>
    </row>
    <row r="3562" spans="2:8">
      <c r="B3562" t="s">
        <v>1263</v>
      </c>
      <c r="C3562" t="s">
        <v>1469</v>
      </c>
      <c r="D3562" s="10" t="s">
        <v>479</v>
      </c>
      <c r="E3562" s="1">
        <v>0</v>
      </c>
      <c r="G3562" s="2">
        <f t="shared" si="55"/>
        <v>0</v>
      </c>
      <c r="H3562" s="2">
        <v>0</v>
      </c>
    </row>
    <row r="3563" spans="2:8">
      <c r="B3563" t="s">
        <v>1263</v>
      </c>
      <c r="C3563" t="s">
        <v>1469</v>
      </c>
      <c r="D3563" s="11" t="s">
        <v>480</v>
      </c>
      <c r="E3563" s="1">
        <v>0</v>
      </c>
      <c r="G3563" s="2">
        <f t="shared" si="55"/>
        <v>0</v>
      </c>
      <c r="H3563" s="2">
        <v>0</v>
      </c>
    </row>
    <row r="3564" spans="2:8">
      <c r="B3564" t="s">
        <v>1263</v>
      </c>
      <c r="C3564" t="s">
        <v>1469</v>
      </c>
      <c r="D3564" s="13" t="s">
        <v>481</v>
      </c>
      <c r="E3564" s="1">
        <v>0</v>
      </c>
      <c r="G3564" s="2">
        <f t="shared" si="55"/>
        <v>0</v>
      </c>
      <c r="H3564" s="2">
        <v>0</v>
      </c>
    </row>
    <row r="3565" spans="2:8">
      <c r="B3565" t="s">
        <v>1263</v>
      </c>
      <c r="C3565" t="s">
        <v>1469</v>
      </c>
      <c r="D3565" s="12" t="s">
        <v>1033</v>
      </c>
      <c r="E3565" s="1">
        <v>0</v>
      </c>
      <c r="G3565" s="2">
        <f t="shared" si="55"/>
        <v>0</v>
      </c>
      <c r="H3565" s="2">
        <v>0</v>
      </c>
    </row>
    <row r="3566" spans="2:8">
      <c r="B3566" t="s">
        <v>1295</v>
      </c>
      <c r="C3566" t="s">
        <v>1470</v>
      </c>
      <c r="D3566" s="5" t="s">
        <v>474</v>
      </c>
      <c r="E3566" s="1">
        <v>0</v>
      </c>
      <c r="G3566" s="2">
        <f t="shared" si="55"/>
        <v>0</v>
      </c>
      <c r="H3566" s="2">
        <v>0</v>
      </c>
    </row>
    <row r="3567" spans="2:8">
      <c r="B3567" t="s">
        <v>1295</v>
      </c>
      <c r="C3567" t="s">
        <v>1470</v>
      </c>
      <c r="D3567" s="6" t="s">
        <v>475</v>
      </c>
      <c r="E3567" s="1">
        <v>0</v>
      </c>
      <c r="G3567" s="2">
        <f t="shared" si="55"/>
        <v>0</v>
      </c>
      <c r="H3567" s="2">
        <v>0</v>
      </c>
    </row>
    <row r="3568" spans="2:8">
      <c r="B3568" t="s">
        <v>1295</v>
      </c>
      <c r="C3568" t="s">
        <v>1470</v>
      </c>
      <c r="D3568" s="7" t="s">
        <v>476</v>
      </c>
      <c r="E3568" s="1">
        <v>0</v>
      </c>
      <c r="G3568" s="2">
        <f t="shared" si="55"/>
        <v>0</v>
      </c>
      <c r="H3568" s="2">
        <v>0</v>
      </c>
    </row>
    <row r="3569" spans="2:8">
      <c r="B3569" t="s">
        <v>1295</v>
      </c>
      <c r="C3569" t="s">
        <v>1470</v>
      </c>
      <c r="D3569" s="8" t="s">
        <v>477</v>
      </c>
      <c r="E3569" s="1">
        <v>0</v>
      </c>
      <c r="G3569" s="2">
        <f t="shared" si="55"/>
        <v>0</v>
      </c>
      <c r="H3569" s="2">
        <v>0</v>
      </c>
    </row>
    <row r="3570" spans="2:8">
      <c r="B3570" t="s">
        <v>1295</v>
      </c>
      <c r="C3570" t="s">
        <v>1470</v>
      </c>
      <c r="D3570" s="9" t="s">
        <v>478</v>
      </c>
      <c r="E3570" s="1">
        <v>0</v>
      </c>
      <c r="G3570" s="2">
        <f t="shared" si="55"/>
        <v>0</v>
      </c>
      <c r="H3570" s="2">
        <v>0</v>
      </c>
    </row>
    <row r="3571" spans="2:8">
      <c r="B3571" t="s">
        <v>1295</v>
      </c>
      <c r="C3571" t="s">
        <v>1470</v>
      </c>
      <c r="D3571" s="10" t="s">
        <v>479</v>
      </c>
      <c r="E3571" s="1">
        <v>0</v>
      </c>
      <c r="G3571" s="2">
        <f t="shared" si="55"/>
        <v>0</v>
      </c>
      <c r="H3571" s="2">
        <v>0</v>
      </c>
    </row>
    <row r="3572" spans="2:8">
      <c r="B3572" t="s">
        <v>1295</v>
      </c>
      <c r="C3572" t="s">
        <v>1470</v>
      </c>
      <c r="D3572" s="11" t="s">
        <v>480</v>
      </c>
      <c r="E3572" s="1">
        <v>0</v>
      </c>
      <c r="G3572" s="2">
        <f t="shared" si="55"/>
        <v>0</v>
      </c>
      <c r="H3572" s="2">
        <v>0</v>
      </c>
    </row>
    <row r="3573" spans="2:8">
      <c r="B3573" t="s">
        <v>1295</v>
      </c>
      <c r="C3573" t="s">
        <v>1470</v>
      </c>
      <c r="D3573" s="13" t="s">
        <v>481</v>
      </c>
      <c r="E3573" s="1">
        <v>0</v>
      </c>
      <c r="G3573" s="2">
        <f t="shared" si="55"/>
        <v>0</v>
      </c>
      <c r="H3573" s="2">
        <v>0</v>
      </c>
    </row>
    <row r="3574" spans="2:8">
      <c r="B3574" t="s">
        <v>1295</v>
      </c>
      <c r="C3574" t="s">
        <v>1470</v>
      </c>
      <c r="D3574" s="12" t="s">
        <v>1033</v>
      </c>
      <c r="E3574" s="1">
        <v>0</v>
      </c>
      <c r="G3574" s="2">
        <f t="shared" si="55"/>
        <v>0</v>
      </c>
      <c r="H3574" s="2">
        <v>0</v>
      </c>
    </row>
    <row r="3575" spans="2:8">
      <c r="B3575" t="s">
        <v>1285</v>
      </c>
      <c r="C3575" t="s">
        <v>1471</v>
      </c>
      <c r="D3575" s="5" t="s">
        <v>474</v>
      </c>
      <c r="E3575" s="1">
        <v>0</v>
      </c>
      <c r="G3575" s="2">
        <f t="shared" si="55"/>
        <v>0</v>
      </c>
      <c r="H3575" s="2">
        <v>0</v>
      </c>
    </row>
    <row r="3576" spans="2:8">
      <c r="B3576" t="s">
        <v>1285</v>
      </c>
      <c r="C3576" t="s">
        <v>1471</v>
      </c>
      <c r="D3576" s="6" t="s">
        <v>475</v>
      </c>
      <c r="E3576" s="1">
        <v>0</v>
      </c>
      <c r="G3576" s="2">
        <f t="shared" si="55"/>
        <v>0</v>
      </c>
      <c r="H3576" s="2">
        <v>0</v>
      </c>
    </row>
    <row r="3577" spans="2:8">
      <c r="B3577" t="s">
        <v>1285</v>
      </c>
      <c r="C3577" t="s">
        <v>1471</v>
      </c>
      <c r="D3577" s="7" t="s">
        <v>476</v>
      </c>
      <c r="E3577" s="1">
        <v>0</v>
      </c>
      <c r="G3577" s="2">
        <f t="shared" si="55"/>
        <v>0</v>
      </c>
      <c r="H3577" s="2">
        <v>0</v>
      </c>
    </row>
    <row r="3578" spans="2:8">
      <c r="B3578" t="s">
        <v>1285</v>
      </c>
      <c r="C3578" t="s">
        <v>1471</v>
      </c>
      <c r="D3578" s="8" t="s">
        <v>477</v>
      </c>
      <c r="E3578" s="1">
        <v>0</v>
      </c>
      <c r="G3578" s="2">
        <f t="shared" si="55"/>
        <v>0</v>
      </c>
      <c r="H3578" s="2">
        <v>0</v>
      </c>
    </row>
    <row r="3579" spans="2:8">
      <c r="B3579" t="s">
        <v>1285</v>
      </c>
      <c r="C3579" t="s">
        <v>1471</v>
      </c>
      <c r="D3579" s="9" t="s">
        <v>478</v>
      </c>
      <c r="E3579" s="1">
        <v>0</v>
      </c>
      <c r="G3579" s="2">
        <f t="shared" si="55"/>
        <v>0</v>
      </c>
      <c r="H3579" s="2">
        <v>0</v>
      </c>
    </row>
    <row r="3580" spans="2:8">
      <c r="B3580" t="s">
        <v>1285</v>
      </c>
      <c r="C3580" t="s">
        <v>1471</v>
      </c>
      <c r="D3580" s="10" t="s">
        <v>479</v>
      </c>
      <c r="E3580" s="1">
        <v>0</v>
      </c>
      <c r="G3580" s="2">
        <f t="shared" si="55"/>
        <v>0</v>
      </c>
      <c r="H3580" s="2">
        <v>0</v>
      </c>
    </row>
    <row r="3581" spans="2:8">
      <c r="B3581" t="s">
        <v>1285</v>
      </c>
      <c r="C3581" t="s">
        <v>1471</v>
      </c>
      <c r="D3581" s="11" t="s">
        <v>480</v>
      </c>
      <c r="E3581" s="1">
        <v>0</v>
      </c>
      <c r="G3581" s="2">
        <f t="shared" si="55"/>
        <v>0</v>
      </c>
      <c r="H3581" s="2">
        <v>0</v>
      </c>
    </row>
    <row r="3582" spans="2:8">
      <c r="B3582" t="s">
        <v>1285</v>
      </c>
      <c r="C3582" t="s">
        <v>1471</v>
      </c>
      <c r="D3582" s="13" t="s">
        <v>481</v>
      </c>
      <c r="E3582" s="1">
        <v>0</v>
      </c>
      <c r="G3582" s="2">
        <f t="shared" si="55"/>
        <v>0</v>
      </c>
      <c r="H3582" s="2">
        <v>0</v>
      </c>
    </row>
    <row r="3583" spans="2:8">
      <c r="B3583" t="s">
        <v>1285</v>
      </c>
      <c r="C3583" t="s">
        <v>1471</v>
      </c>
      <c r="D3583" s="12" t="s">
        <v>1033</v>
      </c>
      <c r="E3583" s="1">
        <v>0</v>
      </c>
      <c r="G3583" s="2">
        <f t="shared" si="55"/>
        <v>0</v>
      </c>
      <c r="H3583" s="2">
        <v>0</v>
      </c>
    </row>
    <row r="3584" spans="2:8">
      <c r="B3584" t="s">
        <v>1310</v>
      </c>
      <c r="C3584" t="s">
        <v>1472</v>
      </c>
      <c r="D3584" s="5" t="s">
        <v>474</v>
      </c>
      <c r="E3584" s="1">
        <v>0</v>
      </c>
      <c r="G3584" s="2">
        <f t="shared" si="55"/>
        <v>0</v>
      </c>
      <c r="H3584" s="2">
        <v>0</v>
      </c>
    </row>
    <row r="3585" spans="2:8">
      <c r="B3585" t="s">
        <v>1310</v>
      </c>
      <c r="C3585" t="s">
        <v>1472</v>
      </c>
      <c r="D3585" s="6" t="s">
        <v>475</v>
      </c>
      <c r="E3585" s="1">
        <v>0</v>
      </c>
      <c r="G3585" s="2">
        <f t="shared" si="55"/>
        <v>0</v>
      </c>
      <c r="H3585" s="2">
        <v>0</v>
      </c>
    </row>
    <row r="3586" spans="2:8">
      <c r="B3586" t="s">
        <v>1310</v>
      </c>
      <c r="C3586" t="s">
        <v>1472</v>
      </c>
      <c r="D3586" s="7" t="s">
        <v>476</v>
      </c>
      <c r="E3586" s="1">
        <v>0</v>
      </c>
      <c r="G3586" s="2">
        <f t="shared" ref="G3586:G3649" si="56">E3586*F3586</f>
        <v>0</v>
      </c>
      <c r="H3586" s="2">
        <v>0</v>
      </c>
    </row>
    <row r="3587" spans="2:8">
      <c r="B3587" t="s">
        <v>1310</v>
      </c>
      <c r="C3587" t="s">
        <v>1472</v>
      </c>
      <c r="D3587" s="8" t="s">
        <v>477</v>
      </c>
      <c r="E3587" s="1">
        <v>0</v>
      </c>
      <c r="G3587" s="2">
        <f t="shared" si="56"/>
        <v>0</v>
      </c>
      <c r="H3587" s="2">
        <v>0</v>
      </c>
    </row>
    <row r="3588" spans="2:8">
      <c r="B3588" t="s">
        <v>1310</v>
      </c>
      <c r="C3588" t="s">
        <v>1472</v>
      </c>
      <c r="D3588" s="9" t="s">
        <v>478</v>
      </c>
      <c r="E3588" s="1">
        <v>0</v>
      </c>
      <c r="G3588" s="2">
        <f t="shared" si="56"/>
        <v>0</v>
      </c>
      <c r="H3588" s="2">
        <v>0</v>
      </c>
    </row>
    <row r="3589" spans="2:8">
      <c r="B3589" t="s">
        <v>1310</v>
      </c>
      <c r="C3589" t="s">
        <v>1472</v>
      </c>
      <c r="D3589" s="10" t="s">
        <v>479</v>
      </c>
      <c r="E3589" s="1">
        <v>0</v>
      </c>
      <c r="G3589" s="2">
        <f t="shared" si="56"/>
        <v>0</v>
      </c>
      <c r="H3589" s="2">
        <v>0</v>
      </c>
    </row>
    <row r="3590" spans="2:8">
      <c r="B3590" t="s">
        <v>1310</v>
      </c>
      <c r="C3590" t="s">
        <v>1472</v>
      </c>
      <c r="D3590" s="11" t="s">
        <v>480</v>
      </c>
      <c r="E3590" s="1">
        <v>0</v>
      </c>
      <c r="G3590" s="2">
        <f t="shared" si="56"/>
        <v>0</v>
      </c>
      <c r="H3590" s="2">
        <v>0</v>
      </c>
    </row>
    <row r="3591" spans="2:8">
      <c r="B3591" t="s">
        <v>1310</v>
      </c>
      <c r="C3591" t="s">
        <v>1472</v>
      </c>
      <c r="D3591" s="13" t="s">
        <v>481</v>
      </c>
      <c r="E3591" s="1">
        <v>0</v>
      </c>
      <c r="G3591" s="2">
        <f t="shared" si="56"/>
        <v>0</v>
      </c>
      <c r="H3591" s="2">
        <v>0</v>
      </c>
    </row>
    <row r="3592" spans="2:8">
      <c r="B3592" t="s">
        <v>1310</v>
      </c>
      <c r="C3592" t="s">
        <v>1472</v>
      </c>
      <c r="D3592" s="12" t="s">
        <v>1033</v>
      </c>
      <c r="E3592" s="1">
        <v>0</v>
      </c>
      <c r="G3592" s="2">
        <f t="shared" si="56"/>
        <v>0</v>
      </c>
      <c r="H3592" s="2">
        <v>0</v>
      </c>
    </row>
    <row r="3593" spans="2:8">
      <c r="B3593" t="s">
        <v>1254</v>
      </c>
      <c r="C3593" t="s">
        <v>1473</v>
      </c>
      <c r="D3593" s="5" t="s">
        <v>474</v>
      </c>
      <c r="E3593" s="1">
        <v>0</v>
      </c>
      <c r="G3593" s="2">
        <f t="shared" si="56"/>
        <v>0</v>
      </c>
      <c r="H3593" s="2">
        <v>0</v>
      </c>
    </row>
    <row r="3594" spans="2:8">
      <c r="B3594" t="s">
        <v>1254</v>
      </c>
      <c r="C3594" t="s">
        <v>1473</v>
      </c>
      <c r="D3594" s="6" t="s">
        <v>475</v>
      </c>
      <c r="E3594" s="1">
        <v>0</v>
      </c>
      <c r="G3594" s="2">
        <f t="shared" si="56"/>
        <v>0</v>
      </c>
      <c r="H3594" s="2">
        <v>0</v>
      </c>
    </row>
    <row r="3595" spans="2:8">
      <c r="B3595" t="s">
        <v>1254</v>
      </c>
      <c r="C3595" t="s">
        <v>1473</v>
      </c>
      <c r="D3595" s="7" t="s">
        <v>476</v>
      </c>
      <c r="E3595" s="1">
        <v>0</v>
      </c>
      <c r="G3595" s="2">
        <f t="shared" si="56"/>
        <v>0</v>
      </c>
      <c r="H3595" s="2">
        <v>0</v>
      </c>
    </row>
    <row r="3596" spans="2:8">
      <c r="B3596" t="s">
        <v>1254</v>
      </c>
      <c r="C3596" t="s">
        <v>1473</v>
      </c>
      <c r="D3596" s="8" t="s">
        <v>477</v>
      </c>
      <c r="E3596" s="1">
        <v>0</v>
      </c>
      <c r="G3596" s="2">
        <f t="shared" si="56"/>
        <v>0</v>
      </c>
      <c r="H3596" s="2">
        <v>0</v>
      </c>
    </row>
    <row r="3597" spans="2:8">
      <c r="B3597" t="s">
        <v>1254</v>
      </c>
      <c r="C3597" t="s">
        <v>1473</v>
      </c>
      <c r="D3597" s="9" t="s">
        <v>478</v>
      </c>
      <c r="E3597" s="1">
        <v>0</v>
      </c>
      <c r="G3597" s="2">
        <f t="shared" si="56"/>
        <v>0</v>
      </c>
      <c r="H3597" s="2">
        <v>0</v>
      </c>
    </row>
    <row r="3598" spans="2:8">
      <c r="B3598" t="s">
        <v>1254</v>
      </c>
      <c r="C3598" t="s">
        <v>1473</v>
      </c>
      <c r="D3598" s="10" t="s">
        <v>479</v>
      </c>
      <c r="E3598" s="1">
        <v>0</v>
      </c>
      <c r="G3598" s="2">
        <f t="shared" si="56"/>
        <v>0</v>
      </c>
      <c r="H3598" s="2">
        <v>0</v>
      </c>
    </row>
    <row r="3599" spans="2:8">
      <c r="B3599" t="s">
        <v>1254</v>
      </c>
      <c r="C3599" t="s">
        <v>1473</v>
      </c>
      <c r="D3599" s="11" t="s">
        <v>480</v>
      </c>
      <c r="E3599" s="1">
        <v>0</v>
      </c>
      <c r="G3599" s="2">
        <f t="shared" si="56"/>
        <v>0</v>
      </c>
      <c r="H3599" s="2">
        <v>0</v>
      </c>
    </row>
    <row r="3600" spans="2:8">
      <c r="B3600" t="s">
        <v>1254</v>
      </c>
      <c r="C3600" t="s">
        <v>1473</v>
      </c>
      <c r="D3600" s="13" t="s">
        <v>481</v>
      </c>
      <c r="E3600" s="1">
        <v>0</v>
      </c>
      <c r="G3600" s="2">
        <f t="shared" si="56"/>
        <v>0</v>
      </c>
      <c r="H3600" s="2">
        <v>0</v>
      </c>
    </row>
    <row r="3601" spans="2:8">
      <c r="B3601" t="s">
        <v>1254</v>
      </c>
      <c r="C3601" t="s">
        <v>1473</v>
      </c>
      <c r="D3601" s="12" t="s">
        <v>1033</v>
      </c>
      <c r="E3601" s="1">
        <v>0</v>
      </c>
      <c r="G3601" s="2">
        <f t="shared" si="56"/>
        <v>0</v>
      </c>
      <c r="H3601" s="2">
        <v>0</v>
      </c>
    </row>
    <row r="3602" spans="2:8">
      <c r="B3602" t="s">
        <v>1288</v>
      </c>
      <c r="C3602" t="s">
        <v>1474</v>
      </c>
      <c r="D3602" s="5" t="s">
        <v>474</v>
      </c>
      <c r="E3602" s="1">
        <v>0</v>
      </c>
      <c r="G3602" s="2">
        <f t="shared" si="56"/>
        <v>0</v>
      </c>
      <c r="H3602" s="2">
        <v>0</v>
      </c>
    </row>
    <row r="3603" spans="2:8">
      <c r="B3603" t="s">
        <v>1288</v>
      </c>
      <c r="C3603" t="s">
        <v>1474</v>
      </c>
      <c r="D3603" s="6" t="s">
        <v>475</v>
      </c>
      <c r="E3603" s="1">
        <v>0</v>
      </c>
      <c r="G3603" s="2">
        <f t="shared" si="56"/>
        <v>0</v>
      </c>
      <c r="H3603" s="2">
        <v>0</v>
      </c>
    </row>
    <row r="3604" spans="2:8">
      <c r="B3604" t="s">
        <v>1288</v>
      </c>
      <c r="C3604" t="s">
        <v>1474</v>
      </c>
      <c r="D3604" s="7" t="s">
        <v>476</v>
      </c>
      <c r="E3604" s="1">
        <v>0</v>
      </c>
      <c r="G3604" s="2">
        <f t="shared" si="56"/>
        <v>0</v>
      </c>
      <c r="H3604" s="2">
        <v>0</v>
      </c>
    </row>
    <row r="3605" spans="2:8">
      <c r="B3605" t="s">
        <v>1288</v>
      </c>
      <c r="C3605" t="s">
        <v>1474</v>
      </c>
      <c r="D3605" s="8" t="s">
        <v>477</v>
      </c>
      <c r="E3605" s="1">
        <v>0</v>
      </c>
      <c r="G3605" s="2">
        <f t="shared" si="56"/>
        <v>0</v>
      </c>
      <c r="H3605" s="2">
        <v>0</v>
      </c>
    </row>
    <row r="3606" spans="2:8">
      <c r="B3606" t="s">
        <v>1288</v>
      </c>
      <c r="C3606" t="s">
        <v>1474</v>
      </c>
      <c r="D3606" s="9" t="s">
        <v>478</v>
      </c>
      <c r="E3606" s="1">
        <v>0</v>
      </c>
      <c r="G3606" s="2">
        <f t="shared" si="56"/>
        <v>0</v>
      </c>
      <c r="H3606" s="2">
        <v>0</v>
      </c>
    </row>
    <row r="3607" spans="2:8">
      <c r="B3607" t="s">
        <v>1288</v>
      </c>
      <c r="C3607" t="s">
        <v>1474</v>
      </c>
      <c r="D3607" s="10" t="s">
        <v>479</v>
      </c>
      <c r="E3607" s="1">
        <v>0</v>
      </c>
      <c r="G3607" s="2">
        <f t="shared" si="56"/>
        <v>0</v>
      </c>
      <c r="H3607" s="2">
        <v>0</v>
      </c>
    </row>
    <row r="3608" spans="2:8">
      <c r="B3608" t="s">
        <v>1288</v>
      </c>
      <c r="C3608" t="s">
        <v>1474</v>
      </c>
      <c r="D3608" s="11" t="s">
        <v>480</v>
      </c>
      <c r="E3608" s="1">
        <v>0</v>
      </c>
      <c r="G3608" s="2">
        <f t="shared" si="56"/>
        <v>0</v>
      </c>
      <c r="H3608" s="2">
        <v>0</v>
      </c>
    </row>
    <row r="3609" spans="2:8">
      <c r="B3609" t="s">
        <v>1288</v>
      </c>
      <c r="C3609" t="s">
        <v>1474</v>
      </c>
      <c r="D3609" s="13" t="s">
        <v>481</v>
      </c>
      <c r="E3609" s="1">
        <v>0</v>
      </c>
      <c r="G3609" s="2">
        <f t="shared" si="56"/>
        <v>0</v>
      </c>
      <c r="H3609" s="2">
        <v>0</v>
      </c>
    </row>
    <row r="3610" spans="2:8">
      <c r="B3610" t="s">
        <v>1288</v>
      </c>
      <c r="C3610" t="s">
        <v>1474</v>
      </c>
      <c r="D3610" s="12" t="s">
        <v>1033</v>
      </c>
      <c r="E3610" s="1">
        <v>0</v>
      </c>
      <c r="G3610" s="2">
        <f t="shared" si="56"/>
        <v>0</v>
      </c>
      <c r="H3610" s="2">
        <v>0</v>
      </c>
    </row>
    <row r="3611" spans="2:8">
      <c r="B3611" t="s">
        <v>1250</v>
      </c>
      <c r="C3611" t="s">
        <v>1475</v>
      </c>
      <c r="D3611" s="5" t="s">
        <v>474</v>
      </c>
      <c r="E3611" s="1">
        <v>0</v>
      </c>
      <c r="G3611" s="2">
        <f t="shared" si="56"/>
        <v>0</v>
      </c>
      <c r="H3611" s="2">
        <v>0</v>
      </c>
    </row>
    <row r="3612" spans="2:8">
      <c r="B3612" t="s">
        <v>1250</v>
      </c>
      <c r="C3612" t="s">
        <v>1475</v>
      </c>
      <c r="D3612" s="6" t="s">
        <v>475</v>
      </c>
      <c r="E3612" s="1">
        <v>0</v>
      </c>
      <c r="G3612" s="2">
        <f t="shared" si="56"/>
        <v>0</v>
      </c>
      <c r="H3612" s="2">
        <v>0</v>
      </c>
    </row>
    <row r="3613" spans="2:8">
      <c r="B3613" t="s">
        <v>1250</v>
      </c>
      <c r="C3613" t="s">
        <v>1475</v>
      </c>
      <c r="D3613" s="7" t="s">
        <v>476</v>
      </c>
      <c r="E3613" s="1">
        <v>0</v>
      </c>
      <c r="G3613" s="2">
        <f t="shared" si="56"/>
        <v>0</v>
      </c>
      <c r="H3613" s="2">
        <v>0</v>
      </c>
    </row>
    <row r="3614" spans="2:8">
      <c r="B3614" t="s">
        <v>1250</v>
      </c>
      <c r="C3614" t="s">
        <v>1475</v>
      </c>
      <c r="D3614" s="8" t="s">
        <v>477</v>
      </c>
      <c r="E3614" s="1">
        <v>0</v>
      </c>
      <c r="G3614" s="2">
        <f t="shared" si="56"/>
        <v>0</v>
      </c>
      <c r="H3614" s="2">
        <v>0</v>
      </c>
    </row>
    <row r="3615" spans="2:8">
      <c r="B3615" t="s">
        <v>1250</v>
      </c>
      <c r="C3615" t="s">
        <v>1475</v>
      </c>
      <c r="D3615" s="9" t="s">
        <v>478</v>
      </c>
      <c r="E3615" s="1">
        <v>0</v>
      </c>
      <c r="G3615" s="2">
        <f t="shared" si="56"/>
        <v>0</v>
      </c>
      <c r="H3615" s="2">
        <v>0</v>
      </c>
    </row>
    <row r="3616" spans="2:8">
      <c r="B3616" t="s">
        <v>1250</v>
      </c>
      <c r="C3616" t="s">
        <v>1475</v>
      </c>
      <c r="D3616" s="10" t="s">
        <v>479</v>
      </c>
      <c r="E3616" s="1">
        <v>0</v>
      </c>
      <c r="G3616" s="2">
        <f t="shared" si="56"/>
        <v>0</v>
      </c>
      <c r="H3616" s="2">
        <v>0</v>
      </c>
    </row>
    <row r="3617" spans="2:8">
      <c r="B3617" t="s">
        <v>1250</v>
      </c>
      <c r="C3617" t="s">
        <v>1475</v>
      </c>
      <c r="D3617" s="11" t="s">
        <v>480</v>
      </c>
      <c r="E3617" s="1">
        <v>0</v>
      </c>
      <c r="G3617" s="2">
        <f t="shared" si="56"/>
        <v>0</v>
      </c>
      <c r="H3617" s="2">
        <v>0</v>
      </c>
    </row>
    <row r="3618" spans="2:8">
      <c r="B3618" t="s">
        <v>1250</v>
      </c>
      <c r="C3618" t="s">
        <v>1475</v>
      </c>
      <c r="D3618" s="13" t="s">
        <v>481</v>
      </c>
      <c r="E3618" s="1">
        <v>0</v>
      </c>
      <c r="G3618" s="2">
        <f t="shared" si="56"/>
        <v>0</v>
      </c>
      <c r="H3618" s="2">
        <v>0</v>
      </c>
    </row>
    <row r="3619" spans="2:8">
      <c r="B3619" t="s">
        <v>1250</v>
      </c>
      <c r="C3619" t="s">
        <v>1475</v>
      </c>
      <c r="D3619" s="12" t="s">
        <v>1033</v>
      </c>
      <c r="E3619" s="1">
        <v>0</v>
      </c>
      <c r="G3619" s="2">
        <f t="shared" si="56"/>
        <v>0</v>
      </c>
      <c r="H3619" s="2">
        <v>0</v>
      </c>
    </row>
    <row r="3620" spans="2:8">
      <c r="B3620" t="s">
        <v>1249</v>
      </c>
      <c r="C3620" t="s">
        <v>1566</v>
      </c>
      <c r="D3620" s="5" t="s">
        <v>474</v>
      </c>
      <c r="E3620" s="1">
        <v>0</v>
      </c>
      <c r="G3620" s="2">
        <f t="shared" si="56"/>
        <v>0</v>
      </c>
      <c r="H3620" s="2">
        <v>0</v>
      </c>
    </row>
    <row r="3621" spans="2:8">
      <c r="B3621" t="s">
        <v>1249</v>
      </c>
      <c r="C3621" t="s">
        <v>1566</v>
      </c>
      <c r="D3621" s="6" t="s">
        <v>475</v>
      </c>
      <c r="E3621" s="1">
        <v>0</v>
      </c>
      <c r="G3621" s="2">
        <f t="shared" si="56"/>
        <v>0</v>
      </c>
      <c r="H3621" s="2">
        <v>0</v>
      </c>
    </row>
    <row r="3622" spans="2:8">
      <c r="B3622" t="s">
        <v>1249</v>
      </c>
      <c r="C3622" t="s">
        <v>1566</v>
      </c>
      <c r="D3622" s="7" t="s">
        <v>476</v>
      </c>
      <c r="E3622" s="1">
        <v>0</v>
      </c>
      <c r="G3622" s="2">
        <f t="shared" si="56"/>
        <v>0</v>
      </c>
      <c r="H3622" s="2">
        <v>0</v>
      </c>
    </row>
    <row r="3623" spans="2:8">
      <c r="B3623" t="s">
        <v>1249</v>
      </c>
      <c r="C3623" t="s">
        <v>1566</v>
      </c>
      <c r="D3623" s="8" t="s">
        <v>477</v>
      </c>
      <c r="E3623" s="1">
        <v>0</v>
      </c>
      <c r="G3623" s="2">
        <f t="shared" si="56"/>
        <v>0</v>
      </c>
      <c r="H3623" s="2">
        <v>0</v>
      </c>
    </row>
    <row r="3624" spans="2:8">
      <c r="B3624" t="s">
        <v>1249</v>
      </c>
      <c r="C3624" t="s">
        <v>1566</v>
      </c>
      <c r="D3624" s="9" t="s">
        <v>478</v>
      </c>
      <c r="E3624" s="1">
        <v>0</v>
      </c>
      <c r="G3624" s="2">
        <f t="shared" si="56"/>
        <v>0</v>
      </c>
      <c r="H3624" s="2">
        <v>0</v>
      </c>
    </row>
    <row r="3625" spans="2:8">
      <c r="B3625" t="s">
        <v>1249</v>
      </c>
      <c r="C3625" t="s">
        <v>1566</v>
      </c>
      <c r="D3625" s="10" t="s">
        <v>479</v>
      </c>
      <c r="E3625" s="1">
        <v>0</v>
      </c>
      <c r="G3625" s="2">
        <f t="shared" si="56"/>
        <v>0</v>
      </c>
      <c r="H3625" s="2">
        <v>0</v>
      </c>
    </row>
    <row r="3626" spans="2:8">
      <c r="B3626" t="s">
        <v>1249</v>
      </c>
      <c r="C3626" t="s">
        <v>1566</v>
      </c>
      <c r="D3626" s="11" t="s">
        <v>480</v>
      </c>
      <c r="E3626" s="1">
        <v>0</v>
      </c>
      <c r="G3626" s="2">
        <f t="shared" si="56"/>
        <v>0</v>
      </c>
      <c r="H3626" s="2">
        <v>0</v>
      </c>
    </row>
    <row r="3627" spans="2:8">
      <c r="B3627" t="s">
        <v>1249</v>
      </c>
      <c r="C3627" t="s">
        <v>1566</v>
      </c>
      <c r="D3627" s="13" t="s">
        <v>481</v>
      </c>
      <c r="E3627" s="1">
        <v>0</v>
      </c>
      <c r="G3627" s="2">
        <f t="shared" si="56"/>
        <v>0</v>
      </c>
      <c r="H3627" s="2">
        <v>0</v>
      </c>
    </row>
    <row r="3628" spans="2:8">
      <c r="B3628" t="s">
        <v>1249</v>
      </c>
      <c r="C3628" t="s">
        <v>1566</v>
      </c>
      <c r="D3628" s="12" t="s">
        <v>1033</v>
      </c>
      <c r="E3628" s="1">
        <v>0</v>
      </c>
      <c r="G3628" s="2">
        <f t="shared" si="56"/>
        <v>0</v>
      </c>
      <c r="H3628" s="2">
        <v>0</v>
      </c>
    </row>
    <row r="3629" spans="2:8">
      <c r="B3629" t="s">
        <v>1435</v>
      </c>
      <c r="C3629" t="s">
        <v>1476</v>
      </c>
      <c r="D3629" s="5" t="s">
        <v>474</v>
      </c>
      <c r="E3629" s="1">
        <v>0</v>
      </c>
      <c r="G3629" s="2">
        <f t="shared" si="56"/>
        <v>0</v>
      </c>
      <c r="H3629" s="2">
        <v>0</v>
      </c>
    </row>
    <row r="3630" spans="2:8">
      <c r="B3630" t="s">
        <v>1435</v>
      </c>
      <c r="C3630" t="s">
        <v>1476</v>
      </c>
      <c r="D3630" s="6" t="s">
        <v>475</v>
      </c>
      <c r="E3630" s="1">
        <v>0</v>
      </c>
      <c r="G3630" s="2">
        <f t="shared" si="56"/>
        <v>0</v>
      </c>
      <c r="H3630" s="2">
        <v>0</v>
      </c>
    </row>
    <row r="3631" spans="2:8">
      <c r="B3631" t="s">
        <v>1435</v>
      </c>
      <c r="C3631" t="s">
        <v>1476</v>
      </c>
      <c r="D3631" s="7" t="s">
        <v>476</v>
      </c>
      <c r="E3631" s="1">
        <v>0</v>
      </c>
      <c r="G3631" s="2">
        <f t="shared" si="56"/>
        <v>0</v>
      </c>
      <c r="H3631" s="2">
        <v>0</v>
      </c>
    </row>
    <row r="3632" spans="2:8">
      <c r="B3632" t="s">
        <v>1435</v>
      </c>
      <c r="C3632" t="s">
        <v>1476</v>
      </c>
      <c r="D3632" s="8" t="s">
        <v>477</v>
      </c>
      <c r="E3632" s="1">
        <v>0</v>
      </c>
      <c r="G3632" s="2">
        <f t="shared" si="56"/>
        <v>0</v>
      </c>
      <c r="H3632" s="2">
        <v>0</v>
      </c>
    </row>
    <row r="3633" spans="2:8">
      <c r="B3633" t="s">
        <v>1435</v>
      </c>
      <c r="C3633" t="s">
        <v>1476</v>
      </c>
      <c r="D3633" s="9" t="s">
        <v>478</v>
      </c>
      <c r="E3633" s="1">
        <v>0</v>
      </c>
      <c r="G3633" s="2">
        <f t="shared" si="56"/>
        <v>0</v>
      </c>
      <c r="H3633" s="2">
        <v>0</v>
      </c>
    </row>
    <row r="3634" spans="2:8">
      <c r="B3634" t="s">
        <v>1435</v>
      </c>
      <c r="C3634" t="s">
        <v>1476</v>
      </c>
      <c r="D3634" s="10" t="s">
        <v>479</v>
      </c>
      <c r="E3634" s="1">
        <v>0</v>
      </c>
      <c r="G3634" s="2">
        <f t="shared" si="56"/>
        <v>0</v>
      </c>
      <c r="H3634" s="2">
        <v>0</v>
      </c>
    </row>
    <row r="3635" spans="2:8">
      <c r="B3635" t="s">
        <v>1435</v>
      </c>
      <c r="C3635" t="s">
        <v>1476</v>
      </c>
      <c r="D3635" s="11" t="s">
        <v>480</v>
      </c>
      <c r="E3635" s="1">
        <v>0</v>
      </c>
      <c r="G3635" s="2">
        <f t="shared" si="56"/>
        <v>0</v>
      </c>
      <c r="H3635" s="2">
        <v>0</v>
      </c>
    </row>
    <row r="3636" spans="2:8">
      <c r="B3636" t="s">
        <v>1435</v>
      </c>
      <c r="C3636" t="s">
        <v>1476</v>
      </c>
      <c r="D3636" s="13" t="s">
        <v>481</v>
      </c>
      <c r="E3636" s="1">
        <v>0</v>
      </c>
      <c r="G3636" s="2">
        <f t="shared" si="56"/>
        <v>0</v>
      </c>
      <c r="H3636" s="2">
        <v>0</v>
      </c>
    </row>
    <row r="3637" spans="2:8">
      <c r="B3637" t="s">
        <v>1435</v>
      </c>
      <c r="C3637" t="s">
        <v>1476</v>
      </c>
      <c r="D3637" s="12" t="s">
        <v>1033</v>
      </c>
      <c r="E3637" s="1">
        <v>0</v>
      </c>
      <c r="G3637" s="2">
        <f t="shared" si="56"/>
        <v>0</v>
      </c>
      <c r="H3637" s="2">
        <v>0</v>
      </c>
    </row>
    <row r="3638" spans="2:8">
      <c r="B3638" t="s">
        <v>1436</v>
      </c>
      <c r="C3638" t="s">
        <v>1477</v>
      </c>
      <c r="D3638" s="5" t="s">
        <v>474</v>
      </c>
      <c r="E3638" s="1">
        <v>0</v>
      </c>
      <c r="G3638" s="2">
        <f t="shared" si="56"/>
        <v>0</v>
      </c>
      <c r="H3638" s="2">
        <v>0</v>
      </c>
    </row>
    <row r="3639" spans="2:8">
      <c r="B3639" t="s">
        <v>1436</v>
      </c>
      <c r="C3639" t="s">
        <v>1477</v>
      </c>
      <c r="D3639" s="6" t="s">
        <v>475</v>
      </c>
      <c r="E3639" s="1">
        <v>0</v>
      </c>
      <c r="G3639" s="2">
        <f t="shared" si="56"/>
        <v>0</v>
      </c>
      <c r="H3639" s="2">
        <v>0</v>
      </c>
    </row>
    <row r="3640" spans="2:8">
      <c r="B3640" t="s">
        <v>1436</v>
      </c>
      <c r="C3640" t="s">
        <v>1477</v>
      </c>
      <c r="D3640" s="7" t="s">
        <v>476</v>
      </c>
      <c r="E3640" s="1">
        <v>0</v>
      </c>
      <c r="G3640" s="2">
        <f t="shared" si="56"/>
        <v>0</v>
      </c>
      <c r="H3640" s="2">
        <v>0</v>
      </c>
    </row>
    <row r="3641" spans="2:8">
      <c r="B3641" t="s">
        <v>1436</v>
      </c>
      <c r="C3641" t="s">
        <v>1477</v>
      </c>
      <c r="D3641" s="8" t="s">
        <v>477</v>
      </c>
      <c r="E3641" s="1">
        <v>0</v>
      </c>
      <c r="G3641" s="2">
        <f t="shared" si="56"/>
        <v>0</v>
      </c>
      <c r="H3641" s="2">
        <v>0</v>
      </c>
    </row>
    <row r="3642" spans="2:8">
      <c r="B3642" t="s">
        <v>1436</v>
      </c>
      <c r="C3642" t="s">
        <v>1477</v>
      </c>
      <c r="D3642" s="9" t="s">
        <v>478</v>
      </c>
      <c r="E3642" s="1">
        <v>0</v>
      </c>
      <c r="G3642" s="2">
        <f t="shared" si="56"/>
        <v>0</v>
      </c>
      <c r="H3642" s="2">
        <v>0</v>
      </c>
    </row>
    <row r="3643" spans="2:8">
      <c r="B3643" t="s">
        <v>1436</v>
      </c>
      <c r="C3643" t="s">
        <v>1477</v>
      </c>
      <c r="D3643" s="10" t="s">
        <v>479</v>
      </c>
      <c r="E3643" s="1">
        <v>0</v>
      </c>
      <c r="G3643" s="2">
        <f t="shared" si="56"/>
        <v>0</v>
      </c>
      <c r="H3643" s="2">
        <v>0</v>
      </c>
    </row>
    <row r="3644" spans="2:8">
      <c r="B3644" t="s">
        <v>1436</v>
      </c>
      <c r="C3644" t="s">
        <v>1477</v>
      </c>
      <c r="D3644" s="11" t="s">
        <v>480</v>
      </c>
      <c r="E3644" s="1">
        <v>0</v>
      </c>
      <c r="G3644" s="2">
        <f t="shared" si="56"/>
        <v>0</v>
      </c>
      <c r="H3644" s="2">
        <v>0</v>
      </c>
    </row>
    <row r="3645" spans="2:8">
      <c r="B3645" t="s">
        <v>1436</v>
      </c>
      <c r="C3645" t="s">
        <v>1477</v>
      </c>
      <c r="D3645" s="13" t="s">
        <v>481</v>
      </c>
      <c r="E3645" s="1">
        <v>0</v>
      </c>
      <c r="G3645" s="2">
        <f t="shared" si="56"/>
        <v>0</v>
      </c>
      <c r="H3645" s="2">
        <v>0</v>
      </c>
    </row>
    <row r="3646" spans="2:8">
      <c r="B3646" t="s">
        <v>1436</v>
      </c>
      <c r="C3646" t="s">
        <v>1477</v>
      </c>
      <c r="D3646" s="12" t="s">
        <v>1033</v>
      </c>
      <c r="E3646" s="1">
        <v>0</v>
      </c>
      <c r="G3646" s="2">
        <f t="shared" si="56"/>
        <v>0</v>
      </c>
      <c r="H3646" s="2">
        <v>0</v>
      </c>
    </row>
    <row r="3647" spans="2:8">
      <c r="B3647" t="s">
        <v>1437</v>
      </c>
      <c r="C3647" t="s">
        <v>1478</v>
      </c>
      <c r="D3647" s="5" t="s">
        <v>474</v>
      </c>
      <c r="E3647" s="1">
        <v>0</v>
      </c>
      <c r="G3647" s="2">
        <f t="shared" si="56"/>
        <v>0</v>
      </c>
      <c r="H3647" s="2">
        <v>0</v>
      </c>
    </row>
    <row r="3648" spans="2:8">
      <c r="B3648" t="s">
        <v>1437</v>
      </c>
      <c r="C3648" t="s">
        <v>1478</v>
      </c>
      <c r="D3648" s="6" t="s">
        <v>475</v>
      </c>
      <c r="E3648" s="1">
        <v>0</v>
      </c>
      <c r="G3648" s="2">
        <f t="shared" si="56"/>
        <v>0</v>
      </c>
      <c r="H3648" s="2">
        <v>0</v>
      </c>
    </row>
    <row r="3649" spans="2:8">
      <c r="B3649" t="s">
        <v>1437</v>
      </c>
      <c r="C3649" t="s">
        <v>1478</v>
      </c>
      <c r="D3649" s="7" t="s">
        <v>476</v>
      </c>
      <c r="E3649" s="1">
        <v>0</v>
      </c>
      <c r="G3649" s="2">
        <f t="shared" si="56"/>
        <v>0</v>
      </c>
      <c r="H3649" s="2">
        <v>0</v>
      </c>
    </row>
    <row r="3650" spans="2:8">
      <c r="B3650" t="s">
        <v>1437</v>
      </c>
      <c r="C3650" t="s">
        <v>1478</v>
      </c>
      <c r="D3650" s="8" t="s">
        <v>477</v>
      </c>
      <c r="E3650" s="1">
        <v>0</v>
      </c>
      <c r="G3650" s="2">
        <f t="shared" ref="G3650:G3713" si="57">E3650*F3650</f>
        <v>0</v>
      </c>
      <c r="H3650" s="2">
        <v>0</v>
      </c>
    </row>
    <row r="3651" spans="2:8">
      <c r="B3651" t="s">
        <v>1437</v>
      </c>
      <c r="C3651" t="s">
        <v>1478</v>
      </c>
      <c r="D3651" s="9" t="s">
        <v>478</v>
      </c>
      <c r="E3651" s="1">
        <v>0</v>
      </c>
      <c r="G3651" s="2">
        <f t="shared" si="57"/>
        <v>0</v>
      </c>
      <c r="H3651" s="2">
        <v>0</v>
      </c>
    </row>
    <row r="3652" spans="2:8">
      <c r="B3652" t="s">
        <v>1437</v>
      </c>
      <c r="C3652" t="s">
        <v>1478</v>
      </c>
      <c r="D3652" s="10" t="s">
        <v>479</v>
      </c>
      <c r="E3652" s="1">
        <v>0</v>
      </c>
      <c r="G3652" s="2">
        <f t="shared" si="57"/>
        <v>0</v>
      </c>
      <c r="H3652" s="2">
        <v>0</v>
      </c>
    </row>
    <row r="3653" spans="2:8">
      <c r="B3653" t="s">
        <v>1437</v>
      </c>
      <c r="C3653" t="s">
        <v>1478</v>
      </c>
      <c r="D3653" s="11" t="s">
        <v>480</v>
      </c>
      <c r="E3653" s="1">
        <v>0</v>
      </c>
      <c r="G3653" s="2">
        <f t="shared" si="57"/>
        <v>0</v>
      </c>
      <c r="H3653" s="2">
        <v>0</v>
      </c>
    </row>
    <row r="3654" spans="2:8">
      <c r="B3654" t="s">
        <v>1437</v>
      </c>
      <c r="C3654" t="s">
        <v>1478</v>
      </c>
      <c r="D3654" s="13" t="s">
        <v>481</v>
      </c>
      <c r="E3654" s="1">
        <v>0</v>
      </c>
      <c r="G3654" s="2">
        <f t="shared" si="57"/>
        <v>0</v>
      </c>
      <c r="H3654" s="2">
        <v>0</v>
      </c>
    </row>
    <row r="3655" spans="2:8">
      <c r="B3655" t="s">
        <v>1437</v>
      </c>
      <c r="C3655" t="s">
        <v>1478</v>
      </c>
      <c r="D3655" s="12" t="s">
        <v>1033</v>
      </c>
      <c r="E3655" s="1">
        <v>0</v>
      </c>
      <c r="G3655" s="2">
        <f t="shared" si="57"/>
        <v>0</v>
      </c>
      <c r="H3655" s="2">
        <v>0</v>
      </c>
    </row>
    <row r="3656" spans="2:8">
      <c r="B3656" t="s">
        <v>1438</v>
      </c>
      <c r="C3656" t="s">
        <v>1479</v>
      </c>
      <c r="D3656" s="5" t="s">
        <v>474</v>
      </c>
      <c r="E3656" s="1">
        <v>0</v>
      </c>
      <c r="G3656" s="2">
        <f t="shared" si="57"/>
        <v>0</v>
      </c>
      <c r="H3656" s="2">
        <v>0</v>
      </c>
    </row>
    <row r="3657" spans="2:8">
      <c r="B3657" t="s">
        <v>1438</v>
      </c>
      <c r="C3657" t="s">
        <v>1479</v>
      </c>
      <c r="D3657" s="6" t="s">
        <v>475</v>
      </c>
      <c r="E3657" s="1">
        <v>0</v>
      </c>
      <c r="G3657" s="2">
        <f t="shared" si="57"/>
        <v>0</v>
      </c>
      <c r="H3657" s="2">
        <v>0</v>
      </c>
    </row>
    <row r="3658" spans="2:8">
      <c r="B3658" t="s">
        <v>1438</v>
      </c>
      <c r="C3658" t="s">
        <v>1479</v>
      </c>
      <c r="D3658" s="7" t="s">
        <v>476</v>
      </c>
      <c r="E3658" s="1">
        <v>0</v>
      </c>
      <c r="G3658" s="2">
        <f t="shared" si="57"/>
        <v>0</v>
      </c>
      <c r="H3658" s="2">
        <v>0</v>
      </c>
    </row>
    <row r="3659" spans="2:8">
      <c r="B3659" t="s">
        <v>1438</v>
      </c>
      <c r="C3659" t="s">
        <v>1479</v>
      </c>
      <c r="D3659" s="8" t="s">
        <v>477</v>
      </c>
      <c r="E3659" s="1">
        <v>0</v>
      </c>
      <c r="G3659" s="2">
        <f t="shared" si="57"/>
        <v>0</v>
      </c>
      <c r="H3659" s="2">
        <v>0</v>
      </c>
    </row>
    <row r="3660" spans="2:8">
      <c r="B3660" t="s">
        <v>1438</v>
      </c>
      <c r="C3660" t="s">
        <v>1479</v>
      </c>
      <c r="D3660" s="9" t="s">
        <v>478</v>
      </c>
      <c r="E3660" s="1">
        <v>0</v>
      </c>
      <c r="G3660" s="2">
        <f t="shared" si="57"/>
        <v>0</v>
      </c>
      <c r="H3660" s="2">
        <v>0</v>
      </c>
    </row>
    <row r="3661" spans="2:8">
      <c r="B3661" t="s">
        <v>1438</v>
      </c>
      <c r="C3661" t="s">
        <v>1479</v>
      </c>
      <c r="D3661" s="10" t="s">
        <v>479</v>
      </c>
      <c r="E3661" s="1">
        <v>0</v>
      </c>
      <c r="G3661" s="2">
        <f t="shared" si="57"/>
        <v>0</v>
      </c>
      <c r="H3661" s="2">
        <v>0</v>
      </c>
    </row>
    <row r="3662" spans="2:8">
      <c r="B3662" t="s">
        <v>1438</v>
      </c>
      <c r="C3662" t="s">
        <v>1479</v>
      </c>
      <c r="D3662" s="11" t="s">
        <v>480</v>
      </c>
      <c r="E3662" s="1">
        <v>0</v>
      </c>
      <c r="G3662" s="2">
        <f t="shared" si="57"/>
        <v>0</v>
      </c>
      <c r="H3662" s="2">
        <v>0</v>
      </c>
    </row>
    <row r="3663" spans="2:8">
      <c r="B3663" t="s">
        <v>1438</v>
      </c>
      <c r="C3663" t="s">
        <v>1479</v>
      </c>
      <c r="D3663" s="13" t="s">
        <v>481</v>
      </c>
      <c r="E3663" s="1">
        <v>0</v>
      </c>
      <c r="G3663" s="2">
        <f t="shared" si="57"/>
        <v>0</v>
      </c>
      <c r="H3663" s="2">
        <v>0</v>
      </c>
    </row>
    <row r="3664" spans="2:8">
      <c r="B3664" t="s">
        <v>1438</v>
      </c>
      <c r="C3664" t="s">
        <v>1479</v>
      </c>
      <c r="D3664" s="12" t="s">
        <v>1033</v>
      </c>
      <c r="E3664" s="1">
        <v>0</v>
      </c>
      <c r="G3664" s="2">
        <f t="shared" si="57"/>
        <v>0</v>
      </c>
      <c r="H3664" s="2">
        <v>0</v>
      </c>
    </row>
    <row r="3665" spans="2:8">
      <c r="B3665" t="s">
        <v>1439</v>
      </c>
      <c r="C3665" t="s">
        <v>1480</v>
      </c>
      <c r="D3665" s="5" t="s">
        <v>474</v>
      </c>
      <c r="E3665" s="1">
        <v>0</v>
      </c>
      <c r="G3665" s="2">
        <f t="shared" si="57"/>
        <v>0</v>
      </c>
      <c r="H3665" s="2">
        <v>0</v>
      </c>
    </row>
    <row r="3666" spans="2:8">
      <c r="B3666" t="s">
        <v>1439</v>
      </c>
      <c r="C3666" t="s">
        <v>1480</v>
      </c>
      <c r="D3666" s="6" t="s">
        <v>475</v>
      </c>
      <c r="E3666" s="1">
        <v>0</v>
      </c>
      <c r="G3666" s="2">
        <f t="shared" si="57"/>
        <v>0</v>
      </c>
      <c r="H3666" s="2">
        <v>0</v>
      </c>
    </row>
    <row r="3667" spans="2:8">
      <c r="B3667" t="s">
        <v>1439</v>
      </c>
      <c r="C3667" t="s">
        <v>1480</v>
      </c>
      <c r="D3667" s="7" t="s">
        <v>476</v>
      </c>
      <c r="E3667" s="1">
        <v>0</v>
      </c>
      <c r="G3667" s="2">
        <f t="shared" si="57"/>
        <v>0</v>
      </c>
      <c r="H3667" s="2">
        <v>0</v>
      </c>
    </row>
    <row r="3668" spans="2:8">
      <c r="B3668" t="s">
        <v>1439</v>
      </c>
      <c r="C3668" t="s">
        <v>1480</v>
      </c>
      <c r="D3668" s="8" t="s">
        <v>477</v>
      </c>
      <c r="E3668" s="1">
        <v>0</v>
      </c>
      <c r="G3668" s="2">
        <f t="shared" si="57"/>
        <v>0</v>
      </c>
      <c r="H3668" s="2">
        <v>0</v>
      </c>
    </row>
    <row r="3669" spans="2:8">
      <c r="B3669" t="s">
        <v>1439</v>
      </c>
      <c r="C3669" t="s">
        <v>1480</v>
      </c>
      <c r="D3669" s="9" t="s">
        <v>478</v>
      </c>
      <c r="E3669" s="1">
        <v>0</v>
      </c>
      <c r="G3669" s="2">
        <f t="shared" si="57"/>
        <v>0</v>
      </c>
      <c r="H3669" s="2">
        <v>0</v>
      </c>
    </row>
    <row r="3670" spans="2:8">
      <c r="B3670" t="s">
        <v>1439</v>
      </c>
      <c r="C3670" t="s">
        <v>1480</v>
      </c>
      <c r="D3670" s="10" t="s">
        <v>479</v>
      </c>
      <c r="E3670" s="1">
        <v>0</v>
      </c>
      <c r="G3670" s="2">
        <f t="shared" si="57"/>
        <v>0</v>
      </c>
      <c r="H3670" s="2">
        <v>0</v>
      </c>
    </row>
    <row r="3671" spans="2:8">
      <c r="B3671" t="s">
        <v>1439</v>
      </c>
      <c r="C3671" t="s">
        <v>1480</v>
      </c>
      <c r="D3671" s="11" t="s">
        <v>480</v>
      </c>
      <c r="E3671" s="1">
        <v>0</v>
      </c>
      <c r="G3671" s="2">
        <f t="shared" si="57"/>
        <v>0</v>
      </c>
      <c r="H3671" s="2">
        <v>0</v>
      </c>
    </row>
    <row r="3672" spans="2:8">
      <c r="B3672" t="s">
        <v>1439</v>
      </c>
      <c r="C3672" t="s">
        <v>1480</v>
      </c>
      <c r="D3672" s="13" t="s">
        <v>481</v>
      </c>
      <c r="E3672" s="1">
        <v>0</v>
      </c>
      <c r="G3672" s="2">
        <f t="shared" si="57"/>
        <v>0</v>
      </c>
      <c r="H3672" s="2">
        <v>0</v>
      </c>
    </row>
    <row r="3673" spans="2:8">
      <c r="B3673" t="s">
        <v>1439</v>
      </c>
      <c r="C3673" t="s">
        <v>1480</v>
      </c>
      <c r="D3673" s="12" t="s">
        <v>1033</v>
      </c>
      <c r="E3673" s="1">
        <v>0</v>
      </c>
      <c r="G3673" s="2">
        <f t="shared" si="57"/>
        <v>0</v>
      </c>
      <c r="H3673" s="2">
        <v>0</v>
      </c>
    </row>
    <row r="3674" spans="2:8">
      <c r="B3674" t="s">
        <v>1440</v>
      </c>
      <c r="C3674" t="s">
        <v>1481</v>
      </c>
      <c r="D3674" s="5" t="s">
        <v>474</v>
      </c>
      <c r="E3674" s="1">
        <v>0</v>
      </c>
      <c r="G3674" s="2">
        <f t="shared" si="57"/>
        <v>0</v>
      </c>
      <c r="H3674" s="2">
        <v>0</v>
      </c>
    </row>
    <row r="3675" spans="2:8">
      <c r="B3675" t="s">
        <v>1440</v>
      </c>
      <c r="C3675" t="s">
        <v>1481</v>
      </c>
      <c r="D3675" s="6" t="s">
        <v>475</v>
      </c>
      <c r="E3675" s="1">
        <v>0</v>
      </c>
      <c r="G3675" s="2">
        <f t="shared" si="57"/>
        <v>0</v>
      </c>
      <c r="H3675" s="2">
        <v>0</v>
      </c>
    </row>
    <row r="3676" spans="2:8">
      <c r="B3676" t="s">
        <v>1440</v>
      </c>
      <c r="C3676" t="s">
        <v>1481</v>
      </c>
      <c r="D3676" s="7" t="s">
        <v>476</v>
      </c>
      <c r="E3676" s="1">
        <v>0</v>
      </c>
      <c r="G3676" s="2">
        <f t="shared" si="57"/>
        <v>0</v>
      </c>
      <c r="H3676" s="2">
        <v>0</v>
      </c>
    </row>
    <row r="3677" spans="2:8">
      <c r="B3677" t="s">
        <v>1440</v>
      </c>
      <c r="C3677" t="s">
        <v>1481</v>
      </c>
      <c r="D3677" s="8" t="s">
        <v>477</v>
      </c>
      <c r="E3677" s="1">
        <v>0</v>
      </c>
      <c r="G3677" s="2">
        <f t="shared" si="57"/>
        <v>0</v>
      </c>
      <c r="H3677" s="2">
        <v>0</v>
      </c>
    </row>
    <row r="3678" spans="2:8">
      <c r="B3678" t="s">
        <v>1440</v>
      </c>
      <c r="C3678" t="s">
        <v>1481</v>
      </c>
      <c r="D3678" s="9" t="s">
        <v>478</v>
      </c>
      <c r="E3678" s="1">
        <v>0</v>
      </c>
      <c r="G3678" s="2">
        <f t="shared" si="57"/>
        <v>0</v>
      </c>
      <c r="H3678" s="2">
        <v>0</v>
      </c>
    </row>
    <row r="3679" spans="2:8">
      <c r="B3679" t="s">
        <v>1440</v>
      </c>
      <c r="C3679" t="s">
        <v>1481</v>
      </c>
      <c r="D3679" s="10" t="s">
        <v>479</v>
      </c>
      <c r="E3679" s="1">
        <v>0</v>
      </c>
      <c r="G3679" s="2">
        <f t="shared" si="57"/>
        <v>0</v>
      </c>
      <c r="H3679" s="2">
        <v>0</v>
      </c>
    </row>
    <row r="3680" spans="2:8">
      <c r="B3680" t="s">
        <v>1440</v>
      </c>
      <c r="C3680" t="s">
        <v>1481</v>
      </c>
      <c r="D3680" s="11" t="s">
        <v>480</v>
      </c>
      <c r="E3680" s="1">
        <v>0</v>
      </c>
      <c r="G3680" s="2">
        <f t="shared" si="57"/>
        <v>0</v>
      </c>
      <c r="H3680" s="2">
        <v>0</v>
      </c>
    </row>
    <row r="3681" spans="2:8">
      <c r="B3681" t="s">
        <v>1440</v>
      </c>
      <c r="C3681" t="s">
        <v>1481</v>
      </c>
      <c r="D3681" s="13" t="s">
        <v>481</v>
      </c>
      <c r="E3681" s="1">
        <v>0</v>
      </c>
      <c r="G3681" s="2">
        <f t="shared" si="57"/>
        <v>0</v>
      </c>
      <c r="H3681" s="2">
        <v>0</v>
      </c>
    </row>
    <row r="3682" spans="2:8">
      <c r="B3682" t="s">
        <v>1440</v>
      </c>
      <c r="C3682" t="s">
        <v>1481</v>
      </c>
      <c r="D3682" s="12" t="s">
        <v>1033</v>
      </c>
      <c r="E3682" s="1">
        <v>0</v>
      </c>
      <c r="G3682" s="2">
        <f t="shared" si="57"/>
        <v>0</v>
      </c>
      <c r="H3682" s="2">
        <v>0</v>
      </c>
    </row>
    <row r="3683" spans="2:8">
      <c r="B3683" t="s">
        <v>1441</v>
      </c>
      <c r="C3683" t="s">
        <v>1482</v>
      </c>
      <c r="D3683" s="5" t="s">
        <v>474</v>
      </c>
      <c r="E3683" s="1">
        <v>0</v>
      </c>
      <c r="G3683" s="2">
        <f t="shared" si="57"/>
        <v>0</v>
      </c>
      <c r="H3683" s="2">
        <v>0</v>
      </c>
    </row>
    <row r="3684" spans="2:8">
      <c r="B3684" t="s">
        <v>1441</v>
      </c>
      <c r="C3684" t="s">
        <v>1482</v>
      </c>
      <c r="D3684" s="6" t="s">
        <v>475</v>
      </c>
      <c r="E3684" s="1">
        <v>0</v>
      </c>
      <c r="G3684" s="2">
        <f t="shared" si="57"/>
        <v>0</v>
      </c>
      <c r="H3684" s="2">
        <v>0</v>
      </c>
    </row>
    <row r="3685" spans="2:8">
      <c r="B3685" t="s">
        <v>1441</v>
      </c>
      <c r="C3685" t="s">
        <v>1482</v>
      </c>
      <c r="D3685" s="7" t="s">
        <v>476</v>
      </c>
      <c r="E3685" s="1">
        <v>0</v>
      </c>
      <c r="G3685" s="2">
        <f t="shared" si="57"/>
        <v>0</v>
      </c>
      <c r="H3685" s="2">
        <v>0</v>
      </c>
    </row>
    <row r="3686" spans="2:8">
      <c r="B3686" t="s">
        <v>1441</v>
      </c>
      <c r="C3686" t="s">
        <v>1482</v>
      </c>
      <c r="D3686" s="8" t="s">
        <v>477</v>
      </c>
      <c r="E3686" s="1">
        <v>0</v>
      </c>
      <c r="G3686" s="2">
        <f t="shared" si="57"/>
        <v>0</v>
      </c>
      <c r="H3686" s="2">
        <v>0</v>
      </c>
    </row>
    <row r="3687" spans="2:8">
      <c r="B3687" t="s">
        <v>1441</v>
      </c>
      <c r="C3687" t="s">
        <v>1482</v>
      </c>
      <c r="D3687" s="9" t="s">
        <v>478</v>
      </c>
      <c r="E3687" s="1">
        <v>0</v>
      </c>
      <c r="G3687" s="2">
        <f t="shared" si="57"/>
        <v>0</v>
      </c>
      <c r="H3687" s="2">
        <v>0</v>
      </c>
    </row>
    <row r="3688" spans="2:8">
      <c r="B3688" t="s">
        <v>1441</v>
      </c>
      <c r="C3688" t="s">
        <v>1482</v>
      </c>
      <c r="D3688" s="10" t="s">
        <v>479</v>
      </c>
      <c r="E3688" s="1">
        <v>0</v>
      </c>
      <c r="G3688" s="2">
        <f t="shared" si="57"/>
        <v>0</v>
      </c>
      <c r="H3688" s="2">
        <v>0</v>
      </c>
    </row>
    <row r="3689" spans="2:8">
      <c r="B3689" t="s">
        <v>1441</v>
      </c>
      <c r="C3689" t="s">
        <v>1482</v>
      </c>
      <c r="D3689" s="11" t="s">
        <v>480</v>
      </c>
      <c r="E3689" s="1">
        <v>0</v>
      </c>
      <c r="G3689" s="2">
        <f t="shared" si="57"/>
        <v>0</v>
      </c>
      <c r="H3689" s="2">
        <v>0</v>
      </c>
    </row>
    <row r="3690" spans="2:8">
      <c r="B3690" t="s">
        <v>1441</v>
      </c>
      <c r="C3690" t="s">
        <v>1482</v>
      </c>
      <c r="D3690" s="13" t="s">
        <v>481</v>
      </c>
      <c r="E3690" s="1">
        <v>0</v>
      </c>
      <c r="G3690" s="2">
        <f t="shared" si="57"/>
        <v>0</v>
      </c>
      <c r="H3690" s="2">
        <v>0</v>
      </c>
    </row>
    <row r="3691" spans="2:8">
      <c r="B3691" t="s">
        <v>1441</v>
      </c>
      <c r="C3691" t="s">
        <v>1482</v>
      </c>
      <c r="D3691" s="12" t="s">
        <v>1033</v>
      </c>
      <c r="E3691" s="1">
        <v>0</v>
      </c>
      <c r="G3691" s="2">
        <f t="shared" si="57"/>
        <v>0</v>
      </c>
      <c r="H3691" s="2">
        <v>0</v>
      </c>
    </row>
    <row r="3692" spans="2:8">
      <c r="B3692" t="s">
        <v>1322</v>
      </c>
      <c r="C3692" t="s">
        <v>1483</v>
      </c>
      <c r="D3692" s="5" t="s">
        <v>474</v>
      </c>
      <c r="E3692" s="1">
        <v>0</v>
      </c>
      <c r="G3692" s="2">
        <f t="shared" si="57"/>
        <v>0</v>
      </c>
      <c r="H3692" s="2">
        <v>0</v>
      </c>
    </row>
    <row r="3693" spans="2:8">
      <c r="B3693" t="s">
        <v>1322</v>
      </c>
      <c r="C3693" t="s">
        <v>1483</v>
      </c>
      <c r="D3693" s="6" t="s">
        <v>475</v>
      </c>
      <c r="E3693" s="1">
        <v>0</v>
      </c>
      <c r="G3693" s="2">
        <f t="shared" si="57"/>
        <v>0</v>
      </c>
      <c r="H3693" s="2">
        <v>0</v>
      </c>
    </row>
    <row r="3694" spans="2:8">
      <c r="B3694" t="s">
        <v>1322</v>
      </c>
      <c r="C3694" t="s">
        <v>1483</v>
      </c>
      <c r="D3694" s="7" t="s">
        <v>476</v>
      </c>
      <c r="E3694" s="1">
        <v>0</v>
      </c>
      <c r="G3694" s="2">
        <f t="shared" si="57"/>
        <v>0</v>
      </c>
      <c r="H3694" s="2">
        <v>0</v>
      </c>
    </row>
    <row r="3695" spans="2:8">
      <c r="B3695" t="s">
        <v>1322</v>
      </c>
      <c r="C3695" t="s">
        <v>1483</v>
      </c>
      <c r="D3695" s="8" t="s">
        <v>477</v>
      </c>
      <c r="E3695" s="1">
        <v>0</v>
      </c>
      <c r="G3695" s="2">
        <f t="shared" si="57"/>
        <v>0</v>
      </c>
      <c r="H3695" s="2">
        <v>0</v>
      </c>
    </row>
    <row r="3696" spans="2:8">
      <c r="B3696" t="s">
        <v>1322</v>
      </c>
      <c r="C3696" t="s">
        <v>1483</v>
      </c>
      <c r="D3696" s="9" t="s">
        <v>478</v>
      </c>
      <c r="E3696" s="1">
        <v>0</v>
      </c>
      <c r="G3696" s="2">
        <f t="shared" si="57"/>
        <v>0</v>
      </c>
      <c r="H3696" s="2">
        <v>0</v>
      </c>
    </row>
    <row r="3697" spans="2:8">
      <c r="B3697" t="s">
        <v>1322</v>
      </c>
      <c r="C3697" t="s">
        <v>1483</v>
      </c>
      <c r="D3697" s="10" t="s">
        <v>479</v>
      </c>
      <c r="E3697" s="1">
        <v>0</v>
      </c>
      <c r="G3697" s="2">
        <f t="shared" si="57"/>
        <v>0</v>
      </c>
      <c r="H3697" s="2">
        <v>0</v>
      </c>
    </row>
    <row r="3698" spans="2:8">
      <c r="B3698" t="s">
        <v>1322</v>
      </c>
      <c r="C3698" t="s">
        <v>1483</v>
      </c>
      <c r="D3698" s="11" t="s">
        <v>480</v>
      </c>
      <c r="E3698" s="1">
        <v>0</v>
      </c>
      <c r="G3698" s="2">
        <f t="shared" si="57"/>
        <v>0</v>
      </c>
      <c r="H3698" s="2">
        <v>0</v>
      </c>
    </row>
    <row r="3699" spans="2:8">
      <c r="B3699" t="s">
        <v>1322</v>
      </c>
      <c r="C3699" t="s">
        <v>1483</v>
      </c>
      <c r="D3699" s="13" t="s">
        <v>481</v>
      </c>
      <c r="E3699" s="1">
        <v>0</v>
      </c>
      <c r="G3699" s="2">
        <f t="shared" si="57"/>
        <v>0</v>
      </c>
      <c r="H3699" s="2">
        <v>0</v>
      </c>
    </row>
    <row r="3700" spans="2:8">
      <c r="B3700" t="s">
        <v>1322</v>
      </c>
      <c r="C3700" t="s">
        <v>1483</v>
      </c>
      <c r="D3700" s="12" t="s">
        <v>1033</v>
      </c>
      <c r="E3700" s="1">
        <v>0</v>
      </c>
      <c r="G3700" s="2">
        <f t="shared" si="57"/>
        <v>0</v>
      </c>
      <c r="H3700" s="2">
        <v>0</v>
      </c>
    </row>
    <row r="3701" spans="2:8">
      <c r="B3701" t="s">
        <v>1244</v>
      </c>
      <c r="C3701" t="s">
        <v>1484</v>
      </c>
      <c r="D3701" s="5" t="s">
        <v>474</v>
      </c>
      <c r="E3701" s="1">
        <v>0</v>
      </c>
      <c r="G3701" s="2">
        <f t="shared" si="57"/>
        <v>0</v>
      </c>
      <c r="H3701" s="2">
        <v>0</v>
      </c>
    </row>
    <row r="3702" spans="2:8">
      <c r="B3702" t="s">
        <v>1244</v>
      </c>
      <c r="C3702" t="s">
        <v>1484</v>
      </c>
      <c r="D3702" s="6" t="s">
        <v>475</v>
      </c>
      <c r="E3702" s="1">
        <v>0</v>
      </c>
      <c r="G3702" s="2">
        <f t="shared" si="57"/>
        <v>0</v>
      </c>
      <c r="H3702" s="2">
        <v>0</v>
      </c>
    </row>
    <row r="3703" spans="2:8">
      <c r="B3703" t="s">
        <v>1244</v>
      </c>
      <c r="C3703" t="s">
        <v>1484</v>
      </c>
      <c r="D3703" s="7" t="s">
        <v>476</v>
      </c>
      <c r="E3703" s="1">
        <v>0</v>
      </c>
      <c r="G3703" s="2">
        <f t="shared" si="57"/>
        <v>0</v>
      </c>
      <c r="H3703" s="2">
        <v>0</v>
      </c>
    </row>
    <row r="3704" spans="2:8">
      <c r="B3704" t="s">
        <v>1244</v>
      </c>
      <c r="C3704" t="s">
        <v>1484</v>
      </c>
      <c r="D3704" s="8" t="s">
        <v>477</v>
      </c>
      <c r="E3704" s="1">
        <v>0</v>
      </c>
      <c r="G3704" s="2">
        <f t="shared" si="57"/>
        <v>0</v>
      </c>
      <c r="H3704" s="2">
        <v>0</v>
      </c>
    </row>
    <row r="3705" spans="2:8">
      <c r="B3705" t="s">
        <v>1244</v>
      </c>
      <c r="C3705" t="s">
        <v>1484</v>
      </c>
      <c r="D3705" s="9" t="s">
        <v>478</v>
      </c>
      <c r="E3705" s="1">
        <v>0</v>
      </c>
      <c r="G3705" s="2">
        <f t="shared" si="57"/>
        <v>0</v>
      </c>
      <c r="H3705" s="2">
        <v>0</v>
      </c>
    </row>
    <row r="3706" spans="2:8">
      <c r="B3706" t="s">
        <v>1244</v>
      </c>
      <c r="C3706" t="s">
        <v>1484</v>
      </c>
      <c r="D3706" s="10" t="s">
        <v>479</v>
      </c>
      <c r="E3706" s="1">
        <v>0</v>
      </c>
      <c r="G3706" s="2">
        <f t="shared" si="57"/>
        <v>0</v>
      </c>
      <c r="H3706" s="2">
        <v>0</v>
      </c>
    </row>
    <row r="3707" spans="2:8">
      <c r="B3707" t="s">
        <v>1244</v>
      </c>
      <c r="C3707" t="s">
        <v>1484</v>
      </c>
      <c r="D3707" s="11" t="s">
        <v>480</v>
      </c>
      <c r="E3707" s="1">
        <v>0</v>
      </c>
      <c r="G3707" s="2">
        <f t="shared" si="57"/>
        <v>0</v>
      </c>
      <c r="H3707" s="2">
        <v>0</v>
      </c>
    </row>
    <row r="3708" spans="2:8">
      <c r="B3708" t="s">
        <v>1244</v>
      </c>
      <c r="C3708" t="s">
        <v>1484</v>
      </c>
      <c r="D3708" s="13" t="s">
        <v>481</v>
      </c>
      <c r="E3708" s="1">
        <v>0</v>
      </c>
      <c r="G3708" s="2">
        <f t="shared" si="57"/>
        <v>0</v>
      </c>
      <c r="H3708" s="2">
        <v>0</v>
      </c>
    </row>
    <row r="3709" spans="2:8">
      <c r="B3709" t="s">
        <v>1244</v>
      </c>
      <c r="C3709" t="s">
        <v>1484</v>
      </c>
      <c r="D3709" s="12" t="s">
        <v>1033</v>
      </c>
      <c r="E3709" s="1">
        <v>0</v>
      </c>
      <c r="G3709" s="2">
        <f t="shared" si="57"/>
        <v>0</v>
      </c>
      <c r="H3709" s="2">
        <v>0</v>
      </c>
    </row>
    <row r="3710" spans="2:8">
      <c r="B3710" t="s">
        <v>1237</v>
      </c>
      <c r="C3710" t="s">
        <v>1485</v>
      </c>
      <c r="D3710" s="5" t="s">
        <v>474</v>
      </c>
      <c r="E3710" s="1">
        <v>0</v>
      </c>
      <c r="G3710" s="2">
        <f t="shared" si="57"/>
        <v>0</v>
      </c>
      <c r="H3710" s="2">
        <v>0</v>
      </c>
    </row>
    <row r="3711" spans="2:8">
      <c r="B3711" t="s">
        <v>1237</v>
      </c>
      <c r="C3711" t="s">
        <v>1485</v>
      </c>
      <c r="D3711" s="6" t="s">
        <v>475</v>
      </c>
      <c r="E3711" s="1">
        <v>0</v>
      </c>
      <c r="G3711" s="2">
        <f t="shared" si="57"/>
        <v>0</v>
      </c>
      <c r="H3711" s="2">
        <v>0</v>
      </c>
    </row>
    <row r="3712" spans="2:8">
      <c r="B3712" t="s">
        <v>1237</v>
      </c>
      <c r="C3712" t="s">
        <v>1485</v>
      </c>
      <c r="D3712" s="7" t="s">
        <v>476</v>
      </c>
      <c r="E3712" s="1">
        <v>0</v>
      </c>
      <c r="G3712" s="2">
        <f t="shared" si="57"/>
        <v>0</v>
      </c>
      <c r="H3712" s="2">
        <v>0</v>
      </c>
    </row>
    <row r="3713" spans="2:8">
      <c r="B3713" t="s">
        <v>1237</v>
      </c>
      <c r="C3713" t="s">
        <v>1485</v>
      </c>
      <c r="D3713" s="8" t="s">
        <v>477</v>
      </c>
      <c r="E3713" s="1">
        <v>0</v>
      </c>
      <c r="G3713" s="2">
        <f t="shared" si="57"/>
        <v>0</v>
      </c>
      <c r="H3713" s="2">
        <v>0</v>
      </c>
    </row>
    <row r="3714" spans="2:8">
      <c r="B3714" t="s">
        <v>1237</v>
      </c>
      <c r="C3714" t="s">
        <v>1485</v>
      </c>
      <c r="D3714" s="9" t="s">
        <v>478</v>
      </c>
      <c r="E3714" s="1">
        <v>0</v>
      </c>
      <c r="G3714" s="2">
        <f t="shared" ref="G3714:G3777" si="58">E3714*F3714</f>
        <v>0</v>
      </c>
      <c r="H3714" s="2">
        <v>0</v>
      </c>
    </row>
    <row r="3715" spans="2:8">
      <c r="B3715" t="s">
        <v>1237</v>
      </c>
      <c r="C3715" t="s">
        <v>1485</v>
      </c>
      <c r="D3715" s="10" t="s">
        <v>479</v>
      </c>
      <c r="E3715" s="1">
        <v>0</v>
      </c>
      <c r="G3715" s="2">
        <f t="shared" si="58"/>
        <v>0</v>
      </c>
      <c r="H3715" s="2">
        <v>0</v>
      </c>
    </row>
    <row r="3716" spans="2:8">
      <c r="B3716" t="s">
        <v>1237</v>
      </c>
      <c r="C3716" t="s">
        <v>1485</v>
      </c>
      <c r="D3716" s="11" t="s">
        <v>480</v>
      </c>
      <c r="E3716" s="1">
        <v>0</v>
      </c>
      <c r="G3716" s="2">
        <f t="shared" si="58"/>
        <v>0</v>
      </c>
      <c r="H3716" s="2">
        <v>0</v>
      </c>
    </row>
    <row r="3717" spans="2:8">
      <c r="B3717" t="s">
        <v>1237</v>
      </c>
      <c r="C3717" t="s">
        <v>1485</v>
      </c>
      <c r="D3717" s="13" t="s">
        <v>481</v>
      </c>
      <c r="E3717" s="1">
        <v>0</v>
      </c>
      <c r="G3717" s="2">
        <f t="shared" si="58"/>
        <v>0</v>
      </c>
      <c r="H3717" s="2">
        <v>0</v>
      </c>
    </row>
    <row r="3718" spans="2:8">
      <c r="B3718" t="s">
        <v>1237</v>
      </c>
      <c r="C3718" t="s">
        <v>1485</v>
      </c>
      <c r="D3718" s="12" t="s">
        <v>1033</v>
      </c>
      <c r="E3718" s="1">
        <v>0</v>
      </c>
      <c r="G3718" s="2">
        <f t="shared" si="58"/>
        <v>0</v>
      </c>
      <c r="H3718" s="2">
        <v>0</v>
      </c>
    </row>
    <row r="3719" spans="2:8">
      <c r="B3719" t="s">
        <v>1304</v>
      </c>
      <c r="C3719" t="s">
        <v>1486</v>
      </c>
      <c r="D3719" s="5" t="s">
        <v>474</v>
      </c>
      <c r="E3719" s="1">
        <v>0</v>
      </c>
      <c r="G3719" s="2">
        <f t="shared" si="58"/>
        <v>0</v>
      </c>
      <c r="H3719" s="2">
        <v>0</v>
      </c>
    </row>
    <row r="3720" spans="2:8">
      <c r="B3720" t="s">
        <v>1304</v>
      </c>
      <c r="C3720" t="s">
        <v>1486</v>
      </c>
      <c r="D3720" s="6" t="s">
        <v>475</v>
      </c>
      <c r="E3720" s="1">
        <v>0</v>
      </c>
      <c r="G3720" s="2">
        <f t="shared" si="58"/>
        <v>0</v>
      </c>
      <c r="H3720" s="2">
        <v>0</v>
      </c>
    </row>
    <row r="3721" spans="2:8">
      <c r="B3721" t="s">
        <v>1304</v>
      </c>
      <c r="C3721" t="s">
        <v>1486</v>
      </c>
      <c r="D3721" s="7" t="s">
        <v>476</v>
      </c>
      <c r="E3721" s="1">
        <v>0</v>
      </c>
      <c r="G3721" s="2">
        <f t="shared" si="58"/>
        <v>0</v>
      </c>
      <c r="H3721" s="2">
        <v>0</v>
      </c>
    </row>
    <row r="3722" spans="2:8">
      <c r="B3722" t="s">
        <v>1304</v>
      </c>
      <c r="C3722" t="s">
        <v>1486</v>
      </c>
      <c r="D3722" s="8" t="s">
        <v>477</v>
      </c>
      <c r="E3722" s="1">
        <v>0</v>
      </c>
      <c r="G3722" s="2">
        <f t="shared" si="58"/>
        <v>0</v>
      </c>
      <c r="H3722" s="2">
        <v>0</v>
      </c>
    </row>
    <row r="3723" spans="2:8">
      <c r="B3723" t="s">
        <v>1304</v>
      </c>
      <c r="C3723" t="s">
        <v>1486</v>
      </c>
      <c r="D3723" s="9" t="s">
        <v>478</v>
      </c>
      <c r="E3723" s="1">
        <v>0</v>
      </c>
      <c r="G3723" s="2">
        <f t="shared" si="58"/>
        <v>0</v>
      </c>
      <c r="H3723" s="2">
        <v>0</v>
      </c>
    </row>
    <row r="3724" spans="2:8">
      <c r="B3724" t="s">
        <v>1304</v>
      </c>
      <c r="C3724" t="s">
        <v>1486</v>
      </c>
      <c r="D3724" s="10" t="s">
        <v>479</v>
      </c>
      <c r="E3724" s="1">
        <v>0</v>
      </c>
      <c r="G3724" s="2">
        <f t="shared" si="58"/>
        <v>0</v>
      </c>
      <c r="H3724" s="2">
        <v>0</v>
      </c>
    </row>
    <row r="3725" spans="2:8">
      <c r="B3725" t="s">
        <v>1304</v>
      </c>
      <c r="C3725" t="s">
        <v>1486</v>
      </c>
      <c r="D3725" s="11" t="s">
        <v>480</v>
      </c>
      <c r="E3725" s="1">
        <v>0</v>
      </c>
      <c r="G3725" s="2">
        <f t="shared" si="58"/>
        <v>0</v>
      </c>
      <c r="H3725" s="2">
        <v>0</v>
      </c>
    </row>
    <row r="3726" spans="2:8">
      <c r="B3726" t="s">
        <v>1304</v>
      </c>
      <c r="C3726" t="s">
        <v>1486</v>
      </c>
      <c r="D3726" s="13" t="s">
        <v>481</v>
      </c>
      <c r="E3726" s="1">
        <v>0</v>
      </c>
      <c r="G3726" s="2">
        <f t="shared" si="58"/>
        <v>0</v>
      </c>
      <c r="H3726" s="2">
        <v>0</v>
      </c>
    </row>
    <row r="3727" spans="2:8">
      <c r="B3727" t="s">
        <v>1304</v>
      </c>
      <c r="C3727" t="s">
        <v>1486</v>
      </c>
      <c r="D3727" s="12" t="s">
        <v>1033</v>
      </c>
      <c r="E3727" s="1">
        <v>0</v>
      </c>
      <c r="G3727" s="2">
        <f t="shared" si="58"/>
        <v>0</v>
      </c>
      <c r="H3727" s="2">
        <v>0</v>
      </c>
    </row>
    <row r="3728" spans="2:8">
      <c r="B3728" t="s">
        <v>1248</v>
      </c>
      <c r="C3728" t="s">
        <v>1487</v>
      </c>
      <c r="D3728" s="5" t="s">
        <v>474</v>
      </c>
      <c r="E3728" s="1">
        <v>0</v>
      </c>
      <c r="G3728" s="2">
        <f t="shared" si="58"/>
        <v>0</v>
      </c>
      <c r="H3728" s="2">
        <v>0</v>
      </c>
    </row>
    <row r="3729" spans="2:8">
      <c r="B3729" t="s">
        <v>1248</v>
      </c>
      <c r="C3729" t="s">
        <v>1487</v>
      </c>
      <c r="D3729" s="6" t="s">
        <v>475</v>
      </c>
      <c r="E3729" s="1">
        <v>0</v>
      </c>
      <c r="G3729" s="2">
        <f t="shared" si="58"/>
        <v>0</v>
      </c>
      <c r="H3729" s="2">
        <v>0</v>
      </c>
    </row>
    <row r="3730" spans="2:8">
      <c r="B3730" t="s">
        <v>1248</v>
      </c>
      <c r="C3730" t="s">
        <v>1487</v>
      </c>
      <c r="D3730" s="7" t="s">
        <v>476</v>
      </c>
      <c r="E3730" s="1">
        <v>0</v>
      </c>
      <c r="G3730" s="2">
        <f t="shared" si="58"/>
        <v>0</v>
      </c>
      <c r="H3730" s="2">
        <v>0</v>
      </c>
    </row>
    <row r="3731" spans="2:8">
      <c r="B3731" t="s">
        <v>1248</v>
      </c>
      <c r="C3731" t="s">
        <v>1487</v>
      </c>
      <c r="D3731" s="8" t="s">
        <v>477</v>
      </c>
      <c r="E3731" s="1">
        <v>0</v>
      </c>
      <c r="G3731" s="2">
        <f t="shared" si="58"/>
        <v>0</v>
      </c>
      <c r="H3731" s="2">
        <v>0</v>
      </c>
    </row>
    <row r="3732" spans="2:8">
      <c r="B3732" t="s">
        <v>1248</v>
      </c>
      <c r="C3732" t="s">
        <v>1487</v>
      </c>
      <c r="D3732" s="9" t="s">
        <v>478</v>
      </c>
      <c r="E3732" s="1">
        <v>0</v>
      </c>
      <c r="G3732" s="2">
        <f t="shared" si="58"/>
        <v>0</v>
      </c>
      <c r="H3732" s="2">
        <v>0</v>
      </c>
    </row>
    <row r="3733" spans="2:8">
      <c r="B3733" t="s">
        <v>1248</v>
      </c>
      <c r="C3733" t="s">
        <v>1487</v>
      </c>
      <c r="D3733" s="10" t="s">
        <v>479</v>
      </c>
      <c r="E3733" s="1">
        <v>0</v>
      </c>
      <c r="G3733" s="2">
        <f t="shared" si="58"/>
        <v>0</v>
      </c>
      <c r="H3733" s="2">
        <v>0</v>
      </c>
    </row>
    <row r="3734" spans="2:8">
      <c r="B3734" t="s">
        <v>1248</v>
      </c>
      <c r="C3734" t="s">
        <v>1487</v>
      </c>
      <c r="D3734" s="11" t="s">
        <v>480</v>
      </c>
      <c r="E3734" s="1">
        <v>0</v>
      </c>
      <c r="G3734" s="2">
        <f t="shared" si="58"/>
        <v>0</v>
      </c>
      <c r="H3734" s="2">
        <v>0</v>
      </c>
    </row>
    <row r="3735" spans="2:8">
      <c r="B3735" t="s">
        <v>1248</v>
      </c>
      <c r="C3735" t="s">
        <v>1487</v>
      </c>
      <c r="D3735" s="13" t="s">
        <v>481</v>
      </c>
      <c r="E3735" s="1">
        <v>0</v>
      </c>
      <c r="G3735" s="2">
        <f t="shared" si="58"/>
        <v>0</v>
      </c>
      <c r="H3735" s="2">
        <v>0</v>
      </c>
    </row>
    <row r="3736" spans="2:8">
      <c r="B3736" t="s">
        <v>1248</v>
      </c>
      <c r="C3736" t="s">
        <v>1487</v>
      </c>
      <c r="D3736" s="12" t="s">
        <v>1033</v>
      </c>
      <c r="E3736" s="1">
        <v>0</v>
      </c>
      <c r="G3736" s="2">
        <f t="shared" si="58"/>
        <v>0</v>
      </c>
      <c r="H3736" s="2">
        <v>0</v>
      </c>
    </row>
    <row r="3737" spans="2:8">
      <c r="B3737" t="s">
        <v>1300</v>
      </c>
      <c r="C3737" t="s">
        <v>1488</v>
      </c>
      <c r="D3737" s="5" t="s">
        <v>474</v>
      </c>
      <c r="E3737" s="1">
        <v>0</v>
      </c>
      <c r="G3737" s="2">
        <f t="shared" si="58"/>
        <v>0</v>
      </c>
      <c r="H3737" s="2">
        <v>0</v>
      </c>
    </row>
    <row r="3738" spans="2:8">
      <c r="B3738" t="s">
        <v>1300</v>
      </c>
      <c r="C3738" t="s">
        <v>1488</v>
      </c>
      <c r="D3738" s="6" t="s">
        <v>475</v>
      </c>
      <c r="E3738" s="1">
        <v>0</v>
      </c>
      <c r="G3738" s="2">
        <f t="shared" si="58"/>
        <v>0</v>
      </c>
      <c r="H3738" s="2">
        <v>0</v>
      </c>
    </row>
    <row r="3739" spans="2:8">
      <c r="B3739" t="s">
        <v>1300</v>
      </c>
      <c r="C3739" t="s">
        <v>1488</v>
      </c>
      <c r="D3739" s="7" t="s">
        <v>476</v>
      </c>
      <c r="E3739" s="1">
        <v>0</v>
      </c>
      <c r="G3739" s="2">
        <f t="shared" si="58"/>
        <v>0</v>
      </c>
      <c r="H3739" s="2">
        <v>0</v>
      </c>
    </row>
    <row r="3740" spans="2:8">
      <c r="B3740" t="s">
        <v>1300</v>
      </c>
      <c r="C3740" t="s">
        <v>1488</v>
      </c>
      <c r="D3740" s="8" t="s">
        <v>477</v>
      </c>
      <c r="E3740" s="1">
        <v>0</v>
      </c>
      <c r="G3740" s="2">
        <f t="shared" si="58"/>
        <v>0</v>
      </c>
      <c r="H3740" s="2">
        <v>0</v>
      </c>
    </row>
    <row r="3741" spans="2:8">
      <c r="B3741" t="s">
        <v>1300</v>
      </c>
      <c r="C3741" t="s">
        <v>1488</v>
      </c>
      <c r="D3741" s="9" t="s">
        <v>478</v>
      </c>
      <c r="E3741" s="1">
        <v>0</v>
      </c>
      <c r="G3741" s="2">
        <f t="shared" si="58"/>
        <v>0</v>
      </c>
      <c r="H3741" s="2">
        <v>0</v>
      </c>
    </row>
    <row r="3742" spans="2:8">
      <c r="B3742" t="s">
        <v>1300</v>
      </c>
      <c r="C3742" t="s">
        <v>1488</v>
      </c>
      <c r="D3742" s="10" t="s">
        <v>479</v>
      </c>
      <c r="E3742" s="1">
        <v>0</v>
      </c>
      <c r="G3742" s="2">
        <f t="shared" si="58"/>
        <v>0</v>
      </c>
      <c r="H3742" s="2">
        <v>0</v>
      </c>
    </row>
    <row r="3743" spans="2:8">
      <c r="B3743" t="s">
        <v>1300</v>
      </c>
      <c r="C3743" t="s">
        <v>1488</v>
      </c>
      <c r="D3743" s="11" t="s">
        <v>480</v>
      </c>
      <c r="E3743" s="1">
        <v>0</v>
      </c>
      <c r="G3743" s="2">
        <f t="shared" si="58"/>
        <v>0</v>
      </c>
      <c r="H3743" s="2">
        <v>0</v>
      </c>
    </row>
    <row r="3744" spans="2:8">
      <c r="B3744" t="s">
        <v>1300</v>
      </c>
      <c r="C3744" t="s">
        <v>1488</v>
      </c>
      <c r="D3744" s="13" t="s">
        <v>481</v>
      </c>
      <c r="E3744" s="1">
        <v>0</v>
      </c>
      <c r="G3744" s="2">
        <f t="shared" si="58"/>
        <v>0</v>
      </c>
      <c r="H3744" s="2">
        <v>0</v>
      </c>
    </row>
    <row r="3745" spans="2:8">
      <c r="B3745" t="s">
        <v>1300</v>
      </c>
      <c r="C3745" t="s">
        <v>1488</v>
      </c>
      <c r="D3745" s="12" t="s">
        <v>1033</v>
      </c>
      <c r="E3745" s="1">
        <v>0</v>
      </c>
      <c r="G3745" s="2">
        <f t="shared" si="58"/>
        <v>0</v>
      </c>
      <c r="H3745" s="2">
        <v>0</v>
      </c>
    </row>
    <row r="3746" spans="2:8">
      <c r="B3746" t="s">
        <v>1273</v>
      </c>
      <c r="C3746" t="s">
        <v>1489</v>
      </c>
      <c r="D3746" s="5" t="s">
        <v>474</v>
      </c>
      <c r="E3746" s="1">
        <v>0</v>
      </c>
      <c r="G3746" s="2">
        <f t="shared" si="58"/>
        <v>0</v>
      </c>
      <c r="H3746" s="2">
        <v>0</v>
      </c>
    </row>
    <row r="3747" spans="2:8">
      <c r="B3747" t="s">
        <v>1273</v>
      </c>
      <c r="C3747" t="s">
        <v>1489</v>
      </c>
      <c r="D3747" s="6" t="s">
        <v>475</v>
      </c>
      <c r="E3747" s="1">
        <v>0</v>
      </c>
      <c r="G3747" s="2">
        <f t="shared" si="58"/>
        <v>0</v>
      </c>
      <c r="H3747" s="2">
        <v>0</v>
      </c>
    </row>
    <row r="3748" spans="2:8">
      <c r="B3748" t="s">
        <v>1273</v>
      </c>
      <c r="C3748" t="s">
        <v>1489</v>
      </c>
      <c r="D3748" s="7" t="s">
        <v>476</v>
      </c>
      <c r="E3748" s="1">
        <v>0</v>
      </c>
      <c r="G3748" s="2">
        <f t="shared" si="58"/>
        <v>0</v>
      </c>
      <c r="H3748" s="2">
        <v>0</v>
      </c>
    </row>
    <row r="3749" spans="2:8">
      <c r="B3749" t="s">
        <v>1273</v>
      </c>
      <c r="C3749" t="s">
        <v>1489</v>
      </c>
      <c r="D3749" s="8" t="s">
        <v>477</v>
      </c>
      <c r="E3749" s="1">
        <v>0</v>
      </c>
      <c r="G3749" s="2">
        <f t="shared" si="58"/>
        <v>0</v>
      </c>
      <c r="H3749" s="2">
        <v>0</v>
      </c>
    </row>
    <row r="3750" spans="2:8">
      <c r="B3750" t="s">
        <v>1273</v>
      </c>
      <c r="C3750" t="s">
        <v>1489</v>
      </c>
      <c r="D3750" s="9" t="s">
        <v>478</v>
      </c>
      <c r="E3750" s="1">
        <v>0</v>
      </c>
      <c r="G3750" s="2">
        <f t="shared" si="58"/>
        <v>0</v>
      </c>
      <c r="H3750" s="2">
        <v>0</v>
      </c>
    </row>
    <row r="3751" spans="2:8">
      <c r="B3751" t="s">
        <v>1273</v>
      </c>
      <c r="C3751" t="s">
        <v>1489</v>
      </c>
      <c r="D3751" s="10" t="s">
        <v>479</v>
      </c>
      <c r="E3751" s="1">
        <v>0</v>
      </c>
      <c r="G3751" s="2">
        <f t="shared" si="58"/>
        <v>0</v>
      </c>
      <c r="H3751" s="2">
        <v>0</v>
      </c>
    </row>
    <row r="3752" spans="2:8">
      <c r="B3752" t="s">
        <v>1273</v>
      </c>
      <c r="C3752" t="s">
        <v>1489</v>
      </c>
      <c r="D3752" s="11" t="s">
        <v>480</v>
      </c>
      <c r="E3752" s="1">
        <v>0</v>
      </c>
      <c r="G3752" s="2">
        <f t="shared" si="58"/>
        <v>0</v>
      </c>
      <c r="H3752" s="2">
        <v>0</v>
      </c>
    </row>
    <row r="3753" spans="2:8">
      <c r="B3753" t="s">
        <v>1273</v>
      </c>
      <c r="C3753" t="s">
        <v>1489</v>
      </c>
      <c r="D3753" s="13" t="s">
        <v>481</v>
      </c>
      <c r="E3753" s="1">
        <v>0</v>
      </c>
      <c r="G3753" s="2">
        <f t="shared" si="58"/>
        <v>0</v>
      </c>
      <c r="H3753" s="2">
        <v>0</v>
      </c>
    </row>
    <row r="3754" spans="2:8">
      <c r="B3754" t="s">
        <v>1273</v>
      </c>
      <c r="C3754" t="s">
        <v>1489</v>
      </c>
      <c r="D3754" s="12" t="s">
        <v>1033</v>
      </c>
      <c r="E3754" s="1">
        <v>0</v>
      </c>
      <c r="G3754" s="2">
        <f t="shared" si="58"/>
        <v>0</v>
      </c>
      <c r="H3754" s="2">
        <v>0</v>
      </c>
    </row>
    <row r="3755" spans="2:8">
      <c r="B3755" t="s">
        <v>1302</v>
      </c>
      <c r="C3755" t="s">
        <v>1490</v>
      </c>
      <c r="D3755" s="5" t="s">
        <v>474</v>
      </c>
      <c r="E3755" s="1">
        <v>0</v>
      </c>
      <c r="G3755" s="2">
        <f t="shared" si="58"/>
        <v>0</v>
      </c>
      <c r="H3755" s="2">
        <v>0</v>
      </c>
    </row>
    <row r="3756" spans="2:8">
      <c r="B3756" t="s">
        <v>1302</v>
      </c>
      <c r="C3756" t="s">
        <v>1490</v>
      </c>
      <c r="D3756" s="6" t="s">
        <v>475</v>
      </c>
      <c r="E3756" s="1">
        <v>0</v>
      </c>
      <c r="G3756" s="2">
        <f t="shared" si="58"/>
        <v>0</v>
      </c>
      <c r="H3756" s="2">
        <v>0</v>
      </c>
    </row>
    <row r="3757" spans="2:8">
      <c r="B3757" t="s">
        <v>1302</v>
      </c>
      <c r="C3757" t="s">
        <v>1490</v>
      </c>
      <c r="D3757" s="7" t="s">
        <v>476</v>
      </c>
      <c r="E3757" s="1">
        <v>0</v>
      </c>
      <c r="G3757" s="2">
        <f t="shared" si="58"/>
        <v>0</v>
      </c>
      <c r="H3757" s="2">
        <v>0</v>
      </c>
    </row>
    <row r="3758" spans="2:8">
      <c r="B3758" t="s">
        <v>1302</v>
      </c>
      <c r="C3758" t="s">
        <v>1490</v>
      </c>
      <c r="D3758" s="8" t="s">
        <v>477</v>
      </c>
      <c r="E3758" s="1">
        <v>0</v>
      </c>
      <c r="G3758" s="2">
        <f t="shared" si="58"/>
        <v>0</v>
      </c>
      <c r="H3758" s="2">
        <v>0</v>
      </c>
    </row>
    <row r="3759" spans="2:8">
      <c r="B3759" t="s">
        <v>1302</v>
      </c>
      <c r="C3759" t="s">
        <v>1490</v>
      </c>
      <c r="D3759" s="9" t="s">
        <v>478</v>
      </c>
      <c r="E3759" s="1">
        <v>0</v>
      </c>
      <c r="G3759" s="2">
        <f t="shared" si="58"/>
        <v>0</v>
      </c>
      <c r="H3759" s="2">
        <v>0</v>
      </c>
    </row>
    <row r="3760" spans="2:8">
      <c r="B3760" t="s">
        <v>1302</v>
      </c>
      <c r="C3760" t="s">
        <v>1490</v>
      </c>
      <c r="D3760" s="10" t="s">
        <v>479</v>
      </c>
      <c r="E3760" s="1">
        <v>0</v>
      </c>
      <c r="G3760" s="2">
        <f t="shared" si="58"/>
        <v>0</v>
      </c>
      <c r="H3760" s="2">
        <v>0</v>
      </c>
    </row>
    <row r="3761" spans="2:8">
      <c r="B3761" t="s">
        <v>1302</v>
      </c>
      <c r="C3761" t="s">
        <v>1490</v>
      </c>
      <c r="D3761" s="11" t="s">
        <v>480</v>
      </c>
      <c r="E3761" s="1">
        <v>0</v>
      </c>
      <c r="G3761" s="2">
        <f t="shared" si="58"/>
        <v>0</v>
      </c>
      <c r="H3761" s="2">
        <v>0</v>
      </c>
    </row>
    <row r="3762" spans="2:8">
      <c r="B3762" t="s">
        <v>1302</v>
      </c>
      <c r="C3762" t="s">
        <v>1490</v>
      </c>
      <c r="D3762" s="13" t="s">
        <v>481</v>
      </c>
      <c r="E3762" s="1">
        <v>0</v>
      </c>
      <c r="G3762" s="2">
        <f t="shared" si="58"/>
        <v>0</v>
      </c>
      <c r="H3762" s="2">
        <v>0</v>
      </c>
    </row>
    <row r="3763" spans="2:8">
      <c r="B3763" t="s">
        <v>1302</v>
      </c>
      <c r="C3763" t="s">
        <v>1490</v>
      </c>
      <c r="D3763" s="12" t="s">
        <v>1033</v>
      </c>
      <c r="E3763" s="1">
        <v>0</v>
      </c>
      <c r="G3763" s="2">
        <f t="shared" si="58"/>
        <v>0</v>
      </c>
      <c r="H3763" s="2">
        <v>0</v>
      </c>
    </row>
    <row r="3764" spans="2:8">
      <c r="B3764" t="s">
        <v>1305</v>
      </c>
      <c r="C3764" t="s">
        <v>1491</v>
      </c>
      <c r="D3764" s="5" t="s">
        <v>474</v>
      </c>
      <c r="E3764" s="1">
        <v>0</v>
      </c>
      <c r="G3764" s="2">
        <f t="shared" si="58"/>
        <v>0</v>
      </c>
      <c r="H3764" s="2">
        <v>0</v>
      </c>
    </row>
    <row r="3765" spans="2:8">
      <c r="B3765" t="s">
        <v>1305</v>
      </c>
      <c r="C3765" t="s">
        <v>1491</v>
      </c>
      <c r="D3765" s="6" t="s">
        <v>475</v>
      </c>
      <c r="E3765" s="1">
        <v>0</v>
      </c>
      <c r="G3765" s="2">
        <f t="shared" si="58"/>
        <v>0</v>
      </c>
      <c r="H3765" s="2">
        <v>0</v>
      </c>
    </row>
    <row r="3766" spans="2:8">
      <c r="B3766" t="s">
        <v>1305</v>
      </c>
      <c r="C3766" t="s">
        <v>1491</v>
      </c>
      <c r="D3766" s="7" t="s">
        <v>476</v>
      </c>
      <c r="E3766" s="1">
        <v>0</v>
      </c>
      <c r="G3766" s="2">
        <f t="shared" si="58"/>
        <v>0</v>
      </c>
      <c r="H3766" s="2">
        <v>0</v>
      </c>
    </row>
    <row r="3767" spans="2:8">
      <c r="B3767" t="s">
        <v>1305</v>
      </c>
      <c r="C3767" t="s">
        <v>1491</v>
      </c>
      <c r="D3767" s="8" t="s">
        <v>477</v>
      </c>
      <c r="E3767" s="1">
        <v>0</v>
      </c>
      <c r="G3767" s="2">
        <f t="shared" si="58"/>
        <v>0</v>
      </c>
      <c r="H3767" s="2">
        <v>0</v>
      </c>
    </row>
    <row r="3768" spans="2:8">
      <c r="B3768" t="s">
        <v>1305</v>
      </c>
      <c r="C3768" t="s">
        <v>1491</v>
      </c>
      <c r="D3768" s="9" t="s">
        <v>478</v>
      </c>
      <c r="E3768" s="1">
        <v>0</v>
      </c>
      <c r="G3768" s="2">
        <f t="shared" si="58"/>
        <v>0</v>
      </c>
      <c r="H3768" s="2">
        <v>0</v>
      </c>
    </row>
    <row r="3769" spans="2:8">
      <c r="B3769" t="s">
        <v>1305</v>
      </c>
      <c r="C3769" t="s">
        <v>1491</v>
      </c>
      <c r="D3769" s="10" t="s">
        <v>479</v>
      </c>
      <c r="E3769" s="1">
        <v>0</v>
      </c>
      <c r="G3769" s="2">
        <f t="shared" si="58"/>
        <v>0</v>
      </c>
      <c r="H3769" s="2">
        <v>0</v>
      </c>
    </row>
    <row r="3770" spans="2:8">
      <c r="B3770" t="s">
        <v>1305</v>
      </c>
      <c r="C3770" t="s">
        <v>1491</v>
      </c>
      <c r="D3770" s="11" t="s">
        <v>480</v>
      </c>
      <c r="E3770" s="1">
        <v>0</v>
      </c>
      <c r="G3770" s="2">
        <f t="shared" si="58"/>
        <v>0</v>
      </c>
      <c r="H3770" s="2">
        <v>0</v>
      </c>
    </row>
    <row r="3771" spans="2:8">
      <c r="B3771" t="s">
        <v>1305</v>
      </c>
      <c r="C3771" t="s">
        <v>1491</v>
      </c>
      <c r="D3771" s="13" t="s">
        <v>481</v>
      </c>
      <c r="E3771" s="1">
        <v>0</v>
      </c>
      <c r="G3771" s="2">
        <f t="shared" si="58"/>
        <v>0</v>
      </c>
      <c r="H3771" s="2">
        <v>0</v>
      </c>
    </row>
    <row r="3772" spans="2:8">
      <c r="B3772" t="s">
        <v>1305</v>
      </c>
      <c r="C3772" t="s">
        <v>1491</v>
      </c>
      <c r="D3772" s="12" t="s">
        <v>1033</v>
      </c>
      <c r="E3772" s="1">
        <v>0</v>
      </c>
      <c r="G3772" s="2">
        <f t="shared" si="58"/>
        <v>0</v>
      </c>
      <c r="H3772" s="2">
        <v>0</v>
      </c>
    </row>
    <row r="3773" spans="2:8">
      <c r="B3773" t="s">
        <v>1241</v>
      </c>
      <c r="C3773" t="s">
        <v>1492</v>
      </c>
      <c r="D3773" s="5" t="s">
        <v>474</v>
      </c>
      <c r="E3773" s="1">
        <v>0</v>
      </c>
      <c r="G3773" s="2">
        <f t="shared" si="58"/>
        <v>0</v>
      </c>
      <c r="H3773" s="2">
        <v>0</v>
      </c>
    </row>
    <row r="3774" spans="2:8">
      <c r="B3774" t="s">
        <v>1241</v>
      </c>
      <c r="C3774" t="s">
        <v>1492</v>
      </c>
      <c r="D3774" s="6" t="s">
        <v>475</v>
      </c>
      <c r="E3774" s="1">
        <v>0</v>
      </c>
      <c r="G3774" s="2">
        <f t="shared" si="58"/>
        <v>0</v>
      </c>
      <c r="H3774" s="2">
        <v>0</v>
      </c>
    </row>
    <row r="3775" spans="2:8">
      <c r="B3775" t="s">
        <v>1241</v>
      </c>
      <c r="C3775" t="s">
        <v>1492</v>
      </c>
      <c r="D3775" s="7" t="s">
        <v>476</v>
      </c>
      <c r="E3775" s="1">
        <v>0</v>
      </c>
      <c r="G3775" s="2">
        <f t="shared" si="58"/>
        <v>0</v>
      </c>
      <c r="H3775" s="2">
        <v>0</v>
      </c>
    </row>
    <row r="3776" spans="2:8">
      <c r="B3776" t="s">
        <v>1241</v>
      </c>
      <c r="C3776" t="s">
        <v>1492</v>
      </c>
      <c r="D3776" s="8" t="s">
        <v>477</v>
      </c>
      <c r="E3776" s="1">
        <v>0</v>
      </c>
      <c r="G3776" s="2">
        <f t="shared" si="58"/>
        <v>0</v>
      </c>
      <c r="H3776" s="2">
        <v>0</v>
      </c>
    </row>
    <row r="3777" spans="2:8">
      <c r="B3777" t="s">
        <v>1241</v>
      </c>
      <c r="C3777" t="s">
        <v>1492</v>
      </c>
      <c r="D3777" s="9" t="s">
        <v>478</v>
      </c>
      <c r="E3777" s="1">
        <v>0</v>
      </c>
      <c r="G3777" s="2">
        <f t="shared" si="58"/>
        <v>0</v>
      </c>
      <c r="H3777" s="2">
        <v>0</v>
      </c>
    </row>
    <row r="3778" spans="2:8">
      <c r="B3778" t="s">
        <v>1241</v>
      </c>
      <c r="C3778" t="s">
        <v>1492</v>
      </c>
      <c r="D3778" s="10" t="s">
        <v>479</v>
      </c>
      <c r="E3778" s="1">
        <v>0</v>
      </c>
      <c r="G3778" s="2">
        <f t="shared" ref="G3778:G3841" si="59">E3778*F3778</f>
        <v>0</v>
      </c>
      <c r="H3778" s="2">
        <v>0</v>
      </c>
    </row>
    <row r="3779" spans="2:8">
      <c r="B3779" t="s">
        <v>1241</v>
      </c>
      <c r="C3779" t="s">
        <v>1492</v>
      </c>
      <c r="D3779" s="11" t="s">
        <v>480</v>
      </c>
      <c r="E3779" s="1">
        <v>0</v>
      </c>
      <c r="G3779" s="2">
        <f t="shared" si="59"/>
        <v>0</v>
      </c>
      <c r="H3779" s="2">
        <v>0</v>
      </c>
    </row>
    <row r="3780" spans="2:8">
      <c r="B3780" t="s">
        <v>1241</v>
      </c>
      <c r="C3780" t="s">
        <v>1492</v>
      </c>
      <c r="D3780" s="13" t="s">
        <v>481</v>
      </c>
      <c r="E3780" s="1">
        <v>0</v>
      </c>
      <c r="G3780" s="2">
        <f t="shared" si="59"/>
        <v>0</v>
      </c>
      <c r="H3780" s="2">
        <v>0</v>
      </c>
    </row>
    <row r="3781" spans="2:8">
      <c r="B3781" t="s">
        <v>1241</v>
      </c>
      <c r="C3781" t="s">
        <v>1492</v>
      </c>
      <c r="D3781" s="12" t="s">
        <v>1033</v>
      </c>
      <c r="E3781" s="1">
        <v>0</v>
      </c>
      <c r="G3781" s="2">
        <f t="shared" si="59"/>
        <v>0</v>
      </c>
      <c r="H3781" s="2">
        <v>0</v>
      </c>
    </row>
    <row r="3782" spans="2:8">
      <c r="B3782" t="s">
        <v>1299</v>
      </c>
      <c r="C3782" t="s">
        <v>1550</v>
      </c>
      <c r="D3782" s="5" t="s">
        <v>474</v>
      </c>
      <c r="E3782" s="1">
        <v>0</v>
      </c>
      <c r="G3782" s="2">
        <f t="shared" si="59"/>
        <v>0</v>
      </c>
      <c r="H3782" s="2">
        <v>0</v>
      </c>
    </row>
    <row r="3783" spans="2:8">
      <c r="B3783" t="s">
        <v>1299</v>
      </c>
      <c r="C3783" t="s">
        <v>1550</v>
      </c>
      <c r="D3783" s="6" t="s">
        <v>475</v>
      </c>
      <c r="E3783" s="1">
        <v>0</v>
      </c>
      <c r="G3783" s="2">
        <f t="shared" si="59"/>
        <v>0</v>
      </c>
      <c r="H3783" s="2">
        <v>0</v>
      </c>
    </row>
    <row r="3784" spans="2:8">
      <c r="B3784" t="s">
        <v>1299</v>
      </c>
      <c r="C3784" t="s">
        <v>1550</v>
      </c>
      <c r="D3784" s="7" t="s">
        <v>476</v>
      </c>
      <c r="E3784" s="1">
        <v>0</v>
      </c>
      <c r="G3784" s="2">
        <f t="shared" si="59"/>
        <v>0</v>
      </c>
      <c r="H3784" s="2">
        <v>0</v>
      </c>
    </row>
    <row r="3785" spans="2:8">
      <c r="B3785" t="s">
        <v>1299</v>
      </c>
      <c r="C3785" t="s">
        <v>1550</v>
      </c>
      <c r="D3785" s="8" t="s">
        <v>477</v>
      </c>
      <c r="E3785" s="1">
        <v>0</v>
      </c>
      <c r="G3785" s="2">
        <f t="shared" si="59"/>
        <v>0</v>
      </c>
      <c r="H3785" s="2">
        <v>0</v>
      </c>
    </row>
    <row r="3786" spans="2:8">
      <c r="B3786" t="s">
        <v>1299</v>
      </c>
      <c r="C3786" t="s">
        <v>1550</v>
      </c>
      <c r="D3786" s="9" t="s">
        <v>478</v>
      </c>
      <c r="E3786" s="1">
        <v>0</v>
      </c>
      <c r="G3786" s="2">
        <f t="shared" si="59"/>
        <v>0</v>
      </c>
      <c r="H3786" s="2">
        <v>0</v>
      </c>
    </row>
    <row r="3787" spans="2:8">
      <c r="B3787" t="s">
        <v>1299</v>
      </c>
      <c r="C3787" t="s">
        <v>1550</v>
      </c>
      <c r="D3787" s="10" t="s">
        <v>479</v>
      </c>
      <c r="E3787" s="1">
        <v>0</v>
      </c>
      <c r="G3787" s="2">
        <f t="shared" si="59"/>
        <v>0</v>
      </c>
      <c r="H3787" s="2">
        <v>0</v>
      </c>
    </row>
    <row r="3788" spans="2:8">
      <c r="B3788" t="s">
        <v>1299</v>
      </c>
      <c r="C3788" t="s">
        <v>1550</v>
      </c>
      <c r="D3788" s="11" t="s">
        <v>480</v>
      </c>
      <c r="E3788" s="1">
        <v>0</v>
      </c>
      <c r="G3788" s="2">
        <f t="shared" si="59"/>
        <v>0</v>
      </c>
      <c r="H3788" s="2">
        <v>0</v>
      </c>
    </row>
    <row r="3789" spans="2:8">
      <c r="B3789" t="s">
        <v>1299</v>
      </c>
      <c r="C3789" t="s">
        <v>1550</v>
      </c>
      <c r="D3789" s="13" t="s">
        <v>481</v>
      </c>
      <c r="E3789" s="1">
        <v>0</v>
      </c>
      <c r="G3789" s="2">
        <f t="shared" si="59"/>
        <v>0</v>
      </c>
      <c r="H3789" s="2">
        <v>0</v>
      </c>
    </row>
    <row r="3790" spans="2:8">
      <c r="B3790" t="s">
        <v>1299</v>
      </c>
      <c r="C3790" t="s">
        <v>1550</v>
      </c>
      <c r="D3790" s="12" t="s">
        <v>1033</v>
      </c>
      <c r="E3790" s="1">
        <v>0</v>
      </c>
      <c r="G3790" s="2">
        <f t="shared" si="59"/>
        <v>0</v>
      </c>
      <c r="H3790" s="2">
        <v>0</v>
      </c>
    </row>
    <row r="3791" spans="2:8">
      <c r="B3791" t="s">
        <v>1251</v>
      </c>
      <c r="C3791" t="s">
        <v>1551</v>
      </c>
      <c r="D3791" s="5" t="s">
        <v>474</v>
      </c>
      <c r="E3791" s="1">
        <v>0</v>
      </c>
      <c r="G3791" s="2">
        <f t="shared" si="59"/>
        <v>0</v>
      </c>
      <c r="H3791" s="2">
        <v>0</v>
      </c>
    </row>
    <row r="3792" spans="2:8">
      <c r="B3792" t="s">
        <v>1251</v>
      </c>
      <c r="C3792" t="s">
        <v>1551</v>
      </c>
      <c r="D3792" s="6" t="s">
        <v>475</v>
      </c>
      <c r="E3792" s="1">
        <v>0</v>
      </c>
      <c r="G3792" s="2">
        <f t="shared" si="59"/>
        <v>0</v>
      </c>
      <c r="H3792" s="2">
        <v>0</v>
      </c>
    </row>
    <row r="3793" spans="2:8">
      <c r="B3793" t="s">
        <v>1251</v>
      </c>
      <c r="C3793" t="s">
        <v>1551</v>
      </c>
      <c r="D3793" s="7" t="s">
        <v>476</v>
      </c>
      <c r="E3793" s="1">
        <v>0</v>
      </c>
      <c r="G3793" s="2">
        <f t="shared" si="59"/>
        <v>0</v>
      </c>
      <c r="H3793" s="2">
        <v>0</v>
      </c>
    </row>
    <row r="3794" spans="2:8">
      <c r="B3794" t="s">
        <v>1251</v>
      </c>
      <c r="C3794" t="s">
        <v>1551</v>
      </c>
      <c r="D3794" s="8" t="s">
        <v>477</v>
      </c>
      <c r="E3794" s="1">
        <v>0</v>
      </c>
      <c r="G3794" s="2">
        <f t="shared" si="59"/>
        <v>0</v>
      </c>
      <c r="H3794" s="2">
        <v>0</v>
      </c>
    </row>
    <row r="3795" spans="2:8">
      <c r="B3795" t="s">
        <v>1251</v>
      </c>
      <c r="C3795" t="s">
        <v>1551</v>
      </c>
      <c r="D3795" s="9" t="s">
        <v>478</v>
      </c>
      <c r="E3795" s="1">
        <v>0</v>
      </c>
      <c r="G3795" s="2">
        <f t="shared" si="59"/>
        <v>0</v>
      </c>
      <c r="H3795" s="2">
        <v>0</v>
      </c>
    </row>
    <row r="3796" spans="2:8">
      <c r="B3796" t="s">
        <v>1251</v>
      </c>
      <c r="C3796" t="s">
        <v>1551</v>
      </c>
      <c r="D3796" s="10" t="s">
        <v>479</v>
      </c>
      <c r="E3796" s="1">
        <v>0</v>
      </c>
      <c r="G3796" s="2">
        <f t="shared" si="59"/>
        <v>0</v>
      </c>
      <c r="H3796" s="2">
        <v>0</v>
      </c>
    </row>
    <row r="3797" spans="2:8">
      <c r="B3797" t="s">
        <v>1251</v>
      </c>
      <c r="C3797" t="s">
        <v>1551</v>
      </c>
      <c r="D3797" s="11" t="s">
        <v>480</v>
      </c>
      <c r="E3797" s="1">
        <v>0</v>
      </c>
      <c r="G3797" s="2">
        <f t="shared" si="59"/>
        <v>0</v>
      </c>
      <c r="H3797" s="2">
        <v>0</v>
      </c>
    </row>
    <row r="3798" spans="2:8">
      <c r="B3798" t="s">
        <v>1251</v>
      </c>
      <c r="C3798" t="s">
        <v>1551</v>
      </c>
      <c r="D3798" s="13" t="s">
        <v>481</v>
      </c>
      <c r="E3798" s="1">
        <v>0</v>
      </c>
      <c r="G3798" s="2">
        <f t="shared" si="59"/>
        <v>0</v>
      </c>
      <c r="H3798" s="2">
        <v>0</v>
      </c>
    </row>
    <row r="3799" spans="2:8">
      <c r="B3799" t="s">
        <v>1251</v>
      </c>
      <c r="C3799" t="s">
        <v>1551</v>
      </c>
      <c r="D3799" s="12" t="s">
        <v>1033</v>
      </c>
      <c r="E3799" s="1">
        <v>0</v>
      </c>
      <c r="G3799" s="2">
        <f t="shared" si="59"/>
        <v>0</v>
      </c>
      <c r="H3799" s="2">
        <v>0</v>
      </c>
    </row>
    <row r="3800" spans="2:8">
      <c r="B3800" t="s">
        <v>1269</v>
      </c>
      <c r="C3800" t="s">
        <v>1552</v>
      </c>
      <c r="D3800" s="5" t="s">
        <v>474</v>
      </c>
      <c r="E3800" s="1">
        <v>0</v>
      </c>
      <c r="G3800" s="2">
        <f t="shared" si="59"/>
        <v>0</v>
      </c>
      <c r="H3800" s="2">
        <v>0</v>
      </c>
    </row>
    <row r="3801" spans="2:8">
      <c r="B3801" t="s">
        <v>1269</v>
      </c>
      <c r="C3801" t="s">
        <v>1552</v>
      </c>
      <c r="D3801" s="6" t="s">
        <v>475</v>
      </c>
      <c r="E3801" s="1">
        <v>0</v>
      </c>
      <c r="G3801" s="2">
        <f t="shared" si="59"/>
        <v>0</v>
      </c>
      <c r="H3801" s="2">
        <v>0</v>
      </c>
    </row>
    <row r="3802" spans="2:8">
      <c r="B3802" t="s">
        <v>1269</v>
      </c>
      <c r="C3802" t="s">
        <v>1552</v>
      </c>
      <c r="D3802" s="7" t="s">
        <v>476</v>
      </c>
      <c r="E3802" s="1">
        <v>0</v>
      </c>
      <c r="G3802" s="2">
        <f t="shared" si="59"/>
        <v>0</v>
      </c>
      <c r="H3802" s="2">
        <v>0</v>
      </c>
    </row>
    <row r="3803" spans="2:8">
      <c r="B3803" t="s">
        <v>1269</v>
      </c>
      <c r="C3803" t="s">
        <v>1552</v>
      </c>
      <c r="D3803" s="8" t="s">
        <v>477</v>
      </c>
      <c r="E3803" s="1">
        <v>0</v>
      </c>
      <c r="G3803" s="2">
        <f t="shared" si="59"/>
        <v>0</v>
      </c>
      <c r="H3803" s="2">
        <v>0</v>
      </c>
    </row>
    <row r="3804" spans="2:8">
      <c r="B3804" t="s">
        <v>1269</v>
      </c>
      <c r="C3804" t="s">
        <v>1552</v>
      </c>
      <c r="D3804" s="9" t="s">
        <v>478</v>
      </c>
      <c r="E3804" s="1">
        <v>0</v>
      </c>
      <c r="G3804" s="2">
        <f t="shared" si="59"/>
        <v>0</v>
      </c>
      <c r="H3804" s="2">
        <v>0</v>
      </c>
    </row>
    <row r="3805" spans="2:8">
      <c r="B3805" t="s">
        <v>1269</v>
      </c>
      <c r="C3805" t="s">
        <v>1552</v>
      </c>
      <c r="D3805" s="10" t="s">
        <v>479</v>
      </c>
      <c r="E3805" s="1">
        <v>0</v>
      </c>
      <c r="G3805" s="2">
        <f t="shared" si="59"/>
        <v>0</v>
      </c>
      <c r="H3805" s="2">
        <v>0</v>
      </c>
    </row>
    <row r="3806" spans="2:8">
      <c r="B3806" t="s">
        <v>1269</v>
      </c>
      <c r="C3806" t="s">
        <v>1552</v>
      </c>
      <c r="D3806" s="11" t="s">
        <v>480</v>
      </c>
      <c r="E3806" s="1">
        <v>0</v>
      </c>
      <c r="G3806" s="2">
        <f t="shared" si="59"/>
        <v>0</v>
      </c>
      <c r="H3806" s="2">
        <v>0</v>
      </c>
    </row>
    <row r="3807" spans="2:8">
      <c r="B3807" t="s">
        <v>1269</v>
      </c>
      <c r="C3807" t="s">
        <v>1552</v>
      </c>
      <c r="D3807" s="13" t="s">
        <v>481</v>
      </c>
      <c r="E3807" s="1">
        <v>0</v>
      </c>
      <c r="G3807" s="2">
        <f t="shared" si="59"/>
        <v>0</v>
      </c>
      <c r="H3807" s="2">
        <v>0</v>
      </c>
    </row>
    <row r="3808" spans="2:8">
      <c r="B3808" t="s">
        <v>1269</v>
      </c>
      <c r="C3808" t="s">
        <v>1552</v>
      </c>
      <c r="D3808" s="12" t="s">
        <v>1033</v>
      </c>
      <c r="E3808" s="1">
        <v>0</v>
      </c>
      <c r="G3808" s="2">
        <f t="shared" si="59"/>
        <v>0</v>
      </c>
      <c r="H3808" s="2">
        <v>0</v>
      </c>
    </row>
    <row r="3809" spans="2:8">
      <c r="B3809" t="s">
        <v>1303</v>
      </c>
      <c r="C3809" t="s">
        <v>1493</v>
      </c>
      <c r="D3809" s="5" t="s">
        <v>474</v>
      </c>
      <c r="E3809" s="1">
        <v>0</v>
      </c>
      <c r="G3809" s="2">
        <f t="shared" si="59"/>
        <v>0</v>
      </c>
      <c r="H3809" s="2">
        <v>0</v>
      </c>
    </row>
    <row r="3810" spans="2:8">
      <c r="B3810" t="s">
        <v>1303</v>
      </c>
      <c r="C3810" t="s">
        <v>1493</v>
      </c>
      <c r="D3810" s="6" t="s">
        <v>475</v>
      </c>
      <c r="E3810" s="1">
        <v>0</v>
      </c>
      <c r="G3810" s="2">
        <f t="shared" si="59"/>
        <v>0</v>
      </c>
      <c r="H3810" s="2">
        <v>0</v>
      </c>
    </row>
    <row r="3811" spans="2:8">
      <c r="B3811" t="s">
        <v>1303</v>
      </c>
      <c r="C3811" t="s">
        <v>1493</v>
      </c>
      <c r="D3811" s="7" t="s">
        <v>476</v>
      </c>
      <c r="E3811" s="1">
        <v>0</v>
      </c>
      <c r="G3811" s="2">
        <f t="shared" si="59"/>
        <v>0</v>
      </c>
      <c r="H3811" s="2">
        <v>0</v>
      </c>
    </row>
    <row r="3812" spans="2:8">
      <c r="B3812" t="s">
        <v>1303</v>
      </c>
      <c r="C3812" t="s">
        <v>1493</v>
      </c>
      <c r="D3812" s="8" t="s">
        <v>477</v>
      </c>
      <c r="E3812" s="1">
        <v>0</v>
      </c>
      <c r="G3812" s="2">
        <f t="shared" si="59"/>
        <v>0</v>
      </c>
      <c r="H3812" s="2">
        <v>0</v>
      </c>
    </row>
    <row r="3813" spans="2:8">
      <c r="B3813" t="s">
        <v>1303</v>
      </c>
      <c r="C3813" t="s">
        <v>1493</v>
      </c>
      <c r="D3813" s="9" t="s">
        <v>478</v>
      </c>
      <c r="E3813" s="1">
        <v>0</v>
      </c>
      <c r="G3813" s="2">
        <f t="shared" si="59"/>
        <v>0</v>
      </c>
      <c r="H3813" s="2">
        <v>0</v>
      </c>
    </row>
    <row r="3814" spans="2:8">
      <c r="B3814" t="s">
        <v>1303</v>
      </c>
      <c r="C3814" t="s">
        <v>1493</v>
      </c>
      <c r="D3814" s="10" t="s">
        <v>479</v>
      </c>
      <c r="E3814" s="1">
        <v>0</v>
      </c>
      <c r="G3814" s="2">
        <f t="shared" si="59"/>
        <v>0</v>
      </c>
      <c r="H3814" s="2">
        <v>0</v>
      </c>
    </row>
    <row r="3815" spans="2:8">
      <c r="B3815" t="s">
        <v>1303</v>
      </c>
      <c r="C3815" t="s">
        <v>1493</v>
      </c>
      <c r="D3815" s="11" t="s">
        <v>480</v>
      </c>
      <c r="E3815" s="1">
        <v>0</v>
      </c>
      <c r="G3815" s="2">
        <f t="shared" si="59"/>
        <v>0</v>
      </c>
      <c r="H3815" s="2">
        <v>0</v>
      </c>
    </row>
    <row r="3816" spans="2:8">
      <c r="B3816" t="s">
        <v>1303</v>
      </c>
      <c r="C3816" t="s">
        <v>1493</v>
      </c>
      <c r="D3816" s="13" t="s">
        <v>481</v>
      </c>
      <c r="E3816" s="1">
        <v>0</v>
      </c>
      <c r="G3816" s="2">
        <f t="shared" si="59"/>
        <v>0</v>
      </c>
      <c r="H3816" s="2">
        <v>0</v>
      </c>
    </row>
    <row r="3817" spans="2:8">
      <c r="B3817" t="s">
        <v>1303</v>
      </c>
      <c r="C3817" t="s">
        <v>1493</v>
      </c>
      <c r="D3817" s="12" t="s">
        <v>1033</v>
      </c>
      <c r="E3817" s="1">
        <v>0</v>
      </c>
      <c r="G3817" s="2">
        <f t="shared" si="59"/>
        <v>0</v>
      </c>
      <c r="H3817" s="2">
        <v>0</v>
      </c>
    </row>
    <row r="3818" spans="2:8">
      <c r="B3818" t="s">
        <v>1255</v>
      </c>
      <c r="C3818" t="s">
        <v>1494</v>
      </c>
      <c r="D3818" s="5" t="s">
        <v>474</v>
      </c>
      <c r="E3818" s="1">
        <v>0</v>
      </c>
      <c r="G3818" s="2">
        <f t="shared" si="59"/>
        <v>0</v>
      </c>
      <c r="H3818" s="2">
        <v>0</v>
      </c>
    </row>
    <row r="3819" spans="2:8">
      <c r="B3819" t="s">
        <v>1255</v>
      </c>
      <c r="C3819" t="s">
        <v>1494</v>
      </c>
      <c r="D3819" s="6" t="s">
        <v>475</v>
      </c>
      <c r="E3819" s="1">
        <v>0</v>
      </c>
      <c r="G3819" s="2">
        <f t="shared" si="59"/>
        <v>0</v>
      </c>
      <c r="H3819" s="2">
        <v>0</v>
      </c>
    </row>
    <row r="3820" spans="2:8">
      <c r="B3820" t="s">
        <v>1255</v>
      </c>
      <c r="C3820" t="s">
        <v>1494</v>
      </c>
      <c r="D3820" s="7" t="s">
        <v>476</v>
      </c>
      <c r="E3820" s="1">
        <v>0</v>
      </c>
      <c r="G3820" s="2">
        <f t="shared" si="59"/>
        <v>0</v>
      </c>
      <c r="H3820" s="2">
        <v>0</v>
      </c>
    </row>
    <row r="3821" spans="2:8">
      <c r="B3821" t="s">
        <v>1255</v>
      </c>
      <c r="C3821" t="s">
        <v>1494</v>
      </c>
      <c r="D3821" s="8" t="s">
        <v>477</v>
      </c>
      <c r="E3821" s="1">
        <v>0</v>
      </c>
      <c r="G3821" s="2">
        <f t="shared" si="59"/>
        <v>0</v>
      </c>
      <c r="H3821" s="2">
        <v>0</v>
      </c>
    </row>
    <row r="3822" spans="2:8">
      <c r="B3822" t="s">
        <v>1255</v>
      </c>
      <c r="C3822" t="s">
        <v>1494</v>
      </c>
      <c r="D3822" s="9" t="s">
        <v>478</v>
      </c>
      <c r="E3822" s="1">
        <v>0</v>
      </c>
      <c r="G3822" s="2">
        <f t="shared" si="59"/>
        <v>0</v>
      </c>
      <c r="H3822" s="2">
        <v>0</v>
      </c>
    </row>
    <row r="3823" spans="2:8">
      <c r="B3823" t="s">
        <v>1255</v>
      </c>
      <c r="C3823" t="s">
        <v>1494</v>
      </c>
      <c r="D3823" s="10" t="s">
        <v>479</v>
      </c>
      <c r="E3823" s="1">
        <v>0</v>
      </c>
      <c r="G3823" s="2">
        <f t="shared" si="59"/>
        <v>0</v>
      </c>
      <c r="H3823" s="2">
        <v>0</v>
      </c>
    </row>
    <row r="3824" spans="2:8">
      <c r="B3824" t="s">
        <v>1255</v>
      </c>
      <c r="C3824" t="s">
        <v>1494</v>
      </c>
      <c r="D3824" s="11" t="s">
        <v>480</v>
      </c>
      <c r="E3824" s="1">
        <v>0</v>
      </c>
      <c r="G3824" s="2">
        <f t="shared" si="59"/>
        <v>0</v>
      </c>
      <c r="H3824" s="2">
        <v>0</v>
      </c>
    </row>
    <row r="3825" spans="2:8">
      <c r="B3825" t="s">
        <v>1255</v>
      </c>
      <c r="C3825" t="s">
        <v>1494</v>
      </c>
      <c r="D3825" s="13" t="s">
        <v>481</v>
      </c>
      <c r="E3825" s="1">
        <v>0</v>
      </c>
      <c r="G3825" s="2">
        <f t="shared" si="59"/>
        <v>0</v>
      </c>
      <c r="H3825" s="2">
        <v>0</v>
      </c>
    </row>
    <row r="3826" spans="2:8">
      <c r="B3826" t="s">
        <v>1255</v>
      </c>
      <c r="C3826" t="s">
        <v>1494</v>
      </c>
      <c r="D3826" s="12" t="s">
        <v>1033</v>
      </c>
      <c r="E3826" s="1">
        <v>0</v>
      </c>
      <c r="G3826" s="2">
        <f t="shared" si="59"/>
        <v>0</v>
      </c>
      <c r="H3826" s="2">
        <v>0</v>
      </c>
    </row>
    <row r="3827" spans="2:8">
      <c r="B3827" t="s">
        <v>1259</v>
      </c>
      <c r="C3827" t="s">
        <v>1495</v>
      </c>
      <c r="D3827" s="5" t="s">
        <v>474</v>
      </c>
      <c r="E3827" s="1">
        <v>0</v>
      </c>
      <c r="G3827" s="2">
        <f t="shared" si="59"/>
        <v>0</v>
      </c>
      <c r="H3827" s="2">
        <v>0</v>
      </c>
    </row>
    <row r="3828" spans="2:8">
      <c r="B3828" t="s">
        <v>1259</v>
      </c>
      <c r="C3828" t="s">
        <v>1495</v>
      </c>
      <c r="D3828" s="6" t="s">
        <v>475</v>
      </c>
      <c r="E3828" s="1">
        <v>0</v>
      </c>
      <c r="G3828" s="2">
        <f t="shared" si="59"/>
        <v>0</v>
      </c>
      <c r="H3828" s="2">
        <v>0</v>
      </c>
    </row>
    <row r="3829" spans="2:8">
      <c r="B3829" t="s">
        <v>1259</v>
      </c>
      <c r="C3829" t="s">
        <v>1495</v>
      </c>
      <c r="D3829" s="7" t="s">
        <v>476</v>
      </c>
      <c r="E3829" s="1">
        <v>0</v>
      </c>
      <c r="G3829" s="2">
        <f t="shared" si="59"/>
        <v>0</v>
      </c>
      <c r="H3829" s="2">
        <v>0</v>
      </c>
    </row>
    <row r="3830" spans="2:8">
      <c r="B3830" t="s">
        <v>1259</v>
      </c>
      <c r="C3830" t="s">
        <v>1495</v>
      </c>
      <c r="D3830" s="8" t="s">
        <v>477</v>
      </c>
      <c r="E3830" s="1">
        <v>0</v>
      </c>
      <c r="G3830" s="2">
        <f t="shared" si="59"/>
        <v>0</v>
      </c>
      <c r="H3830" s="2">
        <v>0</v>
      </c>
    </row>
    <row r="3831" spans="2:8">
      <c r="B3831" t="s">
        <v>1259</v>
      </c>
      <c r="C3831" t="s">
        <v>1495</v>
      </c>
      <c r="D3831" s="9" t="s">
        <v>478</v>
      </c>
      <c r="E3831" s="1">
        <v>0</v>
      </c>
      <c r="G3831" s="2">
        <f t="shared" si="59"/>
        <v>0</v>
      </c>
      <c r="H3831" s="2">
        <v>0</v>
      </c>
    </row>
    <row r="3832" spans="2:8">
      <c r="B3832" t="s">
        <v>1259</v>
      </c>
      <c r="C3832" t="s">
        <v>1495</v>
      </c>
      <c r="D3832" s="10" t="s">
        <v>479</v>
      </c>
      <c r="E3832" s="1">
        <v>0</v>
      </c>
      <c r="G3832" s="2">
        <f t="shared" si="59"/>
        <v>0</v>
      </c>
      <c r="H3832" s="2">
        <v>0</v>
      </c>
    </row>
    <row r="3833" spans="2:8">
      <c r="B3833" t="s">
        <v>1259</v>
      </c>
      <c r="C3833" t="s">
        <v>1495</v>
      </c>
      <c r="D3833" s="11" t="s">
        <v>480</v>
      </c>
      <c r="E3833" s="1">
        <v>0</v>
      </c>
      <c r="G3833" s="2">
        <f t="shared" si="59"/>
        <v>0</v>
      </c>
      <c r="H3833" s="2">
        <v>0</v>
      </c>
    </row>
    <row r="3834" spans="2:8">
      <c r="B3834" t="s">
        <v>1259</v>
      </c>
      <c r="C3834" t="s">
        <v>1495</v>
      </c>
      <c r="D3834" s="13" t="s">
        <v>481</v>
      </c>
      <c r="E3834" s="1">
        <v>0</v>
      </c>
      <c r="G3834" s="2">
        <f t="shared" si="59"/>
        <v>0</v>
      </c>
      <c r="H3834" s="2">
        <v>0</v>
      </c>
    </row>
    <row r="3835" spans="2:8">
      <c r="B3835" t="s">
        <v>1259</v>
      </c>
      <c r="C3835" t="s">
        <v>1495</v>
      </c>
      <c r="D3835" s="12" t="s">
        <v>1033</v>
      </c>
      <c r="E3835" s="1">
        <v>0</v>
      </c>
      <c r="G3835" s="2">
        <f t="shared" si="59"/>
        <v>0</v>
      </c>
      <c r="H3835" s="2">
        <v>0</v>
      </c>
    </row>
    <row r="3836" spans="2:8">
      <c r="B3836" t="s">
        <v>1290</v>
      </c>
      <c r="C3836" t="s">
        <v>1553</v>
      </c>
      <c r="D3836" s="5" t="s">
        <v>474</v>
      </c>
      <c r="E3836" s="1">
        <v>0</v>
      </c>
      <c r="G3836" s="2">
        <f t="shared" si="59"/>
        <v>0</v>
      </c>
      <c r="H3836" s="2">
        <v>0</v>
      </c>
    </row>
    <row r="3837" spans="2:8">
      <c r="B3837" t="s">
        <v>1290</v>
      </c>
      <c r="C3837" t="s">
        <v>1553</v>
      </c>
      <c r="D3837" s="6" t="s">
        <v>475</v>
      </c>
      <c r="E3837" s="1">
        <v>0</v>
      </c>
      <c r="G3837" s="2">
        <f t="shared" si="59"/>
        <v>0</v>
      </c>
      <c r="H3837" s="2">
        <v>0</v>
      </c>
    </row>
    <row r="3838" spans="2:8">
      <c r="B3838" t="s">
        <v>1290</v>
      </c>
      <c r="C3838" t="s">
        <v>1553</v>
      </c>
      <c r="D3838" s="7" t="s">
        <v>476</v>
      </c>
      <c r="E3838" s="1">
        <v>0</v>
      </c>
      <c r="G3838" s="2">
        <f t="shared" si="59"/>
        <v>0</v>
      </c>
      <c r="H3838" s="2">
        <v>0</v>
      </c>
    </row>
    <row r="3839" spans="2:8">
      <c r="B3839" t="s">
        <v>1290</v>
      </c>
      <c r="C3839" t="s">
        <v>1553</v>
      </c>
      <c r="D3839" s="8" t="s">
        <v>477</v>
      </c>
      <c r="E3839" s="1">
        <v>0</v>
      </c>
      <c r="G3839" s="2">
        <f t="shared" si="59"/>
        <v>0</v>
      </c>
      <c r="H3839" s="2">
        <v>0</v>
      </c>
    </row>
    <row r="3840" spans="2:8">
      <c r="B3840" t="s">
        <v>1290</v>
      </c>
      <c r="C3840" t="s">
        <v>1553</v>
      </c>
      <c r="D3840" s="9" t="s">
        <v>478</v>
      </c>
      <c r="E3840" s="1">
        <v>0</v>
      </c>
      <c r="G3840" s="2">
        <f t="shared" si="59"/>
        <v>0</v>
      </c>
      <c r="H3840" s="2">
        <v>0</v>
      </c>
    </row>
    <row r="3841" spans="2:8">
      <c r="B3841" t="s">
        <v>1290</v>
      </c>
      <c r="C3841" t="s">
        <v>1553</v>
      </c>
      <c r="D3841" s="10" t="s">
        <v>479</v>
      </c>
      <c r="E3841" s="1">
        <v>0</v>
      </c>
      <c r="G3841" s="2">
        <f t="shared" si="59"/>
        <v>0</v>
      </c>
      <c r="H3841" s="2">
        <v>0</v>
      </c>
    </row>
    <row r="3842" spans="2:8">
      <c r="B3842" t="s">
        <v>1290</v>
      </c>
      <c r="C3842" t="s">
        <v>1553</v>
      </c>
      <c r="D3842" s="11" t="s">
        <v>480</v>
      </c>
      <c r="E3842" s="1">
        <v>0</v>
      </c>
      <c r="G3842" s="2">
        <f t="shared" ref="G3842:G3905" si="60">E3842*F3842</f>
        <v>0</v>
      </c>
      <c r="H3842" s="2">
        <v>0</v>
      </c>
    </row>
    <row r="3843" spans="2:8">
      <c r="B3843" t="s">
        <v>1290</v>
      </c>
      <c r="C3843" t="s">
        <v>1553</v>
      </c>
      <c r="D3843" s="13" t="s">
        <v>481</v>
      </c>
      <c r="E3843" s="1">
        <v>0</v>
      </c>
      <c r="G3843" s="2">
        <f t="shared" si="60"/>
        <v>0</v>
      </c>
      <c r="H3843" s="2">
        <v>0</v>
      </c>
    </row>
    <row r="3844" spans="2:8">
      <c r="B3844" t="s">
        <v>1290</v>
      </c>
      <c r="C3844" t="s">
        <v>1553</v>
      </c>
      <c r="D3844" s="12" t="s">
        <v>1033</v>
      </c>
      <c r="E3844" s="1">
        <v>0</v>
      </c>
      <c r="G3844" s="2">
        <f t="shared" si="60"/>
        <v>0</v>
      </c>
      <c r="H3844" s="2">
        <v>0</v>
      </c>
    </row>
    <row r="3845" spans="2:8">
      <c r="B3845" t="s">
        <v>1294</v>
      </c>
      <c r="C3845" t="s">
        <v>1496</v>
      </c>
      <c r="D3845" s="5" t="s">
        <v>474</v>
      </c>
      <c r="E3845" s="1">
        <v>0</v>
      </c>
      <c r="G3845" s="2">
        <f t="shared" si="60"/>
        <v>0</v>
      </c>
      <c r="H3845" s="2">
        <v>0</v>
      </c>
    </row>
    <row r="3846" spans="2:8">
      <c r="B3846" t="s">
        <v>1294</v>
      </c>
      <c r="C3846" t="s">
        <v>1496</v>
      </c>
      <c r="D3846" s="6" t="s">
        <v>475</v>
      </c>
      <c r="E3846" s="1">
        <v>0</v>
      </c>
      <c r="G3846" s="2">
        <f t="shared" si="60"/>
        <v>0</v>
      </c>
      <c r="H3846" s="2">
        <v>0</v>
      </c>
    </row>
    <row r="3847" spans="2:8">
      <c r="B3847" t="s">
        <v>1294</v>
      </c>
      <c r="C3847" t="s">
        <v>1496</v>
      </c>
      <c r="D3847" s="7" t="s">
        <v>476</v>
      </c>
      <c r="E3847" s="1">
        <v>0</v>
      </c>
      <c r="G3847" s="2">
        <f t="shared" si="60"/>
        <v>0</v>
      </c>
      <c r="H3847" s="2">
        <v>0</v>
      </c>
    </row>
    <row r="3848" spans="2:8">
      <c r="B3848" t="s">
        <v>1294</v>
      </c>
      <c r="C3848" t="s">
        <v>1496</v>
      </c>
      <c r="D3848" s="8" t="s">
        <v>477</v>
      </c>
      <c r="E3848" s="1">
        <v>0</v>
      </c>
      <c r="G3848" s="2">
        <f t="shared" si="60"/>
        <v>0</v>
      </c>
      <c r="H3848" s="2">
        <v>0</v>
      </c>
    </row>
    <row r="3849" spans="2:8">
      <c r="B3849" t="s">
        <v>1294</v>
      </c>
      <c r="C3849" t="s">
        <v>1496</v>
      </c>
      <c r="D3849" s="9" t="s">
        <v>478</v>
      </c>
      <c r="E3849" s="1">
        <v>0</v>
      </c>
      <c r="G3849" s="2">
        <f t="shared" si="60"/>
        <v>0</v>
      </c>
      <c r="H3849" s="2">
        <v>0</v>
      </c>
    </row>
    <row r="3850" spans="2:8">
      <c r="B3850" t="s">
        <v>1294</v>
      </c>
      <c r="C3850" t="s">
        <v>1496</v>
      </c>
      <c r="D3850" s="10" t="s">
        <v>479</v>
      </c>
      <c r="E3850" s="1">
        <v>0</v>
      </c>
      <c r="G3850" s="2">
        <f t="shared" si="60"/>
        <v>0</v>
      </c>
      <c r="H3850" s="2">
        <v>0</v>
      </c>
    </row>
    <row r="3851" spans="2:8">
      <c r="B3851" t="s">
        <v>1294</v>
      </c>
      <c r="C3851" t="s">
        <v>1496</v>
      </c>
      <c r="D3851" s="11" t="s">
        <v>480</v>
      </c>
      <c r="E3851" s="1">
        <v>0</v>
      </c>
      <c r="G3851" s="2">
        <f t="shared" si="60"/>
        <v>0</v>
      </c>
      <c r="H3851" s="2">
        <v>0</v>
      </c>
    </row>
    <row r="3852" spans="2:8">
      <c r="B3852" t="s">
        <v>1294</v>
      </c>
      <c r="C3852" t="s">
        <v>1496</v>
      </c>
      <c r="D3852" s="13" t="s">
        <v>481</v>
      </c>
      <c r="E3852" s="1">
        <v>0</v>
      </c>
      <c r="G3852" s="2">
        <f t="shared" si="60"/>
        <v>0</v>
      </c>
      <c r="H3852" s="2">
        <v>0</v>
      </c>
    </row>
    <row r="3853" spans="2:8">
      <c r="B3853" t="s">
        <v>1294</v>
      </c>
      <c r="C3853" t="s">
        <v>1496</v>
      </c>
      <c r="D3853" s="12" t="s">
        <v>1033</v>
      </c>
      <c r="E3853" s="1">
        <v>0</v>
      </c>
      <c r="G3853" s="2">
        <f t="shared" si="60"/>
        <v>0</v>
      </c>
      <c r="H3853" s="2">
        <v>0</v>
      </c>
    </row>
    <row r="3854" spans="2:8">
      <c r="B3854" t="s">
        <v>1258</v>
      </c>
      <c r="C3854" t="s">
        <v>1497</v>
      </c>
      <c r="D3854" s="5" t="s">
        <v>474</v>
      </c>
      <c r="E3854" s="1">
        <v>0</v>
      </c>
      <c r="G3854" s="2">
        <f t="shared" si="60"/>
        <v>0</v>
      </c>
      <c r="H3854" s="2">
        <v>0</v>
      </c>
    </row>
    <row r="3855" spans="2:8">
      <c r="B3855" t="s">
        <v>1258</v>
      </c>
      <c r="C3855" t="s">
        <v>1497</v>
      </c>
      <c r="D3855" s="6" t="s">
        <v>475</v>
      </c>
      <c r="E3855" s="1">
        <v>0</v>
      </c>
      <c r="G3855" s="2">
        <f t="shared" si="60"/>
        <v>0</v>
      </c>
      <c r="H3855" s="2">
        <v>0</v>
      </c>
    </row>
    <row r="3856" spans="2:8">
      <c r="B3856" t="s">
        <v>1258</v>
      </c>
      <c r="C3856" t="s">
        <v>1497</v>
      </c>
      <c r="D3856" s="7" t="s">
        <v>476</v>
      </c>
      <c r="E3856" s="1">
        <v>0</v>
      </c>
      <c r="G3856" s="2">
        <f t="shared" si="60"/>
        <v>0</v>
      </c>
      <c r="H3856" s="2">
        <v>0</v>
      </c>
    </row>
    <row r="3857" spans="2:8">
      <c r="B3857" t="s">
        <v>1258</v>
      </c>
      <c r="C3857" t="s">
        <v>1497</v>
      </c>
      <c r="D3857" s="8" t="s">
        <v>477</v>
      </c>
      <c r="E3857" s="1">
        <v>0</v>
      </c>
      <c r="G3857" s="2">
        <f t="shared" si="60"/>
        <v>0</v>
      </c>
      <c r="H3857" s="2">
        <v>0</v>
      </c>
    </row>
    <row r="3858" spans="2:8">
      <c r="B3858" t="s">
        <v>1258</v>
      </c>
      <c r="C3858" t="s">
        <v>1497</v>
      </c>
      <c r="D3858" s="9" t="s">
        <v>478</v>
      </c>
      <c r="E3858" s="1">
        <v>0</v>
      </c>
      <c r="G3858" s="2">
        <f t="shared" si="60"/>
        <v>0</v>
      </c>
      <c r="H3858" s="2">
        <v>0</v>
      </c>
    </row>
    <row r="3859" spans="2:8">
      <c r="B3859" t="s">
        <v>1258</v>
      </c>
      <c r="C3859" t="s">
        <v>1497</v>
      </c>
      <c r="D3859" s="10" t="s">
        <v>479</v>
      </c>
      <c r="E3859" s="1">
        <v>0</v>
      </c>
      <c r="G3859" s="2">
        <f t="shared" si="60"/>
        <v>0</v>
      </c>
      <c r="H3859" s="2">
        <v>0</v>
      </c>
    </row>
    <row r="3860" spans="2:8">
      <c r="B3860" t="s">
        <v>1258</v>
      </c>
      <c r="C3860" t="s">
        <v>1497</v>
      </c>
      <c r="D3860" s="11" t="s">
        <v>480</v>
      </c>
      <c r="E3860" s="1">
        <v>0</v>
      </c>
      <c r="G3860" s="2">
        <f t="shared" si="60"/>
        <v>0</v>
      </c>
      <c r="H3860" s="2">
        <v>0</v>
      </c>
    </row>
    <row r="3861" spans="2:8">
      <c r="B3861" t="s">
        <v>1258</v>
      </c>
      <c r="C3861" t="s">
        <v>1497</v>
      </c>
      <c r="D3861" s="13" t="s">
        <v>481</v>
      </c>
      <c r="E3861" s="1">
        <v>0</v>
      </c>
      <c r="G3861" s="2">
        <f t="shared" si="60"/>
        <v>0</v>
      </c>
      <c r="H3861" s="2">
        <v>0</v>
      </c>
    </row>
    <row r="3862" spans="2:8">
      <c r="B3862" t="s">
        <v>1258</v>
      </c>
      <c r="C3862" t="s">
        <v>1497</v>
      </c>
      <c r="D3862" s="12" t="s">
        <v>1033</v>
      </c>
      <c r="E3862" s="1">
        <v>0</v>
      </c>
      <c r="G3862" s="2">
        <f t="shared" si="60"/>
        <v>0</v>
      </c>
      <c r="H3862" s="2">
        <v>0</v>
      </c>
    </row>
    <row r="3863" spans="2:8">
      <c r="B3863" t="s">
        <v>1238</v>
      </c>
      <c r="C3863" t="s">
        <v>1498</v>
      </c>
      <c r="D3863" s="5" t="s">
        <v>474</v>
      </c>
      <c r="E3863" s="1">
        <v>0</v>
      </c>
      <c r="G3863" s="2">
        <f t="shared" si="60"/>
        <v>0</v>
      </c>
      <c r="H3863" s="2">
        <v>0</v>
      </c>
    </row>
    <row r="3864" spans="2:8">
      <c r="B3864" t="s">
        <v>1238</v>
      </c>
      <c r="C3864" t="s">
        <v>1498</v>
      </c>
      <c r="D3864" s="6" t="s">
        <v>475</v>
      </c>
      <c r="E3864" s="1">
        <v>0</v>
      </c>
      <c r="G3864" s="2">
        <f t="shared" si="60"/>
        <v>0</v>
      </c>
      <c r="H3864" s="2">
        <v>0</v>
      </c>
    </row>
    <row r="3865" spans="2:8">
      <c r="B3865" t="s">
        <v>1238</v>
      </c>
      <c r="C3865" t="s">
        <v>1498</v>
      </c>
      <c r="D3865" s="7" t="s">
        <v>476</v>
      </c>
      <c r="E3865" s="1">
        <v>0</v>
      </c>
      <c r="G3865" s="2">
        <f t="shared" si="60"/>
        <v>0</v>
      </c>
      <c r="H3865" s="2">
        <v>0</v>
      </c>
    </row>
    <row r="3866" spans="2:8">
      <c r="B3866" t="s">
        <v>1238</v>
      </c>
      <c r="C3866" t="s">
        <v>1498</v>
      </c>
      <c r="D3866" s="8" t="s">
        <v>477</v>
      </c>
      <c r="E3866" s="1">
        <v>0</v>
      </c>
      <c r="G3866" s="2">
        <f t="shared" si="60"/>
        <v>0</v>
      </c>
      <c r="H3866" s="2">
        <v>0</v>
      </c>
    </row>
    <row r="3867" spans="2:8">
      <c r="B3867" t="s">
        <v>1238</v>
      </c>
      <c r="C3867" t="s">
        <v>1498</v>
      </c>
      <c r="D3867" s="9" t="s">
        <v>478</v>
      </c>
      <c r="E3867" s="1">
        <v>0</v>
      </c>
      <c r="G3867" s="2">
        <f t="shared" si="60"/>
        <v>0</v>
      </c>
      <c r="H3867" s="2">
        <v>0</v>
      </c>
    </row>
    <row r="3868" spans="2:8">
      <c r="B3868" t="s">
        <v>1238</v>
      </c>
      <c r="C3868" t="s">
        <v>1498</v>
      </c>
      <c r="D3868" s="10" t="s">
        <v>479</v>
      </c>
      <c r="E3868" s="1">
        <v>0</v>
      </c>
      <c r="G3868" s="2">
        <f t="shared" si="60"/>
        <v>0</v>
      </c>
      <c r="H3868" s="2">
        <v>0</v>
      </c>
    </row>
    <row r="3869" spans="2:8">
      <c r="B3869" t="s">
        <v>1238</v>
      </c>
      <c r="C3869" t="s">
        <v>1498</v>
      </c>
      <c r="D3869" s="11" t="s">
        <v>480</v>
      </c>
      <c r="E3869" s="1">
        <v>0</v>
      </c>
      <c r="G3869" s="2">
        <f t="shared" si="60"/>
        <v>0</v>
      </c>
      <c r="H3869" s="2">
        <v>0</v>
      </c>
    </row>
    <row r="3870" spans="2:8">
      <c r="B3870" t="s">
        <v>1238</v>
      </c>
      <c r="C3870" t="s">
        <v>1498</v>
      </c>
      <c r="D3870" s="13" t="s">
        <v>481</v>
      </c>
      <c r="E3870" s="1">
        <v>0</v>
      </c>
      <c r="G3870" s="2">
        <f t="shared" si="60"/>
        <v>0</v>
      </c>
      <c r="H3870" s="2">
        <v>0</v>
      </c>
    </row>
    <row r="3871" spans="2:8">
      <c r="B3871" t="s">
        <v>1238</v>
      </c>
      <c r="C3871" t="s">
        <v>1498</v>
      </c>
      <c r="D3871" s="12" t="s">
        <v>1033</v>
      </c>
      <c r="E3871" s="1">
        <v>0</v>
      </c>
      <c r="G3871" s="2">
        <f t="shared" si="60"/>
        <v>0</v>
      </c>
      <c r="H3871" s="2">
        <v>0</v>
      </c>
    </row>
    <row r="3872" spans="2:8">
      <c r="B3872" t="s">
        <v>1256</v>
      </c>
      <c r="C3872" t="s">
        <v>1499</v>
      </c>
      <c r="D3872" s="5" t="s">
        <v>474</v>
      </c>
      <c r="E3872" s="1">
        <v>0</v>
      </c>
      <c r="G3872" s="2">
        <f t="shared" si="60"/>
        <v>0</v>
      </c>
      <c r="H3872" s="2">
        <v>0</v>
      </c>
    </row>
    <row r="3873" spans="2:8">
      <c r="B3873" t="s">
        <v>1256</v>
      </c>
      <c r="C3873" t="s">
        <v>1499</v>
      </c>
      <c r="D3873" s="6" t="s">
        <v>475</v>
      </c>
      <c r="E3873" s="1">
        <v>0</v>
      </c>
      <c r="G3873" s="2">
        <f t="shared" si="60"/>
        <v>0</v>
      </c>
      <c r="H3873" s="2">
        <v>0</v>
      </c>
    </row>
    <row r="3874" spans="2:8">
      <c r="B3874" t="s">
        <v>1256</v>
      </c>
      <c r="C3874" t="s">
        <v>1499</v>
      </c>
      <c r="D3874" s="7" t="s">
        <v>476</v>
      </c>
      <c r="E3874" s="1">
        <v>0</v>
      </c>
      <c r="G3874" s="2">
        <f t="shared" si="60"/>
        <v>0</v>
      </c>
      <c r="H3874" s="2">
        <v>0</v>
      </c>
    </row>
    <row r="3875" spans="2:8">
      <c r="B3875" t="s">
        <v>1256</v>
      </c>
      <c r="C3875" t="s">
        <v>1499</v>
      </c>
      <c r="D3875" s="8" t="s">
        <v>477</v>
      </c>
      <c r="E3875" s="1">
        <v>0</v>
      </c>
      <c r="G3875" s="2">
        <f t="shared" si="60"/>
        <v>0</v>
      </c>
      <c r="H3875" s="2">
        <v>0</v>
      </c>
    </row>
    <row r="3876" spans="2:8">
      <c r="B3876" t="s">
        <v>1256</v>
      </c>
      <c r="C3876" t="s">
        <v>1499</v>
      </c>
      <c r="D3876" s="9" t="s">
        <v>478</v>
      </c>
      <c r="E3876" s="1">
        <v>0</v>
      </c>
      <c r="G3876" s="2">
        <f t="shared" si="60"/>
        <v>0</v>
      </c>
      <c r="H3876" s="2">
        <v>0</v>
      </c>
    </row>
    <row r="3877" spans="2:8">
      <c r="B3877" t="s">
        <v>1256</v>
      </c>
      <c r="C3877" t="s">
        <v>1499</v>
      </c>
      <c r="D3877" s="10" t="s">
        <v>479</v>
      </c>
      <c r="E3877" s="1">
        <v>0</v>
      </c>
      <c r="G3877" s="2">
        <f t="shared" si="60"/>
        <v>0</v>
      </c>
      <c r="H3877" s="2">
        <v>0</v>
      </c>
    </row>
    <row r="3878" spans="2:8">
      <c r="B3878" t="s">
        <v>1256</v>
      </c>
      <c r="C3878" t="s">
        <v>1499</v>
      </c>
      <c r="D3878" s="11" t="s">
        <v>480</v>
      </c>
      <c r="E3878" s="1">
        <v>0</v>
      </c>
      <c r="G3878" s="2">
        <f t="shared" si="60"/>
        <v>0</v>
      </c>
      <c r="H3878" s="2">
        <v>0</v>
      </c>
    </row>
    <row r="3879" spans="2:8">
      <c r="B3879" t="s">
        <v>1256</v>
      </c>
      <c r="C3879" t="s">
        <v>1499</v>
      </c>
      <c r="D3879" s="13" t="s">
        <v>481</v>
      </c>
      <c r="E3879" s="1">
        <v>0</v>
      </c>
      <c r="G3879" s="2">
        <f t="shared" si="60"/>
        <v>0</v>
      </c>
      <c r="H3879" s="2">
        <v>0</v>
      </c>
    </row>
    <row r="3880" spans="2:8">
      <c r="B3880" t="s">
        <v>1256</v>
      </c>
      <c r="C3880" t="s">
        <v>1499</v>
      </c>
      <c r="D3880" s="12" t="s">
        <v>1033</v>
      </c>
      <c r="E3880" s="1">
        <v>0</v>
      </c>
      <c r="G3880" s="2">
        <f t="shared" si="60"/>
        <v>0</v>
      </c>
      <c r="H3880" s="2">
        <v>0</v>
      </c>
    </row>
    <row r="3881" spans="2:8">
      <c r="B3881" t="s">
        <v>1240</v>
      </c>
      <c r="C3881" t="s">
        <v>1500</v>
      </c>
      <c r="D3881" s="5" t="s">
        <v>474</v>
      </c>
      <c r="E3881" s="1">
        <v>0</v>
      </c>
      <c r="G3881" s="2">
        <f t="shared" si="60"/>
        <v>0</v>
      </c>
      <c r="H3881" s="2">
        <v>0</v>
      </c>
    </row>
    <row r="3882" spans="2:8">
      <c r="B3882" t="s">
        <v>1240</v>
      </c>
      <c r="C3882" t="s">
        <v>1500</v>
      </c>
      <c r="D3882" s="6" t="s">
        <v>475</v>
      </c>
      <c r="E3882" s="1">
        <v>0</v>
      </c>
      <c r="G3882" s="2">
        <f t="shared" si="60"/>
        <v>0</v>
      </c>
      <c r="H3882" s="2">
        <v>0</v>
      </c>
    </row>
    <row r="3883" spans="2:8">
      <c r="B3883" t="s">
        <v>1240</v>
      </c>
      <c r="C3883" t="s">
        <v>1500</v>
      </c>
      <c r="D3883" s="7" t="s">
        <v>476</v>
      </c>
      <c r="E3883" s="1">
        <v>0</v>
      </c>
      <c r="G3883" s="2">
        <f t="shared" si="60"/>
        <v>0</v>
      </c>
      <c r="H3883" s="2">
        <v>0</v>
      </c>
    </row>
    <row r="3884" spans="2:8">
      <c r="B3884" t="s">
        <v>1240</v>
      </c>
      <c r="C3884" t="s">
        <v>1500</v>
      </c>
      <c r="D3884" s="8" t="s">
        <v>477</v>
      </c>
      <c r="E3884" s="1">
        <v>0</v>
      </c>
      <c r="G3884" s="2">
        <f t="shared" si="60"/>
        <v>0</v>
      </c>
      <c r="H3884" s="2">
        <v>0</v>
      </c>
    </row>
    <row r="3885" spans="2:8">
      <c r="B3885" t="s">
        <v>1240</v>
      </c>
      <c r="C3885" t="s">
        <v>1500</v>
      </c>
      <c r="D3885" s="9" t="s">
        <v>478</v>
      </c>
      <c r="E3885" s="1">
        <v>0</v>
      </c>
      <c r="G3885" s="2">
        <f t="shared" si="60"/>
        <v>0</v>
      </c>
      <c r="H3885" s="2">
        <v>0</v>
      </c>
    </row>
    <row r="3886" spans="2:8">
      <c r="B3886" t="s">
        <v>1240</v>
      </c>
      <c r="C3886" t="s">
        <v>1500</v>
      </c>
      <c r="D3886" s="10" t="s">
        <v>479</v>
      </c>
      <c r="E3886" s="1">
        <v>0</v>
      </c>
      <c r="G3886" s="2">
        <f t="shared" si="60"/>
        <v>0</v>
      </c>
      <c r="H3886" s="2">
        <v>0</v>
      </c>
    </row>
    <row r="3887" spans="2:8">
      <c r="B3887" t="s">
        <v>1240</v>
      </c>
      <c r="C3887" t="s">
        <v>1500</v>
      </c>
      <c r="D3887" s="11" t="s">
        <v>480</v>
      </c>
      <c r="E3887" s="1">
        <v>0</v>
      </c>
      <c r="G3887" s="2">
        <f t="shared" si="60"/>
        <v>0</v>
      </c>
      <c r="H3887" s="2">
        <v>0</v>
      </c>
    </row>
    <row r="3888" spans="2:8">
      <c r="B3888" t="s">
        <v>1240</v>
      </c>
      <c r="C3888" t="s">
        <v>1500</v>
      </c>
      <c r="D3888" s="13" t="s">
        <v>481</v>
      </c>
      <c r="E3888" s="1">
        <v>0</v>
      </c>
      <c r="G3888" s="2">
        <f t="shared" si="60"/>
        <v>0</v>
      </c>
      <c r="H3888" s="2">
        <v>0</v>
      </c>
    </row>
    <row r="3889" spans="2:8">
      <c r="B3889" t="s">
        <v>1240</v>
      </c>
      <c r="C3889" t="s">
        <v>1500</v>
      </c>
      <c r="D3889" s="12" t="s">
        <v>1033</v>
      </c>
      <c r="E3889" s="1">
        <v>0</v>
      </c>
      <c r="G3889" s="2">
        <f t="shared" si="60"/>
        <v>0</v>
      </c>
      <c r="H3889" s="2">
        <v>0</v>
      </c>
    </row>
    <row r="3890" spans="2:8">
      <c r="B3890" t="s">
        <v>1442</v>
      </c>
      <c r="C3890" t="s">
        <v>1501</v>
      </c>
      <c r="D3890" s="5" t="s">
        <v>474</v>
      </c>
      <c r="E3890" s="1">
        <v>0</v>
      </c>
      <c r="G3890" s="2">
        <f t="shared" si="60"/>
        <v>0</v>
      </c>
      <c r="H3890" s="2">
        <v>0</v>
      </c>
    </row>
    <row r="3891" spans="2:8">
      <c r="B3891" t="s">
        <v>1442</v>
      </c>
      <c r="C3891" t="s">
        <v>1501</v>
      </c>
      <c r="D3891" s="6" t="s">
        <v>475</v>
      </c>
      <c r="E3891" s="1">
        <v>0</v>
      </c>
      <c r="G3891" s="2">
        <f t="shared" si="60"/>
        <v>0</v>
      </c>
      <c r="H3891" s="2">
        <v>0</v>
      </c>
    </row>
    <row r="3892" spans="2:8">
      <c r="B3892" t="s">
        <v>1442</v>
      </c>
      <c r="C3892" t="s">
        <v>1501</v>
      </c>
      <c r="D3892" s="7" t="s">
        <v>476</v>
      </c>
      <c r="E3892" s="1">
        <v>0</v>
      </c>
      <c r="G3892" s="2">
        <f t="shared" si="60"/>
        <v>0</v>
      </c>
      <c r="H3892" s="2">
        <v>0</v>
      </c>
    </row>
    <row r="3893" spans="2:8">
      <c r="B3893" t="s">
        <v>1442</v>
      </c>
      <c r="C3893" t="s">
        <v>1501</v>
      </c>
      <c r="D3893" s="8" t="s">
        <v>477</v>
      </c>
      <c r="E3893" s="1">
        <v>0</v>
      </c>
      <c r="G3893" s="2">
        <f t="shared" si="60"/>
        <v>0</v>
      </c>
      <c r="H3893" s="2">
        <v>0</v>
      </c>
    </row>
    <row r="3894" spans="2:8">
      <c r="B3894" t="s">
        <v>1442</v>
      </c>
      <c r="C3894" t="s">
        <v>1501</v>
      </c>
      <c r="D3894" s="9" t="s">
        <v>478</v>
      </c>
      <c r="E3894" s="1">
        <v>0</v>
      </c>
      <c r="G3894" s="2">
        <f t="shared" si="60"/>
        <v>0</v>
      </c>
      <c r="H3894" s="2">
        <v>0</v>
      </c>
    </row>
    <row r="3895" spans="2:8">
      <c r="B3895" t="s">
        <v>1442</v>
      </c>
      <c r="C3895" t="s">
        <v>1501</v>
      </c>
      <c r="D3895" s="10" t="s">
        <v>479</v>
      </c>
      <c r="E3895" s="1">
        <v>0</v>
      </c>
      <c r="G3895" s="2">
        <f t="shared" si="60"/>
        <v>0</v>
      </c>
      <c r="H3895" s="2">
        <v>0</v>
      </c>
    </row>
    <row r="3896" spans="2:8">
      <c r="B3896" t="s">
        <v>1442</v>
      </c>
      <c r="C3896" t="s">
        <v>1501</v>
      </c>
      <c r="D3896" s="11" t="s">
        <v>480</v>
      </c>
      <c r="E3896" s="1">
        <v>0</v>
      </c>
      <c r="G3896" s="2">
        <f t="shared" si="60"/>
        <v>0</v>
      </c>
      <c r="H3896" s="2">
        <v>0</v>
      </c>
    </row>
    <row r="3897" spans="2:8">
      <c r="B3897" t="s">
        <v>1442</v>
      </c>
      <c r="C3897" t="s">
        <v>1501</v>
      </c>
      <c r="D3897" s="13" t="s">
        <v>481</v>
      </c>
      <c r="E3897" s="1">
        <v>0</v>
      </c>
      <c r="G3897" s="2">
        <f t="shared" si="60"/>
        <v>0</v>
      </c>
      <c r="H3897" s="2">
        <v>0</v>
      </c>
    </row>
    <row r="3898" spans="2:8">
      <c r="B3898" t="s">
        <v>1442</v>
      </c>
      <c r="C3898" t="s">
        <v>1501</v>
      </c>
      <c r="D3898" s="12" t="s">
        <v>1033</v>
      </c>
      <c r="E3898" s="1">
        <v>0</v>
      </c>
      <c r="G3898" s="2">
        <f t="shared" si="60"/>
        <v>0</v>
      </c>
      <c r="H3898" s="2">
        <v>0</v>
      </c>
    </row>
    <row r="3899" spans="2:8">
      <c r="B3899" t="s">
        <v>1234</v>
      </c>
      <c r="C3899" t="s">
        <v>1502</v>
      </c>
      <c r="D3899" s="5" t="s">
        <v>474</v>
      </c>
      <c r="E3899" s="1">
        <v>0</v>
      </c>
      <c r="G3899" s="2">
        <f t="shared" si="60"/>
        <v>0</v>
      </c>
      <c r="H3899" s="2">
        <v>0</v>
      </c>
    </row>
    <row r="3900" spans="2:8">
      <c r="B3900" t="s">
        <v>1234</v>
      </c>
      <c r="C3900" t="s">
        <v>1502</v>
      </c>
      <c r="D3900" s="6" t="s">
        <v>475</v>
      </c>
      <c r="E3900" s="1">
        <v>0</v>
      </c>
      <c r="G3900" s="2">
        <f t="shared" si="60"/>
        <v>0</v>
      </c>
      <c r="H3900" s="2">
        <v>0</v>
      </c>
    </row>
    <row r="3901" spans="2:8">
      <c r="B3901" t="s">
        <v>1234</v>
      </c>
      <c r="C3901" t="s">
        <v>1502</v>
      </c>
      <c r="D3901" s="7" t="s">
        <v>476</v>
      </c>
      <c r="E3901" s="1">
        <v>0</v>
      </c>
      <c r="G3901" s="2">
        <f t="shared" si="60"/>
        <v>0</v>
      </c>
      <c r="H3901" s="2">
        <v>0</v>
      </c>
    </row>
    <row r="3902" spans="2:8">
      <c r="B3902" t="s">
        <v>1234</v>
      </c>
      <c r="C3902" t="s">
        <v>1502</v>
      </c>
      <c r="D3902" s="8" t="s">
        <v>477</v>
      </c>
      <c r="E3902" s="1">
        <v>0</v>
      </c>
      <c r="G3902" s="2">
        <f t="shared" si="60"/>
        <v>0</v>
      </c>
      <c r="H3902" s="2">
        <v>0</v>
      </c>
    </row>
    <row r="3903" spans="2:8">
      <c r="B3903" t="s">
        <v>1234</v>
      </c>
      <c r="C3903" t="s">
        <v>1502</v>
      </c>
      <c r="D3903" s="9" t="s">
        <v>478</v>
      </c>
      <c r="E3903" s="1">
        <v>0</v>
      </c>
      <c r="G3903" s="2">
        <f t="shared" si="60"/>
        <v>0</v>
      </c>
      <c r="H3903" s="2">
        <v>0</v>
      </c>
    </row>
    <row r="3904" spans="2:8">
      <c r="B3904" t="s">
        <v>1234</v>
      </c>
      <c r="C3904" t="s">
        <v>1502</v>
      </c>
      <c r="D3904" s="10" t="s">
        <v>479</v>
      </c>
      <c r="E3904" s="1">
        <v>0</v>
      </c>
      <c r="G3904" s="2">
        <f t="shared" si="60"/>
        <v>0</v>
      </c>
      <c r="H3904" s="2">
        <v>0</v>
      </c>
    </row>
    <row r="3905" spans="2:8">
      <c r="B3905" t="s">
        <v>1234</v>
      </c>
      <c r="C3905" t="s">
        <v>1502</v>
      </c>
      <c r="D3905" s="11" t="s">
        <v>480</v>
      </c>
      <c r="E3905" s="1">
        <v>0</v>
      </c>
      <c r="G3905" s="2">
        <f t="shared" si="60"/>
        <v>0</v>
      </c>
      <c r="H3905" s="2">
        <v>0</v>
      </c>
    </row>
    <row r="3906" spans="2:8">
      <c r="B3906" t="s">
        <v>1234</v>
      </c>
      <c r="C3906" t="s">
        <v>1502</v>
      </c>
      <c r="D3906" s="13" t="s">
        <v>481</v>
      </c>
      <c r="E3906" s="1">
        <v>0</v>
      </c>
      <c r="G3906" s="2">
        <f t="shared" ref="G3906:G3969" si="61">E3906*F3906</f>
        <v>0</v>
      </c>
      <c r="H3906" s="2">
        <v>0</v>
      </c>
    </row>
    <row r="3907" spans="2:8">
      <c r="B3907" t="s">
        <v>1234</v>
      </c>
      <c r="C3907" t="s">
        <v>1502</v>
      </c>
      <c r="D3907" s="12" t="s">
        <v>1033</v>
      </c>
      <c r="E3907" s="1">
        <v>0</v>
      </c>
      <c r="G3907" s="2">
        <f t="shared" si="61"/>
        <v>0</v>
      </c>
      <c r="H3907" s="2">
        <v>0</v>
      </c>
    </row>
    <row r="3908" spans="2:8">
      <c r="B3908" t="s">
        <v>1287</v>
      </c>
      <c r="C3908" t="s">
        <v>1503</v>
      </c>
      <c r="D3908" s="5" t="s">
        <v>474</v>
      </c>
      <c r="E3908" s="1">
        <v>0</v>
      </c>
      <c r="G3908" s="2">
        <f t="shared" si="61"/>
        <v>0</v>
      </c>
      <c r="H3908" s="2">
        <v>0</v>
      </c>
    </row>
    <row r="3909" spans="2:8">
      <c r="B3909" t="s">
        <v>1287</v>
      </c>
      <c r="C3909" t="s">
        <v>1503</v>
      </c>
      <c r="D3909" s="6" t="s">
        <v>475</v>
      </c>
      <c r="E3909" s="1">
        <v>0</v>
      </c>
      <c r="G3909" s="2">
        <f t="shared" si="61"/>
        <v>0</v>
      </c>
      <c r="H3909" s="2">
        <v>0</v>
      </c>
    </row>
    <row r="3910" spans="2:8">
      <c r="B3910" t="s">
        <v>1287</v>
      </c>
      <c r="C3910" t="s">
        <v>1503</v>
      </c>
      <c r="D3910" s="7" t="s">
        <v>476</v>
      </c>
      <c r="E3910" s="1">
        <v>0</v>
      </c>
      <c r="G3910" s="2">
        <f t="shared" si="61"/>
        <v>0</v>
      </c>
      <c r="H3910" s="2">
        <v>0</v>
      </c>
    </row>
    <row r="3911" spans="2:8">
      <c r="B3911" t="s">
        <v>1287</v>
      </c>
      <c r="C3911" t="s">
        <v>1503</v>
      </c>
      <c r="D3911" s="8" t="s">
        <v>477</v>
      </c>
      <c r="E3911" s="1">
        <v>0</v>
      </c>
      <c r="G3911" s="2">
        <f t="shared" si="61"/>
        <v>0</v>
      </c>
      <c r="H3911" s="2">
        <v>0</v>
      </c>
    </row>
    <row r="3912" spans="2:8">
      <c r="B3912" t="s">
        <v>1287</v>
      </c>
      <c r="C3912" t="s">
        <v>1503</v>
      </c>
      <c r="D3912" s="9" t="s">
        <v>478</v>
      </c>
      <c r="E3912" s="1">
        <v>0</v>
      </c>
      <c r="G3912" s="2">
        <f t="shared" si="61"/>
        <v>0</v>
      </c>
      <c r="H3912" s="2">
        <v>0</v>
      </c>
    </row>
    <row r="3913" spans="2:8">
      <c r="B3913" t="s">
        <v>1287</v>
      </c>
      <c r="C3913" t="s">
        <v>1503</v>
      </c>
      <c r="D3913" s="10" t="s">
        <v>479</v>
      </c>
      <c r="E3913" s="1">
        <v>0</v>
      </c>
      <c r="G3913" s="2">
        <f t="shared" si="61"/>
        <v>0</v>
      </c>
      <c r="H3913" s="2">
        <v>0</v>
      </c>
    </row>
    <row r="3914" spans="2:8">
      <c r="B3914" t="s">
        <v>1287</v>
      </c>
      <c r="C3914" t="s">
        <v>1503</v>
      </c>
      <c r="D3914" s="11" t="s">
        <v>480</v>
      </c>
      <c r="E3914" s="1">
        <v>0</v>
      </c>
      <c r="G3914" s="2">
        <f t="shared" si="61"/>
        <v>0</v>
      </c>
      <c r="H3914" s="2">
        <v>0</v>
      </c>
    </row>
    <row r="3915" spans="2:8">
      <c r="B3915" t="s">
        <v>1287</v>
      </c>
      <c r="C3915" t="s">
        <v>1503</v>
      </c>
      <c r="D3915" s="13" t="s">
        <v>481</v>
      </c>
      <c r="E3915" s="1">
        <v>0</v>
      </c>
      <c r="G3915" s="2">
        <f t="shared" si="61"/>
        <v>0</v>
      </c>
      <c r="H3915" s="2">
        <v>0</v>
      </c>
    </row>
    <row r="3916" spans="2:8">
      <c r="B3916" t="s">
        <v>1287</v>
      </c>
      <c r="C3916" t="s">
        <v>1503</v>
      </c>
      <c r="D3916" s="12" t="s">
        <v>1033</v>
      </c>
      <c r="E3916" s="1">
        <v>0</v>
      </c>
      <c r="G3916" s="2">
        <f t="shared" si="61"/>
        <v>0</v>
      </c>
      <c r="H3916" s="2">
        <v>0</v>
      </c>
    </row>
    <row r="3917" spans="2:8">
      <c r="B3917" t="s">
        <v>1252</v>
      </c>
      <c r="C3917" t="s">
        <v>1555</v>
      </c>
      <c r="D3917" s="5" t="s">
        <v>474</v>
      </c>
      <c r="E3917" s="1">
        <v>0</v>
      </c>
      <c r="G3917" s="2">
        <f t="shared" si="61"/>
        <v>0</v>
      </c>
      <c r="H3917" s="2">
        <v>0</v>
      </c>
    </row>
    <row r="3918" spans="2:8">
      <c r="B3918" t="s">
        <v>1252</v>
      </c>
      <c r="C3918" t="s">
        <v>1555</v>
      </c>
      <c r="D3918" s="6" t="s">
        <v>475</v>
      </c>
      <c r="E3918" s="1">
        <v>0</v>
      </c>
      <c r="G3918" s="2">
        <f t="shared" si="61"/>
        <v>0</v>
      </c>
      <c r="H3918" s="2">
        <v>0</v>
      </c>
    </row>
    <row r="3919" spans="2:8">
      <c r="B3919" t="s">
        <v>1252</v>
      </c>
      <c r="C3919" t="s">
        <v>1555</v>
      </c>
      <c r="D3919" s="7" t="s">
        <v>476</v>
      </c>
      <c r="E3919" s="1">
        <v>0</v>
      </c>
      <c r="G3919" s="2">
        <f t="shared" si="61"/>
        <v>0</v>
      </c>
      <c r="H3919" s="2">
        <v>0</v>
      </c>
    </row>
    <row r="3920" spans="2:8">
      <c r="B3920" t="s">
        <v>1252</v>
      </c>
      <c r="C3920" t="s">
        <v>1555</v>
      </c>
      <c r="D3920" s="8" t="s">
        <v>477</v>
      </c>
      <c r="E3920" s="1">
        <v>0</v>
      </c>
      <c r="G3920" s="2">
        <f t="shared" si="61"/>
        <v>0</v>
      </c>
      <c r="H3920" s="2">
        <v>0</v>
      </c>
    </row>
    <row r="3921" spans="2:8">
      <c r="B3921" t="s">
        <v>1252</v>
      </c>
      <c r="C3921" t="s">
        <v>1555</v>
      </c>
      <c r="D3921" s="9" t="s">
        <v>478</v>
      </c>
      <c r="E3921" s="1">
        <v>0</v>
      </c>
      <c r="G3921" s="2">
        <f t="shared" si="61"/>
        <v>0</v>
      </c>
      <c r="H3921" s="2">
        <v>0</v>
      </c>
    </row>
    <row r="3922" spans="2:8">
      <c r="B3922" t="s">
        <v>1252</v>
      </c>
      <c r="C3922" t="s">
        <v>1555</v>
      </c>
      <c r="D3922" s="10" t="s">
        <v>479</v>
      </c>
      <c r="E3922" s="1">
        <v>0</v>
      </c>
      <c r="G3922" s="2">
        <f t="shared" si="61"/>
        <v>0</v>
      </c>
      <c r="H3922" s="2">
        <v>0</v>
      </c>
    </row>
    <row r="3923" spans="2:8">
      <c r="B3923" t="s">
        <v>1252</v>
      </c>
      <c r="C3923" t="s">
        <v>1555</v>
      </c>
      <c r="D3923" s="11" t="s">
        <v>480</v>
      </c>
      <c r="E3923" s="1">
        <v>0</v>
      </c>
      <c r="G3923" s="2">
        <f t="shared" si="61"/>
        <v>0</v>
      </c>
      <c r="H3923" s="2">
        <v>0</v>
      </c>
    </row>
    <row r="3924" spans="2:8">
      <c r="B3924" t="s">
        <v>1252</v>
      </c>
      <c r="C3924" t="s">
        <v>1555</v>
      </c>
      <c r="D3924" s="13" t="s">
        <v>481</v>
      </c>
      <c r="E3924" s="1">
        <v>0</v>
      </c>
      <c r="G3924" s="2">
        <f t="shared" si="61"/>
        <v>0</v>
      </c>
      <c r="H3924" s="2">
        <v>0</v>
      </c>
    </row>
    <row r="3925" spans="2:8">
      <c r="B3925" t="s">
        <v>1252</v>
      </c>
      <c r="C3925" t="s">
        <v>1555</v>
      </c>
      <c r="D3925" s="12" t="s">
        <v>1033</v>
      </c>
      <c r="E3925" s="1">
        <v>0</v>
      </c>
      <c r="G3925" s="2">
        <f t="shared" si="61"/>
        <v>0</v>
      </c>
      <c r="H3925" s="2">
        <v>0</v>
      </c>
    </row>
    <row r="3926" spans="2:8">
      <c r="B3926" t="s">
        <v>1315</v>
      </c>
      <c r="C3926" t="s">
        <v>1554</v>
      </c>
      <c r="D3926" s="5" t="s">
        <v>474</v>
      </c>
      <c r="E3926" s="1">
        <v>0</v>
      </c>
      <c r="G3926" s="2">
        <f t="shared" si="61"/>
        <v>0</v>
      </c>
      <c r="H3926" s="2">
        <v>0</v>
      </c>
    </row>
    <row r="3927" spans="2:8">
      <c r="B3927" t="s">
        <v>1315</v>
      </c>
      <c r="C3927" t="s">
        <v>1554</v>
      </c>
      <c r="D3927" s="6" t="s">
        <v>475</v>
      </c>
      <c r="E3927" s="1">
        <v>0</v>
      </c>
      <c r="G3927" s="2">
        <f t="shared" si="61"/>
        <v>0</v>
      </c>
      <c r="H3927" s="2">
        <v>0</v>
      </c>
    </row>
    <row r="3928" spans="2:8">
      <c r="B3928" t="s">
        <v>1315</v>
      </c>
      <c r="C3928" t="s">
        <v>1554</v>
      </c>
      <c r="D3928" s="7" t="s">
        <v>476</v>
      </c>
      <c r="E3928" s="1">
        <v>0</v>
      </c>
      <c r="G3928" s="2">
        <f t="shared" si="61"/>
        <v>0</v>
      </c>
      <c r="H3928" s="2">
        <v>0</v>
      </c>
    </row>
    <row r="3929" spans="2:8">
      <c r="B3929" t="s">
        <v>1315</v>
      </c>
      <c r="C3929" t="s">
        <v>1554</v>
      </c>
      <c r="D3929" s="8" t="s">
        <v>477</v>
      </c>
      <c r="E3929" s="1">
        <v>0</v>
      </c>
      <c r="G3929" s="2">
        <f t="shared" si="61"/>
        <v>0</v>
      </c>
      <c r="H3929" s="2">
        <v>0</v>
      </c>
    </row>
    <row r="3930" spans="2:8">
      <c r="B3930" t="s">
        <v>1315</v>
      </c>
      <c r="C3930" t="s">
        <v>1554</v>
      </c>
      <c r="D3930" s="9" t="s">
        <v>478</v>
      </c>
      <c r="E3930" s="1">
        <v>0</v>
      </c>
      <c r="G3930" s="2">
        <f t="shared" si="61"/>
        <v>0</v>
      </c>
      <c r="H3930" s="2">
        <v>0</v>
      </c>
    </row>
    <row r="3931" spans="2:8">
      <c r="B3931" t="s">
        <v>1315</v>
      </c>
      <c r="C3931" t="s">
        <v>1554</v>
      </c>
      <c r="D3931" s="10" t="s">
        <v>479</v>
      </c>
      <c r="E3931" s="1">
        <v>0</v>
      </c>
      <c r="G3931" s="2">
        <f t="shared" si="61"/>
        <v>0</v>
      </c>
      <c r="H3931" s="2">
        <v>0</v>
      </c>
    </row>
    <row r="3932" spans="2:8">
      <c r="B3932" t="s">
        <v>1315</v>
      </c>
      <c r="C3932" t="s">
        <v>1554</v>
      </c>
      <c r="D3932" s="11" t="s">
        <v>480</v>
      </c>
      <c r="E3932" s="1">
        <v>0</v>
      </c>
      <c r="G3932" s="2">
        <f t="shared" si="61"/>
        <v>0</v>
      </c>
      <c r="H3932" s="2">
        <v>0</v>
      </c>
    </row>
    <row r="3933" spans="2:8">
      <c r="B3933" t="s">
        <v>1315</v>
      </c>
      <c r="C3933" t="s">
        <v>1554</v>
      </c>
      <c r="D3933" s="13" t="s">
        <v>481</v>
      </c>
      <c r="E3933" s="1">
        <v>0</v>
      </c>
      <c r="G3933" s="2">
        <f t="shared" si="61"/>
        <v>0</v>
      </c>
      <c r="H3933" s="2">
        <v>0</v>
      </c>
    </row>
    <row r="3934" spans="2:8">
      <c r="B3934" t="s">
        <v>1315</v>
      </c>
      <c r="C3934" t="s">
        <v>1554</v>
      </c>
      <c r="D3934" s="12" t="s">
        <v>1033</v>
      </c>
      <c r="E3934" s="1">
        <v>0</v>
      </c>
      <c r="G3934" s="2">
        <f t="shared" si="61"/>
        <v>0</v>
      </c>
      <c r="H3934" s="2">
        <v>0</v>
      </c>
    </row>
    <row r="3935" spans="2:8">
      <c r="B3935" t="s">
        <v>1230</v>
      </c>
      <c r="C3935" t="s">
        <v>1556</v>
      </c>
      <c r="D3935" s="5" t="s">
        <v>474</v>
      </c>
      <c r="E3935" s="1">
        <v>0</v>
      </c>
      <c r="G3935" s="2">
        <f t="shared" si="61"/>
        <v>0</v>
      </c>
      <c r="H3935" s="2">
        <v>0</v>
      </c>
    </row>
    <row r="3936" spans="2:8">
      <c r="B3936" t="s">
        <v>1230</v>
      </c>
      <c r="C3936" t="s">
        <v>1556</v>
      </c>
      <c r="D3936" s="6" t="s">
        <v>475</v>
      </c>
      <c r="E3936" s="1">
        <v>0</v>
      </c>
      <c r="G3936" s="2">
        <f t="shared" si="61"/>
        <v>0</v>
      </c>
      <c r="H3936" s="2">
        <v>0</v>
      </c>
    </row>
    <row r="3937" spans="2:8">
      <c r="B3937" t="s">
        <v>1230</v>
      </c>
      <c r="C3937" t="s">
        <v>1556</v>
      </c>
      <c r="D3937" s="7" t="s">
        <v>476</v>
      </c>
      <c r="E3937" s="1">
        <v>0</v>
      </c>
      <c r="G3937" s="2">
        <f t="shared" si="61"/>
        <v>0</v>
      </c>
      <c r="H3937" s="2">
        <v>0</v>
      </c>
    </row>
    <row r="3938" spans="2:8">
      <c r="B3938" t="s">
        <v>1230</v>
      </c>
      <c r="C3938" t="s">
        <v>1556</v>
      </c>
      <c r="D3938" s="8" t="s">
        <v>477</v>
      </c>
      <c r="E3938" s="1">
        <v>0</v>
      </c>
      <c r="G3938" s="2">
        <f t="shared" si="61"/>
        <v>0</v>
      </c>
      <c r="H3938" s="2">
        <v>0</v>
      </c>
    </row>
    <row r="3939" spans="2:8">
      <c r="B3939" t="s">
        <v>1230</v>
      </c>
      <c r="C3939" t="s">
        <v>1556</v>
      </c>
      <c r="D3939" s="9" t="s">
        <v>478</v>
      </c>
      <c r="E3939" s="1">
        <v>0</v>
      </c>
      <c r="G3939" s="2">
        <f t="shared" si="61"/>
        <v>0</v>
      </c>
      <c r="H3939" s="2">
        <v>0</v>
      </c>
    </row>
    <row r="3940" spans="2:8">
      <c r="B3940" t="s">
        <v>1230</v>
      </c>
      <c r="C3940" t="s">
        <v>1556</v>
      </c>
      <c r="D3940" s="10" t="s">
        <v>479</v>
      </c>
      <c r="E3940" s="1">
        <v>0</v>
      </c>
      <c r="G3940" s="2">
        <f t="shared" si="61"/>
        <v>0</v>
      </c>
      <c r="H3940" s="2">
        <v>0</v>
      </c>
    </row>
    <row r="3941" spans="2:8">
      <c r="B3941" t="s">
        <v>1230</v>
      </c>
      <c r="C3941" t="s">
        <v>1556</v>
      </c>
      <c r="D3941" s="11" t="s">
        <v>480</v>
      </c>
      <c r="E3941" s="1">
        <v>0</v>
      </c>
      <c r="G3941" s="2">
        <f t="shared" si="61"/>
        <v>0</v>
      </c>
      <c r="H3941" s="2">
        <v>0</v>
      </c>
    </row>
    <row r="3942" spans="2:8">
      <c r="B3942" t="s">
        <v>1230</v>
      </c>
      <c r="C3942" t="s">
        <v>1556</v>
      </c>
      <c r="D3942" s="13" t="s">
        <v>481</v>
      </c>
      <c r="E3942" s="1">
        <v>0</v>
      </c>
      <c r="G3942" s="2">
        <f t="shared" si="61"/>
        <v>0</v>
      </c>
      <c r="H3942" s="2">
        <v>0</v>
      </c>
    </row>
    <row r="3943" spans="2:8">
      <c r="B3943" t="s">
        <v>1230</v>
      </c>
      <c r="C3943" t="s">
        <v>1556</v>
      </c>
      <c r="D3943" s="12" t="s">
        <v>1033</v>
      </c>
      <c r="E3943" s="1">
        <v>0</v>
      </c>
      <c r="G3943" s="2">
        <f t="shared" si="61"/>
        <v>0</v>
      </c>
      <c r="H3943" s="2">
        <v>0</v>
      </c>
    </row>
    <row r="3944" spans="2:8">
      <c r="B3944" t="s">
        <v>1236</v>
      </c>
      <c r="C3944" t="s">
        <v>1557</v>
      </c>
      <c r="D3944" s="5" t="s">
        <v>474</v>
      </c>
      <c r="E3944" s="1">
        <v>0</v>
      </c>
      <c r="G3944" s="2">
        <f t="shared" si="61"/>
        <v>0</v>
      </c>
      <c r="H3944" s="2">
        <v>0</v>
      </c>
    </row>
    <row r="3945" spans="2:8">
      <c r="B3945" t="s">
        <v>1236</v>
      </c>
      <c r="C3945" t="s">
        <v>1557</v>
      </c>
      <c r="D3945" s="6" t="s">
        <v>475</v>
      </c>
      <c r="E3945" s="1">
        <v>0</v>
      </c>
      <c r="G3945" s="2">
        <f t="shared" si="61"/>
        <v>0</v>
      </c>
      <c r="H3945" s="2">
        <v>0</v>
      </c>
    </row>
    <row r="3946" spans="2:8">
      <c r="B3946" t="s">
        <v>1236</v>
      </c>
      <c r="C3946" t="s">
        <v>1557</v>
      </c>
      <c r="D3946" s="7" t="s">
        <v>476</v>
      </c>
      <c r="E3946" s="1">
        <v>0</v>
      </c>
      <c r="G3946" s="2">
        <f t="shared" si="61"/>
        <v>0</v>
      </c>
      <c r="H3946" s="2">
        <v>0</v>
      </c>
    </row>
    <row r="3947" spans="2:8">
      <c r="B3947" t="s">
        <v>1236</v>
      </c>
      <c r="C3947" t="s">
        <v>1557</v>
      </c>
      <c r="D3947" s="8" t="s">
        <v>477</v>
      </c>
      <c r="E3947" s="1">
        <v>0</v>
      </c>
      <c r="G3947" s="2">
        <f t="shared" si="61"/>
        <v>0</v>
      </c>
      <c r="H3947" s="2">
        <v>0</v>
      </c>
    </row>
    <row r="3948" spans="2:8">
      <c r="B3948" t="s">
        <v>1236</v>
      </c>
      <c r="C3948" t="s">
        <v>1557</v>
      </c>
      <c r="D3948" s="9" t="s">
        <v>478</v>
      </c>
      <c r="E3948" s="1">
        <v>0</v>
      </c>
      <c r="G3948" s="2">
        <f t="shared" si="61"/>
        <v>0</v>
      </c>
      <c r="H3948" s="2">
        <v>0</v>
      </c>
    </row>
    <row r="3949" spans="2:8">
      <c r="B3949" t="s">
        <v>1236</v>
      </c>
      <c r="C3949" t="s">
        <v>1557</v>
      </c>
      <c r="D3949" s="10" t="s">
        <v>479</v>
      </c>
      <c r="E3949" s="1">
        <v>0</v>
      </c>
      <c r="G3949" s="2">
        <f t="shared" si="61"/>
        <v>0</v>
      </c>
      <c r="H3949" s="2">
        <v>0</v>
      </c>
    </row>
    <row r="3950" spans="2:8">
      <c r="B3950" t="s">
        <v>1236</v>
      </c>
      <c r="C3950" t="s">
        <v>1557</v>
      </c>
      <c r="D3950" s="11" t="s">
        <v>480</v>
      </c>
      <c r="E3950" s="1">
        <v>0</v>
      </c>
      <c r="G3950" s="2">
        <f t="shared" si="61"/>
        <v>0</v>
      </c>
      <c r="H3950" s="2">
        <v>0</v>
      </c>
    </row>
    <row r="3951" spans="2:8">
      <c r="B3951" t="s">
        <v>1236</v>
      </c>
      <c r="C3951" t="s">
        <v>1557</v>
      </c>
      <c r="D3951" s="13" t="s">
        <v>481</v>
      </c>
      <c r="E3951" s="1">
        <v>0</v>
      </c>
      <c r="G3951" s="2">
        <f t="shared" si="61"/>
        <v>0</v>
      </c>
      <c r="H3951" s="2">
        <v>0</v>
      </c>
    </row>
    <row r="3952" spans="2:8">
      <c r="B3952" t="s">
        <v>1236</v>
      </c>
      <c r="C3952" t="s">
        <v>1557</v>
      </c>
      <c r="D3952" s="12" t="s">
        <v>1033</v>
      </c>
      <c r="E3952" s="1">
        <v>0</v>
      </c>
      <c r="G3952" s="2">
        <f t="shared" si="61"/>
        <v>0</v>
      </c>
      <c r="H3952" s="2">
        <v>0</v>
      </c>
    </row>
    <row r="3953" spans="2:8">
      <c r="B3953" t="s">
        <v>1245</v>
      </c>
      <c r="C3953" t="s">
        <v>1558</v>
      </c>
      <c r="D3953" s="5" t="s">
        <v>474</v>
      </c>
      <c r="E3953" s="1">
        <v>0</v>
      </c>
      <c r="G3953" s="2">
        <f t="shared" si="61"/>
        <v>0</v>
      </c>
      <c r="H3953" s="2">
        <v>0</v>
      </c>
    </row>
    <row r="3954" spans="2:8">
      <c r="B3954" t="s">
        <v>1245</v>
      </c>
      <c r="C3954" t="s">
        <v>1558</v>
      </c>
      <c r="D3954" s="6" t="s">
        <v>475</v>
      </c>
      <c r="E3954" s="1">
        <v>0</v>
      </c>
      <c r="G3954" s="2">
        <f t="shared" si="61"/>
        <v>0</v>
      </c>
      <c r="H3954" s="2">
        <v>0</v>
      </c>
    </row>
    <row r="3955" spans="2:8">
      <c r="B3955" t="s">
        <v>1245</v>
      </c>
      <c r="C3955" t="s">
        <v>1558</v>
      </c>
      <c r="D3955" s="7" t="s">
        <v>476</v>
      </c>
      <c r="E3955" s="1">
        <v>0</v>
      </c>
      <c r="G3955" s="2">
        <f t="shared" si="61"/>
        <v>0</v>
      </c>
      <c r="H3955" s="2">
        <v>0</v>
      </c>
    </row>
    <row r="3956" spans="2:8">
      <c r="B3956" t="s">
        <v>1245</v>
      </c>
      <c r="C3956" t="s">
        <v>1558</v>
      </c>
      <c r="D3956" s="8" t="s">
        <v>477</v>
      </c>
      <c r="E3956" s="1">
        <v>0</v>
      </c>
      <c r="G3956" s="2">
        <f t="shared" si="61"/>
        <v>0</v>
      </c>
      <c r="H3956" s="2">
        <v>0</v>
      </c>
    </row>
    <row r="3957" spans="2:8">
      <c r="B3957" t="s">
        <v>1245</v>
      </c>
      <c r="C3957" t="s">
        <v>1558</v>
      </c>
      <c r="D3957" s="9" t="s">
        <v>478</v>
      </c>
      <c r="E3957" s="1">
        <v>0</v>
      </c>
      <c r="G3957" s="2">
        <f t="shared" si="61"/>
        <v>0</v>
      </c>
      <c r="H3957" s="2">
        <v>0</v>
      </c>
    </row>
    <row r="3958" spans="2:8">
      <c r="B3958" t="s">
        <v>1245</v>
      </c>
      <c r="C3958" t="s">
        <v>1558</v>
      </c>
      <c r="D3958" s="10" t="s">
        <v>479</v>
      </c>
      <c r="E3958" s="1">
        <v>0</v>
      </c>
      <c r="G3958" s="2">
        <f t="shared" si="61"/>
        <v>0</v>
      </c>
      <c r="H3958" s="2">
        <v>0</v>
      </c>
    </row>
    <row r="3959" spans="2:8">
      <c r="B3959" t="s">
        <v>1245</v>
      </c>
      <c r="C3959" t="s">
        <v>1558</v>
      </c>
      <c r="D3959" s="11" t="s">
        <v>480</v>
      </c>
      <c r="E3959" s="1">
        <v>0</v>
      </c>
      <c r="G3959" s="2">
        <f t="shared" si="61"/>
        <v>0</v>
      </c>
      <c r="H3959" s="2">
        <v>0</v>
      </c>
    </row>
    <row r="3960" spans="2:8">
      <c r="B3960" t="s">
        <v>1245</v>
      </c>
      <c r="C3960" t="s">
        <v>1558</v>
      </c>
      <c r="D3960" s="13" t="s">
        <v>481</v>
      </c>
      <c r="E3960" s="1">
        <v>0</v>
      </c>
      <c r="G3960" s="2">
        <f t="shared" si="61"/>
        <v>0</v>
      </c>
      <c r="H3960" s="2">
        <v>0</v>
      </c>
    </row>
    <row r="3961" spans="2:8">
      <c r="B3961" t="s">
        <v>1245</v>
      </c>
      <c r="C3961" t="s">
        <v>1558</v>
      </c>
      <c r="D3961" s="12" t="s">
        <v>1033</v>
      </c>
      <c r="E3961" s="1">
        <v>0</v>
      </c>
      <c r="G3961" s="2">
        <f t="shared" si="61"/>
        <v>0</v>
      </c>
      <c r="H3961" s="2">
        <v>0</v>
      </c>
    </row>
    <row r="3962" spans="2:8">
      <c r="B3962" t="s">
        <v>1235</v>
      </c>
      <c r="C3962" t="s">
        <v>1559</v>
      </c>
      <c r="D3962" s="5" t="s">
        <v>474</v>
      </c>
      <c r="E3962" s="1">
        <v>0</v>
      </c>
      <c r="G3962" s="2">
        <f t="shared" si="61"/>
        <v>0</v>
      </c>
      <c r="H3962" s="2">
        <v>0</v>
      </c>
    </row>
    <row r="3963" spans="2:8">
      <c r="B3963" t="s">
        <v>1235</v>
      </c>
      <c r="C3963" t="s">
        <v>1559</v>
      </c>
      <c r="D3963" s="6" t="s">
        <v>475</v>
      </c>
      <c r="E3963" s="1">
        <v>0</v>
      </c>
      <c r="G3963" s="2">
        <f t="shared" si="61"/>
        <v>0</v>
      </c>
      <c r="H3963" s="2">
        <v>0</v>
      </c>
    </row>
    <row r="3964" spans="2:8">
      <c r="B3964" t="s">
        <v>1235</v>
      </c>
      <c r="C3964" t="s">
        <v>1559</v>
      </c>
      <c r="D3964" s="7" t="s">
        <v>476</v>
      </c>
      <c r="E3964" s="1">
        <v>0</v>
      </c>
      <c r="G3964" s="2">
        <f t="shared" si="61"/>
        <v>0</v>
      </c>
      <c r="H3964" s="2">
        <v>0</v>
      </c>
    </row>
    <row r="3965" spans="2:8">
      <c r="B3965" t="s">
        <v>1235</v>
      </c>
      <c r="C3965" t="s">
        <v>1559</v>
      </c>
      <c r="D3965" s="8" t="s">
        <v>477</v>
      </c>
      <c r="E3965" s="1">
        <v>0</v>
      </c>
      <c r="G3965" s="2">
        <f t="shared" si="61"/>
        <v>0</v>
      </c>
      <c r="H3965" s="2">
        <v>0</v>
      </c>
    </row>
    <row r="3966" spans="2:8">
      <c r="B3966" t="s">
        <v>1235</v>
      </c>
      <c r="C3966" t="s">
        <v>1559</v>
      </c>
      <c r="D3966" s="9" t="s">
        <v>478</v>
      </c>
      <c r="E3966" s="1">
        <v>0</v>
      </c>
      <c r="G3966" s="2">
        <f t="shared" si="61"/>
        <v>0</v>
      </c>
      <c r="H3966" s="2">
        <v>0</v>
      </c>
    </row>
    <row r="3967" spans="2:8">
      <c r="B3967" t="s">
        <v>1235</v>
      </c>
      <c r="C3967" t="s">
        <v>1559</v>
      </c>
      <c r="D3967" s="10" t="s">
        <v>479</v>
      </c>
      <c r="E3967" s="1">
        <v>0</v>
      </c>
      <c r="G3967" s="2">
        <f t="shared" si="61"/>
        <v>0</v>
      </c>
      <c r="H3967" s="2">
        <v>0</v>
      </c>
    </row>
    <row r="3968" spans="2:8">
      <c r="B3968" t="s">
        <v>1235</v>
      </c>
      <c r="C3968" t="s">
        <v>1559</v>
      </c>
      <c r="D3968" s="11" t="s">
        <v>480</v>
      </c>
      <c r="E3968" s="1">
        <v>0</v>
      </c>
      <c r="G3968" s="2">
        <f t="shared" si="61"/>
        <v>0</v>
      </c>
      <c r="H3968" s="2">
        <v>0</v>
      </c>
    </row>
    <row r="3969" spans="2:8">
      <c r="B3969" t="s">
        <v>1235</v>
      </c>
      <c r="C3969" t="s">
        <v>1559</v>
      </c>
      <c r="D3969" s="13" t="s">
        <v>481</v>
      </c>
      <c r="E3969" s="1">
        <v>0</v>
      </c>
      <c r="G3969" s="2">
        <f t="shared" si="61"/>
        <v>0</v>
      </c>
      <c r="H3969" s="2">
        <v>0</v>
      </c>
    </row>
    <row r="3970" spans="2:8">
      <c r="B3970" t="s">
        <v>1235</v>
      </c>
      <c r="C3970" t="s">
        <v>1559</v>
      </c>
      <c r="D3970" s="12" t="s">
        <v>1033</v>
      </c>
      <c r="E3970" s="1">
        <v>0</v>
      </c>
      <c r="G3970" s="2">
        <f t="shared" ref="G3970:G4033" si="62">E3970*F3970</f>
        <v>0</v>
      </c>
      <c r="H3970" s="2">
        <v>0</v>
      </c>
    </row>
    <row r="3971" spans="2:8">
      <c r="B3971" t="s">
        <v>1293</v>
      </c>
      <c r="C3971" t="s">
        <v>1560</v>
      </c>
      <c r="D3971" s="5" t="s">
        <v>474</v>
      </c>
      <c r="E3971" s="1">
        <v>0</v>
      </c>
      <c r="G3971" s="2">
        <f t="shared" si="62"/>
        <v>0</v>
      </c>
      <c r="H3971" s="2">
        <v>0</v>
      </c>
    </row>
    <row r="3972" spans="2:8">
      <c r="B3972" t="s">
        <v>1293</v>
      </c>
      <c r="C3972" t="s">
        <v>1560</v>
      </c>
      <c r="D3972" s="6" t="s">
        <v>475</v>
      </c>
      <c r="E3972" s="1">
        <v>0</v>
      </c>
      <c r="G3972" s="2">
        <f t="shared" si="62"/>
        <v>0</v>
      </c>
      <c r="H3972" s="2">
        <v>0</v>
      </c>
    </row>
    <row r="3973" spans="2:8">
      <c r="B3973" t="s">
        <v>1293</v>
      </c>
      <c r="C3973" t="s">
        <v>1560</v>
      </c>
      <c r="D3973" s="7" t="s">
        <v>476</v>
      </c>
      <c r="E3973" s="1">
        <v>0</v>
      </c>
      <c r="G3973" s="2">
        <f t="shared" si="62"/>
        <v>0</v>
      </c>
      <c r="H3973" s="2">
        <v>0</v>
      </c>
    </row>
    <row r="3974" spans="2:8">
      <c r="B3974" t="s">
        <v>1293</v>
      </c>
      <c r="C3974" t="s">
        <v>1560</v>
      </c>
      <c r="D3974" s="8" t="s">
        <v>477</v>
      </c>
      <c r="E3974" s="1">
        <v>0</v>
      </c>
      <c r="G3974" s="2">
        <f t="shared" si="62"/>
        <v>0</v>
      </c>
      <c r="H3974" s="2">
        <v>0</v>
      </c>
    </row>
    <row r="3975" spans="2:8">
      <c r="B3975" t="s">
        <v>1293</v>
      </c>
      <c r="C3975" t="s">
        <v>1560</v>
      </c>
      <c r="D3975" s="9" t="s">
        <v>478</v>
      </c>
      <c r="E3975" s="1">
        <v>0</v>
      </c>
      <c r="G3975" s="2">
        <f t="shared" si="62"/>
        <v>0</v>
      </c>
      <c r="H3975" s="2">
        <v>0</v>
      </c>
    </row>
    <row r="3976" spans="2:8">
      <c r="B3976" t="s">
        <v>1293</v>
      </c>
      <c r="C3976" t="s">
        <v>1560</v>
      </c>
      <c r="D3976" s="10" t="s">
        <v>479</v>
      </c>
      <c r="E3976" s="1">
        <v>0</v>
      </c>
      <c r="G3976" s="2">
        <f t="shared" si="62"/>
        <v>0</v>
      </c>
      <c r="H3976" s="2">
        <v>0</v>
      </c>
    </row>
    <row r="3977" spans="2:8">
      <c r="B3977" t="s">
        <v>1293</v>
      </c>
      <c r="C3977" t="s">
        <v>1560</v>
      </c>
      <c r="D3977" s="11" t="s">
        <v>480</v>
      </c>
      <c r="E3977" s="1">
        <v>0</v>
      </c>
      <c r="G3977" s="2">
        <f t="shared" si="62"/>
        <v>0</v>
      </c>
      <c r="H3977" s="2">
        <v>0</v>
      </c>
    </row>
    <row r="3978" spans="2:8">
      <c r="B3978" t="s">
        <v>1293</v>
      </c>
      <c r="C3978" t="s">
        <v>1560</v>
      </c>
      <c r="D3978" s="13" t="s">
        <v>481</v>
      </c>
      <c r="E3978" s="1">
        <v>0</v>
      </c>
      <c r="G3978" s="2">
        <f t="shared" si="62"/>
        <v>0</v>
      </c>
      <c r="H3978" s="2">
        <v>0</v>
      </c>
    </row>
    <row r="3979" spans="2:8">
      <c r="B3979" t="s">
        <v>1293</v>
      </c>
      <c r="C3979" t="s">
        <v>1560</v>
      </c>
      <c r="D3979" s="12" t="s">
        <v>1033</v>
      </c>
      <c r="E3979" s="1">
        <v>0</v>
      </c>
      <c r="G3979" s="2">
        <f t="shared" si="62"/>
        <v>0</v>
      </c>
      <c r="H3979" s="2">
        <v>0</v>
      </c>
    </row>
    <row r="3980" spans="2:8">
      <c r="B3980" t="s">
        <v>1320</v>
      </c>
      <c r="C3980" t="s">
        <v>1561</v>
      </c>
      <c r="D3980" s="5" t="s">
        <v>474</v>
      </c>
      <c r="E3980" s="1">
        <v>0</v>
      </c>
      <c r="G3980" s="2">
        <f t="shared" si="62"/>
        <v>0</v>
      </c>
      <c r="H3980" s="2">
        <v>0</v>
      </c>
    </row>
    <row r="3981" spans="2:8">
      <c r="B3981" t="s">
        <v>1320</v>
      </c>
      <c r="C3981" t="s">
        <v>1561</v>
      </c>
      <c r="D3981" s="6" t="s">
        <v>475</v>
      </c>
      <c r="E3981" s="1">
        <v>0</v>
      </c>
      <c r="G3981" s="2">
        <f t="shared" si="62"/>
        <v>0</v>
      </c>
      <c r="H3981" s="2">
        <v>0</v>
      </c>
    </row>
    <row r="3982" spans="2:8">
      <c r="B3982" t="s">
        <v>1320</v>
      </c>
      <c r="C3982" t="s">
        <v>1561</v>
      </c>
      <c r="D3982" s="7" t="s">
        <v>476</v>
      </c>
      <c r="E3982" s="1">
        <v>0</v>
      </c>
      <c r="G3982" s="2">
        <f t="shared" si="62"/>
        <v>0</v>
      </c>
      <c r="H3982" s="2">
        <v>0</v>
      </c>
    </row>
    <row r="3983" spans="2:8">
      <c r="B3983" t="s">
        <v>1320</v>
      </c>
      <c r="C3983" t="s">
        <v>1561</v>
      </c>
      <c r="D3983" s="8" t="s">
        <v>477</v>
      </c>
      <c r="E3983" s="1">
        <v>0</v>
      </c>
      <c r="G3983" s="2">
        <f t="shared" si="62"/>
        <v>0</v>
      </c>
      <c r="H3983" s="2">
        <v>0</v>
      </c>
    </row>
    <row r="3984" spans="2:8">
      <c r="B3984" t="s">
        <v>1320</v>
      </c>
      <c r="C3984" t="s">
        <v>1561</v>
      </c>
      <c r="D3984" s="9" t="s">
        <v>478</v>
      </c>
      <c r="E3984" s="1">
        <v>0</v>
      </c>
      <c r="G3984" s="2">
        <f t="shared" si="62"/>
        <v>0</v>
      </c>
      <c r="H3984" s="2">
        <v>0</v>
      </c>
    </row>
    <row r="3985" spans="2:8">
      <c r="B3985" t="s">
        <v>1320</v>
      </c>
      <c r="C3985" t="s">
        <v>1561</v>
      </c>
      <c r="D3985" s="10" t="s">
        <v>479</v>
      </c>
      <c r="E3985" s="1">
        <v>0</v>
      </c>
      <c r="G3985" s="2">
        <f t="shared" si="62"/>
        <v>0</v>
      </c>
      <c r="H3985" s="2">
        <v>0</v>
      </c>
    </row>
    <row r="3986" spans="2:8">
      <c r="B3986" t="s">
        <v>1320</v>
      </c>
      <c r="C3986" t="s">
        <v>1561</v>
      </c>
      <c r="D3986" s="11" t="s">
        <v>480</v>
      </c>
      <c r="E3986" s="1">
        <v>0</v>
      </c>
      <c r="G3986" s="2">
        <f t="shared" si="62"/>
        <v>0</v>
      </c>
      <c r="H3986" s="2">
        <v>0</v>
      </c>
    </row>
    <row r="3987" spans="2:8">
      <c r="B3987" t="s">
        <v>1320</v>
      </c>
      <c r="C3987" t="s">
        <v>1561</v>
      </c>
      <c r="D3987" s="13" t="s">
        <v>481</v>
      </c>
      <c r="E3987" s="1">
        <v>0</v>
      </c>
      <c r="G3987" s="2">
        <f t="shared" si="62"/>
        <v>0</v>
      </c>
      <c r="H3987" s="2">
        <v>0</v>
      </c>
    </row>
    <row r="3988" spans="2:8">
      <c r="B3988" t="s">
        <v>1320</v>
      </c>
      <c r="C3988" t="s">
        <v>1561</v>
      </c>
      <c r="D3988" s="12" t="s">
        <v>1033</v>
      </c>
      <c r="E3988" s="1">
        <v>0</v>
      </c>
      <c r="G3988" s="2">
        <f t="shared" si="62"/>
        <v>0</v>
      </c>
      <c r="H3988" s="2">
        <v>0</v>
      </c>
    </row>
    <row r="3989" spans="2:8">
      <c r="B3989" t="s">
        <v>1292</v>
      </c>
      <c r="C3989" t="s">
        <v>1562</v>
      </c>
      <c r="D3989" s="5" t="s">
        <v>474</v>
      </c>
      <c r="E3989" s="1">
        <v>0</v>
      </c>
      <c r="G3989" s="2">
        <f t="shared" si="62"/>
        <v>0</v>
      </c>
      <c r="H3989" s="2">
        <v>0</v>
      </c>
    </row>
    <row r="3990" spans="2:8">
      <c r="B3990" t="s">
        <v>1292</v>
      </c>
      <c r="C3990" t="s">
        <v>1562</v>
      </c>
      <c r="D3990" s="6" t="s">
        <v>475</v>
      </c>
      <c r="E3990" s="1">
        <v>0</v>
      </c>
      <c r="G3990" s="2">
        <f t="shared" si="62"/>
        <v>0</v>
      </c>
      <c r="H3990" s="2">
        <v>0</v>
      </c>
    </row>
    <row r="3991" spans="2:8">
      <c r="B3991" t="s">
        <v>1292</v>
      </c>
      <c r="C3991" t="s">
        <v>1562</v>
      </c>
      <c r="D3991" s="7" t="s">
        <v>476</v>
      </c>
      <c r="E3991" s="1">
        <v>0</v>
      </c>
      <c r="G3991" s="2">
        <f t="shared" si="62"/>
        <v>0</v>
      </c>
      <c r="H3991" s="2">
        <v>0</v>
      </c>
    </row>
    <row r="3992" spans="2:8">
      <c r="B3992" t="s">
        <v>1292</v>
      </c>
      <c r="C3992" t="s">
        <v>1562</v>
      </c>
      <c r="D3992" s="8" t="s">
        <v>477</v>
      </c>
      <c r="E3992" s="1">
        <v>0</v>
      </c>
      <c r="G3992" s="2">
        <f t="shared" si="62"/>
        <v>0</v>
      </c>
      <c r="H3992" s="2">
        <v>0</v>
      </c>
    </row>
    <row r="3993" spans="2:8">
      <c r="B3993" t="s">
        <v>1292</v>
      </c>
      <c r="C3993" t="s">
        <v>1562</v>
      </c>
      <c r="D3993" s="9" t="s">
        <v>478</v>
      </c>
      <c r="E3993" s="1">
        <v>0</v>
      </c>
      <c r="G3993" s="2">
        <f t="shared" si="62"/>
        <v>0</v>
      </c>
      <c r="H3993" s="2">
        <v>0</v>
      </c>
    </row>
    <row r="3994" spans="2:8">
      <c r="B3994" t="s">
        <v>1292</v>
      </c>
      <c r="C3994" t="s">
        <v>1562</v>
      </c>
      <c r="D3994" s="10" t="s">
        <v>479</v>
      </c>
      <c r="E3994" s="1">
        <v>0</v>
      </c>
      <c r="G3994" s="2">
        <f t="shared" si="62"/>
        <v>0</v>
      </c>
      <c r="H3994" s="2">
        <v>0</v>
      </c>
    </row>
    <row r="3995" spans="2:8">
      <c r="B3995" t="s">
        <v>1292</v>
      </c>
      <c r="C3995" t="s">
        <v>1562</v>
      </c>
      <c r="D3995" s="11" t="s">
        <v>480</v>
      </c>
      <c r="E3995" s="1">
        <v>0</v>
      </c>
      <c r="G3995" s="2">
        <f t="shared" si="62"/>
        <v>0</v>
      </c>
      <c r="H3995" s="2">
        <v>0</v>
      </c>
    </row>
    <row r="3996" spans="2:8">
      <c r="B3996" t="s">
        <v>1292</v>
      </c>
      <c r="C3996" t="s">
        <v>1562</v>
      </c>
      <c r="D3996" s="13" t="s">
        <v>481</v>
      </c>
      <c r="E3996" s="1">
        <v>0</v>
      </c>
      <c r="G3996" s="2">
        <f t="shared" si="62"/>
        <v>0</v>
      </c>
      <c r="H3996" s="2">
        <v>0</v>
      </c>
    </row>
    <row r="3997" spans="2:8">
      <c r="B3997" t="s">
        <v>1292</v>
      </c>
      <c r="C3997" t="s">
        <v>1562</v>
      </c>
      <c r="D3997" s="12" t="s">
        <v>1033</v>
      </c>
      <c r="E3997" s="1">
        <v>0</v>
      </c>
      <c r="G3997" s="2">
        <f t="shared" si="62"/>
        <v>0</v>
      </c>
      <c r="H3997" s="2">
        <v>0</v>
      </c>
    </row>
    <row r="3998" spans="2:8">
      <c r="B3998" t="s">
        <v>1276</v>
      </c>
      <c r="C3998" t="s">
        <v>1563</v>
      </c>
      <c r="D3998" s="5" t="s">
        <v>474</v>
      </c>
      <c r="E3998" s="1">
        <v>0</v>
      </c>
      <c r="G3998" s="2">
        <f t="shared" si="62"/>
        <v>0</v>
      </c>
      <c r="H3998" s="2">
        <v>0</v>
      </c>
    </row>
    <row r="3999" spans="2:8">
      <c r="B3999" t="s">
        <v>1276</v>
      </c>
      <c r="C3999" t="s">
        <v>1563</v>
      </c>
      <c r="D3999" s="6" t="s">
        <v>475</v>
      </c>
      <c r="E3999" s="1">
        <v>0</v>
      </c>
      <c r="G3999" s="2">
        <f t="shared" si="62"/>
        <v>0</v>
      </c>
      <c r="H3999" s="2">
        <v>0</v>
      </c>
    </row>
    <row r="4000" spans="2:8">
      <c r="B4000" t="s">
        <v>1276</v>
      </c>
      <c r="C4000" t="s">
        <v>1563</v>
      </c>
      <c r="D4000" s="7" t="s">
        <v>476</v>
      </c>
      <c r="E4000" s="1">
        <v>0</v>
      </c>
      <c r="G4000" s="2">
        <f t="shared" si="62"/>
        <v>0</v>
      </c>
      <c r="H4000" s="2">
        <v>0</v>
      </c>
    </row>
    <row r="4001" spans="2:8">
      <c r="B4001" t="s">
        <v>1276</v>
      </c>
      <c r="C4001" t="s">
        <v>1563</v>
      </c>
      <c r="D4001" s="8" t="s">
        <v>477</v>
      </c>
      <c r="E4001" s="1">
        <v>0</v>
      </c>
      <c r="G4001" s="2">
        <f t="shared" si="62"/>
        <v>0</v>
      </c>
      <c r="H4001" s="2">
        <v>0</v>
      </c>
    </row>
    <row r="4002" spans="2:8">
      <c r="B4002" t="s">
        <v>1276</v>
      </c>
      <c r="C4002" t="s">
        <v>1563</v>
      </c>
      <c r="D4002" s="9" t="s">
        <v>478</v>
      </c>
      <c r="E4002" s="1">
        <v>0</v>
      </c>
      <c r="G4002" s="2">
        <f t="shared" si="62"/>
        <v>0</v>
      </c>
      <c r="H4002" s="2">
        <v>0</v>
      </c>
    </row>
    <row r="4003" spans="2:8">
      <c r="B4003" t="s">
        <v>1276</v>
      </c>
      <c r="C4003" t="s">
        <v>1563</v>
      </c>
      <c r="D4003" s="10" t="s">
        <v>479</v>
      </c>
      <c r="E4003" s="1">
        <v>0</v>
      </c>
      <c r="G4003" s="2">
        <f t="shared" si="62"/>
        <v>0</v>
      </c>
      <c r="H4003" s="2">
        <v>0</v>
      </c>
    </row>
    <row r="4004" spans="2:8">
      <c r="B4004" t="s">
        <v>1276</v>
      </c>
      <c r="C4004" t="s">
        <v>1563</v>
      </c>
      <c r="D4004" s="11" t="s">
        <v>480</v>
      </c>
      <c r="E4004" s="1">
        <v>0</v>
      </c>
      <c r="G4004" s="2">
        <f t="shared" si="62"/>
        <v>0</v>
      </c>
      <c r="H4004" s="2">
        <v>0</v>
      </c>
    </row>
    <row r="4005" spans="2:8">
      <c r="B4005" t="s">
        <v>1276</v>
      </c>
      <c r="C4005" t="s">
        <v>1563</v>
      </c>
      <c r="D4005" s="13" t="s">
        <v>481</v>
      </c>
      <c r="E4005" s="1">
        <v>0</v>
      </c>
      <c r="G4005" s="2">
        <f t="shared" si="62"/>
        <v>0</v>
      </c>
      <c r="H4005" s="2">
        <v>0</v>
      </c>
    </row>
    <row r="4006" spans="2:8">
      <c r="B4006" t="s">
        <v>1276</v>
      </c>
      <c r="C4006" t="s">
        <v>1563</v>
      </c>
      <c r="D4006" s="12" t="s">
        <v>1033</v>
      </c>
      <c r="E4006" s="1">
        <v>0</v>
      </c>
      <c r="G4006" s="2">
        <f t="shared" si="62"/>
        <v>0</v>
      </c>
      <c r="H4006" s="2">
        <v>0</v>
      </c>
    </row>
    <row r="4007" spans="2:8">
      <c r="B4007" t="s">
        <v>1260</v>
      </c>
      <c r="C4007" t="s">
        <v>1504</v>
      </c>
      <c r="D4007" s="5" t="s">
        <v>474</v>
      </c>
      <c r="E4007" s="1">
        <v>0</v>
      </c>
      <c r="G4007" s="2">
        <f t="shared" si="62"/>
        <v>0</v>
      </c>
      <c r="H4007" s="2">
        <v>0</v>
      </c>
    </row>
    <row r="4008" spans="2:8">
      <c r="B4008" t="s">
        <v>1260</v>
      </c>
      <c r="C4008" t="s">
        <v>1504</v>
      </c>
      <c r="D4008" s="6" t="s">
        <v>475</v>
      </c>
      <c r="E4008" s="1">
        <v>0</v>
      </c>
      <c r="G4008" s="2">
        <f t="shared" si="62"/>
        <v>0</v>
      </c>
      <c r="H4008" s="2">
        <v>0</v>
      </c>
    </row>
    <row r="4009" spans="2:8">
      <c r="B4009" t="s">
        <v>1260</v>
      </c>
      <c r="C4009" t="s">
        <v>1504</v>
      </c>
      <c r="D4009" s="7" t="s">
        <v>476</v>
      </c>
      <c r="E4009" s="1">
        <v>0</v>
      </c>
      <c r="G4009" s="2">
        <f t="shared" si="62"/>
        <v>0</v>
      </c>
      <c r="H4009" s="2">
        <v>0</v>
      </c>
    </row>
    <row r="4010" spans="2:8">
      <c r="B4010" t="s">
        <v>1260</v>
      </c>
      <c r="C4010" t="s">
        <v>1504</v>
      </c>
      <c r="D4010" s="8" t="s">
        <v>477</v>
      </c>
      <c r="E4010" s="1">
        <v>0</v>
      </c>
      <c r="G4010" s="2">
        <f t="shared" si="62"/>
        <v>0</v>
      </c>
      <c r="H4010" s="2">
        <v>0</v>
      </c>
    </row>
    <row r="4011" spans="2:8">
      <c r="B4011" t="s">
        <v>1260</v>
      </c>
      <c r="C4011" t="s">
        <v>1504</v>
      </c>
      <c r="D4011" s="9" t="s">
        <v>478</v>
      </c>
      <c r="E4011" s="1">
        <v>0</v>
      </c>
      <c r="G4011" s="2">
        <f t="shared" si="62"/>
        <v>0</v>
      </c>
      <c r="H4011" s="2">
        <v>0</v>
      </c>
    </row>
    <row r="4012" spans="2:8">
      <c r="B4012" t="s">
        <v>1260</v>
      </c>
      <c r="C4012" t="s">
        <v>1504</v>
      </c>
      <c r="D4012" s="10" t="s">
        <v>479</v>
      </c>
      <c r="E4012" s="1">
        <v>0</v>
      </c>
      <c r="G4012" s="2">
        <f t="shared" si="62"/>
        <v>0</v>
      </c>
      <c r="H4012" s="2">
        <v>0</v>
      </c>
    </row>
    <row r="4013" spans="2:8">
      <c r="B4013" t="s">
        <v>1260</v>
      </c>
      <c r="C4013" t="s">
        <v>1504</v>
      </c>
      <c r="D4013" s="11" t="s">
        <v>480</v>
      </c>
      <c r="E4013" s="1">
        <v>0</v>
      </c>
      <c r="G4013" s="2">
        <f t="shared" si="62"/>
        <v>0</v>
      </c>
      <c r="H4013" s="2">
        <v>0</v>
      </c>
    </row>
    <row r="4014" spans="2:8">
      <c r="B4014" t="s">
        <v>1260</v>
      </c>
      <c r="C4014" t="s">
        <v>1504</v>
      </c>
      <c r="D4014" s="13" t="s">
        <v>481</v>
      </c>
      <c r="E4014" s="1">
        <v>0</v>
      </c>
      <c r="G4014" s="2">
        <f t="shared" si="62"/>
        <v>0</v>
      </c>
      <c r="H4014" s="2">
        <v>0</v>
      </c>
    </row>
    <row r="4015" spans="2:8">
      <c r="B4015" t="s">
        <v>1260</v>
      </c>
      <c r="C4015" t="s">
        <v>1504</v>
      </c>
      <c r="D4015" s="12" t="s">
        <v>1033</v>
      </c>
      <c r="E4015" s="1">
        <v>0</v>
      </c>
      <c r="G4015" s="2">
        <f t="shared" si="62"/>
        <v>0</v>
      </c>
      <c r="H4015" s="2">
        <v>0</v>
      </c>
    </row>
    <row r="4016" spans="2:8">
      <c r="B4016" t="s">
        <v>1267</v>
      </c>
      <c r="C4016" t="s">
        <v>1505</v>
      </c>
      <c r="D4016" s="5" t="s">
        <v>474</v>
      </c>
      <c r="E4016" s="1">
        <v>0</v>
      </c>
      <c r="G4016" s="2">
        <f t="shared" si="62"/>
        <v>0</v>
      </c>
      <c r="H4016" s="2">
        <v>0</v>
      </c>
    </row>
    <row r="4017" spans="2:8">
      <c r="B4017" t="s">
        <v>1267</v>
      </c>
      <c r="C4017" t="s">
        <v>1505</v>
      </c>
      <c r="D4017" s="6" t="s">
        <v>475</v>
      </c>
      <c r="E4017" s="1">
        <v>0</v>
      </c>
      <c r="G4017" s="2">
        <f t="shared" si="62"/>
        <v>0</v>
      </c>
      <c r="H4017" s="2">
        <v>0</v>
      </c>
    </row>
    <row r="4018" spans="2:8">
      <c r="B4018" t="s">
        <v>1267</v>
      </c>
      <c r="C4018" t="s">
        <v>1505</v>
      </c>
      <c r="D4018" s="7" t="s">
        <v>476</v>
      </c>
      <c r="E4018" s="1">
        <v>0</v>
      </c>
      <c r="G4018" s="2">
        <f t="shared" si="62"/>
        <v>0</v>
      </c>
      <c r="H4018" s="2">
        <v>0</v>
      </c>
    </row>
    <row r="4019" spans="2:8">
      <c r="B4019" t="s">
        <v>1267</v>
      </c>
      <c r="C4019" t="s">
        <v>1505</v>
      </c>
      <c r="D4019" s="8" t="s">
        <v>477</v>
      </c>
      <c r="E4019" s="1">
        <v>0</v>
      </c>
      <c r="G4019" s="2">
        <f t="shared" si="62"/>
        <v>0</v>
      </c>
      <c r="H4019" s="2">
        <v>0</v>
      </c>
    </row>
    <row r="4020" spans="2:8">
      <c r="B4020" t="s">
        <v>1267</v>
      </c>
      <c r="C4020" t="s">
        <v>1505</v>
      </c>
      <c r="D4020" s="9" t="s">
        <v>478</v>
      </c>
      <c r="E4020" s="1">
        <v>0</v>
      </c>
      <c r="G4020" s="2">
        <f t="shared" si="62"/>
        <v>0</v>
      </c>
      <c r="H4020" s="2">
        <v>0</v>
      </c>
    </row>
    <row r="4021" spans="2:8">
      <c r="B4021" t="s">
        <v>1267</v>
      </c>
      <c r="C4021" t="s">
        <v>1505</v>
      </c>
      <c r="D4021" s="10" t="s">
        <v>479</v>
      </c>
      <c r="E4021" s="1">
        <v>0</v>
      </c>
      <c r="G4021" s="2">
        <f t="shared" si="62"/>
        <v>0</v>
      </c>
      <c r="H4021" s="2">
        <v>0</v>
      </c>
    </row>
    <row r="4022" spans="2:8">
      <c r="B4022" t="s">
        <v>1267</v>
      </c>
      <c r="C4022" t="s">
        <v>1505</v>
      </c>
      <c r="D4022" s="11" t="s">
        <v>480</v>
      </c>
      <c r="E4022" s="1">
        <v>0</v>
      </c>
      <c r="G4022" s="2">
        <f t="shared" si="62"/>
        <v>0</v>
      </c>
      <c r="H4022" s="2">
        <v>0</v>
      </c>
    </row>
    <row r="4023" spans="2:8">
      <c r="B4023" t="s">
        <v>1267</v>
      </c>
      <c r="C4023" t="s">
        <v>1505</v>
      </c>
      <c r="D4023" s="13" t="s">
        <v>481</v>
      </c>
      <c r="E4023" s="1">
        <v>0</v>
      </c>
      <c r="G4023" s="2">
        <f t="shared" si="62"/>
        <v>0</v>
      </c>
      <c r="H4023" s="2">
        <v>0</v>
      </c>
    </row>
    <row r="4024" spans="2:8">
      <c r="B4024" t="s">
        <v>1267</v>
      </c>
      <c r="C4024" t="s">
        <v>1505</v>
      </c>
      <c r="D4024" s="12" t="s">
        <v>1033</v>
      </c>
      <c r="E4024" s="1">
        <v>0</v>
      </c>
      <c r="G4024" s="2">
        <f t="shared" si="62"/>
        <v>0</v>
      </c>
      <c r="H4024" s="2">
        <v>0</v>
      </c>
    </row>
    <row r="4025" spans="2:8">
      <c r="B4025" t="s">
        <v>1301</v>
      </c>
      <c r="C4025" t="s">
        <v>1506</v>
      </c>
      <c r="D4025" s="5" t="s">
        <v>474</v>
      </c>
      <c r="E4025" s="1">
        <v>0</v>
      </c>
      <c r="G4025" s="2">
        <f t="shared" si="62"/>
        <v>0</v>
      </c>
      <c r="H4025" s="2">
        <v>0</v>
      </c>
    </row>
    <row r="4026" spans="2:8">
      <c r="B4026" t="s">
        <v>1301</v>
      </c>
      <c r="C4026" t="s">
        <v>1506</v>
      </c>
      <c r="D4026" s="6" t="s">
        <v>475</v>
      </c>
      <c r="E4026" s="1">
        <v>0</v>
      </c>
      <c r="G4026" s="2">
        <f t="shared" si="62"/>
        <v>0</v>
      </c>
      <c r="H4026" s="2">
        <v>0</v>
      </c>
    </row>
    <row r="4027" spans="2:8">
      <c r="B4027" t="s">
        <v>1301</v>
      </c>
      <c r="C4027" t="s">
        <v>1506</v>
      </c>
      <c r="D4027" s="7" t="s">
        <v>476</v>
      </c>
      <c r="E4027" s="1">
        <v>0</v>
      </c>
      <c r="G4027" s="2">
        <f t="shared" si="62"/>
        <v>0</v>
      </c>
      <c r="H4027" s="2">
        <v>0</v>
      </c>
    </row>
    <row r="4028" spans="2:8">
      <c r="B4028" t="s">
        <v>1301</v>
      </c>
      <c r="C4028" t="s">
        <v>1506</v>
      </c>
      <c r="D4028" s="8" t="s">
        <v>477</v>
      </c>
      <c r="E4028" s="1">
        <v>0</v>
      </c>
      <c r="G4028" s="2">
        <f t="shared" si="62"/>
        <v>0</v>
      </c>
      <c r="H4028" s="2">
        <v>0</v>
      </c>
    </row>
    <row r="4029" spans="2:8">
      <c r="B4029" t="s">
        <v>1301</v>
      </c>
      <c r="C4029" t="s">
        <v>1506</v>
      </c>
      <c r="D4029" s="9" t="s">
        <v>478</v>
      </c>
      <c r="E4029" s="1">
        <v>0</v>
      </c>
      <c r="G4029" s="2">
        <f t="shared" si="62"/>
        <v>0</v>
      </c>
      <c r="H4029" s="2">
        <v>0</v>
      </c>
    </row>
    <row r="4030" spans="2:8">
      <c r="B4030" t="s">
        <v>1301</v>
      </c>
      <c r="C4030" t="s">
        <v>1506</v>
      </c>
      <c r="D4030" s="10" t="s">
        <v>479</v>
      </c>
      <c r="E4030" s="1">
        <v>0</v>
      </c>
      <c r="G4030" s="2">
        <f t="shared" si="62"/>
        <v>0</v>
      </c>
      <c r="H4030" s="2">
        <v>0</v>
      </c>
    </row>
    <row r="4031" spans="2:8">
      <c r="B4031" t="s">
        <v>1301</v>
      </c>
      <c r="C4031" t="s">
        <v>1506</v>
      </c>
      <c r="D4031" s="11" t="s">
        <v>480</v>
      </c>
      <c r="E4031" s="1">
        <v>0</v>
      </c>
      <c r="G4031" s="2">
        <f t="shared" si="62"/>
        <v>0</v>
      </c>
      <c r="H4031" s="2">
        <v>0</v>
      </c>
    </row>
    <row r="4032" spans="2:8">
      <c r="B4032" t="s">
        <v>1301</v>
      </c>
      <c r="C4032" t="s">
        <v>1506</v>
      </c>
      <c r="D4032" s="13" t="s">
        <v>481</v>
      </c>
      <c r="E4032" s="1">
        <v>0</v>
      </c>
      <c r="G4032" s="2">
        <f t="shared" si="62"/>
        <v>0</v>
      </c>
      <c r="H4032" s="2">
        <v>0</v>
      </c>
    </row>
    <row r="4033" spans="2:8">
      <c r="B4033" t="s">
        <v>1301</v>
      </c>
      <c r="C4033" t="s">
        <v>1506</v>
      </c>
      <c r="D4033" s="12" t="s">
        <v>1033</v>
      </c>
      <c r="E4033" s="1">
        <v>0</v>
      </c>
      <c r="G4033" s="2">
        <f t="shared" si="62"/>
        <v>0</v>
      </c>
      <c r="H4033" s="2">
        <v>0</v>
      </c>
    </row>
    <row r="4034" spans="2:8">
      <c r="B4034" t="s">
        <v>1271</v>
      </c>
      <c r="C4034" t="s">
        <v>1567</v>
      </c>
      <c r="D4034" s="5" t="s">
        <v>474</v>
      </c>
      <c r="E4034" s="1">
        <v>0</v>
      </c>
      <c r="G4034" s="2">
        <f t="shared" ref="G4034:G4097" si="63">E4034*F4034</f>
        <v>0</v>
      </c>
      <c r="H4034" s="2">
        <v>0</v>
      </c>
    </row>
    <row r="4035" spans="2:8">
      <c r="B4035" t="s">
        <v>1271</v>
      </c>
      <c r="C4035" t="s">
        <v>1567</v>
      </c>
      <c r="D4035" s="6" t="s">
        <v>475</v>
      </c>
      <c r="E4035" s="1">
        <v>0</v>
      </c>
      <c r="G4035" s="2">
        <f t="shared" si="63"/>
        <v>0</v>
      </c>
      <c r="H4035" s="2">
        <v>0</v>
      </c>
    </row>
    <row r="4036" spans="2:8">
      <c r="B4036" t="s">
        <v>1271</v>
      </c>
      <c r="C4036" t="s">
        <v>1567</v>
      </c>
      <c r="D4036" s="7" t="s">
        <v>476</v>
      </c>
      <c r="E4036" s="1">
        <v>0</v>
      </c>
      <c r="G4036" s="2">
        <f t="shared" si="63"/>
        <v>0</v>
      </c>
      <c r="H4036" s="2">
        <v>0</v>
      </c>
    </row>
    <row r="4037" spans="2:8">
      <c r="B4037" t="s">
        <v>1271</v>
      </c>
      <c r="C4037" t="s">
        <v>1567</v>
      </c>
      <c r="D4037" s="8" t="s">
        <v>477</v>
      </c>
      <c r="E4037" s="1">
        <v>0</v>
      </c>
      <c r="G4037" s="2">
        <f t="shared" si="63"/>
        <v>0</v>
      </c>
      <c r="H4037" s="2">
        <v>0</v>
      </c>
    </row>
    <row r="4038" spans="2:8">
      <c r="B4038" t="s">
        <v>1271</v>
      </c>
      <c r="C4038" t="s">
        <v>1567</v>
      </c>
      <c r="D4038" s="9" t="s">
        <v>478</v>
      </c>
      <c r="E4038" s="1">
        <v>0</v>
      </c>
      <c r="G4038" s="2">
        <f t="shared" si="63"/>
        <v>0</v>
      </c>
      <c r="H4038" s="2">
        <v>0</v>
      </c>
    </row>
    <row r="4039" spans="2:8">
      <c r="B4039" t="s">
        <v>1271</v>
      </c>
      <c r="C4039" t="s">
        <v>1567</v>
      </c>
      <c r="D4039" s="10" t="s">
        <v>479</v>
      </c>
      <c r="E4039" s="1">
        <v>0</v>
      </c>
      <c r="G4039" s="2">
        <f t="shared" si="63"/>
        <v>0</v>
      </c>
      <c r="H4039" s="2">
        <v>0</v>
      </c>
    </row>
    <row r="4040" spans="2:8">
      <c r="B4040" t="s">
        <v>1271</v>
      </c>
      <c r="C4040" t="s">
        <v>1567</v>
      </c>
      <c r="D4040" s="11" t="s">
        <v>480</v>
      </c>
      <c r="E4040" s="1">
        <v>0</v>
      </c>
      <c r="G4040" s="2">
        <f t="shared" si="63"/>
        <v>0</v>
      </c>
      <c r="H4040" s="2">
        <v>0</v>
      </c>
    </row>
    <row r="4041" spans="2:8">
      <c r="B4041" t="s">
        <v>1271</v>
      </c>
      <c r="C4041" t="s">
        <v>1567</v>
      </c>
      <c r="D4041" s="13" t="s">
        <v>481</v>
      </c>
      <c r="E4041" s="1">
        <v>0</v>
      </c>
      <c r="G4041" s="2">
        <f t="shared" si="63"/>
        <v>0</v>
      </c>
      <c r="H4041" s="2">
        <v>0</v>
      </c>
    </row>
    <row r="4042" spans="2:8">
      <c r="B4042" t="s">
        <v>1271</v>
      </c>
      <c r="C4042" t="s">
        <v>1567</v>
      </c>
      <c r="D4042" s="12" t="s">
        <v>1033</v>
      </c>
      <c r="E4042" s="1">
        <v>0</v>
      </c>
      <c r="G4042" s="2">
        <f t="shared" si="63"/>
        <v>0</v>
      </c>
      <c r="H4042" s="2">
        <v>0</v>
      </c>
    </row>
    <row r="4043" spans="2:8">
      <c r="B4043" t="s">
        <v>1307</v>
      </c>
      <c r="C4043" t="s">
        <v>1507</v>
      </c>
      <c r="D4043" s="5" t="s">
        <v>474</v>
      </c>
      <c r="E4043" s="1">
        <v>0</v>
      </c>
      <c r="G4043" s="2">
        <f t="shared" si="63"/>
        <v>0</v>
      </c>
      <c r="H4043" s="2">
        <v>0</v>
      </c>
    </row>
    <row r="4044" spans="2:8">
      <c r="B4044" t="s">
        <v>1307</v>
      </c>
      <c r="C4044" t="s">
        <v>1507</v>
      </c>
      <c r="D4044" s="6" t="s">
        <v>475</v>
      </c>
      <c r="E4044" s="1">
        <v>0</v>
      </c>
      <c r="G4044" s="2">
        <f t="shared" si="63"/>
        <v>0</v>
      </c>
      <c r="H4044" s="2">
        <v>0</v>
      </c>
    </row>
    <row r="4045" spans="2:8">
      <c r="B4045" t="s">
        <v>1307</v>
      </c>
      <c r="C4045" t="s">
        <v>1507</v>
      </c>
      <c r="D4045" s="7" t="s">
        <v>476</v>
      </c>
      <c r="E4045" s="1">
        <v>0</v>
      </c>
      <c r="G4045" s="2">
        <f t="shared" si="63"/>
        <v>0</v>
      </c>
      <c r="H4045" s="2">
        <v>0</v>
      </c>
    </row>
    <row r="4046" spans="2:8">
      <c r="B4046" t="s">
        <v>1307</v>
      </c>
      <c r="C4046" t="s">
        <v>1507</v>
      </c>
      <c r="D4046" s="8" t="s">
        <v>477</v>
      </c>
      <c r="E4046" s="1">
        <v>0</v>
      </c>
      <c r="G4046" s="2">
        <f t="shared" si="63"/>
        <v>0</v>
      </c>
      <c r="H4046" s="2">
        <v>0</v>
      </c>
    </row>
    <row r="4047" spans="2:8">
      <c r="B4047" t="s">
        <v>1307</v>
      </c>
      <c r="C4047" t="s">
        <v>1507</v>
      </c>
      <c r="D4047" s="9" t="s">
        <v>478</v>
      </c>
      <c r="E4047" s="1">
        <v>0</v>
      </c>
      <c r="G4047" s="2">
        <f t="shared" si="63"/>
        <v>0</v>
      </c>
      <c r="H4047" s="2">
        <v>0</v>
      </c>
    </row>
    <row r="4048" spans="2:8">
      <c r="B4048" t="s">
        <v>1307</v>
      </c>
      <c r="C4048" t="s">
        <v>1507</v>
      </c>
      <c r="D4048" s="10" t="s">
        <v>479</v>
      </c>
      <c r="E4048" s="1">
        <v>0</v>
      </c>
      <c r="G4048" s="2">
        <f t="shared" si="63"/>
        <v>0</v>
      </c>
      <c r="H4048" s="2">
        <v>0</v>
      </c>
    </row>
    <row r="4049" spans="2:8">
      <c r="B4049" t="s">
        <v>1307</v>
      </c>
      <c r="C4049" t="s">
        <v>1507</v>
      </c>
      <c r="D4049" s="11" t="s">
        <v>480</v>
      </c>
      <c r="E4049" s="1">
        <v>0</v>
      </c>
      <c r="G4049" s="2">
        <f t="shared" si="63"/>
        <v>0</v>
      </c>
      <c r="H4049" s="2">
        <v>0</v>
      </c>
    </row>
    <row r="4050" spans="2:8">
      <c r="B4050" t="s">
        <v>1307</v>
      </c>
      <c r="C4050" t="s">
        <v>1507</v>
      </c>
      <c r="D4050" s="13" t="s">
        <v>481</v>
      </c>
      <c r="E4050" s="1">
        <v>0</v>
      </c>
      <c r="G4050" s="2">
        <f t="shared" si="63"/>
        <v>0</v>
      </c>
      <c r="H4050" s="2">
        <v>0</v>
      </c>
    </row>
    <row r="4051" spans="2:8">
      <c r="B4051" t="s">
        <v>1307</v>
      </c>
      <c r="C4051" t="s">
        <v>1507</v>
      </c>
      <c r="D4051" s="12" t="s">
        <v>1033</v>
      </c>
      <c r="E4051" s="1">
        <v>0</v>
      </c>
      <c r="G4051" s="2">
        <f t="shared" si="63"/>
        <v>0</v>
      </c>
      <c r="H4051" s="2">
        <v>0</v>
      </c>
    </row>
    <row r="4052" spans="2:8">
      <c r="B4052" t="s">
        <v>1317</v>
      </c>
      <c r="C4052" t="s">
        <v>1508</v>
      </c>
      <c r="D4052" s="5" t="s">
        <v>474</v>
      </c>
      <c r="E4052" s="1">
        <v>0</v>
      </c>
      <c r="G4052" s="2">
        <f t="shared" si="63"/>
        <v>0</v>
      </c>
      <c r="H4052" s="2">
        <v>0</v>
      </c>
    </row>
    <row r="4053" spans="2:8">
      <c r="B4053" t="s">
        <v>1317</v>
      </c>
      <c r="C4053" t="s">
        <v>1508</v>
      </c>
      <c r="D4053" s="6" t="s">
        <v>475</v>
      </c>
      <c r="E4053" s="1">
        <v>0</v>
      </c>
      <c r="G4053" s="2">
        <f t="shared" si="63"/>
        <v>0</v>
      </c>
      <c r="H4053" s="2">
        <v>0</v>
      </c>
    </row>
    <row r="4054" spans="2:8">
      <c r="B4054" t="s">
        <v>1317</v>
      </c>
      <c r="C4054" t="s">
        <v>1508</v>
      </c>
      <c r="D4054" s="7" t="s">
        <v>476</v>
      </c>
      <c r="E4054" s="1">
        <v>0</v>
      </c>
      <c r="G4054" s="2">
        <f t="shared" si="63"/>
        <v>0</v>
      </c>
      <c r="H4054" s="2">
        <v>0</v>
      </c>
    </row>
    <row r="4055" spans="2:8">
      <c r="B4055" t="s">
        <v>1317</v>
      </c>
      <c r="C4055" t="s">
        <v>1508</v>
      </c>
      <c r="D4055" s="8" t="s">
        <v>477</v>
      </c>
      <c r="E4055" s="1">
        <v>0</v>
      </c>
      <c r="G4055" s="2">
        <f t="shared" si="63"/>
        <v>0</v>
      </c>
      <c r="H4055" s="2">
        <v>0</v>
      </c>
    </row>
    <row r="4056" spans="2:8">
      <c r="B4056" t="s">
        <v>1317</v>
      </c>
      <c r="C4056" t="s">
        <v>1508</v>
      </c>
      <c r="D4056" s="9" t="s">
        <v>478</v>
      </c>
      <c r="E4056" s="1">
        <v>0</v>
      </c>
      <c r="G4056" s="2">
        <f t="shared" si="63"/>
        <v>0</v>
      </c>
      <c r="H4056" s="2">
        <v>0</v>
      </c>
    </row>
    <row r="4057" spans="2:8">
      <c r="B4057" t="s">
        <v>1317</v>
      </c>
      <c r="C4057" t="s">
        <v>1508</v>
      </c>
      <c r="D4057" s="10" t="s">
        <v>479</v>
      </c>
      <c r="E4057" s="1">
        <v>0</v>
      </c>
      <c r="G4057" s="2">
        <f t="shared" si="63"/>
        <v>0</v>
      </c>
      <c r="H4057" s="2">
        <v>0</v>
      </c>
    </row>
    <row r="4058" spans="2:8">
      <c r="B4058" t="s">
        <v>1317</v>
      </c>
      <c r="C4058" t="s">
        <v>1508</v>
      </c>
      <c r="D4058" s="11" t="s">
        <v>480</v>
      </c>
      <c r="E4058" s="1">
        <v>0</v>
      </c>
      <c r="G4058" s="2">
        <f t="shared" si="63"/>
        <v>0</v>
      </c>
      <c r="H4058" s="2">
        <v>0</v>
      </c>
    </row>
    <row r="4059" spans="2:8">
      <c r="B4059" t="s">
        <v>1317</v>
      </c>
      <c r="C4059" t="s">
        <v>1508</v>
      </c>
      <c r="D4059" s="13" t="s">
        <v>481</v>
      </c>
      <c r="E4059" s="1">
        <v>0</v>
      </c>
      <c r="G4059" s="2">
        <f t="shared" si="63"/>
        <v>0</v>
      </c>
      <c r="H4059" s="2">
        <v>0</v>
      </c>
    </row>
    <row r="4060" spans="2:8">
      <c r="B4060" t="s">
        <v>1317</v>
      </c>
      <c r="C4060" t="s">
        <v>1508</v>
      </c>
      <c r="D4060" s="12" t="s">
        <v>1033</v>
      </c>
      <c r="E4060" s="1">
        <v>0</v>
      </c>
      <c r="G4060" s="2">
        <f t="shared" si="63"/>
        <v>0</v>
      </c>
      <c r="H4060" s="2">
        <v>0</v>
      </c>
    </row>
    <row r="4061" spans="2:8">
      <c r="B4061" t="s">
        <v>1275</v>
      </c>
      <c r="C4061" t="s">
        <v>1564</v>
      </c>
      <c r="D4061" s="5" t="s">
        <v>474</v>
      </c>
      <c r="E4061" s="1">
        <v>0</v>
      </c>
      <c r="G4061" s="2">
        <f t="shared" si="63"/>
        <v>0</v>
      </c>
      <c r="H4061" s="2">
        <v>0</v>
      </c>
    </row>
    <row r="4062" spans="2:8">
      <c r="B4062" t="s">
        <v>1275</v>
      </c>
      <c r="C4062" t="s">
        <v>1564</v>
      </c>
      <c r="D4062" s="6" t="s">
        <v>475</v>
      </c>
      <c r="E4062" s="1">
        <v>0</v>
      </c>
      <c r="G4062" s="2">
        <f t="shared" si="63"/>
        <v>0</v>
      </c>
      <c r="H4062" s="2">
        <v>0</v>
      </c>
    </row>
    <row r="4063" spans="2:8">
      <c r="B4063" t="s">
        <v>1275</v>
      </c>
      <c r="C4063" t="s">
        <v>1564</v>
      </c>
      <c r="D4063" s="7" t="s">
        <v>476</v>
      </c>
      <c r="E4063" s="1">
        <v>0</v>
      </c>
      <c r="G4063" s="2">
        <f t="shared" si="63"/>
        <v>0</v>
      </c>
      <c r="H4063" s="2">
        <v>0</v>
      </c>
    </row>
    <row r="4064" spans="2:8">
      <c r="B4064" t="s">
        <v>1275</v>
      </c>
      <c r="C4064" t="s">
        <v>1564</v>
      </c>
      <c r="D4064" s="8" t="s">
        <v>477</v>
      </c>
      <c r="E4064" s="1">
        <v>0</v>
      </c>
      <c r="G4064" s="2">
        <f t="shared" si="63"/>
        <v>0</v>
      </c>
      <c r="H4064" s="2">
        <v>0</v>
      </c>
    </row>
    <row r="4065" spans="2:8">
      <c r="B4065" t="s">
        <v>1275</v>
      </c>
      <c r="C4065" t="s">
        <v>1564</v>
      </c>
      <c r="D4065" s="9" t="s">
        <v>478</v>
      </c>
      <c r="E4065" s="1">
        <v>0</v>
      </c>
      <c r="G4065" s="2">
        <f t="shared" si="63"/>
        <v>0</v>
      </c>
      <c r="H4065" s="2">
        <v>0</v>
      </c>
    </row>
    <row r="4066" spans="2:8">
      <c r="B4066" t="s">
        <v>1275</v>
      </c>
      <c r="C4066" t="s">
        <v>1564</v>
      </c>
      <c r="D4066" s="10" t="s">
        <v>479</v>
      </c>
      <c r="E4066" s="1">
        <v>0</v>
      </c>
      <c r="G4066" s="2">
        <f t="shared" si="63"/>
        <v>0</v>
      </c>
      <c r="H4066" s="2">
        <v>0</v>
      </c>
    </row>
    <row r="4067" spans="2:8">
      <c r="B4067" t="s">
        <v>1275</v>
      </c>
      <c r="C4067" t="s">
        <v>1564</v>
      </c>
      <c r="D4067" s="11" t="s">
        <v>480</v>
      </c>
      <c r="E4067" s="1">
        <v>0</v>
      </c>
      <c r="G4067" s="2">
        <f t="shared" si="63"/>
        <v>0</v>
      </c>
      <c r="H4067" s="2">
        <v>0</v>
      </c>
    </row>
    <row r="4068" spans="2:8">
      <c r="B4068" t="s">
        <v>1275</v>
      </c>
      <c r="C4068" t="s">
        <v>1564</v>
      </c>
      <c r="D4068" s="13" t="s">
        <v>481</v>
      </c>
      <c r="E4068" s="1">
        <v>0</v>
      </c>
      <c r="G4068" s="2">
        <f t="shared" si="63"/>
        <v>0</v>
      </c>
      <c r="H4068" s="2">
        <v>0</v>
      </c>
    </row>
    <row r="4069" spans="2:8">
      <c r="B4069" t="s">
        <v>1275</v>
      </c>
      <c r="C4069" t="s">
        <v>1564</v>
      </c>
      <c r="D4069" s="12" t="s">
        <v>1033</v>
      </c>
      <c r="E4069" s="1">
        <v>0</v>
      </c>
      <c r="G4069" s="2">
        <f t="shared" si="63"/>
        <v>0</v>
      </c>
      <c r="H4069" s="2">
        <v>0</v>
      </c>
    </row>
    <row r="4070" spans="2:8">
      <c r="B4070" t="s">
        <v>1316</v>
      </c>
      <c r="C4070" t="s">
        <v>1509</v>
      </c>
      <c r="D4070" s="5" t="s">
        <v>474</v>
      </c>
      <c r="E4070" s="1">
        <v>0</v>
      </c>
      <c r="G4070" s="2">
        <f t="shared" si="63"/>
        <v>0</v>
      </c>
      <c r="H4070" s="2">
        <v>0</v>
      </c>
    </row>
    <row r="4071" spans="2:8">
      <c r="B4071" t="s">
        <v>1316</v>
      </c>
      <c r="C4071" t="s">
        <v>1509</v>
      </c>
      <c r="D4071" s="6" t="s">
        <v>475</v>
      </c>
      <c r="E4071" s="1">
        <v>0</v>
      </c>
      <c r="G4071" s="2">
        <f t="shared" si="63"/>
        <v>0</v>
      </c>
      <c r="H4071" s="2">
        <v>0</v>
      </c>
    </row>
    <row r="4072" spans="2:8">
      <c r="B4072" t="s">
        <v>1316</v>
      </c>
      <c r="C4072" t="s">
        <v>1509</v>
      </c>
      <c r="D4072" s="7" t="s">
        <v>476</v>
      </c>
      <c r="E4072" s="1">
        <v>0</v>
      </c>
      <c r="G4072" s="2">
        <f t="shared" si="63"/>
        <v>0</v>
      </c>
      <c r="H4072" s="2">
        <v>0</v>
      </c>
    </row>
    <row r="4073" spans="2:8">
      <c r="B4073" t="s">
        <v>1316</v>
      </c>
      <c r="C4073" t="s">
        <v>1509</v>
      </c>
      <c r="D4073" s="8" t="s">
        <v>477</v>
      </c>
      <c r="E4073" s="1">
        <v>0</v>
      </c>
      <c r="G4073" s="2">
        <f t="shared" si="63"/>
        <v>0</v>
      </c>
      <c r="H4073" s="2">
        <v>0</v>
      </c>
    </row>
    <row r="4074" spans="2:8">
      <c r="B4074" t="s">
        <v>1316</v>
      </c>
      <c r="C4074" t="s">
        <v>1509</v>
      </c>
      <c r="D4074" s="9" t="s">
        <v>478</v>
      </c>
      <c r="E4074" s="1">
        <v>0</v>
      </c>
      <c r="G4074" s="2">
        <f t="shared" si="63"/>
        <v>0</v>
      </c>
      <c r="H4074" s="2">
        <v>0</v>
      </c>
    </row>
    <row r="4075" spans="2:8">
      <c r="B4075" t="s">
        <v>1316</v>
      </c>
      <c r="C4075" t="s">
        <v>1509</v>
      </c>
      <c r="D4075" s="10" t="s">
        <v>479</v>
      </c>
      <c r="E4075" s="1">
        <v>0</v>
      </c>
      <c r="G4075" s="2">
        <f t="shared" si="63"/>
        <v>0</v>
      </c>
      <c r="H4075" s="2">
        <v>0</v>
      </c>
    </row>
    <row r="4076" spans="2:8">
      <c r="B4076" t="s">
        <v>1316</v>
      </c>
      <c r="C4076" t="s">
        <v>1509</v>
      </c>
      <c r="D4076" s="11" t="s">
        <v>480</v>
      </c>
      <c r="E4076" s="1">
        <v>0</v>
      </c>
      <c r="G4076" s="2">
        <f t="shared" si="63"/>
        <v>0</v>
      </c>
      <c r="H4076" s="2">
        <v>0</v>
      </c>
    </row>
    <row r="4077" spans="2:8">
      <c r="B4077" t="s">
        <v>1316</v>
      </c>
      <c r="C4077" t="s">
        <v>1509</v>
      </c>
      <c r="D4077" s="13" t="s">
        <v>481</v>
      </c>
      <c r="E4077" s="1">
        <v>0</v>
      </c>
      <c r="G4077" s="2">
        <f t="shared" si="63"/>
        <v>0</v>
      </c>
      <c r="H4077" s="2">
        <v>0</v>
      </c>
    </row>
    <row r="4078" spans="2:8">
      <c r="B4078" t="s">
        <v>1316</v>
      </c>
      <c r="C4078" t="s">
        <v>1509</v>
      </c>
      <c r="D4078" s="12" t="s">
        <v>1033</v>
      </c>
      <c r="E4078" s="1">
        <v>0</v>
      </c>
      <c r="G4078" s="2">
        <f t="shared" si="63"/>
        <v>0</v>
      </c>
      <c r="H4078" s="2">
        <v>0</v>
      </c>
    </row>
    <row r="4079" spans="2:8">
      <c r="B4079" t="s">
        <v>1280</v>
      </c>
      <c r="C4079" t="s">
        <v>1510</v>
      </c>
      <c r="D4079" s="5" t="s">
        <v>474</v>
      </c>
      <c r="E4079" s="1">
        <v>0</v>
      </c>
      <c r="G4079" s="2">
        <f t="shared" si="63"/>
        <v>0</v>
      </c>
      <c r="H4079" s="2">
        <v>0</v>
      </c>
    </row>
    <row r="4080" spans="2:8">
      <c r="B4080" t="s">
        <v>1280</v>
      </c>
      <c r="C4080" t="s">
        <v>1510</v>
      </c>
      <c r="D4080" s="6" t="s">
        <v>475</v>
      </c>
      <c r="E4080" s="1">
        <v>0</v>
      </c>
      <c r="G4080" s="2">
        <f t="shared" si="63"/>
        <v>0</v>
      </c>
      <c r="H4080" s="2">
        <v>0</v>
      </c>
    </row>
    <row r="4081" spans="2:8">
      <c r="B4081" t="s">
        <v>1280</v>
      </c>
      <c r="C4081" t="s">
        <v>1510</v>
      </c>
      <c r="D4081" s="7" t="s">
        <v>476</v>
      </c>
      <c r="E4081" s="1">
        <v>0</v>
      </c>
      <c r="G4081" s="2">
        <f t="shared" si="63"/>
        <v>0</v>
      </c>
      <c r="H4081" s="2">
        <v>0</v>
      </c>
    </row>
    <row r="4082" spans="2:8">
      <c r="B4082" t="s">
        <v>1280</v>
      </c>
      <c r="C4082" t="s">
        <v>1510</v>
      </c>
      <c r="D4082" s="8" t="s">
        <v>477</v>
      </c>
      <c r="E4082" s="1">
        <v>0</v>
      </c>
      <c r="G4082" s="2">
        <f t="shared" si="63"/>
        <v>0</v>
      </c>
      <c r="H4082" s="2">
        <v>0</v>
      </c>
    </row>
    <row r="4083" spans="2:8">
      <c r="B4083" t="s">
        <v>1280</v>
      </c>
      <c r="C4083" t="s">
        <v>1510</v>
      </c>
      <c r="D4083" s="9" t="s">
        <v>478</v>
      </c>
      <c r="E4083" s="1">
        <v>0</v>
      </c>
      <c r="G4083" s="2">
        <f t="shared" si="63"/>
        <v>0</v>
      </c>
      <c r="H4083" s="2">
        <v>0</v>
      </c>
    </row>
    <row r="4084" spans="2:8">
      <c r="B4084" t="s">
        <v>1280</v>
      </c>
      <c r="C4084" t="s">
        <v>1510</v>
      </c>
      <c r="D4084" s="10" t="s">
        <v>479</v>
      </c>
      <c r="E4084" s="1">
        <v>0</v>
      </c>
      <c r="G4084" s="2">
        <f t="shared" si="63"/>
        <v>0</v>
      </c>
      <c r="H4084" s="2">
        <v>0</v>
      </c>
    </row>
    <row r="4085" spans="2:8">
      <c r="B4085" t="s">
        <v>1280</v>
      </c>
      <c r="C4085" t="s">
        <v>1510</v>
      </c>
      <c r="D4085" s="11" t="s">
        <v>480</v>
      </c>
      <c r="E4085" s="1">
        <v>0</v>
      </c>
      <c r="G4085" s="2">
        <f t="shared" si="63"/>
        <v>0</v>
      </c>
      <c r="H4085" s="2">
        <v>0</v>
      </c>
    </row>
    <row r="4086" spans="2:8">
      <c r="B4086" t="s">
        <v>1280</v>
      </c>
      <c r="C4086" t="s">
        <v>1510</v>
      </c>
      <c r="D4086" s="13" t="s">
        <v>481</v>
      </c>
      <c r="E4086" s="1">
        <v>0</v>
      </c>
      <c r="G4086" s="2">
        <f t="shared" si="63"/>
        <v>0</v>
      </c>
      <c r="H4086" s="2">
        <v>0</v>
      </c>
    </row>
    <row r="4087" spans="2:8">
      <c r="B4087" t="s">
        <v>1280</v>
      </c>
      <c r="C4087" t="s">
        <v>1510</v>
      </c>
      <c r="D4087" s="12" t="s">
        <v>1033</v>
      </c>
      <c r="E4087" s="1">
        <v>0</v>
      </c>
      <c r="G4087" s="2">
        <f t="shared" si="63"/>
        <v>0</v>
      </c>
      <c r="H4087" s="2">
        <v>0</v>
      </c>
    </row>
    <row r="4088" spans="2:8">
      <c r="B4088" t="s">
        <v>1281</v>
      </c>
      <c r="C4088" t="s">
        <v>1511</v>
      </c>
      <c r="D4088" s="5" t="s">
        <v>474</v>
      </c>
      <c r="E4088" s="1">
        <v>0</v>
      </c>
      <c r="G4088" s="2">
        <f t="shared" si="63"/>
        <v>0</v>
      </c>
      <c r="H4088" s="2">
        <v>0</v>
      </c>
    </row>
    <row r="4089" spans="2:8">
      <c r="B4089" t="s">
        <v>1281</v>
      </c>
      <c r="C4089" t="s">
        <v>1511</v>
      </c>
      <c r="D4089" s="6" t="s">
        <v>475</v>
      </c>
      <c r="E4089" s="1">
        <v>0</v>
      </c>
      <c r="G4089" s="2">
        <f t="shared" si="63"/>
        <v>0</v>
      </c>
      <c r="H4089" s="2">
        <v>0</v>
      </c>
    </row>
    <row r="4090" spans="2:8">
      <c r="B4090" t="s">
        <v>1281</v>
      </c>
      <c r="C4090" t="s">
        <v>1511</v>
      </c>
      <c r="D4090" s="7" t="s">
        <v>476</v>
      </c>
      <c r="E4090" s="1">
        <v>0</v>
      </c>
      <c r="G4090" s="2">
        <f t="shared" si="63"/>
        <v>0</v>
      </c>
      <c r="H4090" s="2">
        <v>0</v>
      </c>
    </row>
    <row r="4091" spans="2:8">
      <c r="B4091" t="s">
        <v>1281</v>
      </c>
      <c r="C4091" t="s">
        <v>1511</v>
      </c>
      <c r="D4091" s="8" t="s">
        <v>477</v>
      </c>
      <c r="E4091" s="1">
        <v>0</v>
      </c>
      <c r="G4091" s="2">
        <f t="shared" si="63"/>
        <v>0</v>
      </c>
      <c r="H4091" s="2">
        <v>0</v>
      </c>
    </row>
    <row r="4092" spans="2:8">
      <c r="B4092" t="s">
        <v>1281</v>
      </c>
      <c r="C4092" t="s">
        <v>1511</v>
      </c>
      <c r="D4092" s="9" t="s">
        <v>478</v>
      </c>
      <c r="E4092" s="1">
        <v>0</v>
      </c>
      <c r="G4092" s="2">
        <f t="shared" si="63"/>
        <v>0</v>
      </c>
      <c r="H4092" s="2">
        <v>0</v>
      </c>
    </row>
    <row r="4093" spans="2:8">
      <c r="B4093" t="s">
        <v>1281</v>
      </c>
      <c r="C4093" t="s">
        <v>1511</v>
      </c>
      <c r="D4093" s="10" t="s">
        <v>479</v>
      </c>
      <c r="E4093" s="1">
        <v>0</v>
      </c>
      <c r="G4093" s="2">
        <f t="shared" si="63"/>
        <v>0</v>
      </c>
      <c r="H4093" s="2">
        <v>0</v>
      </c>
    </row>
    <row r="4094" spans="2:8">
      <c r="B4094" t="s">
        <v>1281</v>
      </c>
      <c r="C4094" t="s">
        <v>1511</v>
      </c>
      <c r="D4094" s="11" t="s">
        <v>480</v>
      </c>
      <c r="E4094" s="1">
        <v>0</v>
      </c>
      <c r="G4094" s="2">
        <f t="shared" si="63"/>
        <v>0</v>
      </c>
      <c r="H4094" s="2">
        <v>0</v>
      </c>
    </row>
    <row r="4095" spans="2:8">
      <c r="B4095" t="s">
        <v>1281</v>
      </c>
      <c r="C4095" t="s">
        <v>1511</v>
      </c>
      <c r="D4095" s="13" t="s">
        <v>481</v>
      </c>
      <c r="E4095" s="1">
        <v>0</v>
      </c>
      <c r="G4095" s="2">
        <f t="shared" si="63"/>
        <v>0</v>
      </c>
      <c r="H4095" s="2">
        <v>0</v>
      </c>
    </row>
    <row r="4096" spans="2:8">
      <c r="B4096" t="s">
        <v>1281</v>
      </c>
      <c r="C4096" t="s">
        <v>1511</v>
      </c>
      <c r="D4096" s="12" t="s">
        <v>1033</v>
      </c>
      <c r="E4096" s="1">
        <v>0</v>
      </c>
      <c r="G4096" s="2">
        <f t="shared" si="63"/>
        <v>0</v>
      </c>
      <c r="H4096" s="2">
        <v>0</v>
      </c>
    </row>
    <row r="4097" spans="2:8">
      <c r="B4097" t="s">
        <v>1319</v>
      </c>
      <c r="C4097" t="s">
        <v>1512</v>
      </c>
      <c r="D4097" s="5" t="s">
        <v>474</v>
      </c>
      <c r="E4097" s="1">
        <v>0</v>
      </c>
      <c r="G4097" s="2">
        <f t="shared" si="63"/>
        <v>0</v>
      </c>
      <c r="H4097" s="2">
        <v>0</v>
      </c>
    </row>
    <row r="4098" spans="2:8">
      <c r="B4098" t="s">
        <v>1319</v>
      </c>
      <c r="C4098" t="s">
        <v>1512</v>
      </c>
      <c r="D4098" s="6" t="s">
        <v>475</v>
      </c>
      <c r="E4098" s="1">
        <v>0</v>
      </c>
      <c r="G4098" s="2">
        <f t="shared" ref="G4098:G4161" si="64">E4098*F4098</f>
        <v>0</v>
      </c>
      <c r="H4098" s="2">
        <v>0</v>
      </c>
    </row>
    <row r="4099" spans="2:8">
      <c r="B4099" t="s">
        <v>1319</v>
      </c>
      <c r="C4099" t="s">
        <v>1512</v>
      </c>
      <c r="D4099" s="7" t="s">
        <v>476</v>
      </c>
      <c r="E4099" s="1">
        <v>0</v>
      </c>
      <c r="G4099" s="2">
        <f t="shared" si="64"/>
        <v>0</v>
      </c>
      <c r="H4099" s="2">
        <v>0</v>
      </c>
    </row>
    <row r="4100" spans="2:8">
      <c r="B4100" t="s">
        <v>1319</v>
      </c>
      <c r="C4100" t="s">
        <v>1512</v>
      </c>
      <c r="D4100" s="8" t="s">
        <v>477</v>
      </c>
      <c r="E4100" s="1">
        <v>0</v>
      </c>
      <c r="G4100" s="2">
        <f t="shared" si="64"/>
        <v>0</v>
      </c>
      <c r="H4100" s="2">
        <v>0</v>
      </c>
    </row>
    <row r="4101" spans="2:8">
      <c r="B4101" t="s">
        <v>1319</v>
      </c>
      <c r="C4101" t="s">
        <v>1512</v>
      </c>
      <c r="D4101" s="9" t="s">
        <v>478</v>
      </c>
      <c r="E4101" s="1">
        <v>0</v>
      </c>
      <c r="G4101" s="2">
        <f t="shared" si="64"/>
        <v>0</v>
      </c>
      <c r="H4101" s="2">
        <v>0</v>
      </c>
    </row>
    <row r="4102" spans="2:8">
      <c r="B4102" t="s">
        <v>1319</v>
      </c>
      <c r="C4102" t="s">
        <v>1512</v>
      </c>
      <c r="D4102" s="10" t="s">
        <v>479</v>
      </c>
      <c r="E4102" s="1">
        <v>0</v>
      </c>
      <c r="G4102" s="2">
        <f t="shared" si="64"/>
        <v>0</v>
      </c>
      <c r="H4102" s="2">
        <v>0</v>
      </c>
    </row>
    <row r="4103" spans="2:8">
      <c r="B4103" t="s">
        <v>1319</v>
      </c>
      <c r="C4103" t="s">
        <v>1512</v>
      </c>
      <c r="D4103" s="11" t="s">
        <v>480</v>
      </c>
      <c r="E4103" s="1">
        <v>0</v>
      </c>
      <c r="G4103" s="2">
        <f t="shared" si="64"/>
        <v>0</v>
      </c>
      <c r="H4103" s="2">
        <v>0</v>
      </c>
    </row>
    <row r="4104" spans="2:8">
      <c r="B4104" t="s">
        <v>1319</v>
      </c>
      <c r="C4104" t="s">
        <v>1512</v>
      </c>
      <c r="D4104" s="13" t="s">
        <v>481</v>
      </c>
      <c r="E4104" s="1">
        <v>0</v>
      </c>
      <c r="G4104" s="2">
        <f t="shared" si="64"/>
        <v>0</v>
      </c>
      <c r="H4104" s="2">
        <v>0</v>
      </c>
    </row>
    <row r="4105" spans="2:8">
      <c r="B4105" t="s">
        <v>1319</v>
      </c>
      <c r="C4105" t="s">
        <v>1512</v>
      </c>
      <c r="D4105" s="12" t="s">
        <v>1033</v>
      </c>
      <c r="E4105" s="1">
        <v>0</v>
      </c>
      <c r="G4105" s="2">
        <f t="shared" si="64"/>
        <v>0</v>
      </c>
      <c r="H4105" s="2">
        <v>0</v>
      </c>
    </row>
    <row r="4106" spans="2:8">
      <c r="B4106" t="s">
        <v>1279</v>
      </c>
      <c r="C4106" t="s">
        <v>1513</v>
      </c>
      <c r="D4106" s="5" t="s">
        <v>474</v>
      </c>
      <c r="E4106" s="1">
        <v>0</v>
      </c>
      <c r="G4106" s="2">
        <f t="shared" si="64"/>
        <v>0</v>
      </c>
      <c r="H4106" s="2">
        <v>0</v>
      </c>
    </row>
    <row r="4107" spans="2:8">
      <c r="B4107" t="s">
        <v>1279</v>
      </c>
      <c r="C4107" t="s">
        <v>1513</v>
      </c>
      <c r="D4107" s="6" t="s">
        <v>475</v>
      </c>
      <c r="E4107" s="1">
        <v>0</v>
      </c>
      <c r="G4107" s="2">
        <f t="shared" si="64"/>
        <v>0</v>
      </c>
      <c r="H4107" s="2">
        <v>0</v>
      </c>
    </row>
    <row r="4108" spans="2:8">
      <c r="B4108" t="s">
        <v>1279</v>
      </c>
      <c r="C4108" t="s">
        <v>1513</v>
      </c>
      <c r="D4108" s="7" t="s">
        <v>476</v>
      </c>
      <c r="E4108" s="1">
        <v>0</v>
      </c>
      <c r="G4108" s="2">
        <f t="shared" si="64"/>
        <v>0</v>
      </c>
      <c r="H4108" s="2">
        <v>0</v>
      </c>
    </row>
    <row r="4109" spans="2:8">
      <c r="B4109" t="s">
        <v>1279</v>
      </c>
      <c r="C4109" t="s">
        <v>1513</v>
      </c>
      <c r="D4109" s="8" t="s">
        <v>477</v>
      </c>
      <c r="E4109" s="1">
        <v>0</v>
      </c>
      <c r="G4109" s="2">
        <f t="shared" si="64"/>
        <v>0</v>
      </c>
      <c r="H4109" s="2">
        <v>0</v>
      </c>
    </row>
    <row r="4110" spans="2:8">
      <c r="B4110" t="s">
        <v>1279</v>
      </c>
      <c r="C4110" t="s">
        <v>1513</v>
      </c>
      <c r="D4110" s="9" t="s">
        <v>478</v>
      </c>
      <c r="E4110" s="1">
        <v>0</v>
      </c>
      <c r="G4110" s="2">
        <f t="shared" si="64"/>
        <v>0</v>
      </c>
      <c r="H4110" s="2">
        <v>0</v>
      </c>
    </row>
    <row r="4111" spans="2:8">
      <c r="B4111" t="s">
        <v>1279</v>
      </c>
      <c r="C4111" t="s">
        <v>1513</v>
      </c>
      <c r="D4111" s="10" t="s">
        <v>479</v>
      </c>
      <c r="E4111" s="1">
        <v>0</v>
      </c>
      <c r="G4111" s="2">
        <f t="shared" si="64"/>
        <v>0</v>
      </c>
      <c r="H4111" s="2">
        <v>0</v>
      </c>
    </row>
    <row r="4112" spans="2:8">
      <c r="B4112" t="s">
        <v>1279</v>
      </c>
      <c r="C4112" t="s">
        <v>1513</v>
      </c>
      <c r="D4112" s="11" t="s">
        <v>480</v>
      </c>
      <c r="E4112" s="1">
        <v>0</v>
      </c>
      <c r="G4112" s="2">
        <f t="shared" si="64"/>
        <v>0</v>
      </c>
      <c r="H4112" s="2">
        <v>0</v>
      </c>
    </row>
    <row r="4113" spans="2:8">
      <c r="B4113" t="s">
        <v>1279</v>
      </c>
      <c r="C4113" t="s">
        <v>1513</v>
      </c>
      <c r="D4113" s="13" t="s">
        <v>481</v>
      </c>
      <c r="E4113" s="1">
        <v>0</v>
      </c>
      <c r="G4113" s="2">
        <f t="shared" si="64"/>
        <v>0</v>
      </c>
      <c r="H4113" s="2">
        <v>0</v>
      </c>
    </row>
    <row r="4114" spans="2:8">
      <c r="B4114" t="s">
        <v>1279</v>
      </c>
      <c r="C4114" t="s">
        <v>1513</v>
      </c>
      <c r="D4114" s="12" t="s">
        <v>1033</v>
      </c>
      <c r="E4114" s="1">
        <v>0</v>
      </c>
      <c r="G4114" s="2">
        <f t="shared" si="64"/>
        <v>0</v>
      </c>
      <c r="H4114" s="2">
        <v>0</v>
      </c>
    </row>
    <row r="4115" spans="2:8">
      <c r="B4115" t="s">
        <v>1291</v>
      </c>
      <c r="C4115" t="s">
        <v>1514</v>
      </c>
      <c r="D4115" s="5" t="s">
        <v>474</v>
      </c>
      <c r="E4115" s="1">
        <v>0</v>
      </c>
      <c r="G4115" s="2">
        <f t="shared" si="64"/>
        <v>0</v>
      </c>
      <c r="H4115" s="2">
        <v>0</v>
      </c>
    </row>
    <row r="4116" spans="2:8">
      <c r="B4116" t="s">
        <v>1291</v>
      </c>
      <c r="C4116" t="s">
        <v>1514</v>
      </c>
      <c r="D4116" s="6" t="s">
        <v>475</v>
      </c>
      <c r="E4116" s="1">
        <v>0</v>
      </c>
      <c r="G4116" s="2">
        <f t="shared" si="64"/>
        <v>0</v>
      </c>
      <c r="H4116" s="2">
        <v>0</v>
      </c>
    </row>
    <row r="4117" spans="2:8">
      <c r="B4117" t="s">
        <v>1291</v>
      </c>
      <c r="C4117" t="s">
        <v>1514</v>
      </c>
      <c r="D4117" s="7" t="s">
        <v>476</v>
      </c>
      <c r="E4117" s="1">
        <v>0</v>
      </c>
      <c r="G4117" s="2">
        <f t="shared" si="64"/>
        <v>0</v>
      </c>
      <c r="H4117" s="2">
        <v>0</v>
      </c>
    </row>
    <row r="4118" spans="2:8">
      <c r="B4118" t="s">
        <v>1291</v>
      </c>
      <c r="C4118" t="s">
        <v>1514</v>
      </c>
      <c r="D4118" s="8" t="s">
        <v>477</v>
      </c>
      <c r="E4118" s="1">
        <v>0</v>
      </c>
      <c r="G4118" s="2">
        <f t="shared" si="64"/>
        <v>0</v>
      </c>
      <c r="H4118" s="2">
        <v>0</v>
      </c>
    </row>
    <row r="4119" spans="2:8">
      <c r="B4119" t="s">
        <v>1291</v>
      </c>
      <c r="C4119" t="s">
        <v>1514</v>
      </c>
      <c r="D4119" s="9" t="s">
        <v>478</v>
      </c>
      <c r="E4119" s="1">
        <v>0</v>
      </c>
      <c r="G4119" s="2">
        <f t="shared" si="64"/>
        <v>0</v>
      </c>
      <c r="H4119" s="2">
        <v>0</v>
      </c>
    </row>
    <row r="4120" spans="2:8">
      <c r="B4120" t="s">
        <v>1291</v>
      </c>
      <c r="C4120" t="s">
        <v>1514</v>
      </c>
      <c r="D4120" s="10" t="s">
        <v>479</v>
      </c>
      <c r="E4120" s="1">
        <v>0</v>
      </c>
      <c r="G4120" s="2">
        <f t="shared" si="64"/>
        <v>0</v>
      </c>
      <c r="H4120" s="2">
        <v>0</v>
      </c>
    </row>
    <row r="4121" spans="2:8">
      <c r="B4121" t="s">
        <v>1291</v>
      </c>
      <c r="C4121" t="s">
        <v>1514</v>
      </c>
      <c r="D4121" s="11" t="s">
        <v>480</v>
      </c>
      <c r="E4121" s="1">
        <v>0</v>
      </c>
      <c r="G4121" s="2">
        <f t="shared" si="64"/>
        <v>0</v>
      </c>
      <c r="H4121" s="2">
        <v>0</v>
      </c>
    </row>
    <row r="4122" spans="2:8">
      <c r="B4122" t="s">
        <v>1291</v>
      </c>
      <c r="C4122" t="s">
        <v>1514</v>
      </c>
      <c r="D4122" s="13" t="s">
        <v>481</v>
      </c>
      <c r="E4122" s="1">
        <v>0</v>
      </c>
      <c r="G4122" s="2">
        <f t="shared" si="64"/>
        <v>0</v>
      </c>
      <c r="H4122" s="2">
        <v>0</v>
      </c>
    </row>
    <row r="4123" spans="2:8">
      <c r="B4123" t="s">
        <v>1291</v>
      </c>
      <c r="C4123" t="s">
        <v>1514</v>
      </c>
      <c r="D4123" s="12" t="s">
        <v>1033</v>
      </c>
      <c r="E4123" s="1">
        <v>0</v>
      </c>
      <c r="G4123" s="2">
        <f t="shared" si="64"/>
        <v>0</v>
      </c>
      <c r="H4123" s="2">
        <v>0</v>
      </c>
    </row>
    <row r="4124" spans="2:8">
      <c r="B4124" t="s">
        <v>1282</v>
      </c>
      <c r="C4124" t="s">
        <v>1515</v>
      </c>
      <c r="D4124" s="5" t="s">
        <v>474</v>
      </c>
      <c r="E4124" s="1">
        <v>0</v>
      </c>
      <c r="G4124" s="2">
        <f t="shared" si="64"/>
        <v>0</v>
      </c>
      <c r="H4124" s="2">
        <v>0</v>
      </c>
    </row>
    <row r="4125" spans="2:8">
      <c r="B4125" t="s">
        <v>1282</v>
      </c>
      <c r="C4125" t="s">
        <v>1515</v>
      </c>
      <c r="D4125" s="6" t="s">
        <v>475</v>
      </c>
      <c r="E4125" s="1">
        <v>0</v>
      </c>
      <c r="G4125" s="2">
        <f t="shared" si="64"/>
        <v>0</v>
      </c>
      <c r="H4125" s="2">
        <v>0</v>
      </c>
    </row>
    <row r="4126" spans="2:8">
      <c r="B4126" t="s">
        <v>1282</v>
      </c>
      <c r="C4126" t="s">
        <v>1515</v>
      </c>
      <c r="D4126" s="7" t="s">
        <v>476</v>
      </c>
      <c r="E4126" s="1">
        <v>0</v>
      </c>
      <c r="G4126" s="2">
        <f t="shared" si="64"/>
        <v>0</v>
      </c>
      <c r="H4126" s="2">
        <v>0</v>
      </c>
    </row>
    <row r="4127" spans="2:8">
      <c r="B4127" t="s">
        <v>1282</v>
      </c>
      <c r="C4127" t="s">
        <v>1515</v>
      </c>
      <c r="D4127" s="8" t="s">
        <v>477</v>
      </c>
      <c r="E4127" s="1">
        <v>0</v>
      </c>
      <c r="G4127" s="2">
        <f t="shared" si="64"/>
        <v>0</v>
      </c>
      <c r="H4127" s="2">
        <v>0</v>
      </c>
    </row>
    <row r="4128" spans="2:8">
      <c r="B4128" t="s">
        <v>1282</v>
      </c>
      <c r="C4128" t="s">
        <v>1515</v>
      </c>
      <c r="D4128" s="9" t="s">
        <v>478</v>
      </c>
      <c r="E4128" s="1">
        <v>0</v>
      </c>
      <c r="G4128" s="2">
        <f t="shared" si="64"/>
        <v>0</v>
      </c>
      <c r="H4128" s="2">
        <v>0</v>
      </c>
    </row>
    <row r="4129" spans="2:8">
      <c r="B4129" t="s">
        <v>1282</v>
      </c>
      <c r="C4129" t="s">
        <v>1515</v>
      </c>
      <c r="D4129" s="10" t="s">
        <v>479</v>
      </c>
      <c r="E4129" s="1">
        <v>0</v>
      </c>
      <c r="G4129" s="2">
        <f t="shared" si="64"/>
        <v>0</v>
      </c>
      <c r="H4129" s="2">
        <v>0</v>
      </c>
    </row>
    <row r="4130" spans="2:8">
      <c r="B4130" t="s">
        <v>1282</v>
      </c>
      <c r="C4130" t="s">
        <v>1515</v>
      </c>
      <c r="D4130" s="11" t="s">
        <v>480</v>
      </c>
      <c r="E4130" s="1">
        <v>0</v>
      </c>
      <c r="G4130" s="2">
        <f t="shared" si="64"/>
        <v>0</v>
      </c>
      <c r="H4130" s="2">
        <v>0</v>
      </c>
    </row>
    <row r="4131" spans="2:8">
      <c r="B4131" t="s">
        <v>1282</v>
      </c>
      <c r="C4131" t="s">
        <v>1515</v>
      </c>
      <c r="D4131" s="13" t="s">
        <v>481</v>
      </c>
      <c r="E4131" s="1">
        <v>0</v>
      </c>
      <c r="G4131" s="2">
        <f t="shared" si="64"/>
        <v>0</v>
      </c>
      <c r="H4131" s="2">
        <v>0</v>
      </c>
    </row>
    <row r="4132" spans="2:8">
      <c r="B4132" t="s">
        <v>1282</v>
      </c>
      <c r="C4132" t="s">
        <v>1515</v>
      </c>
      <c r="D4132" s="12" t="s">
        <v>1033</v>
      </c>
      <c r="E4132" s="1">
        <v>0</v>
      </c>
      <c r="G4132" s="2">
        <f t="shared" si="64"/>
        <v>0</v>
      </c>
      <c r="H4132" s="2">
        <v>0</v>
      </c>
    </row>
    <row r="4133" spans="2:8">
      <c r="B4133" t="s">
        <v>1314</v>
      </c>
      <c r="C4133" t="s">
        <v>1516</v>
      </c>
      <c r="D4133" s="5" t="s">
        <v>474</v>
      </c>
      <c r="E4133" s="1">
        <v>0</v>
      </c>
      <c r="G4133" s="2">
        <f t="shared" si="64"/>
        <v>0</v>
      </c>
      <c r="H4133" s="2">
        <v>0</v>
      </c>
    </row>
    <row r="4134" spans="2:8">
      <c r="B4134" t="s">
        <v>1314</v>
      </c>
      <c r="C4134" t="s">
        <v>1516</v>
      </c>
      <c r="D4134" s="6" t="s">
        <v>475</v>
      </c>
      <c r="E4134" s="1">
        <v>0</v>
      </c>
      <c r="G4134" s="2">
        <f t="shared" si="64"/>
        <v>0</v>
      </c>
      <c r="H4134" s="2">
        <v>0</v>
      </c>
    </row>
    <row r="4135" spans="2:8">
      <c r="B4135" t="s">
        <v>1314</v>
      </c>
      <c r="C4135" t="s">
        <v>1516</v>
      </c>
      <c r="D4135" s="7" t="s">
        <v>476</v>
      </c>
      <c r="E4135" s="1">
        <v>0</v>
      </c>
      <c r="G4135" s="2">
        <f t="shared" si="64"/>
        <v>0</v>
      </c>
      <c r="H4135" s="2">
        <v>0</v>
      </c>
    </row>
    <row r="4136" spans="2:8">
      <c r="B4136" t="s">
        <v>1314</v>
      </c>
      <c r="C4136" t="s">
        <v>1516</v>
      </c>
      <c r="D4136" s="8" t="s">
        <v>477</v>
      </c>
      <c r="E4136" s="1">
        <v>0</v>
      </c>
      <c r="G4136" s="2">
        <f t="shared" si="64"/>
        <v>0</v>
      </c>
      <c r="H4136" s="2">
        <v>0</v>
      </c>
    </row>
    <row r="4137" spans="2:8">
      <c r="B4137" t="s">
        <v>1314</v>
      </c>
      <c r="C4137" t="s">
        <v>1516</v>
      </c>
      <c r="D4137" s="9" t="s">
        <v>478</v>
      </c>
      <c r="E4137" s="1">
        <v>0</v>
      </c>
      <c r="G4137" s="2">
        <f t="shared" si="64"/>
        <v>0</v>
      </c>
      <c r="H4137" s="2">
        <v>0</v>
      </c>
    </row>
    <row r="4138" spans="2:8">
      <c r="B4138" t="s">
        <v>1314</v>
      </c>
      <c r="C4138" t="s">
        <v>1516</v>
      </c>
      <c r="D4138" s="10" t="s">
        <v>479</v>
      </c>
      <c r="E4138" s="1">
        <v>0</v>
      </c>
      <c r="G4138" s="2">
        <f t="shared" si="64"/>
        <v>0</v>
      </c>
      <c r="H4138" s="2">
        <v>0</v>
      </c>
    </row>
    <row r="4139" spans="2:8">
      <c r="B4139" t="s">
        <v>1314</v>
      </c>
      <c r="C4139" t="s">
        <v>1516</v>
      </c>
      <c r="D4139" s="11" t="s">
        <v>480</v>
      </c>
      <c r="E4139" s="1">
        <v>0</v>
      </c>
      <c r="G4139" s="2">
        <f t="shared" si="64"/>
        <v>0</v>
      </c>
      <c r="H4139" s="2">
        <v>0</v>
      </c>
    </row>
    <row r="4140" spans="2:8">
      <c r="B4140" t="s">
        <v>1314</v>
      </c>
      <c r="C4140" t="s">
        <v>1516</v>
      </c>
      <c r="D4140" s="13" t="s">
        <v>481</v>
      </c>
      <c r="E4140" s="1">
        <v>0</v>
      </c>
      <c r="G4140" s="2">
        <f t="shared" si="64"/>
        <v>0</v>
      </c>
      <c r="H4140" s="2">
        <v>0</v>
      </c>
    </row>
    <row r="4141" spans="2:8">
      <c r="B4141" t="s">
        <v>1314</v>
      </c>
      <c r="C4141" t="s">
        <v>1516</v>
      </c>
      <c r="D4141" s="12" t="s">
        <v>1033</v>
      </c>
      <c r="E4141" s="1">
        <v>0</v>
      </c>
      <c r="G4141" s="2">
        <f t="shared" si="64"/>
        <v>0</v>
      </c>
      <c r="H4141" s="2">
        <v>0</v>
      </c>
    </row>
    <row r="4142" spans="2:8">
      <c r="B4142" t="s">
        <v>1313</v>
      </c>
      <c r="C4142" t="s">
        <v>1517</v>
      </c>
      <c r="D4142" s="5" t="s">
        <v>474</v>
      </c>
      <c r="E4142" s="1">
        <v>0</v>
      </c>
      <c r="G4142" s="2">
        <f t="shared" si="64"/>
        <v>0</v>
      </c>
      <c r="H4142" s="2">
        <v>0</v>
      </c>
    </row>
    <row r="4143" spans="2:8">
      <c r="B4143" t="s">
        <v>1313</v>
      </c>
      <c r="C4143" t="s">
        <v>1517</v>
      </c>
      <c r="D4143" s="6" t="s">
        <v>475</v>
      </c>
      <c r="E4143" s="1">
        <v>0</v>
      </c>
      <c r="G4143" s="2">
        <f t="shared" si="64"/>
        <v>0</v>
      </c>
      <c r="H4143" s="2">
        <v>0</v>
      </c>
    </row>
    <row r="4144" spans="2:8">
      <c r="B4144" t="s">
        <v>1313</v>
      </c>
      <c r="C4144" t="s">
        <v>1517</v>
      </c>
      <c r="D4144" s="7" t="s">
        <v>476</v>
      </c>
      <c r="E4144" s="1">
        <v>0</v>
      </c>
      <c r="G4144" s="2">
        <f t="shared" si="64"/>
        <v>0</v>
      </c>
      <c r="H4144" s="2">
        <v>0</v>
      </c>
    </row>
    <row r="4145" spans="2:8">
      <c r="B4145" t="s">
        <v>1313</v>
      </c>
      <c r="C4145" t="s">
        <v>1517</v>
      </c>
      <c r="D4145" s="8" t="s">
        <v>477</v>
      </c>
      <c r="E4145" s="1">
        <v>0</v>
      </c>
      <c r="G4145" s="2">
        <f t="shared" si="64"/>
        <v>0</v>
      </c>
      <c r="H4145" s="2">
        <v>0</v>
      </c>
    </row>
    <row r="4146" spans="2:8">
      <c r="B4146" t="s">
        <v>1313</v>
      </c>
      <c r="C4146" t="s">
        <v>1517</v>
      </c>
      <c r="D4146" s="9" t="s">
        <v>478</v>
      </c>
      <c r="E4146" s="1">
        <v>0</v>
      </c>
      <c r="G4146" s="2">
        <f t="shared" si="64"/>
        <v>0</v>
      </c>
      <c r="H4146" s="2">
        <v>0</v>
      </c>
    </row>
    <row r="4147" spans="2:8">
      <c r="B4147" t="s">
        <v>1313</v>
      </c>
      <c r="C4147" t="s">
        <v>1517</v>
      </c>
      <c r="D4147" s="10" t="s">
        <v>479</v>
      </c>
      <c r="E4147" s="1">
        <v>0</v>
      </c>
      <c r="G4147" s="2">
        <f t="shared" si="64"/>
        <v>0</v>
      </c>
      <c r="H4147" s="2">
        <v>0</v>
      </c>
    </row>
    <row r="4148" spans="2:8">
      <c r="B4148" t="s">
        <v>1313</v>
      </c>
      <c r="C4148" t="s">
        <v>1517</v>
      </c>
      <c r="D4148" s="11" t="s">
        <v>480</v>
      </c>
      <c r="E4148" s="1">
        <v>0</v>
      </c>
      <c r="G4148" s="2">
        <f t="shared" si="64"/>
        <v>0</v>
      </c>
      <c r="H4148" s="2">
        <v>0</v>
      </c>
    </row>
    <row r="4149" spans="2:8">
      <c r="B4149" t="s">
        <v>1313</v>
      </c>
      <c r="C4149" t="s">
        <v>1517</v>
      </c>
      <c r="D4149" s="13" t="s">
        <v>481</v>
      </c>
      <c r="E4149" s="1">
        <v>0</v>
      </c>
      <c r="G4149" s="2">
        <f t="shared" si="64"/>
        <v>0</v>
      </c>
      <c r="H4149" s="2">
        <v>0</v>
      </c>
    </row>
    <row r="4150" spans="2:8">
      <c r="B4150" t="s">
        <v>1313</v>
      </c>
      <c r="C4150" t="s">
        <v>1517</v>
      </c>
      <c r="D4150" s="12" t="s">
        <v>1033</v>
      </c>
      <c r="E4150" s="1">
        <v>0</v>
      </c>
      <c r="G4150" s="2">
        <f t="shared" si="64"/>
        <v>0</v>
      </c>
      <c r="H4150" s="2">
        <v>0</v>
      </c>
    </row>
    <row r="4151" spans="2:8">
      <c r="B4151" t="s">
        <v>1443</v>
      </c>
      <c r="C4151" t="s">
        <v>1518</v>
      </c>
      <c r="D4151" s="5" t="s">
        <v>474</v>
      </c>
      <c r="E4151" s="1">
        <v>0</v>
      </c>
      <c r="G4151" s="2">
        <f t="shared" si="64"/>
        <v>0</v>
      </c>
      <c r="H4151" s="2">
        <v>0</v>
      </c>
    </row>
    <row r="4152" spans="2:8">
      <c r="B4152" t="s">
        <v>1443</v>
      </c>
      <c r="C4152" t="s">
        <v>1518</v>
      </c>
      <c r="D4152" s="6" t="s">
        <v>475</v>
      </c>
      <c r="E4152" s="1">
        <v>0</v>
      </c>
      <c r="G4152" s="2">
        <f t="shared" si="64"/>
        <v>0</v>
      </c>
      <c r="H4152" s="2">
        <v>0</v>
      </c>
    </row>
    <row r="4153" spans="2:8">
      <c r="B4153" t="s">
        <v>1443</v>
      </c>
      <c r="C4153" t="s">
        <v>1518</v>
      </c>
      <c r="D4153" s="7" t="s">
        <v>476</v>
      </c>
      <c r="E4153" s="1">
        <v>0</v>
      </c>
      <c r="G4153" s="2">
        <f t="shared" si="64"/>
        <v>0</v>
      </c>
      <c r="H4153" s="2">
        <v>0</v>
      </c>
    </row>
    <row r="4154" spans="2:8">
      <c r="B4154" t="s">
        <v>1443</v>
      </c>
      <c r="C4154" t="s">
        <v>1518</v>
      </c>
      <c r="D4154" s="8" t="s">
        <v>477</v>
      </c>
      <c r="E4154" s="1">
        <v>0</v>
      </c>
      <c r="G4154" s="2">
        <f t="shared" si="64"/>
        <v>0</v>
      </c>
      <c r="H4154" s="2">
        <v>0</v>
      </c>
    </row>
    <row r="4155" spans="2:8">
      <c r="B4155" t="s">
        <v>1443</v>
      </c>
      <c r="C4155" t="s">
        <v>1518</v>
      </c>
      <c r="D4155" s="9" t="s">
        <v>478</v>
      </c>
      <c r="E4155" s="1">
        <v>0</v>
      </c>
      <c r="G4155" s="2">
        <f t="shared" si="64"/>
        <v>0</v>
      </c>
      <c r="H4155" s="2">
        <v>0</v>
      </c>
    </row>
    <row r="4156" spans="2:8">
      <c r="B4156" t="s">
        <v>1443</v>
      </c>
      <c r="C4156" t="s">
        <v>1518</v>
      </c>
      <c r="D4156" s="10" t="s">
        <v>479</v>
      </c>
      <c r="E4156" s="1">
        <v>0</v>
      </c>
      <c r="G4156" s="2">
        <f t="shared" si="64"/>
        <v>0</v>
      </c>
      <c r="H4156" s="2">
        <v>0</v>
      </c>
    </row>
    <row r="4157" spans="2:8">
      <c r="B4157" t="s">
        <v>1443</v>
      </c>
      <c r="C4157" t="s">
        <v>1518</v>
      </c>
      <c r="D4157" s="11" t="s">
        <v>480</v>
      </c>
      <c r="E4157" s="1">
        <v>0</v>
      </c>
      <c r="G4157" s="2">
        <f t="shared" si="64"/>
        <v>0</v>
      </c>
      <c r="H4157" s="2">
        <v>0</v>
      </c>
    </row>
    <row r="4158" spans="2:8">
      <c r="B4158" t="s">
        <v>1443</v>
      </c>
      <c r="C4158" t="s">
        <v>1518</v>
      </c>
      <c r="D4158" s="13" t="s">
        <v>481</v>
      </c>
      <c r="E4158" s="1">
        <v>0</v>
      </c>
      <c r="G4158" s="2">
        <f t="shared" si="64"/>
        <v>0</v>
      </c>
      <c r="H4158" s="2">
        <v>0</v>
      </c>
    </row>
    <row r="4159" spans="2:8">
      <c r="B4159" t="s">
        <v>1443</v>
      </c>
      <c r="C4159" t="s">
        <v>1518</v>
      </c>
      <c r="D4159" s="12" t="s">
        <v>1033</v>
      </c>
      <c r="E4159" s="1">
        <v>0</v>
      </c>
      <c r="G4159" s="2">
        <f t="shared" si="64"/>
        <v>0</v>
      </c>
      <c r="H4159" s="2">
        <v>0</v>
      </c>
    </row>
    <row r="4160" spans="2:8">
      <c r="B4160" t="s">
        <v>1272</v>
      </c>
      <c r="C4160" t="s">
        <v>1565</v>
      </c>
      <c r="D4160" s="5" t="s">
        <v>474</v>
      </c>
      <c r="E4160" s="1">
        <v>0</v>
      </c>
      <c r="G4160" s="2">
        <f t="shared" si="64"/>
        <v>0</v>
      </c>
      <c r="H4160" s="2">
        <v>0</v>
      </c>
    </row>
    <row r="4161" spans="2:8">
      <c r="B4161" t="s">
        <v>1272</v>
      </c>
      <c r="C4161" t="s">
        <v>1565</v>
      </c>
      <c r="D4161" s="6" t="s">
        <v>475</v>
      </c>
      <c r="E4161" s="1">
        <v>0</v>
      </c>
      <c r="G4161" s="2">
        <f t="shared" si="64"/>
        <v>0</v>
      </c>
      <c r="H4161" s="2">
        <v>0</v>
      </c>
    </row>
    <row r="4162" spans="2:8">
      <c r="B4162" t="s">
        <v>1272</v>
      </c>
      <c r="C4162" t="s">
        <v>1565</v>
      </c>
      <c r="D4162" s="7" t="s">
        <v>476</v>
      </c>
      <c r="E4162" s="1">
        <v>0</v>
      </c>
      <c r="G4162" s="2">
        <f t="shared" ref="G4162:G4225" si="65">E4162*F4162</f>
        <v>0</v>
      </c>
      <c r="H4162" s="2">
        <v>0</v>
      </c>
    </row>
    <row r="4163" spans="2:8">
      <c r="B4163" t="s">
        <v>1272</v>
      </c>
      <c r="C4163" t="s">
        <v>1565</v>
      </c>
      <c r="D4163" s="8" t="s">
        <v>477</v>
      </c>
      <c r="E4163" s="1">
        <v>0</v>
      </c>
      <c r="G4163" s="2">
        <f t="shared" si="65"/>
        <v>0</v>
      </c>
      <c r="H4163" s="2">
        <v>0</v>
      </c>
    </row>
    <row r="4164" spans="2:8">
      <c r="B4164" t="s">
        <v>1272</v>
      </c>
      <c r="C4164" t="s">
        <v>1565</v>
      </c>
      <c r="D4164" s="9" t="s">
        <v>478</v>
      </c>
      <c r="E4164" s="1">
        <v>0</v>
      </c>
      <c r="G4164" s="2">
        <f t="shared" si="65"/>
        <v>0</v>
      </c>
      <c r="H4164" s="2">
        <v>0</v>
      </c>
    </row>
    <row r="4165" spans="2:8">
      <c r="B4165" t="s">
        <v>1272</v>
      </c>
      <c r="C4165" t="s">
        <v>1565</v>
      </c>
      <c r="D4165" s="10" t="s">
        <v>479</v>
      </c>
      <c r="E4165" s="1">
        <v>0</v>
      </c>
      <c r="G4165" s="2">
        <f t="shared" si="65"/>
        <v>0</v>
      </c>
      <c r="H4165" s="2">
        <v>0</v>
      </c>
    </row>
    <row r="4166" spans="2:8">
      <c r="B4166" t="s">
        <v>1272</v>
      </c>
      <c r="C4166" t="s">
        <v>1565</v>
      </c>
      <c r="D4166" s="11" t="s">
        <v>480</v>
      </c>
      <c r="E4166" s="1">
        <v>0</v>
      </c>
      <c r="G4166" s="2">
        <f t="shared" si="65"/>
        <v>0</v>
      </c>
      <c r="H4166" s="2">
        <v>0</v>
      </c>
    </row>
    <row r="4167" spans="2:8">
      <c r="B4167" t="s">
        <v>1272</v>
      </c>
      <c r="C4167" t="s">
        <v>1565</v>
      </c>
      <c r="D4167" s="13" t="s">
        <v>481</v>
      </c>
      <c r="E4167" s="1">
        <v>0</v>
      </c>
      <c r="G4167" s="2">
        <f t="shared" si="65"/>
        <v>0</v>
      </c>
      <c r="H4167" s="2">
        <v>0</v>
      </c>
    </row>
    <row r="4168" spans="2:8">
      <c r="B4168" t="s">
        <v>1272</v>
      </c>
      <c r="C4168" t="s">
        <v>1565</v>
      </c>
      <c r="D4168" s="12" t="s">
        <v>1033</v>
      </c>
      <c r="E4168" s="1">
        <v>0</v>
      </c>
      <c r="G4168" s="2">
        <f t="shared" si="65"/>
        <v>0</v>
      </c>
      <c r="H4168" s="2">
        <v>0</v>
      </c>
    </row>
    <row r="4169" spans="2:8">
      <c r="B4169" t="s">
        <v>1257</v>
      </c>
      <c r="C4169" t="s">
        <v>1519</v>
      </c>
      <c r="D4169" s="5" t="s">
        <v>474</v>
      </c>
      <c r="E4169" s="1">
        <v>0</v>
      </c>
      <c r="G4169" s="2">
        <f t="shared" si="65"/>
        <v>0</v>
      </c>
      <c r="H4169" s="2">
        <v>0</v>
      </c>
    </row>
    <row r="4170" spans="2:8">
      <c r="B4170" t="s">
        <v>1257</v>
      </c>
      <c r="C4170" t="s">
        <v>1519</v>
      </c>
      <c r="D4170" s="6" t="s">
        <v>475</v>
      </c>
      <c r="E4170" s="1">
        <v>0</v>
      </c>
      <c r="G4170" s="2">
        <f t="shared" si="65"/>
        <v>0</v>
      </c>
      <c r="H4170" s="2">
        <v>0</v>
      </c>
    </row>
    <row r="4171" spans="2:8">
      <c r="B4171" t="s">
        <v>1257</v>
      </c>
      <c r="C4171" t="s">
        <v>1519</v>
      </c>
      <c r="D4171" s="7" t="s">
        <v>476</v>
      </c>
      <c r="E4171" s="1">
        <v>0</v>
      </c>
      <c r="G4171" s="2">
        <f t="shared" si="65"/>
        <v>0</v>
      </c>
      <c r="H4171" s="2">
        <v>0</v>
      </c>
    </row>
    <row r="4172" spans="2:8">
      <c r="B4172" t="s">
        <v>1257</v>
      </c>
      <c r="C4172" t="s">
        <v>1519</v>
      </c>
      <c r="D4172" s="8" t="s">
        <v>477</v>
      </c>
      <c r="E4172" s="1">
        <v>0</v>
      </c>
      <c r="G4172" s="2">
        <f t="shared" si="65"/>
        <v>0</v>
      </c>
      <c r="H4172" s="2">
        <v>0</v>
      </c>
    </row>
    <row r="4173" spans="2:8">
      <c r="B4173" t="s">
        <v>1257</v>
      </c>
      <c r="C4173" t="s">
        <v>1519</v>
      </c>
      <c r="D4173" s="9" t="s">
        <v>478</v>
      </c>
      <c r="E4173" s="1">
        <v>0</v>
      </c>
      <c r="G4173" s="2">
        <f t="shared" si="65"/>
        <v>0</v>
      </c>
      <c r="H4173" s="2">
        <v>0</v>
      </c>
    </row>
    <row r="4174" spans="2:8">
      <c r="B4174" t="s">
        <v>1257</v>
      </c>
      <c r="C4174" t="s">
        <v>1519</v>
      </c>
      <c r="D4174" s="10" t="s">
        <v>479</v>
      </c>
      <c r="E4174" s="1">
        <v>0</v>
      </c>
      <c r="G4174" s="2">
        <f t="shared" si="65"/>
        <v>0</v>
      </c>
      <c r="H4174" s="2">
        <v>0</v>
      </c>
    </row>
    <row r="4175" spans="2:8">
      <c r="B4175" t="s">
        <v>1257</v>
      </c>
      <c r="C4175" t="s">
        <v>1519</v>
      </c>
      <c r="D4175" s="11" t="s">
        <v>480</v>
      </c>
      <c r="E4175" s="1">
        <v>0</v>
      </c>
      <c r="G4175" s="2">
        <f t="shared" si="65"/>
        <v>0</v>
      </c>
      <c r="H4175" s="2">
        <v>0</v>
      </c>
    </row>
    <row r="4176" spans="2:8">
      <c r="B4176" t="s">
        <v>1257</v>
      </c>
      <c r="C4176" t="s">
        <v>1519</v>
      </c>
      <c r="D4176" s="13" t="s">
        <v>481</v>
      </c>
      <c r="E4176" s="1">
        <v>0</v>
      </c>
      <c r="G4176" s="2">
        <f t="shared" si="65"/>
        <v>0</v>
      </c>
      <c r="H4176" s="2">
        <v>0</v>
      </c>
    </row>
    <row r="4177" spans="2:8">
      <c r="B4177" t="s">
        <v>1257</v>
      </c>
      <c r="C4177" t="s">
        <v>1519</v>
      </c>
      <c r="D4177" s="12" t="s">
        <v>1033</v>
      </c>
      <c r="E4177" s="1">
        <v>0</v>
      </c>
      <c r="G4177" s="2">
        <f t="shared" si="65"/>
        <v>0</v>
      </c>
      <c r="H4177" s="2">
        <v>0</v>
      </c>
    </row>
    <row r="4178" spans="2:8">
      <c r="B4178" t="s">
        <v>1265</v>
      </c>
      <c r="C4178" t="s">
        <v>1520</v>
      </c>
      <c r="D4178" s="5" t="s">
        <v>474</v>
      </c>
      <c r="E4178" s="1">
        <v>0</v>
      </c>
      <c r="G4178" s="2">
        <f t="shared" si="65"/>
        <v>0</v>
      </c>
      <c r="H4178" s="2">
        <v>0</v>
      </c>
    </row>
    <row r="4179" spans="2:8">
      <c r="B4179" t="s">
        <v>1265</v>
      </c>
      <c r="C4179" t="s">
        <v>1520</v>
      </c>
      <c r="D4179" s="6" t="s">
        <v>475</v>
      </c>
      <c r="E4179" s="1">
        <v>0</v>
      </c>
      <c r="G4179" s="2">
        <f t="shared" si="65"/>
        <v>0</v>
      </c>
      <c r="H4179" s="2">
        <v>0</v>
      </c>
    </row>
    <row r="4180" spans="2:8">
      <c r="B4180" t="s">
        <v>1265</v>
      </c>
      <c r="C4180" t="s">
        <v>1520</v>
      </c>
      <c r="D4180" s="7" t="s">
        <v>476</v>
      </c>
      <c r="E4180" s="1">
        <v>0</v>
      </c>
      <c r="G4180" s="2">
        <f t="shared" si="65"/>
        <v>0</v>
      </c>
      <c r="H4180" s="2">
        <v>0</v>
      </c>
    </row>
    <row r="4181" spans="2:8">
      <c r="B4181" t="s">
        <v>1265</v>
      </c>
      <c r="C4181" t="s">
        <v>1520</v>
      </c>
      <c r="D4181" s="8" t="s">
        <v>477</v>
      </c>
      <c r="E4181" s="1">
        <v>0</v>
      </c>
      <c r="G4181" s="2">
        <f t="shared" si="65"/>
        <v>0</v>
      </c>
      <c r="H4181" s="2">
        <v>0</v>
      </c>
    </row>
    <row r="4182" spans="2:8">
      <c r="B4182" t="s">
        <v>1265</v>
      </c>
      <c r="C4182" t="s">
        <v>1520</v>
      </c>
      <c r="D4182" s="9" t="s">
        <v>478</v>
      </c>
      <c r="E4182" s="1">
        <v>0</v>
      </c>
      <c r="G4182" s="2">
        <f t="shared" si="65"/>
        <v>0</v>
      </c>
      <c r="H4182" s="2">
        <v>0</v>
      </c>
    </row>
    <row r="4183" spans="2:8">
      <c r="B4183" t="s">
        <v>1265</v>
      </c>
      <c r="C4183" t="s">
        <v>1520</v>
      </c>
      <c r="D4183" s="10" t="s">
        <v>479</v>
      </c>
      <c r="E4183" s="1">
        <v>0</v>
      </c>
      <c r="G4183" s="2">
        <f t="shared" si="65"/>
        <v>0</v>
      </c>
      <c r="H4183" s="2">
        <v>0</v>
      </c>
    </row>
    <row r="4184" spans="2:8">
      <c r="B4184" t="s">
        <v>1265</v>
      </c>
      <c r="C4184" t="s">
        <v>1520</v>
      </c>
      <c r="D4184" s="11" t="s">
        <v>480</v>
      </c>
      <c r="E4184" s="1">
        <v>0</v>
      </c>
      <c r="G4184" s="2">
        <f t="shared" si="65"/>
        <v>0</v>
      </c>
      <c r="H4184" s="2">
        <v>0</v>
      </c>
    </row>
    <row r="4185" spans="2:8">
      <c r="B4185" t="s">
        <v>1265</v>
      </c>
      <c r="C4185" t="s">
        <v>1520</v>
      </c>
      <c r="D4185" s="13" t="s">
        <v>481</v>
      </c>
      <c r="E4185" s="1">
        <v>0</v>
      </c>
      <c r="G4185" s="2">
        <f t="shared" si="65"/>
        <v>0</v>
      </c>
      <c r="H4185" s="2">
        <v>0</v>
      </c>
    </row>
    <row r="4186" spans="2:8">
      <c r="B4186" t="s">
        <v>1265</v>
      </c>
      <c r="C4186" t="s">
        <v>1520</v>
      </c>
      <c r="D4186" s="12" t="s">
        <v>1033</v>
      </c>
      <c r="E4186" s="1">
        <v>0</v>
      </c>
      <c r="G4186" s="2">
        <f t="shared" si="65"/>
        <v>0</v>
      </c>
      <c r="H4186" s="2">
        <v>0</v>
      </c>
    </row>
    <row r="4187" spans="2:8">
      <c r="B4187" t="s">
        <v>1284</v>
      </c>
      <c r="C4187" t="s">
        <v>1521</v>
      </c>
      <c r="D4187" s="5" t="s">
        <v>474</v>
      </c>
      <c r="E4187" s="1">
        <v>0</v>
      </c>
      <c r="G4187" s="2">
        <f t="shared" si="65"/>
        <v>0</v>
      </c>
      <c r="H4187" s="2">
        <v>0</v>
      </c>
    </row>
    <row r="4188" spans="2:8">
      <c r="B4188" t="s">
        <v>1284</v>
      </c>
      <c r="C4188" t="s">
        <v>1521</v>
      </c>
      <c r="D4188" s="6" t="s">
        <v>475</v>
      </c>
      <c r="E4188" s="1">
        <v>0</v>
      </c>
      <c r="G4188" s="2">
        <f t="shared" si="65"/>
        <v>0</v>
      </c>
      <c r="H4188" s="2">
        <v>0</v>
      </c>
    </row>
    <row r="4189" spans="2:8">
      <c r="B4189" t="s">
        <v>1284</v>
      </c>
      <c r="C4189" t="s">
        <v>1521</v>
      </c>
      <c r="D4189" s="7" t="s">
        <v>476</v>
      </c>
      <c r="E4189" s="1">
        <v>0</v>
      </c>
      <c r="G4189" s="2">
        <f t="shared" si="65"/>
        <v>0</v>
      </c>
      <c r="H4189" s="2">
        <v>0</v>
      </c>
    </row>
    <row r="4190" spans="2:8">
      <c r="B4190" t="s">
        <v>1284</v>
      </c>
      <c r="C4190" t="s">
        <v>1521</v>
      </c>
      <c r="D4190" s="8" t="s">
        <v>477</v>
      </c>
      <c r="E4190" s="1">
        <v>0</v>
      </c>
      <c r="G4190" s="2">
        <f t="shared" si="65"/>
        <v>0</v>
      </c>
      <c r="H4190" s="2">
        <v>0</v>
      </c>
    </row>
    <row r="4191" spans="2:8">
      <c r="B4191" t="s">
        <v>1284</v>
      </c>
      <c r="C4191" t="s">
        <v>1521</v>
      </c>
      <c r="D4191" s="9" t="s">
        <v>478</v>
      </c>
      <c r="E4191" s="1">
        <v>0</v>
      </c>
      <c r="G4191" s="2">
        <f t="shared" si="65"/>
        <v>0</v>
      </c>
      <c r="H4191" s="2">
        <v>0</v>
      </c>
    </row>
    <row r="4192" spans="2:8">
      <c r="B4192" t="s">
        <v>1284</v>
      </c>
      <c r="C4192" t="s">
        <v>1521</v>
      </c>
      <c r="D4192" s="10" t="s">
        <v>479</v>
      </c>
      <c r="E4192" s="1">
        <v>0</v>
      </c>
      <c r="G4192" s="2">
        <f t="shared" si="65"/>
        <v>0</v>
      </c>
      <c r="H4192" s="2">
        <v>0</v>
      </c>
    </row>
    <row r="4193" spans="2:8">
      <c r="B4193" t="s">
        <v>1284</v>
      </c>
      <c r="C4193" t="s">
        <v>1521</v>
      </c>
      <c r="D4193" s="11" t="s">
        <v>480</v>
      </c>
      <c r="E4193" s="1">
        <v>0</v>
      </c>
      <c r="G4193" s="2">
        <f t="shared" si="65"/>
        <v>0</v>
      </c>
      <c r="H4193" s="2">
        <v>0</v>
      </c>
    </row>
    <row r="4194" spans="2:8">
      <c r="B4194" t="s">
        <v>1284</v>
      </c>
      <c r="C4194" t="s">
        <v>1521</v>
      </c>
      <c r="D4194" s="13" t="s">
        <v>481</v>
      </c>
      <c r="E4194" s="1">
        <v>0</v>
      </c>
      <c r="G4194" s="2">
        <f t="shared" si="65"/>
        <v>0</v>
      </c>
      <c r="H4194" s="2">
        <v>0</v>
      </c>
    </row>
    <row r="4195" spans="2:8">
      <c r="B4195" t="s">
        <v>1284</v>
      </c>
      <c r="C4195" t="s">
        <v>1521</v>
      </c>
      <c r="D4195" s="12" t="s">
        <v>1033</v>
      </c>
      <c r="E4195" s="1">
        <v>0</v>
      </c>
      <c r="G4195" s="2">
        <f t="shared" si="65"/>
        <v>0</v>
      </c>
      <c r="H4195" s="2">
        <v>0</v>
      </c>
    </row>
    <row r="4196" spans="2:8">
      <c r="B4196" t="s">
        <v>1309</v>
      </c>
      <c r="C4196" t="s">
        <v>1522</v>
      </c>
      <c r="D4196" s="5" t="s">
        <v>474</v>
      </c>
      <c r="E4196" s="1">
        <v>0</v>
      </c>
      <c r="G4196" s="2">
        <f t="shared" si="65"/>
        <v>0</v>
      </c>
      <c r="H4196" s="2">
        <v>0</v>
      </c>
    </row>
    <row r="4197" spans="2:8">
      <c r="B4197" t="s">
        <v>1309</v>
      </c>
      <c r="C4197" t="s">
        <v>1522</v>
      </c>
      <c r="D4197" s="6" t="s">
        <v>475</v>
      </c>
      <c r="E4197" s="1">
        <v>0</v>
      </c>
      <c r="G4197" s="2">
        <f t="shared" si="65"/>
        <v>0</v>
      </c>
      <c r="H4197" s="2">
        <v>0</v>
      </c>
    </row>
    <row r="4198" spans="2:8">
      <c r="B4198" t="s">
        <v>1309</v>
      </c>
      <c r="C4198" t="s">
        <v>1522</v>
      </c>
      <c r="D4198" s="7" t="s">
        <v>476</v>
      </c>
      <c r="E4198" s="1">
        <v>0</v>
      </c>
      <c r="G4198" s="2">
        <f t="shared" si="65"/>
        <v>0</v>
      </c>
      <c r="H4198" s="2">
        <v>0</v>
      </c>
    </row>
    <row r="4199" spans="2:8">
      <c r="B4199" t="s">
        <v>1309</v>
      </c>
      <c r="C4199" t="s">
        <v>1522</v>
      </c>
      <c r="D4199" s="8" t="s">
        <v>477</v>
      </c>
      <c r="E4199" s="1">
        <v>0</v>
      </c>
      <c r="G4199" s="2">
        <f t="shared" si="65"/>
        <v>0</v>
      </c>
      <c r="H4199" s="2">
        <v>0</v>
      </c>
    </row>
    <row r="4200" spans="2:8">
      <c r="B4200" t="s">
        <v>1309</v>
      </c>
      <c r="C4200" t="s">
        <v>1522</v>
      </c>
      <c r="D4200" s="9" t="s">
        <v>478</v>
      </c>
      <c r="E4200" s="1">
        <v>0</v>
      </c>
      <c r="G4200" s="2">
        <f t="shared" si="65"/>
        <v>0</v>
      </c>
      <c r="H4200" s="2">
        <v>0</v>
      </c>
    </row>
    <row r="4201" spans="2:8">
      <c r="B4201" t="s">
        <v>1309</v>
      </c>
      <c r="C4201" t="s">
        <v>1522</v>
      </c>
      <c r="D4201" s="10" t="s">
        <v>479</v>
      </c>
      <c r="E4201" s="1">
        <v>0</v>
      </c>
      <c r="G4201" s="2">
        <f t="shared" si="65"/>
        <v>0</v>
      </c>
      <c r="H4201" s="2">
        <v>0</v>
      </c>
    </row>
    <row r="4202" spans="2:8">
      <c r="B4202" t="s">
        <v>1309</v>
      </c>
      <c r="C4202" t="s">
        <v>1522</v>
      </c>
      <c r="D4202" s="11" t="s">
        <v>480</v>
      </c>
      <c r="E4202" s="1">
        <v>0</v>
      </c>
      <c r="G4202" s="2">
        <f t="shared" si="65"/>
        <v>0</v>
      </c>
      <c r="H4202" s="2">
        <v>0</v>
      </c>
    </row>
    <row r="4203" spans="2:8">
      <c r="B4203" t="s">
        <v>1309</v>
      </c>
      <c r="C4203" t="s">
        <v>1522</v>
      </c>
      <c r="D4203" s="13" t="s">
        <v>481</v>
      </c>
      <c r="E4203" s="1">
        <v>0</v>
      </c>
      <c r="G4203" s="2">
        <f t="shared" si="65"/>
        <v>0</v>
      </c>
      <c r="H4203" s="2">
        <v>0</v>
      </c>
    </row>
    <row r="4204" spans="2:8">
      <c r="B4204" t="s">
        <v>1309</v>
      </c>
      <c r="C4204" t="s">
        <v>1522</v>
      </c>
      <c r="D4204" s="12" t="s">
        <v>1033</v>
      </c>
      <c r="E4204" s="1">
        <v>0</v>
      </c>
      <c r="G4204" s="2">
        <f t="shared" si="65"/>
        <v>0</v>
      </c>
      <c r="H4204" s="2">
        <v>0</v>
      </c>
    </row>
    <row r="4205" spans="2:8">
      <c r="B4205" t="s">
        <v>1274</v>
      </c>
      <c r="C4205" t="s">
        <v>1523</v>
      </c>
      <c r="D4205" s="5" t="s">
        <v>474</v>
      </c>
      <c r="E4205" s="1">
        <v>0</v>
      </c>
      <c r="G4205" s="2">
        <f t="shared" si="65"/>
        <v>0</v>
      </c>
      <c r="H4205" s="2">
        <v>0</v>
      </c>
    </row>
    <row r="4206" spans="2:8">
      <c r="B4206" t="s">
        <v>1274</v>
      </c>
      <c r="C4206" t="s">
        <v>1523</v>
      </c>
      <c r="D4206" s="6" t="s">
        <v>475</v>
      </c>
      <c r="E4206" s="1">
        <v>0</v>
      </c>
      <c r="G4206" s="2">
        <f t="shared" si="65"/>
        <v>0</v>
      </c>
      <c r="H4206" s="2">
        <v>0</v>
      </c>
    </row>
    <row r="4207" spans="2:8">
      <c r="B4207" t="s">
        <v>1274</v>
      </c>
      <c r="C4207" t="s">
        <v>1523</v>
      </c>
      <c r="D4207" s="7" t="s">
        <v>476</v>
      </c>
      <c r="E4207" s="1">
        <v>0</v>
      </c>
      <c r="G4207" s="2">
        <f t="shared" si="65"/>
        <v>0</v>
      </c>
      <c r="H4207" s="2">
        <v>0</v>
      </c>
    </row>
    <row r="4208" spans="2:8">
      <c r="B4208" t="s">
        <v>1274</v>
      </c>
      <c r="C4208" t="s">
        <v>1523</v>
      </c>
      <c r="D4208" s="8" t="s">
        <v>477</v>
      </c>
      <c r="E4208" s="1">
        <v>0</v>
      </c>
      <c r="G4208" s="2">
        <f t="shared" si="65"/>
        <v>0</v>
      </c>
      <c r="H4208" s="2">
        <v>0</v>
      </c>
    </row>
    <row r="4209" spans="2:8">
      <c r="B4209" t="s">
        <v>1274</v>
      </c>
      <c r="C4209" t="s">
        <v>1523</v>
      </c>
      <c r="D4209" s="9" t="s">
        <v>478</v>
      </c>
      <c r="E4209" s="1">
        <v>0</v>
      </c>
      <c r="G4209" s="2">
        <f t="shared" si="65"/>
        <v>0</v>
      </c>
      <c r="H4209" s="2">
        <v>0</v>
      </c>
    </row>
    <row r="4210" spans="2:8">
      <c r="B4210" t="s">
        <v>1274</v>
      </c>
      <c r="C4210" t="s">
        <v>1523</v>
      </c>
      <c r="D4210" s="10" t="s">
        <v>479</v>
      </c>
      <c r="E4210" s="1">
        <v>0</v>
      </c>
      <c r="G4210" s="2">
        <f t="shared" si="65"/>
        <v>0</v>
      </c>
      <c r="H4210" s="2">
        <v>0</v>
      </c>
    </row>
    <row r="4211" spans="2:8">
      <c r="B4211" t="s">
        <v>1274</v>
      </c>
      <c r="C4211" t="s">
        <v>1523</v>
      </c>
      <c r="D4211" s="11" t="s">
        <v>480</v>
      </c>
      <c r="E4211" s="1">
        <v>0</v>
      </c>
      <c r="G4211" s="2">
        <f t="shared" si="65"/>
        <v>0</v>
      </c>
      <c r="H4211" s="2">
        <v>0</v>
      </c>
    </row>
    <row r="4212" spans="2:8">
      <c r="B4212" t="s">
        <v>1274</v>
      </c>
      <c r="C4212" t="s">
        <v>1523</v>
      </c>
      <c r="D4212" s="13" t="s">
        <v>481</v>
      </c>
      <c r="E4212" s="1">
        <v>0</v>
      </c>
      <c r="G4212" s="2">
        <f t="shared" si="65"/>
        <v>0</v>
      </c>
      <c r="H4212" s="2">
        <v>0</v>
      </c>
    </row>
    <row r="4213" spans="2:8">
      <c r="B4213" t="s">
        <v>1274</v>
      </c>
      <c r="C4213" t="s">
        <v>1523</v>
      </c>
      <c r="D4213" s="12" t="s">
        <v>1033</v>
      </c>
      <c r="E4213" s="1">
        <v>0</v>
      </c>
      <c r="G4213" s="2">
        <f t="shared" si="65"/>
        <v>0</v>
      </c>
      <c r="H4213" s="2">
        <v>0</v>
      </c>
    </row>
    <row r="4214" spans="2:8">
      <c r="B4214" t="s">
        <v>1318</v>
      </c>
      <c r="C4214" t="s">
        <v>1524</v>
      </c>
      <c r="D4214" s="5" t="s">
        <v>474</v>
      </c>
      <c r="E4214" s="1">
        <v>0</v>
      </c>
      <c r="G4214" s="2">
        <f t="shared" si="65"/>
        <v>0</v>
      </c>
      <c r="H4214" s="2">
        <v>0</v>
      </c>
    </row>
    <row r="4215" spans="2:8">
      <c r="B4215" t="s">
        <v>1318</v>
      </c>
      <c r="C4215" t="s">
        <v>1524</v>
      </c>
      <c r="D4215" s="6" t="s">
        <v>475</v>
      </c>
      <c r="E4215" s="1">
        <v>0</v>
      </c>
      <c r="G4215" s="2">
        <f t="shared" si="65"/>
        <v>0</v>
      </c>
      <c r="H4215" s="2">
        <v>0</v>
      </c>
    </row>
    <row r="4216" spans="2:8">
      <c r="B4216" t="s">
        <v>1318</v>
      </c>
      <c r="C4216" t="s">
        <v>1524</v>
      </c>
      <c r="D4216" s="7" t="s">
        <v>476</v>
      </c>
      <c r="E4216" s="1">
        <v>0</v>
      </c>
      <c r="G4216" s="2">
        <f t="shared" si="65"/>
        <v>0</v>
      </c>
      <c r="H4216" s="2">
        <v>0</v>
      </c>
    </row>
    <row r="4217" spans="2:8">
      <c r="B4217" t="s">
        <v>1318</v>
      </c>
      <c r="C4217" t="s">
        <v>1524</v>
      </c>
      <c r="D4217" s="8" t="s">
        <v>477</v>
      </c>
      <c r="E4217" s="1">
        <v>0</v>
      </c>
      <c r="G4217" s="2">
        <f t="shared" si="65"/>
        <v>0</v>
      </c>
      <c r="H4217" s="2">
        <v>0</v>
      </c>
    </row>
    <row r="4218" spans="2:8">
      <c r="B4218" t="s">
        <v>1318</v>
      </c>
      <c r="C4218" t="s">
        <v>1524</v>
      </c>
      <c r="D4218" s="9" t="s">
        <v>478</v>
      </c>
      <c r="E4218" s="1">
        <v>0</v>
      </c>
      <c r="G4218" s="2">
        <f t="shared" si="65"/>
        <v>0</v>
      </c>
      <c r="H4218" s="2">
        <v>0</v>
      </c>
    </row>
    <row r="4219" spans="2:8">
      <c r="B4219" t="s">
        <v>1318</v>
      </c>
      <c r="C4219" t="s">
        <v>1524</v>
      </c>
      <c r="D4219" s="10" t="s">
        <v>479</v>
      </c>
      <c r="E4219" s="1">
        <v>0</v>
      </c>
      <c r="G4219" s="2">
        <f t="shared" si="65"/>
        <v>0</v>
      </c>
      <c r="H4219" s="2">
        <v>0</v>
      </c>
    </row>
    <row r="4220" spans="2:8">
      <c r="B4220" t="s">
        <v>1318</v>
      </c>
      <c r="C4220" t="s">
        <v>1524</v>
      </c>
      <c r="D4220" s="11" t="s">
        <v>480</v>
      </c>
      <c r="E4220" s="1">
        <v>0</v>
      </c>
      <c r="G4220" s="2">
        <f t="shared" si="65"/>
        <v>0</v>
      </c>
      <c r="H4220" s="2">
        <v>0</v>
      </c>
    </row>
    <row r="4221" spans="2:8">
      <c r="B4221" t="s">
        <v>1318</v>
      </c>
      <c r="C4221" t="s">
        <v>1524</v>
      </c>
      <c r="D4221" s="13" t="s">
        <v>481</v>
      </c>
      <c r="E4221" s="1">
        <v>0</v>
      </c>
      <c r="G4221" s="2">
        <f t="shared" si="65"/>
        <v>0</v>
      </c>
      <c r="H4221" s="2">
        <v>0</v>
      </c>
    </row>
    <row r="4222" spans="2:8">
      <c r="B4222" t="s">
        <v>1318</v>
      </c>
      <c r="C4222" t="s">
        <v>1524</v>
      </c>
      <c r="D4222" s="12" t="s">
        <v>1033</v>
      </c>
      <c r="E4222" s="1">
        <v>0</v>
      </c>
      <c r="G4222" s="2">
        <f t="shared" si="65"/>
        <v>0</v>
      </c>
      <c r="H4222" s="2">
        <v>0</v>
      </c>
    </row>
    <row r="4223" spans="2:8">
      <c r="B4223" t="s">
        <v>1277</v>
      </c>
      <c r="C4223" t="s">
        <v>1525</v>
      </c>
      <c r="D4223" s="5" t="s">
        <v>474</v>
      </c>
      <c r="E4223" s="1">
        <v>0</v>
      </c>
      <c r="G4223" s="2">
        <f t="shared" si="65"/>
        <v>0</v>
      </c>
      <c r="H4223" s="2">
        <v>0</v>
      </c>
    </row>
    <row r="4224" spans="2:8">
      <c r="B4224" t="s">
        <v>1277</v>
      </c>
      <c r="C4224" t="s">
        <v>1525</v>
      </c>
      <c r="D4224" s="6" t="s">
        <v>475</v>
      </c>
      <c r="E4224" s="1">
        <v>0</v>
      </c>
      <c r="G4224" s="2">
        <f t="shared" si="65"/>
        <v>0</v>
      </c>
      <c r="H4224" s="2">
        <v>0</v>
      </c>
    </row>
    <row r="4225" spans="2:8">
      <c r="B4225" t="s">
        <v>1277</v>
      </c>
      <c r="C4225" t="s">
        <v>1525</v>
      </c>
      <c r="D4225" s="7" t="s">
        <v>476</v>
      </c>
      <c r="E4225" s="1">
        <v>0</v>
      </c>
      <c r="G4225" s="2">
        <f t="shared" si="65"/>
        <v>0</v>
      </c>
      <c r="H4225" s="2">
        <v>0</v>
      </c>
    </row>
    <row r="4226" spans="2:8">
      <c r="B4226" t="s">
        <v>1277</v>
      </c>
      <c r="C4226" t="s">
        <v>1525</v>
      </c>
      <c r="D4226" s="8" t="s">
        <v>477</v>
      </c>
      <c r="E4226" s="1">
        <v>0</v>
      </c>
      <c r="G4226" s="2">
        <f t="shared" ref="G4226:G4289" si="66">E4226*F4226</f>
        <v>0</v>
      </c>
      <c r="H4226" s="2">
        <v>0</v>
      </c>
    </row>
    <row r="4227" spans="2:8">
      <c r="B4227" t="s">
        <v>1277</v>
      </c>
      <c r="C4227" t="s">
        <v>1525</v>
      </c>
      <c r="D4227" s="9" t="s">
        <v>478</v>
      </c>
      <c r="E4227" s="1">
        <v>0</v>
      </c>
      <c r="G4227" s="2">
        <f t="shared" si="66"/>
        <v>0</v>
      </c>
      <c r="H4227" s="2">
        <v>0</v>
      </c>
    </row>
    <row r="4228" spans="2:8">
      <c r="B4228" t="s">
        <v>1277</v>
      </c>
      <c r="C4228" t="s">
        <v>1525</v>
      </c>
      <c r="D4228" s="10" t="s">
        <v>479</v>
      </c>
      <c r="E4228" s="1">
        <v>0</v>
      </c>
      <c r="G4228" s="2">
        <f t="shared" si="66"/>
        <v>0</v>
      </c>
      <c r="H4228" s="2">
        <v>0</v>
      </c>
    </row>
    <row r="4229" spans="2:8">
      <c r="B4229" t="s">
        <v>1277</v>
      </c>
      <c r="C4229" t="s">
        <v>1525</v>
      </c>
      <c r="D4229" s="11" t="s">
        <v>480</v>
      </c>
      <c r="E4229" s="1">
        <v>0</v>
      </c>
      <c r="G4229" s="2">
        <f t="shared" si="66"/>
        <v>0</v>
      </c>
      <c r="H4229" s="2">
        <v>0</v>
      </c>
    </row>
    <row r="4230" spans="2:8">
      <c r="B4230" t="s">
        <v>1277</v>
      </c>
      <c r="C4230" t="s">
        <v>1525</v>
      </c>
      <c r="D4230" s="13" t="s">
        <v>481</v>
      </c>
      <c r="E4230" s="1">
        <v>0</v>
      </c>
      <c r="G4230" s="2">
        <f t="shared" si="66"/>
        <v>0</v>
      </c>
      <c r="H4230" s="2">
        <v>0</v>
      </c>
    </row>
    <row r="4231" spans="2:8">
      <c r="B4231" t="s">
        <v>1277</v>
      </c>
      <c r="C4231" t="s">
        <v>1525</v>
      </c>
      <c r="D4231" s="12" t="s">
        <v>1033</v>
      </c>
      <c r="E4231" s="1">
        <v>0</v>
      </c>
      <c r="G4231" s="2">
        <f t="shared" si="66"/>
        <v>0</v>
      </c>
      <c r="H4231" s="2">
        <v>0</v>
      </c>
    </row>
    <row r="4232" spans="2:8">
      <c r="B4232" t="s">
        <v>1283</v>
      </c>
      <c r="C4232" t="s">
        <v>1526</v>
      </c>
      <c r="D4232" s="5" t="s">
        <v>474</v>
      </c>
      <c r="E4232" s="1">
        <v>0</v>
      </c>
      <c r="G4232" s="2">
        <f t="shared" si="66"/>
        <v>0</v>
      </c>
      <c r="H4232" s="2">
        <v>0</v>
      </c>
    </row>
    <row r="4233" spans="2:8">
      <c r="B4233" t="s">
        <v>1283</v>
      </c>
      <c r="C4233" t="s">
        <v>1526</v>
      </c>
      <c r="D4233" s="6" t="s">
        <v>475</v>
      </c>
      <c r="E4233" s="1">
        <v>0</v>
      </c>
      <c r="G4233" s="2">
        <f t="shared" si="66"/>
        <v>0</v>
      </c>
      <c r="H4233" s="2">
        <v>0</v>
      </c>
    </row>
    <row r="4234" spans="2:8">
      <c r="B4234" t="s">
        <v>1283</v>
      </c>
      <c r="C4234" t="s">
        <v>1526</v>
      </c>
      <c r="D4234" s="7" t="s">
        <v>476</v>
      </c>
      <c r="E4234" s="1">
        <v>0</v>
      </c>
      <c r="G4234" s="2">
        <f t="shared" si="66"/>
        <v>0</v>
      </c>
      <c r="H4234" s="2">
        <v>0</v>
      </c>
    </row>
    <row r="4235" spans="2:8">
      <c r="B4235" t="s">
        <v>1283</v>
      </c>
      <c r="C4235" t="s">
        <v>1526</v>
      </c>
      <c r="D4235" s="8" t="s">
        <v>477</v>
      </c>
      <c r="E4235" s="1">
        <v>0</v>
      </c>
      <c r="G4235" s="2">
        <f t="shared" si="66"/>
        <v>0</v>
      </c>
      <c r="H4235" s="2">
        <v>0</v>
      </c>
    </row>
    <row r="4236" spans="2:8">
      <c r="B4236" t="s">
        <v>1283</v>
      </c>
      <c r="C4236" t="s">
        <v>1526</v>
      </c>
      <c r="D4236" s="9" t="s">
        <v>478</v>
      </c>
      <c r="E4236" s="1">
        <v>0</v>
      </c>
      <c r="G4236" s="2">
        <f t="shared" si="66"/>
        <v>0</v>
      </c>
      <c r="H4236" s="2">
        <v>0</v>
      </c>
    </row>
    <row r="4237" spans="2:8">
      <c r="B4237" t="s">
        <v>1283</v>
      </c>
      <c r="C4237" t="s">
        <v>1526</v>
      </c>
      <c r="D4237" s="10" t="s">
        <v>479</v>
      </c>
      <c r="E4237" s="1">
        <v>0</v>
      </c>
      <c r="G4237" s="2">
        <f t="shared" si="66"/>
        <v>0</v>
      </c>
      <c r="H4237" s="2">
        <v>0</v>
      </c>
    </row>
    <row r="4238" spans="2:8">
      <c r="B4238" t="s">
        <v>1283</v>
      </c>
      <c r="C4238" t="s">
        <v>1526</v>
      </c>
      <c r="D4238" s="11" t="s">
        <v>480</v>
      </c>
      <c r="E4238" s="1">
        <v>0</v>
      </c>
      <c r="G4238" s="2">
        <f t="shared" si="66"/>
        <v>0</v>
      </c>
      <c r="H4238" s="2">
        <v>0</v>
      </c>
    </row>
    <row r="4239" spans="2:8">
      <c r="B4239" t="s">
        <v>1283</v>
      </c>
      <c r="C4239" t="s">
        <v>1526</v>
      </c>
      <c r="D4239" s="13" t="s">
        <v>481</v>
      </c>
      <c r="E4239" s="1">
        <v>0</v>
      </c>
      <c r="G4239" s="2">
        <f t="shared" si="66"/>
        <v>0</v>
      </c>
      <c r="H4239" s="2">
        <v>0</v>
      </c>
    </row>
    <row r="4240" spans="2:8">
      <c r="B4240" t="s">
        <v>1283</v>
      </c>
      <c r="C4240" t="s">
        <v>1526</v>
      </c>
      <c r="D4240" s="12" t="s">
        <v>1033</v>
      </c>
      <c r="E4240" s="1">
        <v>0</v>
      </c>
      <c r="G4240" s="2">
        <f t="shared" si="66"/>
        <v>0</v>
      </c>
      <c r="H4240" s="2">
        <v>0</v>
      </c>
    </row>
    <row r="4241" spans="2:8">
      <c r="B4241" t="s">
        <v>1306</v>
      </c>
      <c r="C4241" t="s">
        <v>1527</v>
      </c>
      <c r="D4241" s="5" t="s">
        <v>474</v>
      </c>
      <c r="E4241" s="1">
        <v>0</v>
      </c>
      <c r="G4241" s="2">
        <f t="shared" si="66"/>
        <v>0</v>
      </c>
      <c r="H4241" s="2">
        <v>0</v>
      </c>
    </row>
    <row r="4242" spans="2:8">
      <c r="B4242" t="s">
        <v>1306</v>
      </c>
      <c r="C4242" t="s">
        <v>1527</v>
      </c>
      <c r="D4242" s="6" t="s">
        <v>475</v>
      </c>
      <c r="E4242" s="1">
        <v>0</v>
      </c>
      <c r="G4242" s="2">
        <f t="shared" si="66"/>
        <v>0</v>
      </c>
      <c r="H4242" s="2">
        <v>0</v>
      </c>
    </row>
    <row r="4243" spans="2:8">
      <c r="B4243" t="s">
        <v>1306</v>
      </c>
      <c r="C4243" t="s">
        <v>1527</v>
      </c>
      <c r="D4243" s="7" t="s">
        <v>476</v>
      </c>
      <c r="E4243" s="1">
        <v>0</v>
      </c>
      <c r="G4243" s="2">
        <f t="shared" si="66"/>
        <v>0</v>
      </c>
      <c r="H4243" s="2">
        <v>0</v>
      </c>
    </row>
    <row r="4244" spans="2:8">
      <c r="B4244" t="s">
        <v>1306</v>
      </c>
      <c r="C4244" t="s">
        <v>1527</v>
      </c>
      <c r="D4244" s="8" t="s">
        <v>477</v>
      </c>
      <c r="E4244" s="1">
        <v>0</v>
      </c>
      <c r="G4244" s="2">
        <f t="shared" si="66"/>
        <v>0</v>
      </c>
      <c r="H4244" s="2">
        <v>0</v>
      </c>
    </row>
    <row r="4245" spans="2:8">
      <c r="B4245" t="s">
        <v>1306</v>
      </c>
      <c r="C4245" t="s">
        <v>1527</v>
      </c>
      <c r="D4245" s="9" t="s">
        <v>478</v>
      </c>
      <c r="E4245" s="1">
        <v>0</v>
      </c>
      <c r="G4245" s="2">
        <f t="shared" si="66"/>
        <v>0</v>
      </c>
      <c r="H4245" s="2">
        <v>0</v>
      </c>
    </row>
    <row r="4246" spans="2:8">
      <c r="B4246" t="s">
        <v>1306</v>
      </c>
      <c r="C4246" t="s">
        <v>1527</v>
      </c>
      <c r="D4246" s="10" t="s">
        <v>479</v>
      </c>
      <c r="E4246" s="1">
        <v>0</v>
      </c>
      <c r="G4246" s="2">
        <f t="shared" si="66"/>
        <v>0</v>
      </c>
      <c r="H4246" s="2">
        <v>0</v>
      </c>
    </row>
    <row r="4247" spans="2:8">
      <c r="B4247" t="s">
        <v>1306</v>
      </c>
      <c r="C4247" t="s">
        <v>1527</v>
      </c>
      <c r="D4247" s="11" t="s">
        <v>480</v>
      </c>
      <c r="E4247" s="1">
        <v>0</v>
      </c>
      <c r="G4247" s="2">
        <f t="shared" si="66"/>
        <v>0</v>
      </c>
      <c r="H4247" s="2">
        <v>0</v>
      </c>
    </row>
    <row r="4248" spans="2:8">
      <c r="B4248" t="s">
        <v>1306</v>
      </c>
      <c r="C4248" t="s">
        <v>1527</v>
      </c>
      <c r="D4248" s="13" t="s">
        <v>481</v>
      </c>
      <c r="E4248" s="1">
        <v>0</v>
      </c>
      <c r="G4248" s="2">
        <f t="shared" si="66"/>
        <v>0</v>
      </c>
      <c r="H4248" s="2">
        <v>0</v>
      </c>
    </row>
    <row r="4249" spans="2:8">
      <c r="B4249" t="s">
        <v>1306</v>
      </c>
      <c r="C4249" t="s">
        <v>1527</v>
      </c>
      <c r="D4249" s="12" t="s">
        <v>1033</v>
      </c>
      <c r="E4249" s="1">
        <v>0</v>
      </c>
      <c r="G4249" s="2">
        <f t="shared" si="66"/>
        <v>0</v>
      </c>
      <c r="H4249" s="2">
        <v>0</v>
      </c>
    </row>
    <row r="4250" spans="2:8">
      <c r="B4250" t="s">
        <v>1278</v>
      </c>
      <c r="C4250" t="s">
        <v>1528</v>
      </c>
      <c r="D4250" s="5" t="s">
        <v>474</v>
      </c>
      <c r="E4250" s="1">
        <v>0</v>
      </c>
      <c r="G4250" s="2">
        <f t="shared" si="66"/>
        <v>0</v>
      </c>
      <c r="H4250" s="2">
        <v>0</v>
      </c>
    </row>
    <row r="4251" spans="2:8">
      <c r="B4251" t="s">
        <v>1278</v>
      </c>
      <c r="C4251" t="s">
        <v>1528</v>
      </c>
      <c r="D4251" s="6" t="s">
        <v>475</v>
      </c>
      <c r="E4251" s="1">
        <v>0</v>
      </c>
      <c r="G4251" s="2">
        <f t="shared" si="66"/>
        <v>0</v>
      </c>
      <c r="H4251" s="2">
        <v>0</v>
      </c>
    </row>
    <row r="4252" spans="2:8">
      <c r="B4252" t="s">
        <v>1278</v>
      </c>
      <c r="C4252" t="s">
        <v>1528</v>
      </c>
      <c r="D4252" s="7" t="s">
        <v>476</v>
      </c>
      <c r="E4252" s="1">
        <v>0</v>
      </c>
      <c r="G4252" s="2">
        <f t="shared" si="66"/>
        <v>0</v>
      </c>
      <c r="H4252" s="2">
        <v>0</v>
      </c>
    </row>
    <row r="4253" spans="2:8">
      <c r="B4253" t="s">
        <v>1278</v>
      </c>
      <c r="C4253" t="s">
        <v>1528</v>
      </c>
      <c r="D4253" s="8" t="s">
        <v>477</v>
      </c>
      <c r="E4253" s="1">
        <v>0</v>
      </c>
      <c r="G4253" s="2">
        <f t="shared" si="66"/>
        <v>0</v>
      </c>
      <c r="H4253" s="2">
        <v>0</v>
      </c>
    </row>
    <row r="4254" spans="2:8">
      <c r="B4254" t="s">
        <v>1278</v>
      </c>
      <c r="C4254" t="s">
        <v>1528</v>
      </c>
      <c r="D4254" s="9" t="s">
        <v>478</v>
      </c>
      <c r="E4254" s="1">
        <v>0</v>
      </c>
      <c r="G4254" s="2">
        <f t="shared" si="66"/>
        <v>0</v>
      </c>
      <c r="H4254" s="2">
        <v>0</v>
      </c>
    </row>
    <row r="4255" spans="2:8">
      <c r="B4255" t="s">
        <v>1278</v>
      </c>
      <c r="C4255" t="s">
        <v>1528</v>
      </c>
      <c r="D4255" s="10" t="s">
        <v>479</v>
      </c>
      <c r="E4255" s="1">
        <v>0</v>
      </c>
      <c r="G4255" s="2">
        <f t="shared" si="66"/>
        <v>0</v>
      </c>
      <c r="H4255" s="2">
        <v>0</v>
      </c>
    </row>
    <row r="4256" spans="2:8">
      <c r="B4256" t="s">
        <v>1278</v>
      </c>
      <c r="C4256" t="s">
        <v>1528</v>
      </c>
      <c r="D4256" s="11" t="s">
        <v>480</v>
      </c>
      <c r="E4256" s="1">
        <v>0</v>
      </c>
      <c r="G4256" s="2">
        <f t="shared" si="66"/>
        <v>0</v>
      </c>
      <c r="H4256" s="2">
        <v>0</v>
      </c>
    </row>
    <row r="4257" spans="2:8">
      <c r="B4257" t="s">
        <v>1278</v>
      </c>
      <c r="C4257" t="s">
        <v>1528</v>
      </c>
      <c r="D4257" s="13" t="s">
        <v>481</v>
      </c>
      <c r="E4257" s="1">
        <v>0</v>
      </c>
      <c r="G4257" s="2">
        <f t="shared" si="66"/>
        <v>0</v>
      </c>
      <c r="H4257" s="2">
        <v>0</v>
      </c>
    </row>
    <row r="4258" spans="2:8">
      <c r="B4258" t="s">
        <v>1278</v>
      </c>
      <c r="C4258" t="s">
        <v>1528</v>
      </c>
      <c r="D4258" s="12" t="s">
        <v>1033</v>
      </c>
      <c r="E4258" s="1">
        <v>0</v>
      </c>
      <c r="G4258" s="2">
        <f t="shared" si="66"/>
        <v>0</v>
      </c>
      <c r="H4258" s="2">
        <v>0</v>
      </c>
    </row>
    <row r="4259" spans="2:8">
      <c r="B4259" t="s">
        <v>1239</v>
      </c>
      <c r="C4259" t="s">
        <v>1529</v>
      </c>
      <c r="D4259" s="5" t="s">
        <v>474</v>
      </c>
      <c r="E4259" s="1">
        <v>0</v>
      </c>
      <c r="G4259" s="2">
        <f t="shared" si="66"/>
        <v>0</v>
      </c>
      <c r="H4259" s="2">
        <v>0</v>
      </c>
    </row>
    <row r="4260" spans="2:8">
      <c r="B4260" t="s">
        <v>1239</v>
      </c>
      <c r="C4260" t="s">
        <v>1529</v>
      </c>
      <c r="D4260" s="6" t="s">
        <v>475</v>
      </c>
      <c r="E4260" s="1">
        <v>0</v>
      </c>
      <c r="G4260" s="2">
        <f t="shared" si="66"/>
        <v>0</v>
      </c>
      <c r="H4260" s="2">
        <v>0</v>
      </c>
    </row>
    <row r="4261" spans="2:8">
      <c r="B4261" t="s">
        <v>1239</v>
      </c>
      <c r="C4261" t="s">
        <v>1529</v>
      </c>
      <c r="D4261" s="7" t="s">
        <v>476</v>
      </c>
      <c r="E4261" s="1">
        <v>0</v>
      </c>
      <c r="G4261" s="2">
        <f t="shared" si="66"/>
        <v>0</v>
      </c>
      <c r="H4261" s="2">
        <v>0</v>
      </c>
    </row>
    <row r="4262" spans="2:8">
      <c r="B4262" t="s">
        <v>1239</v>
      </c>
      <c r="C4262" t="s">
        <v>1529</v>
      </c>
      <c r="D4262" s="8" t="s">
        <v>477</v>
      </c>
      <c r="E4262" s="1">
        <v>0</v>
      </c>
      <c r="G4262" s="2">
        <f t="shared" si="66"/>
        <v>0</v>
      </c>
      <c r="H4262" s="2">
        <v>0</v>
      </c>
    </row>
    <row r="4263" spans="2:8">
      <c r="B4263" t="s">
        <v>1239</v>
      </c>
      <c r="C4263" t="s">
        <v>1529</v>
      </c>
      <c r="D4263" s="9" t="s">
        <v>478</v>
      </c>
      <c r="E4263" s="1">
        <v>0</v>
      </c>
      <c r="G4263" s="2">
        <f t="shared" si="66"/>
        <v>0</v>
      </c>
      <c r="H4263" s="2">
        <v>0</v>
      </c>
    </row>
    <row r="4264" spans="2:8">
      <c r="B4264" t="s">
        <v>1239</v>
      </c>
      <c r="C4264" t="s">
        <v>1529</v>
      </c>
      <c r="D4264" s="10" t="s">
        <v>479</v>
      </c>
      <c r="E4264" s="1">
        <v>0</v>
      </c>
      <c r="G4264" s="2">
        <f t="shared" si="66"/>
        <v>0</v>
      </c>
      <c r="H4264" s="2">
        <v>0</v>
      </c>
    </row>
    <row r="4265" spans="2:8">
      <c r="B4265" t="s">
        <v>1239</v>
      </c>
      <c r="C4265" t="s">
        <v>1529</v>
      </c>
      <c r="D4265" s="11" t="s">
        <v>480</v>
      </c>
      <c r="E4265" s="1">
        <v>0</v>
      </c>
      <c r="G4265" s="2">
        <f t="shared" si="66"/>
        <v>0</v>
      </c>
      <c r="H4265" s="2">
        <v>0</v>
      </c>
    </row>
    <row r="4266" spans="2:8">
      <c r="B4266" t="s">
        <v>1239</v>
      </c>
      <c r="C4266" t="s">
        <v>1529</v>
      </c>
      <c r="D4266" s="13" t="s">
        <v>481</v>
      </c>
      <c r="E4266" s="1">
        <v>0</v>
      </c>
      <c r="G4266" s="2">
        <f t="shared" si="66"/>
        <v>0</v>
      </c>
      <c r="H4266" s="2">
        <v>0</v>
      </c>
    </row>
    <row r="4267" spans="2:8">
      <c r="B4267" t="s">
        <v>1239</v>
      </c>
      <c r="C4267" t="s">
        <v>1529</v>
      </c>
      <c r="D4267" s="12" t="s">
        <v>1033</v>
      </c>
      <c r="E4267" s="1">
        <v>0</v>
      </c>
      <c r="G4267" s="2">
        <f t="shared" si="66"/>
        <v>0</v>
      </c>
      <c r="H4267" s="2">
        <v>0</v>
      </c>
    </row>
    <row r="4268" spans="2:8">
      <c r="B4268" t="s">
        <v>1243</v>
      </c>
      <c r="C4268" t="s">
        <v>1530</v>
      </c>
      <c r="D4268" s="5" t="s">
        <v>474</v>
      </c>
      <c r="E4268" s="1">
        <v>0</v>
      </c>
      <c r="G4268" s="2">
        <f t="shared" si="66"/>
        <v>0</v>
      </c>
      <c r="H4268" s="2">
        <v>0</v>
      </c>
    </row>
    <row r="4269" spans="2:8">
      <c r="B4269" t="s">
        <v>1243</v>
      </c>
      <c r="C4269" t="s">
        <v>1530</v>
      </c>
      <c r="D4269" s="6" t="s">
        <v>475</v>
      </c>
      <c r="E4269" s="1">
        <v>0</v>
      </c>
      <c r="G4269" s="2">
        <f t="shared" si="66"/>
        <v>0</v>
      </c>
      <c r="H4269" s="2">
        <v>0</v>
      </c>
    </row>
    <row r="4270" spans="2:8">
      <c r="B4270" t="s">
        <v>1243</v>
      </c>
      <c r="C4270" t="s">
        <v>1530</v>
      </c>
      <c r="D4270" s="7" t="s">
        <v>476</v>
      </c>
      <c r="E4270" s="1">
        <v>0</v>
      </c>
      <c r="G4270" s="2">
        <f t="shared" si="66"/>
        <v>0</v>
      </c>
      <c r="H4270" s="2">
        <v>0</v>
      </c>
    </row>
    <row r="4271" spans="2:8">
      <c r="B4271" t="s">
        <v>1243</v>
      </c>
      <c r="C4271" t="s">
        <v>1530</v>
      </c>
      <c r="D4271" s="8" t="s">
        <v>477</v>
      </c>
      <c r="E4271" s="1">
        <v>0</v>
      </c>
      <c r="G4271" s="2">
        <f t="shared" si="66"/>
        <v>0</v>
      </c>
      <c r="H4271" s="2">
        <v>0</v>
      </c>
    </row>
    <row r="4272" spans="2:8">
      <c r="B4272" t="s">
        <v>1243</v>
      </c>
      <c r="C4272" t="s">
        <v>1530</v>
      </c>
      <c r="D4272" s="9" t="s">
        <v>478</v>
      </c>
      <c r="E4272" s="1">
        <v>0</v>
      </c>
      <c r="G4272" s="2">
        <f t="shared" si="66"/>
        <v>0</v>
      </c>
      <c r="H4272" s="2">
        <v>0</v>
      </c>
    </row>
    <row r="4273" spans="2:8">
      <c r="B4273" t="s">
        <v>1243</v>
      </c>
      <c r="C4273" t="s">
        <v>1530</v>
      </c>
      <c r="D4273" s="10" t="s">
        <v>479</v>
      </c>
      <c r="E4273" s="1">
        <v>0</v>
      </c>
      <c r="G4273" s="2">
        <f t="shared" si="66"/>
        <v>0</v>
      </c>
      <c r="H4273" s="2">
        <v>0</v>
      </c>
    </row>
    <row r="4274" spans="2:8">
      <c r="B4274" t="s">
        <v>1243</v>
      </c>
      <c r="C4274" t="s">
        <v>1530</v>
      </c>
      <c r="D4274" s="11" t="s">
        <v>480</v>
      </c>
      <c r="E4274" s="1">
        <v>0</v>
      </c>
      <c r="G4274" s="2">
        <f t="shared" si="66"/>
        <v>0</v>
      </c>
      <c r="H4274" s="2">
        <v>0</v>
      </c>
    </row>
    <row r="4275" spans="2:8">
      <c r="B4275" t="s">
        <v>1243</v>
      </c>
      <c r="C4275" t="s">
        <v>1530</v>
      </c>
      <c r="D4275" s="13" t="s">
        <v>481</v>
      </c>
      <c r="E4275" s="1">
        <v>0</v>
      </c>
      <c r="G4275" s="2">
        <f t="shared" si="66"/>
        <v>0</v>
      </c>
      <c r="H4275" s="2">
        <v>0</v>
      </c>
    </row>
    <row r="4276" spans="2:8">
      <c r="B4276" t="s">
        <v>1243</v>
      </c>
      <c r="C4276" t="s">
        <v>1530</v>
      </c>
      <c r="D4276" s="12" t="s">
        <v>1033</v>
      </c>
      <c r="E4276" s="1">
        <v>0</v>
      </c>
      <c r="G4276" s="2">
        <f t="shared" si="66"/>
        <v>0</v>
      </c>
      <c r="H4276" s="2">
        <v>0</v>
      </c>
    </row>
    <row r="4277" spans="2:8">
      <c r="B4277" t="s">
        <v>1247</v>
      </c>
      <c r="C4277" t="s">
        <v>1531</v>
      </c>
      <c r="D4277" s="5" t="s">
        <v>474</v>
      </c>
      <c r="E4277" s="1">
        <v>0</v>
      </c>
      <c r="G4277" s="2">
        <f t="shared" si="66"/>
        <v>0</v>
      </c>
      <c r="H4277" s="2">
        <v>0</v>
      </c>
    </row>
    <row r="4278" spans="2:8">
      <c r="B4278" t="s">
        <v>1247</v>
      </c>
      <c r="C4278" t="s">
        <v>1531</v>
      </c>
      <c r="D4278" s="6" t="s">
        <v>475</v>
      </c>
      <c r="E4278" s="1">
        <v>0</v>
      </c>
      <c r="G4278" s="2">
        <f t="shared" si="66"/>
        <v>0</v>
      </c>
      <c r="H4278" s="2">
        <v>0</v>
      </c>
    </row>
    <row r="4279" spans="2:8">
      <c r="B4279" t="s">
        <v>1247</v>
      </c>
      <c r="C4279" t="s">
        <v>1531</v>
      </c>
      <c r="D4279" s="7" t="s">
        <v>476</v>
      </c>
      <c r="E4279" s="1">
        <v>0</v>
      </c>
      <c r="G4279" s="2">
        <f t="shared" si="66"/>
        <v>0</v>
      </c>
      <c r="H4279" s="2">
        <v>0</v>
      </c>
    </row>
    <row r="4280" spans="2:8">
      <c r="B4280" t="s">
        <v>1247</v>
      </c>
      <c r="C4280" t="s">
        <v>1531</v>
      </c>
      <c r="D4280" s="8" t="s">
        <v>477</v>
      </c>
      <c r="E4280" s="1">
        <v>0</v>
      </c>
      <c r="G4280" s="2">
        <f t="shared" si="66"/>
        <v>0</v>
      </c>
      <c r="H4280" s="2">
        <v>0</v>
      </c>
    </row>
    <row r="4281" spans="2:8">
      <c r="B4281" t="s">
        <v>1247</v>
      </c>
      <c r="C4281" t="s">
        <v>1531</v>
      </c>
      <c r="D4281" s="9" t="s">
        <v>478</v>
      </c>
      <c r="E4281" s="1">
        <v>0</v>
      </c>
      <c r="G4281" s="2">
        <f t="shared" si="66"/>
        <v>0</v>
      </c>
      <c r="H4281" s="2">
        <v>0</v>
      </c>
    </row>
    <row r="4282" spans="2:8">
      <c r="B4282" t="s">
        <v>1247</v>
      </c>
      <c r="C4282" t="s">
        <v>1531</v>
      </c>
      <c r="D4282" s="10" t="s">
        <v>479</v>
      </c>
      <c r="E4282" s="1">
        <v>0</v>
      </c>
      <c r="G4282" s="2">
        <f t="shared" si="66"/>
        <v>0</v>
      </c>
      <c r="H4282" s="2">
        <v>0</v>
      </c>
    </row>
    <row r="4283" spans="2:8">
      <c r="B4283" t="s">
        <v>1247</v>
      </c>
      <c r="C4283" t="s">
        <v>1531</v>
      </c>
      <c r="D4283" s="11" t="s">
        <v>480</v>
      </c>
      <c r="E4283" s="1">
        <v>0</v>
      </c>
      <c r="G4283" s="2">
        <f t="shared" si="66"/>
        <v>0</v>
      </c>
      <c r="H4283" s="2">
        <v>0</v>
      </c>
    </row>
    <row r="4284" spans="2:8">
      <c r="B4284" t="s">
        <v>1247</v>
      </c>
      <c r="C4284" t="s">
        <v>1531</v>
      </c>
      <c r="D4284" s="13" t="s">
        <v>481</v>
      </c>
      <c r="E4284" s="1">
        <v>0</v>
      </c>
      <c r="G4284" s="2">
        <f t="shared" si="66"/>
        <v>0</v>
      </c>
      <c r="H4284" s="2">
        <v>0</v>
      </c>
    </row>
    <row r="4285" spans="2:8">
      <c r="B4285" t="s">
        <v>1247</v>
      </c>
      <c r="C4285" t="s">
        <v>1531</v>
      </c>
      <c r="D4285" s="12" t="s">
        <v>1033</v>
      </c>
      <c r="E4285" s="1">
        <v>0</v>
      </c>
      <c r="G4285" s="2">
        <f t="shared" si="66"/>
        <v>0</v>
      </c>
      <c r="H4285" s="2">
        <v>0</v>
      </c>
    </row>
    <row r="4286" spans="2:8">
      <c r="B4286" t="s">
        <v>1246</v>
      </c>
      <c r="C4286" t="s">
        <v>1532</v>
      </c>
      <c r="D4286" s="5" t="s">
        <v>474</v>
      </c>
      <c r="E4286" s="1">
        <v>0</v>
      </c>
      <c r="G4286" s="2">
        <f t="shared" si="66"/>
        <v>0</v>
      </c>
      <c r="H4286" s="2">
        <v>0</v>
      </c>
    </row>
    <row r="4287" spans="2:8">
      <c r="B4287" t="s">
        <v>1246</v>
      </c>
      <c r="C4287" t="s">
        <v>1532</v>
      </c>
      <c r="D4287" s="6" t="s">
        <v>475</v>
      </c>
      <c r="E4287" s="1">
        <v>0</v>
      </c>
      <c r="G4287" s="2">
        <f t="shared" si="66"/>
        <v>0</v>
      </c>
      <c r="H4287" s="2">
        <v>0</v>
      </c>
    </row>
    <row r="4288" spans="2:8">
      <c r="B4288" t="s">
        <v>1246</v>
      </c>
      <c r="C4288" t="s">
        <v>1532</v>
      </c>
      <c r="D4288" s="7" t="s">
        <v>476</v>
      </c>
      <c r="E4288" s="1">
        <v>0</v>
      </c>
      <c r="G4288" s="2">
        <f t="shared" si="66"/>
        <v>0</v>
      </c>
      <c r="H4288" s="2">
        <v>0</v>
      </c>
    </row>
    <row r="4289" spans="2:8">
      <c r="B4289" t="s">
        <v>1246</v>
      </c>
      <c r="C4289" t="s">
        <v>1532</v>
      </c>
      <c r="D4289" s="8" t="s">
        <v>477</v>
      </c>
      <c r="E4289" s="1">
        <v>0</v>
      </c>
      <c r="G4289" s="2">
        <f t="shared" si="66"/>
        <v>0</v>
      </c>
      <c r="H4289" s="2">
        <v>0</v>
      </c>
    </row>
    <row r="4290" spans="2:8">
      <c r="B4290" t="s">
        <v>1246</v>
      </c>
      <c r="C4290" t="s">
        <v>1532</v>
      </c>
      <c r="D4290" s="9" t="s">
        <v>478</v>
      </c>
      <c r="E4290" s="1">
        <v>0</v>
      </c>
      <c r="G4290" s="2">
        <f t="shared" ref="G4290:G4353" si="67">E4290*F4290</f>
        <v>0</v>
      </c>
      <c r="H4290" s="2">
        <v>0</v>
      </c>
    </row>
    <row r="4291" spans="2:8">
      <c r="B4291" t="s">
        <v>1246</v>
      </c>
      <c r="C4291" t="s">
        <v>1532</v>
      </c>
      <c r="D4291" s="10" t="s">
        <v>479</v>
      </c>
      <c r="E4291" s="1">
        <v>0</v>
      </c>
      <c r="G4291" s="2">
        <f t="shared" si="67"/>
        <v>0</v>
      </c>
      <c r="H4291" s="2">
        <v>0</v>
      </c>
    </row>
    <row r="4292" spans="2:8">
      <c r="B4292" t="s">
        <v>1246</v>
      </c>
      <c r="C4292" t="s">
        <v>1532</v>
      </c>
      <c r="D4292" s="11" t="s">
        <v>480</v>
      </c>
      <c r="E4292" s="1">
        <v>0</v>
      </c>
      <c r="G4292" s="2">
        <f t="shared" si="67"/>
        <v>0</v>
      </c>
      <c r="H4292" s="2">
        <v>0</v>
      </c>
    </row>
    <row r="4293" spans="2:8">
      <c r="B4293" t="s">
        <v>1246</v>
      </c>
      <c r="C4293" t="s">
        <v>1532</v>
      </c>
      <c r="D4293" s="13" t="s">
        <v>481</v>
      </c>
      <c r="E4293" s="1">
        <v>0</v>
      </c>
      <c r="G4293" s="2">
        <f t="shared" si="67"/>
        <v>0</v>
      </c>
      <c r="H4293" s="2">
        <v>0</v>
      </c>
    </row>
    <row r="4294" spans="2:8">
      <c r="B4294" t="s">
        <v>1246</v>
      </c>
      <c r="C4294" t="s">
        <v>1532</v>
      </c>
      <c r="D4294" s="12" t="s">
        <v>1033</v>
      </c>
      <c r="E4294" s="1">
        <v>0</v>
      </c>
      <c r="G4294" s="2">
        <f t="shared" si="67"/>
        <v>0</v>
      </c>
      <c r="H4294" s="2">
        <v>0</v>
      </c>
    </row>
    <row r="4295" spans="2:8">
      <c r="B4295" t="s">
        <v>1321</v>
      </c>
      <c r="C4295" t="s">
        <v>1533</v>
      </c>
      <c r="D4295" s="5" t="s">
        <v>474</v>
      </c>
      <c r="E4295" s="1">
        <v>0</v>
      </c>
      <c r="G4295" s="2">
        <f t="shared" si="67"/>
        <v>0</v>
      </c>
      <c r="H4295" s="2">
        <v>0</v>
      </c>
    </row>
    <row r="4296" spans="2:8">
      <c r="B4296" t="s">
        <v>1321</v>
      </c>
      <c r="C4296" t="s">
        <v>1533</v>
      </c>
      <c r="D4296" s="6" t="s">
        <v>475</v>
      </c>
      <c r="E4296" s="1">
        <v>0</v>
      </c>
      <c r="G4296" s="2">
        <f t="shared" si="67"/>
        <v>0</v>
      </c>
      <c r="H4296" s="2">
        <v>0</v>
      </c>
    </row>
    <row r="4297" spans="2:8">
      <c r="B4297" t="s">
        <v>1321</v>
      </c>
      <c r="C4297" t="s">
        <v>1533</v>
      </c>
      <c r="D4297" s="7" t="s">
        <v>476</v>
      </c>
      <c r="E4297" s="1">
        <v>0</v>
      </c>
      <c r="G4297" s="2">
        <f t="shared" si="67"/>
        <v>0</v>
      </c>
      <c r="H4297" s="2">
        <v>0</v>
      </c>
    </row>
    <row r="4298" spans="2:8">
      <c r="B4298" t="s">
        <v>1321</v>
      </c>
      <c r="C4298" t="s">
        <v>1533</v>
      </c>
      <c r="D4298" s="8" t="s">
        <v>477</v>
      </c>
      <c r="E4298" s="1">
        <v>0</v>
      </c>
      <c r="G4298" s="2">
        <f t="shared" si="67"/>
        <v>0</v>
      </c>
      <c r="H4298" s="2">
        <v>0</v>
      </c>
    </row>
    <row r="4299" spans="2:8">
      <c r="B4299" t="s">
        <v>1321</v>
      </c>
      <c r="C4299" t="s">
        <v>1533</v>
      </c>
      <c r="D4299" s="9" t="s">
        <v>478</v>
      </c>
      <c r="E4299" s="1">
        <v>0</v>
      </c>
      <c r="G4299" s="2">
        <f t="shared" si="67"/>
        <v>0</v>
      </c>
      <c r="H4299" s="2">
        <v>0</v>
      </c>
    </row>
    <row r="4300" spans="2:8">
      <c r="B4300" t="s">
        <v>1321</v>
      </c>
      <c r="C4300" t="s">
        <v>1533</v>
      </c>
      <c r="D4300" s="10" t="s">
        <v>479</v>
      </c>
      <c r="E4300" s="1">
        <v>0</v>
      </c>
      <c r="G4300" s="2">
        <f t="shared" si="67"/>
        <v>0</v>
      </c>
      <c r="H4300" s="2">
        <v>0</v>
      </c>
    </row>
    <row r="4301" spans="2:8">
      <c r="B4301" t="s">
        <v>1321</v>
      </c>
      <c r="C4301" t="s">
        <v>1533</v>
      </c>
      <c r="D4301" s="11" t="s">
        <v>480</v>
      </c>
      <c r="E4301" s="1">
        <v>0</v>
      </c>
      <c r="G4301" s="2">
        <f t="shared" si="67"/>
        <v>0</v>
      </c>
      <c r="H4301" s="2">
        <v>0</v>
      </c>
    </row>
    <row r="4302" spans="2:8">
      <c r="B4302" t="s">
        <v>1321</v>
      </c>
      <c r="C4302" t="s">
        <v>1533</v>
      </c>
      <c r="D4302" s="13" t="s">
        <v>481</v>
      </c>
      <c r="E4302" s="1">
        <v>0</v>
      </c>
      <c r="G4302" s="2">
        <f t="shared" si="67"/>
        <v>0</v>
      </c>
      <c r="H4302" s="2">
        <v>0</v>
      </c>
    </row>
    <row r="4303" spans="2:8">
      <c r="B4303" t="s">
        <v>1321</v>
      </c>
      <c r="C4303" t="s">
        <v>1533</v>
      </c>
      <c r="D4303" s="12" t="s">
        <v>1033</v>
      </c>
      <c r="E4303" s="1">
        <v>0</v>
      </c>
      <c r="G4303" s="2">
        <f t="shared" si="67"/>
        <v>0</v>
      </c>
      <c r="H4303" s="2">
        <v>0</v>
      </c>
    </row>
    <row r="4304" spans="2:8">
      <c r="B4304" t="s">
        <v>1444</v>
      </c>
      <c r="C4304" t="s">
        <v>1534</v>
      </c>
      <c r="D4304" s="5" t="s">
        <v>474</v>
      </c>
      <c r="E4304" s="1">
        <v>0</v>
      </c>
      <c r="G4304" s="2">
        <f t="shared" si="67"/>
        <v>0</v>
      </c>
      <c r="H4304" s="2">
        <v>0</v>
      </c>
    </row>
    <row r="4305" spans="2:8">
      <c r="B4305" t="s">
        <v>1444</v>
      </c>
      <c r="C4305" t="s">
        <v>1534</v>
      </c>
      <c r="D4305" s="6" t="s">
        <v>475</v>
      </c>
      <c r="E4305" s="1">
        <v>0</v>
      </c>
      <c r="G4305" s="2">
        <f t="shared" si="67"/>
        <v>0</v>
      </c>
      <c r="H4305" s="2">
        <v>0</v>
      </c>
    </row>
    <row r="4306" spans="2:8">
      <c r="B4306" t="s">
        <v>1444</v>
      </c>
      <c r="C4306" t="s">
        <v>1534</v>
      </c>
      <c r="D4306" s="7" t="s">
        <v>476</v>
      </c>
      <c r="E4306" s="1">
        <v>0</v>
      </c>
      <c r="G4306" s="2">
        <f t="shared" si="67"/>
        <v>0</v>
      </c>
      <c r="H4306" s="2">
        <v>0</v>
      </c>
    </row>
    <row r="4307" spans="2:8">
      <c r="B4307" t="s">
        <v>1444</v>
      </c>
      <c r="C4307" t="s">
        <v>1534</v>
      </c>
      <c r="D4307" s="8" t="s">
        <v>477</v>
      </c>
      <c r="E4307" s="1">
        <v>0</v>
      </c>
      <c r="G4307" s="2">
        <f t="shared" si="67"/>
        <v>0</v>
      </c>
      <c r="H4307" s="2">
        <v>0</v>
      </c>
    </row>
    <row r="4308" spans="2:8">
      <c r="B4308" t="s">
        <v>1444</v>
      </c>
      <c r="C4308" t="s">
        <v>1534</v>
      </c>
      <c r="D4308" s="9" t="s">
        <v>478</v>
      </c>
      <c r="E4308" s="1">
        <v>0</v>
      </c>
      <c r="G4308" s="2">
        <f t="shared" si="67"/>
        <v>0</v>
      </c>
      <c r="H4308" s="2">
        <v>0</v>
      </c>
    </row>
    <row r="4309" spans="2:8">
      <c r="B4309" t="s">
        <v>1444</v>
      </c>
      <c r="C4309" t="s">
        <v>1534</v>
      </c>
      <c r="D4309" s="10" t="s">
        <v>479</v>
      </c>
      <c r="E4309" s="1">
        <v>0</v>
      </c>
      <c r="G4309" s="2">
        <f t="shared" si="67"/>
        <v>0</v>
      </c>
      <c r="H4309" s="2">
        <v>0</v>
      </c>
    </row>
    <row r="4310" spans="2:8">
      <c r="B4310" t="s">
        <v>1444</v>
      </c>
      <c r="C4310" t="s">
        <v>1534</v>
      </c>
      <c r="D4310" s="11" t="s">
        <v>480</v>
      </c>
      <c r="E4310" s="1">
        <v>0</v>
      </c>
      <c r="G4310" s="2">
        <f t="shared" si="67"/>
        <v>0</v>
      </c>
      <c r="H4310" s="2">
        <v>0</v>
      </c>
    </row>
    <row r="4311" spans="2:8">
      <c r="B4311" t="s">
        <v>1444</v>
      </c>
      <c r="C4311" t="s">
        <v>1534</v>
      </c>
      <c r="D4311" s="13" t="s">
        <v>481</v>
      </c>
      <c r="E4311" s="1">
        <v>0</v>
      </c>
      <c r="G4311" s="2">
        <f t="shared" si="67"/>
        <v>0</v>
      </c>
      <c r="H4311" s="2">
        <v>0</v>
      </c>
    </row>
    <row r="4312" spans="2:8">
      <c r="B4312" t="s">
        <v>1444</v>
      </c>
      <c r="C4312" t="s">
        <v>1534</v>
      </c>
      <c r="D4312" s="12" t="s">
        <v>1033</v>
      </c>
      <c r="E4312" s="1">
        <v>0</v>
      </c>
      <c r="G4312" s="2">
        <f t="shared" si="67"/>
        <v>0</v>
      </c>
      <c r="H4312" s="2">
        <v>0</v>
      </c>
    </row>
    <row r="4313" spans="2:8">
      <c r="B4313" t="s">
        <v>1445</v>
      </c>
      <c r="C4313" t="s">
        <v>1535</v>
      </c>
      <c r="D4313" s="5" t="s">
        <v>474</v>
      </c>
      <c r="E4313" s="1">
        <v>0</v>
      </c>
      <c r="G4313" s="2">
        <f t="shared" si="67"/>
        <v>0</v>
      </c>
      <c r="H4313" s="2">
        <v>0</v>
      </c>
    </row>
    <row r="4314" spans="2:8">
      <c r="B4314" t="s">
        <v>1445</v>
      </c>
      <c r="C4314" t="s">
        <v>1535</v>
      </c>
      <c r="D4314" s="6" t="s">
        <v>475</v>
      </c>
      <c r="E4314" s="1">
        <v>0</v>
      </c>
      <c r="G4314" s="2">
        <f t="shared" si="67"/>
        <v>0</v>
      </c>
      <c r="H4314" s="2">
        <v>0</v>
      </c>
    </row>
    <row r="4315" spans="2:8">
      <c r="B4315" t="s">
        <v>1445</v>
      </c>
      <c r="C4315" t="s">
        <v>1535</v>
      </c>
      <c r="D4315" s="7" t="s">
        <v>476</v>
      </c>
      <c r="E4315" s="1">
        <v>0</v>
      </c>
      <c r="G4315" s="2">
        <f t="shared" si="67"/>
        <v>0</v>
      </c>
      <c r="H4315" s="2">
        <v>0</v>
      </c>
    </row>
    <row r="4316" spans="2:8">
      <c r="B4316" t="s">
        <v>1445</v>
      </c>
      <c r="C4316" t="s">
        <v>1535</v>
      </c>
      <c r="D4316" s="8" t="s">
        <v>477</v>
      </c>
      <c r="E4316" s="1">
        <v>0</v>
      </c>
      <c r="G4316" s="2">
        <f t="shared" si="67"/>
        <v>0</v>
      </c>
      <c r="H4316" s="2">
        <v>0</v>
      </c>
    </row>
    <row r="4317" spans="2:8">
      <c r="B4317" t="s">
        <v>1445</v>
      </c>
      <c r="C4317" t="s">
        <v>1535</v>
      </c>
      <c r="D4317" s="9" t="s">
        <v>478</v>
      </c>
      <c r="E4317" s="1">
        <v>0</v>
      </c>
      <c r="G4317" s="2">
        <f t="shared" si="67"/>
        <v>0</v>
      </c>
      <c r="H4317" s="2">
        <v>0</v>
      </c>
    </row>
    <row r="4318" spans="2:8">
      <c r="B4318" t="s">
        <v>1445</v>
      </c>
      <c r="C4318" t="s">
        <v>1535</v>
      </c>
      <c r="D4318" s="10" t="s">
        <v>479</v>
      </c>
      <c r="E4318" s="1">
        <v>0</v>
      </c>
      <c r="G4318" s="2">
        <f t="shared" si="67"/>
        <v>0</v>
      </c>
      <c r="H4318" s="2">
        <v>0</v>
      </c>
    </row>
    <row r="4319" spans="2:8">
      <c r="B4319" t="s">
        <v>1445</v>
      </c>
      <c r="C4319" t="s">
        <v>1535</v>
      </c>
      <c r="D4319" s="11" t="s">
        <v>480</v>
      </c>
      <c r="E4319" s="1">
        <v>0</v>
      </c>
      <c r="G4319" s="2">
        <f t="shared" si="67"/>
        <v>0</v>
      </c>
      <c r="H4319" s="2">
        <v>0</v>
      </c>
    </row>
    <row r="4320" spans="2:8">
      <c r="B4320" t="s">
        <v>1445</v>
      </c>
      <c r="C4320" t="s">
        <v>1535</v>
      </c>
      <c r="D4320" s="13" t="s">
        <v>481</v>
      </c>
      <c r="E4320" s="1">
        <v>0</v>
      </c>
      <c r="G4320" s="2">
        <f t="shared" si="67"/>
        <v>0</v>
      </c>
      <c r="H4320" s="2">
        <v>0</v>
      </c>
    </row>
    <row r="4321" spans="2:8">
      <c r="B4321" t="s">
        <v>1445</v>
      </c>
      <c r="C4321" t="s">
        <v>1535</v>
      </c>
      <c r="D4321" s="12" t="s">
        <v>1033</v>
      </c>
      <c r="E4321" s="1">
        <v>0</v>
      </c>
      <c r="G4321" s="2">
        <f t="shared" si="67"/>
        <v>0</v>
      </c>
      <c r="H4321" s="2">
        <v>0</v>
      </c>
    </row>
    <row r="4322" spans="2:8">
      <c r="B4322" t="s">
        <v>1446</v>
      </c>
      <c r="C4322" t="s">
        <v>1536</v>
      </c>
      <c r="D4322" s="5" t="s">
        <v>474</v>
      </c>
      <c r="E4322" s="1">
        <v>0</v>
      </c>
      <c r="G4322" s="2">
        <f t="shared" si="67"/>
        <v>0</v>
      </c>
      <c r="H4322" s="2">
        <v>0</v>
      </c>
    </row>
    <row r="4323" spans="2:8">
      <c r="B4323" t="s">
        <v>1446</v>
      </c>
      <c r="C4323" t="s">
        <v>1536</v>
      </c>
      <c r="D4323" s="6" t="s">
        <v>475</v>
      </c>
      <c r="E4323" s="1">
        <v>0</v>
      </c>
      <c r="G4323" s="2">
        <f t="shared" si="67"/>
        <v>0</v>
      </c>
      <c r="H4323" s="2">
        <v>0</v>
      </c>
    </row>
    <row r="4324" spans="2:8">
      <c r="B4324" t="s">
        <v>1446</v>
      </c>
      <c r="C4324" t="s">
        <v>1536</v>
      </c>
      <c r="D4324" s="7" t="s">
        <v>476</v>
      </c>
      <c r="E4324" s="1">
        <v>0</v>
      </c>
      <c r="G4324" s="2">
        <f t="shared" si="67"/>
        <v>0</v>
      </c>
      <c r="H4324" s="2">
        <v>0</v>
      </c>
    </row>
    <row r="4325" spans="2:8">
      <c r="B4325" t="s">
        <v>1446</v>
      </c>
      <c r="C4325" t="s">
        <v>1536</v>
      </c>
      <c r="D4325" s="8" t="s">
        <v>477</v>
      </c>
      <c r="E4325" s="1">
        <v>0</v>
      </c>
      <c r="G4325" s="2">
        <f t="shared" si="67"/>
        <v>0</v>
      </c>
      <c r="H4325" s="2">
        <v>0</v>
      </c>
    </row>
    <row r="4326" spans="2:8">
      <c r="B4326" t="s">
        <v>1446</v>
      </c>
      <c r="C4326" t="s">
        <v>1536</v>
      </c>
      <c r="D4326" s="9" t="s">
        <v>478</v>
      </c>
      <c r="E4326" s="1">
        <v>0</v>
      </c>
      <c r="G4326" s="2">
        <f t="shared" si="67"/>
        <v>0</v>
      </c>
      <c r="H4326" s="2">
        <v>0</v>
      </c>
    </row>
    <row r="4327" spans="2:8">
      <c r="B4327" t="s">
        <v>1446</v>
      </c>
      <c r="C4327" t="s">
        <v>1536</v>
      </c>
      <c r="D4327" s="10" t="s">
        <v>479</v>
      </c>
      <c r="E4327" s="1">
        <v>0</v>
      </c>
      <c r="G4327" s="2">
        <f t="shared" si="67"/>
        <v>0</v>
      </c>
      <c r="H4327" s="2">
        <v>0</v>
      </c>
    </row>
    <row r="4328" spans="2:8">
      <c r="B4328" t="s">
        <v>1446</v>
      </c>
      <c r="C4328" t="s">
        <v>1536</v>
      </c>
      <c r="D4328" s="11" t="s">
        <v>480</v>
      </c>
      <c r="E4328" s="1">
        <v>0</v>
      </c>
      <c r="G4328" s="2">
        <f t="shared" si="67"/>
        <v>0</v>
      </c>
      <c r="H4328" s="2">
        <v>0</v>
      </c>
    </row>
    <row r="4329" spans="2:8">
      <c r="B4329" t="s">
        <v>1446</v>
      </c>
      <c r="C4329" t="s">
        <v>1536</v>
      </c>
      <c r="D4329" s="13" t="s">
        <v>481</v>
      </c>
      <c r="E4329" s="1">
        <v>0</v>
      </c>
      <c r="G4329" s="2">
        <f t="shared" si="67"/>
        <v>0</v>
      </c>
      <c r="H4329" s="2">
        <v>0</v>
      </c>
    </row>
    <row r="4330" spans="2:8">
      <c r="B4330" t="s">
        <v>1446</v>
      </c>
      <c r="C4330" t="s">
        <v>1536</v>
      </c>
      <c r="D4330" s="12" t="s">
        <v>1033</v>
      </c>
      <c r="E4330" s="1">
        <v>0</v>
      </c>
      <c r="G4330" s="2">
        <f t="shared" si="67"/>
        <v>0</v>
      </c>
      <c r="H4330" s="2">
        <v>0</v>
      </c>
    </row>
    <row r="4331" spans="2:8">
      <c r="B4331" t="s">
        <v>1447</v>
      </c>
      <c r="C4331" t="s">
        <v>1537</v>
      </c>
      <c r="D4331" s="5" t="s">
        <v>474</v>
      </c>
      <c r="E4331" s="1">
        <v>0</v>
      </c>
      <c r="G4331" s="2">
        <f t="shared" si="67"/>
        <v>0</v>
      </c>
      <c r="H4331" s="2">
        <v>0</v>
      </c>
    </row>
    <row r="4332" spans="2:8">
      <c r="B4332" t="s">
        <v>1447</v>
      </c>
      <c r="C4332" t="s">
        <v>1537</v>
      </c>
      <c r="D4332" s="6" t="s">
        <v>475</v>
      </c>
      <c r="E4332" s="1">
        <v>0</v>
      </c>
      <c r="G4332" s="2">
        <f t="shared" si="67"/>
        <v>0</v>
      </c>
      <c r="H4332" s="2">
        <v>0</v>
      </c>
    </row>
    <row r="4333" spans="2:8">
      <c r="B4333" t="s">
        <v>1447</v>
      </c>
      <c r="C4333" t="s">
        <v>1537</v>
      </c>
      <c r="D4333" s="7" t="s">
        <v>476</v>
      </c>
      <c r="E4333" s="1">
        <v>0</v>
      </c>
      <c r="G4333" s="2">
        <f t="shared" si="67"/>
        <v>0</v>
      </c>
      <c r="H4333" s="2">
        <v>0</v>
      </c>
    </row>
    <row r="4334" spans="2:8">
      <c r="B4334" t="s">
        <v>1447</v>
      </c>
      <c r="C4334" t="s">
        <v>1537</v>
      </c>
      <c r="D4334" s="8" t="s">
        <v>477</v>
      </c>
      <c r="E4334" s="1">
        <v>0</v>
      </c>
      <c r="G4334" s="2">
        <f t="shared" si="67"/>
        <v>0</v>
      </c>
      <c r="H4334" s="2">
        <v>0</v>
      </c>
    </row>
    <row r="4335" spans="2:8">
      <c r="B4335" t="s">
        <v>1447</v>
      </c>
      <c r="C4335" t="s">
        <v>1537</v>
      </c>
      <c r="D4335" s="9" t="s">
        <v>478</v>
      </c>
      <c r="E4335" s="1">
        <v>0</v>
      </c>
      <c r="G4335" s="2">
        <f t="shared" si="67"/>
        <v>0</v>
      </c>
      <c r="H4335" s="2">
        <v>0</v>
      </c>
    </row>
    <row r="4336" spans="2:8">
      <c r="B4336" t="s">
        <v>1447</v>
      </c>
      <c r="C4336" t="s">
        <v>1537</v>
      </c>
      <c r="D4336" s="10" t="s">
        <v>479</v>
      </c>
      <c r="E4336" s="1">
        <v>0</v>
      </c>
      <c r="G4336" s="2">
        <f t="shared" si="67"/>
        <v>0</v>
      </c>
      <c r="H4336" s="2">
        <v>0</v>
      </c>
    </row>
    <row r="4337" spans="2:8">
      <c r="B4337" t="s">
        <v>1447</v>
      </c>
      <c r="C4337" t="s">
        <v>1537</v>
      </c>
      <c r="D4337" s="11" t="s">
        <v>480</v>
      </c>
      <c r="E4337" s="1">
        <v>0</v>
      </c>
      <c r="G4337" s="2">
        <f t="shared" si="67"/>
        <v>0</v>
      </c>
      <c r="H4337" s="2">
        <v>0</v>
      </c>
    </row>
    <row r="4338" spans="2:8">
      <c r="B4338" t="s">
        <v>1447</v>
      </c>
      <c r="C4338" t="s">
        <v>1537</v>
      </c>
      <c r="D4338" s="13" t="s">
        <v>481</v>
      </c>
      <c r="E4338" s="1">
        <v>0</v>
      </c>
      <c r="G4338" s="2">
        <f t="shared" si="67"/>
        <v>0</v>
      </c>
      <c r="H4338" s="2">
        <v>0</v>
      </c>
    </row>
    <row r="4339" spans="2:8">
      <c r="B4339" t="s">
        <v>1447</v>
      </c>
      <c r="C4339" t="s">
        <v>1537</v>
      </c>
      <c r="D4339" s="12" t="s">
        <v>1033</v>
      </c>
      <c r="E4339" s="1">
        <v>0</v>
      </c>
      <c r="G4339" s="2">
        <f t="shared" si="67"/>
        <v>0</v>
      </c>
      <c r="H4339" s="2">
        <v>0</v>
      </c>
    </row>
    <row r="4340" spans="2:8">
      <c r="B4340" t="s">
        <v>1588</v>
      </c>
      <c r="C4340" t="s">
        <v>1589</v>
      </c>
      <c r="D4340" s="5" t="s">
        <v>474</v>
      </c>
      <c r="E4340" s="1">
        <v>0</v>
      </c>
      <c r="G4340" s="2">
        <f t="shared" si="67"/>
        <v>0</v>
      </c>
      <c r="H4340" s="2">
        <v>0</v>
      </c>
    </row>
    <row r="4341" spans="2:8">
      <c r="B4341" t="s">
        <v>1588</v>
      </c>
      <c r="C4341" t="s">
        <v>1589</v>
      </c>
      <c r="D4341" s="6" t="s">
        <v>475</v>
      </c>
      <c r="E4341" s="1">
        <v>0</v>
      </c>
      <c r="G4341" s="2">
        <f t="shared" si="67"/>
        <v>0</v>
      </c>
      <c r="H4341" s="2">
        <v>0</v>
      </c>
    </row>
    <row r="4342" spans="2:8">
      <c r="B4342" t="s">
        <v>1588</v>
      </c>
      <c r="C4342" t="s">
        <v>1589</v>
      </c>
      <c r="D4342" s="7" t="s">
        <v>476</v>
      </c>
      <c r="E4342" s="1">
        <v>0</v>
      </c>
      <c r="G4342" s="2">
        <f t="shared" si="67"/>
        <v>0</v>
      </c>
      <c r="H4342" s="2">
        <v>0</v>
      </c>
    </row>
    <row r="4343" spans="2:8">
      <c r="B4343" t="s">
        <v>1588</v>
      </c>
      <c r="C4343" t="s">
        <v>1589</v>
      </c>
      <c r="D4343" s="8" t="s">
        <v>477</v>
      </c>
      <c r="E4343" s="1">
        <v>0</v>
      </c>
      <c r="G4343" s="2">
        <f t="shared" si="67"/>
        <v>0</v>
      </c>
      <c r="H4343" s="2">
        <v>0</v>
      </c>
    </row>
    <row r="4344" spans="2:8">
      <c r="B4344" t="s">
        <v>1588</v>
      </c>
      <c r="C4344" t="s">
        <v>1589</v>
      </c>
      <c r="D4344" s="9" t="s">
        <v>478</v>
      </c>
      <c r="E4344" s="1">
        <v>0</v>
      </c>
      <c r="G4344" s="2">
        <f t="shared" si="67"/>
        <v>0</v>
      </c>
      <c r="H4344" s="2">
        <v>0</v>
      </c>
    </row>
    <row r="4345" spans="2:8">
      <c r="B4345" t="s">
        <v>1588</v>
      </c>
      <c r="C4345" t="s">
        <v>1589</v>
      </c>
      <c r="D4345" s="10" t="s">
        <v>479</v>
      </c>
      <c r="E4345" s="1">
        <v>0</v>
      </c>
      <c r="G4345" s="2">
        <f t="shared" si="67"/>
        <v>0</v>
      </c>
      <c r="H4345" s="2">
        <v>0</v>
      </c>
    </row>
    <row r="4346" spans="2:8">
      <c r="B4346" t="s">
        <v>1588</v>
      </c>
      <c r="C4346" t="s">
        <v>1589</v>
      </c>
      <c r="D4346" s="11" t="s">
        <v>480</v>
      </c>
      <c r="E4346" s="1">
        <v>0</v>
      </c>
      <c r="G4346" s="2">
        <f t="shared" si="67"/>
        <v>0</v>
      </c>
      <c r="H4346" s="2">
        <v>0</v>
      </c>
    </row>
    <row r="4347" spans="2:8">
      <c r="B4347" t="s">
        <v>1588</v>
      </c>
      <c r="C4347" t="s">
        <v>1589</v>
      </c>
      <c r="D4347" s="13" t="s">
        <v>481</v>
      </c>
      <c r="E4347" s="1">
        <v>0</v>
      </c>
      <c r="G4347" s="2">
        <f t="shared" si="67"/>
        <v>0</v>
      </c>
      <c r="H4347" s="2">
        <v>0</v>
      </c>
    </row>
    <row r="4348" spans="2:8">
      <c r="B4348" t="s">
        <v>1588</v>
      </c>
      <c r="C4348" t="s">
        <v>1589</v>
      </c>
      <c r="D4348" s="12" t="s">
        <v>1033</v>
      </c>
      <c r="E4348" s="1">
        <v>0</v>
      </c>
      <c r="G4348" s="2">
        <f t="shared" si="67"/>
        <v>0</v>
      </c>
      <c r="H4348" s="2">
        <v>0</v>
      </c>
    </row>
    <row r="4349" spans="2:8">
      <c r="B4349" t="s">
        <v>1592</v>
      </c>
      <c r="C4349" t="s">
        <v>1593</v>
      </c>
      <c r="D4349" s="5" t="s">
        <v>474</v>
      </c>
      <c r="E4349" s="1">
        <v>0</v>
      </c>
      <c r="G4349" s="2">
        <f t="shared" si="67"/>
        <v>0</v>
      </c>
      <c r="H4349" s="2">
        <v>0</v>
      </c>
    </row>
    <row r="4350" spans="2:8">
      <c r="B4350" t="s">
        <v>1592</v>
      </c>
      <c r="C4350" t="s">
        <v>1593</v>
      </c>
      <c r="D4350" s="6" t="s">
        <v>475</v>
      </c>
      <c r="E4350" s="1">
        <v>0</v>
      </c>
      <c r="G4350" s="2">
        <f t="shared" si="67"/>
        <v>0</v>
      </c>
      <c r="H4350" s="2">
        <v>0</v>
      </c>
    </row>
    <row r="4351" spans="2:8">
      <c r="B4351" t="s">
        <v>1592</v>
      </c>
      <c r="C4351" t="s">
        <v>1593</v>
      </c>
      <c r="D4351" s="7" t="s">
        <v>476</v>
      </c>
      <c r="E4351" s="1">
        <v>0</v>
      </c>
      <c r="G4351" s="2">
        <f t="shared" si="67"/>
        <v>0</v>
      </c>
      <c r="H4351" s="2">
        <v>0</v>
      </c>
    </row>
    <row r="4352" spans="2:8">
      <c r="B4352" t="s">
        <v>1592</v>
      </c>
      <c r="C4352" t="s">
        <v>1593</v>
      </c>
      <c r="D4352" s="8" t="s">
        <v>477</v>
      </c>
      <c r="E4352" s="1">
        <v>0</v>
      </c>
      <c r="G4352" s="2">
        <f t="shared" si="67"/>
        <v>0</v>
      </c>
      <c r="H4352" s="2">
        <v>0</v>
      </c>
    </row>
    <row r="4353" spans="2:8">
      <c r="B4353" t="s">
        <v>1592</v>
      </c>
      <c r="C4353" t="s">
        <v>1593</v>
      </c>
      <c r="D4353" s="9" t="s">
        <v>478</v>
      </c>
      <c r="E4353" s="1">
        <v>0</v>
      </c>
      <c r="G4353" s="2">
        <f t="shared" si="67"/>
        <v>0</v>
      </c>
      <c r="H4353" s="2">
        <v>0</v>
      </c>
    </row>
    <row r="4354" spans="2:8">
      <c r="B4354" t="s">
        <v>1592</v>
      </c>
      <c r="C4354" t="s">
        <v>1593</v>
      </c>
      <c r="D4354" s="10" t="s">
        <v>479</v>
      </c>
      <c r="E4354" s="1">
        <v>0</v>
      </c>
      <c r="G4354" s="2">
        <f t="shared" ref="G4354:G4384" si="68">E4354*F4354</f>
        <v>0</v>
      </c>
      <c r="H4354" s="2">
        <v>0</v>
      </c>
    </row>
    <row r="4355" spans="2:8">
      <c r="B4355" t="s">
        <v>1592</v>
      </c>
      <c r="C4355" t="s">
        <v>1593</v>
      </c>
      <c r="D4355" s="11" t="s">
        <v>480</v>
      </c>
      <c r="E4355" s="1">
        <v>0</v>
      </c>
      <c r="G4355" s="2">
        <f t="shared" si="68"/>
        <v>0</v>
      </c>
      <c r="H4355" s="2">
        <v>0</v>
      </c>
    </row>
    <row r="4356" spans="2:8">
      <c r="B4356" t="s">
        <v>1592</v>
      </c>
      <c r="C4356" t="s">
        <v>1593</v>
      </c>
      <c r="D4356" s="13" t="s">
        <v>481</v>
      </c>
      <c r="E4356" s="1">
        <v>0</v>
      </c>
      <c r="G4356" s="2">
        <f t="shared" si="68"/>
        <v>0</v>
      </c>
      <c r="H4356" s="2">
        <v>0</v>
      </c>
    </row>
    <row r="4357" spans="2:8">
      <c r="B4357" t="s">
        <v>1592</v>
      </c>
      <c r="C4357" t="s">
        <v>1593</v>
      </c>
      <c r="D4357" s="12" t="s">
        <v>1033</v>
      </c>
      <c r="E4357" s="1">
        <v>0</v>
      </c>
      <c r="G4357" s="2">
        <f t="shared" si="68"/>
        <v>0</v>
      </c>
      <c r="H4357" s="2">
        <v>0</v>
      </c>
    </row>
    <row r="4358" spans="2:8">
      <c r="B4358" t="s">
        <v>1590</v>
      </c>
      <c r="C4358" t="s">
        <v>1591</v>
      </c>
      <c r="D4358" s="5" t="s">
        <v>474</v>
      </c>
      <c r="E4358" s="1">
        <v>0</v>
      </c>
      <c r="G4358" s="2">
        <f t="shared" si="68"/>
        <v>0</v>
      </c>
      <c r="H4358" s="2">
        <v>0</v>
      </c>
    </row>
    <row r="4359" spans="2:8">
      <c r="B4359" t="s">
        <v>1590</v>
      </c>
      <c r="C4359" t="s">
        <v>1591</v>
      </c>
      <c r="D4359" s="6" t="s">
        <v>475</v>
      </c>
      <c r="E4359" s="1">
        <v>0</v>
      </c>
      <c r="G4359" s="2">
        <f t="shared" si="68"/>
        <v>0</v>
      </c>
      <c r="H4359" s="2">
        <v>0</v>
      </c>
    </row>
    <row r="4360" spans="2:8">
      <c r="B4360" t="s">
        <v>1590</v>
      </c>
      <c r="C4360" t="s">
        <v>1591</v>
      </c>
      <c r="D4360" s="7" t="s">
        <v>476</v>
      </c>
      <c r="E4360" s="1">
        <v>0</v>
      </c>
      <c r="G4360" s="2">
        <f t="shared" si="68"/>
        <v>0</v>
      </c>
      <c r="H4360" s="2">
        <v>0</v>
      </c>
    </row>
    <row r="4361" spans="2:8">
      <c r="B4361" t="s">
        <v>1590</v>
      </c>
      <c r="C4361" t="s">
        <v>1591</v>
      </c>
      <c r="D4361" s="8" t="s">
        <v>477</v>
      </c>
      <c r="E4361" s="1">
        <v>0</v>
      </c>
      <c r="G4361" s="2">
        <f t="shared" si="68"/>
        <v>0</v>
      </c>
      <c r="H4361" s="2">
        <v>0</v>
      </c>
    </row>
    <row r="4362" spans="2:8">
      <c r="B4362" t="s">
        <v>1590</v>
      </c>
      <c r="C4362" t="s">
        <v>1591</v>
      </c>
      <c r="D4362" s="9" t="s">
        <v>478</v>
      </c>
      <c r="E4362" s="1">
        <v>0</v>
      </c>
      <c r="G4362" s="2">
        <f t="shared" si="68"/>
        <v>0</v>
      </c>
      <c r="H4362" s="2">
        <v>0</v>
      </c>
    </row>
    <row r="4363" spans="2:8">
      <c r="B4363" t="s">
        <v>1590</v>
      </c>
      <c r="C4363" t="s">
        <v>1591</v>
      </c>
      <c r="D4363" s="10" t="s">
        <v>479</v>
      </c>
      <c r="E4363" s="1">
        <v>0</v>
      </c>
      <c r="G4363" s="2">
        <f t="shared" si="68"/>
        <v>0</v>
      </c>
      <c r="H4363" s="2">
        <v>0</v>
      </c>
    </row>
    <row r="4364" spans="2:8">
      <c r="B4364" t="s">
        <v>1590</v>
      </c>
      <c r="C4364" t="s">
        <v>1591</v>
      </c>
      <c r="D4364" s="11" t="s">
        <v>480</v>
      </c>
      <c r="E4364" s="1">
        <v>0</v>
      </c>
      <c r="G4364" s="2">
        <f t="shared" si="68"/>
        <v>0</v>
      </c>
      <c r="H4364" s="2">
        <v>0</v>
      </c>
    </row>
    <row r="4365" spans="2:8">
      <c r="B4365" t="s">
        <v>1590</v>
      </c>
      <c r="C4365" t="s">
        <v>1591</v>
      </c>
      <c r="D4365" s="13" t="s">
        <v>481</v>
      </c>
      <c r="E4365" s="1">
        <v>0</v>
      </c>
      <c r="G4365" s="2">
        <f t="shared" si="68"/>
        <v>0</v>
      </c>
      <c r="H4365" s="2">
        <v>0</v>
      </c>
    </row>
    <row r="4366" spans="2:8">
      <c r="B4366" t="s">
        <v>1590</v>
      </c>
      <c r="C4366" t="s">
        <v>1591</v>
      </c>
      <c r="D4366" s="12" t="s">
        <v>1033</v>
      </c>
      <c r="E4366" s="1">
        <v>0</v>
      </c>
      <c r="G4366" s="2">
        <f t="shared" si="68"/>
        <v>0</v>
      </c>
      <c r="H4366" s="2">
        <v>0</v>
      </c>
    </row>
    <row r="4367" spans="2:8">
      <c r="B4367" t="s">
        <v>1594</v>
      </c>
      <c r="C4367" t="s">
        <v>1595</v>
      </c>
      <c r="D4367" s="5" t="s">
        <v>474</v>
      </c>
      <c r="E4367" s="1">
        <v>0</v>
      </c>
      <c r="G4367" s="2">
        <f t="shared" si="68"/>
        <v>0</v>
      </c>
      <c r="H4367" s="2">
        <v>0</v>
      </c>
    </row>
    <row r="4368" spans="2:8">
      <c r="B4368" t="s">
        <v>1594</v>
      </c>
      <c r="C4368" t="s">
        <v>1595</v>
      </c>
      <c r="D4368" s="6" t="s">
        <v>475</v>
      </c>
      <c r="E4368" s="1">
        <v>0</v>
      </c>
      <c r="G4368" s="2">
        <f t="shared" si="68"/>
        <v>0</v>
      </c>
      <c r="H4368" s="2">
        <v>0</v>
      </c>
    </row>
    <row r="4369" spans="2:8">
      <c r="B4369" t="s">
        <v>1594</v>
      </c>
      <c r="C4369" t="s">
        <v>1595</v>
      </c>
      <c r="D4369" s="7" t="s">
        <v>476</v>
      </c>
      <c r="E4369" s="1">
        <v>0</v>
      </c>
      <c r="G4369" s="2">
        <f t="shared" si="68"/>
        <v>0</v>
      </c>
      <c r="H4369" s="2">
        <v>0</v>
      </c>
    </row>
    <row r="4370" spans="2:8">
      <c r="B4370" t="s">
        <v>1594</v>
      </c>
      <c r="C4370" t="s">
        <v>1595</v>
      </c>
      <c r="D4370" s="8" t="s">
        <v>477</v>
      </c>
      <c r="E4370" s="1">
        <v>0</v>
      </c>
      <c r="G4370" s="2">
        <f t="shared" si="68"/>
        <v>0</v>
      </c>
      <c r="H4370" s="2">
        <v>0</v>
      </c>
    </row>
    <row r="4371" spans="2:8">
      <c r="B4371" t="s">
        <v>1594</v>
      </c>
      <c r="C4371" t="s">
        <v>1595</v>
      </c>
      <c r="D4371" s="9" t="s">
        <v>478</v>
      </c>
      <c r="E4371" s="1">
        <v>0</v>
      </c>
      <c r="G4371" s="2">
        <f t="shared" si="68"/>
        <v>0</v>
      </c>
      <c r="H4371" s="2">
        <v>0</v>
      </c>
    </row>
    <row r="4372" spans="2:8">
      <c r="B4372" t="s">
        <v>1594</v>
      </c>
      <c r="C4372" t="s">
        <v>1595</v>
      </c>
      <c r="D4372" s="10" t="s">
        <v>479</v>
      </c>
      <c r="E4372" s="1">
        <v>0</v>
      </c>
      <c r="G4372" s="2">
        <f t="shared" si="68"/>
        <v>0</v>
      </c>
      <c r="H4372" s="2">
        <v>0</v>
      </c>
    </row>
    <row r="4373" spans="2:8">
      <c r="B4373" t="s">
        <v>1594</v>
      </c>
      <c r="C4373" t="s">
        <v>1595</v>
      </c>
      <c r="D4373" s="11" t="s">
        <v>480</v>
      </c>
      <c r="E4373" s="1">
        <v>0</v>
      </c>
      <c r="G4373" s="2">
        <f t="shared" si="68"/>
        <v>0</v>
      </c>
      <c r="H4373" s="2">
        <v>0</v>
      </c>
    </row>
    <row r="4374" spans="2:8">
      <c r="B4374" t="s">
        <v>1594</v>
      </c>
      <c r="C4374" t="s">
        <v>1595</v>
      </c>
      <c r="D4374" s="13" t="s">
        <v>481</v>
      </c>
      <c r="E4374" s="1">
        <v>0</v>
      </c>
      <c r="G4374" s="2">
        <f t="shared" si="68"/>
        <v>0</v>
      </c>
      <c r="H4374" s="2">
        <v>0</v>
      </c>
    </row>
    <row r="4375" spans="2:8">
      <c r="B4375" t="s">
        <v>1594</v>
      </c>
      <c r="C4375" t="s">
        <v>1595</v>
      </c>
      <c r="D4375" s="12" t="s">
        <v>1033</v>
      </c>
      <c r="E4375" s="1">
        <v>0</v>
      </c>
      <c r="G4375" s="2">
        <f t="shared" si="68"/>
        <v>0</v>
      </c>
      <c r="H4375" s="2">
        <v>0</v>
      </c>
    </row>
    <row r="4376" spans="2:8">
      <c r="B4376" t="s">
        <v>1596</v>
      </c>
      <c r="C4376" t="s">
        <v>1597</v>
      </c>
      <c r="D4376" s="5" t="s">
        <v>474</v>
      </c>
      <c r="E4376" s="1">
        <v>0</v>
      </c>
      <c r="G4376" s="2">
        <f t="shared" si="68"/>
        <v>0</v>
      </c>
      <c r="H4376" s="2">
        <v>0</v>
      </c>
    </row>
    <row r="4377" spans="2:8">
      <c r="B4377" t="s">
        <v>1596</v>
      </c>
      <c r="C4377" t="s">
        <v>1597</v>
      </c>
      <c r="D4377" s="6" t="s">
        <v>475</v>
      </c>
      <c r="E4377" s="1">
        <v>0</v>
      </c>
      <c r="G4377" s="2">
        <f t="shared" si="68"/>
        <v>0</v>
      </c>
      <c r="H4377" s="2">
        <v>0</v>
      </c>
    </row>
    <row r="4378" spans="2:8">
      <c r="B4378" t="s">
        <v>1596</v>
      </c>
      <c r="C4378" t="s">
        <v>1597</v>
      </c>
      <c r="D4378" s="7" t="s">
        <v>476</v>
      </c>
      <c r="E4378" s="1">
        <v>0</v>
      </c>
      <c r="G4378" s="2">
        <f t="shared" si="68"/>
        <v>0</v>
      </c>
      <c r="H4378" s="2">
        <v>0</v>
      </c>
    </row>
    <row r="4379" spans="2:8">
      <c r="B4379" t="s">
        <v>1596</v>
      </c>
      <c r="C4379" t="s">
        <v>1597</v>
      </c>
      <c r="D4379" s="8" t="s">
        <v>477</v>
      </c>
      <c r="E4379" s="1">
        <v>0</v>
      </c>
      <c r="G4379" s="2">
        <f t="shared" si="68"/>
        <v>0</v>
      </c>
      <c r="H4379" s="2">
        <v>0</v>
      </c>
    </row>
    <row r="4380" spans="2:8">
      <c r="B4380" t="s">
        <v>1596</v>
      </c>
      <c r="C4380" t="s">
        <v>1597</v>
      </c>
      <c r="D4380" s="9" t="s">
        <v>478</v>
      </c>
      <c r="E4380" s="1">
        <v>0</v>
      </c>
      <c r="G4380" s="2">
        <f t="shared" si="68"/>
        <v>0</v>
      </c>
      <c r="H4380" s="2">
        <v>0</v>
      </c>
    </row>
    <row r="4381" spans="2:8">
      <c r="B4381" t="s">
        <v>1596</v>
      </c>
      <c r="C4381" t="s">
        <v>1597</v>
      </c>
      <c r="D4381" s="10" t="s">
        <v>479</v>
      </c>
      <c r="E4381" s="1">
        <v>0</v>
      </c>
      <c r="G4381" s="2">
        <f t="shared" si="68"/>
        <v>0</v>
      </c>
      <c r="H4381" s="2">
        <v>0</v>
      </c>
    </row>
    <row r="4382" spans="2:8">
      <c r="B4382" t="s">
        <v>1596</v>
      </c>
      <c r="C4382" t="s">
        <v>1597</v>
      </c>
      <c r="D4382" s="11" t="s">
        <v>480</v>
      </c>
      <c r="E4382" s="1">
        <v>0</v>
      </c>
      <c r="G4382" s="2">
        <f t="shared" si="68"/>
        <v>0</v>
      </c>
      <c r="H4382" s="2">
        <v>0</v>
      </c>
    </row>
    <row r="4383" spans="2:8">
      <c r="B4383" t="s">
        <v>1596</v>
      </c>
      <c r="C4383" t="s">
        <v>1597</v>
      </c>
      <c r="D4383" s="13" t="s">
        <v>481</v>
      </c>
      <c r="E4383" s="1">
        <v>0</v>
      </c>
      <c r="G4383" s="2">
        <f t="shared" si="68"/>
        <v>0</v>
      </c>
      <c r="H4383" s="2">
        <v>0</v>
      </c>
    </row>
    <row r="4384" spans="2:8">
      <c r="B4384" t="s">
        <v>1596</v>
      </c>
      <c r="C4384" t="s">
        <v>1597</v>
      </c>
      <c r="D4384" s="12" t="s">
        <v>1033</v>
      </c>
      <c r="E4384" s="1">
        <v>0</v>
      </c>
      <c r="G4384" s="2">
        <f t="shared" si="68"/>
        <v>0</v>
      </c>
      <c r="H4384" s="2">
        <v>0</v>
      </c>
    </row>
  </sheetData>
  <sortState xmlns:xlrd2="http://schemas.microsoft.com/office/spreadsheetml/2017/richdata2" ref="B2:K4384">
    <sortCondition descending="1" ref="E2:E4384"/>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S811"/>
  <sheetViews>
    <sheetView topLeftCell="B1" workbookViewId="0">
      <pane xSplit="1" topLeftCell="C1" activePane="topRight" state="frozen"/>
      <selection activeCell="B3341" sqref="B3341:B4312"/>
      <selection pane="topRight" activeCell="B1" sqref="B1"/>
    </sheetView>
  </sheetViews>
  <sheetFormatPr defaultColWidth="8.84375" defaultRowHeight="13.5"/>
  <cols>
    <col min="1" max="1" width="13" hidden="1" customWidth="1"/>
    <col min="2" max="2" width="13.84375" bestFit="1" customWidth="1"/>
    <col min="3" max="3" width="48" bestFit="1" customWidth="1"/>
    <col min="4" max="4" width="10.15234375" bestFit="1" customWidth="1"/>
    <col min="5" max="5" width="8" style="1" bestFit="1" customWidth="1"/>
    <col min="6" max="7" width="9" style="2" bestFit="1" customWidth="1"/>
    <col min="8" max="8" width="12.15234375" style="2" bestFit="1" customWidth="1"/>
    <col min="9" max="9" width="8.61328125" bestFit="1" customWidth="1"/>
    <col min="10" max="10" width="6.61328125" bestFit="1" customWidth="1"/>
    <col min="12" max="13" width="13.3828125" bestFit="1" customWidth="1"/>
    <col min="14" max="14" width="11.61328125" bestFit="1" customWidth="1"/>
    <col min="18" max="18" width="11.3828125" bestFit="1" customWidth="1"/>
  </cols>
  <sheetData>
    <row r="1" spans="2:19">
      <c r="B1" s="3" t="s">
        <v>31</v>
      </c>
      <c r="C1" s="3" t="s">
        <v>522</v>
      </c>
      <c r="D1" s="3" t="s">
        <v>483</v>
      </c>
      <c r="E1" s="14" t="s">
        <v>484</v>
      </c>
      <c r="F1" s="4" t="s">
        <v>523</v>
      </c>
      <c r="G1" s="4" t="s">
        <v>524</v>
      </c>
      <c r="H1" s="4" t="s">
        <v>1145</v>
      </c>
      <c r="I1" s="3" t="s">
        <v>525</v>
      </c>
      <c r="J1" s="3" t="s">
        <v>526</v>
      </c>
      <c r="M1" s="15" t="s">
        <v>532</v>
      </c>
      <c r="N1" s="16">
        <f>SUM(G2:G469)</f>
        <v>0</v>
      </c>
      <c r="R1" s="3" t="s">
        <v>527</v>
      </c>
      <c r="S1" s="3" t="s">
        <v>447</v>
      </c>
    </row>
    <row r="2" spans="2:19">
      <c r="B2" t="s">
        <v>1329</v>
      </c>
      <c r="C2" t="s">
        <v>1601</v>
      </c>
      <c r="D2" s="5" t="str">
        <f>'Kilter Holds'!T35</f>
        <v>11-12</v>
      </c>
      <c r="E2" s="1">
        <f>_xlfn.IFNA(VLOOKUP('Comp X - UP'!B2,'Urban Plastix Holds'!$I$36:$U$498,5,0),0)</f>
        <v>0</v>
      </c>
      <c r="G2" s="2">
        <f>E2*F2</f>
        <v>0</v>
      </c>
      <c r="H2" s="2">
        <f>IF($S$11="Y",G2*0.15,0)</f>
        <v>0</v>
      </c>
      <c r="M2" s="17" t="s">
        <v>351</v>
      </c>
      <c r="N2" s="18">
        <v>0</v>
      </c>
      <c r="R2" s="22" t="str">
        <f>'Kilter Holds'!T35</f>
        <v>11-12</v>
      </c>
      <c r="S2" s="3" t="s">
        <v>531</v>
      </c>
    </row>
    <row r="3" spans="2:19">
      <c r="B3" t="s">
        <v>1329</v>
      </c>
      <c r="C3" t="s">
        <v>1601</v>
      </c>
      <c r="D3" s="6" t="str">
        <f>'Kilter Holds'!U35</f>
        <v>14-01</v>
      </c>
      <c r="E3" s="1">
        <f>_xlfn.IFNA(VLOOKUP('Comp X - UP'!B3,'Urban Plastix Holds'!$I$36:$U$498,6,0),0)</f>
        <v>0</v>
      </c>
      <c r="G3" s="2">
        <f t="shared" ref="G3:G66" si="0">E3*F3</f>
        <v>0</v>
      </c>
      <c r="H3" s="2">
        <f t="shared" ref="H3:H66" si="1">IF($S$11="Y",G3*0.15,0)</f>
        <v>0</v>
      </c>
      <c r="M3" s="17" t="s">
        <v>1145</v>
      </c>
      <c r="N3" s="18">
        <f>SUM(H2:H469)</f>
        <v>0</v>
      </c>
      <c r="R3" s="23" t="str">
        <f>'Kilter Holds'!U35</f>
        <v>14-01</v>
      </c>
      <c r="S3" s="3" t="s">
        <v>531</v>
      </c>
    </row>
    <row r="4" spans="2:19">
      <c r="B4" t="s">
        <v>1329</v>
      </c>
      <c r="C4" t="s">
        <v>1601</v>
      </c>
      <c r="D4" s="7" t="str">
        <f>'Kilter Holds'!V35</f>
        <v>15-12</v>
      </c>
      <c r="E4" s="1">
        <f>_xlfn.IFNA(VLOOKUP('Comp X - UP'!B4,'Urban Plastix Holds'!$I$36:$U$498,7,0),0)</f>
        <v>1</v>
      </c>
      <c r="G4" s="2">
        <f t="shared" si="0"/>
        <v>0</v>
      </c>
      <c r="H4" s="2">
        <f t="shared" si="1"/>
        <v>0</v>
      </c>
      <c r="M4" s="17" t="s">
        <v>534</v>
      </c>
      <c r="N4" s="21">
        <v>0</v>
      </c>
      <c r="R4" s="24" t="str">
        <f>'Kilter Holds'!V35</f>
        <v>15-12</v>
      </c>
      <c r="S4" s="3" t="s">
        <v>531</v>
      </c>
    </row>
    <row r="5" spans="2:19">
      <c r="B5" t="s">
        <v>1329</v>
      </c>
      <c r="C5" t="s">
        <v>1601</v>
      </c>
      <c r="D5" s="8" t="str">
        <f>'Kilter Holds'!W35</f>
        <v>16-16</v>
      </c>
      <c r="E5" s="1">
        <f>_xlfn.IFNA(VLOOKUP('Comp X - UP'!B5,'Urban Plastix Holds'!$I$36:$U$498,8,0),0)</f>
        <v>0</v>
      </c>
      <c r="G5" s="2">
        <f t="shared" si="0"/>
        <v>0</v>
      </c>
      <c r="H5" s="2">
        <f t="shared" si="1"/>
        <v>0</v>
      </c>
      <c r="M5" s="17" t="s">
        <v>485</v>
      </c>
      <c r="N5" s="18">
        <f>'Kilter Holds'!AC396</f>
        <v>90.838671289999439</v>
      </c>
      <c r="R5" s="25" t="str">
        <f>'Kilter Holds'!W35</f>
        <v>16-16</v>
      </c>
      <c r="S5" s="3" t="s">
        <v>531</v>
      </c>
    </row>
    <row r="6" spans="2:19">
      <c r="B6" t="s">
        <v>1329</v>
      </c>
      <c r="C6" t="s">
        <v>1601</v>
      </c>
      <c r="D6" s="9" t="str">
        <f>'Kilter Holds'!X35</f>
        <v>13-01</v>
      </c>
      <c r="E6" s="1">
        <f>_xlfn.IFNA(VLOOKUP('Comp X - UP'!B6,'Urban Plastix Holds'!$I$36:$U$498,9,0),0)</f>
        <v>5</v>
      </c>
      <c r="G6" s="2">
        <f t="shared" si="0"/>
        <v>0</v>
      </c>
      <c r="H6" s="2">
        <f t="shared" si="1"/>
        <v>0</v>
      </c>
      <c r="M6" s="17" t="s">
        <v>533</v>
      </c>
      <c r="N6" s="18">
        <f>'Kilter Holds'!AC397</f>
        <v>49149.740205298061</v>
      </c>
      <c r="R6" s="26" t="str">
        <f>'Kilter Holds'!X35</f>
        <v>13-01</v>
      </c>
      <c r="S6" s="3" t="s">
        <v>531</v>
      </c>
    </row>
    <row r="7" spans="2:19" ht="14" thickBot="1">
      <c r="B7" t="s">
        <v>1329</v>
      </c>
      <c r="C7" t="s">
        <v>1601</v>
      </c>
      <c r="D7" s="10" t="str">
        <f>'Kilter Holds'!Y35</f>
        <v>07-13</v>
      </c>
      <c r="E7" s="1">
        <f>_xlfn.IFNA(VLOOKUP('Comp X - UP'!B7,'Urban Plastix Holds'!$I$36:$U$498,10,0),0)</f>
        <v>0</v>
      </c>
      <c r="G7" s="2">
        <f t="shared" si="0"/>
        <v>0</v>
      </c>
      <c r="H7" s="2">
        <f t="shared" si="1"/>
        <v>0</v>
      </c>
      <c r="M7" s="19" t="s">
        <v>79</v>
      </c>
      <c r="N7" s="20">
        <f>SUM(N1:N6)</f>
        <v>49240.578876588064</v>
      </c>
      <c r="R7" s="27" t="str">
        <f>'Kilter Holds'!Y35</f>
        <v>07-13</v>
      </c>
      <c r="S7" s="3" t="s">
        <v>531</v>
      </c>
    </row>
    <row r="8" spans="2:19">
      <c r="B8" t="s">
        <v>1329</v>
      </c>
      <c r="C8" t="s">
        <v>1601</v>
      </c>
      <c r="D8" s="11" t="str">
        <f>'Kilter Holds'!Z35</f>
        <v>11-25</v>
      </c>
      <c r="E8" s="1">
        <f>_xlfn.IFNA(VLOOKUP('Comp X - UP'!B8,'Urban Plastix Holds'!$I$36:$U$498,11,0),0)</f>
        <v>0</v>
      </c>
      <c r="G8" s="2">
        <f t="shared" si="0"/>
        <v>0</v>
      </c>
      <c r="H8" s="2">
        <f t="shared" si="1"/>
        <v>0</v>
      </c>
      <c r="R8" s="28" t="str">
        <f>'Kilter Holds'!Z35</f>
        <v>11-25</v>
      </c>
      <c r="S8" s="3" t="s">
        <v>531</v>
      </c>
    </row>
    <row r="9" spans="2:19">
      <c r="B9" t="s">
        <v>1329</v>
      </c>
      <c r="C9" t="s">
        <v>1601</v>
      </c>
      <c r="D9" s="13" t="str">
        <f>'Kilter Holds'!AA35</f>
        <v>18-01</v>
      </c>
      <c r="E9" s="1">
        <f>_xlfn.IFNA(VLOOKUP('Comp X - UP'!B9,'Urban Plastix Holds'!$I$36:$U$498,12,0),0)</f>
        <v>5</v>
      </c>
      <c r="G9" s="2">
        <f t="shared" si="0"/>
        <v>0</v>
      </c>
      <c r="H9" s="2">
        <f t="shared" si="1"/>
        <v>0</v>
      </c>
      <c r="R9" s="29" t="str">
        <f>'Kilter Holds'!AA35</f>
        <v>18-01</v>
      </c>
      <c r="S9" s="3" t="s">
        <v>531</v>
      </c>
    </row>
    <row r="10" spans="2:19">
      <c r="B10" t="s">
        <v>1329</v>
      </c>
      <c r="C10" t="s">
        <v>1601</v>
      </c>
      <c r="D10" s="12" t="str">
        <f>'Kilter Holds'!AB35</f>
        <v>12-01</v>
      </c>
      <c r="E10" s="1">
        <f>_xlfn.IFNA(VLOOKUP('Comp X - UP'!B10,'Urban Plastix Holds'!$I$36:$U$498,13,0),0)</f>
        <v>0</v>
      </c>
      <c r="G10" s="2">
        <f t="shared" si="0"/>
        <v>0</v>
      </c>
      <c r="H10" s="2">
        <f t="shared" si="1"/>
        <v>0</v>
      </c>
      <c r="R10" s="12" t="str">
        <f>'Kilter Holds'!AB35</f>
        <v>12-01</v>
      </c>
      <c r="S10" s="3" t="s">
        <v>530</v>
      </c>
    </row>
    <row r="11" spans="2:19">
      <c r="B11" t="s">
        <v>1330</v>
      </c>
      <c r="C11" t="s">
        <v>1602</v>
      </c>
      <c r="D11" s="5" t="str">
        <f t="shared" ref="D11:D74" si="2">D2</f>
        <v>11-12</v>
      </c>
      <c r="E11" s="1">
        <f>_xlfn.IFNA(VLOOKUP('Comp X - UP'!B11,'Urban Plastix Holds'!$I$36:$U$498,5,0),0)</f>
        <v>0</v>
      </c>
      <c r="G11" s="2">
        <f t="shared" si="0"/>
        <v>0</v>
      </c>
      <c r="H11" s="2">
        <f t="shared" si="1"/>
        <v>0</v>
      </c>
      <c r="R11" s="3" t="s">
        <v>1145</v>
      </c>
      <c r="S11" s="3" t="s">
        <v>531</v>
      </c>
    </row>
    <row r="12" spans="2:19">
      <c r="B12" t="s">
        <v>1330</v>
      </c>
      <c r="C12" t="s">
        <v>1602</v>
      </c>
      <c r="D12" s="6" t="str">
        <f t="shared" si="2"/>
        <v>14-01</v>
      </c>
      <c r="E12" s="1">
        <f>_xlfn.IFNA(VLOOKUP('Comp X - UP'!B12,'Urban Plastix Holds'!$I$36:$U$498,6,0),0)</f>
        <v>0</v>
      </c>
      <c r="G12" s="2">
        <f t="shared" si="0"/>
        <v>0</v>
      </c>
      <c r="H12" s="2">
        <f t="shared" si="1"/>
        <v>0</v>
      </c>
      <c r="S12" s="3"/>
    </row>
    <row r="13" spans="2:19">
      <c r="B13" t="s">
        <v>1330</v>
      </c>
      <c r="C13" t="s">
        <v>1602</v>
      </c>
      <c r="D13" s="7" t="str">
        <f t="shared" si="2"/>
        <v>15-12</v>
      </c>
      <c r="E13" s="1">
        <f>_xlfn.IFNA(VLOOKUP('Comp X - UP'!B13,'Urban Plastix Holds'!$I$36:$U$498,7,0),0)</f>
        <v>3</v>
      </c>
      <c r="G13" s="2">
        <f t="shared" si="0"/>
        <v>0</v>
      </c>
      <c r="H13" s="2">
        <f t="shared" si="1"/>
        <v>0</v>
      </c>
    </row>
    <row r="14" spans="2:19">
      <c r="B14" t="s">
        <v>1330</v>
      </c>
      <c r="C14" t="s">
        <v>1602</v>
      </c>
      <c r="D14" s="8" t="str">
        <f t="shared" si="2"/>
        <v>16-16</v>
      </c>
      <c r="E14" s="1">
        <f>_xlfn.IFNA(VLOOKUP('Comp X - UP'!B14,'Urban Plastix Holds'!$I$36:$U$498,8,0),0)</f>
        <v>0</v>
      </c>
      <c r="G14" s="2">
        <f t="shared" si="0"/>
        <v>0</v>
      </c>
      <c r="H14" s="2">
        <f t="shared" si="1"/>
        <v>0</v>
      </c>
    </row>
    <row r="15" spans="2:19">
      <c r="B15" t="s">
        <v>1330</v>
      </c>
      <c r="C15" t="s">
        <v>1602</v>
      </c>
      <c r="D15" s="9" t="str">
        <f t="shared" si="2"/>
        <v>13-01</v>
      </c>
      <c r="E15" s="1">
        <f>_xlfn.IFNA(VLOOKUP('Comp X - UP'!B15,'Urban Plastix Holds'!$I$36:$U$498,9,0),0)</f>
        <v>4</v>
      </c>
      <c r="G15" s="2">
        <f t="shared" si="0"/>
        <v>0</v>
      </c>
      <c r="H15" s="2">
        <f t="shared" si="1"/>
        <v>0</v>
      </c>
    </row>
    <row r="16" spans="2:19">
      <c r="B16" t="s">
        <v>1330</v>
      </c>
      <c r="C16" t="s">
        <v>1602</v>
      </c>
      <c r="D16" s="10" t="str">
        <f t="shared" si="2"/>
        <v>07-13</v>
      </c>
      <c r="E16" s="1">
        <f>_xlfn.IFNA(VLOOKUP('Comp X - UP'!B16,'Urban Plastix Holds'!$I$36:$U$498,10,0),0)</f>
        <v>0</v>
      </c>
      <c r="G16" s="2">
        <f t="shared" si="0"/>
        <v>0</v>
      </c>
      <c r="H16" s="2">
        <f t="shared" si="1"/>
        <v>0</v>
      </c>
    </row>
    <row r="17" spans="2:12">
      <c r="B17" t="s">
        <v>1330</v>
      </c>
      <c r="C17" t="s">
        <v>1602</v>
      </c>
      <c r="D17" s="11" t="str">
        <f t="shared" si="2"/>
        <v>11-25</v>
      </c>
      <c r="E17" s="1">
        <f>_xlfn.IFNA(VLOOKUP('Comp X - UP'!B17,'Urban Plastix Holds'!$I$36:$U$498,11,0),0)</f>
        <v>0</v>
      </c>
      <c r="G17" s="2">
        <f t="shared" si="0"/>
        <v>0</v>
      </c>
      <c r="H17" s="2">
        <f t="shared" si="1"/>
        <v>0</v>
      </c>
    </row>
    <row r="18" spans="2:12">
      <c r="B18" t="s">
        <v>1330</v>
      </c>
      <c r="C18" t="s">
        <v>1602</v>
      </c>
      <c r="D18" s="13" t="str">
        <f t="shared" si="2"/>
        <v>18-01</v>
      </c>
      <c r="E18" s="1">
        <f>_xlfn.IFNA(VLOOKUP('Comp X - UP'!B18,'Urban Plastix Holds'!$I$36:$U$498,12,0),0)</f>
        <v>2</v>
      </c>
      <c r="G18" s="2">
        <f t="shared" si="0"/>
        <v>0</v>
      </c>
      <c r="H18" s="2">
        <f t="shared" si="1"/>
        <v>0</v>
      </c>
    </row>
    <row r="19" spans="2:12">
      <c r="B19" t="s">
        <v>1330</v>
      </c>
      <c r="C19" t="s">
        <v>1602</v>
      </c>
      <c r="D19" s="12" t="str">
        <f t="shared" si="2"/>
        <v>12-01</v>
      </c>
      <c r="E19" s="1">
        <f>_xlfn.IFNA(VLOOKUP('Comp X - UP'!B19,'Urban Plastix Holds'!$I$36:$U$498,13,0),0)</f>
        <v>0</v>
      </c>
      <c r="G19" s="2">
        <f t="shared" si="0"/>
        <v>0</v>
      </c>
      <c r="H19" s="2">
        <f t="shared" si="1"/>
        <v>0</v>
      </c>
    </row>
    <row r="20" spans="2:12">
      <c r="B20" t="s">
        <v>1331</v>
      </c>
      <c r="C20" t="s">
        <v>1603</v>
      </c>
      <c r="D20" s="5" t="str">
        <f t="shared" si="2"/>
        <v>11-12</v>
      </c>
      <c r="E20" s="1">
        <f>_xlfn.IFNA(VLOOKUP('Comp X - UP'!B20,'Urban Plastix Holds'!$I$36:$U$498,5,0),0)</f>
        <v>0</v>
      </c>
      <c r="G20" s="2">
        <f t="shared" si="0"/>
        <v>0</v>
      </c>
      <c r="H20" s="2">
        <f t="shared" si="1"/>
        <v>0</v>
      </c>
    </row>
    <row r="21" spans="2:12">
      <c r="B21" t="s">
        <v>1331</v>
      </c>
      <c r="C21" t="s">
        <v>1603</v>
      </c>
      <c r="D21" s="6" t="str">
        <f t="shared" si="2"/>
        <v>14-01</v>
      </c>
      <c r="E21" s="1">
        <f>_xlfn.IFNA(VLOOKUP('Comp X - UP'!B21,'Urban Plastix Holds'!$I$36:$U$498,6,0),0)</f>
        <v>0</v>
      </c>
      <c r="G21" s="2">
        <f t="shared" si="0"/>
        <v>0</v>
      </c>
      <c r="H21" s="2">
        <f t="shared" si="1"/>
        <v>0</v>
      </c>
    </row>
    <row r="22" spans="2:12">
      <c r="B22" t="s">
        <v>1331</v>
      </c>
      <c r="C22" t="s">
        <v>1603</v>
      </c>
      <c r="D22" s="7" t="str">
        <f t="shared" si="2"/>
        <v>15-12</v>
      </c>
      <c r="E22" s="1">
        <f>_xlfn.IFNA(VLOOKUP('Comp X - UP'!B22,'Urban Plastix Holds'!$I$36:$U$498,7,0),0)</f>
        <v>3</v>
      </c>
      <c r="G22" s="2">
        <f t="shared" si="0"/>
        <v>0</v>
      </c>
      <c r="H22" s="2">
        <f t="shared" si="1"/>
        <v>0</v>
      </c>
    </row>
    <row r="23" spans="2:12">
      <c r="B23" t="s">
        <v>1331</v>
      </c>
      <c r="C23" t="s">
        <v>1603</v>
      </c>
      <c r="D23" s="8" t="str">
        <f t="shared" si="2"/>
        <v>16-16</v>
      </c>
      <c r="E23" s="1">
        <f>_xlfn.IFNA(VLOOKUP('Comp X - UP'!B23,'Urban Plastix Holds'!$I$36:$U$498,8,0),0)</f>
        <v>0</v>
      </c>
      <c r="G23" s="2">
        <f t="shared" si="0"/>
        <v>0</v>
      </c>
      <c r="H23" s="2">
        <f t="shared" si="1"/>
        <v>0</v>
      </c>
    </row>
    <row r="24" spans="2:12">
      <c r="B24" t="s">
        <v>1331</v>
      </c>
      <c r="C24" t="s">
        <v>1603</v>
      </c>
      <c r="D24" s="9" t="str">
        <f t="shared" si="2"/>
        <v>13-01</v>
      </c>
      <c r="E24" s="1">
        <f>_xlfn.IFNA(VLOOKUP('Comp X - UP'!B24,'Urban Plastix Holds'!$I$36:$U$498,9,0),0)</f>
        <v>5</v>
      </c>
      <c r="G24" s="2">
        <f t="shared" si="0"/>
        <v>0</v>
      </c>
      <c r="H24" s="2">
        <f t="shared" si="1"/>
        <v>0</v>
      </c>
    </row>
    <row r="25" spans="2:12">
      <c r="B25" t="s">
        <v>1331</v>
      </c>
      <c r="C25" t="s">
        <v>1603</v>
      </c>
      <c r="D25" s="10" t="str">
        <f t="shared" si="2"/>
        <v>07-13</v>
      </c>
      <c r="E25" s="1">
        <f>_xlfn.IFNA(VLOOKUP('Comp X - UP'!B25,'Urban Plastix Holds'!$I$36:$U$498,10,0),0)</f>
        <v>0</v>
      </c>
      <c r="G25" s="2">
        <f t="shared" si="0"/>
        <v>0</v>
      </c>
      <c r="H25" s="2">
        <f t="shared" si="1"/>
        <v>0</v>
      </c>
    </row>
    <row r="26" spans="2:12">
      <c r="B26" t="s">
        <v>1331</v>
      </c>
      <c r="C26" t="s">
        <v>1603</v>
      </c>
      <c r="D26" s="11" t="str">
        <f t="shared" si="2"/>
        <v>11-25</v>
      </c>
      <c r="E26" s="1">
        <f>_xlfn.IFNA(VLOOKUP('Comp X - UP'!B26,'Urban Plastix Holds'!$I$36:$U$498,11,0),0)</f>
        <v>0</v>
      </c>
      <c r="G26" s="2">
        <f t="shared" si="0"/>
        <v>0</v>
      </c>
      <c r="H26" s="2">
        <f t="shared" si="1"/>
        <v>0</v>
      </c>
      <c r="K26" s="3"/>
      <c r="L26" s="3"/>
    </row>
    <row r="27" spans="2:12">
      <c r="B27" t="s">
        <v>1331</v>
      </c>
      <c r="C27" t="s">
        <v>1603</v>
      </c>
      <c r="D27" s="13" t="str">
        <f t="shared" si="2"/>
        <v>18-01</v>
      </c>
      <c r="E27" s="1">
        <f>_xlfn.IFNA(VLOOKUP('Comp X - UP'!B27,'Urban Plastix Holds'!$I$36:$U$498,12,0),0)</f>
        <v>2</v>
      </c>
      <c r="G27" s="2">
        <f t="shared" si="0"/>
        <v>0</v>
      </c>
      <c r="H27" s="2">
        <f t="shared" si="1"/>
        <v>0</v>
      </c>
    </row>
    <row r="28" spans="2:12">
      <c r="B28" t="s">
        <v>1331</v>
      </c>
      <c r="C28" t="s">
        <v>1603</v>
      </c>
      <c r="D28" s="12" t="str">
        <f t="shared" si="2"/>
        <v>12-01</v>
      </c>
      <c r="E28" s="1">
        <f>_xlfn.IFNA(VLOOKUP('Comp X - UP'!B28,'Urban Plastix Holds'!$I$36:$U$498,13,0),0)</f>
        <v>0</v>
      </c>
      <c r="G28" s="2">
        <f t="shared" si="0"/>
        <v>0</v>
      </c>
      <c r="H28" s="2">
        <f t="shared" si="1"/>
        <v>0</v>
      </c>
    </row>
    <row r="29" spans="2:12">
      <c r="B29" t="s">
        <v>1332</v>
      </c>
      <c r="C29" t="s">
        <v>1604</v>
      </c>
      <c r="D29" s="5" t="str">
        <f t="shared" si="2"/>
        <v>11-12</v>
      </c>
      <c r="E29" s="1">
        <f>_xlfn.IFNA(VLOOKUP('Comp X - UP'!B29,'Urban Plastix Holds'!$I$36:$U$498,5,0),0)</f>
        <v>0</v>
      </c>
      <c r="G29" s="2">
        <f t="shared" si="0"/>
        <v>0</v>
      </c>
      <c r="H29" s="2">
        <f t="shared" si="1"/>
        <v>0</v>
      </c>
    </row>
    <row r="30" spans="2:12">
      <c r="B30" t="s">
        <v>1332</v>
      </c>
      <c r="C30" t="s">
        <v>1604</v>
      </c>
      <c r="D30" s="6" t="str">
        <f t="shared" si="2"/>
        <v>14-01</v>
      </c>
      <c r="E30" s="1">
        <f>_xlfn.IFNA(VLOOKUP('Comp X - UP'!B30,'Urban Plastix Holds'!$I$36:$U$498,6,0),0)</f>
        <v>0</v>
      </c>
      <c r="G30" s="2">
        <f t="shared" si="0"/>
        <v>0</v>
      </c>
      <c r="H30" s="2">
        <f t="shared" si="1"/>
        <v>0</v>
      </c>
    </row>
    <row r="31" spans="2:12">
      <c r="B31" t="s">
        <v>1332</v>
      </c>
      <c r="C31" t="s">
        <v>1604</v>
      </c>
      <c r="D31" s="7" t="str">
        <f t="shared" si="2"/>
        <v>15-12</v>
      </c>
      <c r="E31" s="1">
        <f>_xlfn.IFNA(VLOOKUP('Comp X - UP'!B31,'Urban Plastix Holds'!$I$36:$U$498,7,0),0)</f>
        <v>5</v>
      </c>
      <c r="G31" s="2">
        <f t="shared" si="0"/>
        <v>0</v>
      </c>
      <c r="H31" s="2">
        <f t="shared" si="1"/>
        <v>0</v>
      </c>
    </row>
    <row r="32" spans="2:12">
      <c r="B32" t="s">
        <v>1332</v>
      </c>
      <c r="C32" t="s">
        <v>1604</v>
      </c>
      <c r="D32" s="8" t="str">
        <f t="shared" si="2"/>
        <v>16-16</v>
      </c>
      <c r="E32" s="1">
        <f>_xlfn.IFNA(VLOOKUP('Comp X - UP'!B32,'Urban Plastix Holds'!$I$36:$U$498,8,0),0)</f>
        <v>0</v>
      </c>
      <c r="G32" s="2">
        <f t="shared" si="0"/>
        <v>0</v>
      </c>
      <c r="H32" s="2">
        <f t="shared" si="1"/>
        <v>0</v>
      </c>
    </row>
    <row r="33" spans="2:8">
      <c r="B33" t="s">
        <v>1332</v>
      </c>
      <c r="C33" t="s">
        <v>1604</v>
      </c>
      <c r="D33" s="9" t="str">
        <f t="shared" si="2"/>
        <v>13-01</v>
      </c>
      <c r="E33" s="1">
        <f>_xlfn.IFNA(VLOOKUP('Comp X - UP'!B33,'Urban Plastix Holds'!$I$36:$U$498,9,0),0)</f>
        <v>4</v>
      </c>
      <c r="G33" s="2">
        <f t="shared" si="0"/>
        <v>0</v>
      </c>
      <c r="H33" s="2">
        <f t="shared" si="1"/>
        <v>0</v>
      </c>
    </row>
    <row r="34" spans="2:8">
      <c r="B34" t="s">
        <v>1332</v>
      </c>
      <c r="C34" t="s">
        <v>1604</v>
      </c>
      <c r="D34" s="10" t="str">
        <f t="shared" si="2"/>
        <v>07-13</v>
      </c>
      <c r="E34" s="1">
        <f>_xlfn.IFNA(VLOOKUP('Comp X - UP'!B34,'Urban Plastix Holds'!$I$36:$U$498,10,0),0)</f>
        <v>0</v>
      </c>
      <c r="G34" s="2">
        <f t="shared" si="0"/>
        <v>0</v>
      </c>
      <c r="H34" s="2">
        <f t="shared" si="1"/>
        <v>0</v>
      </c>
    </row>
    <row r="35" spans="2:8">
      <c r="B35" t="s">
        <v>1332</v>
      </c>
      <c r="C35" t="s">
        <v>1604</v>
      </c>
      <c r="D35" s="11" t="str">
        <f t="shared" si="2"/>
        <v>11-25</v>
      </c>
      <c r="E35" s="1">
        <f>_xlfn.IFNA(VLOOKUP('Comp X - UP'!B35,'Urban Plastix Holds'!$I$36:$U$498,11,0),0)</f>
        <v>0</v>
      </c>
      <c r="G35" s="2">
        <f t="shared" si="0"/>
        <v>0</v>
      </c>
      <c r="H35" s="2">
        <f t="shared" si="1"/>
        <v>0</v>
      </c>
    </row>
    <row r="36" spans="2:8">
      <c r="B36" t="s">
        <v>1332</v>
      </c>
      <c r="C36" t="s">
        <v>1604</v>
      </c>
      <c r="D36" s="13" t="str">
        <f t="shared" si="2"/>
        <v>18-01</v>
      </c>
      <c r="E36" s="1">
        <f>_xlfn.IFNA(VLOOKUP('Comp X - UP'!B36,'Urban Plastix Holds'!$I$36:$U$498,12,0),0)</f>
        <v>2</v>
      </c>
      <c r="G36" s="2">
        <f t="shared" si="0"/>
        <v>0</v>
      </c>
      <c r="H36" s="2">
        <f t="shared" si="1"/>
        <v>0</v>
      </c>
    </row>
    <row r="37" spans="2:8">
      <c r="B37" t="s">
        <v>1332</v>
      </c>
      <c r="C37" t="s">
        <v>1604</v>
      </c>
      <c r="D37" s="12" t="str">
        <f t="shared" si="2"/>
        <v>12-01</v>
      </c>
      <c r="E37" s="1">
        <f>_xlfn.IFNA(VLOOKUP('Comp X - UP'!B37,'Urban Plastix Holds'!$I$36:$U$498,13,0),0)</f>
        <v>0</v>
      </c>
      <c r="G37" s="2">
        <f t="shared" si="0"/>
        <v>0</v>
      </c>
      <c r="H37" s="2">
        <f t="shared" si="1"/>
        <v>0</v>
      </c>
    </row>
    <row r="38" spans="2:8">
      <c r="B38" t="s">
        <v>1336</v>
      </c>
      <c r="C38" t="s">
        <v>1605</v>
      </c>
      <c r="D38" s="5" t="str">
        <f t="shared" si="2"/>
        <v>11-12</v>
      </c>
      <c r="E38" s="1">
        <f>_xlfn.IFNA(VLOOKUP('Comp X - UP'!B38,'Urban Plastix Holds'!$I$36:$U$498,5,0),0)</f>
        <v>0</v>
      </c>
      <c r="G38" s="2">
        <f t="shared" si="0"/>
        <v>0</v>
      </c>
      <c r="H38" s="2">
        <f t="shared" si="1"/>
        <v>0</v>
      </c>
    </row>
    <row r="39" spans="2:8">
      <c r="B39" t="s">
        <v>1336</v>
      </c>
      <c r="C39" t="s">
        <v>1605</v>
      </c>
      <c r="D39" s="6" t="str">
        <f t="shared" si="2"/>
        <v>14-01</v>
      </c>
      <c r="E39" s="1">
        <f>_xlfn.IFNA(VLOOKUP('Comp X - UP'!B39,'Urban Plastix Holds'!$I$36:$U$498,6,0),0)</f>
        <v>0</v>
      </c>
      <c r="G39" s="2">
        <f t="shared" si="0"/>
        <v>0</v>
      </c>
      <c r="H39" s="2">
        <f t="shared" si="1"/>
        <v>0</v>
      </c>
    </row>
    <row r="40" spans="2:8">
      <c r="B40" t="s">
        <v>1336</v>
      </c>
      <c r="C40" t="s">
        <v>1605</v>
      </c>
      <c r="D40" s="7" t="str">
        <f t="shared" si="2"/>
        <v>15-12</v>
      </c>
      <c r="E40" s="1">
        <f>_xlfn.IFNA(VLOOKUP('Comp X - UP'!B40,'Urban Plastix Holds'!$I$36:$U$498,7,0),0)</f>
        <v>1</v>
      </c>
      <c r="G40" s="2">
        <f t="shared" si="0"/>
        <v>0</v>
      </c>
      <c r="H40" s="2">
        <f t="shared" si="1"/>
        <v>0</v>
      </c>
    </row>
    <row r="41" spans="2:8">
      <c r="B41" t="s">
        <v>1336</v>
      </c>
      <c r="C41" t="s">
        <v>1605</v>
      </c>
      <c r="D41" s="8" t="str">
        <f t="shared" si="2"/>
        <v>16-16</v>
      </c>
      <c r="E41" s="1">
        <f>_xlfn.IFNA(VLOOKUP('Comp X - UP'!B41,'Urban Plastix Holds'!$I$36:$U$498,8,0),0)</f>
        <v>0</v>
      </c>
      <c r="G41" s="2">
        <f t="shared" si="0"/>
        <v>0</v>
      </c>
      <c r="H41" s="2">
        <f t="shared" si="1"/>
        <v>0</v>
      </c>
    </row>
    <row r="42" spans="2:8">
      <c r="B42" t="s">
        <v>1336</v>
      </c>
      <c r="C42" t="s">
        <v>1605</v>
      </c>
      <c r="D42" s="9" t="str">
        <f t="shared" si="2"/>
        <v>13-01</v>
      </c>
      <c r="E42" s="1">
        <f>_xlfn.IFNA(VLOOKUP('Comp X - UP'!B42,'Urban Plastix Holds'!$I$36:$U$498,9,0),0)</f>
        <v>5</v>
      </c>
      <c r="G42" s="2">
        <f t="shared" si="0"/>
        <v>0</v>
      </c>
      <c r="H42" s="2">
        <f t="shared" si="1"/>
        <v>0</v>
      </c>
    </row>
    <row r="43" spans="2:8">
      <c r="B43" t="s">
        <v>1336</v>
      </c>
      <c r="C43" t="s">
        <v>1605</v>
      </c>
      <c r="D43" s="10" t="str">
        <f t="shared" si="2"/>
        <v>07-13</v>
      </c>
      <c r="E43" s="1">
        <f>_xlfn.IFNA(VLOOKUP('Comp X - UP'!B43,'Urban Plastix Holds'!$I$36:$U$498,10,0),0)</f>
        <v>0</v>
      </c>
      <c r="G43" s="2">
        <f t="shared" si="0"/>
        <v>0</v>
      </c>
      <c r="H43" s="2">
        <f t="shared" si="1"/>
        <v>0</v>
      </c>
    </row>
    <row r="44" spans="2:8">
      <c r="B44" t="s">
        <v>1336</v>
      </c>
      <c r="C44" t="s">
        <v>1605</v>
      </c>
      <c r="D44" s="11" t="str">
        <f t="shared" si="2"/>
        <v>11-25</v>
      </c>
      <c r="E44" s="1">
        <f>_xlfn.IFNA(VLOOKUP('Comp X - UP'!B44,'Urban Plastix Holds'!$I$36:$U$498,11,0),0)</f>
        <v>0</v>
      </c>
      <c r="G44" s="2">
        <f t="shared" si="0"/>
        <v>0</v>
      </c>
      <c r="H44" s="2">
        <f t="shared" si="1"/>
        <v>0</v>
      </c>
    </row>
    <row r="45" spans="2:8">
      <c r="B45" t="s">
        <v>1336</v>
      </c>
      <c r="C45" t="s">
        <v>1605</v>
      </c>
      <c r="D45" s="13" t="str">
        <f t="shared" si="2"/>
        <v>18-01</v>
      </c>
      <c r="E45" s="1">
        <f>_xlfn.IFNA(VLOOKUP('Comp X - UP'!B45,'Urban Plastix Holds'!$I$36:$U$498,12,0),0)</f>
        <v>2</v>
      </c>
      <c r="G45" s="2">
        <f t="shared" si="0"/>
        <v>0</v>
      </c>
      <c r="H45" s="2">
        <f t="shared" si="1"/>
        <v>0</v>
      </c>
    </row>
    <row r="46" spans="2:8">
      <c r="B46" t="s">
        <v>1336</v>
      </c>
      <c r="C46" t="s">
        <v>1605</v>
      </c>
      <c r="D46" s="12" t="str">
        <f t="shared" si="2"/>
        <v>12-01</v>
      </c>
      <c r="E46" s="1">
        <f>_xlfn.IFNA(VLOOKUP('Comp X - UP'!B46,'Urban Plastix Holds'!$I$36:$U$498,13,0),0)</f>
        <v>0</v>
      </c>
      <c r="G46" s="2">
        <f t="shared" si="0"/>
        <v>0</v>
      </c>
      <c r="H46" s="2">
        <f t="shared" si="1"/>
        <v>0</v>
      </c>
    </row>
    <row r="47" spans="2:8">
      <c r="B47" t="s">
        <v>1337</v>
      </c>
      <c r="C47" t="s">
        <v>1606</v>
      </c>
      <c r="D47" s="5" t="str">
        <f t="shared" si="2"/>
        <v>11-12</v>
      </c>
      <c r="E47" s="1">
        <f>_xlfn.IFNA(VLOOKUP('Comp X - UP'!B47,'Urban Plastix Holds'!$I$36:$U$498,5,0),0)</f>
        <v>0</v>
      </c>
      <c r="G47" s="2">
        <f t="shared" si="0"/>
        <v>0</v>
      </c>
      <c r="H47" s="2">
        <f t="shared" si="1"/>
        <v>0</v>
      </c>
    </row>
    <row r="48" spans="2:8">
      <c r="B48" t="s">
        <v>1337</v>
      </c>
      <c r="C48" t="s">
        <v>1606</v>
      </c>
      <c r="D48" s="6" t="str">
        <f t="shared" si="2"/>
        <v>14-01</v>
      </c>
      <c r="E48" s="1">
        <f>_xlfn.IFNA(VLOOKUP('Comp X - UP'!B48,'Urban Plastix Holds'!$I$36:$U$498,6,0),0)</f>
        <v>0</v>
      </c>
      <c r="G48" s="2">
        <f t="shared" si="0"/>
        <v>0</v>
      </c>
      <c r="H48" s="2">
        <f t="shared" si="1"/>
        <v>0</v>
      </c>
    </row>
    <row r="49" spans="2:8">
      <c r="B49" t="s">
        <v>1337</v>
      </c>
      <c r="C49" t="s">
        <v>1606</v>
      </c>
      <c r="D49" s="7" t="str">
        <f t="shared" si="2"/>
        <v>15-12</v>
      </c>
      <c r="E49" s="1">
        <f>_xlfn.IFNA(VLOOKUP('Comp X - UP'!B49,'Urban Plastix Holds'!$I$36:$U$498,7,0),0)</f>
        <v>3</v>
      </c>
      <c r="G49" s="2">
        <f t="shared" si="0"/>
        <v>0</v>
      </c>
      <c r="H49" s="2">
        <f t="shared" si="1"/>
        <v>0</v>
      </c>
    </row>
    <row r="50" spans="2:8">
      <c r="B50" t="s">
        <v>1337</v>
      </c>
      <c r="C50" t="s">
        <v>1606</v>
      </c>
      <c r="D50" s="8" t="str">
        <f t="shared" si="2"/>
        <v>16-16</v>
      </c>
      <c r="E50" s="1">
        <f>_xlfn.IFNA(VLOOKUP('Comp X - UP'!B50,'Urban Plastix Holds'!$I$36:$U$498,8,0),0)</f>
        <v>0</v>
      </c>
      <c r="G50" s="2">
        <f t="shared" si="0"/>
        <v>0</v>
      </c>
      <c r="H50" s="2">
        <f t="shared" si="1"/>
        <v>0</v>
      </c>
    </row>
    <row r="51" spans="2:8">
      <c r="B51" t="s">
        <v>1337</v>
      </c>
      <c r="C51" t="s">
        <v>1606</v>
      </c>
      <c r="D51" s="9" t="str">
        <f t="shared" si="2"/>
        <v>13-01</v>
      </c>
      <c r="E51" s="1">
        <f>_xlfn.IFNA(VLOOKUP('Comp X - UP'!B51,'Urban Plastix Holds'!$I$36:$U$498,9,0),0)</f>
        <v>5</v>
      </c>
      <c r="G51" s="2">
        <f t="shared" si="0"/>
        <v>0</v>
      </c>
      <c r="H51" s="2">
        <f t="shared" si="1"/>
        <v>0</v>
      </c>
    </row>
    <row r="52" spans="2:8">
      <c r="B52" t="s">
        <v>1337</v>
      </c>
      <c r="C52" t="s">
        <v>1606</v>
      </c>
      <c r="D52" s="10" t="str">
        <f t="shared" si="2"/>
        <v>07-13</v>
      </c>
      <c r="E52" s="1">
        <f>_xlfn.IFNA(VLOOKUP('Comp X - UP'!B52,'Urban Plastix Holds'!$I$36:$U$498,10,0),0)</f>
        <v>0</v>
      </c>
      <c r="G52" s="2">
        <f t="shared" si="0"/>
        <v>0</v>
      </c>
      <c r="H52" s="2">
        <f t="shared" si="1"/>
        <v>0</v>
      </c>
    </row>
    <row r="53" spans="2:8">
      <c r="B53" t="s">
        <v>1337</v>
      </c>
      <c r="C53" t="s">
        <v>1606</v>
      </c>
      <c r="D53" s="11" t="str">
        <f t="shared" si="2"/>
        <v>11-25</v>
      </c>
      <c r="E53" s="1">
        <f>_xlfn.IFNA(VLOOKUP('Comp X - UP'!B53,'Urban Plastix Holds'!$I$36:$U$498,11,0),0)</f>
        <v>1</v>
      </c>
      <c r="G53" s="2">
        <f t="shared" si="0"/>
        <v>0</v>
      </c>
      <c r="H53" s="2">
        <f t="shared" si="1"/>
        <v>0</v>
      </c>
    </row>
    <row r="54" spans="2:8">
      <c r="B54" t="s">
        <v>1337</v>
      </c>
      <c r="C54" t="s">
        <v>1606</v>
      </c>
      <c r="D54" s="13" t="str">
        <f t="shared" si="2"/>
        <v>18-01</v>
      </c>
      <c r="E54" s="1">
        <f>_xlfn.IFNA(VLOOKUP('Comp X - UP'!B54,'Urban Plastix Holds'!$I$36:$U$498,12,0),0)</f>
        <v>4</v>
      </c>
      <c r="G54" s="2">
        <f t="shared" si="0"/>
        <v>0</v>
      </c>
      <c r="H54" s="2">
        <f t="shared" si="1"/>
        <v>0</v>
      </c>
    </row>
    <row r="55" spans="2:8">
      <c r="B55" t="s">
        <v>1337</v>
      </c>
      <c r="C55" t="s">
        <v>1606</v>
      </c>
      <c r="D55" s="12" t="str">
        <f t="shared" si="2"/>
        <v>12-01</v>
      </c>
      <c r="E55" s="1">
        <f>_xlfn.IFNA(VLOOKUP('Comp X - UP'!B55,'Urban Plastix Holds'!$I$36:$U$498,13,0),0)</f>
        <v>0</v>
      </c>
      <c r="G55" s="2">
        <f t="shared" si="0"/>
        <v>0</v>
      </c>
      <c r="H55" s="2">
        <f t="shared" si="1"/>
        <v>0</v>
      </c>
    </row>
    <row r="56" spans="2:8">
      <c r="B56" t="s">
        <v>1338</v>
      </c>
      <c r="C56" t="s">
        <v>1607</v>
      </c>
      <c r="D56" s="5" t="str">
        <f t="shared" si="2"/>
        <v>11-12</v>
      </c>
      <c r="E56" s="1">
        <f>_xlfn.IFNA(VLOOKUP('Comp X - UP'!B56,'Urban Plastix Holds'!$I$36:$U$498,5,0),0)</f>
        <v>0</v>
      </c>
      <c r="G56" s="2">
        <f t="shared" si="0"/>
        <v>0</v>
      </c>
      <c r="H56" s="2">
        <f t="shared" si="1"/>
        <v>0</v>
      </c>
    </row>
    <row r="57" spans="2:8">
      <c r="B57" t="s">
        <v>1338</v>
      </c>
      <c r="C57" t="s">
        <v>1607</v>
      </c>
      <c r="D57" s="6" t="str">
        <f t="shared" si="2"/>
        <v>14-01</v>
      </c>
      <c r="E57" s="1">
        <f>_xlfn.IFNA(VLOOKUP('Comp X - UP'!B57,'Urban Plastix Holds'!$I$36:$U$498,6,0),0)</f>
        <v>0</v>
      </c>
      <c r="G57" s="2">
        <f t="shared" si="0"/>
        <v>0</v>
      </c>
      <c r="H57" s="2">
        <f t="shared" si="1"/>
        <v>0</v>
      </c>
    </row>
    <row r="58" spans="2:8">
      <c r="B58" t="s">
        <v>1338</v>
      </c>
      <c r="C58" t="s">
        <v>1607</v>
      </c>
      <c r="D58" s="7" t="str">
        <f t="shared" si="2"/>
        <v>15-12</v>
      </c>
      <c r="E58" s="1">
        <f>_xlfn.IFNA(VLOOKUP('Comp X - UP'!B58,'Urban Plastix Holds'!$I$36:$U$498,7,0),0)</f>
        <v>2</v>
      </c>
      <c r="G58" s="2">
        <f t="shared" si="0"/>
        <v>0</v>
      </c>
      <c r="H58" s="2">
        <f t="shared" si="1"/>
        <v>0</v>
      </c>
    </row>
    <row r="59" spans="2:8">
      <c r="B59" t="s">
        <v>1338</v>
      </c>
      <c r="C59" t="s">
        <v>1607</v>
      </c>
      <c r="D59" s="8" t="str">
        <f t="shared" si="2"/>
        <v>16-16</v>
      </c>
      <c r="E59" s="1">
        <f>_xlfn.IFNA(VLOOKUP('Comp X - UP'!B59,'Urban Plastix Holds'!$I$36:$U$498,8,0),0)</f>
        <v>0</v>
      </c>
      <c r="G59" s="2">
        <f t="shared" si="0"/>
        <v>0</v>
      </c>
      <c r="H59" s="2">
        <f t="shared" si="1"/>
        <v>0</v>
      </c>
    </row>
    <row r="60" spans="2:8">
      <c r="B60" t="s">
        <v>1338</v>
      </c>
      <c r="C60" t="s">
        <v>1607</v>
      </c>
      <c r="D60" s="9" t="str">
        <f t="shared" si="2"/>
        <v>13-01</v>
      </c>
      <c r="E60" s="1">
        <f>_xlfn.IFNA(VLOOKUP('Comp X - UP'!B60,'Urban Plastix Holds'!$I$36:$U$498,9,0),0)</f>
        <v>6</v>
      </c>
      <c r="G60" s="2">
        <f t="shared" si="0"/>
        <v>0</v>
      </c>
      <c r="H60" s="2">
        <f t="shared" si="1"/>
        <v>0</v>
      </c>
    </row>
    <row r="61" spans="2:8">
      <c r="B61" t="s">
        <v>1338</v>
      </c>
      <c r="C61" t="s">
        <v>1607</v>
      </c>
      <c r="D61" s="10" t="str">
        <f t="shared" si="2"/>
        <v>07-13</v>
      </c>
      <c r="E61" s="1">
        <f>_xlfn.IFNA(VLOOKUP('Comp X - UP'!B61,'Urban Plastix Holds'!$I$36:$U$498,10,0),0)</f>
        <v>0</v>
      </c>
      <c r="G61" s="2">
        <f t="shared" si="0"/>
        <v>0</v>
      </c>
      <c r="H61" s="2">
        <f t="shared" si="1"/>
        <v>0</v>
      </c>
    </row>
    <row r="62" spans="2:8">
      <c r="B62" t="s">
        <v>1338</v>
      </c>
      <c r="C62" t="s">
        <v>1607</v>
      </c>
      <c r="D62" s="11" t="str">
        <f t="shared" si="2"/>
        <v>11-25</v>
      </c>
      <c r="E62" s="1">
        <f>_xlfn.IFNA(VLOOKUP('Comp X - UP'!B62,'Urban Plastix Holds'!$I$36:$U$498,11,0),0)</f>
        <v>1</v>
      </c>
      <c r="G62" s="2">
        <f t="shared" si="0"/>
        <v>0</v>
      </c>
      <c r="H62" s="2">
        <f t="shared" si="1"/>
        <v>0</v>
      </c>
    </row>
    <row r="63" spans="2:8">
      <c r="B63" t="s">
        <v>1338</v>
      </c>
      <c r="C63" t="s">
        <v>1607</v>
      </c>
      <c r="D63" s="13" t="str">
        <f t="shared" si="2"/>
        <v>18-01</v>
      </c>
      <c r="E63" s="1">
        <f>_xlfn.IFNA(VLOOKUP('Comp X - UP'!B63,'Urban Plastix Holds'!$I$36:$U$498,12,0),0)</f>
        <v>3</v>
      </c>
      <c r="G63" s="2">
        <f t="shared" si="0"/>
        <v>0</v>
      </c>
      <c r="H63" s="2">
        <f t="shared" si="1"/>
        <v>0</v>
      </c>
    </row>
    <row r="64" spans="2:8">
      <c r="B64" t="s">
        <v>1338</v>
      </c>
      <c r="C64" t="s">
        <v>1607</v>
      </c>
      <c r="D64" s="12" t="str">
        <f t="shared" si="2"/>
        <v>12-01</v>
      </c>
      <c r="E64" s="1">
        <f>_xlfn.IFNA(VLOOKUP('Comp X - UP'!B64,'Urban Plastix Holds'!$I$36:$U$498,13,0),0)</f>
        <v>0</v>
      </c>
      <c r="G64" s="2">
        <f t="shared" si="0"/>
        <v>0</v>
      </c>
      <c r="H64" s="2">
        <f t="shared" si="1"/>
        <v>0</v>
      </c>
    </row>
    <row r="65" spans="2:8">
      <c r="B65" t="s">
        <v>1339</v>
      </c>
      <c r="C65" t="s">
        <v>1608</v>
      </c>
      <c r="D65" s="5" t="str">
        <f t="shared" si="2"/>
        <v>11-12</v>
      </c>
      <c r="E65" s="1">
        <f>_xlfn.IFNA(VLOOKUP('Comp X - UP'!B65,'Urban Plastix Holds'!$I$36:$U$498,5,0),0)</f>
        <v>0</v>
      </c>
      <c r="G65" s="2">
        <f t="shared" si="0"/>
        <v>0</v>
      </c>
      <c r="H65" s="2">
        <f t="shared" si="1"/>
        <v>0</v>
      </c>
    </row>
    <row r="66" spans="2:8">
      <c r="B66" t="s">
        <v>1339</v>
      </c>
      <c r="C66" t="s">
        <v>1608</v>
      </c>
      <c r="D66" s="6" t="str">
        <f t="shared" si="2"/>
        <v>14-01</v>
      </c>
      <c r="E66" s="1">
        <f>_xlfn.IFNA(VLOOKUP('Comp X - UP'!B66,'Urban Plastix Holds'!$I$36:$U$498,6,0),0)</f>
        <v>0</v>
      </c>
      <c r="G66" s="2">
        <f t="shared" si="0"/>
        <v>0</v>
      </c>
      <c r="H66" s="2">
        <f t="shared" si="1"/>
        <v>0</v>
      </c>
    </row>
    <row r="67" spans="2:8">
      <c r="B67" t="s">
        <v>1339</v>
      </c>
      <c r="C67" t="s">
        <v>1608</v>
      </c>
      <c r="D67" s="7" t="str">
        <f t="shared" si="2"/>
        <v>15-12</v>
      </c>
      <c r="E67" s="1">
        <f>_xlfn.IFNA(VLOOKUP('Comp X - UP'!B67,'Urban Plastix Holds'!$I$36:$U$498,7,0),0)</f>
        <v>3</v>
      </c>
      <c r="G67" s="2">
        <f t="shared" ref="G67:G130" si="3">E67*F67</f>
        <v>0</v>
      </c>
      <c r="H67" s="2">
        <f t="shared" ref="H67:H130" si="4">IF($S$11="Y",G67*0.15,0)</f>
        <v>0</v>
      </c>
    </row>
    <row r="68" spans="2:8">
      <c r="B68" t="s">
        <v>1339</v>
      </c>
      <c r="C68" t="s">
        <v>1608</v>
      </c>
      <c r="D68" s="8" t="str">
        <f t="shared" si="2"/>
        <v>16-16</v>
      </c>
      <c r="E68" s="1">
        <f>_xlfn.IFNA(VLOOKUP('Comp X - UP'!B68,'Urban Plastix Holds'!$I$36:$U$498,8,0),0)</f>
        <v>0</v>
      </c>
      <c r="G68" s="2">
        <f t="shared" si="3"/>
        <v>0</v>
      </c>
      <c r="H68" s="2">
        <f t="shared" si="4"/>
        <v>0</v>
      </c>
    </row>
    <row r="69" spans="2:8">
      <c r="B69" t="s">
        <v>1339</v>
      </c>
      <c r="C69" t="s">
        <v>1608</v>
      </c>
      <c r="D69" s="9" t="str">
        <f t="shared" si="2"/>
        <v>13-01</v>
      </c>
      <c r="E69" s="1">
        <f>_xlfn.IFNA(VLOOKUP('Comp X - UP'!B69,'Urban Plastix Holds'!$I$36:$U$498,9,0),0)</f>
        <v>5</v>
      </c>
      <c r="G69" s="2">
        <f t="shared" si="3"/>
        <v>0</v>
      </c>
      <c r="H69" s="2">
        <f t="shared" si="4"/>
        <v>0</v>
      </c>
    </row>
    <row r="70" spans="2:8">
      <c r="B70" t="s">
        <v>1339</v>
      </c>
      <c r="C70" t="s">
        <v>1608</v>
      </c>
      <c r="D70" s="10" t="str">
        <f t="shared" si="2"/>
        <v>07-13</v>
      </c>
      <c r="E70" s="1">
        <f>_xlfn.IFNA(VLOOKUP('Comp X - UP'!B70,'Urban Plastix Holds'!$I$36:$U$498,10,0),0)</f>
        <v>0</v>
      </c>
      <c r="G70" s="2">
        <f t="shared" si="3"/>
        <v>0</v>
      </c>
      <c r="H70" s="2">
        <f t="shared" si="4"/>
        <v>0</v>
      </c>
    </row>
    <row r="71" spans="2:8">
      <c r="B71" t="s">
        <v>1339</v>
      </c>
      <c r="C71" t="s">
        <v>1608</v>
      </c>
      <c r="D71" s="11" t="str">
        <f t="shared" si="2"/>
        <v>11-25</v>
      </c>
      <c r="E71" s="1">
        <f>_xlfn.IFNA(VLOOKUP('Comp X - UP'!B71,'Urban Plastix Holds'!$I$36:$U$498,11,0),0)</f>
        <v>1</v>
      </c>
      <c r="G71" s="2">
        <f t="shared" si="3"/>
        <v>0</v>
      </c>
      <c r="H71" s="2">
        <f t="shared" si="4"/>
        <v>0</v>
      </c>
    </row>
    <row r="72" spans="2:8">
      <c r="B72" t="s">
        <v>1339</v>
      </c>
      <c r="C72" t="s">
        <v>1608</v>
      </c>
      <c r="D72" s="13" t="str">
        <f t="shared" si="2"/>
        <v>18-01</v>
      </c>
      <c r="E72" s="1">
        <f>_xlfn.IFNA(VLOOKUP('Comp X - UP'!B72,'Urban Plastix Holds'!$I$36:$U$498,12,0),0)</f>
        <v>5</v>
      </c>
      <c r="G72" s="2">
        <f t="shared" si="3"/>
        <v>0</v>
      </c>
      <c r="H72" s="2">
        <f t="shared" si="4"/>
        <v>0</v>
      </c>
    </row>
    <row r="73" spans="2:8">
      <c r="B73" t="s">
        <v>1339</v>
      </c>
      <c r="C73" t="s">
        <v>1608</v>
      </c>
      <c r="D73" s="12" t="str">
        <f t="shared" si="2"/>
        <v>12-01</v>
      </c>
      <c r="E73" s="1">
        <f>_xlfn.IFNA(VLOOKUP('Comp X - UP'!B73,'Urban Plastix Holds'!$I$36:$U$498,13,0),0)</f>
        <v>0</v>
      </c>
      <c r="G73" s="2">
        <f t="shared" si="3"/>
        <v>0</v>
      </c>
      <c r="H73" s="2">
        <f t="shared" si="4"/>
        <v>0</v>
      </c>
    </row>
    <row r="74" spans="2:8">
      <c r="B74" t="s">
        <v>1340</v>
      </c>
      <c r="C74" t="s">
        <v>1609</v>
      </c>
      <c r="D74" s="5" t="str">
        <f t="shared" si="2"/>
        <v>11-12</v>
      </c>
      <c r="E74" s="1">
        <f>_xlfn.IFNA(VLOOKUP('Comp X - UP'!B74,'Urban Plastix Holds'!$I$36:$U$498,5,0),0)</f>
        <v>0</v>
      </c>
      <c r="G74" s="2">
        <f t="shared" si="3"/>
        <v>0</v>
      </c>
      <c r="H74" s="2">
        <f t="shared" si="4"/>
        <v>0</v>
      </c>
    </row>
    <row r="75" spans="2:8">
      <c r="B75" t="s">
        <v>1340</v>
      </c>
      <c r="C75" t="s">
        <v>1609</v>
      </c>
      <c r="D75" s="6" t="str">
        <f t="shared" ref="D75:D138" si="5">D66</f>
        <v>14-01</v>
      </c>
      <c r="E75" s="1">
        <f>_xlfn.IFNA(VLOOKUP('Comp X - UP'!B75,'Urban Plastix Holds'!$I$36:$U$498,6,0),0)</f>
        <v>0</v>
      </c>
      <c r="G75" s="2">
        <f t="shared" si="3"/>
        <v>0</v>
      </c>
      <c r="H75" s="2">
        <f t="shared" si="4"/>
        <v>0</v>
      </c>
    </row>
    <row r="76" spans="2:8">
      <c r="B76" t="s">
        <v>1340</v>
      </c>
      <c r="C76" t="s">
        <v>1609</v>
      </c>
      <c r="D76" s="7" t="str">
        <f t="shared" si="5"/>
        <v>15-12</v>
      </c>
      <c r="E76" s="1">
        <f>_xlfn.IFNA(VLOOKUP('Comp X - UP'!B76,'Urban Plastix Holds'!$I$36:$U$498,7,0),0)</f>
        <v>2</v>
      </c>
      <c r="G76" s="2">
        <f t="shared" si="3"/>
        <v>0</v>
      </c>
      <c r="H76" s="2">
        <f t="shared" si="4"/>
        <v>0</v>
      </c>
    </row>
    <row r="77" spans="2:8">
      <c r="B77" t="s">
        <v>1340</v>
      </c>
      <c r="C77" t="s">
        <v>1609</v>
      </c>
      <c r="D77" s="8" t="str">
        <f t="shared" si="5"/>
        <v>16-16</v>
      </c>
      <c r="E77" s="1">
        <f>_xlfn.IFNA(VLOOKUP('Comp X - UP'!B77,'Urban Plastix Holds'!$I$36:$U$498,8,0),0)</f>
        <v>0</v>
      </c>
      <c r="G77" s="2">
        <f t="shared" si="3"/>
        <v>0</v>
      </c>
      <c r="H77" s="2">
        <f t="shared" si="4"/>
        <v>0</v>
      </c>
    </row>
    <row r="78" spans="2:8">
      <c r="B78" t="s">
        <v>1340</v>
      </c>
      <c r="C78" t="s">
        <v>1609</v>
      </c>
      <c r="D78" s="9" t="str">
        <f t="shared" si="5"/>
        <v>13-01</v>
      </c>
      <c r="E78" s="1">
        <f>_xlfn.IFNA(VLOOKUP('Comp X - UP'!B78,'Urban Plastix Holds'!$I$36:$U$498,9,0),0)</f>
        <v>5</v>
      </c>
      <c r="G78" s="2">
        <f t="shared" si="3"/>
        <v>0</v>
      </c>
      <c r="H78" s="2">
        <f t="shared" si="4"/>
        <v>0</v>
      </c>
    </row>
    <row r="79" spans="2:8">
      <c r="B79" t="s">
        <v>1340</v>
      </c>
      <c r="C79" t="s">
        <v>1609</v>
      </c>
      <c r="D79" s="10" t="str">
        <f t="shared" si="5"/>
        <v>07-13</v>
      </c>
      <c r="E79" s="1">
        <f>_xlfn.IFNA(VLOOKUP('Comp X - UP'!B79,'Urban Plastix Holds'!$I$36:$U$498,10,0),0)</f>
        <v>0</v>
      </c>
      <c r="G79" s="2">
        <f t="shared" si="3"/>
        <v>0</v>
      </c>
      <c r="H79" s="2">
        <f t="shared" si="4"/>
        <v>0</v>
      </c>
    </row>
    <row r="80" spans="2:8">
      <c r="B80" t="s">
        <v>1340</v>
      </c>
      <c r="C80" t="s">
        <v>1609</v>
      </c>
      <c r="D80" s="11" t="str">
        <f t="shared" si="5"/>
        <v>11-25</v>
      </c>
      <c r="E80" s="1">
        <f>_xlfn.IFNA(VLOOKUP('Comp X - UP'!B80,'Urban Plastix Holds'!$I$36:$U$498,11,0),0)</f>
        <v>1</v>
      </c>
      <c r="G80" s="2">
        <f t="shared" si="3"/>
        <v>0</v>
      </c>
      <c r="H80" s="2">
        <f t="shared" si="4"/>
        <v>0</v>
      </c>
    </row>
    <row r="81" spans="2:8">
      <c r="B81" t="s">
        <v>1340</v>
      </c>
      <c r="C81" t="s">
        <v>1609</v>
      </c>
      <c r="D81" s="13" t="str">
        <f t="shared" si="5"/>
        <v>18-01</v>
      </c>
      <c r="E81" s="1">
        <f>_xlfn.IFNA(VLOOKUP('Comp X - UP'!B81,'Urban Plastix Holds'!$I$36:$U$498,12,0),0)</f>
        <v>2</v>
      </c>
      <c r="G81" s="2">
        <f t="shared" si="3"/>
        <v>0</v>
      </c>
      <c r="H81" s="2">
        <f t="shared" si="4"/>
        <v>0</v>
      </c>
    </row>
    <row r="82" spans="2:8">
      <c r="B82" t="s">
        <v>1340</v>
      </c>
      <c r="C82" t="s">
        <v>1609</v>
      </c>
      <c r="D82" s="12" t="str">
        <f t="shared" si="5"/>
        <v>12-01</v>
      </c>
      <c r="E82" s="1">
        <f>_xlfn.IFNA(VLOOKUP('Comp X - UP'!B82,'Urban Plastix Holds'!$I$36:$U$498,13,0),0)</f>
        <v>0</v>
      </c>
      <c r="G82" s="2">
        <f t="shared" si="3"/>
        <v>0</v>
      </c>
      <c r="H82" s="2">
        <f t="shared" si="4"/>
        <v>0</v>
      </c>
    </row>
    <row r="83" spans="2:8">
      <c r="B83" t="s">
        <v>1341</v>
      </c>
      <c r="C83" t="s">
        <v>1610</v>
      </c>
      <c r="D83" s="5" t="str">
        <f t="shared" si="5"/>
        <v>11-12</v>
      </c>
      <c r="E83" s="1">
        <f>_xlfn.IFNA(VLOOKUP('Comp X - UP'!B83,'Urban Plastix Holds'!$I$36:$U$498,5,0),0)</f>
        <v>0</v>
      </c>
      <c r="G83" s="2">
        <f t="shared" si="3"/>
        <v>0</v>
      </c>
      <c r="H83" s="2">
        <f t="shared" si="4"/>
        <v>0</v>
      </c>
    </row>
    <row r="84" spans="2:8">
      <c r="B84" t="s">
        <v>1341</v>
      </c>
      <c r="C84" t="s">
        <v>1610</v>
      </c>
      <c r="D84" s="6" t="str">
        <f t="shared" si="5"/>
        <v>14-01</v>
      </c>
      <c r="E84" s="1">
        <f>_xlfn.IFNA(VLOOKUP('Comp X - UP'!B84,'Urban Plastix Holds'!$I$36:$U$498,6,0),0)</f>
        <v>0</v>
      </c>
      <c r="G84" s="2">
        <f t="shared" si="3"/>
        <v>0</v>
      </c>
      <c r="H84" s="2">
        <f t="shared" si="4"/>
        <v>0</v>
      </c>
    </row>
    <row r="85" spans="2:8">
      <c r="B85" t="s">
        <v>1341</v>
      </c>
      <c r="C85" t="s">
        <v>1610</v>
      </c>
      <c r="D85" s="7" t="str">
        <f t="shared" si="5"/>
        <v>15-12</v>
      </c>
      <c r="E85" s="1">
        <f>_xlfn.IFNA(VLOOKUP('Comp X - UP'!B85,'Urban Plastix Holds'!$I$36:$U$498,7,0),0)</f>
        <v>3</v>
      </c>
      <c r="G85" s="2">
        <f t="shared" si="3"/>
        <v>0</v>
      </c>
      <c r="H85" s="2">
        <f t="shared" si="4"/>
        <v>0</v>
      </c>
    </row>
    <row r="86" spans="2:8">
      <c r="B86" t="s">
        <v>1341</v>
      </c>
      <c r="C86" t="s">
        <v>1610</v>
      </c>
      <c r="D86" s="8" t="str">
        <f t="shared" si="5"/>
        <v>16-16</v>
      </c>
      <c r="E86" s="1">
        <f>_xlfn.IFNA(VLOOKUP('Comp X - UP'!B86,'Urban Plastix Holds'!$I$36:$U$498,8,0),0)</f>
        <v>1</v>
      </c>
      <c r="G86" s="2">
        <f t="shared" si="3"/>
        <v>0</v>
      </c>
      <c r="H86" s="2">
        <f t="shared" si="4"/>
        <v>0</v>
      </c>
    </row>
    <row r="87" spans="2:8">
      <c r="B87" t="s">
        <v>1341</v>
      </c>
      <c r="C87" t="s">
        <v>1610</v>
      </c>
      <c r="D87" s="9" t="str">
        <f t="shared" si="5"/>
        <v>13-01</v>
      </c>
      <c r="E87" s="1">
        <f>_xlfn.IFNA(VLOOKUP('Comp X - UP'!B87,'Urban Plastix Holds'!$I$36:$U$498,9,0),0)</f>
        <v>5</v>
      </c>
      <c r="G87" s="2">
        <f t="shared" si="3"/>
        <v>0</v>
      </c>
      <c r="H87" s="2">
        <f t="shared" si="4"/>
        <v>0</v>
      </c>
    </row>
    <row r="88" spans="2:8">
      <c r="B88" t="s">
        <v>1341</v>
      </c>
      <c r="C88" t="s">
        <v>1610</v>
      </c>
      <c r="D88" s="10" t="str">
        <f t="shared" si="5"/>
        <v>07-13</v>
      </c>
      <c r="E88" s="1">
        <f>_xlfn.IFNA(VLOOKUP('Comp X - UP'!B88,'Urban Plastix Holds'!$I$36:$U$498,10,0),0)</f>
        <v>0</v>
      </c>
      <c r="G88" s="2">
        <f t="shared" si="3"/>
        <v>0</v>
      </c>
      <c r="H88" s="2">
        <f t="shared" si="4"/>
        <v>0</v>
      </c>
    </row>
    <row r="89" spans="2:8">
      <c r="B89" t="s">
        <v>1341</v>
      </c>
      <c r="C89" t="s">
        <v>1610</v>
      </c>
      <c r="D89" s="11" t="str">
        <f t="shared" si="5"/>
        <v>11-25</v>
      </c>
      <c r="E89" s="1">
        <f>_xlfn.IFNA(VLOOKUP('Comp X - UP'!B89,'Urban Plastix Holds'!$I$36:$U$498,11,0),0)</f>
        <v>1</v>
      </c>
      <c r="G89" s="2">
        <f t="shared" si="3"/>
        <v>0</v>
      </c>
      <c r="H89" s="2">
        <f t="shared" si="4"/>
        <v>0</v>
      </c>
    </row>
    <row r="90" spans="2:8">
      <c r="B90" t="s">
        <v>1341</v>
      </c>
      <c r="C90" t="s">
        <v>1610</v>
      </c>
      <c r="D90" s="13" t="str">
        <f t="shared" si="5"/>
        <v>18-01</v>
      </c>
      <c r="E90" s="1">
        <f>_xlfn.IFNA(VLOOKUP('Comp X - UP'!B90,'Urban Plastix Holds'!$I$36:$U$498,12,0),0)</f>
        <v>5</v>
      </c>
      <c r="G90" s="2">
        <f t="shared" si="3"/>
        <v>0</v>
      </c>
      <c r="H90" s="2">
        <f t="shared" si="4"/>
        <v>0</v>
      </c>
    </row>
    <row r="91" spans="2:8">
      <c r="B91" t="s">
        <v>1341</v>
      </c>
      <c r="C91" t="s">
        <v>1610</v>
      </c>
      <c r="D91" s="12" t="str">
        <f t="shared" si="5"/>
        <v>12-01</v>
      </c>
      <c r="E91" s="1">
        <f>_xlfn.IFNA(VLOOKUP('Comp X - UP'!B91,'Urban Plastix Holds'!$I$36:$U$498,13,0),0)</f>
        <v>0</v>
      </c>
      <c r="G91" s="2">
        <f t="shared" si="3"/>
        <v>0</v>
      </c>
      <c r="H91" s="2">
        <f t="shared" si="4"/>
        <v>0</v>
      </c>
    </row>
    <row r="92" spans="2:8">
      <c r="B92" t="s">
        <v>1342</v>
      </c>
      <c r="C92" t="s">
        <v>1611</v>
      </c>
      <c r="D92" s="5" t="str">
        <f t="shared" si="5"/>
        <v>11-12</v>
      </c>
      <c r="E92" s="1">
        <f>_xlfn.IFNA(VLOOKUP('Comp X - UP'!B92,'Urban Plastix Holds'!$I$36:$U$498,5,0),0)</f>
        <v>0</v>
      </c>
      <c r="G92" s="2">
        <f t="shared" si="3"/>
        <v>0</v>
      </c>
      <c r="H92" s="2">
        <f t="shared" si="4"/>
        <v>0</v>
      </c>
    </row>
    <row r="93" spans="2:8">
      <c r="B93" t="s">
        <v>1342</v>
      </c>
      <c r="C93" t="s">
        <v>1611</v>
      </c>
      <c r="D93" s="6" t="str">
        <f t="shared" si="5"/>
        <v>14-01</v>
      </c>
      <c r="E93" s="1">
        <f>_xlfn.IFNA(VLOOKUP('Comp X - UP'!B93,'Urban Plastix Holds'!$I$36:$U$498,6,0),0)</f>
        <v>0</v>
      </c>
      <c r="G93" s="2">
        <f t="shared" si="3"/>
        <v>0</v>
      </c>
      <c r="H93" s="2">
        <f t="shared" si="4"/>
        <v>0</v>
      </c>
    </row>
    <row r="94" spans="2:8">
      <c r="B94" t="s">
        <v>1342</v>
      </c>
      <c r="C94" t="s">
        <v>1611</v>
      </c>
      <c r="D94" s="7" t="str">
        <f t="shared" si="5"/>
        <v>15-12</v>
      </c>
      <c r="E94" s="1">
        <f>_xlfn.IFNA(VLOOKUP('Comp X - UP'!B94,'Urban Plastix Holds'!$I$36:$U$498,7,0),0)</f>
        <v>2</v>
      </c>
      <c r="G94" s="2">
        <f t="shared" si="3"/>
        <v>0</v>
      </c>
      <c r="H94" s="2">
        <f t="shared" si="4"/>
        <v>0</v>
      </c>
    </row>
    <row r="95" spans="2:8">
      <c r="B95" t="s">
        <v>1342</v>
      </c>
      <c r="C95" t="s">
        <v>1611</v>
      </c>
      <c r="D95" s="8" t="str">
        <f t="shared" si="5"/>
        <v>16-16</v>
      </c>
      <c r="E95" s="1">
        <f>_xlfn.IFNA(VLOOKUP('Comp X - UP'!B95,'Urban Plastix Holds'!$I$36:$U$498,8,0),0)</f>
        <v>0</v>
      </c>
      <c r="G95" s="2">
        <f t="shared" si="3"/>
        <v>0</v>
      </c>
      <c r="H95" s="2">
        <f t="shared" si="4"/>
        <v>0</v>
      </c>
    </row>
    <row r="96" spans="2:8">
      <c r="B96" t="s">
        <v>1342</v>
      </c>
      <c r="C96" t="s">
        <v>1611</v>
      </c>
      <c r="D96" s="9" t="str">
        <f t="shared" si="5"/>
        <v>13-01</v>
      </c>
      <c r="E96" s="1">
        <f>_xlfn.IFNA(VLOOKUP('Comp X - UP'!B96,'Urban Plastix Holds'!$I$36:$U$498,9,0),0)</f>
        <v>4</v>
      </c>
      <c r="G96" s="2">
        <f t="shared" si="3"/>
        <v>0</v>
      </c>
      <c r="H96" s="2">
        <f t="shared" si="4"/>
        <v>0</v>
      </c>
    </row>
    <row r="97" spans="2:8">
      <c r="B97" t="s">
        <v>1342</v>
      </c>
      <c r="C97" t="s">
        <v>1611</v>
      </c>
      <c r="D97" s="10" t="str">
        <f t="shared" si="5"/>
        <v>07-13</v>
      </c>
      <c r="E97" s="1">
        <f>_xlfn.IFNA(VLOOKUP('Comp X - UP'!B97,'Urban Plastix Holds'!$I$36:$U$498,10,0),0)</f>
        <v>0</v>
      </c>
      <c r="G97" s="2">
        <f t="shared" si="3"/>
        <v>0</v>
      </c>
      <c r="H97" s="2">
        <f t="shared" si="4"/>
        <v>0</v>
      </c>
    </row>
    <row r="98" spans="2:8">
      <c r="B98" t="s">
        <v>1342</v>
      </c>
      <c r="C98" t="s">
        <v>1611</v>
      </c>
      <c r="D98" s="11" t="str">
        <f t="shared" si="5"/>
        <v>11-25</v>
      </c>
      <c r="E98" s="1">
        <f>_xlfn.IFNA(VLOOKUP('Comp X - UP'!B98,'Urban Plastix Holds'!$I$36:$U$498,11,0),0)</f>
        <v>0</v>
      </c>
      <c r="G98" s="2">
        <f t="shared" si="3"/>
        <v>0</v>
      </c>
      <c r="H98" s="2">
        <f t="shared" si="4"/>
        <v>0</v>
      </c>
    </row>
    <row r="99" spans="2:8">
      <c r="B99" t="s">
        <v>1342</v>
      </c>
      <c r="C99" t="s">
        <v>1611</v>
      </c>
      <c r="D99" s="13" t="str">
        <f t="shared" si="5"/>
        <v>18-01</v>
      </c>
      <c r="E99" s="1">
        <f>_xlfn.IFNA(VLOOKUP('Comp X - UP'!B99,'Urban Plastix Holds'!$I$36:$U$498,12,0),0)</f>
        <v>3</v>
      </c>
      <c r="G99" s="2">
        <f t="shared" si="3"/>
        <v>0</v>
      </c>
      <c r="H99" s="2">
        <f t="shared" si="4"/>
        <v>0</v>
      </c>
    </row>
    <row r="100" spans="2:8">
      <c r="B100" t="s">
        <v>1342</v>
      </c>
      <c r="C100" t="s">
        <v>1611</v>
      </c>
      <c r="D100" s="12" t="str">
        <f t="shared" si="5"/>
        <v>12-01</v>
      </c>
      <c r="E100" s="1">
        <f>_xlfn.IFNA(VLOOKUP('Comp X - UP'!B100,'Urban Plastix Holds'!$I$36:$U$498,13,0),0)</f>
        <v>0</v>
      </c>
      <c r="G100" s="2">
        <f t="shared" si="3"/>
        <v>0</v>
      </c>
      <c r="H100" s="2">
        <f t="shared" si="4"/>
        <v>0</v>
      </c>
    </row>
    <row r="101" spans="2:8">
      <c r="B101" t="s">
        <v>1343</v>
      </c>
      <c r="C101" t="s">
        <v>1612</v>
      </c>
      <c r="D101" s="5" t="str">
        <f t="shared" si="5"/>
        <v>11-12</v>
      </c>
      <c r="E101" s="1">
        <f>_xlfn.IFNA(VLOOKUP('Comp X - UP'!B101,'Urban Plastix Holds'!$I$36:$U$498,5,0),0)</f>
        <v>0</v>
      </c>
      <c r="G101" s="2">
        <f t="shared" si="3"/>
        <v>0</v>
      </c>
      <c r="H101" s="2">
        <f t="shared" si="4"/>
        <v>0</v>
      </c>
    </row>
    <row r="102" spans="2:8">
      <c r="B102" t="s">
        <v>1343</v>
      </c>
      <c r="C102" t="s">
        <v>1612</v>
      </c>
      <c r="D102" s="6" t="str">
        <f t="shared" si="5"/>
        <v>14-01</v>
      </c>
      <c r="E102" s="1">
        <f>_xlfn.IFNA(VLOOKUP('Comp X - UP'!B102,'Urban Plastix Holds'!$I$36:$U$498,6,0),0)</f>
        <v>0</v>
      </c>
      <c r="G102" s="2">
        <f t="shared" si="3"/>
        <v>0</v>
      </c>
      <c r="H102" s="2">
        <f t="shared" si="4"/>
        <v>0</v>
      </c>
    </row>
    <row r="103" spans="2:8">
      <c r="B103" t="s">
        <v>1343</v>
      </c>
      <c r="C103" t="s">
        <v>1612</v>
      </c>
      <c r="D103" s="7" t="str">
        <f t="shared" si="5"/>
        <v>15-12</v>
      </c>
      <c r="E103" s="1">
        <f>_xlfn.IFNA(VLOOKUP('Comp X - UP'!B103,'Urban Plastix Holds'!$I$36:$U$498,7,0),0)</f>
        <v>3</v>
      </c>
      <c r="G103" s="2">
        <f t="shared" si="3"/>
        <v>0</v>
      </c>
      <c r="H103" s="2">
        <f t="shared" si="4"/>
        <v>0</v>
      </c>
    </row>
    <row r="104" spans="2:8">
      <c r="B104" t="s">
        <v>1343</v>
      </c>
      <c r="C104" t="s">
        <v>1612</v>
      </c>
      <c r="D104" s="8" t="str">
        <f t="shared" si="5"/>
        <v>16-16</v>
      </c>
      <c r="E104" s="1">
        <f>_xlfn.IFNA(VLOOKUP('Comp X - UP'!B104,'Urban Plastix Holds'!$I$36:$U$498,8,0),0)</f>
        <v>0</v>
      </c>
      <c r="G104" s="2">
        <f t="shared" si="3"/>
        <v>0</v>
      </c>
      <c r="H104" s="2">
        <f t="shared" si="4"/>
        <v>0</v>
      </c>
    </row>
    <row r="105" spans="2:8">
      <c r="B105" t="s">
        <v>1343</v>
      </c>
      <c r="C105" t="s">
        <v>1612</v>
      </c>
      <c r="D105" s="9" t="str">
        <f t="shared" si="5"/>
        <v>13-01</v>
      </c>
      <c r="E105" s="1">
        <f>_xlfn.IFNA(VLOOKUP('Comp X - UP'!B105,'Urban Plastix Holds'!$I$36:$U$498,9,0),0)</f>
        <v>8</v>
      </c>
      <c r="G105" s="2">
        <f t="shared" si="3"/>
        <v>0</v>
      </c>
      <c r="H105" s="2">
        <f t="shared" si="4"/>
        <v>0</v>
      </c>
    </row>
    <row r="106" spans="2:8">
      <c r="B106" t="s">
        <v>1343</v>
      </c>
      <c r="C106" t="s">
        <v>1612</v>
      </c>
      <c r="D106" s="10" t="str">
        <f t="shared" si="5"/>
        <v>07-13</v>
      </c>
      <c r="E106" s="1">
        <f>_xlfn.IFNA(VLOOKUP('Comp X - UP'!B106,'Urban Plastix Holds'!$I$36:$U$498,10,0),0)</f>
        <v>0</v>
      </c>
      <c r="G106" s="2">
        <f t="shared" si="3"/>
        <v>0</v>
      </c>
      <c r="H106" s="2">
        <f t="shared" si="4"/>
        <v>0</v>
      </c>
    </row>
    <row r="107" spans="2:8">
      <c r="B107" t="s">
        <v>1343</v>
      </c>
      <c r="C107" t="s">
        <v>1612</v>
      </c>
      <c r="D107" s="11" t="str">
        <f t="shared" si="5"/>
        <v>11-25</v>
      </c>
      <c r="E107" s="1">
        <f>_xlfn.IFNA(VLOOKUP('Comp X - UP'!B107,'Urban Plastix Holds'!$I$36:$U$498,11,0),0)</f>
        <v>1</v>
      </c>
      <c r="G107" s="2">
        <f t="shared" si="3"/>
        <v>0</v>
      </c>
      <c r="H107" s="2">
        <f t="shared" si="4"/>
        <v>0</v>
      </c>
    </row>
    <row r="108" spans="2:8">
      <c r="B108" t="s">
        <v>1343</v>
      </c>
      <c r="C108" t="s">
        <v>1612</v>
      </c>
      <c r="D108" s="13" t="str">
        <f t="shared" si="5"/>
        <v>18-01</v>
      </c>
      <c r="E108" s="1">
        <f>_xlfn.IFNA(VLOOKUP('Comp X - UP'!B108,'Urban Plastix Holds'!$I$36:$U$498,12,0),0)</f>
        <v>4</v>
      </c>
      <c r="G108" s="2">
        <f t="shared" si="3"/>
        <v>0</v>
      </c>
      <c r="H108" s="2">
        <f t="shared" si="4"/>
        <v>0</v>
      </c>
    </row>
    <row r="109" spans="2:8">
      <c r="B109" t="s">
        <v>1343</v>
      </c>
      <c r="C109" t="s">
        <v>1612</v>
      </c>
      <c r="D109" s="12" t="str">
        <f t="shared" si="5"/>
        <v>12-01</v>
      </c>
      <c r="E109" s="1">
        <f>_xlfn.IFNA(VLOOKUP('Comp X - UP'!B109,'Urban Plastix Holds'!$I$36:$U$498,13,0),0)</f>
        <v>0</v>
      </c>
      <c r="G109" s="2">
        <f t="shared" si="3"/>
        <v>0</v>
      </c>
      <c r="H109" s="2">
        <f t="shared" si="4"/>
        <v>0</v>
      </c>
    </row>
    <row r="110" spans="2:8">
      <c r="B110" t="s">
        <v>1344</v>
      </c>
      <c r="C110" t="s">
        <v>1613</v>
      </c>
      <c r="D110" s="5" t="str">
        <f t="shared" si="5"/>
        <v>11-12</v>
      </c>
      <c r="E110" s="1">
        <f>_xlfn.IFNA(VLOOKUP('Comp X - UP'!B110,'Urban Plastix Holds'!$I$36:$U$498,5,0),0)</f>
        <v>0</v>
      </c>
      <c r="G110" s="2">
        <f t="shared" si="3"/>
        <v>0</v>
      </c>
      <c r="H110" s="2">
        <f t="shared" si="4"/>
        <v>0</v>
      </c>
    </row>
    <row r="111" spans="2:8">
      <c r="B111" t="s">
        <v>1344</v>
      </c>
      <c r="C111" t="s">
        <v>1613</v>
      </c>
      <c r="D111" s="6" t="str">
        <f t="shared" si="5"/>
        <v>14-01</v>
      </c>
      <c r="E111" s="1">
        <f>_xlfn.IFNA(VLOOKUP('Comp X - UP'!B111,'Urban Plastix Holds'!$I$36:$U$498,6,0),0)</f>
        <v>0</v>
      </c>
      <c r="G111" s="2">
        <f t="shared" si="3"/>
        <v>0</v>
      </c>
      <c r="H111" s="2">
        <f t="shared" si="4"/>
        <v>0</v>
      </c>
    </row>
    <row r="112" spans="2:8">
      <c r="B112" t="s">
        <v>1344</v>
      </c>
      <c r="C112" t="s">
        <v>1613</v>
      </c>
      <c r="D112" s="7" t="str">
        <f t="shared" si="5"/>
        <v>15-12</v>
      </c>
      <c r="E112" s="1">
        <f>_xlfn.IFNA(VLOOKUP('Comp X - UP'!B112,'Urban Plastix Holds'!$I$36:$U$498,7,0),0)</f>
        <v>2</v>
      </c>
      <c r="G112" s="2">
        <f t="shared" si="3"/>
        <v>0</v>
      </c>
      <c r="H112" s="2">
        <f t="shared" si="4"/>
        <v>0</v>
      </c>
    </row>
    <row r="113" spans="2:8">
      <c r="B113" t="s">
        <v>1344</v>
      </c>
      <c r="C113" t="s">
        <v>1613</v>
      </c>
      <c r="D113" s="8" t="str">
        <f t="shared" si="5"/>
        <v>16-16</v>
      </c>
      <c r="E113" s="1">
        <f>_xlfn.IFNA(VLOOKUP('Comp X - UP'!B113,'Urban Plastix Holds'!$I$36:$U$498,8,0),0)</f>
        <v>0</v>
      </c>
      <c r="G113" s="2">
        <f t="shared" si="3"/>
        <v>0</v>
      </c>
      <c r="H113" s="2">
        <f t="shared" si="4"/>
        <v>0</v>
      </c>
    </row>
    <row r="114" spans="2:8">
      <c r="B114" t="s">
        <v>1344</v>
      </c>
      <c r="C114" t="s">
        <v>1613</v>
      </c>
      <c r="D114" s="9" t="str">
        <f t="shared" si="5"/>
        <v>13-01</v>
      </c>
      <c r="E114" s="1">
        <f>_xlfn.IFNA(VLOOKUP('Comp X - UP'!B114,'Urban Plastix Holds'!$I$36:$U$498,9,0),0)</f>
        <v>6</v>
      </c>
      <c r="G114" s="2">
        <f t="shared" si="3"/>
        <v>0</v>
      </c>
      <c r="H114" s="2">
        <f t="shared" si="4"/>
        <v>0</v>
      </c>
    </row>
    <row r="115" spans="2:8">
      <c r="B115" t="s">
        <v>1344</v>
      </c>
      <c r="C115" t="s">
        <v>1613</v>
      </c>
      <c r="D115" s="10" t="str">
        <f t="shared" si="5"/>
        <v>07-13</v>
      </c>
      <c r="E115" s="1">
        <f>_xlfn.IFNA(VLOOKUP('Comp X - UP'!B115,'Urban Plastix Holds'!$I$36:$U$498,10,0),0)</f>
        <v>0</v>
      </c>
      <c r="G115" s="2">
        <f t="shared" si="3"/>
        <v>0</v>
      </c>
      <c r="H115" s="2">
        <f t="shared" si="4"/>
        <v>0</v>
      </c>
    </row>
    <row r="116" spans="2:8">
      <c r="B116" t="s">
        <v>1344</v>
      </c>
      <c r="C116" t="s">
        <v>1613</v>
      </c>
      <c r="D116" s="11" t="str">
        <f t="shared" si="5"/>
        <v>11-25</v>
      </c>
      <c r="E116" s="1">
        <f>_xlfn.IFNA(VLOOKUP('Comp X - UP'!B116,'Urban Plastix Holds'!$I$36:$U$498,11,0),0)</f>
        <v>0</v>
      </c>
      <c r="G116" s="2">
        <f t="shared" si="3"/>
        <v>0</v>
      </c>
      <c r="H116" s="2">
        <f t="shared" si="4"/>
        <v>0</v>
      </c>
    </row>
    <row r="117" spans="2:8">
      <c r="B117" t="s">
        <v>1344</v>
      </c>
      <c r="C117" t="s">
        <v>1613</v>
      </c>
      <c r="D117" s="13" t="str">
        <f t="shared" si="5"/>
        <v>18-01</v>
      </c>
      <c r="E117" s="1">
        <f>_xlfn.IFNA(VLOOKUP('Comp X - UP'!B117,'Urban Plastix Holds'!$I$36:$U$498,12,0),0)</f>
        <v>4</v>
      </c>
      <c r="G117" s="2">
        <f t="shared" si="3"/>
        <v>0</v>
      </c>
      <c r="H117" s="2">
        <f t="shared" si="4"/>
        <v>0</v>
      </c>
    </row>
    <row r="118" spans="2:8">
      <c r="B118" t="s">
        <v>1344</v>
      </c>
      <c r="C118" t="s">
        <v>1613</v>
      </c>
      <c r="D118" s="12" t="str">
        <f t="shared" si="5"/>
        <v>12-01</v>
      </c>
      <c r="E118" s="1">
        <f>_xlfn.IFNA(VLOOKUP('Comp X - UP'!B118,'Urban Plastix Holds'!$I$36:$U$498,13,0),0)</f>
        <v>0</v>
      </c>
      <c r="G118" s="2">
        <f t="shared" si="3"/>
        <v>0</v>
      </c>
      <c r="H118" s="2">
        <f t="shared" si="4"/>
        <v>0</v>
      </c>
    </row>
    <row r="119" spans="2:8">
      <c r="B119" t="s">
        <v>1345</v>
      </c>
      <c r="C119" t="s">
        <v>1614</v>
      </c>
      <c r="D119" s="5" t="str">
        <f t="shared" si="5"/>
        <v>11-12</v>
      </c>
      <c r="E119" s="1">
        <f>_xlfn.IFNA(VLOOKUP('Comp X - UP'!B119,'Urban Plastix Holds'!$I$36:$U$498,5,0),0)</f>
        <v>0</v>
      </c>
      <c r="G119" s="2">
        <f t="shared" si="3"/>
        <v>0</v>
      </c>
      <c r="H119" s="2">
        <f t="shared" si="4"/>
        <v>0</v>
      </c>
    </row>
    <row r="120" spans="2:8">
      <c r="B120" t="s">
        <v>1345</v>
      </c>
      <c r="C120" t="s">
        <v>1614</v>
      </c>
      <c r="D120" s="6" t="str">
        <f t="shared" si="5"/>
        <v>14-01</v>
      </c>
      <c r="E120" s="1">
        <f>_xlfn.IFNA(VLOOKUP('Comp X - UP'!B120,'Urban Plastix Holds'!$I$36:$U$498,6,0),0)</f>
        <v>0</v>
      </c>
      <c r="G120" s="2">
        <f t="shared" si="3"/>
        <v>0</v>
      </c>
      <c r="H120" s="2">
        <f t="shared" si="4"/>
        <v>0</v>
      </c>
    </row>
    <row r="121" spans="2:8">
      <c r="B121" t="s">
        <v>1345</v>
      </c>
      <c r="C121" t="s">
        <v>1614</v>
      </c>
      <c r="D121" s="7" t="str">
        <f t="shared" si="5"/>
        <v>15-12</v>
      </c>
      <c r="E121" s="1">
        <f>_xlfn.IFNA(VLOOKUP('Comp X - UP'!B121,'Urban Plastix Holds'!$I$36:$U$498,7,0),0)</f>
        <v>4</v>
      </c>
      <c r="G121" s="2">
        <f t="shared" si="3"/>
        <v>0</v>
      </c>
      <c r="H121" s="2">
        <f t="shared" si="4"/>
        <v>0</v>
      </c>
    </row>
    <row r="122" spans="2:8">
      <c r="B122" t="s">
        <v>1345</v>
      </c>
      <c r="C122" t="s">
        <v>1614</v>
      </c>
      <c r="D122" s="8" t="str">
        <f t="shared" si="5"/>
        <v>16-16</v>
      </c>
      <c r="E122" s="1">
        <f>_xlfn.IFNA(VLOOKUP('Comp X - UP'!B122,'Urban Plastix Holds'!$I$36:$U$498,8,0),0)</f>
        <v>0</v>
      </c>
      <c r="G122" s="2">
        <f t="shared" si="3"/>
        <v>0</v>
      </c>
      <c r="H122" s="2">
        <f t="shared" si="4"/>
        <v>0</v>
      </c>
    </row>
    <row r="123" spans="2:8">
      <c r="B123" t="s">
        <v>1345</v>
      </c>
      <c r="C123" t="s">
        <v>1614</v>
      </c>
      <c r="D123" s="9" t="str">
        <f t="shared" si="5"/>
        <v>13-01</v>
      </c>
      <c r="E123" s="1">
        <f>_xlfn.IFNA(VLOOKUP('Comp X - UP'!B123,'Urban Plastix Holds'!$I$36:$U$498,9,0),0)</f>
        <v>5</v>
      </c>
      <c r="G123" s="2">
        <f t="shared" si="3"/>
        <v>0</v>
      </c>
      <c r="H123" s="2">
        <f t="shared" si="4"/>
        <v>0</v>
      </c>
    </row>
    <row r="124" spans="2:8">
      <c r="B124" t="s">
        <v>1345</v>
      </c>
      <c r="C124" t="s">
        <v>1614</v>
      </c>
      <c r="D124" s="10" t="str">
        <f t="shared" si="5"/>
        <v>07-13</v>
      </c>
      <c r="E124" s="1">
        <f>_xlfn.IFNA(VLOOKUP('Comp X - UP'!B124,'Urban Plastix Holds'!$I$36:$U$498,10,0),0)</f>
        <v>0</v>
      </c>
      <c r="G124" s="2">
        <f t="shared" si="3"/>
        <v>0</v>
      </c>
      <c r="H124" s="2">
        <f t="shared" si="4"/>
        <v>0</v>
      </c>
    </row>
    <row r="125" spans="2:8">
      <c r="B125" t="s">
        <v>1345</v>
      </c>
      <c r="C125" t="s">
        <v>1614</v>
      </c>
      <c r="D125" s="11" t="str">
        <f t="shared" si="5"/>
        <v>11-25</v>
      </c>
      <c r="E125" s="1">
        <f>_xlfn.IFNA(VLOOKUP('Comp X - UP'!B125,'Urban Plastix Holds'!$I$36:$U$498,11,0),0)</f>
        <v>0</v>
      </c>
      <c r="G125" s="2">
        <f t="shared" si="3"/>
        <v>0</v>
      </c>
      <c r="H125" s="2">
        <f t="shared" si="4"/>
        <v>0</v>
      </c>
    </row>
    <row r="126" spans="2:8">
      <c r="B126" t="s">
        <v>1345</v>
      </c>
      <c r="C126" t="s">
        <v>1614</v>
      </c>
      <c r="D126" s="13" t="str">
        <f t="shared" si="5"/>
        <v>18-01</v>
      </c>
      <c r="E126" s="1">
        <f>_xlfn.IFNA(VLOOKUP('Comp X - UP'!B126,'Urban Plastix Holds'!$I$36:$U$498,12,0),0)</f>
        <v>5</v>
      </c>
      <c r="G126" s="2">
        <f t="shared" si="3"/>
        <v>0</v>
      </c>
      <c r="H126" s="2">
        <f t="shared" si="4"/>
        <v>0</v>
      </c>
    </row>
    <row r="127" spans="2:8">
      <c r="B127" t="s">
        <v>1345</v>
      </c>
      <c r="C127" t="s">
        <v>1614</v>
      </c>
      <c r="D127" s="12" t="str">
        <f t="shared" si="5"/>
        <v>12-01</v>
      </c>
      <c r="E127" s="1">
        <f>_xlfn.IFNA(VLOOKUP('Comp X - UP'!B127,'Urban Plastix Holds'!$I$36:$U$498,13,0),0)</f>
        <v>0</v>
      </c>
      <c r="G127" s="2">
        <f t="shared" si="3"/>
        <v>0</v>
      </c>
      <c r="H127" s="2">
        <f t="shared" si="4"/>
        <v>0</v>
      </c>
    </row>
    <row r="128" spans="2:8">
      <c r="B128" t="s">
        <v>1354</v>
      </c>
      <c r="C128" t="s">
        <v>1615</v>
      </c>
      <c r="D128" s="5" t="str">
        <f t="shared" si="5"/>
        <v>11-12</v>
      </c>
      <c r="E128" s="1">
        <f>_xlfn.IFNA(VLOOKUP('Comp X - UP'!B128,'Urban Plastix Holds'!$I$36:$U$498,5,0),0)</f>
        <v>0</v>
      </c>
      <c r="G128" s="2">
        <f t="shared" si="3"/>
        <v>0</v>
      </c>
      <c r="H128" s="2">
        <f t="shared" si="4"/>
        <v>0</v>
      </c>
    </row>
    <row r="129" spans="2:8">
      <c r="B129" t="s">
        <v>1354</v>
      </c>
      <c r="C129" t="s">
        <v>1615</v>
      </c>
      <c r="D129" s="6" t="str">
        <f t="shared" si="5"/>
        <v>14-01</v>
      </c>
      <c r="E129" s="1">
        <f>_xlfn.IFNA(VLOOKUP('Comp X - UP'!B129,'Urban Plastix Holds'!$I$36:$U$498,6,0),0)</f>
        <v>0</v>
      </c>
      <c r="G129" s="2">
        <f t="shared" si="3"/>
        <v>0</v>
      </c>
      <c r="H129" s="2">
        <f t="shared" si="4"/>
        <v>0</v>
      </c>
    </row>
    <row r="130" spans="2:8">
      <c r="B130" t="s">
        <v>1354</v>
      </c>
      <c r="C130" t="s">
        <v>1615</v>
      </c>
      <c r="D130" s="7" t="str">
        <f t="shared" si="5"/>
        <v>15-12</v>
      </c>
      <c r="E130" s="1">
        <f>_xlfn.IFNA(VLOOKUP('Comp X - UP'!B130,'Urban Plastix Holds'!$I$36:$U$498,7,0),0)</f>
        <v>2</v>
      </c>
      <c r="G130" s="2">
        <f t="shared" si="3"/>
        <v>0</v>
      </c>
      <c r="H130" s="2">
        <f t="shared" si="4"/>
        <v>0</v>
      </c>
    </row>
    <row r="131" spans="2:8">
      <c r="B131" t="s">
        <v>1354</v>
      </c>
      <c r="C131" t="s">
        <v>1615</v>
      </c>
      <c r="D131" s="8" t="str">
        <f t="shared" si="5"/>
        <v>16-16</v>
      </c>
      <c r="E131" s="1">
        <f>_xlfn.IFNA(VLOOKUP('Comp X - UP'!B131,'Urban Plastix Holds'!$I$36:$U$498,8,0),0)</f>
        <v>0</v>
      </c>
      <c r="G131" s="2">
        <f t="shared" ref="G131:G194" si="6">E131*F131</f>
        <v>0</v>
      </c>
      <c r="H131" s="2">
        <f t="shared" ref="H131:H194" si="7">IF($S$11="Y",G131*0.15,0)</f>
        <v>0</v>
      </c>
    </row>
    <row r="132" spans="2:8">
      <c r="B132" t="s">
        <v>1354</v>
      </c>
      <c r="C132" t="s">
        <v>1615</v>
      </c>
      <c r="D132" s="9" t="str">
        <f t="shared" si="5"/>
        <v>13-01</v>
      </c>
      <c r="E132" s="1">
        <f>_xlfn.IFNA(VLOOKUP('Comp X - UP'!B132,'Urban Plastix Holds'!$I$36:$U$498,9,0),0)</f>
        <v>5</v>
      </c>
      <c r="G132" s="2">
        <f t="shared" si="6"/>
        <v>0</v>
      </c>
      <c r="H132" s="2">
        <f t="shared" si="7"/>
        <v>0</v>
      </c>
    </row>
    <row r="133" spans="2:8">
      <c r="B133" t="s">
        <v>1354</v>
      </c>
      <c r="C133" t="s">
        <v>1615</v>
      </c>
      <c r="D133" s="10" t="str">
        <f t="shared" si="5"/>
        <v>07-13</v>
      </c>
      <c r="E133" s="1">
        <f>_xlfn.IFNA(VLOOKUP('Comp X - UP'!B133,'Urban Plastix Holds'!$I$36:$U$498,10,0),0)</f>
        <v>0</v>
      </c>
      <c r="G133" s="2">
        <f t="shared" si="6"/>
        <v>0</v>
      </c>
      <c r="H133" s="2">
        <f t="shared" si="7"/>
        <v>0</v>
      </c>
    </row>
    <row r="134" spans="2:8">
      <c r="B134" t="s">
        <v>1354</v>
      </c>
      <c r="C134" t="s">
        <v>1615</v>
      </c>
      <c r="D134" s="11" t="str">
        <f t="shared" si="5"/>
        <v>11-25</v>
      </c>
      <c r="E134" s="1">
        <f>_xlfn.IFNA(VLOOKUP('Comp X - UP'!B134,'Urban Plastix Holds'!$I$36:$U$498,11,0),0)</f>
        <v>0</v>
      </c>
      <c r="G134" s="2">
        <f t="shared" si="6"/>
        <v>0</v>
      </c>
      <c r="H134" s="2">
        <f t="shared" si="7"/>
        <v>0</v>
      </c>
    </row>
    <row r="135" spans="2:8">
      <c r="B135" t="s">
        <v>1354</v>
      </c>
      <c r="C135" t="s">
        <v>1615</v>
      </c>
      <c r="D135" s="13" t="str">
        <f t="shared" si="5"/>
        <v>18-01</v>
      </c>
      <c r="E135" s="1">
        <f>_xlfn.IFNA(VLOOKUP('Comp X - UP'!B135,'Urban Plastix Holds'!$I$36:$U$498,12,0),0)</f>
        <v>5</v>
      </c>
      <c r="G135" s="2">
        <f t="shared" si="6"/>
        <v>0</v>
      </c>
      <c r="H135" s="2">
        <f t="shared" si="7"/>
        <v>0</v>
      </c>
    </row>
    <row r="136" spans="2:8">
      <c r="B136" t="s">
        <v>1354</v>
      </c>
      <c r="C136" t="s">
        <v>1615</v>
      </c>
      <c r="D136" s="12" t="str">
        <f t="shared" si="5"/>
        <v>12-01</v>
      </c>
      <c r="E136" s="1">
        <f>_xlfn.IFNA(VLOOKUP('Comp X - UP'!B136,'Urban Plastix Holds'!$I$36:$U$498,13,0),0)</f>
        <v>0</v>
      </c>
      <c r="G136" s="2">
        <f t="shared" si="6"/>
        <v>0</v>
      </c>
      <c r="H136" s="2">
        <f t="shared" si="7"/>
        <v>0</v>
      </c>
    </row>
    <row r="137" spans="2:8">
      <c r="B137" t="s">
        <v>1355</v>
      </c>
      <c r="C137" t="s">
        <v>1616</v>
      </c>
      <c r="D137" s="5" t="str">
        <f t="shared" si="5"/>
        <v>11-12</v>
      </c>
      <c r="E137" s="1">
        <f>_xlfn.IFNA(VLOOKUP('Comp X - UP'!B137,'Urban Plastix Holds'!$I$36:$U$498,5,0),0)</f>
        <v>0</v>
      </c>
      <c r="G137" s="2">
        <f t="shared" si="6"/>
        <v>0</v>
      </c>
      <c r="H137" s="2">
        <f t="shared" si="7"/>
        <v>0</v>
      </c>
    </row>
    <row r="138" spans="2:8">
      <c r="B138" t="s">
        <v>1355</v>
      </c>
      <c r="C138" t="s">
        <v>1616</v>
      </c>
      <c r="D138" s="6" t="str">
        <f t="shared" si="5"/>
        <v>14-01</v>
      </c>
      <c r="E138" s="1">
        <f>_xlfn.IFNA(VLOOKUP('Comp X - UP'!B138,'Urban Plastix Holds'!$I$36:$U$498,6,0),0)</f>
        <v>0</v>
      </c>
      <c r="G138" s="2">
        <f t="shared" si="6"/>
        <v>0</v>
      </c>
      <c r="H138" s="2">
        <f t="shared" si="7"/>
        <v>0</v>
      </c>
    </row>
    <row r="139" spans="2:8">
      <c r="B139" t="s">
        <v>1355</v>
      </c>
      <c r="C139" t="s">
        <v>1616</v>
      </c>
      <c r="D139" s="7" t="str">
        <f t="shared" ref="D139:D202" si="8">D130</f>
        <v>15-12</v>
      </c>
      <c r="E139" s="1">
        <f>_xlfn.IFNA(VLOOKUP('Comp X - UP'!B139,'Urban Plastix Holds'!$I$36:$U$498,7,0),0)</f>
        <v>4</v>
      </c>
      <c r="G139" s="2">
        <f t="shared" si="6"/>
        <v>0</v>
      </c>
      <c r="H139" s="2">
        <f t="shared" si="7"/>
        <v>0</v>
      </c>
    </row>
    <row r="140" spans="2:8">
      <c r="B140" t="s">
        <v>1355</v>
      </c>
      <c r="C140" t="s">
        <v>1616</v>
      </c>
      <c r="D140" s="8" t="str">
        <f t="shared" si="8"/>
        <v>16-16</v>
      </c>
      <c r="E140" s="1">
        <f>_xlfn.IFNA(VLOOKUP('Comp X - UP'!B140,'Urban Plastix Holds'!$I$36:$U$498,8,0),0)</f>
        <v>0</v>
      </c>
      <c r="G140" s="2">
        <f t="shared" si="6"/>
        <v>0</v>
      </c>
      <c r="H140" s="2">
        <f t="shared" si="7"/>
        <v>0</v>
      </c>
    </row>
    <row r="141" spans="2:8">
      <c r="B141" t="s">
        <v>1355</v>
      </c>
      <c r="C141" t="s">
        <v>1616</v>
      </c>
      <c r="D141" s="9" t="str">
        <f t="shared" si="8"/>
        <v>13-01</v>
      </c>
      <c r="E141" s="1">
        <f>_xlfn.IFNA(VLOOKUP('Comp X - UP'!B141,'Urban Plastix Holds'!$I$36:$U$498,9,0),0)</f>
        <v>5</v>
      </c>
      <c r="G141" s="2">
        <f t="shared" si="6"/>
        <v>0</v>
      </c>
      <c r="H141" s="2">
        <f t="shared" si="7"/>
        <v>0</v>
      </c>
    </row>
    <row r="142" spans="2:8">
      <c r="B142" t="s">
        <v>1355</v>
      </c>
      <c r="C142" t="s">
        <v>1616</v>
      </c>
      <c r="D142" s="10" t="str">
        <f t="shared" si="8"/>
        <v>07-13</v>
      </c>
      <c r="E142" s="1">
        <f>_xlfn.IFNA(VLOOKUP('Comp X - UP'!B142,'Urban Plastix Holds'!$I$36:$U$498,10,0),0)</f>
        <v>0</v>
      </c>
      <c r="G142" s="2">
        <f t="shared" si="6"/>
        <v>0</v>
      </c>
      <c r="H142" s="2">
        <f t="shared" si="7"/>
        <v>0</v>
      </c>
    </row>
    <row r="143" spans="2:8">
      <c r="B143" t="s">
        <v>1355</v>
      </c>
      <c r="C143" t="s">
        <v>1616</v>
      </c>
      <c r="D143" s="11" t="str">
        <f t="shared" si="8"/>
        <v>11-25</v>
      </c>
      <c r="E143" s="1">
        <f>_xlfn.IFNA(VLOOKUP('Comp X - UP'!B143,'Urban Plastix Holds'!$I$36:$U$498,11,0),0)</f>
        <v>0</v>
      </c>
      <c r="G143" s="2">
        <f t="shared" si="6"/>
        <v>0</v>
      </c>
      <c r="H143" s="2">
        <f t="shared" si="7"/>
        <v>0</v>
      </c>
    </row>
    <row r="144" spans="2:8">
      <c r="B144" t="s">
        <v>1355</v>
      </c>
      <c r="C144" t="s">
        <v>1616</v>
      </c>
      <c r="D144" s="13" t="str">
        <f t="shared" si="8"/>
        <v>18-01</v>
      </c>
      <c r="E144" s="1">
        <f>_xlfn.IFNA(VLOOKUP('Comp X - UP'!B144,'Urban Plastix Holds'!$I$36:$U$498,12,0),0)</f>
        <v>5</v>
      </c>
      <c r="G144" s="2">
        <f t="shared" si="6"/>
        <v>0</v>
      </c>
      <c r="H144" s="2">
        <f t="shared" si="7"/>
        <v>0</v>
      </c>
    </row>
    <row r="145" spans="2:8">
      <c r="B145" t="s">
        <v>1355</v>
      </c>
      <c r="C145" t="s">
        <v>1616</v>
      </c>
      <c r="D145" s="12" t="str">
        <f t="shared" si="8"/>
        <v>12-01</v>
      </c>
      <c r="E145" s="1">
        <f>_xlfn.IFNA(VLOOKUP('Comp X - UP'!B145,'Urban Plastix Holds'!$I$36:$U$498,13,0),0)</f>
        <v>0</v>
      </c>
      <c r="G145" s="2">
        <f t="shared" si="6"/>
        <v>0</v>
      </c>
      <c r="H145" s="2">
        <f t="shared" si="7"/>
        <v>0</v>
      </c>
    </row>
    <row r="146" spans="2:8">
      <c r="B146" t="s">
        <v>1356</v>
      </c>
      <c r="C146" t="s">
        <v>1617</v>
      </c>
      <c r="D146" s="5" t="str">
        <f t="shared" si="8"/>
        <v>11-12</v>
      </c>
      <c r="E146" s="1">
        <f>_xlfn.IFNA(VLOOKUP('Comp X - UP'!B146,'Urban Plastix Holds'!$I$36:$U$498,5,0),0)</f>
        <v>0</v>
      </c>
      <c r="G146" s="2">
        <f t="shared" si="6"/>
        <v>0</v>
      </c>
      <c r="H146" s="2">
        <f t="shared" si="7"/>
        <v>0</v>
      </c>
    </row>
    <row r="147" spans="2:8">
      <c r="B147" t="s">
        <v>1356</v>
      </c>
      <c r="C147" t="s">
        <v>1617</v>
      </c>
      <c r="D147" s="6" t="str">
        <f t="shared" si="8"/>
        <v>14-01</v>
      </c>
      <c r="E147" s="1">
        <f>_xlfn.IFNA(VLOOKUP('Comp X - UP'!B147,'Urban Plastix Holds'!$I$36:$U$498,6,0),0)</f>
        <v>0</v>
      </c>
      <c r="G147" s="2">
        <f t="shared" si="6"/>
        <v>0</v>
      </c>
      <c r="H147" s="2">
        <f t="shared" si="7"/>
        <v>0</v>
      </c>
    </row>
    <row r="148" spans="2:8">
      <c r="B148" t="s">
        <v>1356</v>
      </c>
      <c r="C148" t="s">
        <v>1617</v>
      </c>
      <c r="D148" s="7" t="str">
        <f t="shared" si="8"/>
        <v>15-12</v>
      </c>
      <c r="E148" s="1">
        <f>_xlfn.IFNA(VLOOKUP('Comp X - UP'!B148,'Urban Plastix Holds'!$I$36:$U$498,7,0),0)</f>
        <v>3</v>
      </c>
      <c r="G148" s="2">
        <f t="shared" si="6"/>
        <v>0</v>
      </c>
      <c r="H148" s="2">
        <f t="shared" si="7"/>
        <v>0</v>
      </c>
    </row>
    <row r="149" spans="2:8">
      <c r="B149" t="s">
        <v>1356</v>
      </c>
      <c r="C149" t="s">
        <v>1617</v>
      </c>
      <c r="D149" s="8" t="str">
        <f t="shared" si="8"/>
        <v>16-16</v>
      </c>
      <c r="E149" s="1">
        <f>_xlfn.IFNA(VLOOKUP('Comp X - UP'!B149,'Urban Plastix Holds'!$I$36:$U$498,8,0),0)</f>
        <v>0</v>
      </c>
      <c r="G149" s="2">
        <f t="shared" si="6"/>
        <v>0</v>
      </c>
      <c r="H149" s="2">
        <f t="shared" si="7"/>
        <v>0</v>
      </c>
    </row>
    <row r="150" spans="2:8">
      <c r="B150" t="s">
        <v>1356</v>
      </c>
      <c r="C150" t="s">
        <v>1617</v>
      </c>
      <c r="D150" s="9" t="str">
        <f t="shared" si="8"/>
        <v>13-01</v>
      </c>
      <c r="E150" s="1">
        <f>_xlfn.IFNA(VLOOKUP('Comp X - UP'!B150,'Urban Plastix Holds'!$I$36:$U$498,9,0),0)</f>
        <v>5</v>
      </c>
      <c r="G150" s="2">
        <f t="shared" si="6"/>
        <v>0</v>
      </c>
      <c r="H150" s="2">
        <f t="shared" si="7"/>
        <v>0</v>
      </c>
    </row>
    <row r="151" spans="2:8">
      <c r="B151" t="s">
        <v>1356</v>
      </c>
      <c r="C151" t="s">
        <v>1617</v>
      </c>
      <c r="D151" s="10" t="str">
        <f t="shared" si="8"/>
        <v>07-13</v>
      </c>
      <c r="E151" s="1">
        <f>_xlfn.IFNA(VLOOKUP('Comp X - UP'!B151,'Urban Plastix Holds'!$I$36:$U$498,10,0),0)</f>
        <v>0</v>
      </c>
      <c r="G151" s="2">
        <f t="shared" si="6"/>
        <v>0</v>
      </c>
      <c r="H151" s="2">
        <f t="shared" si="7"/>
        <v>0</v>
      </c>
    </row>
    <row r="152" spans="2:8">
      <c r="B152" t="s">
        <v>1356</v>
      </c>
      <c r="C152" t="s">
        <v>1617</v>
      </c>
      <c r="D152" s="11" t="str">
        <f t="shared" si="8"/>
        <v>11-25</v>
      </c>
      <c r="E152" s="1">
        <f>_xlfn.IFNA(VLOOKUP('Comp X - UP'!B152,'Urban Plastix Holds'!$I$36:$U$498,11,0),0)</f>
        <v>0</v>
      </c>
      <c r="G152" s="2">
        <f t="shared" si="6"/>
        <v>0</v>
      </c>
      <c r="H152" s="2">
        <f t="shared" si="7"/>
        <v>0</v>
      </c>
    </row>
    <row r="153" spans="2:8">
      <c r="B153" t="s">
        <v>1356</v>
      </c>
      <c r="C153" t="s">
        <v>1617</v>
      </c>
      <c r="D153" s="13" t="str">
        <f t="shared" si="8"/>
        <v>18-01</v>
      </c>
      <c r="E153" s="1">
        <f>_xlfn.IFNA(VLOOKUP('Comp X - UP'!B153,'Urban Plastix Holds'!$I$36:$U$498,12,0),0)</f>
        <v>5</v>
      </c>
      <c r="G153" s="2">
        <f t="shared" si="6"/>
        <v>0</v>
      </c>
      <c r="H153" s="2">
        <f t="shared" si="7"/>
        <v>0</v>
      </c>
    </row>
    <row r="154" spans="2:8">
      <c r="B154" t="s">
        <v>1356</v>
      </c>
      <c r="C154" t="s">
        <v>1617</v>
      </c>
      <c r="D154" s="12" t="str">
        <f t="shared" si="8"/>
        <v>12-01</v>
      </c>
      <c r="E154" s="1">
        <f>_xlfn.IFNA(VLOOKUP('Comp X - UP'!B154,'Urban Plastix Holds'!$I$36:$U$498,13,0),0)</f>
        <v>0</v>
      </c>
      <c r="G154" s="2">
        <f t="shared" si="6"/>
        <v>0</v>
      </c>
      <c r="H154" s="2">
        <f t="shared" si="7"/>
        <v>0</v>
      </c>
    </row>
    <row r="155" spans="2:8">
      <c r="B155" t="s">
        <v>1357</v>
      </c>
      <c r="C155" t="s">
        <v>1618</v>
      </c>
      <c r="D155" s="5" t="str">
        <f t="shared" si="8"/>
        <v>11-12</v>
      </c>
      <c r="E155" s="1">
        <f>_xlfn.IFNA(VLOOKUP('Comp X - UP'!B155,'Urban Plastix Holds'!$I$36:$U$498,5,0),0)</f>
        <v>0</v>
      </c>
      <c r="G155" s="2">
        <f t="shared" si="6"/>
        <v>0</v>
      </c>
      <c r="H155" s="2">
        <f t="shared" si="7"/>
        <v>0</v>
      </c>
    </row>
    <row r="156" spans="2:8">
      <c r="B156" t="s">
        <v>1357</v>
      </c>
      <c r="C156" t="s">
        <v>1618</v>
      </c>
      <c r="D156" s="6" t="str">
        <f t="shared" si="8"/>
        <v>14-01</v>
      </c>
      <c r="E156" s="1">
        <f>_xlfn.IFNA(VLOOKUP('Comp X - UP'!B156,'Urban Plastix Holds'!$I$36:$U$498,6,0),0)</f>
        <v>0</v>
      </c>
      <c r="G156" s="2">
        <f t="shared" si="6"/>
        <v>0</v>
      </c>
      <c r="H156" s="2">
        <f t="shared" si="7"/>
        <v>0</v>
      </c>
    </row>
    <row r="157" spans="2:8">
      <c r="B157" t="s">
        <v>1357</v>
      </c>
      <c r="C157" t="s">
        <v>1618</v>
      </c>
      <c r="D157" s="7" t="str">
        <f t="shared" si="8"/>
        <v>15-12</v>
      </c>
      <c r="E157" s="1">
        <f>_xlfn.IFNA(VLOOKUP('Comp X - UP'!B157,'Urban Plastix Holds'!$I$36:$U$498,7,0),0)</f>
        <v>4</v>
      </c>
      <c r="G157" s="2">
        <f t="shared" si="6"/>
        <v>0</v>
      </c>
      <c r="H157" s="2">
        <f t="shared" si="7"/>
        <v>0</v>
      </c>
    </row>
    <row r="158" spans="2:8">
      <c r="B158" t="s">
        <v>1357</v>
      </c>
      <c r="C158" t="s">
        <v>1618</v>
      </c>
      <c r="D158" s="8" t="str">
        <f t="shared" si="8"/>
        <v>16-16</v>
      </c>
      <c r="E158" s="1">
        <f>_xlfn.IFNA(VLOOKUP('Comp X - UP'!B158,'Urban Plastix Holds'!$I$36:$U$498,8,0),0)</f>
        <v>0</v>
      </c>
      <c r="G158" s="2">
        <f t="shared" si="6"/>
        <v>0</v>
      </c>
      <c r="H158" s="2">
        <f t="shared" si="7"/>
        <v>0</v>
      </c>
    </row>
    <row r="159" spans="2:8">
      <c r="B159" t="s">
        <v>1357</v>
      </c>
      <c r="C159" t="s">
        <v>1618</v>
      </c>
      <c r="D159" s="9" t="str">
        <f t="shared" si="8"/>
        <v>13-01</v>
      </c>
      <c r="E159" s="1">
        <f>_xlfn.IFNA(VLOOKUP('Comp X - UP'!B159,'Urban Plastix Holds'!$I$36:$U$498,9,0),0)</f>
        <v>5</v>
      </c>
      <c r="G159" s="2">
        <f t="shared" si="6"/>
        <v>0</v>
      </c>
      <c r="H159" s="2">
        <f t="shared" si="7"/>
        <v>0</v>
      </c>
    </row>
    <row r="160" spans="2:8">
      <c r="B160" t="s">
        <v>1357</v>
      </c>
      <c r="C160" t="s">
        <v>1618</v>
      </c>
      <c r="D160" s="10" t="str">
        <f t="shared" si="8"/>
        <v>07-13</v>
      </c>
      <c r="E160" s="1">
        <f>_xlfn.IFNA(VLOOKUP('Comp X - UP'!B160,'Urban Plastix Holds'!$I$36:$U$498,10,0),0)</f>
        <v>0</v>
      </c>
      <c r="G160" s="2">
        <f t="shared" si="6"/>
        <v>0</v>
      </c>
      <c r="H160" s="2">
        <f t="shared" si="7"/>
        <v>0</v>
      </c>
    </row>
    <row r="161" spans="2:8">
      <c r="B161" t="s">
        <v>1357</v>
      </c>
      <c r="C161" t="s">
        <v>1618</v>
      </c>
      <c r="D161" s="11" t="str">
        <f t="shared" si="8"/>
        <v>11-25</v>
      </c>
      <c r="E161" s="1">
        <f>_xlfn.IFNA(VLOOKUP('Comp X - UP'!B161,'Urban Plastix Holds'!$I$36:$U$498,11,0),0)</f>
        <v>0</v>
      </c>
      <c r="G161" s="2">
        <f t="shared" si="6"/>
        <v>0</v>
      </c>
      <c r="H161" s="2">
        <f t="shared" si="7"/>
        <v>0</v>
      </c>
    </row>
    <row r="162" spans="2:8">
      <c r="B162" t="s">
        <v>1357</v>
      </c>
      <c r="C162" t="s">
        <v>1618</v>
      </c>
      <c r="D162" s="13" t="str">
        <f t="shared" si="8"/>
        <v>18-01</v>
      </c>
      <c r="E162" s="1">
        <f>_xlfn.IFNA(VLOOKUP('Comp X - UP'!B162,'Urban Plastix Holds'!$I$36:$U$498,12,0),0)</f>
        <v>5</v>
      </c>
      <c r="G162" s="2">
        <f t="shared" si="6"/>
        <v>0</v>
      </c>
      <c r="H162" s="2">
        <f t="shared" si="7"/>
        <v>0</v>
      </c>
    </row>
    <row r="163" spans="2:8">
      <c r="B163" t="s">
        <v>1357</v>
      </c>
      <c r="C163" t="s">
        <v>1618</v>
      </c>
      <c r="D163" s="12" t="str">
        <f t="shared" si="8"/>
        <v>12-01</v>
      </c>
      <c r="E163" s="1">
        <f>_xlfn.IFNA(VLOOKUP('Comp X - UP'!B163,'Urban Plastix Holds'!$I$36:$U$498,13,0),0)</f>
        <v>0</v>
      </c>
      <c r="G163" s="2">
        <f t="shared" si="6"/>
        <v>0</v>
      </c>
      <c r="H163" s="2">
        <f t="shared" si="7"/>
        <v>0</v>
      </c>
    </row>
    <row r="164" spans="2:8">
      <c r="B164" t="s">
        <v>1358</v>
      </c>
      <c r="C164" t="s">
        <v>1619</v>
      </c>
      <c r="D164" s="5" t="str">
        <f t="shared" si="8"/>
        <v>11-12</v>
      </c>
      <c r="E164" s="1">
        <f>_xlfn.IFNA(VLOOKUP('Comp X - UP'!B164,'Urban Plastix Holds'!$I$36:$U$498,5,0),0)</f>
        <v>0</v>
      </c>
      <c r="G164" s="2">
        <f t="shared" si="6"/>
        <v>0</v>
      </c>
      <c r="H164" s="2">
        <f t="shared" si="7"/>
        <v>0</v>
      </c>
    </row>
    <row r="165" spans="2:8">
      <c r="B165" t="s">
        <v>1358</v>
      </c>
      <c r="C165" t="s">
        <v>1619</v>
      </c>
      <c r="D165" s="6" t="str">
        <f t="shared" si="8"/>
        <v>14-01</v>
      </c>
      <c r="E165" s="1">
        <f>_xlfn.IFNA(VLOOKUP('Comp X - UP'!B165,'Urban Plastix Holds'!$I$36:$U$498,6,0),0)</f>
        <v>0</v>
      </c>
      <c r="G165" s="2">
        <f t="shared" si="6"/>
        <v>0</v>
      </c>
      <c r="H165" s="2">
        <f t="shared" si="7"/>
        <v>0</v>
      </c>
    </row>
    <row r="166" spans="2:8">
      <c r="B166" t="s">
        <v>1358</v>
      </c>
      <c r="C166" t="s">
        <v>1619</v>
      </c>
      <c r="D166" s="7" t="str">
        <f t="shared" si="8"/>
        <v>15-12</v>
      </c>
      <c r="E166" s="1">
        <f>_xlfn.IFNA(VLOOKUP('Comp X - UP'!B166,'Urban Plastix Holds'!$I$36:$U$498,7,0),0)</f>
        <v>3</v>
      </c>
      <c r="G166" s="2">
        <f t="shared" si="6"/>
        <v>0</v>
      </c>
      <c r="H166" s="2">
        <f t="shared" si="7"/>
        <v>0</v>
      </c>
    </row>
    <row r="167" spans="2:8">
      <c r="B167" t="s">
        <v>1358</v>
      </c>
      <c r="C167" t="s">
        <v>1619</v>
      </c>
      <c r="D167" s="8" t="str">
        <f t="shared" si="8"/>
        <v>16-16</v>
      </c>
      <c r="E167" s="1">
        <f>_xlfn.IFNA(VLOOKUP('Comp X - UP'!B167,'Urban Plastix Holds'!$I$36:$U$498,8,0),0)</f>
        <v>0</v>
      </c>
      <c r="G167" s="2">
        <f t="shared" si="6"/>
        <v>0</v>
      </c>
      <c r="H167" s="2">
        <f t="shared" si="7"/>
        <v>0</v>
      </c>
    </row>
    <row r="168" spans="2:8">
      <c r="B168" t="s">
        <v>1358</v>
      </c>
      <c r="C168" t="s">
        <v>1619</v>
      </c>
      <c r="D168" s="9" t="str">
        <f t="shared" si="8"/>
        <v>13-01</v>
      </c>
      <c r="E168" s="1">
        <f>_xlfn.IFNA(VLOOKUP('Comp X - UP'!B168,'Urban Plastix Holds'!$I$36:$U$498,9,0),0)</f>
        <v>4</v>
      </c>
      <c r="G168" s="2">
        <f t="shared" si="6"/>
        <v>0</v>
      </c>
      <c r="H168" s="2">
        <f t="shared" si="7"/>
        <v>0</v>
      </c>
    </row>
    <row r="169" spans="2:8">
      <c r="B169" t="s">
        <v>1358</v>
      </c>
      <c r="C169" t="s">
        <v>1619</v>
      </c>
      <c r="D169" s="10" t="str">
        <f t="shared" si="8"/>
        <v>07-13</v>
      </c>
      <c r="E169" s="1">
        <f>_xlfn.IFNA(VLOOKUP('Comp X - UP'!B169,'Urban Plastix Holds'!$I$36:$U$498,10,0),0)</f>
        <v>0</v>
      </c>
      <c r="G169" s="2">
        <f t="shared" si="6"/>
        <v>0</v>
      </c>
      <c r="H169" s="2">
        <f t="shared" si="7"/>
        <v>0</v>
      </c>
    </row>
    <row r="170" spans="2:8">
      <c r="B170" t="s">
        <v>1358</v>
      </c>
      <c r="C170" t="s">
        <v>1619</v>
      </c>
      <c r="D170" s="11" t="str">
        <f t="shared" si="8"/>
        <v>11-25</v>
      </c>
      <c r="E170" s="1">
        <f>_xlfn.IFNA(VLOOKUP('Comp X - UP'!B170,'Urban Plastix Holds'!$I$36:$U$498,11,0),0)</f>
        <v>0</v>
      </c>
      <c r="G170" s="2">
        <f t="shared" si="6"/>
        <v>0</v>
      </c>
      <c r="H170" s="2">
        <f t="shared" si="7"/>
        <v>0</v>
      </c>
    </row>
    <row r="171" spans="2:8">
      <c r="B171" t="s">
        <v>1358</v>
      </c>
      <c r="C171" t="s">
        <v>1619</v>
      </c>
      <c r="D171" s="13" t="str">
        <f t="shared" si="8"/>
        <v>18-01</v>
      </c>
      <c r="E171" s="1">
        <f>_xlfn.IFNA(VLOOKUP('Comp X - UP'!B171,'Urban Plastix Holds'!$I$36:$U$498,12,0),0)</f>
        <v>5</v>
      </c>
      <c r="G171" s="2">
        <f t="shared" si="6"/>
        <v>0</v>
      </c>
      <c r="H171" s="2">
        <f t="shared" si="7"/>
        <v>0</v>
      </c>
    </row>
    <row r="172" spans="2:8">
      <c r="B172" t="s">
        <v>1358</v>
      </c>
      <c r="C172" t="s">
        <v>1619</v>
      </c>
      <c r="D172" s="12" t="str">
        <f t="shared" si="8"/>
        <v>12-01</v>
      </c>
      <c r="E172" s="1">
        <f>_xlfn.IFNA(VLOOKUP('Comp X - UP'!B172,'Urban Plastix Holds'!$I$36:$U$498,13,0),0)</f>
        <v>0</v>
      </c>
      <c r="G172" s="2">
        <f t="shared" si="6"/>
        <v>0</v>
      </c>
      <c r="H172" s="2">
        <f t="shared" si="7"/>
        <v>0</v>
      </c>
    </row>
    <row r="173" spans="2:8">
      <c r="B173" t="s">
        <v>1359</v>
      </c>
      <c r="C173" t="s">
        <v>1620</v>
      </c>
      <c r="D173" s="5" t="str">
        <f t="shared" si="8"/>
        <v>11-12</v>
      </c>
      <c r="E173" s="1">
        <f>_xlfn.IFNA(VLOOKUP('Comp X - UP'!B173,'Urban Plastix Holds'!$I$36:$U$498,5,0),0)</f>
        <v>0</v>
      </c>
      <c r="G173" s="2">
        <f t="shared" si="6"/>
        <v>0</v>
      </c>
      <c r="H173" s="2">
        <f t="shared" si="7"/>
        <v>0</v>
      </c>
    </row>
    <row r="174" spans="2:8">
      <c r="B174" t="s">
        <v>1359</v>
      </c>
      <c r="C174" t="s">
        <v>1620</v>
      </c>
      <c r="D174" s="6" t="str">
        <f t="shared" si="8"/>
        <v>14-01</v>
      </c>
      <c r="E174" s="1">
        <f>_xlfn.IFNA(VLOOKUP('Comp X - UP'!B174,'Urban Plastix Holds'!$I$36:$U$498,6,0),0)</f>
        <v>0</v>
      </c>
      <c r="G174" s="2">
        <f t="shared" si="6"/>
        <v>0</v>
      </c>
      <c r="H174" s="2">
        <f t="shared" si="7"/>
        <v>0</v>
      </c>
    </row>
    <row r="175" spans="2:8">
      <c r="B175" t="s">
        <v>1359</v>
      </c>
      <c r="C175" t="s">
        <v>1620</v>
      </c>
      <c r="D175" s="7" t="str">
        <f t="shared" si="8"/>
        <v>15-12</v>
      </c>
      <c r="E175" s="1">
        <f>_xlfn.IFNA(VLOOKUP('Comp X - UP'!B175,'Urban Plastix Holds'!$I$36:$U$498,7,0),0)</f>
        <v>3</v>
      </c>
      <c r="G175" s="2">
        <f t="shared" si="6"/>
        <v>0</v>
      </c>
      <c r="H175" s="2">
        <f t="shared" si="7"/>
        <v>0</v>
      </c>
    </row>
    <row r="176" spans="2:8">
      <c r="B176" t="s">
        <v>1359</v>
      </c>
      <c r="C176" t="s">
        <v>1620</v>
      </c>
      <c r="D176" s="8" t="str">
        <f t="shared" si="8"/>
        <v>16-16</v>
      </c>
      <c r="E176" s="1">
        <f>_xlfn.IFNA(VLOOKUP('Comp X - UP'!B176,'Urban Plastix Holds'!$I$36:$U$498,8,0),0)</f>
        <v>0</v>
      </c>
      <c r="G176" s="2">
        <f t="shared" si="6"/>
        <v>0</v>
      </c>
      <c r="H176" s="2">
        <f t="shared" si="7"/>
        <v>0</v>
      </c>
    </row>
    <row r="177" spans="2:8">
      <c r="B177" t="s">
        <v>1359</v>
      </c>
      <c r="C177" t="s">
        <v>1620</v>
      </c>
      <c r="D177" s="9" t="str">
        <f t="shared" si="8"/>
        <v>13-01</v>
      </c>
      <c r="E177" s="1">
        <f>_xlfn.IFNA(VLOOKUP('Comp X - UP'!B177,'Urban Plastix Holds'!$I$36:$U$498,9,0),0)</f>
        <v>5</v>
      </c>
      <c r="G177" s="2">
        <f t="shared" si="6"/>
        <v>0</v>
      </c>
      <c r="H177" s="2">
        <f t="shared" si="7"/>
        <v>0</v>
      </c>
    </row>
    <row r="178" spans="2:8">
      <c r="B178" t="s">
        <v>1359</v>
      </c>
      <c r="C178" t="s">
        <v>1620</v>
      </c>
      <c r="D178" s="10" t="str">
        <f t="shared" si="8"/>
        <v>07-13</v>
      </c>
      <c r="E178" s="1">
        <f>_xlfn.IFNA(VLOOKUP('Comp X - UP'!B178,'Urban Plastix Holds'!$I$36:$U$498,10,0),0)</f>
        <v>0</v>
      </c>
      <c r="G178" s="2">
        <f t="shared" si="6"/>
        <v>0</v>
      </c>
      <c r="H178" s="2">
        <f t="shared" si="7"/>
        <v>0</v>
      </c>
    </row>
    <row r="179" spans="2:8">
      <c r="B179" t="s">
        <v>1359</v>
      </c>
      <c r="C179" t="s">
        <v>1620</v>
      </c>
      <c r="D179" s="11" t="str">
        <f t="shared" si="8"/>
        <v>11-25</v>
      </c>
      <c r="E179" s="1">
        <f>_xlfn.IFNA(VLOOKUP('Comp X - UP'!B179,'Urban Plastix Holds'!$I$36:$U$498,11,0),0)</f>
        <v>0</v>
      </c>
      <c r="G179" s="2">
        <f t="shared" si="6"/>
        <v>0</v>
      </c>
      <c r="H179" s="2">
        <f t="shared" si="7"/>
        <v>0</v>
      </c>
    </row>
    <row r="180" spans="2:8">
      <c r="B180" t="s">
        <v>1359</v>
      </c>
      <c r="C180" t="s">
        <v>1620</v>
      </c>
      <c r="D180" s="13" t="str">
        <f t="shared" si="8"/>
        <v>18-01</v>
      </c>
      <c r="E180" s="1">
        <f>_xlfn.IFNA(VLOOKUP('Comp X - UP'!B180,'Urban Plastix Holds'!$I$36:$U$498,12,0),0)</f>
        <v>5</v>
      </c>
      <c r="G180" s="2">
        <f t="shared" si="6"/>
        <v>0</v>
      </c>
      <c r="H180" s="2">
        <f t="shared" si="7"/>
        <v>0</v>
      </c>
    </row>
    <row r="181" spans="2:8">
      <c r="B181" t="s">
        <v>1359</v>
      </c>
      <c r="C181" t="s">
        <v>1620</v>
      </c>
      <c r="D181" s="12" t="str">
        <f t="shared" si="8"/>
        <v>12-01</v>
      </c>
      <c r="E181" s="1">
        <f>_xlfn.IFNA(VLOOKUP('Comp X - UP'!B181,'Urban Plastix Holds'!$I$36:$U$498,13,0),0)</f>
        <v>0</v>
      </c>
      <c r="G181" s="2">
        <f t="shared" si="6"/>
        <v>0</v>
      </c>
      <c r="H181" s="2">
        <f t="shared" si="7"/>
        <v>0</v>
      </c>
    </row>
    <row r="182" spans="2:8">
      <c r="B182" t="s">
        <v>1360</v>
      </c>
      <c r="C182" t="s">
        <v>1621</v>
      </c>
      <c r="D182" s="5" t="str">
        <f t="shared" si="8"/>
        <v>11-12</v>
      </c>
      <c r="E182" s="1">
        <f>_xlfn.IFNA(VLOOKUP('Comp X - UP'!B182,'Urban Plastix Holds'!$I$36:$U$498,5,0),0)</f>
        <v>0</v>
      </c>
      <c r="G182" s="2">
        <f t="shared" si="6"/>
        <v>0</v>
      </c>
      <c r="H182" s="2">
        <f t="shared" si="7"/>
        <v>0</v>
      </c>
    </row>
    <row r="183" spans="2:8">
      <c r="B183" t="s">
        <v>1360</v>
      </c>
      <c r="C183" t="s">
        <v>1621</v>
      </c>
      <c r="D183" s="6" t="str">
        <f t="shared" si="8"/>
        <v>14-01</v>
      </c>
      <c r="E183" s="1">
        <f>_xlfn.IFNA(VLOOKUP('Comp X - UP'!B183,'Urban Plastix Holds'!$I$36:$U$498,6,0),0)</f>
        <v>0</v>
      </c>
      <c r="G183" s="2">
        <f t="shared" si="6"/>
        <v>0</v>
      </c>
      <c r="H183" s="2">
        <f t="shared" si="7"/>
        <v>0</v>
      </c>
    </row>
    <row r="184" spans="2:8">
      <c r="B184" t="s">
        <v>1360</v>
      </c>
      <c r="C184" t="s">
        <v>1621</v>
      </c>
      <c r="D184" s="7" t="str">
        <f t="shared" si="8"/>
        <v>15-12</v>
      </c>
      <c r="E184" s="1">
        <f>_xlfn.IFNA(VLOOKUP('Comp X - UP'!B184,'Urban Plastix Holds'!$I$36:$U$498,7,0),0)</f>
        <v>3</v>
      </c>
      <c r="G184" s="2">
        <f t="shared" si="6"/>
        <v>0</v>
      </c>
      <c r="H184" s="2">
        <f t="shared" si="7"/>
        <v>0</v>
      </c>
    </row>
    <row r="185" spans="2:8">
      <c r="B185" t="s">
        <v>1360</v>
      </c>
      <c r="C185" t="s">
        <v>1621</v>
      </c>
      <c r="D185" s="8" t="str">
        <f t="shared" si="8"/>
        <v>16-16</v>
      </c>
      <c r="E185" s="1">
        <f>_xlfn.IFNA(VLOOKUP('Comp X - UP'!B185,'Urban Plastix Holds'!$I$36:$U$498,8,0),0)</f>
        <v>0</v>
      </c>
      <c r="G185" s="2">
        <f t="shared" si="6"/>
        <v>0</v>
      </c>
      <c r="H185" s="2">
        <f t="shared" si="7"/>
        <v>0</v>
      </c>
    </row>
    <row r="186" spans="2:8">
      <c r="B186" t="s">
        <v>1360</v>
      </c>
      <c r="C186" t="s">
        <v>1621</v>
      </c>
      <c r="D186" s="9" t="str">
        <f t="shared" si="8"/>
        <v>13-01</v>
      </c>
      <c r="E186" s="1">
        <f>_xlfn.IFNA(VLOOKUP('Comp X - UP'!B186,'Urban Plastix Holds'!$I$36:$U$498,9,0),0)</f>
        <v>5</v>
      </c>
      <c r="G186" s="2">
        <f t="shared" si="6"/>
        <v>0</v>
      </c>
      <c r="H186" s="2">
        <f t="shared" si="7"/>
        <v>0</v>
      </c>
    </row>
    <row r="187" spans="2:8">
      <c r="B187" t="s">
        <v>1360</v>
      </c>
      <c r="C187" t="s">
        <v>1621</v>
      </c>
      <c r="D187" s="10" t="str">
        <f t="shared" si="8"/>
        <v>07-13</v>
      </c>
      <c r="E187" s="1">
        <f>_xlfn.IFNA(VLOOKUP('Comp X - UP'!B187,'Urban Plastix Holds'!$I$36:$U$498,10,0),0)</f>
        <v>0</v>
      </c>
      <c r="G187" s="2">
        <f t="shared" si="6"/>
        <v>0</v>
      </c>
      <c r="H187" s="2">
        <f t="shared" si="7"/>
        <v>0</v>
      </c>
    </row>
    <row r="188" spans="2:8">
      <c r="B188" t="s">
        <v>1360</v>
      </c>
      <c r="C188" t="s">
        <v>1621</v>
      </c>
      <c r="D188" s="11" t="str">
        <f t="shared" si="8"/>
        <v>11-25</v>
      </c>
      <c r="E188" s="1">
        <f>_xlfn.IFNA(VLOOKUP('Comp X - UP'!B188,'Urban Plastix Holds'!$I$36:$U$498,11,0),0)</f>
        <v>0</v>
      </c>
      <c r="G188" s="2">
        <f t="shared" si="6"/>
        <v>0</v>
      </c>
      <c r="H188" s="2">
        <f t="shared" si="7"/>
        <v>0</v>
      </c>
    </row>
    <row r="189" spans="2:8">
      <c r="B189" t="s">
        <v>1360</v>
      </c>
      <c r="C189" t="s">
        <v>1621</v>
      </c>
      <c r="D189" s="13" t="str">
        <f t="shared" si="8"/>
        <v>18-01</v>
      </c>
      <c r="E189" s="1">
        <f>_xlfn.IFNA(VLOOKUP('Comp X - UP'!B189,'Urban Plastix Holds'!$I$36:$U$498,12,0),0)</f>
        <v>5</v>
      </c>
      <c r="G189" s="2">
        <f t="shared" si="6"/>
        <v>0</v>
      </c>
      <c r="H189" s="2">
        <f t="shared" si="7"/>
        <v>0</v>
      </c>
    </row>
    <row r="190" spans="2:8">
      <c r="B190" t="s">
        <v>1360</v>
      </c>
      <c r="C190" t="s">
        <v>1621</v>
      </c>
      <c r="D190" s="12" t="str">
        <f t="shared" si="8"/>
        <v>12-01</v>
      </c>
      <c r="E190" s="1">
        <f>_xlfn.IFNA(VLOOKUP('Comp X - UP'!B190,'Urban Plastix Holds'!$I$36:$U$498,13,0),0)</f>
        <v>0</v>
      </c>
      <c r="G190" s="2">
        <f t="shared" si="6"/>
        <v>0</v>
      </c>
      <c r="H190" s="2">
        <f t="shared" si="7"/>
        <v>0</v>
      </c>
    </row>
    <row r="191" spans="2:8">
      <c r="B191" t="s">
        <v>1361</v>
      </c>
      <c r="C191" t="s">
        <v>1622</v>
      </c>
      <c r="D191" s="5" t="str">
        <f t="shared" si="8"/>
        <v>11-12</v>
      </c>
      <c r="E191" s="1">
        <f>_xlfn.IFNA(VLOOKUP('Comp X - UP'!B191,'Urban Plastix Holds'!$I$36:$U$498,5,0),0)</f>
        <v>0</v>
      </c>
      <c r="G191" s="2">
        <f t="shared" si="6"/>
        <v>0</v>
      </c>
      <c r="H191" s="2">
        <f t="shared" si="7"/>
        <v>0</v>
      </c>
    </row>
    <row r="192" spans="2:8">
      <c r="B192" t="s">
        <v>1361</v>
      </c>
      <c r="C192" t="s">
        <v>1622</v>
      </c>
      <c r="D192" s="6" t="str">
        <f t="shared" si="8"/>
        <v>14-01</v>
      </c>
      <c r="E192" s="1">
        <f>_xlfn.IFNA(VLOOKUP('Comp X - UP'!B192,'Urban Plastix Holds'!$I$36:$U$498,6,0),0)</f>
        <v>0</v>
      </c>
      <c r="G192" s="2">
        <f t="shared" si="6"/>
        <v>0</v>
      </c>
      <c r="H192" s="2">
        <f t="shared" si="7"/>
        <v>0</v>
      </c>
    </row>
    <row r="193" spans="2:8">
      <c r="B193" t="s">
        <v>1361</v>
      </c>
      <c r="C193" t="s">
        <v>1622</v>
      </c>
      <c r="D193" s="7" t="str">
        <f t="shared" si="8"/>
        <v>15-12</v>
      </c>
      <c r="E193" s="1">
        <f>_xlfn.IFNA(VLOOKUP('Comp X - UP'!B193,'Urban Plastix Holds'!$I$36:$U$498,7,0),0)</f>
        <v>4</v>
      </c>
      <c r="G193" s="2">
        <f t="shared" si="6"/>
        <v>0</v>
      </c>
      <c r="H193" s="2">
        <f t="shared" si="7"/>
        <v>0</v>
      </c>
    </row>
    <row r="194" spans="2:8">
      <c r="B194" t="s">
        <v>1361</v>
      </c>
      <c r="C194" t="s">
        <v>1622</v>
      </c>
      <c r="D194" s="8" t="str">
        <f t="shared" si="8"/>
        <v>16-16</v>
      </c>
      <c r="E194" s="1">
        <f>_xlfn.IFNA(VLOOKUP('Comp X - UP'!B194,'Urban Plastix Holds'!$I$36:$U$498,8,0),0)</f>
        <v>0</v>
      </c>
      <c r="G194" s="2">
        <f t="shared" si="6"/>
        <v>0</v>
      </c>
      <c r="H194" s="2">
        <f t="shared" si="7"/>
        <v>0</v>
      </c>
    </row>
    <row r="195" spans="2:8">
      <c r="B195" t="s">
        <v>1361</v>
      </c>
      <c r="C195" t="s">
        <v>1622</v>
      </c>
      <c r="D195" s="9" t="str">
        <f t="shared" si="8"/>
        <v>13-01</v>
      </c>
      <c r="E195" s="1">
        <f>_xlfn.IFNA(VLOOKUP('Comp X - UP'!B195,'Urban Plastix Holds'!$I$36:$U$498,9,0),0)</f>
        <v>5</v>
      </c>
      <c r="G195" s="2">
        <f t="shared" ref="G195:G258" si="9">E195*F195</f>
        <v>0</v>
      </c>
      <c r="H195" s="2">
        <f t="shared" ref="H195:H258" si="10">IF($S$11="Y",G195*0.15,0)</f>
        <v>0</v>
      </c>
    </row>
    <row r="196" spans="2:8">
      <c r="B196" t="s">
        <v>1361</v>
      </c>
      <c r="C196" t="s">
        <v>1622</v>
      </c>
      <c r="D196" s="10" t="str">
        <f t="shared" si="8"/>
        <v>07-13</v>
      </c>
      <c r="E196" s="1">
        <f>_xlfn.IFNA(VLOOKUP('Comp X - UP'!B196,'Urban Plastix Holds'!$I$36:$U$498,10,0),0)</f>
        <v>0</v>
      </c>
      <c r="G196" s="2">
        <f t="shared" si="9"/>
        <v>0</v>
      </c>
      <c r="H196" s="2">
        <f t="shared" si="10"/>
        <v>0</v>
      </c>
    </row>
    <row r="197" spans="2:8">
      <c r="B197" t="s">
        <v>1361</v>
      </c>
      <c r="C197" t="s">
        <v>1622</v>
      </c>
      <c r="D197" s="11" t="str">
        <f t="shared" si="8"/>
        <v>11-25</v>
      </c>
      <c r="E197" s="1">
        <f>_xlfn.IFNA(VLOOKUP('Comp X - UP'!B197,'Urban Plastix Holds'!$I$36:$U$498,11,0),0)</f>
        <v>0</v>
      </c>
      <c r="G197" s="2">
        <f t="shared" si="9"/>
        <v>0</v>
      </c>
      <c r="H197" s="2">
        <f t="shared" si="10"/>
        <v>0</v>
      </c>
    </row>
    <row r="198" spans="2:8">
      <c r="B198" t="s">
        <v>1361</v>
      </c>
      <c r="C198" t="s">
        <v>1622</v>
      </c>
      <c r="D198" s="13" t="str">
        <f t="shared" si="8"/>
        <v>18-01</v>
      </c>
      <c r="E198" s="1">
        <f>_xlfn.IFNA(VLOOKUP('Comp X - UP'!B198,'Urban Plastix Holds'!$I$36:$U$498,12,0),0)</f>
        <v>5</v>
      </c>
      <c r="G198" s="2">
        <f t="shared" si="9"/>
        <v>0</v>
      </c>
      <c r="H198" s="2">
        <f t="shared" si="10"/>
        <v>0</v>
      </c>
    </row>
    <row r="199" spans="2:8">
      <c r="B199" t="s">
        <v>1361</v>
      </c>
      <c r="C199" t="s">
        <v>1622</v>
      </c>
      <c r="D199" s="12" t="str">
        <f t="shared" si="8"/>
        <v>12-01</v>
      </c>
      <c r="E199" s="1">
        <f>_xlfn.IFNA(VLOOKUP('Comp X - UP'!B199,'Urban Plastix Holds'!$I$36:$U$498,13,0),0)</f>
        <v>0</v>
      </c>
      <c r="G199" s="2">
        <f t="shared" si="9"/>
        <v>0</v>
      </c>
      <c r="H199" s="2">
        <f t="shared" si="10"/>
        <v>0</v>
      </c>
    </row>
    <row r="200" spans="2:8">
      <c r="B200" t="s">
        <v>1370</v>
      </c>
      <c r="C200" t="s">
        <v>1623</v>
      </c>
      <c r="D200" s="5" t="str">
        <f t="shared" si="8"/>
        <v>11-12</v>
      </c>
      <c r="E200" s="1">
        <f>_xlfn.IFNA(VLOOKUP('Comp X - UP'!B200,'Urban Plastix Holds'!$I$36:$U$498,5,0),0)</f>
        <v>0</v>
      </c>
      <c r="G200" s="2">
        <f t="shared" si="9"/>
        <v>0</v>
      </c>
      <c r="H200" s="2">
        <f t="shared" si="10"/>
        <v>0</v>
      </c>
    </row>
    <row r="201" spans="2:8">
      <c r="B201" t="s">
        <v>1370</v>
      </c>
      <c r="C201" t="s">
        <v>1623</v>
      </c>
      <c r="D201" s="6" t="str">
        <f t="shared" si="8"/>
        <v>14-01</v>
      </c>
      <c r="E201" s="1">
        <f>_xlfn.IFNA(VLOOKUP('Comp X - UP'!B201,'Urban Plastix Holds'!$I$36:$U$498,6,0),0)</f>
        <v>0</v>
      </c>
      <c r="G201" s="2">
        <f t="shared" si="9"/>
        <v>0</v>
      </c>
      <c r="H201" s="2">
        <f t="shared" si="10"/>
        <v>0</v>
      </c>
    </row>
    <row r="202" spans="2:8">
      <c r="B202" t="s">
        <v>1370</v>
      </c>
      <c r="C202" t="s">
        <v>1623</v>
      </c>
      <c r="D202" s="7" t="str">
        <f t="shared" si="8"/>
        <v>15-12</v>
      </c>
      <c r="E202" s="1">
        <f>_xlfn.IFNA(VLOOKUP('Comp X - UP'!B202,'Urban Plastix Holds'!$I$36:$U$498,7,0),0)</f>
        <v>4</v>
      </c>
      <c r="G202" s="2">
        <f t="shared" si="9"/>
        <v>0</v>
      </c>
      <c r="H202" s="2">
        <f t="shared" si="10"/>
        <v>0</v>
      </c>
    </row>
    <row r="203" spans="2:8">
      <c r="B203" t="s">
        <v>1370</v>
      </c>
      <c r="C203" t="s">
        <v>1623</v>
      </c>
      <c r="D203" s="8" t="str">
        <f t="shared" ref="D203:D266" si="11">D194</f>
        <v>16-16</v>
      </c>
      <c r="E203" s="1">
        <f>_xlfn.IFNA(VLOOKUP('Comp X - UP'!B203,'Urban Plastix Holds'!$I$36:$U$498,8,0),0)</f>
        <v>0</v>
      </c>
      <c r="G203" s="2">
        <f t="shared" si="9"/>
        <v>0</v>
      </c>
      <c r="H203" s="2">
        <f t="shared" si="10"/>
        <v>0</v>
      </c>
    </row>
    <row r="204" spans="2:8">
      <c r="B204" t="s">
        <v>1370</v>
      </c>
      <c r="C204" t="s">
        <v>1623</v>
      </c>
      <c r="D204" s="9" t="str">
        <f t="shared" si="11"/>
        <v>13-01</v>
      </c>
      <c r="E204" s="1">
        <f>_xlfn.IFNA(VLOOKUP('Comp X - UP'!B204,'Urban Plastix Holds'!$I$36:$U$498,9,0),0)</f>
        <v>5</v>
      </c>
      <c r="G204" s="2">
        <f t="shared" si="9"/>
        <v>0</v>
      </c>
      <c r="H204" s="2">
        <f t="shared" si="10"/>
        <v>0</v>
      </c>
    </row>
    <row r="205" spans="2:8">
      <c r="B205" t="s">
        <v>1370</v>
      </c>
      <c r="C205" t="s">
        <v>1623</v>
      </c>
      <c r="D205" s="10" t="str">
        <f t="shared" si="11"/>
        <v>07-13</v>
      </c>
      <c r="E205" s="1">
        <f>_xlfn.IFNA(VLOOKUP('Comp X - UP'!B205,'Urban Plastix Holds'!$I$36:$U$498,10,0),0)</f>
        <v>0</v>
      </c>
      <c r="G205" s="2">
        <f t="shared" si="9"/>
        <v>0</v>
      </c>
      <c r="H205" s="2">
        <f t="shared" si="10"/>
        <v>0</v>
      </c>
    </row>
    <row r="206" spans="2:8">
      <c r="B206" t="s">
        <v>1370</v>
      </c>
      <c r="C206" t="s">
        <v>1623</v>
      </c>
      <c r="D206" s="11" t="str">
        <f t="shared" si="11"/>
        <v>11-25</v>
      </c>
      <c r="E206" s="1">
        <f>_xlfn.IFNA(VLOOKUP('Comp X - UP'!B206,'Urban Plastix Holds'!$I$36:$U$498,11,0),0)</f>
        <v>0</v>
      </c>
      <c r="G206" s="2">
        <f t="shared" si="9"/>
        <v>0</v>
      </c>
      <c r="H206" s="2">
        <f t="shared" si="10"/>
        <v>0</v>
      </c>
    </row>
    <row r="207" spans="2:8">
      <c r="B207" t="s">
        <v>1370</v>
      </c>
      <c r="C207" t="s">
        <v>1623</v>
      </c>
      <c r="D207" s="13" t="str">
        <f t="shared" si="11"/>
        <v>18-01</v>
      </c>
      <c r="E207" s="1">
        <f>_xlfn.IFNA(VLOOKUP('Comp X - UP'!B207,'Urban Plastix Holds'!$I$36:$U$498,12,0),0)</f>
        <v>5</v>
      </c>
      <c r="G207" s="2">
        <f t="shared" si="9"/>
        <v>0</v>
      </c>
      <c r="H207" s="2">
        <f t="shared" si="10"/>
        <v>0</v>
      </c>
    </row>
    <row r="208" spans="2:8">
      <c r="B208" t="s">
        <v>1370</v>
      </c>
      <c r="C208" t="s">
        <v>1623</v>
      </c>
      <c r="D208" s="12" t="str">
        <f t="shared" si="11"/>
        <v>12-01</v>
      </c>
      <c r="E208" s="1">
        <f>_xlfn.IFNA(VLOOKUP('Comp X - UP'!B208,'Urban Plastix Holds'!$I$36:$U$498,13,0),0)</f>
        <v>0</v>
      </c>
      <c r="G208" s="2">
        <f t="shared" si="9"/>
        <v>0</v>
      </c>
      <c r="H208" s="2">
        <f t="shared" si="10"/>
        <v>0</v>
      </c>
    </row>
    <row r="209" spans="2:8">
      <c r="B209" t="s">
        <v>1371</v>
      </c>
      <c r="C209" t="s">
        <v>1624</v>
      </c>
      <c r="D209" s="5" t="str">
        <f t="shared" si="11"/>
        <v>11-12</v>
      </c>
      <c r="E209" s="1">
        <f>_xlfn.IFNA(VLOOKUP('Comp X - UP'!B209,'Urban Plastix Holds'!$I$36:$U$498,5,0),0)</f>
        <v>0</v>
      </c>
      <c r="G209" s="2">
        <f t="shared" si="9"/>
        <v>0</v>
      </c>
      <c r="H209" s="2">
        <f t="shared" si="10"/>
        <v>0</v>
      </c>
    </row>
    <row r="210" spans="2:8">
      <c r="B210" t="s">
        <v>1371</v>
      </c>
      <c r="C210" t="s">
        <v>1624</v>
      </c>
      <c r="D210" s="6" t="str">
        <f t="shared" si="11"/>
        <v>14-01</v>
      </c>
      <c r="E210" s="1">
        <f>_xlfn.IFNA(VLOOKUP('Comp X - UP'!B210,'Urban Plastix Holds'!$I$36:$U$498,6,0),0)</f>
        <v>0</v>
      </c>
      <c r="G210" s="2">
        <f t="shared" si="9"/>
        <v>0</v>
      </c>
      <c r="H210" s="2">
        <f t="shared" si="10"/>
        <v>0</v>
      </c>
    </row>
    <row r="211" spans="2:8">
      <c r="B211" t="s">
        <v>1371</v>
      </c>
      <c r="C211" t="s">
        <v>1624</v>
      </c>
      <c r="D211" s="7" t="str">
        <f t="shared" si="11"/>
        <v>15-12</v>
      </c>
      <c r="E211" s="1">
        <f>_xlfn.IFNA(VLOOKUP('Comp X - UP'!B211,'Urban Plastix Holds'!$I$36:$U$498,7,0),0)</f>
        <v>3</v>
      </c>
      <c r="G211" s="2">
        <f t="shared" si="9"/>
        <v>0</v>
      </c>
      <c r="H211" s="2">
        <f t="shared" si="10"/>
        <v>0</v>
      </c>
    </row>
    <row r="212" spans="2:8">
      <c r="B212" t="s">
        <v>1371</v>
      </c>
      <c r="C212" t="s">
        <v>1624</v>
      </c>
      <c r="D212" s="8" t="str">
        <f t="shared" si="11"/>
        <v>16-16</v>
      </c>
      <c r="E212" s="1">
        <f>_xlfn.IFNA(VLOOKUP('Comp X - UP'!B212,'Urban Plastix Holds'!$I$36:$U$498,8,0),0)</f>
        <v>0</v>
      </c>
      <c r="G212" s="2">
        <f t="shared" si="9"/>
        <v>0</v>
      </c>
      <c r="H212" s="2">
        <f t="shared" si="10"/>
        <v>0</v>
      </c>
    </row>
    <row r="213" spans="2:8">
      <c r="B213" t="s">
        <v>1371</v>
      </c>
      <c r="C213" t="s">
        <v>1624</v>
      </c>
      <c r="D213" s="9" t="str">
        <f t="shared" si="11"/>
        <v>13-01</v>
      </c>
      <c r="E213" s="1">
        <f>_xlfn.IFNA(VLOOKUP('Comp X - UP'!B213,'Urban Plastix Holds'!$I$36:$U$498,9,0),0)</f>
        <v>7</v>
      </c>
      <c r="G213" s="2">
        <f t="shared" si="9"/>
        <v>0</v>
      </c>
      <c r="H213" s="2">
        <f t="shared" si="10"/>
        <v>0</v>
      </c>
    </row>
    <row r="214" spans="2:8">
      <c r="B214" t="s">
        <v>1371</v>
      </c>
      <c r="C214" t="s">
        <v>1624</v>
      </c>
      <c r="D214" s="10" t="str">
        <f t="shared" si="11"/>
        <v>07-13</v>
      </c>
      <c r="E214" s="1">
        <f>_xlfn.IFNA(VLOOKUP('Comp X - UP'!B214,'Urban Plastix Holds'!$I$36:$U$498,10,0),0)</f>
        <v>0</v>
      </c>
      <c r="G214" s="2">
        <f t="shared" si="9"/>
        <v>0</v>
      </c>
      <c r="H214" s="2">
        <f t="shared" si="10"/>
        <v>0</v>
      </c>
    </row>
    <row r="215" spans="2:8">
      <c r="B215" t="s">
        <v>1371</v>
      </c>
      <c r="C215" t="s">
        <v>1624</v>
      </c>
      <c r="D215" s="11" t="str">
        <f t="shared" si="11"/>
        <v>11-25</v>
      </c>
      <c r="E215" s="1">
        <f>_xlfn.IFNA(VLOOKUP('Comp X - UP'!B215,'Urban Plastix Holds'!$I$36:$U$498,11,0),0)</f>
        <v>0</v>
      </c>
      <c r="G215" s="2">
        <f t="shared" si="9"/>
        <v>0</v>
      </c>
      <c r="H215" s="2">
        <f t="shared" si="10"/>
        <v>0</v>
      </c>
    </row>
    <row r="216" spans="2:8">
      <c r="B216" t="s">
        <v>1371</v>
      </c>
      <c r="C216" t="s">
        <v>1624</v>
      </c>
      <c r="D216" s="13" t="str">
        <f t="shared" si="11"/>
        <v>18-01</v>
      </c>
      <c r="E216" s="1">
        <f>_xlfn.IFNA(VLOOKUP('Comp X - UP'!B216,'Urban Plastix Holds'!$I$36:$U$498,12,0),0)</f>
        <v>5</v>
      </c>
      <c r="G216" s="2">
        <f t="shared" si="9"/>
        <v>0</v>
      </c>
      <c r="H216" s="2">
        <f t="shared" si="10"/>
        <v>0</v>
      </c>
    </row>
    <row r="217" spans="2:8">
      <c r="B217" t="s">
        <v>1371</v>
      </c>
      <c r="C217" t="s">
        <v>1624</v>
      </c>
      <c r="D217" s="12" t="str">
        <f t="shared" si="11"/>
        <v>12-01</v>
      </c>
      <c r="E217" s="1">
        <f>_xlfn.IFNA(VLOOKUP('Comp X - UP'!B217,'Urban Plastix Holds'!$I$36:$U$498,13,0),0)</f>
        <v>0</v>
      </c>
      <c r="G217" s="2">
        <f t="shared" si="9"/>
        <v>0</v>
      </c>
      <c r="H217" s="2">
        <f t="shared" si="10"/>
        <v>0</v>
      </c>
    </row>
    <row r="218" spans="2:8">
      <c r="B218" t="s">
        <v>1372</v>
      </c>
      <c r="C218" t="s">
        <v>1625</v>
      </c>
      <c r="D218" s="5" t="str">
        <f t="shared" si="11"/>
        <v>11-12</v>
      </c>
      <c r="E218" s="1">
        <f>_xlfn.IFNA(VLOOKUP('Comp X - UP'!B218,'Urban Plastix Holds'!$I$36:$U$498,5,0),0)</f>
        <v>0</v>
      </c>
      <c r="G218" s="2">
        <f t="shared" si="9"/>
        <v>0</v>
      </c>
      <c r="H218" s="2">
        <f t="shared" si="10"/>
        <v>0</v>
      </c>
    </row>
    <row r="219" spans="2:8">
      <c r="B219" t="s">
        <v>1372</v>
      </c>
      <c r="C219" t="s">
        <v>1625</v>
      </c>
      <c r="D219" s="6" t="str">
        <f t="shared" si="11"/>
        <v>14-01</v>
      </c>
      <c r="E219" s="1">
        <f>_xlfn.IFNA(VLOOKUP('Comp X - UP'!B219,'Urban Plastix Holds'!$I$36:$U$498,6,0),0)</f>
        <v>0</v>
      </c>
      <c r="G219" s="2">
        <f t="shared" si="9"/>
        <v>0</v>
      </c>
      <c r="H219" s="2">
        <f t="shared" si="10"/>
        <v>0</v>
      </c>
    </row>
    <row r="220" spans="2:8">
      <c r="B220" t="s">
        <v>1372</v>
      </c>
      <c r="C220" t="s">
        <v>1625</v>
      </c>
      <c r="D220" s="7" t="str">
        <f t="shared" si="11"/>
        <v>15-12</v>
      </c>
      <c r="E220" s="1">
        <f>_xlfn.IFNA(VLOOKUP('Comp X - UP'!B220,'Urban Plastix Holds'!$I$36:$U$498,7,0),0)</f>
        <v>3</v>
      </c>
      <c r="G220" s="2">
        <f t="shared" si="9"/>
        <v>0</v>
      </c>
      <c r="H220" s="2">
        <f t="shared" si="10"/>
        <v>0</v>
      </c>
    </row>
    <row r="221" spans="2:8">
      <c r="B221" t="s">
        <v>1372</v>
      </c>
      <c r="C221" t="s">
        <v>1625</v>
      </c>
      <c r="D221" s="8" t="str">
        <f t="shared" si="11"/>
        <v>16-16</v>
      </c>
      <c r="E221" s="1">
        <f>_xlfn.IFNA(VLOOKUP('Comp X - UP'!B221,'Urban Plastix Holds'!$I$36:$U$498,8,0),0)</f>
        <v>0</v>
      </c>
      <c r="G221" s="2">
        <f t="shared" si="9"/>
        <v>0</v>
      </c>
      <c r="H221" s="2">
        <f t="shared" si="10"/>
        <v>0</v>
      </c>
    </row>
    <row r="222" spans="2:8">
      <c r="B222" t="s">
        <v>1372</v>
      </c>
      <c r="C222" t="s">
        <v>1625</v>
      </c>
      <c r="D222" s="9" t="str">
        <f t="shared" si="11"/>
        <v>13-01</v>
      </c>
      <c r="E222" s="1">
        <f>_xlfn.IFNA(VLOOKUP('Comp X - UP'!B222,'Urban Plastix Holds'!$I$36:$U$498,9,0),0)</f>
        <v>3</v>
      </c>
      <c r="G222" s="2">
        <f t="shared" si="9"/>
        <v>0</v>
      </c>
      <c r="H222" s="2">
        <f t="shared" si="10"/>
        <v>0</v>
      </c>
    </row>
    <row r="223" spans="2:8">
      <c r="B223" t="s">
        <v>1372</v>
      </c>
      <c r="C223" t="s">
        <v>1625</v>
      </c>
      <c r="D223" s="10" t="str">
        <f t="shared" si="11"/>
        <v>07-13</v>
      </c>
      <c r="E223" s="1">
        <f>_xlfn.IFNA(VLOOKUP('Comp X - UP'!B223,'Urban Plastix Holds'!$I$36:$U$498,10,0),0)</f>
        <v>0</v>
      </c>
      <c r="G223" s="2">
        <f t="shared" si="9"/>
        <v>0</v>
      </c>
      <c r="H223" s="2">
        <f t="shared" si="10"/>
        <v>0</v>
      </c>
    </row>
    <row r="224" spans="2:8">
      <c r="B224" t="s">
        <v>1372</v>
      </c>
      <c r="C224" t="s">
        <v>1625</v>
      </c>
      <c r="D224" s="11" t="str">
        <f t="shared" si="11"/>
        <v>11-25</v>
      </c>
      <c r="E224" s="1">
        <f>_xlfn.IFNA(VLOOKUP('Comp X - UP'!B224,'Urban Plastix Holds'!$I$36:$U$498,11,0),0)</f>
        <v>0</v>
      </c>
      <c r="G224" s="2">
        <f t="shared" si="9"/>
        <v>0</v>
      </c>
      <c r="H224" s="2">
        <f t="shared" si="10"/>
        <v>0</v>
      </c>
    </row>
    <row r="225" spans="2:8">
      <c r="B225" t="s">
        <v>1372</v>
      </c>
      <c r="C225" t="s">
        <v>1625</v>
      </c>
      <c r="D225" s="13" t="str">
        <f t="shared" si="11"/>
        <v>18-01</v>
      </c>
      <c r="E225" s="1">
        <f>_xlfn.IFNA(VLOOKUP('Comp X - UP'!B225,'Urban Plastix Holds'!$I$36:$U$498,12,0),0)</f>
        <v>5</v>
      </c>
      <c r="G225" s="2">
        <f t="shared" si="9"/>
        <v>0</v>
      </c>
      <c r="H225" s="2">
        <f t="shared" si="10"/>
        <v>0</v>
      </c>
    </row>
    <row r="226" spans="2:8">
      <c r="B226" t="s">
        <v>1372</v>
      </c>
      <c r="C226" t="s">
        <v>1625</v>
      </c>
      <c r="D226" s="12" t="str">
        <f t="shared" si="11"/>
        <v>12-01</v>
      </c>
      <c r="E226" s="1">
        <f>_xlfn.IFNA(VLOOKUP('Comp X - UP'!B226,'Urban Plastix Holds'!$I$36:$U$498,13,0),0)</f>
        <v>0</v>
      </c>
      <c r="G226" s="2">
        <f t="shared" si="9"/>
        <v>0</v>
      </c>
      <c r="H226" s="2">
        <f t="shared" si="10"/>
        <v>0</v>
      </c>
    </row>
    <row r="227" spans="2:8">
      <c r="B227" t="s">
        <v>1373</v>
      </c>
      <c r="C227" t="s">
        <v>1626</v>
      </c>
      <c r="D227" s="5" t="str">
        <f t="shared" si="11"/>
        <v>11-12</v>
      </c>
      <c r="E227" s="1">
        <f>_xlfn.IFNA(VLOOKUP('Comp X - UP'!B227,'Urban Plastix Holds'!$I$36:$U$498,5,0),0)</f>
        <v>0</v>
      </c>
      <c r="G227" s="2">
        <f t="shared" si="9"/>
        <v>0</v>
      </c>
      <c r="H227" s="2">
        <f t="shared" si="10"/>
        <v>0</v>
      </c>
    </row>
    <row r="228" spans="2:8">
      <c r="B228" t="s">
        <v>1373</v>
      </c>
      <c r="C228" t="s">
        <v>1626</v>
      </c>
      <c r="D228" s="6" t="str">
        <f t="shared" si="11"/>
        <v>14-01</v>
      </c>
      <c r="E228" s="1">
        <f>_xlfn.IFNA(VLOOKUP('Comp X - UP'!B228,'Urban Plastix Holds'!$I$36:$U$498,6,0),0)</f>
        <v>0</v>
      </c>
      <c r="G228" s="2">
        <f t="shared" si="9"/>
        <v>0</v>
      </c>
      <c r="H228" s="2">
        <f t="shared" si="10"/>
        <v>0</v>
      </c>
    </row>
    <row r="229" spans="2:8">
      <c r="B229" t="s">
        <v>1373</v>
      </c>
      <c r="C229" t="s">
        <v>1626</v>
      </c>
      <c r="D229" s="7" t="str">
        <f t="shared" si="11"/>
        <v>15-12</v>
      </c>
      <c r="E229" s="1">
        <f>_xlfn.IFNA(VLOOKUP('Comp X - UP'!B229,'Urban Plastix Holds'!$I$36:$U$498,7,0),0)</f>
        <v>2</v>
      </c>
      <c r="G229" s="2">
        <f t="shared" si="9"/>
        <v>0</v>
      </c>
      <c r="H229" s="2">
        <f t="shared" si="10"/>
        <v>0</v>
      </c>
    </row>
    <row r="230" spans="2:8">
      <c r="B230" t="s">
        <v>1373</v>
      </c>
      <c r="C230" t="s">
        <v>1626</v>
      </c>
      <c r="D230" s="8" t="str">
        <f t="shared" si="11"/>
        <v>16-16</v>
      </c>
      <c r="E230" s="1">
        <f>_xlfn.IFNA(VLOOKUP('Comp X - UP'!B230,'Urban Plastix Holds'!$I$36:$U$498,8,0),0)</f>
        <v>0</v>
      </c>
      <c r="G230" s="2">
        <f t="shared" si="9"/>
        <v>0</v>
      </c>
      <c r="H230" s="2">
        <f t="shared" si="10"/>
        <v>0</v>
      </c>
    </row>
    <row r="231" spans="2:8">
      <c r="B231" t="s">
        <v>1373</v>
      </c>
      <c r="C231" t="s">
        <v>1626</v>
      </c>
      <c r="D231" s="9" t="str">
        <f t="shared" si="11"/>
        <v>13-01</v>
      </c>
      <c r="E231" s="1">
        <f>_xlfn.IFNA(VLOOKUP('Comp X - UP'!B231,'Urban Plastix Holds'!$I$36:$U$498,9,0),0)</f>
        <v>7</v>
      </c>
      <c r="G231" s="2">
        <f t="shared" si="9"/>
        <v>0</v>
      </c>
      <c r="H231" s="2">
        <f t="shared" si="10"/>
        <v>0</v>
      </c>
    </row>
    <row r="232" spans="2:8">
      <c r="B232" t="s">
        <v>1373</v>
      </c>
      <c r="C232" t="s">
        <v>1626</v>
      </c>
      <c r="D232" s="10" t="str">
        <f t="shared" si="11"/>
        <v>07-13</v>
      </c>
      <c r="E232" s="1">
        <f>_xlfn.IFNA(VLOOKUP('Comp X - UP'!B232,'Urban Plastix Holds'!$I$36:$U$498,10,0),0)</f>
        <v>0</v>
      </c>
      <c r="G232" s="2">
        <f t="shared" si="9"/>
        <v>0</v>
      </c>
      <c r="H232" s="2">
        <f t="shared" si="10"/>
        <v>0</v>
      </c>
    </row>
    <row r="233" spans="2:8">
      <c r="B233" t="s">
        <v>1373</v>
      </c>
      <c r="C233" t="s">
        <v>1626</v>
      </c>
      <c r="D233" s="11" t="str">
        <f t="shared" si="11"/>
        <v>11-25</v>
      </c>
      <c r="E233" s="1">
        <f>_xlfn.IFNA(VLOOKUP('Comp X - UP'!B233,'Urban Plastix Holds'!$I$36:$U$498,11,0),0)</f>
        <v>0</v>
      </c>
      <c r="G233" s="2">
        <f t="shared" si="9"/>
        <v>0</v>
      </c>
      <c r="H233" s="2">
        <f t="shared" si="10"/>
        <v>0</v>
      </c>
    </row>
    <row r="234" spans="2:8">
      <c r="B234" t="s">
        <v>1373</v>
      </c>
      <c r="C234" t="s">
        <v>1626</v>
      </c>
      <c r="D234" s="13" t="str">
        <f t="shared" si="11"/>
        <v>18-01</v>
      </c>
      <c r="E234" s="1">
        <f>_xlfn.IFNA(VLOOKUP('Comp X - UP'!B234,'Urban Plastix Holds'!$I$36:$U$498,12,0),0)</f>
        <v>5</v>
      </c>
      <c r="G234" s="2">
        <f t="shared" si="9"/>
        <v>0</v>
      </c>
      <c r="H234" s="2">
        <f t="shared" si="10"/>
        <v>0</v>
      </c>
    </row>
    <row r="235" spans="2:8">
      <c r="B235" t="s">
        <v>1373</v>
      </c>
      <c r="C235" t="s">
        <v>1626</v>
      </c>
      <c r="D235" s="12" t="str">
        <f t="shared" si="11"/>
        <v>12-01</v>
      </c>
      <c r="E235" s="1">
        <f>_xlfn.IFNA(VLOOKUP('Comp X - UP'!B235,'Urban Plastix Holds'!$I$36:$U$498,13,0),0)</f>
        <v>0</v>
      </c>
      <c r="G235" s="2">
        <f t="shared" si="9"/>
        <v>0</v>
      </c>
      <c r="H235" s="2">
        <f t="shared" si="10"/>
        <v>0</v>
      </c>
    </row>
    <row r="236" spans="2:8">
      <c r="B236" t="s">
        <v>1374</v>
      </c>
      <c r="C236" t="s">
        <v>1627</v>
      </c>
      <c r="D236" s="5" t="str">
        <f t="shared" si="11"/>
        <v>11-12</v>
      </c>
      <c r="E236" s="1">
        <f>_xlfn.IFNA(VLOOKUP('Comp X - UP'!B236,'Urban Plastix Holds'!$I$36:$U$498,5,0),0)</f>
        <v>0</v>
      </c>
      <c r="G236" s="2">
        <f t="shared" si="9"/>
        <v>0</v>
      </c>
      <c r="H236" s="2">
        <f t="shared" si="10"/>
        <v>0</v>
      </c>
    </row>
    <row r="237" spans="2:8">
      <c r="B237" t="s">
        <v>1374</v>
      </c>
      <c r="C237" t="s">
        <v>1627</v>
      </c>
      <c r="D237" s="6" t="str">
        <f t="shared" si="11"/>
        <v>14-01</v>
      </c>
      <c r="E237" s="1">
        <f>_xlfn.IFNA(VLOOKUP('Comp X - UP'!B237,'Urban Plastix Holds'!$I$36:$U$498,6,0),0)</f>
        <v>0</v>
      </c>
      <c r="G237" s="2">
        <f t="shared" si="9"/>
        <v>0</v>
      </c>
      <c r="H237" s="2">
        <f t="shared" si="10"/>
        <v>0</v>
      </c>
    </row>
    <row r="238" spans="2:8">
      <c r="B238" t="s">
        <v>1374</v>
      </c>
      <c r="C238" t="s">
        <v>1627</v>
      </c>
      <c r="D238" s="7" t="str">
        <f t="shared" si="11"/>
        <v>15-12</v>
      </c>
      <c r="E238" s="1">
        <f>_xlfn.IFNA(VLOOKUP('Comp X - UP'!B238,'Urban Plastix Holds'!$I$36:$U$498,7,0),0)</f>
        <v>2</v>
      </c>
      <c r="G238" s="2">
        <f t="shared" si="9"/>
        <v>0</v>
      </c>
      <c r="H238" s="2">
        <f t="shared" si="10"/>
        <v>0</v>
      </c>
    </row>
    <row r="239" spans="2:8">
      <c r="B239" t="s">
        <v>1374</v>
      </c>
      <c r="C239" t="s">
        <v>1627</v>
      </c>
      <c r="D239" s="8" t="str">
        <f t="shared" si="11"/>
        <v>16-16</v>
      </c>
      <c r="E239" s="1">
        <f>_xlfn.IFNA(VLOOKUP('Comp X - UP'!B239,'Urban Plastix Holds'!$I$36:$U$498,8,0),0)</f>
        <v>0</v>
      </c>
      <c r="G239" s="2">
        <f t="shared" si="9"/>
        <v>0</v>
      </c>
      <c r="H239" s="2">
        <f t="shared" si="10"/>
        <v>0</v>
      </c>
    </row>
    <row r="240" spans="2:8">
      <c r="B240" t="s">
        <v>1374</v>
      </c>
      <c r="C240" t="s">
        <v>1627</v>
      </c>
      <c r="D240" s="9" t="str">
        <f t="shared" si="11"/>
        <v>13-01</v>
      </c>
      <c r="E240" s="1">
        <f>_xlfn.IFNA(VLOOKUP('Comp X - UP'!B240,'Urban Plastix Holds'!$I$36:$U$498,9,0),0)</f>
        <v>6</v>
      </c>
      <c r="G240" s="2">
        <f t="shared" si="9"/>
        <v>0</v>
      </c>
      <c r="H240" s="2">
        <f t="shared" si="10"/>
        <v>0</v>
      </c>
    </row>
    <row r="241" spans="2:8">
      <c r="B241" t="s">
        <v>1374</v>
      </c>
      <c r="C241" t="s">
        <v>1627</v>
      </c>
      <c r="D241" s="10" t="str">
        <f t="shared" si="11"/>
        <v>07-13</v>
      </c>
      <c r="E241" s="1">
        <f>_xlfn.IFNA(VLOOKUP('Comp X - UP'!B241,'Urban Plastix Holds'!$I$36:$U$498,10,0),0)</f>
        <v>0</v>
      </c>
      <c r="G241" s="2">
        <f t="shared" si="9"/>
        <v>0</v>
      </c>
      <c r="H241" s="2">
        <f t="shared" si="10"/>
        <v>0</v>
      </c>
    </row>
    <row r="242" spans="2:8">
      <c r="B242" t="s">
        <v>1374</v>
      </c>
      <c r="C242" t="s">
        <v>1627</v>
      </c>
      <c r="D242" s="11" t="str">
        <f t="shared" si="11"/>
        <v>11-25</v>
      </c>
      <c r="E242" s="1">
        <f>_xlfn.IFNA(VLOOKUP('Comp X - UP'!B242,'Urban Plastix Holds'!$I$36:$U$498,11,0),0)</f>
        <v>0</v>
      </c>
      <c r="G242" s="2">
        <f t="shared" si="9"/>
        <v>0</v>
      </c>
      <c r="H242" s="2">
        <f t="shared" si="10"/>
        <v>0</v>
      </c>
    </row>
    <row r="243" spans="2:8">
      <c r="B243" t="s">
        <v>1374</v>
      </c>
      <c r="C243" t="s">
        <v>1627</v>
      </c>
      <c r="D243" s="13" t="str">
        <f t="shared" si="11"/>
        <v>18-01</v>
      </c>
      <c r="E243" s="1">
        <f>_xlfn.IFNA(VLOOKUP('Comp X - UP'!B243,'Urban Plastix Holds'!$I$36:$U$498,12,0),0)</f>
        <v>5</v>
      </c>
      <c r="G243" s="2">
        <f t="shared" si="9"/>
        <v>0</v>
      </c>
      <c r="H243" s="2">
        <f t="shared" si="10"/>
        <v>0</v>
      </c>
    </row>
    <row r="244" spans="2:8">
      <c r="B244" t="s">
        <v>1374</v>
      </c>
      <c r="C244" t="s">
        <v>1627</v>
      </c>
      <c r="D244" s="12" t="str">
        <f t="shared" si="11"/>
        <v>12-01</v>
      </c>
      <c r="E244" s="1">
        <f>_xlfn.IFNA(VLOOKUP('Comp X - UP'!B244,'Urban Plastix Holds'!$I$36:$U$498,13,0),0)</f>
        <v>0</v>
      </c>
      <c r="G244" s="2">
        <f t="shared" si="9"/>
        <v>0</v>
      </c>
      <c r="H244" s="2">
        <f t="shared" si="10"/>
        <v>0</v>
      </c>
    </row>
    <row r="245" spans="2:8">
      <c r="B245" t="s">
        <v>1376</v>
      </c>
      <c r="C245" t="s">
        <v>1628</v>
      </c>
      <c r="D245" s="5" t="str">
        <f t="shared" si="11"/>
        <v>11-12</v>
      </c>
      <c r="E245" s="1">
        <f>_xlfn.IFNA(VLOOKUP('Comp X - UP'!B245,'Urban Plastix Holds'!$I$36:$U$498,5,0),0)</f>
        <v>0</v>
      </c>
      <c r="G245" s="2">
        <f t="shared" si="9"/>
        <v>0</v>
      </c>
      <c r="H245" s="2">
        <f t="shared" si="10"/>
        <v>0</v>
      </c>
    </row>
    <row r="246" spans="2:8">
      <c r="B246" t="s">
        <v>1376</v>
      </c>
      <c r="C246" t="s">
        <v>1628</v>
      </c>
      <c r="D246" s="6" t="str">
        <f t="shared" si="11"/>
        <v>14-01</v>
      </c>
      <c r="E246" s="1">
        <f>_xlfn.IFNA(VLOOKUP('Comp X - UP'!B246,'Urban Plastix Holds'!$I$36:$U$498,6,0),0)</f>
        <v>0</v>
      </c>
      <c r="G246" s="2">
        <f t="shared" si="9"/>
        <v>0</v>
      </c>
      <c r="H246" s="2">
        <f t="shared" si="10"/>
        <v>0</v>
      </c>
    </row>
    <row r="247" spans="2:8">
      <c r="B247" t="s">
        <v>1376</v>
      </c>
      <c r="C247" t="s">
        <v>1628</v>
      </c>
      <c r="D247" s="7" t="str">
        <f t="shared" si="11"/>
        <v>15-12</v>
      </c>
      <c r="E247" s="1">
        <f>_xlfn.IFNA(VLOOKUP('Comp X - UP'!B247,'Urban Plastix Holds'!$I$36:$U$498,7,0),0)</f>
        <v>3</v>
      </c>
      <c r="G247" s="2">
        <f t="shared" si="9"/>
        <v>0</v>
      </c>
      <c r="H247" s="2">
        <f t="shared" si="10"/>
        <v>0</v>
      </c>
    </row>
    <row r="248" spans="2:8">
      <c r="B248" t="s">
        <v>1376</v>
      </c>
      <c r="C248" t="s">
        <v>1628</v>
      </c>
      <c r="D248" s="8" t="str">
        <f t="shared" si="11"/>
        <v>16-16</v>
      </c>
      <c r="E248" s="1">
        <f>_xlfn.IFNA(VLOOKUP('Comp X - UP'!B248,'Urban Plastix Holds'!$I$36:$U$498,8,0),0)</f>
        <v>0</v>
      </c>
      <c r="G248" s="2">
        <f t="shared" si="9"/>
        <v>0</v>
      </c>
      <c r="H248" s="2">
        <f t="shared" si="10"/>
        <v>0</v>
      </c>
    </row>
    <row r="249" spans="2:8">
      <c r="B249" t="s">
        <v>1376</v>
      </c>
      <c r="C249" t="s">
        <v>1628</v>
      </c>
      <c r="D249" s="9" t="str">
        <f t="shared" si="11"/>
        <v>13-01</v>
      </c>
      <c r="E249" s="1">
        <f>_xlfn.IFNA(VLOOKUP('Comp X - UP'!B249,'Urban Plastix Holds'!$I$36:$U$498,9,0),0)</f>
        <v>7</v>
      </c>
      <c r="G249" s="2">
        <f t="shared" si="9"/>
        <v>0</v>
      </c>
      <c r="H249" s="2">
        <f t="shared" si="10"/>
        <v>0</v>
      </c>
    </row>
    <row r="250" spans="2:8">
      <c r="B250" t="s">
        <v>1376</v>
      </c>
      <c r="C250" t="s">
        <v>1628</v>
      </c>
      <c r="D250" s="10" t="str">
        <f t="shared" si="11"/>
        <v>07-13</v>
      </c>
      <c r="E250" s="1">
        <f>_xlfn.IFNA(VLOOKUP('Comp X - UP'!B250,'Urban Plastix Holds'!$I$36:$U$498,10,0),0)</f>
        <v>0</v>
      </c>
      <c r="G250" s="2">
        <f t="shared" si="9"/>
        <v>0</v>
      </c>
      <c r="H250" s="2">
        <f t="shared" si="10"/>
        <v>0</v>
      </c>
    </row>
    <row r="251" spans="2:8">
      <c r="B251" t="s">
        <v>1376</v>
      </c>
      <c r="C251" t="s">
        <v>1628</v>
      </c>
      <c r="D251" s="11" t="str">
        <f t="shared" si="11"/>
        <v>11-25</v>
      </c>
      <c r="E251" s="1">
        <f>_xlfn.IFNA(VLOOKUP('Comp X - UP'!B251,'Urban Plastix Holds'!$I$36:$U$498,11,0),0)</f>
        <v>0</v>
      </c>
      <c r="G251" s="2">
        <f t="shared" si="9"/>
        <v>0</v>
      </c>
      <c r="H251" s="2">
        <f t="shared" si="10"/>
        <v>0</v>
      </c>
    </row>
    <row r="252" spans="2:8">
      <c r="B252" t="s">
        <v>1376</v>
      </c>
      <c r="C252" t="s">
        <v>1628</v>
      </c>
      <c r="D252" s="13" t="str">
        <f t="shared" si="11"/>
        <v>18-01</v>
      </c>
      <c r="E252" s="1">
        <f>_xlfn.IFNA(VLOOKUP('Comp X - UP'!B252,'Urban Plastix Holds'!$I$36:$U$498,12,0),0)</f>
        <v>4</v>
      </c>
      <c r="G252" s="2">
        <f t="shared" si="9"/>
        <v>0</v>
      </c>
      <c r="H252" s="2">
        <f t="shared" si="10"/>
        <v>0</v>
      </c>
    </row>
    <row r="253" spans="2:8">
      <c r="B253" t="s">
        <v>1376</v>
      </c>
      <c r="C253" t="s">
        <v>1628</v>
      </c>
      <c r="D253" s="12" t="str">
        <f t="shared" si="11"/>
        <v>12-01</v>
      </c>
      <c r="E253" s="1">
        <f>_xlfn.IFNA(VLOOKUP('Comp X - UP'!B253,'Urban Plastix Holds'!$I$36:$U$498,13,0),0)</f>
        <v>0</v>
      </c>
      <c r="G253" s="2">
        <f t="shared" si="9"/>
        <v>0</v>
      </c>
      <c r="H253" s="2">
        <f t="shared" si="10"/>
        <v>0</v>
      </c>
    </row>
    <row r="254" spans="2:8">
      <c r="B254" t="s">
        <v>1377</v>
      </c>
      <c r="C254" t="s">
        <v>1629</v>
      </c>
      <c r="D254" s="5" t="str">
        <f t="shared" si="11"/>
        <v>11-12</v>
      </c>
      <c r="E254" s="1">
        <f>_xlfn.IFNA(VLOOKUP('Comp X - UP'!B254,'Urban Plastix Holds'!$I$36:$U$498,5,0),0)</f>
        <v>0</v>
      </c>
      <c r="G254" s="2">
        <f t="shared" si="9"/>
        <v>0</v>
      </c>
      <c r="H254" s="2">
        <f t="shared" si="10"/>
        <v>0</v>
      </c>
    </row>
    <row r="255" spans="2:8">
      <c r="B255" t="s">
        <v>1377</v>
      </c>
      <c r="C255" t="s">
        <v>1629</v>
      </c>
      <c r="D255" s="6" t="str">
        <f t="shared" si="11"/>
        <v>14-01</v>
      </c>
      <c r="E255" s="1">
        <f>_xlfn.IFNA(VLOOKUP('Comp X - UP'!B255,'Urban Plastix Holds'!$I$36:$U$498,6,0),0)</f>
        <v>0</v>
      </c>
      <c r="G255" s="2">
        <f t="shared" si="9"/>
        <v>0</v>
      </c>
      <c r="H255" s="2">
        <f t="shared" si="10"/>
        <v>0</v>
      </c>
    </row>
    <row r="256" spans="2:8">
      <c r="B256" t="s">
        <v>1377</v>
      </c>
      <c r="C256" t="s">
        <v>1629</v>
      </c>
      <c r="D256" s="7" t="str">
        <f t="shared" si="11"/>
        <v>15-12</v>
      </c>
      <c r="E256" s="1">
        <f>_xlfn.IFNA(VLOOKUP('Comp X - UP'!B256,'Urban Plastix Holds'!$I$36:$U$498,7,0),0)</f>
        <v>2</v>
      </c>
      <c r="G256" s="2">
        <f t="shared" si="9"/>
        <v>0</v>
      </c>
      <c r="H256" s="2">
        <f t="shared" si="10"/>
        <v>0</v>
      </c>
    </row>
    <row r="257" spans="2:8">
      <c r="B257" t="s">
        <v>1377</v>
      </c>
      <c r="C257" t="s">
        <v>1629</v>
      </c>
      <c r="D257" s="8" t="str">
        <f t="shared" si="11"/>
        <v>16-16</v>
      </c>
      <c r="E257" s="1">
        <f>_xlfn.IFNA(VLOOKUP('Comp X - UP'!B257,'Urban Plastix Holds'!$I$36:$U$498,8,0),0)</f>
        <v>0</v>
      </c>
      <c r="G257" s="2">
        <f t="shared" si="9"/>
        <v>0</v>
      </c>
      <c r="H257" s="2">
        <f t="shared" si="10"/>
        <v>0</v>
      </c>
    </row>
    <row r="258" spans="2:8">
      <c r="B258" t="s">
        <v>1377</v>
      </c>
      <c r="C258" t="s">
        <v>1629</v>
      </c>
      <c r="D258" s="9" t="str">
        <f t="shared" si="11"/>
        <v>13-01</v>
      </c>
      <c r="E258" s="1">
        <f>_xlfn.IFNA(VLOOKUP('Comp X - UP'!B258,'Urban Plastix Holds'!$I$36:$U$498,9,0),0)</f>
        <v>7</v>
      </c>
      <c r="G258" s="2">
        <f t="shared" si="9"/>
        <v>0</v>
      </c>
      <c r="H258" s="2">
        <f t="shared" si="10"/>
        <v>0</v>
      </c>
    </row>
    <row r="259" spans="2:8">
      <c r="B259" t="s">
        <v>1377</v>
      </c>
      <c r="C259" t="s">
        <v>1629</v>
      </c>
      <c r="D259" s="10" t="str">
        <f t="shared" si="11"/>
        <v>07-13</v>
      </c>
      <c r="E259" s="1">
        <f>_xlfn.IFNA(VLOOKUP('Comp X - UP'!B259,'Urban Plastix Holds'!$I$36:$U$498,10,0),0)</f>
        <v>0</v>
      </c>
      <c r="G259" s="2">
        <f t="shared" ref="G259:G322" si="12">E259*F259</f>
        <v>0</v>
      </c>
      <c r="H259" s="2">
        <f t="shared" ref="H259:H322" si="13">IF($S$11="Y",G259*0.15,0)</f>
        <v>0</v>
      </c>
    </row>
    <row r="260" spans="2:8">
      <c r="B260" t="s">
        <v>1377</v>
      </c>
      <c r="C260" t="s">
        <v>1629</v>
      </c>
      <c r="D260" s="11" t="str">
        <f t="shared" si="11"/>
        <v>11-25</v>
      </c>
      <c r="E260" s="1">
        <f>_xlfn.IFNA(VLOOKUP('Comp X - UP'!B260,'Urban Plastix Holds'!$I$36:$U$498,11,0),0)</f>
        <v>0</v>
      </c>
      <c r="G260" s="2">
        <f t="shared" si="12"/>
        <v>0</v>
      </c>
      <c r="H260" s="2">
        <f t="shared" si="13"/>
        <v>0</v>
      </c>
    </row>
    <row r="261" spans="2:8">
      <c r="B261" t="s">
        <v>1377</v>
      </c>
      <c r="C261" t="s">
        <v>1629</v>
      </c>
      <c r="D261" s="13" t="str">
        <f t="shared" si="11"/>
        <v>18-01</v>
      </c>
      <c r="E261" s="1">
        <f>_xlfn.IFNA(VLOOKUP('Comp X - UP'!B261,'Urban Plastix Holds'!$I$36:$U$498,12,0),0)</f>
        <v>5</v>
      </c>
      <c r="G261" s="2">
        <f t="shared" si="12"/>
        <v>0</v>
      </c>
      <c r="H261" s="2">
        <f t="shared" si="13"/>
        <v>0</v>
      </c>
    </row>
    <row r="262" spans="2:8">
      <c r="B262" t="s">
        <v>1377</v>
      </c>
      <c r="C262" t="s">
        <v>1629</v>
      </c>
      <c r="D262" s="12" t="str">
        <f t="shared" si="11"/>
        <v>12-01</v>
      </c>
      <c r="E262" s="1">
        <f>_xlfn.IFNA(VLOOKUP('Comp X - UP'!B262,'Urban Plastix Holds'!$I$36:$U$498,13,0),0)</f>
        <v>0</v>
      </c>
      <c r="G262" s="2">
        <f t="shared" si="12"/>
        <v>0</v>
      </c>
      <c r="H262" s="2">
        <f t="shared" si="13"/>
        <v>0</v>
      </c>
    </row>
    <row r="263" spans="2:8">
      <c r="B263" t="s">
        <v>1379</v>
      </c>
      <c r="C263" t="s">
        <v>1630</v>
      </c>
      <c r="D263" s="5" t="str">
        <f t="shared" si="11"/>
        <v>11-12</v>
      </c>
      <c r="E263" s="1">
        <f>_xlfn.IFNA(VLOOKUP('Comp X - UP'!B263,'Urban Plastix Holds'!$I$36:$U$498,5,0),0)</f>
        <v>1</v>
      </c>
      <c r="G263" s="2">
        <f t="shared" si="12"/>
        <v>0</v>
      </c>
      <c r="H263" s="2">
        <f t="shared" si="13"/>
        <v>0</v>
      </c>
    </row>
    <row r="264" spans="2:8">
      <c r="B264" t="s">
        <v>1379</v>
      </c>
      <c r="C264" t="s">
        <v>1630</v>
      </c>
      <c r="D264" s="6" t="str">
        <f t="shared" si="11"/>
        <v>14-01</v>
      </c>
      <c r="E264" s="1">
        <f>_xlfn.IFNA(VLOOKUP('Comp X - UP'!B264,'Urban Plastix Holds'!$I$36:$U$498,6,0),0)</f>
        <v>0</v>
      </c>
      <c r="G264" s="2">
        <f t="shared" si="12"/>
        <v>0</v>
      </c>
      <c r="H264" s="2">
        <f t="shared" si="13"/>
        <v>0</v>
      </c>
    </row>
    <row r="265" spans="2:8">
      <c r="B265" t="s">
        <v>1379</v>
      </c>
      <c r="C265" t="s">
        <v>1630</v>
      </c>
      <c r="D265" s="7" t="str">
        <f t="shared" si="11"/>
        <v>15-12</v>
      </c>
      <c r="E265" s="1">
        <f>_xlfn.IFNA(VLOOKUP('Comp X - UP'!B265,'Urban Plastix Holds'!$I$36:$U$498,7,0),0)</f>
        <v>2</v>
      </c>
      <c r="G265" s="2">
        <f t="shared" si="12"/>
        <v>0</v>
      </c>
      <c r="H265" s="2">
        <f t="shared" si="13"/>
        <v>0</v>
      </c>
    </row>
    <row r="266" spans="2:8">
      <c r="B266" t="s">
        <v>1379</v>
      </c>
      <c r="C266" t="s">
        <v>1630</v>
      </c>
      <c r="D266" s="8" t="str">
        <f t="shared" si="11"/>
        <v>16-16</v>
      </c>
      <c r="E266" s="1">
        <f>_xlfn.IFNA(VLOOKUP('Comp X - UP'!B266,'Urban Plastix Holds'!$I$36:$U$498,8,0),0)</f>
        <v>0</v>
      </c>
      <c r="G266" s="2">
        <f t="shared" si="12"/>
        <v>0</v>
      </c>
      <c r="H266" s="2">
        <f t="shared" si="13"/>
        <v>0</v>
      </c>
    </row>
    <row r="267" spans="2:8">
      <c r="B267" t="s">
        <v>1379</v>
      </c>
      <c r="C267" t="s">
        <v>1630</v>
      </c>
      <c r="D267" s="9" t="str">
        <f t="shared" ref="D267:D330" si="14">D258</f>
        <v>13-01</v>
      </c>
      <c r="E267" s="1">
        <f>_xlfn.IFNA(VLOOKUP('Comp X - UP'!B267,'Urban Plastix Holds'!$I$36:$U$498,9,0),0)</f>
        <v>8</v>
      </c>
      <c r="G267" s="2">
        <f t="shared" si="12"/>
        <v>0</v>
      </c>
      <c r="H267" s="2">
        <f t="shared" si="13"/>
        <v>0</v>
      </c>
    </row>
    <row r="268" spans="2:8">
      <c r="B268" t="s">
        <v>1379</v>
      </c>
      <c r="C268" t="s">
        <v>1630</v>
      </c>
      <c r="D268" s="10" t="str">
        <f t="shared" si="14"/>
        <v>07-13</v>
      </c>
      <c r="E268" s="1">
        <f>_xlfn.IFNA(VLOOKUP('Comp X - UP'!B268,'Urban Plastix Holds'!$I$36:$U$498,10,0),0)</f>
        <v>0</v>
      </c>
      <c r="G268" s="2">
        <f t="shared" si="12"/>
        <v>0</v>
      </c>
      <c r="H268" s="2">
        <f t="shared" si="13"/>
        <v>0</v>
      </c>
    </row>
    <row r="269" spans="2:8">
      <c r="B269" t="s">
        <v>1379</v>
      </c>
      <c r="C269" t="s">
        <v>1630</v>
      </c>
      <c r="D269" s="11" t="str">
        <f t="shared" si="14"/>
        <v>11-25</v>
      </c>
      <c r="E269" s="1">
        <f>_xlfn.IFNA(VLOOKUP('Comp X - UP'!B269,'Urban Plastix Holds'!$I$36:$U$498,11,0),0)</f>
        <v>0</v>
      </c>
      <c r="G269" s="2">
        <f t="shared" si="12"/>
        <v>0</v>
      </c>
      <c r="H269" s="2">
        <f t="shared" si="13"/>
        <v>0</v>
      </c>
    </row>
    <row r="270" spans="2:8">
      <c r="B270" t="s">
        <v>1379</v>
      </c>
      <c r="C270" t="s">
        <v>1630</v>
      </c>
      <c r="D270" s="13" t="str">
        <f t="shared" si="14"/>
        <v>18-01</v>
      </c>
      <c r="E270" s="1">
        <f>_xlfn.IFNA(VLOOKUP('Comp X - UP'!B270,'Urban Plastix Holds'!$I$36:$U$498,12,0),0)</f>
        <v>5</v>
      </c>
      <c r="G270" s="2">
        <f t="shared" si="12"/>
        <v>0</v>
      </c>
      <c r="H270" s="2">
        <f t="shared" si="13"/>
        <v>0</v>
      </c>
    </row>
    <row r="271" spans="2:8">
      <c r="B271" t="s">
        <v>1379</v>
      </c>
      <c r="C271" t="s">
        <v>1630</v>
      </c>
      <c r="D271" s="12" t="str">
        <f t="shared" si="14"/>
        <v>12-01</v>
      </c>
      <c r="E271" s="1">
        <f>_xlfn.IFNA(VLOOKUP('Comp X - UP'!B271,'Urban Plastix Holds'!$I$36:$U$498,13,0),0)</f>
        <v>0</v>
      </c>
      <c r="G271" s="2">
        <f t="shared" si="12"/>
        <v>0</v>
      </c>
      <c r="H271" s="2">
        <f t="shared" si="13"/>
        <v>0</v>
      </c>
    </row>
    <row r="272" spans="2:8">
      <c r="B272" t="s">
        <v>1381</v>
      </c>
      <c r="C272" t="s">
        <v>1631</v>
      </c>
      <c r="D272" s="5" t="str">
        <f t="shared" si="14"/>
        <v>11-12</v>
      </c>
      <c r="E272" s="1">
        <f>_xlfn.IFNA(VLOOKUP('Comp X - UP'!B272,'Urban Plastix Holds'!$I$36:$U$498,5,0),0)</f>
        <v>0</v>
      </c>
      <c r="G272" s="2">
        <f t="shared" si="12"/>
        <v>0</v>
      </c>
      <c r="H272" s="2">
        <f t="shared" si="13"/>
        <v>0</v>
      </c>
    </row>
    <row r="273" spans="2:8">
      <c r="B273" t="s">
        <v>1381</v>
      </c>
      <c r="C273" t="s">
        <v>1631</v>
      </c>
      <c r="D273" s="6" t="str">
        <f t="shared" si="14"/>
        <v>14-01</v>
      </c>
      <c r="E273" s="1">
        <f>_xlfn.IFNA(VLOOKUP('Comp X - UP'!B273,'Urban Plastix Holds'!$I$36:$U$498,6,0),0)</f>
        <v>0</v>
      </c>
      <c r="G273" s="2">
        <f t="shared" si="12"/>
        <v>0</v>
      </c>
      <c r="H273" s="2">
        <f t="shared" si="13"/>
        <v>0</v>
      </c>
    </row>
    <row r="274" spans="2:8">
      <c r="B274" t="s">
        <v>1381</v>
      </c>
      <c r="C274" t="s">
        <v>1631</v>
      </c>
      <c r="D274" s="7" t="str">
        <f t="shared" si="14"/>
        <v>15-12</v>
      </c>
      <c r="E274" s="1">
        <f>_xlfn.IFNA(VLOOKUP('Comp X - UP'!B274,'Urban Plastix Holds'!$I$36:$U$498,7,0),0)</f>
        <v>2</v>
      </c>
      <c r="G274" s="2">
        <f t="shared" si="12"/>
        <v>0</v>
      </c>
      <c r="H274" s="2">
        <f t="shared" si="13"/>
        <v>0</v>
      </c>
    </row>
    <row r="275" spans="2:8">
      <c r="B275" t="s">
        <v>1381</v>
      </c>
      <c r="C275" t="s">
        <v>1631</v>
      </c>
      <c r="D275" s="8" t="str">
        <f t="shared" si="14"/>
        <v>16-16</v>
      </c>
      <c r="E275" s="1">
        <f>_xlfn.IFNA(VLOOKUP('Comp X - UP'!B275,'Urban Plastix Holds'!$I$36:$U$498,8,0),0)</f>
        <v>0</v>
      </c>
      <c r="G275" s="2">
        <f t="shared" si="12"/>
        <v>0</v>
      </c>
      <c r="H275" s="2">
        <f t="shared" si="13"/>
        <v>0</v>
      </c>
    </row>
    <row r="276" spans="2:8">
      <c r="B276" t="s">
        <v>1381</v>
      </c>
      <c r="C276" t="s">
        <v>1631</v>
      </c>
      <c r="D276" s="9" t="str">
        <f t="shared" si="14"/>
        <v>13-01</v>
      </c>
      <c r="E276" s="1">
        <f>_xlfn.IFNA(VLOOKUP('Comp X - UP'!B276,'Urban Plastix Holds'!$I$36:$U$498,9,0),0)</f>
        <v>6</v>
      </c>
      <c r="G276" s="2">
        <f t="shared" si="12"/>
        <v>0</v>
      </c>
      <c r="H276" s="2">
        <f t="shared" si="13"/>
        <v>0</v>
      </c>
    </row>
    <row r="277" spans="2:8">
      <c r="B277" t="s">
        <v>1381</v>
      </c>
      <c r="C277" t="s">
        <v>1631</v>
      </c>
      <c r="D277" s="10" t="str">
        <f t="shared" si="14"/>
        <v>07-13</v>
      </c>
      <c r="E277" s="1">
        <f>_xlfn.IFNA(VLOOKUP('Comp X - UP'!B277,'Urban Plastix Holds'!$I$36:$U$498,10,0),0)</f>
        <v>0</v>
      </c>
      <c r="G277" s="2">
        <f t="shared" si="12"/>
        <v>0</v>
      </c>
      <c r="H277" s="2">
        <f t="shared" si="13"/>
        <v>0</v>
      </c>
    </row>
    <row r="278" spans="2:8">
      <c r="B278" t="s">
        <v>1381</v>
      </c>
      <c r="C278" t="s">
        <v>1631</v>
      </c>
      <c r="D278" s="11" t="str">
        <f t="shared" si="14"/>
        <v>11-25</v>
      </c>
      <c r="E278" s="1">
        <f>_xlfn.IFNA(VLOOKUP('Comp X - UP'!B278,'Urban Plastix Holds'!$I$36:$U$498,11,0),0)</f>
        <v>0</v>
      </c>
      <c r="G278" s="2">
        <f t="shared" si="12"/>
        <v>0</v>
      </c>
      <c r="H278" s="2">
        <f t="shared" si="13"/>
        <v>0</v>
      </c>
    </row>
    <row r="279" spans="2:8">
      <c r="B279" t="s">
        <v>1381</v>
      </c>
      <c r="C279" t="s">
        <v>1631</v>
      </c>
      <c r="D279" s="13" t="str">
        <f t="shared" si="14"/>
        <v>18-01</v>
      </c>
      <c r="E279" s="1">
        <f>_xlfn.IFNA(VLOOKUP('Comp X - UP'!B279,'Urban Plastix Holds'!$I$36:$U$498,12,0),0)</f>
        <v>5</v>
      </c>
      <c r="G279" s="2">
        <f t="shared" si="12"/>
        <v>0</v>
      </c>
      <c r="H279" s="2">
        <f t="shared" si="13"/>
        <v>0</v>
      </c>
    </row>
    <row r="280" spans="2:8">
      <c r="B280" t="s">
        <v>1381</v>
      </c>
      <c r="C280" t="s">
        <v>1631</v>
      </c>
      <c r="D280" s="12" t="str">
        <f t="shared" si="14"/>
        <v>12-01</v>
      </c>
      <c r="E280" s="1">
        <f>_xlfn.IFNA(VLOOKUP('Comp X - UP'!B280,'Urban Plastix Holds'!$I$36:$U$498,13,0),0)</f>
        <v>0</v>
      </c>
      <c r="G280" s="2">
        <f t="shared" si="12"/>
        <v>0</v>
      </c>
      <c r="H280" s="2">
        <f t="shared" si="13"/>
        <v>0</v>
      </c>
    </row>
    <row r="281" spans="2:8">
      <c r="B281" t="s">
        <v>1383</v>
      </c>
      <c r="C281" t="s">
        <v>1632</v>
      </c>
      <c r="D281" s="5" t="str">
        <f t="shared" si="14"/>
        <v>11-12</v>
      </c>
      <c r="E281" s="1">
        <f>_xlfn.IFNA(VLOOKUP('Comp X - UP'!B281,'Urban Plastix Holds'!$I$36:$U$498,5,0),0)</f>
        <v>0</v>
      </c>
      <c r="G281" s="2">
        <f t="shared" si="12"/>
        <v>0</v>
      </c>
      <c r="H281" s="2">
        <f t="shared" si="13"/>
        <v>0</v>
      </c>
    </row>
    <row r="282" spans="2:8">
      <c r="B282" t="s">
        <v>1383</v>
      </c>
      <c r="C282" t="s">
        <v>1632</v>
      </c>
      <c r="D282" s="6" t="str">
        <f t="shared" si="14"/>
        <v>14-01</v>
      </c>
      <c r="E282" s="1">
        <f>_xlfn.IFNA(VLOOKUP('Comp X - UP'!B282,'Urban Plastix Holds'!$I$36:$U$498,6,0),0)</f>
        <v>0</v>
      </c>
      <c r="G282" s="2">
        <f t="shared" si="12"/>
        <v>0</v>
      </c>
      <c r="H282" s="2">
        <f t="shared" si="13"/>
        <v>0</v>
      </c>
    </row>
    <row r="283" spans="2:8">
      <c r="B283" t="s">
        <v>1383</v>
      </c>
      <c r="C283" t="s">
        <v>1632</v>
      </c>
      <c r="D283" s="7" t="str">
        <f t="shared" si="14"/>
        <v>15-12</v>
      </c>
      <c r="E283" s="1">
        <f>_xlfn.IFNA(VLOOKUP('Comp X - UP'!B283,'Urban Plastix Holds'!$I$36:$U$498,7,0),0)</f>
        <v>2</v>
      </c>
      <c r="G283" s="2">
        <f t="shared" si="12"/>
        <v>0</v>
      </c>
      <c r="H283" s="2">
        <f t="shared" si="13"/>
        <v>0</v>
      </c>
    </row>
    <row r="284" spans="2:8">
      <c r="B284" t="s">
        <v>1383</v>
      </c>
      <c r="C284" t="s">
        <v>1632</v>
      </c>
      <c r="D284" s="8" t="str">
        <f t="shared" si="14"/>
        <v>16-16</v>
      </c>
      <c r="E284" s="1">
        <f>_xlfn.IFNA(VLOOKUP('Comp X - UP'!B284,'Urban Plastix Holds'!$I$36:$U$498,8,0),0)</f>
        <v>0</v>
      </c>
      <c r="G284" s="2">
        <f t="shared" si="12"/>
        <v>0</v>
      </c>
      <c r="H284" s="2">
        <f t="shared" si="13"/>
        <v>0</v>
      </c>
    </row>
    <row r="285" spans="2:8">
      <c r="B285" t="s">
        <v>1383</v>
      </c>
      <c r="C285" t="s">
        <v>1632</v>
      </c>
      <c r="D285" s="9" t="str">
        <f t="shared" si="14"/>
        <v>13-01</v>
      </c>
      <c r="E285" s="1">
        <f>_xlfn.IFNA(VLOOKUP('Comp X - UP'!B285,'Urban Plastix Holds'!$I$36:$U$498,9,0),0)</f>
        <v>7</v>
      </c>
      <c r="G285" s="2">
        <f t="shared" si="12"/>
        <v>0</v>
      </c>
      <c r="H285" s="2">
        <f t="shared" si="13"/>
        <v>0</v>
      </c>
    </row>
    <row r="286" spans="2:8">
      <c r="B286" t="s">
        <v>1383</v>
      </c>
      <c r="C286" t="s">
        <v>1632</v>
      </c>
      <c r="D286" s="10" t="str">
        <f t="shared" si="14"/>
        <v>07-13</v>
      </c>
      <c r="E286" s="1">
        <f>_xlfn.IFNA(VLOOKUP('Comp X - UP'!B286,'Urban Plastix Holds'!$I$36:$U$498,10,0),0)</f>
        <v>0</v>
      </c>
      <c r="G286" s="2">
        <f t="shared" si="12"/>
        <v>0</v>
      </c>
      <c r="H286" s="2">
        <f t="shared" si="13"/>
        <v>0</v>
      </c>
    </row>
    <row r="287" spans="2:8">
      <c r="B287" t="s">
        <v>1383</v>
      </c>
      <c r="C287" t="s">
        <v>1632</v>
      </c>
      <c r="D287" s="11" t="str">
        <f t="shared" si="14"/>
        <v>11-25</v>
      </c>
      <c r="E287" s="1">
        <f>_xlfn.IFNA(VLOOKUP('Comp X - UP'!B287,'Urban Plastix Holds'!$I$36:$U$498,11,0),0)</f>
        <v>0</v>
      </c>
      <c r="G287" s="2">
        <f t="shared" si="12"/>
        <v>0</v>
      </c>
      <c r="H287" s="2">
        <f t="shared" si="13"/>
        <v>0</v>
      </c>
    </row>
    <row r="288" spans="2:8">
      <c r="B288" t="s">
        <v>1383</v>
      </c>
      <c r="C288" t="s">
        <v>1632</v>
      </c>
      <c r="D288" s="13" t="str">
        <f t="shared" si="14"/>
        <v>18-01</v>
      </c>
      <c r="E288" s="1">
        <f>_xlfn.IFNA(VLOOKUP('Comp X - UP'!B288,'Urban Plastix Holds'!$I$36:$U$498,12,0),0)</f>
        <v>5</v>
      </c>
      <c r="G288" s="2">
        <f t="shared" si="12"/>
        <v>0</v>
      </c>
      <c r="H288" s="2">
        <f t="shared" si="13"/>
        <v>0</v>
      </c>
    </row>
    <row r="289" spans="2:8">
      <c r="B289" t="s">
        <v>1383</v>
      </c>
      <c r="C289" t="s">
        <v>1632</v>
      </c>
      <c r="D289" s="12" t="str">
        <f t="shared" si="14"/>
        <v>12-01</v>
      </c>
      <c r="E289" s="1">
        <f>_xlfn.IFNA(VLOOKUP('Comp X - UP'!B289,'Urban Plastix Holds'!$I$36:$U$498,13,0),0)</f>
        <v>0</v>
      </c>
      <c r="G289" s="2">
        <f t="shared" si="12"/>
        <v>0</v>
      </c>
      <c r="H289" s="2">
        <f t="shared" si="13"/>
        <v>0</v>
      </c>
    </row>
    <row r="290" spans="2:8">
      <c r="B290" t="s">
        <v>1385</v>
      </c>
      <c r="C290" t="s">
        <v>1633</v>
      </c>
      <c r="D290" s="5" t="str">
        <f t="shared" si="14"/>
        <v>11-12</v>
      </c>
      <c r="E290" s="1">
        <f>_xlfn.IFNA(VLOOKUP('Comp X - UP'!B290,'Urban Plastix Holds'!$I$36:$U$498,5,0),0)</f>
        <v>0</v>
      </c>
      <c r="G290" s="2">
        <f t="shared" si="12"/>
        <v>0</v>
      </c>
      <c r="H290" s="2">
        <f t="shared" si="13"/>
        <v>0</v>
      </c>
    </row>
    <row r="291" spans="2:8">
      <c r="B291" t="s">
        <v>1385</v>
      </c>
      <c r="C291" t="s">
        <v>1633</v>
      </c>
      <c r="D291" s="6" t="str">
        <f t="shared" si="14"/>
        <v>14-01</v>
      </c>
      <c r="E291" s="1">
        <f>_xlfn.IFNA(VLOOKUP('Comp X - UP'!B291,'Urban Plastix Holds'!$I$36:$U$498,6,0),0)</f>
        <v>0</v>
      </c>
      <c r="G291" s="2">
        <f t="shared" si="12"/>
        <v>0</v>
      </c>
      <c r="H291" s="2">
        <f t="shared" si="13"/>
        <v>0</v>
      </c>
    </row>
    <row r="292" spans="2:8">
      <c r="B292" t="s">
        <v>1385</v>
      </c>
      <c r="C292" t="s">
        <v>1633</v>
      </c>
      <c r="D292" s="7" t="str">
        <f t="shared" si="14"/>
        <v>15-12</v>
      </c>
      <c r="E292" s="1">
        <f>_xlfn.IFNA(VLOOKUP('Comp X - UP'!B292,'Urban Plastix Holds'!$I$36:$U$498,7,0),0)</f>
        <v>2</v>
      </c>
      <c r="G292" s="2">
        <f t="shared" si="12"/>
        <v>0</v>
      </c>
      <c r="H292" s="2">
        <f t="shared" si="13"/>
        <v>0</v>
      </c>
    </row>
    <row r="293" spans="2:8">
      <c r="B293" t="s">
        <v>1385</v>
      </c>
      <c r="C293" t="s">
        <v>1633</v>
      </c>
      <c r="D293" s="8" t="str">
        <f t="shared" si="14"/>
        <v>16-16</v>
      </c>
      <c r="E293" s="1">
        <f>_xlfn.IFNA(VLOOKUP('Comp X - UP'!B293,'Urban Plastix Holds'!$I$36:$U$498,8,0),0)</f>
        <v>0</v>
      </c>
      <c r="G293" s="2">
        <f t="shared" si="12"/>
        <v>0</v>
      </c>
      <c r="H293" s="2">
        <f t="shared" si="13"/>
        <v>0</v>
      </c>
    </row>
    <row r="294" spans="2:8">
      <c r="B294" t="s">
        <v>1385</v>
      </c>
      <c r="C294" t="s">
        <v>1633</v>
      </c>
      <c r="D294" s="9" t="str">
        <f t="shared" si="14"/>
        <v>13-01</v>
      </c>
      <c r="E294" s="1">
        <f>_xlfn.IFNA(VLOOKUP('Comp X - UP'!B294,'Urban Plastix Holds'!$I$36:$U$498,9,0),0)</f>
        <v>5</v>
      </c>
      <c r="G294" s="2">
        <f t="shared" si="12"/>
        <v>0</v>
      </c>
      <c r="H294" s="2">
        <f t="shared" si="13"/>
        <v>0</v>
      </c>
    </row>
    <row r="295" spans="2:8">
      <c r="B295" t="s">
        <v>1385</v>
      </c>
      <c r="C295" t="s">
        <v>1633</v>
      </c>
      <c r="D295" s="10" t="str">
        <f t="shared" si="14"/>
        <v>07-13</v>
      </c>
      <c r="E295" s="1">
        <f>_xlfn.IFNA(VLOOKUP('Comp X - UP'!B295,'Urban Plastix Holds'!$I$36:$U$498,10,0),0)</f>
        <v>0</v>
      </c>
      <c r="G295" s="2">
        <f t="shared" si="12"/>
        <v>0</v>
      </c>
      <c r="H295" s="2">
        <f t="shared" si="13"/>
        <v>0</v>
      </c>
    </row>
    <row r="296" spans="2:8">
      <c r="B296" t="s">
        <v>1385</v>
      </c>
      <c r="C296" t="s">
        <v>1633</v>
      </c>
      <c r="D296" s="11" t="str">
        <f t="shared" si="14"/>
        <v>11-25</v>
      </c>
      <c r="E296" s="1">
        <f>_xlfn.IFNA(VLOOKUP('Comp X - UP'!B296,'Urban Plastix Holds'!$I$36:$U$498,11,0),0)</f>
        <v>0</v>
      </c>
      <c r="G296" s="2">
        <f t="shared" si="12"/>
        <v>0</v>
      </c>
      <c r="H296" s="2">
        <f t="shared" si="13"/>
        <v>0</v>
      </c>
    </row>
    <row r="297" spans="2:8">
      <c r="B297" t="s">
        <v>1385</v>
      </c>
      <c r="C297" t="s">
        <v>1633</v>
      </c>
      <c r="D297" s="13" t="str">
        <f t="shared" si="14"/>
        <v>18-01</v>
      </c>
      <c r="E297" s="1">
        <f>_xlfn.IFNA(VLOOKUP('Comp X - UP'!B297,'Urban Plastix Holds'!$I$36:$U$498,12,0),0)</f>
        <v>5</v>
      </c>
      <c r="G297" s="2">
        <f t="shared" si="12"/>
        <v>0</v>
      </c>
      <c r="H297" s="2">
        <f t="shared" si="13"/>
        <v>0</v>
      </c>
    </row>
    <row r="298" spans="2:8">
      <c r="B298" t="s">
        <v>1385</v>
      </c>
      <c r="C298" t="s">
        <v>1633</v>
      </c>
      <c r="D298" s="12" t="str">
        <f t="shared" si="14"/>
        <v>12-01</v>
      </c>
      <c r="E298" s="1">
        <f>_xlfn.IFNA(VLOOKUP('Comp X - UP'!B298,'Urban Plastix Holds'!$I$36:$U$498,13,0),0)</f>
        <v>0</v>
      </c>
      <c r="G298" s="2">
        <f t="shared" si="12"/>
        <v>0</v>
      </c>
      <c r="H298" s="2">
        <f t="shared" si="13"/>
        <v>0</v>
      </c>
    </row>
    <row r="299" spans="2:8">
      <c r="B299" t="s">
        <v>1387</v>
      </c>
      <c r="C299" t="s">
        <v>1634</v>
      </c>
      <c r="D299" s="5" t="str">
        <f t="shared" si="14"/>
        <v>11-12</v>
      </c>
      <c r="E299" s="1">
        <f>_xlfn.IFNA(VLOOKUP('Comp X - UP'!B299,'Urban Plastix Holds'!$I$36:$U$498,5,0),0)</f>
        <v>0</v>
      </c>
      <c r="G299" s="2">
        <f t="shared" si="12"/>
        <v>0</v>
      </c>
      <c r="H299" s="2">
        <f t="shared" si="13"/>
        <v>0</v>
      </c>
    </row>
    <row r="300" spans="2:8">
      <c r="B300" t="s">
        <v>1387</v>
      </c>
      <c r="C300" t="s">
        <v>1634</v>
      </c>
      <c r="D300" s="6" t="str">
        <f t="shared" si="14"/>
        <v>14-01</v>
      </c>
      <c r="E300" s="1">
        <f>_xlfn.IFNA(VLOOKUP('Comp X - UP'!B300,'Urban Plastix Holds'!$I$36:$U$498,6,0),0)</f>
        <v>0</v>
      </c>
      <c r="G300" s="2">
        <f t="shared" si="12"/>
        <v>0</v>
      </c>
      <c r="H300" s="2">
        <f t="shared" si="13"/>
        <v>0</v>
      </c>
    </row>
    <row r="301" spans="2:8">
      <c r="B301" t="s">
        <v>1387</v>
      </c>
      <c r="C301" t="s">
        <v>1634</v>
      </c>
      <c r="D301" s="7" t="str">
        <f t="shared" si="14"/>
        <v>15-12</v>
      </c>
      <c r="E301" s="1">
        <f>_xlfn.IFNA(VLOOKUP('Comp X - UP'!B301,'Urban Plastix Holds'!$I$36:$U$498,7,0),0)</f>
        <v>3</v>
      </c>
      <c r="G301" s="2">
        <f t="shared" si="12"/>
        <v>0</v>
      </c>
      <c r="H301" s="2">
        <f t="shared" si="13"/>
        <v>0</v>
      </c>
    </row>
    <row r="302" spans="2:8">
      <c r="B302" t="s">
        <v>1387</v>
      </c>
      <c r="C302" t="s">
        <v>1634</v>
      </c>
      <c r="D302" s="8" t="str">
        <f t="shared" si="14"/>
        <v>16-16</v>
      </c>
      <c r="E302" s="1">
        <f>_xlfn.IFNA(VLOOKUP('Comp X - UP'!B302,'Urban Plastix Holds'!$I$36:$U$498,8,0),0)</f>
        <v>0</v>
      </c>
      <c r="G302" s="2">
        <f t="shared" si="12"/>
        <v>0</v>
      </c>
      <c r="H302" s="2">
        <f t="shared" si="13"/>
        <v>0</v>
      </c>
    </row>
    <row r="303" spans="2:8">
      <c r="B303" t="s">
        <v>1387</v>
      </c>
      <c r="C303" t="s">
        <v>1634</v>
      </c>
      <c r="D303" s="9" t="str">
        <f t="shared" si="14"/>
        <v>13-01</v>
      </c>
      <c r="E303" s="1">
        <f>_xlfn.IFNA(VLOOKUP('Comp X - UP'!B303,'Urban Plastix Holds'!$I$36:$U$498,9,0),0)</f>
        <v>6</v>
      </c>
      <c r="G303" s="2">
        <f t="shared" si="12"/>
        <v>0</v>
      </c>
      <c r="H303" s="2">
        <f t="shared" si="13"/>
        <v>0</v>
      </c>
    </row>
    <row r="304" spans="2:8">
      <c r="B304" t="s">
        <v>1387</v>
      </c>
      <c r="C304" t="s">
        <v>1634</v>
      </c>
      <c r="D304" s="10" t="str">
        <f t="shared" si="14"/>
        <v>07-13</v>
      </c>
      <c r="E304" s="1">
        <f>_xlfn.IFNA(VLOOKUP('Comp X - UP'!B304,'Urban Plastix Holds'!$I$36:$U$498,10,0),0)</f>
        <v>0</v>
      </c>
      <c r="G304" s="2">
        <f t="shared" si="12"/>
        <v>0</v>
      </c>
      <c r="H304" s="2">
        <f t="shared" si="13"/>
        <v>0</v>
      </c>
    </row>
    <row r="305" spans="2:8">
      <c r="B305" t="s">
        <v>1387</v>
      </c>
      <c r="C305" t="s">
        <v>1634</v>
      </c>
      <c r="D305" s="11" t="str">
        <f t="shared" si="14"/>
        <v>11-25</v>
      </c>
      <c r="E305" s="1">
        <f>_xlfn.IFNA(VLOOKUP('Comp X - UP'!B305,'Urban Plastix Holds'!$I$36:$U$498,11,0),0)</f>
        <v>0</v>
      </c>
      <c r="G305" s="2">
        <f t="shared" si="12"/>
        <v>0</v>
      </c>
      <c r="H305" s="2">
        <f t="shared" si="13"/>
        <v>0</v>
      </c>
    </row>
    <row r="306" spans="2:8">
      <c r="B306" t="s">
        <v>1387</v>
      </c>
      <c r="C306" t="s">
        <v>1634</v>
      </c>
      <c r="D306" s="13" t="str">
        <f t="shared" si="14"/>
        <v>18-01</v>
      </c>
      <c r="E306" s="1">
        <f>_xlfn.IFNA(VLOOKUP('Comp X - UP'!B306,'Urban Plastix Holds'!$I$36:$U$498,12,0),0)</f>
        <v>5</v>
      </c>
      <c r="G306" s="2">
        <f t="shared" si="12"/>
        <v>0</v>
      </c>
      <c r="H306" s="2">
        <f t="shared" si="13"/>
        <v>0</v>
      </c>
    </row>
    <row r="307" spans="2:8">
      <c r="B307" t="s">
        <v>1387</v>
      </c>
      <c r="C307" t="s">
        <v>1634</v>
      </c>
      <c r="D307" s="12" t="str">
        <f t="shared" si="14"/>
        <v>12-01</v>
      </c>
      <c r="E307" s="1">
        <f>_xlfn.IFNA(VLOOKUP('Comp X - UP'!B307,'Urban Plastix Holds'!$I$36:$U$498,13,0),0)</f>
        <v>0</v>
      </c>
      <c r="G307" s="2">
        <f t="shared" si="12"/>
        <v>0</v>
      </c>
      <c r="H307" s="2">
        <f t="shared" si="13"/>
        <v>0</v>
      </c>
    </row>
    <row r="308" spans="2:8">
      <c r="B308" t="s">
        <v>1389</v>
      </c>
      <c r="C308" t="s">
        <v>1635</v>
      </c>
      <c r="D308" s="5" t="str">
        <f t="shared" si="14"/>
        <v>11-12</v>
      </c>
      <c r="E308" s="1">
        <f>_xlfn.IFNA(VLOOKUP('Comp X - UP'!B308,'Urban Plastix Holds'!$I$36:$U$498,5,0),0)</f>
        <v>1</v>
      </c>
      <c r="G308" s="2">
        <f t="shared" si="12"/>
        <v>0</v>
      </c>
      <c r="H308" s="2">
        <f t="shared" si="13"/>
        <v>0</v>
      </c>
    </row>
    <row r="309" spans="2:8">
      <c r="B309" t="s">
        <v>1389</v>
      </c>
      <c r="C309" t="s">
        <v>1635</v>
      </c>
      <c r="D309" s="6" t="str">
        <f t="shared" si="14"/>
        <v>14-01</v>
      </c>
      <c r="E309" s="1">
        <f>_xlfn.IFNA(VLOOKUP('Comp X - UP'!B309,'Urban Plastix Holds'!$I$36:$U$498,6,0),0)</f>
        <v>0</v>
      </c>
      <c r="G309" s="2">
        <f t="shared" si="12"/>
        <v>0</v>
      </c>
      <c r="H309" s="2">
        <f t="shared" si="13"/>
        <v>0</v>
      </c>
    </row>
    <row r="310" spans="2:8">
      <c r="B310" t="s">
        <v>1389</v>
      </c>
      <c r="C310" t="s">
        <v>1635</v>
      </c>
      <c r="D310" s="7" t="str">
        <f t="shared" si="14"/>
        <v>15-12</v>
      </c>
      <c r="E310" s="1">
        <f>_xlfn.IFNA(VLOOKUP('Comp X - UP'!B310,'Urban Plastix Holds'!$I$36:$U$498,7,0),0)</f>
        <v>2</v>
      </c>
      <c r="G310" s="2">
        <f t="shared" si="12"/>
        <v>0</v>
      </c>
      <c r="H310" s="2">
        <f t="shared" si="13"/>
        <v>0</v>
      </c>
    </row>
    <row r="311" spans="2:8">
      <c r="B311" t="s">
        <v>1389</v>
      </c>
      <c r="C311" t="s">
        <v>1635</v>
      </c>
      <c r="D311" s="8" t="str">
        <f t="shared" si="14"/>
        <v>16-16</v>
      </c>
      <c r="E311" s="1">
        <f>_xlfn.IFNA(VLOOKUP('Comp X - UP'!B311,'Urban Plastix Holds'!$I$36:$U$498,8,0),0)</f>
        <v>1</v>
      </c>
      <c r="G311" s="2">
        <f t="shared" si="12"/>
        <v>0</v>
      </c>
      <c r="H311" s="2">
        <f t="shared" si="13"/>
        <v>0</v>
      </c>
    </row>
    <row r="312" spans="2:8">
      <c r="B312" t="s">
        <v>1389</v>
      </c>
      <c r="C312" t="s">
        <v>1635</v>
      </c>
      <c r="D312" s="9" t="str">
        <f t="shared" si="14"/>
        <v>13-01</v>
      </c>
      <c r="E312" s="1">
        <f>_xlfn.IFNA(VLOOKUP('Comp X - UP'!B312,'Urban Plastix Holds'!$I$36:$U$498,9,0),0)</f>
        <v>9</v>
      </c>
      <c r="G312" s="2">
        <f t="shared" si="12"/>
        <v>0</v>
      </c>
      <c r="H312" s="2">
        <f t="shared" si="13"/>
        <v>0</v>
      </c>
    </row>
    <row r="313" spans="2:8">
      <c r="B313" t="s">
        <v>1389</v>
      </c>
      <c r="C313" t="s">
        <v>1635</v>
      </c>
      <c r="D313" s="10" t="str">
        <f t="shared" si="14"/>
        <v>07-13</v>
      </c>
      <c r="E313" s="1">
        <f>_xlfn.IFNA(VLOOKUP('Comp X - UP'!B313,'Urban Plastix Holds'!$I$36:$U$498,10,0),0)</f>
        <v>0</v>
      </c>
      <c r="G313" s="2">
        <f t="shared" si="12"/>
        <v>0</v>
      </c>
      <c r="H313" s="2">
        <f t="shared" si="13"/>
        <v>0</v>
      </c>
    </row>
    <row r="314" spans="2:8">
      <c r="B314" t="s">
        <v>1389</v>
      </c>
      <c r="C314" t="s">
        <v>1635</v>
      </c>
      <c r="D314" s="11" t="str">
        <f t="shared" si="14"/>
        <v>11-25</v>
      </c>
      <c r="E314" s="1">
        <f>_xlfn.IFNA(VLOOKUP('Comp X - UP'!B314,'Urban Plastix Holds'!$I$36:$U$498,11,0),0)</f>
        <v>0</v>
      </c>
      <c r="G314" s="2">
        <f t="shared" si="12"/>
        <v>0</v>
      </c>
      <c r="H314" s="2">
        <f t="shared" si="13"/>
        <v>0</v>
      </c>
    </row>
    <row r="315" spans="2:8">
      <c r="B315" t="s">
        <v>1389</v>
      </c>
      <c r="C315" t="s">
        <v>1635</v>
      </c>
      <c r="D315" s="13" t="str">
        <f t="shared" si="14"/>
        <v>18-01</v>
      </c>
      <c r="E315" s="1">
        <f>_xlfn.IFNA(VLOOKUP('Comp X - UP'!B315,'Urban Plastix Holds'!$I$36:$U$498,12,0),0)</f>
        <v>5</v>
      </c>
      <c r="G315" s="2">
        <f t="shared" si="12"/>
        <v>0</v>
      </c>
      <c r="H315" s="2">
        <f t="shared" si="13"/>
        <v>0</v>
      </c>
    </row>
    <row r="316" spans="2:8">
      <c r="B316" t="s">
        <v>1389</v>
      </c>
      <c r="C316" t="s">
        <v>1635</v>
      </c>
      <c r="D316" s="12" t="str">
        <f t="shared" si="14"/>
        <v>12-01</v>
      </c>
      <c r="E316" s="1">
        <f>_xlfn.IFNA(VLOOKUP('Comp X - UP'!B316,'Urban Plastix Holds'!$I$36:$U$498,13,0),0)</f>
        <v>0</v>
      </c>
      <c r="G316" s="2">
        <f t="shared" si="12"/>
        <v>0</v>
      </c>
      <c r="H316" s="2">
        <f t="shared" si="13"/>
        <v>0</v>
      </c>
    </row>
    <row r="317" spans="2:8">
      <c r="B317" t="s">
        <v>1391</v>
      </c>
      <c r="C317" t="s">
        <v>1636</v>
      </c>
      <c r="D317" s="5" t="str">
        <f t="shared" si="14"/>
        <v>11-12</v>
      </c>
      <c r="E317" s="1">
        <f>_xlfn.IFNA(VLOOKUP('Comp X - UP'!B317,'Urban Plastix Holds'!$I$36:$U$498,5,0),0)</f>
        <v>0</v>
      </c>
      <c r="G317" s="2">
        <f t="shared" si="12"/>
        <v>0</v>
      </c>
      <c r="H317" s="2">
        <f t="shared" si="13"/>
        <v>0</v>
      </c>
    </row>
    <row r="318" spans="2:8">
      <c r="B318" t="s">
        <v>1391</v>
      </c>
      <c r="C318" t="s">
        <v>1636</v>
      </c>
      <c r="D318" s="6" t="str">
        <f t="shared" si="14"/>
        <v>14-01</v>
      </c>
      <c r="E318" s="1">
        <f>_xlfn.IFNA(VLOOKUP('Comp X - UP'!B318,'Urban Plastix Holds'!$I$36:$U$498,6,0),0)</f>
        <v>0</v>
      </c>
      <c r="G318" s="2">
        <f t="shared" si="12"/>
        <v>0</v>
      </c>
      <c r="H318" s="2">
        <f t="shared" si="13"/>
        <v>0</v>
      </c>
    </row>
    <row r="319" spans="2:8">
      <c r="B319" t="s">
        <v>1391</v>
      </c>
      <c r="C319" t="s">
        <v>1636</v>
      </c>
      <c r="D319" s="7" t="str">
        <f t="shared" si="14"/>
        <v>15-12</v>
      </c>
      <c r="E319" s="1">
        <f>_xlfn.IFNA(VLOOKUP('Comp X - UP'!B319,'Urban Plastix Holds'!$I$36:$U$498,7,0),0)</f>
        <v>4</v>
      </c>
      <c r="G319" s="2">
        <f t="shared" si="12"/>
        <v>0</v>
      </c>
      <c r="H319" s="2">
        <f t="shared" si="13"/>
        <v>0</v>
      </c>
    </row>
    <row r="320" spans="2:8">
      <c r="B320" t="s">
        <v>1391</v>
      </c>
      <c r="C320" t="s">
        <v>1636</v>
      </c>
      <c r="D320" s="8" t="str">
        <f t="shared" si="14"/>
        <v>16-16</v>
      </c>
      <c r="E320" s="1">
        <f>_xlfn.IFNA(VLOOKUP('Comp X - UP'!B320,'Urban Plastix Holds'!$I$36:$U$498,8,0),0)</f>
        <v>0</v>
      </c>
      <c r="G320" s="2">
        <f t="shared" si="12"/>
        <v>0</v>
      </c>
      <c r="H320" s="2">
        <f t="shared" si="13"/>
        <v>0</v>
      </c>
    </row>
    <row r="321" spans="2:8">
      <c r="B321" t="s">
        <v>1391</v>
      </c>
      <c r="C321" t="s">
        <v>1636</v>
      </c>
      <c r="D321" s="9" t="str">
        <f t="shared" si="14"/>
        <v>13-01</v>
      </c>
      <c r="E321" s="1">
        <f>_xlfn.IFNA(VLOOKUP('Comp X - UP'!B321,'Urban Plastix Holds'!$I$36:$U$498,9,0),0)</f>
        <v>5</v>
      </c>
      <c r="G321" s="2">
        <f t="shared" si="12"/>
        <v>0</v>
      </c>
      <c r="H321" s="2">
        <f t="shared" si="13"/>
        <v>0</v>
      </c>
    </row>
    <row r="322" spans="2:8">
      <c r="B322" t="s">
        <v>1391</v>
      </c>
      <c r="C322" t="s">
        <v>1636</v>
      </c>
      <c r="D322" s="10" t="str">
        <f t="shared" si="14"/>
        <v>07-13</v>
      </c>
      <c r="E322" s="1">
        <f>_xlfn.IFNA(VLOOKUP('Comp X - UP'!B322,'Urban Plastix Holds'!$I$36:$U$498,10,0),0)</f>
        <v>0</v>
      </c>
      <c r="G322" s="2">
        <f t="shared" si="12"/>
        <v>0</v>
      </c>
      <c r="H322" s="2">
        <f t="shared" si="13"/>
        <v>0</v>
      </c>
    </row>
    <row r="323" spans="2:8">
      <c r="B323" t="s">
        <v>1391</v>
      </c>
      <c r="C323" t="s">
        <v>1636</v>
      </c>
      <c r="D323" s="11" t="str">
        <f t="shared" si="14"/>
        <v>11-25</v>
      </c>
      <c r="E323" s="1">
        <f>_xlfn.IFNA(VLOOKUP('Comp X - UP'!B323,'Urban Plastix Holds'!$I$36:$U$498,11,0),0)</f>
        <v>0</v>
      </c>
      <c r="G323" s="2">
        <f t="shared" ref="G323:G386" si="15">E323*F323</f>
        <v>0</v>
      </c>
      <c r="H323" s="2">
        <f t="shared" ref="H323:H386" si="16">IF($S$11="Y",G323*0.15,0)</f>
        <v>0</v>
      </c>
    </row>
    <row r="324" spans="2:8">
      <c r="B324" t="s">
        <v>1391</v>
      </c>
      <c r="C324" t="s">
        <v>1636</v>
      </c>
      <c r="D324" s="13" t="str">
        <f t="shared" si="14"/>
        <v>18-01</v>
      </c>
      <c r="E324" s="1">
        <f>_xlfn.IFNA(VLOOKUP('Comp X - UP'!B324,'Urban Plastix Holds'!$I$36:$U$498,12,0),0)</f>
        <v>4</v>
      </c>
      <c r="G324" s="2">
        <f t="shared" si="15"/>
        <v>0</v>
      </c>
      <c r="H324" s="2">
        <f t="shared" si="16"/>
        <v>0</v>
      </c>
    </row>
    <row r="325" spans="2:8">
      <c r="B325" t="s">
        <v>1391</v>
      </c>
      <c r="C325" t="s">
        <v>1636</v>
      </c>
      <c r="D325" s="12" t="str">
        <f t="shared" si="14"/>
        <v>12-01</v>
      </c>
      <c r="E325" s="1">
        <f>_xlfn.IFNA(VLOOKUP('Comp X - UP'!B325,'Urban Plastix Holds'!$I$36:$U$498,13,0),0)</f>
        <v>0</v>
      </c>
      <c r="G325" s="2">
        <f t="shared" si="15"/>
        <v>0</v>
      </c>
      <c r="H325" s="2">
        <f t="shared" si="16"/>
        <v>0</v>
      </c>
    </row>
    <row r="326" spans="2:8">
      <c r="B326" t="s">
        <v>1393</v>
      </c>
      <c r="C326" t="s">
        <v>1637</v>
      </c>
      <c r="D326" s="5" t="str">
        <f t="shared" si="14"/>
        <v>11-12</v>
      </c>
      <c r="E326" s="1">
        <f>_xlfn.IFNA(VLOOKUP('Comp X - UP'!B326,'Urban Plastix Holds'!$I$36:$U$498,5,0),0)</f>
        <v>0</v>
      </c>
      <c r="G326" s="2">
        <f t="shared" si="15"/>
        <v>0</v>
      </c>
      <c r="H326" s="2">
        <f t="shared" si="16"/>
        <v>0</v>
      </c>
    </row>
    <row r="327" spans="2:8">
      <c r="B327" t="s">
        <v>1393</v>
      </c>
      <c r="C327" t="s">
        <v>1637</v>
      </c>
      <c r="D327" s="6" t="str">
        <f t="shared" si="14"/>
        <v>14-01</v>
      </c>
      <c r="E327" s="1">
        <f>_xlfn.IFNA(VLOOKUP('Comp X - UP'!B327,'Urban Plastix Holds'!$I$36:$U$498,6,0),0)</f>
        <v>0</v>
      </c>
      <c r="G327" s="2">
        <f t="shared" si="15"/>
        <v>0</v>
      </c>
      <c r="H327" s="2">
        <f t="shared" si="16"/>
        <v>0</v>
      </c>
    </row>
    <row r="328" spans="2:8">
      <c r="B328" t="s">
        <v>1393</v>
      </c>
      <c r="C328" t="s">
        <v>1637</v>
      </c>
      <c r="D328" s="7" t="str">
        <f t="shared" si="14"/>
        <v>15-12</v>
      </c>
      <c r="E328" s="1">
        <f>_xlfn.IFNA(VLOOKUP('Comp X - UP'!B328,'Urban Plastix Holds'!$I$36:$U$498,7,0),0)</f>
        <v>4</v>
      </c>
      <c r="G328" s="2">
        <f t="shared" si="15"/>
        <v>0</v>
      </c>
      <c r="H328" s="2">
        <f t="shared" si="16"/>
        <v>0</v>
      </c>
    </row>
    <row r="329" spans="2:8">
      <c r="B329" t="s">
        <v>1393</v>
      </c>
      <c r="C329" t="s">
        <v>1637</v>
      </c>
      <c r="D329" s="8" t="str">
        <f t="shared" si="14"/>
        <v>16-16</v>
      </c>
      <c r="E329" s="1">
        <f>_xlfn.IFNA(VLOOKUP('Comp X - UP'!B329,'Urban Plastix Holds'!$I$36:$U$498,8,0),0)</f>
        <v>0</v>
      </c>
      <c r="G329" s="2">
        <f t="shared" si="15"/>
        <v>0</v>
      </c>
      <c r="H329" s="2">
        <f t="shared" si="16"/>
        <v>0</v>
      </c>
    </row>
    <row r="330" spans="2:8">
      <c r="B330" t="s">
        <v>1393</v>
      </c>
      <c r="C330" t="s">
        <v>1637</v>
      </c>
      <c r="D330" s="9" t="str">
        <f t="shared" si="14"/>
        <v>13-01</v>
      </c>
      <c r="E330" s="1">
        <f>_xlfn.IFNA(VLOOKUP('Comp X - UP'!B330,'Urban Plastix Holds'!$I$36:$U$498,9,0),0)</f>
        <v>5</v>
      </c>
      <c r="G330" s="2">
        <f t="shared" si="15"/>
        <v>0</v>
      </c>
      <c r="H330" s="2">
        <f t="shared" si="16"/>
        <v>0</v>
      </c>
    </row>
    <row r="331" spans="2:8">
      <c r="B331" t="s">
        <v>1393</v>
      </c>
      <c r="C331" t="s">
        <v>1637</v>
      </c>
      <c r="D331" s="10" t="str">
        <f t="shared" ref="D331:D394" si="17">D322</f>
        <v>07-13</v>
      </c>
      <c r="E331" s="1">
        <f>_xlfn.IFNA(VLOOKUP('Comp X - UP'!B331,'Urban Plastix Holds'!$I$36:$U$498,10,0),0)</f>
        <v>1</v>
      </c>
      <c r="G331" s="2">
        <f t="shared" si="15"/>
        <v>0</v>
      </c>
      <c r="H331" s="2">
        <f t="shared" si="16"/>
        <v>0</v>
      </c>
    </row>
    <row r="332" spans="2:8">
      <c r="B332" t="s">
        <v>1393</v>
      </c>
      <c r="C332" t="s">
        <v>1637</v>
      </c>
      <c r="D332" s="11" t="str">
        <f t="shared" si="17"/>
        <v>11-25</v>
      </c>
      <c r="E332" s="1">
        <f>_xlfn.IFNA(VLOOKUP('Comp X - UP'!B332,'Urban Plastix Holds'!$I$36:$U$498,11,0),0)</f>
        <v>0</v>
      </c>
      <c r="G332" s="2">
        <f t="shared" si="15"/>
        <v>0</v>
      </c>
      <c r="H332" s="2">
        <f t="shared" si="16"/>
        <v>0</v>
      </c>
    </row>
    <row r="333" spans="2:8">
      <c r="B333" t="s">
        <v>1393</v>
      </c>
      <c r="C333" t="s">
        <v>1637</v>
      </c>
      <c r="D333" s="13" t="str">
        <f t="shared" si="17"/>
        <v>18-01</v>
      </c>
      <c r="E333" s="1">
        <f>_xlfn.IFNA(VLOOKUP('Comp X - UP'!B333,'Urban Plastix Holds'!$I$36:$U$498,12,0),0)</f>
        <v>4</v>
      </c>
      <c r="G333" s="2">
        <f t="shared" si="15"/>
        <v>0</v>
      </c>
      <c r="H333" s="2">
        <f t="shared" si="16"/>
        <v>0</v>
      </c>
    </row>
    <row r="334" spans="2:8">
      <c r="B334" t="s">
        <v>1393</v>
      </c>
      <c r="C334" t="s">
        <v>1637</v>
      </c>
      <c r="D334" s="12" t="str">
        <f t="shared" si="17"/>
        <v>12-01</v>
      </c>
      <c r="E334" s="1">
        <f>_xlfn.IFNA(VLOOKUP('Comp X - UP'!B334,'Urban Plastix Holds'!$I$36:$U$498,13,0),0)</f>
        <v>0</v>
      </c>
      <c r="G334" s="2">
        <f t="shared" si="15"/>
        <v>0</v>
      </c>
      <c r="H334" s="2">
        <f t="shared" si="16"/>
        <v>0</v>
      </c>
    </row>
    <row r="335" spans="2:8">
      <c r="B335" t="s">
        <v>1395</v>
      </c>
      <c r="C335" t="s">
        <v>1638</v>
      </c>
      <c r="D335" s="5" t="str">
        <f t="shared" si="17"/>
        <v>11-12</v>
      </c>
      <c r="E335" s="1">
        <f>_xlfn.IFNA(VLOOKUP('Comp X - UP'!B335,'Urban Plastix Holds'!$I$36:$U$498,5,0),0)</f>
        <v>0</v>
      </c>
      <c r="G335" s="2">
        <f t="shared" si="15"/>
        <v>0</v>
      </c>
      <c r="H335" s="2">
        <f t="shared" si="16"/>
        <v>0</v>
      </c>
    </row>
    <row r="336" spans="2:8">
      <c r="B336" t="s">
        <v>1395</v>
      </c>
      <c r="C336" t="s">
        <v>1638</v>
      </c>
      <c r="D336" s="6" t="str">
        <f t="shared" si="17"/>
        <v>14-01</v>
      </c>
      <c r="E336" s="1">
        <f>_xlfn.IFNA(VLOOKUP('Comp X - UP'!B336,'Urban Plastix Holds'!$I$36:$U$498,6,0),0)</f>
        <v>0</v>
      </c>
      <c r="G336" s="2">
        <f t="shared" si="15"/>
        <v>0</v>
      </c>
      <c r="H336" s="2">
        <f t="shared" si="16"/>
        <v>0</v>
      </c>
    </row>
    <row r="337" spans="2:8">
      <c r="B337" t="s">
        <v>1395</v>
      </c>
      <c r="C337" t="s">
        <v>1638</v>
      </c>
      <c r="D337" s="7" t="str">
        <f t="shared" si="17"/>
        <v>15-12</v>
      </c>
      <c r="E337" s="1">
        <f>_xlfn.IFNA(VLOOKUP('Comp X - UP'!B337,'Urban Plastix Holds'!$I$36:$U$498,7,0),0)</f>
        <v>4</v>
      </c>
      <c r="G337" s="2">
        <f t="shared" si="15"/>
        <v>0</v>
      </c>
      <c r="H337" s="2">
        <f t="shared" si="16"/>
        <v>0</v>
      </c>
    </row>
    <row r="338" spans="2:8">
      <c r="B338" t="s">
        <v>1395</v>
      </c>
      <c r="C338" t="s">
        <v>1638</v>
      </c>
      <c r="D338" s="8" t="str">
        <f t="shared" si="17"/>
        <v>16-16</v>
      </c>
      <c r="E338" s="1">
        <f>_xlfn.IFNA(VLOOKUP('Comp X - UP'!B338,'Urban Plastix Holds'!$I$36:$U$498,8,0),0)</f>
        <v>0</v>
      </c>
      <c r="G338" s="2">
        <f t="shared" si="15"/>
        <v>0</v>
      </c>
      <c r="H338" s="2">
        <f t="shared" si="16"/>
        <v>0</v>
      </c>
    </row>
    <row r="339" spans="2:8">
      <c r="B339" t="s">
        <v>1395</v>
      </c>
      <c r="C339" t="s">
        <v>1638</v>
      </c>
      <c r="D339" s="9" t="str">
        <f t="shared" si="17"/>
        <v>13-01</v>
      </c>
      <c r="E339" s="1">
        <f>_xlfn.IFNA(VLOOKUP('Comp X - UP'!B339,'Urban Plastix Holds'!$I$36:$U$498,9,0),0)</f>
        <v>5</v>
      </c>
      <c r="G339" s="2">
        <f t="shared" si="15"/>
        <v>0</v>
      </c>
      <c r="H339" s="2">
        <f t="shared" si="16"/>
        <v>0</v>
      </c>
    </row>
    <row r="340" spans="2:8">
      <c r="B340" t="s">
        <v>1395</v>
      </c>
      <c r="C340" t="s">
        <v>1638</v>
      </c>
      <c r="D340" s="10" t="str">
        <f t="shared" si="17"/>
        <v>07-13</v>
      </c>
      <c r="E340" s="1">
        <f>_xlfn.IFNA(VLOOKUP('Comp X - UP'!B340,'Urban Plastix Holds'!$I$36:$U$498,10,0),0)</f>
        <v>0</v>
      </c>
      <c r="G340" s="2">
        <f t="shared" si="15"/>
        <v>0</v>
      </c>
      <c r="H340" s="2">
        <f t="shared" si="16"/>
        <v>0</v>
      </c>
    </row>
    <row r="341" spans="2:8">
      <c r="B341" t="s">
        <v>1395</v>
      </c>
      <c r="C341" t="s">
        <v>1638</v>
      </c>
      <c r="D341" s="11" t="str">
        <f t="shared" si="17"/>
        <v>11-25</v>
      </c>
      <c r="E341" s="1">
        <f>_xlfn.IFNA(VLOOKUP('Comp X - UP'!B341,'Urban Plastix Holds'!$I$36:$U$498,11,0),0)</f>
        <v>0</v>
      </c>
      <c r="G341" s="2">
        <f t="shared" si="15"/>
        <v>0</v>
      </c>
      <c r="H341" s="2">
        <f t="shared" si="16"/>
        <v>0</v>
      </c>
    </row>
    <row r="342" spans="2:8">
      <c r="B342" t="s">
        <v>1395</v>
      </c>
      <c r="C342" t="s">
        <v>1638</v>
      </c>
      <c r="D342" s="13" t="str">
        <f t="shared" si="17"/>
        <v>18-01</v>
      </c>
      <c r="E342" s="1">
        <f>_xlfn.IFNA(VLOOKUP('Comp X - UP'!B342,'Urban Plastix Holds'!$I$36:$U$498,12,0),0)</f>
        <v>4</v>
      </c>
      <c r="G342" s="2">
        <f t="shared" si="15"/>
        <v>0</v>
      </c>
      <c r="H342" s="2">
        <f t="shared" si="16"/>
        <v>0</v>
      </c>
    </row>
    <row r="343" spans="2:8">
      <c r="B343" t="s">
        <v>1395</v>
      </c>
      <c r="C343" t="s">
        <v>1638</v>
      </c>
      <c r="D343" s="12" t="str">
        <f t="shared" si="17"/>
        <v>12-01</v>
      </c>
      <c r="E343" s="1">
        <f>_xlfn.IFNA(VLOOKUP('Comp X - UP'!B343,'Urban Plastix Holds'!$I$36:$U$498,13,0),0)</f>
        <v>0</v>
      </c>
      <c r="G343" s="2">
        <f t="shared" si="15"/>
        <v>0</v>
      </c>
      <c r="H343" s="2">
        <f t="shared" si="16"/>
        <v>0</v>
      </c>
    </row>
    <row r="344" spans="2:8">
      <c r="B344" t="s">
        <v>1397</v>
      </c>
      <c r="C344" t="s">
        <v>1639</v>
      </c>
      <c r="D344" s="5" t="str">
        <f t="shared" si="17"/>
        <v>11-12</v>
      </c>
      <c r="E344" s="1">
        <f>_xlfn.IFNA(VLOOKUP('Comp X - UP'!B344,'Urban Plastix Holds'!$I$36:$U$498,5,0),0)</f>
        <v>0</v>
      </c>
      <c r="G344" s="2">
        <f t="shared" si="15"/>
        <v>0</v>
      </c>
      <c r="H344" s="2">
        <f t="shared" si="16"/>
        <v>0</v>
      </c>
    </row>
    <row r="345" spans="2:8">
      <c r="B345" t="s">
        <v>1397</v>
      </c>
      <c r="C345" t="s">
        <v>1639</v>
      </c>
      <c r="D345" s="6" t="str">
        <f t="shared" si="17"/>
        <v>14-01</v>
      </c>
      <c r="E345" s="1">
        <f>_xlfn.IFNA(VLOOKUP('Comp X - UP'!B345,'Urban Plastix Holds'!$I$36:$U$498,6,0),0)</f>
        <v>0</v>
      </c>
      <c r="G345" s="2">
        <f t="shared" si="15"/>
        <v>0</v>
      </c>
      <c r="H345" s="2">
        <f t="shared" si="16"/>
        <v>0</v>
      </c>
    </row>
    <row r="346" spans="2:8">
      <c r="B346" t="s">
        <v>1397</v>
      </c>
      <c r="C346" t="s">
        <v>1639</v>
      </c>
      <c r="D346" s="7" t="str">
        <f t="shared" si="17"/>
        <v>15-12</v>
      </c>
      <c r="E346" s="1">
        <f>_xlfn.IFNA(VLOOKUP('Comp X - UP'!B346,'Urban Plastix Holds'!$I$36:$U$498,7,0),0)</f>
        <v>3</v>
      </c>
      <c r="G346" s="2">
        <f t="shared" si="15"/>
        <v>0</v>
      </c>
      <c r="H346" s="2">
        <f t="shared" si="16"/>
        <v>0</v>
      </c>
    </row>
    <row r="347" spans="2:8">
      <c r="B347" t="s">
        <v>1397</v>
      </c>
      <c r="C347" t="s">
        <v>1639</v>
      </c>
      <c r="D347" s="8" t="str">
        <f t="shared" si="17"/>
        <v>16-16</v>
      </c>
      <c r="E347" s="1">
        <f>_xlfn.IFNA(VLOOKUP('Comp X - UP'!B347,'Urban Plastix Holds'!$I$36:$U$498,8,0),0)</f>
        <v>0</v>
      </c>
      <c r="G347" s="2">
        <f t="shared" si="15"/>
        <v>0</v>
      </c>
      <c r="H347" s="2">
        <f t="shared" si="16"/>
        <v>0</v>
      </c>
    </row>
    <row r="348" spans="2:8">
      <c r="B348" t="s">
        <v>1397</v>
      </c>
      <c r="C348" t="s">
        <v>1639</v>
      </c>
      <c r="D348" s="9" t="str">
        <f t="shared" si="17"/>
        <v>13-01</v>
      </c>
      <c r="E348" s="1">
        <f>_xlfn.IFNA(VLOOKUP('Comp X - UP'!B348,'Urban Plastix Holds'!$I$36:$U$498,9,0),0)</f>
        <v>5</v>
      </c>
      <c r="G348" s="2">
        <f t="shared" si="15"/>
        <v>0</v>
      </c>
      <c r="H348" s="2">
        <f t="shared" si="16"/>
        <v>0</v>
      </c>
    </row>
    <row r="349" spans="2:8">
      <c r="B349" t="s">
        <v>1397</v>
      </c>
      <c r="C349" t="s">
        <v>1639</v>
      </c>
      <c r="D349" s="10" t="str">
        <f t="shared" si="17"/>
        <v>07-13</v>
      </c>
      <c r="E349" s="1">
        <f>_xlfn.IFNA(VLOOKUP('Comp X - UP'!B349,'Urban Plastix Holds'!$I$36:$U$498,10,0),0)</f>
        <v>0</v>
      </c>
      <c r="G349" s="2">
        <f t="shared" si="15"/>
        <v>0</v>
      </c>
      <c r="H349" s="2">
        <f t="shared" si="16"/>
        <v>0</v>
      </c>
    </row>
    <row r="350" spans="2:8">
      <c r="B350" t="s">
        <v>1397</v>
      </c>
      <c r="C350" t="s">
        <v>1639</v>
      </c>
      <c r="D350" s="11" t="str">
        <f t="shared" si="17"/>
        <v>11-25</v>
      </c>
      <c r="E350" s="1">
        <f>_xlfn.IFNA(VLOOKUP('Comp X - UP'!B350,'Urban Plastix Holds'!$I$36:$U$498,11,0),0)</f>
        <v>0</v>
      </c>
      <c r="G350" s="2">
        <f t="shared" si="15"/>
        <v>0</v>
      </c>
      <c r="H350" s="2">
        <f t="shared" si="16"/>
        <v>0</v>
      </c>
    </row>
    <row r="351" spans="2:8">
      <c r="B351" t="s">
        <v>1397</v>
      </c>
      <c r="C351" t="s">
        <v>1639</v>
      </c>
      <c r="D351" s="13" t="str">
        <f t="shared" si="17"/>
        <v>18-01</v>
      </c>
      <c r="E351" s="1">
        <f>_xlfn.IFNA(VLOOKUP('Comp X - UP'!B351,'Urban Plastix Holds'!$I$36:$U$498,12,0),0)</f>
        <v>3</v>
      </c>
      <c r="G351" s="2">
        <f t="shared" si="15"/>
        <v>0</v>
      </c>
      <c r="H351" s="2">
        <f t="shared" si="16"/>
        <v>0</v>
      </c>
    </row>
    <row r="352" spans="2:8">
      <c r="B352" t="s">
        <v>1397</v>
      </c>
      <c r="C352" t="s">
        <v>1639</v>
      </c>
      <c r="D352" s="12" t="str">
        <f t="shared" si="17"/>
        <v>12-01</v>
      </c>
      <c r="E352" s="1">
        <f>_xlfn.IFNA(VLOOKUP('Comp X - UP'!B352,'Urban Plastix Holds'!$I$36:$U$498,13,0),0)</f>
        <v>0</v>
      </c>
      <c r="G352" s="2">
        <f t="shared" si="15"/>
        <v>0</v>
      </c>
      <c r="H352" s="2">
        <f t="shared" si="16"/>
        <v>0</v>
      </c>
    </row>
    <row r="353" spans="2:8">
      <c r="B353" t="s">
        <v>1399</v>
      </c>
      <c r="C353" t="s">
        <v>1640</v>
      </c>
      <c r="D353" s="5" t="str">
        <f t="shared" si="17"/>
        <v>11-12</v>
      </c>
      <c r="E353" s="1">
        <f>_xlfn.IFNA(VLOOKUP('Comp X - UP'!B353,'Urban Plastix Holds'!$I$36:$U$498,5,0),0)</f>
        <v>0</v>
      </c>
      <c r="G353" s="2">
        <f t="shared" si="15"/>
        <v>0</v>
      </c>
      <c r="H353" s="2">
        <f t="shared" si="16"/>
        <v>0</v>
      </c>
    </row>
    <row r="354" spans="2:8">
      <c r="B354" t="s">
        <v>1399</v>
      </c>
      <c r="C354" t="s">
        <v>1640</v>
      </c>
      <c r="D354" s="6" t="str">
        <f t="shared" si="17"/>
        <v>14-01</v>
      </c>
      <c r="E354" s="1">
        <f>_xlfn.IFNA(VLOOKUP('Comp X - UP'!B354,'Urban Plastix Holds'!$I$36:$U$498,6,0),0)</f>
        <v>0</v>
      </c>
      <c r="G354" s="2">
        <f t="shared" si="15"/>
        <v>0</v>
      </c>
      <c r="H354" s="2">
        <f t="shared" si="16"/>
        <v>0</v>
      </c>
    </row>
    <row r="355" spans="2:8">
      <c r="B355" t="s">
        <v>1399</v>
      </c>
      <c r="C355" t="s">
        <v>1640</v>
      </c>
      <c r="D355" s="7" t="str">
        <f t="shared" si="17"/>
        <v>15-12</v>
      </c>
      <c r="E355" s="1">
        <f>_xlfn.IFNA(VLOOKUP('Comp X - UP'!B355,'Urban Plastix Holds'!$I$36:$U$498,7,0),0)</f>
        <v>4</v>
      </c>
      <c r="G355" s="2">
        <f t="shared" si="15"/>
        <v>0</v>
      </c>
      <c r="H355" s="2">
        <f t="shared" si="16"/>
        <v>0</v>
      </c>
    </row>
    <row r="356" spans="2:8">
      <c r="B356" t="s">
        <v>1399</v>
      </c>
      <c r="C356" t="s">
        <v>1640</v>
      </c>
      <c r="D356" s="8" t="str">
        <f t="shared" si="17"/>
        <v>16-16</v>
      </c>
      <c r="E356" s="1">
        <f>_xlfn.IFNA(VLOOKUP('Comp X - UP'!B356,'Urban Plastix Holds'!$I$36:$U$498,8,0),0)</f>
        <v>0</v>
      </c>
      <c r="G356" s="2">
        <f t="shared" si="15"/>
        <v>0</v>
      </c>
      <c r="H356" s="2">
        <f t="shared" si="16"/>
        <v>0</v>
      </c>
    </row>
    <row r="357" spans="2:8">
      <c r="B357" t="s">
        <v>1399</v>
      </c>
      <c r="C357" t="s">
        <v>1640</v>
      </c>
      <c r="D357" s="9" t="str">
        <f t="shared" si="17"/>
        <v>13-01</v>
      </c>
      <c r="E357" s="1">
        <f>_xlfn.IFNA(VLOOKUP('Comp X - UP'!B357,'Urban Plastix Holds'!$I$36:$U$498,9,0),0)</f>
        <v>5</v>
      </c>
      <c r="G357" s="2">
        <f t="shared" si="15"/>
        <v>0</v>
      </c>
      <c r="H357" s="2">
        <f t="shared" si="16"/>
        <v>0</v>
      </c>
    </row>
    <row r="358" spans="2:8">
      <c r="B358" t="s">
        <v>1399</v>
      </c>
      <c r="C358" t="s">
        <v>1640</v>
      </c>
      <c r="D358" s="10" t="str">
        <f t="shared" si="17"/>
        <v>07-13</v>
      </c>
      <c r="E358" s="1">
        <f>_xlfn.IFNA(VLOOKUP('Comp X - UP'!B358,'Urban Plastix Holds'!$I$36:$U$498,10,0),0)</f>
        <v>0</v>
      </c>
      <c r="G358" s="2">
        <f t="shared" si="15"/>
        <v>0</v>
      </c>
      <c r="H358" s="2">
        <f t="shared" si="16"/>
        <v>0</v>
      </c>
    </row>
    <row r="359" spans="2:8">
      <c r="B359" t="s">
        <v>1399</v>
      </c>
      <c r="C359" t="s">
        <v>1640</v>
      </c>
      <c r="D359" s="11" t="str">
        <f t="shared" si="17"/>
        <v>11-25</v>
      </c>
      <c r="E359" s="1">
        <f>_xlfn.IFNA(VLOOKUP('Comp X - UP'!B359,'Urban Plastix Holds'!$I$36:$U$498,11,0),0)</f>
        <v>0</v>
      </c>
      <c r="G359" s="2">
        <f t="shared" si="15"/>
        <v>0</v>
      </c>
      <c r="H359" s="2">
        <f t="shared" si="16"/>
        <v>0</v>
      </c>
    </row>
    <row r="360" spans="2:8">
      <c r="B360" t="s">
        <v>1399</v>
      </c>
      <c r="C360" t="s">
        <v>1640</v>
      </c>
      <c r="D360" s="13" t="str">
        <f t="shared" si="17"/>
        <v>18-01</v>
      </c>
      <c r="E360" s="1">
        <f>_xlfn.IFNA(VLOOKUP('Comp X - UP'!B360,'Urban Plastix Holds'!$I$36:$U$498,12,0),0)</f>
        <v>4</v>
      </c>
      <c r="G360" s="2">
        <f t="shared" si="15"/>
        <v>0</v>
      </c>
      <c r="H360" s="2">
        <f t="shared" si="16"/>
        <v>0</v>
      </c>
    </row>
    <row r="361" spans="2:8">
      <c r="B361" t="s">
        <v>1399</v>
      </c>
      <c r="C361" t="s">
        <v>1640</v>
      </c>
      <c r="D361" s="12" t="str">
        <f t="shared" si="17"/>
        <v>12-01</v>
      </c>
      <c r="E361" s="1">
        <f>_xlfn.IFNA(VLOOKUP('Comp X - UP'!B361,'Urban Plastix Holds'!$I$36:$U$498,13,0),0)</f>
        <v>0</v>
      </c>
      <c r="G361" s="2">
        <f t="shared" si="15"/>
        <v>0</v>
      </c>
      <c r="H361" s="2">
        <f t="shared" si="16"/>
        <v>0</v>
      </c>
    </row>
    <row r="362" spans="2:8">
      <c r="B362" t="s">
        <v>1401</v>
      </c>
      <c r="C362" t="s">
        <v>1641</v>
      </c>
      <c r="D362" s="5" t="str">
        <f t="shared" si="17"/>
        <v>11-12</v>
      </c>
      <c r="E362" s="1">
        <f>_xlfn.IFNA(VLOOKUP('Comp X - UP'!B362,'Urban Plastix Holds'!$I$36:$U$498,5,0),0)</f>
        <v>0</v>
      </c>
      <c r="G362" s="2">
        <f t="shared" si="15"/>
        <v>0</v>
      </c>
      <c r="H362" s="2">
        <f t="shared" si="16"/>
        <v>0</v>
      </c>
    </row>
    <row r="363" spans="2:8">
      <c r="B363" t="s">
        <v>1401</v>
      </c>
      <c r="C363" t="s">
        <v>1641</v>
      </c>
      <c r="D363" s="6" t="str">
        <f t="shared" si="17"/>
        <v>14-01</v>
      </c>
      <c r="E363" s="1">
        <f>_xlfn.IFNA(VLOOKUP('Comp X - UP'!B363,'Urban Plastix Holds'!$I$36:$U$498,6,0),0)</f>
        <v>0</v>
      </c>
      <c r="G363" s="2">
        <f t="shared" si="15"/>
        <v>0</v>
      </c>
      <c r="H363" s="2">
        <f t="shared" si="16"/>
        <v>0</v>
      </c>
    </row>
    <row r="364" spans="2:8">
      <c r="B364" t="s">
        <v>1401</v>
      </c>
      <c r="C364" t="s">
        <v>1641</v>
      </c>
      <c r="D364" s="7" t="str">
        <f t="shared" si="17"/>
        <v>15-12</v>
      </c>
      <c r="E364" s="1">
        <f>_xlfn.IFNA(VLOOKUP('Comp X - UP'!B364,'Urban Plastix Holds'!$I$36:$U$498,7,0),0)</f>
        <v>4</v>
      </c>
      <c r="G364" s="2">
        <f t="shared" si="15"/>
        <v>0</v>
      </c>
      <c r="H364" s="2">
        <f t="shared" si="16"/>
        <v>0</v>
      </c>
    </row>
    <row r="365" spans="2:8">
      <c r="B365" t="s">
        <v>1401</v>
      </c>
      <c r="C365" t="s">
        <v>1641</v>
      </c>
      <c r="D365" s="8" t="str">
        <f t="shared" si="17"/>
        <v>16-16</v>
      </c>
      <c r="E365" s="1">
        <f>_xlfn.IFNA(VLOOKUP('Comp X - UP'!B365,'Urban Plastix Holds'!$I$36:$U$498,8,0),0)</f>
        <v>0</v>
      </c>
      <c r="G365" s="2">
        <f t="shared" si="15"/>
        <v>0</v>
      </c>
      <c r="H365" s="2">
        <f t="shared" si="16"/>
        <v>0</v>
      </c>
    </row>
    <row r="366" spans="2:8">
      <c r="B366" t="s">
        <v>1401</v>
      </c>
      <c r="C366" t="s">
        <v>1641</v>
      </c>
      <c r="D366" s="9" t="str">
        <f t="shared" si="17"/>
        <v>13-01</v>
      </c>
      <c r="E366" s="1">
        <f>_xlfn.IFNA(VLOOKUP('Comp X - UP'!B366,'Urban Plastix Holds'!$I$36:$U$498,9,0),0)</f>
        <v>5</v>
      </c>
      <c r="G366" s="2">
        <f t="shared" si="15"/>
        <v>0</v>
      </c>
      <c r="H366" s="2">
        <f t="shared" si="16"/>
        <v>0</v>
      </c>
    </row>
    <row r="367" spans="2:8">
      <c r="B367" t="s">
        <v>1401</v>
      </c>
      <c r="C367" t="s">
        <v>1641</v>
      </c>
      <c r="D367" s="10" t="str">
        <f t="shared" si="17"/>
        <v>07-13</v>
      </c>
      <c r="E367" s="1">
        <f>_xlfn.IFNA(VLOOKUP('Comp X - UP'!B367,'Urban Plastix Holds'!$I$36:$U$498,10,0),0)</f>
        <v>0</v>
      </c>
      <c r="G367" s="2">
        <f t="shared" si="15"/>
        <v>0</v>
      </c>
      <c r="H367" s="2">
        <f t="shared" si="16"/>
        <v>0</v>
      </c>
    </row>
    <row r="368" spans="2:8">
      <c r="B368" t="s">
        <v>1401</v>
      </c>
      <c r="C368" t="s">
        <v>1641</v>
      </c>
      <c r="D368" s="11" t="str">
        <f t="shared" si="17"/>
        <v>11-25</v>
      </c>
      <c r="E368" s="1">
        <f>_xlfn.IFNA(VLOOKUP('Comp X - UP'!B368,'Urban Plastix Holds'!$I$36:$U$498,11,0),0)</f>
        <v>0</v>
      </c>
      <c r="G368" s="2">
        <f t="shared" si="15"/>
        <v>0</v>
      </c>
      <c r="H368" s="2">
        <f t="shared" si="16"/>
        <v>0</v>
      </c>
    </row>
    <row r="369" spans="2:8">
      <c r="B369" t="s">
        <v>1401</v>
      </c>
      <c r="C369" t="s">
        <v>1641</v>
      </c>
      <c r="D369" s="13" t="str">
        <f t="shared" si="17"/>
        <v>18-01</v>
      </c>
      <c r="E369" s="1">
        <f>_xlfn.IFNA(VLOOKUP('Comp X - UP'!B369,'Urban Plastix Holds'!$I$36:$U$498,12,0),0)</f>
        <v>4</v>
      </c>
      <c r="G369" s="2">
        <f t="shared" si="15"/>
        <v>0</v>
      </c>
      <c r="H369" s="2">
        <f t="shared" si="16"/>
        <v>0</v>
      </c>
    </row>
    <row r="370" spans="2:8">
      <c r="B370" t="s">
        <v>1401</v>
      </c>
      <c r="C370" t="s">
        <v>1641</v>
      </c>
      <c r="D370" s="12" t="str">
        <f t="shared" si="17"/>
        <v>12-01</v>
      </c>
      <c r="E370" s="1">
        <f>_xlfn.IFNA(VLOOKUP('Comp X - UP'!B370,'Urban Plastix Holds'!$I$36:$U$498,13,0),0)</f>
        <v>0</v>
      </c>
      <c r="G370" s="2">
        <f t="shared" si="15"/>
        <v>0</v>
      </c>
      <c r="H370" s="2">
        <f t="shared" si="16"/>
        <v>0</v>
      </c>
    </row>
    <row r="371" spans="2:8">
      <c r="B371" t="s">
        <v>1403</v>
      </c>
      <c r="C371" t="s">
        <v>1642</v>
      </c>
      <c r="D371" s="5" t="str">
        <f t="shared" si="17"/>
        <v>11-12</v>
      </c>
      <c r="E371" s="1">
        <f>_xlfn.IFNA(VLOOKUP('Comp X - UP'!B371,'Urban Plastix Holds'!$I$36:$U$498,5,0),0)</f>
        <v>0</v>
      </c>
      <c r="G371" s="2">
        <f t="shared" si="15"/>
        <v>0</v>
      </c>
      <c r="H371" s="2">
        <f t="shared" si="16"/>
        <v>0</v>
      </c>
    </row>
    <row r="372" spans="2:8">
      <c r="B372" t="s">
        <v>1403</v>
      </c>
      <c r="C372" t="s">
        <v>1642</v>
      </c>
      <c r="D372" s="6" t="str">
        <f t="shared" si="17"/>
        <v>14-01</v>
      </c>
      <c r="E372" s="1">
        <f>_xlfn.IFNA(VLOOKUP('Comp X - UP'!B372,'Urban Plastix Holds'!$I$36:$U$498,6,0),0)</f>
        <v>0</v>
      </c>
      <c r="G372" s="2">
        <f t="shared" si="15"/>
        <v>0</v>
      </c>
      <c r="H372" s="2">
        <f t="shared" si="16"/>
        <v>0</v>
      </c>
    </row>
    <row r="373" spans="2:8">
      <c r="B373" t="s">
        <v>1403</v>
      </c>
      <c r="C373" t="s">
        <v>1642</v>
      </c>
      <c r="D373" s="7" t="str">
        <f t="shared" si="17"/>
        <v>15-12</v>
      </c>
      <c r="E373" s="1">
        <f>_xlfn.IFNA(VLOOKUP('Comp X - UP'!B373,'Urban Plastix Holds'!$I$36:$U$498,7,0),0)</f>
        <v>4</v>
      </c>
      <c r="G373" s="2">
        <f t="shared" si="15"/>
        <v>0</v>
      </c>
      <c r="H373" s="2">
        <f t="shared" si="16"/>
        <v>0</v>
      </c>
    </row>
    <row r="374" spans="2:8">
      <c r="B374" t="s">
        <v>1403</v>
      </c>
      <c r="C374" t="s">
        <v>1642</v>
      </c>
      <c r="D374" s="8" t="str">
        <f t="shared" si="17"/>
        <v>16-16</v>
      </c>
      <c r="E374" s="1">
        <f>_xlfn.IFNA(VLOOKUP('Comp X - UP'!B374,'Urban Plastix Holds'!$I$36:$U$498,8,0),0)</f>
        <v>0</v>
      </c>
      <c r="G374" s="2">
        <f t="shared" si="15"/>
        <v>0</v>
      </c>
      <c r="H374" s="2">
        <f t="shared" si="16"/>
        <v>0</v>
      </c>
    </row>
    <row r="375" spans="2:8">
      <c r="B375" t="s">
        <v>1403</v>
      </c>
      <c r="C375" t="s">
        <v>1642</v>
      </c>
      <c r="D375" s="9" t="str">
        <f t="shared" si="17"/>
        <v>13-01</v>
      </c>
      <c r="E375" s="1">
        <f>_xlfn.IFNA(VLOOKUP('Comp X - UP'!B375,'Urban Plastix Holds'!$I$36:$U$498,9,0),0)</f>
        <v>5</v>
      </c>
      <c r="G375" s="2">
        <f t="shared" si="15"/>
        <v>0</v>
      </c>
      <c r="H375" s="2">
        <f t="shared" si="16"/>
        <v>0</v>
      </c>
    </row>
    <row r="376" spans="2:8">
      <c r="B376" t="s">
        <v>1403</v>
      </c>
      <c r="C376" t="s">
        <v>1642</v>
      </c>
      <c r="D376" s="10" t="str">
        <f t="shared" si="17"/>
        <v>07-13</v>
      </c>
      <c r="E376" s="1">
        <f>_xlfn.IFNA(VLOOKUP('Comp X - UP'!B376,'Urban Plastix Holds'!$I$36:$U$498,10,0),0)</f>
        <v>0</v>
      </c>
      <c r="G376" s="2">
        <f t="shared" si="15"/>
        <v>0</v>
      </c>
      <c r="H376" s="2">
        <f t="shared" si="16"/>
        <v>0</v>
      </c>
    </row>
    <row r="377" spans="2:8">
      <c r="B377" t="s">
        <v>1403</v>
      </c>
      <c r="C377" t="s">
        <v>1642</v>
      </c>
      <c r="D377" s="11" t="str">
        <f t="shared" si="17"/>
        <v>11-25</v>
      </c>
      <c r="E377" s="1">
        <f>_xlfn.IFNA(VLOOKUP('Comp X - UP'!B377,'Urban Plastix Holds'!$I$36:$U$498,11,0),0)</f>
        <v>0</v>
      </c>
      <c r="G377" s="2">
        <f t="shared" si="15"/>
        <v>0</v>
      </c>
      <c r="H377" s="2">
        <f t="shared" si="16"/>
        <v>0</v>
      </c>
    </row>
    <row r="378" spans="2:8">
      <c r="B378" t="s">
        <v>1403</v>
      </c>
      <c r="C378" t="s">
        <v>1642</v>
      </c>
      <c r="D378" s="13" t="str">
        <f t="shared" si="17"/>
        <v>18-01</v>
      </c>
      <c r="E378" s="1">
        <f>_xlfn.IFNA(VLOOKUP('Comp X - UP'!B378,'Urban Plastix Holds'!$I$36:$U$498,12,0),0)</f>
        <v>4</v>
      </c>
      <c r="G378" s="2">
        <f t="shared" si="15"/>
        <v>0</v>
      </c>
      <c r="H378" s="2">
        <f t="shared" si="16"/>
        <v>0</v>
      </c>
    </row>
    <row r="379" spans="2:8">
      <c r="B379" t="s">
        <v>1403</v>
      </c>
      <c r="C379" t="s">
        <v>1642</v>
      </c>
      <c r="D379" s="12" t="str">
        <f t="shared" si="17"/>
        <v>12-01</v>
      </c>
      <c r="E379" s="1">
        <f>_xlfn.IFNA(VLOOKUP('Comp X - UP'!B379,'Urban Plastix Holds'!$I$36:$U$498,13,0),0)</f>
        <v>0</v>
      </c>
      <c r="G379" s="2">
        <f t="shared" si="15"/>
        <v>0</v>
      </c>
      <c r="H379" s="2">
        <f t="shared" si="16"/>
        <v>0</v>
      </c>
    </row>
    <row r="380" spans="2:8">
      <c r="B380" t="s">
        <v>1404</v>
      </c>
      <c r="C380" t="s">
        <v>1643</v>
      </c>
      <c r="D380" s="5" t="str">
        <f t="shared" si="17"/>
        <v>11-12</v>
      </c>
      <c r="E380" s="1">
        <f>_xlfn.IFNA(VLOOKUP('Comp X - UP'!B380,'Urban Plastix Holds'!$I$36:$U$498,5,0),0)</f>
        <v>0</v>
      </c>
      <c r="G380" s="2">
        <f t="shared" si="15"/>
        <v>0</v>
      </c>
      <c r="H380" s="2">
        <f t="shared" si="16"/>
        <v>0</v>
      </c>
    </row>
    <row r="381" spans="2:8">
      <c r="B381" t="s">
        <v>1404</v>
      </c>
      <c r="C381" t="s">
        <v>1643</v>
      </c>
      <c r="D381" s="6" t="str">
        <f t="shared" si="17"/>
        <v>14-01</v>
      </c>
      <c r="E381" s="1">
        <f>_xlfn.IFNA(VLOOKUP('Comp X - UP'!B381,'Urban Plastix Holds'!$I$36:$U$498,6,0),0)</f>
        <v>0</v>
      </c>
      <c r="G381" s="2">
        <f t="shared" si="15"/>
        <v>0</v>
      </c>
      <c r="H381" s="2">
        <f t="shared" si="16"/>
        <v>0</v>
      </c>
    </row>
    <row r="382" spans="2:8">
      <c r="B382" t="s">
        <v>1404</v>
      </c>
      <c r="C382" t="s">
        <v>1643</v>
      </c>
      <c r="D382" s="7" t="str">
        <f t="shared" si="17"/>
        <v>15-12</v>
      </c>
      <c r="E382" s="1">
        <f>_xlfn.IFNA(VLOOKUP('Comp X - UP'!B382,'Urban Plastix Holds'!$I$36:$U$498,7,0),0)</f>
        <v>4</v>
      </c>
      <c r="G382" s="2">
        <f t="shared" si="15"/>
        <v>0</v>
      </c>
      <c r="H382" s="2">
        <f t="shared" si="16"/>
        <v>0</v>
      </c>
    </row>
    <row r="383" spans="2:8">
      <c r="B383" t="s">
        <v>1404</v>
      </c>
      <c r="C383" t="s">
        <v>1643</v>
      </c>
      <c r="D383" s="8" t="str">
        <f t="shared" si="17"/>
        <v>16-16</v>
      </c>
      <c r="E383" s="1">
        <f>_xlfn.IFNA(VLOOKUP('Comp X - UP'!B383,'Urban Plastix Holds'!$I$36:$U$498,8,0),0)</f>
        <v>0</v>
      </c>
      <c r="G383" s="2">
        <f t="shared" si="15"/>
        <v>0</v>
      </c>
      <c r="H383" s="2">
        <f t="shared" si="16"/>
        <v>0</v>
      </c>
    </row>
    <row r="384" spans="2:8">
      <c r="B384" t="s">
        <v>1404</v>
      </c>
      <c r="C384" t="s">
        <v>1643</v>
      </c>
      <c r="D384" s="9" t="str">
        <f t="shared" si="17"/>
        <v>13-01</v>
      </c>
      <c r="E384" s="1">
        <f>_xlfn.IFNA(VLOOKUP('Comp X - UP'!B384,'Urban Plastix Holds'!$I$36:$U$498,9,0),0)</f>
        <v>5</v>
      </c>
      <c r="G384" s="2">
        <f t="shared" si="15"/>
        <v>0</v>
      </c>
      <c r="H384" s="2">
        <f t="shared" si="16"/>
        <v>0</v>
      </c>
    </row>
    <row r="385" spans="2:8">
      <c r="B385" t="s">
        <v>1404</v>
      </c>
      <c r="C385" t="s">
        <v>1643</v>
      </c>
      <c r="D385" s="10" t="str">
        <f t="shared" si="17"/>
        <v>07-13</v>
      </c>
      <c r="E385" s="1">
        <f>_xlfn.IFNA(VLOOKUP('Comp X - UP'!B385,'Urban Plastix Holds'!$I$36:$U$498,10,0),0)</f>
        <v>0</v>
      </c>
      <c r="G385" s="2">
        <f t="shared" si="15"/>
        <v>0</v>
      </c>
      <c r="H385" s="2">
        <f t="shared" si="16"/>
        <v>0</v>
      </c>
    </row>
    <row r="386" spans="2:8">
      <c r="B386" t="s">
        <v>1404</v>
      </c>
      <c r="C386" t="s">
        <v>1643</v>
      </c>
      <c r="D386" s="11" t="str">
        <f t="shared" si="17"/>
        <v>11-25</v>
      </c>
      <c r="E386" s="1">
        <f>_xlfn.IFNA(VLOOKUP('Comp X - UP'!B386,'Urban Plastix Holds'!$I$36:$U$498,11,0),0)</f>
        <v>0</v>
      </c>
      <c r="G386" s="2">
        <f t="shared" si="15"/>
        <v>0</v>
      </c>
      <c r="H386" s="2">
        <f t="shared" si="16"/>
        <v>0</v>
      </c>
    </row>
    <row r="387" spans="2:8">
      <c r="B387" t="s">
        <v>1404</v>
      </c>
      <c r="C387" t="s">
        <v>1643</v>
      </c>
      <c r="D387" s="13" t="str">
        <f t="shared" si="17"/>
        <v>18-01</v>
      </c>
      <c r="E387" s="1">
        <f>_xlfn.IFNA(VLOOKUP('Comp X - UP'!B387,'Urban Plastix Holds'!$I$36:$U$498,12,0),0)</f>
        <v>4</v>
      </c>
      <c r="G387" s="2">
        <f t="shared" ref="G387:G450" si="18">E387*F387</f>
        <v>0</v>
      </c>
      <c r="H387" s="2">
        <f t="shared" ref="H387:H450" si="19">IF($S$11="Y",G387*0.15,0)</f>
        <v>0</v>
      </c>
    </row>
    <row r="388" spans="2:8">
      <c r="B388" t="s">
        <v>1404</v>
      </c>
      <c r="C388" t="s">
        <v>1643</v>
      </c>
      <c r="D388" s="12" t="str">
        <f t="shared" si="17"/>
        <v>12-01</v>
      </c>
      <c r="E388" s="1">
        <f>_xlfn.IFNA(VLOOKUP('Comp X - UP'!B388,'Urban Plastix Holds'!$I$36:$U$498,13,0),0)</f>
        <v>0</v>
      </c>
      <c r="G388" s="2">
        <f t="shared" si="18"/>
        <v>0</v>
      </c>
      <c r="H388" s="2">
        <f t="shared" si="19"/>
        <v>0</v>
      </c>
    </row>
    <row r="389" spans="2:8">
      <c r="B389" t="s">
        <v>1405</v>
      </c>
      <c r="C389" t="s">
        <v>1644</v>
      </c>
      <c r="D389" s="5" t="str">
        <f t="shared" si="17"/>
        <v>11-12</v>
      </c>
      <c r="E389" s="1">
        <f>_xlfn.IFNA(VLOOKUP('Comp X - UP'!B389,'Urban Plastix Holds'!$I$36:$U$498,5,0),0)</f>
        <v>0</v>
      </c>
      <c r="G389" s="2">
        <f t="shared" si="18"/>
        <v>0</v>
      </c>
      <c r="H389" s="2">
        <f t="shared" si="19"/>
        <v>0</v>
      </c>
    </row>
    <row r="390" spans="2:8">
      <c r="B390" t="s">
        <v>1405</v>
      </c>
      <c r="C390" t="s">
        <v>1644</v>
      </c>
      <c r="D390" s="6" t="str">
        <f t="shared" si="17"/>
        <v>14-01</v>
      </c>
      <c r="E390" s="1">
        <f>_xlfn.IFNA(VLOOKUP('Comp X - UP'!B390,'Urban Plastix Holds'!$I$36:$U$498,6,0),0)</f>
        <v>0</v>
      </c>
      <c r="G390" s="2">
        <f t="shared" si="18"/>
        <v>0</v>
      </c>
      <c r="H390" s="2">
        <f t="shared" si="19"/>
        <v>0</v>
      </c>
    </row>
    <row r="391" spans="2:8">
      <c r="B391" t="s">
        <v>1405</v>
      </c>
      <c r="C391" t="s">
        <v>1644</v>
      </c>
      <c r="D391" s="7" t="str">
        <f t="shared" si="17"/>
        <v>15-12</v>
      </c>
      <c r="E391" s="1">
        <f>_xlfn.IFNA(VLOOKUP('Comp X - UP'!B391,'Urban Plastix Holds'!$I$36:$U$498,7,0),0)</f>
        <v>4</v>
      </c>
      <c r="G391" s="2">
        <f t="shared" si="18"/>
        <v>0</v>
      </c>
      <c r="H391" s="2">
        <f t="shared" si="19"/>
        <v>0</v>
      </c>
    </row>
    <row r="392" spans="2:8">
      <c r="B392" t="s">
        <v>1405</v>
      </c>
      <c r="C392" t="s">
        <v>1644</v>
      </c>
      <c r="D392" s="8" t="str">
        <f t="shared" si="17"/>
        <v>16-16</v>
      </c>
      <c r="E392" s="1">
        <f>_xlfn.IFNA(VLOOKUP('Comp X - UP'!B392,'Urban Plastix Holds'!$I$36:$U$498,8,0),0)</f>
        <v>0</v>
      </c>
      <c r="G392" s="2">
        <f t="shared" si="18"/>
        <v>0</v>
      </c>
      <c r="H392" s="2">
        <f t="shared" si="19"/>
        <v>0</v>
      </c>
    </row>
    <row r="393" spans="2:8">
      <c r="B393" t="s">
        <v>1405</v>
      </c>
      <c r="C393" t="s">
        <v>1644</v>
      </c>
      <c r="D393" s="9" t="str">
        <f t="shared" si="17"/>
        <v>13-01</v>
      </c>
      <c r="E393" s="1">
        <f>_xlfn.IFNA(VLOOKUP('Comp X - UP'!B393,'Urban Plastix Holds'!$I$36:$U$498,9,0),0)</f>
        <v>4</v>
      </c>
      <c r="G393" s="2">
        <f t="shared" si="18"/>
        <v>0</v>
      </c>
      <c r="H393" s="2">
        <f t="shared" si="19"/>
        <v>0</v>
      </c>
    </row>
    <row r="394" spans="2:8">
      <c r="B394" t="s">
        <v>1405</v>
      </c>
      <c r="C394" t="s">
        <v>1644</v>
      </c>
      <c r="D394" s="10" t="str">
        <f t="shared" si="17"/>
        <v>07-13</v>
      </c>
      <c r="E394" s="1">
        <f>_xlfn.IFNA(VLOOKUP('Comp X - UP'!B394,'Urban Plastix Holds'!$I$36:$U$498,10,0),0)</f>
        <v>0</v>
      </c>
      <c r="G394" s="2">
        <f t="shared" si="18"/>
        <v>0</v>
      </c>
      <c r="H394" s="2">
        <f t="shared" si="19"/>
        <v>0</v>
      </c>
    </row>
    <row r="395" spans="2:8">
      <c r="B395" t="s">
        <v>1405</v>
      </c>
      <c r="C395" t="s">
        <v>1644</v>
      </c>
      <c r="D395" s="11" t="str">
        <f t="shared" ref="D395:D458" si="20">D386</f>
        <v>11-25</v>
      </c>
      <c r="E395" s="1">
        <f>_xlfn.IFNA(VLOOKUP('Comp X - UP'!B395,'Urban Plastix Holds'!$I$36:$U$498,11,0),0)</f>
        <v>0</v>
      </c>
      <c r="G395" s="2">
        <f t="shared" si="18"/>
        <v>0</v>
      </c>
      <c r="H395" s="2">
        <f t="shared" si="19"/>
        <v>0</v>
      </c>
    </row>
    <row r="396" spans="2:8">
      <c r="B396" t="s">
        <v>1405</v>
      </c>
      <c r="C396" t="s">
        <v>1644</v>
      </c>
      <c r="D396" s="13" t="str">
        <f t="shared" si="20"/>
        <v>18-01</v>
      </c>
      <c r="E396" s="1">
        <f>_xlfn.IFNA(VLOOKUP('Comp X - UP'!B396,'Urban Plastix Holds'!$I$36:$U$498,12,0),0)</f>
        <v>4</v>
      </c>
      <c r="G396" s="2">
        <f t="shared" si="18"/>
        <v>0</v>
      </c>
      <c r="H396" s="2">
        <f t="shared" si="19"/>
        <v>0</v>
      </c>
    </row>
    <row r="397" spans="2:8">
      <c r="B397" t="s">
        <v>1405</v>
      </c>
      <c r="C397" t="s">
        <v>1644</v>
      </c>
      <c r="D397" s="12" t="str">
        <f t="shared" si="20"/>
        <v>12-01</v>
      </c>
      <c r="E397" s="1">
        <f>_xlfn.IFNA(VLOOKUP('Comp X - UP'!B397,'Urban Plastix Holds'!$I$36:$U$498,13,0),0)</f>
        <v>0</v>
      </c>
      <c r="G397" s="2">
        <f t="shared" si="18"/>
        <v>0</v>
      </c>
      <c r="H397" s="2">
        <f t="shared" si="19"/>
        <v>0</v>
      </c>
    </row>
    <row r="398" spans="2:8">
      <c r="B398" t="s">
        <v>1407</v>
      </c>
      <c r="C398" t="s">
        <v>1645</v>
      </c>
      <c r="D398" s="5" t="str">
        <f t="shared" si="20"/>
        <v>11-12</v>
      </c>
      <c r="E398" s="1">
        <f>_xlfn.IFNA(VLOOKUP('Comp X - UP'!B398,'Urban Plastix Holds'!$I$36:$U$498,5,0),0)</f>
        <v>0</v>
      </c>
      <c r="G398" s="2">
        <f t="shared" si="18"/>
        <v>0</v>
      </c>
      <c r="H398" s="2">
        <f t="shared" si="19"/>
        <v>0</v>
      </c>
    </row>
    <row r="399" spans="2:8">
      <c r="B399" t="s">
        <v>1407</v>
      </c>
      <c r="C399" t="s">
        <v>1645</v>
      </c>
      <c r="D399" s="6" t="str">
        <f t="shared" si="20"/>
        <v>14-01</v>
      </c>
      <c r="E399" s="1">
        <f>_xlfn.IFNA(VLOOKUP('Comp X - UP'!B399,'Urban Plastix Holds'!$I$36:$U$498,6,0),0)</f>
        <v>0</v>
      </c>
      <c r="G399" s="2">
        <f t="shared" si="18"/>
        <v>0</v>
      </c>
      <c r="H399" s="2">
        <f t="shared" si="19"/>
        <v>0</v>
      </c>
    </row>
    <row r="400" spans="2:8">
      <c r="B400" t="s">
        <v>1407</v>
      </c>
      <c r="C400" t="s">
        <v>1645</v>
      </c>
      <c r="D400" s="7" t="str">
        <f t="shared" si="20"/>
        <v>15-12</v>
      </c>
      <c r="E400" s="1">
        <f>_xlfn.IFNA(VLOOKUP('Comp X - UP'!B400,'Urban Plastix Holds'!$I$36:$U$498,7,0),0)</f>
        <v>4</v>
      </c>
      <c r="G400" s="2">
        <f t="shared" si="18"/>
        <v>0</v>
      </c>
      <c r="H400" s="2">
        <f t="shared" si="19"/>
        <v>0</v>
      </c>
    </row>
    <row r="401" spans="2:8">
      <c r="B401" t="s">
        <v>1407</v>
      </c>
      <c r="C401" t="s">
        <v>1645</v>
      </c>
      <c r="D401" s="8" t="str">
        <f t="shared" si="20"/>
        <v>16-16</v>
      </c>
      <c r="E401" s="1">
        <f>_xlfn.IFNA(VLOOKUP('Comp X - UP'!B401,'Urban Plastix Holds'!$I$36:$U$498,8,0),0)</f>
        <v>0</v>
      </c>
      <c r="G401" s="2">
        <f t="shared" si="18"/>
        <v>0</v>
      </c>
      <c r="H401" s="2">
        <f t="shared" si="19"/>
        <v>0</v>
      </c>
    </row>
    <row r="402" spans="2:8">
      <c r="B402" t="s">
        <v>1407</v>
      </c>
      <c r="C402" t="s">
        <v>1645</v>
      </c>
      <c r="D402" s="9" t="str">
        <f t="shared" si="20"/>
        <v>13-01</v>
      </c>
      <c r="E402" s="1">
        <f>_xlfn.IFNA(VLOOKUP('Comp X - UP'!B402,'Urban Plastix Holds'!$I$36:$U$498,9,0),0)</f>
        <v>5</v>
      </c>
      <c r="G402" s="2">
        <f t="shared" si="18"/>
        <v>0</v>
      </c>
      <c r="H402" s="2">
        <f t="shared" si="19"/>
        <v>0</v>
      </c>
    </row>
    <row r="403" spans="2:8">
      <c r="B403" t="s">
        <v>1407</v>
      </c>
      <c r="C403" t="s">
        <v>1645</v>
      </c>
      <c r="D403" s="10" t="str">
        <f t="shared" si="20"/>
        <v>07-13</v>
      </c>
      <c r="E403" s="1">
        <f>_xlfn.IFNA(VLOOKUP('Comp X - UP'!B403,'Urban Plastix Holds'!$I$36:$U$498,10,0),0)</f>
        <v>0</v>
      </c>
      <c r="G403" s="2">
        <f t="shared" si="18"/>
        <v>0</v>
      </c>
      <c r="H403" s="2">
        <f t="shared" si="19"/>
        <v>0</v>
      </c>
    </row>
    <row r="404" spans="2:8">
      <c r="B404" t="s">
        <v>1407</v>
      </c>
      <c r="C404" t="s">
        <v>1645</v>
      </c>
      <c r="D404" s="11" t="str">
        <f t="shared" si="20"/>
        <v>11-25</v>
      </c>
      <c r="E404" s="1">
        <f>_xlfn.IFNA(VLOOKUP('Comp X - UP'!B404,'Urban Plastix Holds'!$I$36:$U$498,11,0),0)</f>
        <v>0</v>
      </c>
      <c r="G404" s="2">
        <f t="shared" si="18"/>
        <v>0</v>
      </c>
      <c r="H404" s="2">
        <f t="shared" si="19"/>
        <v>0</v>
      </c>
    </row>
    <row r="405" spans="2:8">
      <c r="B405" t="s">
        <v>1407</v>
      </c>
      <c r="C405" t="s">
        <v>1645</v>
      </c>
      <c r="D405" s="13" t="str">
        <f t="shared" si="20"/>
        <v>18-01</v>
      </c>
      <c r="E405" s="1">
        <f>_xlfn.IFNA(VLOOKUP('Comp X - UP'!B405,'Urban Plastix Holds'!$I$36:$U$498,12,0),0)</f>
        <v>5</v>
      </c>
      <c r="G405" s="2">
        <f t="shared" si="18"/>
        <v>0</v>
      </c>
      <c r="H405" s="2">
        <f t="shared" si="19"/>
        <v>0</v>
      </c>
    </row>
    <row r="406" spans="2:8">
      <c r="B406" t="s">
        <v>1407</v>
      </c>
      <c r="C406" t="s">
        <v>1645</v>
      </c>
      <c r="D406" s="12" t="str">
        <f t="shared" si="20"/>
        <v>12-01</v>
      </c>
      <c r="E406" s="1">
        <f>_xlfn.IFNA(VLOOKUP('Comp X - UP'!B406,'Urban Plastix Holds'!$I$36:$U$498,13,0),0)</f>
        <v>0</v>
      </c>
      <c r="G406" s="2">
        <f t="shared" si="18"/>
        <v>0</v>
      </c>
      <c r="H406" s="2">
        <f t="shared" si="19"/>
        <v>0</v>
      </c>
    </row>
    <row r="407" spans="2:8">
      <c r="B407" t="s">
        <v>1409</v>
      </c>
      <c r="C407" t="s">
        <v>1646</v>
      </c>
      <c r="D407" s="5" t="str">
        <f t="shared" si="20"/>
        <v>11-12</v>
      </c>
      <c r="E407" s="1">
        <f>_xlfn.IFNA(VLOOKUP('Comp X - UP'!B407,'Urban Plastix Holds'!$I$36:$U$498,5,0),0)</f>
        <v>0</v>
      </c>
      <c r="G407" s="2">
        <f t="shared" si="18"/>
        <v>0</v>
      </c>
      <c r="H407" s="2">
        <f t="shared" si="19"/>
        <v>0</v>
      </c>
    </row>
    <row r="408" spans="2:8">
      <c r="B408" t="s">
        <v>1409</v>
      </c>
      <c r="C408" t="s">
        <v>1646</v>
      </c>
      <c r="D408" s="6" t="str">
        <f t="shared" si="20"/>
        <v>14-01</v>
      </c>
      <c r="E408" s="1">
        <f>_xlfn.IFNA(VLOOKUP('Comp X - UP'!B408,'Urban Plastix Holds'!$I$36:$U$498,6,0),0)</f>
        <v>0</v>
      </c>
      <c r="G408" s="2">
        <f t="shared" si="18"/>
        <v>0</v>
      </c>
      <c r="H408" s="2">
        <f t="shared" si="19"/>
        <v>0</v>
      </c>
    </row>
    <row r="409" spans="2:8">
      <c r="B409" t="s">
        <v>1409</v>
      </c>
      <c r="C409" t="s">
        <v>1646</v>
      </c>
      <c r="D409" s="7" t="str">
        <f t="shared" si="20"/>
        <v>15-12</v>
      </c>
      <c r="E409" s="1">
        <f>_xlfn.IFNA(VLOOKUP('Comp X - UP'!B409,'Urban Plastix Holds'!$I$36:$U$498,7,0),0)</f>
        <v>4</v>
      </c>
      <c r="G409" s="2">
        <f t="shared" si="18"/>
        <v>0</v>
      </c>
      <c r="H409" s="2">
        <f t="shared" si="19"/>
        <v>0</v>
      </c>
    </row>
    <row r="410" spans="2:8">
      <c r="B410" t="s">
        <v>1409</v>
      </c>
      <c r="C410" t="s">
        <v>1646</v>
      </c>
      <c r="D410" s="8" t="str">
        <f t="shared" si="20"/>
        <v>16-16</v>
      </c>
      <c r="E410" s="1">
        <f>_xlfn.IFNA(VLOOKUP('Comp X - UP'!B410,'Urban Plastix Holds'!$I$36:$U$498,8,0),0)</f>
        <v>0</v>
      </c>
      <c r="G410" s="2">
        <f t="shared" si="18"/>
        <v>0</v>
      </c>
      <c r="H410" s="2">
        <f t="shared" si="19"/>
        <v>0</v>
      </c>
    </row>
    <row r="411" spans="2:8">
      <c r="B411" t="s">
        <v>1409</v>
      </c>
      <c r="C411" t="s">
        <v>1646</v>
      </c>
      <c r="D411" s="9" t="str">
        <f t="shared" si="20"/>
        <v>13-01</v>
      </c>
      <c r="E411" s="1">
        <f>_xlfn.IFNA(VLOOKUP('Comp X - UP'!B411,'Urban Plastix Holds'!$I$36:$U$498,9,0),0)</f>
        <v>3</v>
      </c>
      <c r="G411" s="2">
        <f t="shared" si="18"/>
        <v>0</v>
      </c>
      <c r="H411" s="2">
        <f t="shared" si="19"/>
        <v>0</v>
      </c>
    </row>
    <row r="412" spans="2:8">
      <c r="B412" t="s">
        <v>1409</v>
      </c>
      <c r="C412" t="s">
        <v>1646</v>
      </c>
      <c r="D412" s="10" t="str">
        <f t="shared" si="20"/>
        <v>07-13</v>
      </c>
      <c r="E412" s="1">
        <f>_xlfn.IFNA(VLOOKUP('Comp X - UP'!B412,'Urban Plastix Holds'!$I$36:$U$498,10,0),0)</f>
        <v>0</v>
      </c>
      <c r="G412" s="2">
        <f t="shared" si="18"/>
        <v>0</v>
      </c>
      <c r="H412" s="2">
        <f t="shared" si="19"/>
        <v>0</v>
      </c>
    </row>
    <row r="413" spans="2:8">
      <c r="B413" t="s">
        <v>1409</v>
      </c>
      <c r="C413" t="s">
        <v>1646</v>
      </c>
      <c r="D413" s="11" t="str">
        <f t="shared" si="20"/>
        <v>11-25</v>
      </c>
      <c r="E413" s="1">
        <f>_xlfn.IFNA(VLOOKUP('Comp X - UP'!B413,'Urban Plastix Holds'!$I$36:$U$498,11,0),0)</f>
        <v>0</v>
      </c>
      <c r="G413" s="2">
        <f t="shared" si="18"/>
        <v>0</v>
      </c>
      <c r="H413" s="2">
        <f t="shared" si="19"/>
        <v>0</v>
      </c>
    </row>
    <row r="414" spans="2:8">
      <c r="B414" t="s">
        <v>1409</v>
      </c>
      <c r="C414" t="s">
        <v>1646</v>
      </c>
      <c r="D414" s="13" t="str">
        <f t="shared" si="20"/>
        <v>18-01</v>
      </c>
      <c r="E414" s="1">
        <f>_xlfn.IFNA(VLOOKUP('Comp X - UP'!B414,'Urban Plastix Holds'!$I$36:$U$498,12,0),0)</f>
        <v>6</v>
      </c>
      <c r="G414" s="2">
        <f t="shared" si="18"/>
        <v>0</v>
      </c>
      <c r="H414" s="2">
        <f t="shared" si="19"/>
        <v>0</v>
      </c>
    </row>
    <row r="415" spans="2:8">
      <c r="B415" t="s">
        <v>1409</v>
      </c>
      <c r="C415" t="s">
        <v>1646</v>
      </c>
      <c r="D415" s="12" t="str">
        <f t="shared" si="20"/>
        <v>12-01</v>
      </c>
      <c r="E415" s="1">
        <f>_xlfn.IFNA(VLOOKUP('Comp X - UP'!B415,'Urban Plastix Holds'!$I$36:$U$498,13,0),0)</f>
        <v>0</v>
      </c>
      <c r="G415" s="2">
        <f t="shared" si="18"/>
        <v>0</v>
      </c>
      <c r="H415" s="2">
        <f t="shared" si="19"/>
        <v>0</v>
      </c>
    </row>
    <row r="416" spans="2:8">
      <c r="B416" t="s">
        <v>1411</v>
      </c>
      <c r="C416" t="s">
        <v>1647</v>
      </c>
      <c r="D416" s="5" t="str">
        <f t="shared" si="20"/>
        <v>11-12</v>
      </c>
      <c r="E416" s="1">
        <f>_xlfn.IFNA(VLOOKUP('Comp X - UP'!B416,'Urban Plastix Holds'!$I$36:$U$498,5,0),0)</f>
        <v>0</v>
      </c>
      <c r="G416" s="2">
        <f t="shared" si="18"/>
        <v>0</v>
      </c>
      <c r="H416" s="2">
        <f t="shared" si="19"/>
        <v>0</v>
      </c>
    </row>
    <row r="417" spans="2:8">
      <c r="B417" t="s">
        <v>1411</v>
      </c>
      <c r="C417" t="s">
        <v>1647</v>
      </c>
      <c r="D417" s="6" t="str">
        <f t="shared" si="20"/>
        <v>14-01</v>
      </c>
      <c r="E417" s="1">
        <f>_xlfn.IFNA(VLOOKUP('Comp X - UP'!B417,'Urban Plastix Holds'!$I$36:$U$498,6,0),0)</f>
        <v>0</v>
      </c>
      <c r="G417" s="2">
        <f t="shared" si="18"/>
        <v>0</v>
      </c>
      <c r="H417" s="2">
        <f t="shared" si="19"/>
        <v>0</v>
      </c>
    </row>
    <row r="418" spans="2:8">
      <c r="B418" t="s">
        <v>1411</v>
      </c>
      <c r="C418" t="s">
        <v>1647</v>
      </c>
      <c r="D418" s="7" t="str">
        <f t="shared" si="20"/>
        <v>15-12</v>
      </c>
      <c r="E418" s="1">
        <f>_xlfn.IFNA(VLOOKUP('Comp X - UP'!B418,'Urban Plastix Holds'!$I$36:$U$498,7,0),0)</f>
        <v>2</v>
      </c>
      <c r="G418" s="2">
        <f t="shared" si="18"/>
        <v>0</v>
      </c>
      <c r="H418" s="2">
        <f t="shared" si="19"/>
        <v>0</v>
      </c>
    </row>
    <row r="419" spans="2:8">
      <c r="B419" t="s">
        <v>1411</v>
      </c>
      <c r="C419" t="s">
        <v>1647</v>
      </c>
      <c r="D419" s="8" t="str">
        <f t="shared" si="20"/>
        <v>16-16</v>
      </c>
      <c r="E419" s="1">
        <f>_xlfn.IFNA(VLOOKUP('Comp X - UP'!B419,'Urban Plastix Holds'!$I$36:$U$498,8,0),0)</f>
        <v>0</v>
      </c>
      <c r="G419" s="2">
        <f t="shared" si="18"/>
        <v>0</v>
      </c>
      <c r="H419" s="2">
        <f t="shared" si="19"/>
        <v>0</v>
      </c>
    </row>
    <row r="420" spans="2:8">
      <c r="B420" t="s">
        <v>1411</v>
      </c>
      <c r="C420" t="s">
        <v>1647</v>
      </c>
      <c r="D420" s="9" t="str">
        <f t="shared" si="20"/>
        <v>13-01</v>
      </c>
      <c r="E420" s="1">
        <f>_xlfn.IFNA(VLOOKUP('Comp X - UP'!B420,'Urban Plastix Holds'!$I$36:$U$498,9,0),0)</f>
        <v>5</v>
      </c>
      <c r="G420" s="2">
        <f t="shared" si="18"/>
        <v>0</v>
      </c>
      <c r="H420" s="2">
        <f t="shared" si="19"/>
        <v>0</v>
      </c>
    </row>
    <row r="421" spans="2:8">
      <c r="B421" t="s">
        <v>1411</v>
      </c>
      <c r="C421" t="s">
        <v>1647</v>
      </c>
      <c r="D421" s="10" t="str">
        <f t="shared" si="20"/>
        <v>07-13</v>
      </c>
      <c r="E421" s="1">
        <f>_xlfn.IFNA(VLOOKUP('Comp X - UP'!B421,'Urban Plastix Holds'!$I$36:$U$498,10,0),0)</f>
        <v>0</v>
      </c>
      <c r="G421" s="2">
        <f t="shared" si="18"/>
        <v>0</v>
      </c>
      <c r="H421" s="2">
        <f t="shared" si="19"/>
        <v>0</v>
      </c>
    </row>
    <row r="422" spans="2:8">
      <c r="B422" t="s">
        <v>1411</v>
      </c>
      <c r="C422" t="s">
        <v>1647</v>
      </c>
      <c r="D422" s="11" t="str">
        <f t="shared" si="20"/>
        <v>11-25</v>
      </c>
      <c r="E422" s="1">
        <f>_xlfn.IFNA(VLOOKUP('Comp X - UP'!B422,'Urban Plastix Holds'!$I$36:$U$498,11,0),0)</f>
        <v>0</v>
      </c>
      <c r="G422" s="2">
        <f t="shared" si="18"/>
        <v>0</v>
      </c>
      <c r="H422" s="2">
        <f t="shared" si="19"/>
        <v>0</v>
      </c>
    </row>
    <row r="423" spans="2:8">
      <c r="B423" t="s">
        <v>1411</v>
      </c>
      <c r="C423" t="s">
        <v>1647</v>
      </c>
      <c r="D423" s="13" t="str">
        <f t="shared" si="20"/>
        <v>18-01</v>
      </c>
      <c r="E423" s="1">
        <f>_xlfn.IFNA(VLOOKUP('Comp X - UP'!B423,'Urban Plastix Holds'!$I$36:$U$498,12,0),0)</f>
        <v>2</v>
      </c>
      <c r="G423" s="2">
        <f t="shared" si="18"/>
        <v>0</v>
      </c>
      <c r="H423" s="2">
        <f t="shared" si="19"/>
        <v>0</v>
      </c>
    </row>
    <row r="424" spans="2:8">
      <c r="B424" t="s">
        <v>1411</v>
      </c>
      <c r="C424" t="s">
        <v>1647</v>
      </c>
      <c r="D424" s="12" t="str">
        <f t="shared" si="20"/>
        <v>12-01</v>
      </c>
      <c r="E424" s="1">
        <f>_xlfn.IFNA(VLOOKUP('Comp X - UP'!B424,'Urban Plastix Holds'!$I$36:$U$498,13,0),0)</f>
        <v>0</v>
      </c>
      <c r="G424" s="2">
        <f t="shared" si="18"/>
        <v>0</v>
      </c>
      <c r="H424" s="2">
        <f t="shared" si="19"/>
        <v>0</v>
      </c>
    </row>
    <row r="425" spans="2:8">
      <c r="B425" t="s">
        <v>1413</v>
      </c>
      <c r="C425" t="s">
        <v>1648</v>
      </c>
      <c r="D425" s="5" t="str">
        <f t="shared" si="20"/>
        <v>11-12</v>
      </c>
      <c r="E425" s="1">
        <f>_xlfn.IFNA(VLOOKUP('Comp X - UP'!B425,'Urban Plastix Holds'!$I$36:$U$498,5,0),0)</f>
        <v>1</v>
      </c>
      <c r="G425" s="2">
        <f t="shared" si="18"/>
        <v>0</v>
      </c>
      <c r="H425" s="2">
        <f t="shared" si="19"/>
        <v>0</v>
      </c>
    </row>
    <row r="426" spans="2:8">
      <c r="B426" t="s">
        <v>1413</v>
      </c>
      <c r="C426" t="s">
        <v>1648</v>
      </c>
      <c r="D426" s="6" t="str">
        <f t="shared" si="20"/>
        <v>14-01</v>
      </c>
      <c r="E426" s="1">
        <f>_xlfn.IFNA(VLOOKUP('Comp X - UP'!B426,'Urban Plastix Holds'!$I$36:$U$498,6,0),0)</f>
        <v>0</v>
      </c>
      <c r="G426" s="2">
        <f t="shared" si="18"/>
        <v>0</v>
      </c>
      <c r="H426" s="2">
        <f t="shared" si="19"/>
        <v>0</v>
      </c>
    </row>
    <row r="427" spans="2:8">
      <c r="B427" t="s">
        <v>1413</v>
      </c>
      <c r="C427" t="s">
        <v>1648</v>
      </c>
      <c r="D427" s="7" t="str">
        <f t="shared" si="20"/>
        <v>15-12</v>
      </c>
      <c r="E427" s="1">
        <f>_xlfn.IFNA(VLOOKUP('Comp X - UP'!B427,'Urban Plastix Holds'!$I$36:$U$498,7,0),0)</f>
        <v>2</v>
      </c>
      <c r="G427" s="2">
        <f t="shared" si="18"/>
        <v>0</v>
      </c>
      <c r="H427" s="2">
        <f t="shared" si="19"/>
        <v>0</v>
      </c>
    </row>
    <row r="428" spans="2:8">
      <c r="B428" t="s">
        <v>1413</v>
      </c>
      <c r="C428" t="s">
        <v>1648</v>
      </c>
      <c r="D428" s="8" t="str">
        <f t="shared" si="20"/>
        <v>16-16</v>
      </c>
      <c r="E428" s="1">
        <f>_xlfn.IFNA(VLOOKUP('Comp X - UP'!B428,'Urban Plastix Holds'!$I$36:$U$498,8,0),0)</f>
        <v>1</v>
      </c>
      <c r="G428" s="2">
        <f t="shared" si="18"/>
        <v>0</v>
      </c>
      <c r="H428" s="2">
        <f t="shared" si="19"/>
        <v>0</v>
      </c>
    </row>
    <row r="429" spans="2:8">
      <c r="B429" t="s">
        <v>1413</v>
      </c>
      <c r="C429" t="s">
        <v>1648</v>
      </c>
      <c r="D429" s="9" t="str">
        <f t="shared" si="20"/>
        <v>13-01</v>
      </c>
      <c r="E429" s="1">
        <f>_xlfn.IFNA(VLOOKUP('Comp X - UP'!B429,'Urban Plastix Holds'!$I$36:$U$498,9,0),0)</f>
        <v>3</v>
      </c>
      <c r="G429" s="2">
        <f t="shared" si="18"/>
        <v>0</v>
      </c>
      <c r="H429" s="2">
        <f t="shared" si="19"/>
        <v>0</v>
      </c>
    </row>
    <row r="430" spans="2:8">
      <c r="B430" t="s">
        <v>1413</v>
      </c>
      <c r="C430" t="s">
        <v>1648</v>
      </c>
      <c r="D430" s="10" t="str">
        <f t="shared" si="20"/>
        <v>07-13</v>
      </c>
      <c r="E430" s="1">
        <f>_xlfn.IFNA(VLOOKUP('Comp X - UP'!B430,'Urban Plastix Holds'!$I$36:$U$498,10,0),0)</f>
        <v>0</v>
      </c>
      <c r="G430" s="2">
        <f t="shared" si="18"/>
        <v>0</v>
      </c>
      <c r="H430" s="2">
        <f t="shared" si="19"/>
        <v>0</v>
      </c>
    </row>
    <row r="431" spans="2:8">
      <c r="B431" t="s">
        <v>1413</v>
      </c>
      <c r="C431" t="s">
        <v>1648</v>
      </c>
      <c r="D431" s="11" t="str">
        <f t="shared" si="20"/>
        <v>11-25</v>
      </c>
      <c r="E431" s="1">
        <f>_xlfn.IFNA(VLOOKUP('Comp X - UP'!B431,'Urban Plastix Holds'!$I$36:$U$498,11,0),0)</f>
        <v>0</v>
      </c>
      <c r="G431" s="2">
        <f t="shared" si="18"/>
        <v>0</v>
      </c>
      <c r="H431" s="2">
        <f t="shared" si="19"/>
        <v>0</v>
      </c>
    </row>
    <row r="432" spans="2:8">
      <c r="B432" t="s">
        <v>1413</v>
      </c>
      <c r="C432" t="s">
        <v>1648</v>
      </c>
      <c r="D432" s="13" t="str">
        <f t="shared" si="20"/>
        <v>18-01</v>
      </c>
      <c r="E432" s="1">
        <f>_xlfn.IFNA(VLOOKUP('Comp X - UP'!B432,'Urban Plastix Holds'!$I$36:$U$498,12,0),0)</f>
        <v>0</v>
      </c>
      <c r="G432" s="2">
        <f t="shared" si="18"/>
        <v>0</v>
      </c>
      <c r="H432" s="2">
        <f t="shared" si="19"/>
        <v>0</v>
      </c>
    </row>
    <row r="433" spans="2:8">
      <c r="B433" t="s">
        <v>1413</v>
      </c>
      <c r="C433" t="s">
        <v>1648</v>
      </c>
      <c r="D433" s="12" t="str">
        <f t="shared" si="20"/>
        <v>12-01</v>
      </c>
      <c r="E433" s="1">
        <f>_xlfn.IFNA(VLOOKUP('Comp X - UP'!B433,'Urban Plastix Holds'!$I$36:$U$498,13,0),0)</f>
        <v>0</v>
      </c>
      <c r="G433" s="2">
        <f t="shared" si="18"/>
        <v>0</v>
      </c>
      <c r="H433" s="2">
        <f t="shared" si="19"/>
        <v>0</v>
      </c>
    </row>
    <row r="434" spans="2:8">
      <c r="B434" t="s">
        <v>1415</v>
      </c>
      <c r="C434" t="s">
        <v>1649</v>
      </c>
      <c r="D434" s="5" t="str">
        <f t="shared" si="20"/>
        <v>11-12</v>
      </c>
      <c r="E434" s="1">
        <f>_xlfn.IFNA(VLOOKUP('Comp X - UP'!B434,'Urban Plastix Holds'!$I$36:$U$498,5,0),0)</f>
        <v>0</v>
      </c>
      <c r="G434" s="2">
        <f t="shared" si="18"/>
        <v>0</v>
      </c>
      <c r="H434" s="2">
        <f t="shared" si="19"/>
        <v>0</v>
      </c>
    </row>
    <row r="435" spans="2:8">
      <c r="B435" t="s">
        <v>1415</v>
      </c>
      <c r="C435" t="s">
        <v>1649</v>
      </c>
      <c r="D435" s="6" t="str">
        <f t="shared" si="20"/>
        <v>14-01</v>
      </c>
      <c r="E435" s="1">
        <f>_xlfn.IFNA(VLOOKUP('Comp X - UP'!B435,'Urban Plastix Holds'!$I$36:$U$498,6,0),0)</f>
        <v>0</v>
      </c>
      <c r="G435" s="2">
        <f t="shared" si="18"/>
        <v>0</v>
      </c>
      <c r="H435" s="2">
        <f t="shared" si="19"/>
        <v>0</v>
      </c>
    </row>
    <row r="436" spans="2:8">
      <c r="B436" t="s">
        <v>1415</v>
      </c>
      <c r="C436" t="s">
        <v>1649</v>
      </c>
      <c r="D436" s="7" t="str">
        <f t="shared" si="20"/>
        <v>15-12</v>
      </c>
      <c r="E436" s="1">
        <f>_xlfn.IFNA(VLOOKUP('Comp X - UP'!B436,'Urban Plastix Holds'!$I$36:$U$498,7,0),0)</f>
        <v>5</v>
      </c>
      <c r="G436" s="2">
        <f t="shared" si="18"/>
        <v>0</v>
      </c>
      <c r="H436" s="2">
        <f t="shared" si="19"/>
        <v>0</v>
      </c>
    </row>
    <row r="437" spans="2:8">
      <c r="B437" t="s">
        <v>1415</v>
      </c>
      <c r="C437" t="s">
        <v>1649</v>
      </c>
      <c r="D437" s="8" t="str">
        <f t="shared" si="20"/>
        <v>16-16</v>
      </c>
      <c r="E437" s="1">
        <f>_xlfn.IFNA(VLOOKUP('Comp X - UP'!B437,'Urban Plastix Holds'!$I$36:$U$498,8,0),0)</f>
        <v>0</v>
      </c>
      <c r="G437" s="2">
        <f t="shared" si="18"/>
        <v>0</v>
      </c>
      <c r="H437" s="2">
        <f t="shared" si="19"/>
        <v>0</v>
      </c>
    </row>
    <row r="438" spans="2:8">
      <c r="B438" t="s">
        <v>1415</v>
      </c>
      <c r="C438" t="s">
        <v>1649</v>
      </c>
      <c r="D438" s="9" t="str">
        <f t="shared" si="20"/>
        <v>13-01</v>
      </c>
      <c r="E438" s="1">
        <f>_xlfn.IFNA(VLOOKUP('Comp X - UP'!B438,'Urban Plastix Holds'!$I$36:$U$498,9,0),0)</f>
        <v>5</v>
      </c>
      <c r="G438" s="2">
        <f t="shared" si="18"/>
        <v>0</v>
      </c>
      <c r="H438" s="2">
        <f t="shared" si="19"/>
        <v>0</v>
      </c>
    </row>
    <row r="439" spans="2:8">
      <c r="B439" t="s">
        <v>1415</v>
      </c>
      <c r="C439" t="s">
        <v>1649</v>
      </c>
      <c r="D439" s="10" t="str">
        <f t="shared" si="20"/>
        <v>07-13</v>
      </c>
      <c r="E439" s="1">
        <f>_xlfn.IFNA(VLOOKUP('Comp X - UP'!B439,'Urban Plastix Holds'!$I$36:$U$498,10,0),0)</f>
        <v>0</v>
      </c>
      <c r="G439" s="2">
        <f t="shared" si="18"/>
        <v>0</v>
      </c>
      <c r="H439" s="2">
        <f t="shared" si="19"/>
        <v>0</v>
      </c>
    </row>
    <row r="440" spans="2:8">
      <c r="B440" t="s">
        <v>1415</v>
      </c>
      <c r="C440" t="s">
        <v>1649</v>
      </c>
      <c r="D440" s="11" t="str">
        <f t="shared" si="20"/>
        <v>11-25</v>
      </c>
      <c r="E440" s="1">
        <f>_xlfn.IFNA(VLOOKUP('Comp X - UP'!B440,'Urban Plastix Holds'!$I$36:$U$498,11,0),0)</f>
        <v>0</v>
      </c>
      <c r="G440" s="2">
        <f t="shared" si="18"/>
        <v>0</v>
      </c>
      <c r="H440" s="2">
        <f t="shared" si="19"/>
        <v>0</v>
      </c>
    </row>
    <row r="441" spans="2:8">
      <c r="B441" t="s">
        <v>1415</v>
      </c>
      <c r="C441" t="s">
        <v>1649</v>
      </c>
      <c r="D441" s="13" t="str">
        <f t="shared" si="20"/>
        <v>18-01</v>
      </c>
      <c r="E441" s="1">
        <f>_xlfn.IFNA(VLOOKUP('Comp X - UP'!B441,'Urban Plastix Holds'!$I$36:$U$498,12,0),0)</f>
        <v>5</v>
      </c>
      <c r="G441" s="2">
        <f t="shared" si="18"/>
        <v>0</v>
      </c>
      <c r="H441" s="2">
        <f t="shared" si="19"/>
        <v>0</v>
      </c>
    </row>
    <row r="442" spans="2:8">
      <c r="B442" t="s">
        <v>1415</v>
      </c>
      <c r="C442" t="s">
        <v>1649</v>
      </c>
      <c r="D442" s="12" t="str">
        <f t="shared" si="20"/>
        <v>12-01</v>
      </c>
      <c r="E442" s="1">
        <f>_xlfn.IFNA(VLOOKUP('Comp X - UP'!B442,'Urban Plastix Holds'!$I$36:$U$498,13,0),0)</f>
        <v>0</v>
      </c>
      <c r="G442" s="2">
        <f t="shared" si="18"/>
        <v>0</v>
      </c>
      <c r="H442" s="2">
        <f t="shared" si="19"/>
        <v>0</v>
      </c>
    </row>
    <row r="443" spans="2:8">
      <c r="B443" t="s">
        <v>1417</v>
      </c>
      <c r="C443" t="s">
        <v>1650</v>
      </c>
      <c r="D443" s="5" t="str">
        <f t="shared" si="20"/>
        <v>11-12</v>
      </c>
      <c r="E443" s="1">
        <f>_xlfn.IFNA(VLOOKUP('Comp X - UP'!B443,'Urban Plastix Holds'!$I$36:$U$498,5,0),0)</f>
        <v>0</v>
      </c>
      <c r="G443" s="2">
        <f t="shared" si="18"/>
        <v>0</v>
      </c>
      <c r="H443" s="2">
        <f t="shared" si="19"/>
        <v>0</v>
      </c>
    </row>
    <row r="444" spans="2:8">
      <c r="B444" t="s">
        <v>1417</v>
      </c>
      <c r="C444" t="s">
        <v>1650</v>
      </c>
      <c r="D444" s="6" t="str">
        <f t="shared" si="20"/>
        <v>14-01</v>
      </c>
      <c r="E444" s="1">
        <f>_xlfn.IFNA(VLOOKUP('Comp X - UP'!B444,'Urban Plastix Holds'!$I$36:$U$498,6,0),0)</f>
        <v>0</v>
      </c>
      <c r="G444" s="2">
        <f t="shared" si="18"/>
        <v>0</v>
      </c>
      <c r="H444" s="2">
        <f t="shared" si="19"/>
        <v>0</v>
      </c>
    </row>
    <row r="445" spans="2:8">
      <c r="B445" t="s">
        <v>1417</v>
      </c>
      <c r="C445" t="s">
        <v>1650</v>
      </c>
      <c r="D445" s="7" t="str">
        <f t="shared" si="20"/>
        <v>15-12</v>
      </c>
      <c r="E445" s="1">
        <f>_xlfn.IFNA(VLOOKUP('Comp X - UP'!B445,'Urban Plastix Holds'!$I$36:$U$498,7,0),0)</f>
        <v>5</v>
      </c>
      <c r="G445" s="2">
        <f t="shared" si="18"/>
        <v>0</v>
      </c>
      <c r="H445" s="2">
        <f t="shared" si="19"/>
        <v>0</v>
      </c>
    </row>
    <row r="446" spans="2:8">
      <c r="B446" t="s">
        <v>1417</v>
      </c>
      <c r="C446" t="s">
        <v>1650</v>
      </c>
      <c r="D446" s="8" t="str">
        <f t="shared" si="20"/>
        <v>16-16</v>
      </c>
      <c r="E446" s="1">
        <f>_xlfn.IFNA(VLOOKUP('Comp X - UP'!B446,'Urban Plastix Holds'!$I$36:$U$498,8,0),0)</f>
        <v>0</v>
      </c>
      <c r="G446" s="2">
        <f t="shared" si="18"/>
        <v>0</v>
      </c>
      <c r="H446" s="2">
        <f t="shared" si="19"/>
        <v>0</v>
      </c>
    </row>
    <row r="447" spans="2:8">
      <c r="B447" t="s">
        <v>1417</v>
      </c>
      <c r="C447" t="s">
        <v>1650</v>
      </c>
      <c r="D447" s="9" t="str">
        <f t="shared" si="20"/>
        <v>13-01</v>
      </c>
      <c r="E447" s="1">
        <f>_xlfn.IFNA(VLOOKUP('Comp X - UP'!B447,'Urban Plastix Holds'!$I$36:$U$498,9,0),0)</f>
        <v>5</v>
      </c>
      <c r="G447" s="2">
        <f t="shared" si="18"/>
        <v>0</v>
      </c>
      <c r="H447" s="2">
        <f t="shared" si="19"/>
        <v>0</v>
      </c>
    </row>
    <row r="448" spans="2:8">
      <c r="B448" t="s">
        <v>1417</v>
      </c>
      <c r="C448" t="s">
        <v>1650</v>
      </c>
      <c r="D448" s="10" t="str">
        <f t="shared" si="20"/>
        <v>07-13</v>
      </c>
      <c r="E448" s="1">
        <f>_xlfn.IFNA(VLOOKUP('Comp X - UP'!B448,'Urban Plastix Holds'!$I$36:$U$498,10,0),0)</f>
        <v>0</v>
      </c>
      <c r="G448" s="2">
        <f t="shared" si="18"/>
        <v>0</v>
      </c>
      <c r="H448" s="2">
        <f t="shared" si="19"/>
        <v>0</v>
      </c>
    </row>
    <row r="449" spans="2:8">
      <c r="B449" t="s">
        <v>1417</v>
      </c>
      <c r="C449" t="s">
        <v>1650</v>
      </c>
      <c r="D449" s="11" t="str">
        <f t="shared" si="20"/>
        <v>11-25</v>
      </c>
      <c r="E449" s="1">
        <f>_xlfn.IFNA(VLOOKUP('Comp X - UP'!B449,'Urban Plastix Holds'!$I$36:$U$498,11,0),0)</f>
        <v>0</v>
      </c>
      <c r="G449" s="2">
        <f t="shared" si="18"/>
        <v>0</v>
      </c>
      <c r="H449" s="2">
        <f t="shared" si="19"/>
        <v>0</v>
      </c>
    </row>
    <row r="450" spans="2:8">
      <c r="B450" t="s">
        <v>1417</v>
      </c>
      <c r="C450" t="s">
        <v>1650</v>
      </c>
      <c r="D450" s="13" t="str">
        <f t="shared" si="20"/>
        <v>18-01</v>
      </c>
      <c r="E450" s="1">
        <f>_xlfn.IFNA(VLOOKUP('Comp X - UP'!B450,'Urban Plastix Holds'!$I$36:$U$498,12,0),0)</f>
        <v>5</v>
      </c>
      <c r="G450" s="2">
        <f t="shared" si="18"/>
        <v>0</v>
      </c>
      <c r="H450" s="2">
        <f t="shared" si="19"/>
        <v>0</v>
      </c>
    </row>
    <row r="451" spans="2:8">
      <c r="B451" t="s">
        <v>1417</v>
      </c>
      <c r="C451" t="s">
        <v>1650</v>
      </c>
      <c r="D451" s="12" t="str">
        <f t="shared" si="20"/>
        <v>12-01</v>
      </c>
      <c r="E451" s="1">
        <f>_xlfn.IFNA(VLOOKUP('Comp X - UP'!B451,'Urban Plastix Holds'!$I$36:$U$498,13,0),0)</f>
        <v>0</v>
      </c>
      <c r="G451" s="2">
        <f t="shared" ref="G451:G469" si="21">E451*F451</f>
        <v>0</v>
      </c>
      <c r="H451" s="2">
        <f t="shared" ref="H451:H469" si="22">IF($S$11="Y",G451*0.15,0)</f>
        <v>0</v>
      </c>
    </row>
    <row r="452" spans="2:8">
      <c r="B452" t="s">
        <v>1419</v>
      </c>
      <c r="C452" t="s">
        <v>1651</v>
      </c>
      <c r="D452" s="5" t="str">
        <f t="shared" si="20"/>
        <v>11-12</v>
      </c>
      <c r="E452" s="1">
        <f>_xlfn.IFNA(VLOOKUP('Comp X - UP'!B452,'Urban Plastix Holds'!$I$36:$U$498,5,0),0)</f>
        <v>0</v>
      </c>
      <c r="G452" s="2">
        <f t="shared" si="21"/>
        <v>0</v>
      </c>
      <c r="H452" s="2">
        <f t="shared" si="22"/>
        <v>0</v>
      </c>
    </row>
    <row r="453" spans="2:8">
      <c r="B453" t="s">
        <v>1419</v>
      </c>
      <c r="C453" t="s">
        <v>1651</v>
      </c>
      <c r="D453" s="6" t="str">
        <f t="shared" si="20"/>
        <v>14-01</v>
      </c>
      <c r="E453" s="1">
        <f>_xlfn.IFNA(VLOOKUP('Comp X - UP'!B453,'Urban Plastix Holds'!$I$36:$U$498,6,0),0)</f>
        <v>0</v>
      </c>
      <c r="G453" s="2">
        <f t="shared" si="21"/>
        <v>0</v>
      </c>
      <c r="H453" s="2">
        <f t="shared" si="22"/>
        <v>0</v>
      </c>
    </row>
    <row r="454" spans="2:8">
      <c r="B454" t="s">
        <v>1419</v>
      </c>
      <c r="C454" t="s">
        <v>1651</v>
      </c>
      <c r="D454" s="7" t="str">
        <f t="shared" si="20"/>
        <v>15-12</v>
      </c>
      <c r="E454" s="1">
        <f>_xlfn.IFNA(VLOOKUP('Comp X - UP'!B454,'Urban Plastix Holds'!$I$36:$U$498,7,0),0)</f>
        <v>5</v>
      </c>
      <c r="G454" s="2">
        <f t="shared" si="21"/>
        <v>0</v>
      </c>
      <c r="H454" s="2">
        <f t="shared" si="22"/>
        <v>0</v>
      </c>
    </row>
    <row r="455" spans="2:8">
      <c r="B455" t="s">
        <v>1419</v>
      </c>
      <c r="C455" t="s">
        <v>1651</v>
      </c>
      <c r="D455" s="8" t="str">
        <f t="shared" si="20"/>
        <v>16-16</v>
      </c>
      <c r="E455" s="1">
        <f>_xlfn.IFNA(VLOOKUP('Comp X - UP'!B455,'Urban Plastix Holds'!$I$36:$U$498,8,0),0)</f>
        <v>0</v>
      </c>
      <c r="G455" s="2">
        <f t="shared" si="21"/>
        <v>0</v>
      </c>
      <c r="H455" s="2">
        <f t="shared" si="22"/>
        <v>0</v>
      </c>
    </row>
    <row r="456" spans="2:8">
      <c r="B456" t="s">
        <v>1419</v>
      </c>
      <c r="C456" t="s">
        <v>1651</v>
      </c>
      <c r="D456" s="9" t="str">
        <f t="shared" si="20"/>
        <v>13-01</v>
      </c>
      <c r="E456" s="1">
        <f>_xlfn.IFNA(VLOOKUP('Comp X - UP'!B456,'Urban Plastix Holds'!$I$36:$U$498,9,0),0)</f>
        <v>4</v>
      </c>
      <c r="G456" s="2">
        <f t="shared" si="21"/>
        <v>0</v>
      </c>
      <c r="H456" s="2">
        <f t="shared" si="22"/>
        <v>0</v>
      </c>
    </row>
    <row r="457" spans="2:8">
      <c r="B457" t="s">
        <v>1419</v>
      </c>
      <c r="C457" t="s">
        <v>1651</v>
      </c>
      <c r="D457" s="10" t="str">
        <f t="shared" si="20"/>
        <v>07-13</v>
      </c>
      <c r="E457" s="1">
        <f>_xlfn.IFNA(VLOOKUP('Comp X - UP'!B457,'Urban Plastix Holds'!$I$36:$U$498,10,0),0)</f>
        <v>0</v>
      </c>
      <c r="G457" s="2">
        <f t="shared" si="21"/>
        <v>0</v>
      </c>
      <c r="H457" s="2">
        <f t="shared" si="22"/>
        <v>0</v>
      </c>
    </row>
    <row r="458" spans="2:8">
      <c r="B458" t="s">
        <v>1419</v>
      </c>
      <c r="C458" t="s">
        <v>1651</v>
      </c>
      <c r="D458" s="11" t="str">
        <f t="shared" si="20"/>
        <v>11-25</v>
      </c>
      <c r="E458" s="1">
        <f>_xlfn.IFNA(VLOOKUP('Comp X - UP'!B458,'Urban Plastix Holds'!$I$36:$U$498,11,0),0)</f>
        <v>0</v>
      </c>
      <c r="G458" s="2">
        <f t="shared" si="21"/>
        <v>0</v>
      </c>
      <c r="H458" s="2">
        <f t="shared" si="22"/>
        <v>0</v>
      </c>
    </row>
    <row r="459" spans="2:8">
      <c r="B459" t="s">
        <v>1419</v>
      </c>
      <c r="C459" t="s">
        <v>1651</v>
      </c>
      <c r="D459" s="13" t="str">
        <f t="shared" ref="D459:D522" si="23">D450</f>
        <v>18-01</v>
      </c>
      <c r="E459" s="1">
        <f>_xlfn.IFNA(VLOOKUP('Comp X - UP'!B459,'Urban Plastix Holds'!$I$36:$U$498,12,0),0)</f>
        <v>5</v>
      </c>
      <c r="G459" s="2">
        <f t="shared" si="21"/>
        <v>0</v>
      </c>
      <c r="H459" s="2">
        <f t="shared" si="22"/>
        <v>0</v>
      </c>
    </row>
    <row r="460" spans="2:8">
      <c r="B460" t="s">
        <v>1419</v>
      </c>
      <c r="C460" t="s">
        <v>1651</v>
      </c>
      <c r="D460" s="12" t="str">
        <f t="shared" si="23"/>
        <v>12-01</v>
      </c>
      <c r="E460" s="1">
        <f>_xlfn.IFNA(VLOOKUP('Comp X - UP'!B460,'Urban Plastix Holds'!$I$36:$U$498,13,0),0)</f>
        <v>0</v>
      </c>
      <c r="G460" s="2">
        <f t="shared" si="21"/>
        <v>0</v>
      </c>
      <c r="H460" s="2">
        <f t="shared" si="22"/>
        <v>0</v>
      </c>
    </row>
    <row r="461" spans="2:8">
      <c r="B461" t="s">
        <v>1420</v>
      </c>
      <c r="C461" t="s">
        <v>1652</v>
      </c>
      <c r="D461" s="5" t="str">
        <f t="shared" si="23"/>
        <v>11-12</v>
      </c>
      <c r="E461" s="1">
        <f>_xlfn.IFNA(VLOOKUP('Comp X - UP'!B461,'Urban Plastix Holds'!$I$36:$U$498,5,0),0)</f>
        <v>0</v>
      </c>
      <c r="G461" s="2">
        <f t="shared" si="21"/>
        <v>0</v>
      </c>
      <c r="H461" s="2">
        <f t="shared" si="22"/>
        <v>0</v>
      </c>
    </row>
    <row r="462" spans="2:8">
      <c r="B462" t="s">
        <v>1420</v>
      </c>
      <c r="C462" t="s">
        <v>1652</v>
      </c>
      <c r="D462" s="6" t="str">
        <f t="shared" si="23"/>
        <v>14-01</v>
      </c>
      <c r="E462" s="1">
        <f>_xlfn.IFNA(VLOOKUP('Comp X - UP'!B462,'Urban Plastix Holds'!$I$36:$U$498,6,0),0)</f>
        <v>0</v>
      </c>
      <c r="G462" s="2">
        <f t="shared" si="21"/>
        <v>0</v>
      </c>
      <c r="H462" s="2">
        <f t="shared" si="22"/>
        <v>0</v>
      </c>
    </row>
    <row r="463" spans="2:8">
      <c r="B463" t="s">
        <v>1420</v>
      </c>
      <c r="C463" t="s">
        <v>1652</v>
      </c>
      <c r="D463" s="7" t="str">
        <f t="shared" si="23"/>
        <v>15-12</v>
      </c>
      <c r="E463" s="1">
        <f>_xlfn.IFNA(VLOOKUP('Comp X - UP'!B463,'Urban Plastix Holds'!$I$36:$U$498,7,0),0)</f>
        <v>5</v>
      </c>
      <c r="G463" s="2">
        <f t="shared" si="21"/>
        <v>0</v>
      </c>
      <c r="H463" s="2">
        <f t="shared" si="22"/>
        <v>0</v>
      </c>
    </row>
    <row r="464" spans="2:8">
      <c r="B464" t="s">
        <v>1420</v>
      </c>
      <c r="C464" t="s">
        <v>1652</v>
      </c>
      <c r="D464" s="8" t="str">
        <f t="shared" si="23"/>
        <v>16-16</v>
      </c>
      <c r="E464" s="1">
        <f>_xlfn.IFNA(VLOOKUP('Comp X - UP'!B464,'Urban Plastix Holds'!$I$36:$U$498,8,0),0)</f>
        <v>0</v>
      </c>
      <c r="G464" s="2">
        <f t="shared" si="21"/>
        <v>0</v>
      </c>
      <c r="H464" s="2">
        <f t="shared" si="22"/>
        <v>0</v>
      </c>
    </row>
    <row r="465" spans="2:8">
      <c r="B465" t="s">
        <v>1420</v>
      </c>
      <c r="C465" t="s">
        <v>1652</v>
      </c>
      <c r="D465" s="9" t="str">
        <f t="shared" si="23"/>
        <v>13-01</v>
      </c>
      <c r="E465" s="1">
        <f>_xlfn.IFNA(VLOOKUP('Comp X - UP'!B465,'Urban Plastix Holds'!$I$36:$U$498,9,0),0)</f>
        <v>6</v>
      </c>
      <c r="G465" s="2">
        <f t="shared" si="21"/>
        <v>0</v>
      </c>
      <c r="H465" s="2">
        <f t="shared" si="22"/>
        <v>0</v>
      </c>
    </row>
    <row r="466" spans="2:8">
      <c r="B466" t="s">
        <v>1420</v>
      </c>
      <c r="C466" t="s">
        <v>1652</v>
      </c>
      <c r="D466" s="10" t="str">
        <f t="shared" si="23"/>
        <v>07-13</v>
      </c>
      <c r="E466" s="1">
        <f>_xlfn.IFNA(VLOOKUP('Comp X - UP'!B466,'Urban Plastix Holds'!$I$36:$U$498,10,0),0)</f>
        <v>0</v>
      </c>
      <c r="G466" s="2">
        <f t="shared" si="21"/>
        <v>0</v>
      </c>
      <c r="H466" s="2">
        <f t="shared" si="22"/>
        <v>0</v>
      </c>
    </row>
    <row r="467" spans="2:8">
      <c r="B467" t="s">
        <v>1420</v>
      </c>
      <c r="C467" t="s">
        <v>1652</v>
      </c>
      <c r="D467" s="11" t="str">
        <f t="shared" si="23"/>
        <v>11-25</v>
      </c>
      <c r="E467" s="1">
        <f>_xlfn.IFNA(VLOOKUP('Comp X - UP'!B467,'Urban Plastix Holds'!$I$36:$U$498,11,0),0)</f>
        <v>0</v>
      </c>
      <c r="G467" s="2">
        <f t="shared" si="21"/>
        <v>0</v>
      </c>
      <c r="H467" s="2">
        <f t="shared" si="22"/>
        <v>0</v>
      </c>
    </row>
    <row r="468" spans="2:8">
      <c r="B468" t="s">
        <v>1420</v>
      </c>
      <c r="C468" t="s">
        <v>1652</v>
      </c>
      <c r="D468" s="13" t="str">
        <f t="shared" si="23"/>
        <v>18-01</v>
      </c>
      <c r="E468" s="1">
        <f>_xlfn.IFNA(VLOOKUP('Comp X - UP'!B468,'Urban Plastix Holds'!$I$36:$U$498,12,0),0)</f>
        <v>5</v>
      </c>
      <c r="G468" s="2">
        <f t="shared" si="21"/>
        <v>0</v>
      </c>
      <c r="H468" s="2">
        <f t="shared" si="22"/>
        <v>0</v>
      </c>
    </row>
    <row r="469" spans="2:8">
      <c r="B469" t="s">
        <v>1420</v>
      </c>
      <c r="C469" t="s">
        <v>1652</v>
      </c>
      <c r="D469" s="12" t="str">
        <f t="shared" si="23"/>
        <v>12-01</v>
      </c>
      <c r="E469" s="1">
        <f>_xlfn.IFNA(VLOOKUP('Comp X - UP'!B469,'Urban Plastix Holds'!$I$36:$U$498,13,0),0)</f>
        <v>0</v>
      </c>
      <c r="G469" s="2">
        <f t="shared" si="21"/>
        <v>0</v>
      </c>
      <c r="H469" s="2">
        <f t="shared" si="22"/>
        <v>0</v>
      </c>
    </row>
    <row r="470" spans="2:8">
      <c r="B470" t="s">
        <v>1422</v>
      </c>
      <c r="C470" t="s">
        <v>1993</v>
      </c>
      <c r="D470" s="5" t="str">
        <f t="shared" si="23"/>
        <v>11-12</v>
      </c>
      <c r="E470" s="1">
        <f>_xlfn.IFNA(VLOOKUP('Comp X - UP'!B470,'Urban Plastix Holds'!$I$36:$U$498,5,0),0)</f>
        <v>0</v>
      </c>
      <c r="G470" s="2">
        <f t="shared" ref="G470:G533" si="24">E470*F470</f>
        <v>0</v>
      </c>
      <c r="H470" s="2">
        <f t="shared" ref="H470:H533" si="25">IF($S$11="Y",G470*0.15,0)</f>
        <v>0</v>
      </c>
    </row>
    <row r="471" spans="2:8">
      <c r="B471" t="s">
        <v>1422</v>
      </c>
      <c r="C471" t="s">
        <v>1993</v>
      </c>
      <c r="D471" s="6" t="str">
        <f t="shared" si="23"/>
        <v>14-01</v>
      </c>
      <c r="E471" s="1">
        <f>_xlfn.IFNA(VLOOKUP('Comp X - UP'!B471,'Urban Plastix Holds'!$I$36:$U$498,6,0),0)</f>
        <v>0</v>
      </c>
      <c r="G471" s="2">
        <f t="shared" si="24"/>
        <v>0</v>
      </c>
      <c r="H471" s="2">
        <f t="shared" si="25"/>
        <v>0</v>
      </c>
    </row>
    <row r="472" spans="2:8">
      <c r="B472" t="s">
        <v>1422</v>
      </c>
      <c r="C472" t="s">
        <v>1993</v>
      </c>
      <c r="D472" s="7" t="str">
        <f t="shared" si="23"/>
        <v>15-12</v>
      </c>
      <c r="E472" s="1">
        <f>_xlfn.IFNA(VLOOKUP('Comp X - UP'!B472,'Urban Plastix Holds'!$I$36:$U$498,7,0),0)</f>
        <v>5</v>
      </c>
      <c r="G472" s="2">
        <f t="shared" si="24"/>
        <v>0</v>
      </c>
      <c r="H472" s="2">
        <f t="shared" si="25"/>
        <v>0</v>
      </c>
    </row>
    <row r="473" spans="2:8">
      <c r="B473" t="s">
        <v>1422</v>
      </c>
      <c r="C473" t="s">
        <v>1993</v>
      </c>
      <c r="D473" s="8" t="str">
        <f t="shared" si="23"/>
        <v>16-16</v>
      </c>
      <c r="E473" s="1">
        <f>_xlfn.IFNA(VLOOKUP('Comp X - UP'!B473,'Urban Plastix Holds'!$I$36:$U$498,8,0),0)</f>
        <v>0</v>
      </c>
      <c r="G473" s="2">
        <f t="shared" si="24"/>
        <v>0</v>
      </c>
      <c r="H473" s="2">
        <f t="shared" si="25"/>
        <v>0</v>
      </c>
    </row>
    <row r="474" spans="2:8">
      <c r="B474" t="s">
        <v>1422</v>
      </c>
      <c r="C474" t="s">
        <v>1993</v>
      </c>
      <c r="D474" s="9" t="str">
        <f t="shared" si="23"/>
        <v>13-01</v>
      </c>
      <c r="E474" s="1">
        <f>_xlfn.IFNA(VLOOKUP('Comp X - UP'!B474,'Urban Plastix Holds'!$I$36:$U$498,9,0),0)</f>
        <v>5</v>
      </c>
      <c r="G474" s="2">
        <f t="shared" si="24"/>
        <v>0</v>
      </c>
      <c r="H474" s="2">
        <f t="shared" si="25"/>
        <v>0</v>
      </c>
    </row>
    <row r="475" spans="2:8">
      <c r="B475" t="s">
        <v>1422</v>
      </c>
      <c r="C475" t="s">
        <v>1993</v>
      </c>
      <c r="D475" s="10" t="str">
        <f t="shared" si="23"/>
        <v>07-13</v>
      </c>
      <c r="E475" s="1">
        <f>_xlfn.IFNA(VLOOKUP('Comp X - UP'!B475,'Urban Plastix Holds'!$I$36:$U$498,10,0),0)</f>
        <v>0</v>
      </c>
      <c r="G475" s="2">
        <f t="shared" si="24"/>
        <v>0</v>
      </c>
      <c r="H475" s="2">
        <f t="shared" si="25"/>
        <v>0</v>
      </c>
    </row>
    <row r="476" spans="2:8">
      <c r="B476" t="s">
        <v>1422</v>
      </c>
      <c r="C476" t="s">
        <v>1993</v>
      </c>
      <c r="D476" s="11" t="str">
        <f t="shared" si="23"/>
        <v>11-25</v>
      </c>
      <c r="E476" s="1">
        <f>_xlfn.IFNA(VLOOKUP('Comp X - UP'!B476,'Urban Plastix Holds'!$I$36:$U$498,11,0),0)</f>
        <v>0</v>
      </c>
      <c r="G476" s="2">
        <f t="shared" si="24"/>
        <v>0</v>
      </c>
      <c r="H476" s="2">
        <f t="shared" si="25"/>
        <v>0</v>
      </c>
    </row>
    <row r="477" spans="2:8">
      <c r="B477" t="s">
        <v>1422</v>
      </c>
      <c r="C477" t="s">
        <v>1993</v>
      </c>
      <c r="D477" s="13" t="str">
        <f t="shared" si="23"/>
        <v>18-01</v>
      </c>
      <c r="E477" s="1">
        <f>_xlfn.IFNA(VLOOKUP('Comp X - UP'!B477,'Urban Plastix Holds'!$I$36:$U$498,12,0),0)</f>
        <v>4</v>
      </c>
      <c r="G477" s="2">
        <f t="shared" si="24"/>
        <v>0</v>
      </c>
      <c r="H477" s="2">
        <f t="shared" si="25"/>
        <v>0</v>
      </c>
    </row>
    <row r="478" spans="2:8">
      <c r="B478" t="s">
        <v>1422</v>
      </c>
      <c r="C478" t="s">
        <v>1993</v>
      </c>
      <c r="D478" s="12" t="str">
        <f t="shared" si="23"/>
        <v>12-01</v>
      </c>
      <c r="E478" s="1">
        <f>_xlfn.IFNA(VLOOKUP('Comp X - UP'!B478,'Urban Plastix Holds'!$I$36:$U$498,13,0),0)</f>
        <v>0</v>
      </c>
      <c r="G478" s="2">
        <f t="shared" si="24"/>
        <v>0</v>
      </c>
      <c r="H478" s="2">
        <f t="shared" si="25"/>
        <v>0</v>
      </c>
    </row>
    <row r="479" spans="2:8">
      <c r="B479" t="s">
        <v>1424</v>
      </c>
      <c r="C479" t="s">
        <v>1994</v>
      </c>
      <c r="D479" s="5" t="str">
        <f t="shared" si="23"/>
        <v>11-12</v>
      </c>
      <c r="E479" s="1">
        <f>_xlfn.IFNA(VLOOKUP('Comp X - UP'!B479,'Urban Plastix Holds'!$I$36:$U$498,5,0),0)</f>
        <v>0</v>
      </c>
      <c r="G479" s="2">
        <f t="shared" si="24"/>
        <v>0</v>
      </c>
      <c r="H479" s="2">
        <f t="shared" si="25"/>
        <v>0</v>
      </c>
    </row>
    <row r="480" spans="2:8">
      <c r="B480" t="s">
        <v>1424</v>
      </c>
      <c r="C480" t="s">
        <v>1994</v>
      </c>
      <c r="D480" s="6" t="str">
        <f t="shared" si="23"/>
        <v>14-01</v>
      </c>
      <c r="E480" s="1">
        <f>_xlfn.IFNA(VLOOKUP('Comp X - UP'!B480,'Urban Plastix Holds'!$I$36:$U$498,6,0),0)</f>
        <v>0</v>
      </c>
      <c r="G480" s="2">
        <f t="shared" si="24"/>
        <v>0</v>
      </c>
      <c r="H480" s="2">
        <f t="shared" si="25"/>
        <v>0</v>
      </c>
    </row>
    <row r="481" spans="2:8">
      <c r="B481" t="s">
        <v>1424</v>
      </c>
      <c r="C481" t="s">
        <v>1994</v>
      </c>
      <c r="D481" s="7" t="str">
        <f t="shared" si="23"/>
        <v>15-12</v>
      </c>
      <c r="E481" s="1">
        <f>_xlfn.IFNA(VLOOKUP('Comp X - UP'!B481,'Urban Plastix Holds'!$I$36:$U$498,7,0),0)</f>
        <v>3</v>
      </c>
      <c r="G481" s="2">
        <f t="shared" si="24"/>
        <v>0</v>
      </c>
      <c r="H481" s="2">
        <f t="shared" si="25"/>
        <v>0</v>
      </c>
    </row>
    <row r="482" spans="2:8">
      <c r="B482" t="s">
        <v>1424</v>
      </c>
      <c r="C482" t="s">
        <v>1994</v>
      </c>
      <c r="D482" s="8" t="str">
        <f t="shared" si="23"/>
        <v>16-16</v>
      </c>
      <c r="E482" s="1">
        <f>_xlfn.IFNA(VLOOKUP('Comp X - UP'!B482,'Urban Plastix Holds'!$I$36:$U$498,8,0),0)</f>
        <v>0</v>
      </c>
      <c r="G482" s="2">
        <f t="shared" si="24"/>
        <v>0</v>
      </c>
      <c r="H482" s="2">
        <f t="shared" si="25"/>
        <v>0</v>
      </c>
    </row>
    <row r="483" spans="2:8">
      <c r="B483" t="s">
        <v>1424</v>
      </c>
      <c r="C483" t="s">
        <v>1994</v>
      </c>
      <c r="D483" s="9" t="str">
        <f t="shared" si="23"/>
        <v>13-01</v>
      </c>
      <c r="E483" s="1">
        <f>_xlfn.IFNA(VLOOKUP('Comp X - UP'!B483,'Urban Plastix Holds'!$I$36:$U$498,9,0),0)</f>
        <v>5</v>
      </c>
      <c r="G483" s="2">
        <f t="shared" si="24"/>
        <v>0</v>
      </c>
      <c r="H483" s="2">
        <f t="shared" si="25"/>
        <v>0</v>
      </c>
    </row>
    <row r="484" spans="2:8">
      <c r="B484" t="s">
        <v>1424</v>
      </c>
      <c r="C484" t="s">
        <v>1994</v>
      </c>
      <c r="D484" s="10" t="str">
        <f t="shared" si="23"/>
        <v>07-13</v>
      </c>
      <c r="E484" s="1">
        <f>_xlfn.IFNA(VLOOKUP('Comp X - UP'!B484,'Urban Plastix Holds'!$I$36:$U$498,10,0),0)</f>
        <v>0</v>
      </c>
      <c r="G484" s="2">
        <f t="shared" si="24"/>
        <v>0</v>
      </c>
      <c r="H484" s="2">
        <f t="shared" si="25"/>
        <v>0</v>
      </c>
    </row>
    <row r="485" spans="2:8">
      <c r="B485" t="s">
        <v>1424</v>
      </c>
      <c r="C485" t="s">
        <v>1994</v>
      </c>
      <c r="D485" s="11" t="str">
        <f t="shared" si="23"/>
        <v>11-25</v>
      </c>
      <c r="E485" s="1">
        <f>_xlfn.IFNA(VLOOKUP('Comp X - UP'!B485,'Urban Plastix Holds'!$I$36:$U$498,11,0),0)</f>
        <v>0</v>
      </c>
      <c r="G485" s="2">
        <f t="shared" si="24"/>
        <v>0</v>
      </c>
      <c r="H485" s="2">
        <f t="shared" si="25"/>
        <v>0</v>
      </c>
    </row>
    <row r="486" spans="2:8">
      <c r="B486" t="s">
        <v>1424</v>
      </c>
      <c r="C486" t="s">
        <v>1994</v>
      </c>
      <c r="D486" s="13" t="str">
        <f t="shared" si="23"/>
        <v>18-01</v>
      </c>
      <c r="E486" s="1">
        <f>_xlfn.IFNA(VLOOKUP('Comp X - UP'!B486,'Urban Plastix Holds'!$I$36:$U$498,12,0),0)</f>
        <v>5</v>
      </c>
      <c r="G486" s="2">
        <f t="shared" si="24"/>
        <v>0</v>
      </c>
      <c r="H486" s="2">
        <f t="shared" si="25"/>
        <v>0</v>
      </c>
    </row>
    <row r="487" spans="2:8">
      <c r="B487" t="s">
        <v>1424</v>
      </c>
      <c r="C487" t="s">
        <v>1994</v>
      </c>
      <c r="D487" s="12" t="str">
        <f t="shared" si="23"/>
        <v>12-01</v>
      </c>
      <c r="E487" s="1">
        <f>_xlfn.IFNA(VLOOKUP('Comp X - UP'!B487,'Urban Plastix Holds'!$I$36:$U$498,13,0),0)</f>
        <v>0</v>
      </c>
      <c r="G487" s="2">
        <f t="shared" si="24"/>
        <v>0</v>
      </c>
      <c r="H487" s="2">
        <f t="shared" si="25"/>
        <v>0</v>
      </c>
    </row>
    <row r="488" spans="2:8">
      <c r="B488" t="s">
        <v>1426</v>
      </c>
      <c r="C488" t="s">
        <v>1995</v>
      </c>
      <c r="D488" s="5" t="str">
        <f t="shared" si="23"/>
        <v>11-12</v>
      </c>
      <c r="E488" s="1">
        <f>_xlfn.IFNA(VLOOKUP('Comp X - UP'!B488,'Urban Plastix Holds'!$I$36:$U$498,5,0),0)</f>
        <v>0</v>
      </c>
      <c r="G488" s="2">
        <f t="shared" si="24"/>
        <v>0</v>
      </c>
      <c r="H488" s="2">
        <f t="shared" si="25"/>
        <v>0</v>
      </c>
    </row>
    <row r="489" spans="2:8">
      <c r="B489" t="s">
        <v>1426</v>
      </c>
      <c r="C489" t="s">
        <v>1995</v>
      </c>
      <c r="D489" s="6" t="str">
        <f t="shared" si="23"/>
        <v>14-01</v>
      </c>
      <c r="E489" s="1">
        <f>_xlfn.IFNA(VLOOKUP('Comp X - UP'!B489,'Urban Plastix Holds'!$I$36:$U$498,6,0),0)</f>
        <v>0</v>
      </c>
      <c r="G489" s="2">
        <f t="shared" si="24"/>
        <v>0</v>
      </c>
      <c r="H489" s="2">
        <f t="shared" si="25"/>
        <v>0</v>
      </c>
    </row>
    <row r="490" spans="2:8">
      <c r="B490" t="s">
        <v>1426</v>
      </c>
      <c r="C490" t="s">
        <v>1995</v>
      </c>
      <c r="D490" s="7" t="str">
        <f t="shared" si="23"/>
        <v>15-12</v>
      </c>
      <c r="E490" s="1">
        <f>_xlfn.IFNA(VLOOKUP('Comp X - UP'!B490,'Urban Plastix Holds'!$I$36:$U$498,7,0),0)</f>
        <v>3</v>
      </c>
      <c r="G490" s="2">
        <f t="shared" si="24"/>
        <v>0</v>
      </c>
      <c r="H490" s="2">
        <f t="shared" si="25"/>
        <v>0</v>
      </c>
    </row>
    <row r="491" spans="2:8">
      <c r="B491" t="s">
        <v>1426</v>
      </c>
      <c r="C491" t="s">
        <v>1995</v>
      </c>
      <c r="D491" s="8" t="str">
        <f t="shared" si="23"/>
        <v>16-16</v>
      </c>
      <c r="E491" s="1">
        <f>_xlfn.IFNA(VLOOKUP('Comp X - UP'!B491,'Urban Plastix Holds'!$I$36:$U$498,8,0),0)</f>
        <v>0</v>
      </c>
      <c r="G491" s="2">
        <f t="shared" si="24"/>
        <v>0</v>
      </c>
      <c r="H491" s="2">
        <f t="shared" si="25"/>
        <v>0</v>
      </c>
    </row>
    <row r="492" spans="2:8">
      <c r="B492" t="s">
        <v>1426</v>
      </c>
      <c r="C492" t="s">
        <v>1995</v>
      </c>
      <c r="D492" s="9" t="str">
        <f t="shared" si="23"/>
        <v>13-01</v>
      </c>
      <c r="E492" s="1">
        <f>_xlfn.IFNA(VLOOKUP('Comp X - UP'!B492,'Urban Plastix Holds'!$I$36:$U$498,9,0),0)</f>
        <v>5</v>
      </c>
      <c r="G492" s="2">
        <f t="shared" si="24"/>
        <v>0</v>
      </c>
      <c r="H492" s="2">
        <f t="shared" si="25"/>
        <v>0</v>
      </c>
    </row>
    <row r="493" spans="2:8">
      <c r="B493" t="s">
        <v>1426</v>
      </c>
      <c r="C493" t="s">
        <v>1995</v>
      </c>
      <c r="D493" s="10" t="str">
        <f t="shared" si="23"/>
        <v>07-13</v>
      </c>
      <c r="E493" s="1">
        <f>_xlfn.IFNA(VLOOKUP('Comp X - UP'!B493,'Urban Plastix Holds'!$I$36:$U$498,10,0),0)</f>
        <v>0</v>
      </c>
      <c r="G493" s="2">
        <f t="shared" si="24"/>
        <v>0</v>
      </c>
      <c r="H493" s="2">
        <f t="shared" si="25"/>
        <v>0</v>
      </c>
    </row>
    <row r="494" spans="2:8">
      <c r="B494" t="s">
        <v>1426</v>
      </c>
      <c r="C494" t="s">
        <v>1995</v>
      </c>
      <c r="D494" s="11" t="str">
        <f t="shared" si="23"/>
        <v>11-25</v>
      </c>
      <c r="E494" s="1">
        <f>_xlfn.IFNA(VLOOKUP('Comp X - UP'!B494,'Urban Plastix Holds'!$I$36:$U$498,11,0),0)</f>
        <v>0</v>
      </c>
      <c r="G494" s="2">
        <f t="shared" si="24"/>
        <v>0</v>
      </c>
      <c r="H494" s="2">
        <f t="shared" si="25"/>
        <v>0</v>
      </c>
    </row>
    <row r="495" spans="2:8">
      <c r="B495" t="s">
        <v>1426</v>
      </c>
      <c r="C495" t="s">
        <v>1995</v>
      </c>
      <c r="D495" s="13" t="str">
        <f t="shared" si="23"/>
        <v>18-01</v>
      </c>
      <c r="E495" s="1">
        <f>_xlfn.IFNA(VLOOKUP('Comp X - UP'!B495,'Urban Plastix Holds'!$I$36:$U$498,12,0),0)</f>
        <v>4</v>
      </c>
      <c r="G495" s="2">
        <f t="shared" si="24"/>
        <v>0</v>
      </c>
      <c r="H495" s="2">
        <f t="shared" si="25"/>
        <v>0</v>
      </c>
    </row>
    <row r="496" spans="2:8">
      <c r="B496" t="s">
        <v>1426</v>
      </c>
      <c r="C496" t="s">
        <v>1995</v>
      </c>
      <c r="D496" s="12" t="str">
        <f t="shared" si="23"/>
        <v>12-01</v>
      </c>
      <c r="E496" s="1">
        <f>_xlfn.IFNA(VLOOKUP('Comp X - UP'!B496,'Urban Plastix Holds'!$I$36:$U$498,13,0),0)</f>
        <v>0</v>
      </c>
      <c r="G496" s="2">
        <f t="shared" si="24"/>
        <v>0</v>
      </c>
      <c r="H496" s="2">
        <f t="shared" si="25"/>
        <v>0</v>
      </c>
    </row>
    <row r="497" spans="2:8">
      <c r="B497" t="s">
        <v>1428</v>
      </c>
      <c r="C497" t="s">
        <v>1996</v>
      </c>
      <c r="D497" s="5" t="str">
        <f t="shared" si="23"/>
        <v>11-12</v>
      </c>
      <c r="E497" s="1">
        <f>_xlfn.IFNA(VLOOKUP('Comp X - UP'!B497,'Urban Plastix Holds'!$I$36:$U$498,5,0),0)</f>
        <v>0</v>
      </c>
      <c r="G497" s="2">
        <f t="shared" si="24"/>
        <v>0</v>
      </c>
      <c r="H497" s="2">
        <f t="shared" si="25"/>
        <v>0</v>
      </c>
    </row>
    <row r="498" spans="2:8">
      <c r="B498" t="s">
        <v>1428</v>
      </c>
      <c r="C498" t="s">
        <v>1996</v>
      </c>
      <c r="D498" s="6" t="str">
        <f t="shared" si="23"/>
        <v>14-01</v>
      </c>
      <c r="E498" s="1">
        <f>_xlfn.IFNA(VLOOKUP('Comp X - UP'!B498,'Urban Plastix Holds'!$I$36:$U$498,6,0),0)</f>
        <v>0</v>
      </c>
      <c r="G498" s="2">
        <f t="shared" si="24"/>
        <v>0</v>
      </c>
      <c r="H498" s="2">
        <f t="shared" si="25"/>
        <v>0</v>
      </c>
    </row>
    <row r="499" spans="2:8">
      <c r="B499" t="s">
        <v>1428</v>
      </c>
      <c r="C499" t="s">
        <v>1996</v>
      </c>
      <c r="D499" s="7" t="str">
        <f t="shared" si="23"/>
        <v>15-12</v>
      </c>
      <c r="E499" s="1">
        <f>_xlfn.IFNA(VLOOKUP('Comp X - UP'!B499,'Urban Plastix Holds'!$I$36:$U$498,7,0),0)</f>
        <v>3</v>
      </c>
      <c r="G499" s="2">
        <f t="shared" si="24"/>
        <v>0</v>
      </c>
      <c r="H499" s="2">
        <f t="shared" si="25"/>
        <v>0</v>
      </c>
    </row>
    <row r="500" spans="2:8">
      <c r="B500" t="s">
        <v>1428</v>
      </c>
      <c r="C500" t="s">
        <v>1996</v>
      </c>
      <c r="D500" s="8" t="str">
        <f t="shared" si="23"/>
        <v>16-16</v>
      </c>
      <c r="E500" s="1">
        <f>_xlfn.IFNA(VLOOKUP('Comp X - UP'!B500,'Urban Plastix Holds'!$I$36:$U$498,8,0),0)</f>
        <v>0</v>
      </c>
      <c r="G500" s="2">
        <f t="shared" si="24"/>
        <v>0</v>
      </c>
      <c r="H500" s="2">
        <f t="shared" si="25"/>
        <v>0</v>
      </c>
    </row>
    <row r="501" spans="2:8">
      <c r="B501" t="s">
        <v>1428</v>
      </c>
      <c r="C501" t="s">
        <v>1996</v>
      </c>
      <c r="D501" s="9" t="str">
        <f t="shared" si="23"/>
        <v>13-01</v>
      </c>
      <c r="E501" s="1">
        <f>_xlfn.IFNA(VLOOKUP('Comp X - UP'!B501,'Urban Plastix Holds'!$I$36:$U$498,9,0),0)</f>
        <v>5</v>
      </c>
      <c r="G501" s="2">
        <f t="shared" si="24"/>
        <v>0</v>
      </c>
      <c r="H501" s="2">
        <f t="shared" si="25"/>
        <v>0</v>
      </c>
    </row>
    <row r="502" spans="2:8">
      <c r="B502" t="s">
        <v>1428</v>
      </c>
      <c r="C502" t="s">
        <v>1996</v>
      </c>
      <c r="D502" s="10" t="str">
        <f t="shared" si="23"/>
        <v>07-13</v>
      </c>
      <c r="E502" s="1">
        <f>_xlfn.IFNA(VLOOKUP('Comp X - UP'!B502,'Urban Plastix Holds'!$I$36:$U$498,10,0),0)</f>
        <v>0</v>
      </c>
      <c r="G502" s="2">
        <f t="shared" si="24"/>
        <v>0</v>
      </c>
      <c r="H502" s="2">
        <f t="shared" si="25"/>
        <v>0</v>
      </c>
    </row>
    <row r="503" spans="2:8">
      <c r="B503" t="s">
        <v>1428</v>
      </c>
      <c r="C503" t="s">
        <v>1996</v>
      </c>
      <c r="D503" s="11" t="str">
        <f t="shared" si="23"/>
        <v>11-25</v>
      </c>
      <c r="E503" s="1">
        <f>_xlfn.IFNA(VLOOKUP('Comp X - UP'!B503,'Urban Plastix Holds'!$I$36:$U$498,11,0),0)</f>
        <v>0</v>
      </c>
      <c r="G503" s="2">
        <f t="shared" si="24"/>
        <v>0</v>
      </c>
      <c r="H503" s="2">
        <f t="shared" si="25"/>
        <v>0</v>
      </c>
    </row>
    <row r="504" spans="2:8">
      <c r="B504" t="s">
        <v>1428</v>
      </c>
      <c r="C504" t="s">
        <v>1996</v>
      </c>
      <c r="D504" s="13" t="str">
        <f t="shared" si="23"/>
        <v>18-01</v>
      </c>
      <c r="E504" s="1">
        <f>_xlfn.IFNA(VLOOKUP('Comp X - UP'!B504,'Urban Plastix Holds'!$I$36:$U$498,12,0),0)</f>
        <v>5</v>
      </c>
      <c r="G504" s="2">
        <f t="shared" si="24"/>
        <v>0</v>
      </c>
      <c r="H504" s="2">
        <f t="shared" si="25"/>
        <v>0</v>
      </c>
    </row>
    <row r="505" spans="2:8">
      <c r="B505" t="s">
        <v>1428</v>
      </c>
      <c r="C505" t="s">
        <v>1996</v>
      </c>
      <c r="D505" s="12" t="str">
        <f t="shared" si="23"/>
        <v>12-01</v>
      </c>
      <c r="E505" s="1">
        <f>_xlfn.IFNA(VLOOKUP('Comp X - UP'!B505,'Urban Plastix Holds'!$I$36:$U$498,13,0),0)</f>
        <v>0</v>
      </c>
      <c r="G505" s="2">
        <f t="shared" si="24"/>
        <v>0</v>
      </c>
      <c r="H505" s="2">
        <f t="shared" si="25"/>
        <v>0</v>
      </c>
    </row>
    <row r="506" spans="2:8">
      <c r="B506" s="3" t="s">
        <v>2585</v>
      </c>
      <c r="C506" s="3" t="s">
        <v>2586</v>
      </c>
      <c r="D506" s="5" t="str">
        <f t="shared" si="23"/>
        <v>11-12</v>
      </c>
      <c r="E506" s="1">
        <f>_xlfn.IFNA(VLOOKUP('Comp X - UP'!B506,'Urban Plastix Holds'!$I$36:$U$498,5,0),0)</f>
        <v>0</v>
      </c>
      <c r="G506" s="2">
        <f t="shared" si="24"/>
        <v>0</v>
      </c>
      <c r="H506" s="2">
        <f t="shared" si="25"/>
        <v>0</v>
      </c>
    </row>
    <row r="507" spans="2:8">
      <c r="B507" s="3" t="s">
        <v>2585</v>
      </c>
      <c r="C507" s="3" t="s">
        <v>2586</v>
      </c>
      <c r="D507" s="6" t="str">
        <f t="shared" si="23"/>
        <v>14-01</v>
      </c>
      <c r="E507" s="1">
        <f>_xlfn.IFNA(VLOOKUP('Comp X - UP'!B507,'Urban Plastix Holds'!$I$36:$U$498,6,0),0)</f>
        <v>0</v>
      </c>
      <c r="G507" s="2">
        <f t="shared" si="24"/>
        <v>0</v>
      </c>
      <c r="H507" s="2">
        <f t="shared" si="25"/>
        <v>0</v>
      </c>
    </row>
    <row r="508" spans="2:8">
      <c r="B508" s="3" t="s">
        <v>2585</v>
      </c>
      <c r="C508" s="3" t="s">
        <v>2586</v>
      </c>
      <c r="D508" s="7" t="str">
        <f t="shared" si="23"/>
        <v>15-12</v>
      </c>
      <c r="E508" s="1">
        <f>_xlfn.IFNA(VLOOKUP('Comp X - UP'!B508,'Urban Plastix Holds'!$I$36:$U$498,7,0),0)</f>
        <v>4</v>
      </c>
      <c r="G508" s="2">
        <f t="shared" si="24"/>
        <v>0</v>
      </c>
      <c r="H508" s="2">
        <f t="shared" si="25"/>
        <v>0</v>
      </c>
    </row>
    <row r="509" spans="2:8">
      <c r="B509" s="3" t="s">
        <v>2585</v>
      </c>
      <c r="C509" s="3" t="s">
        <v>2586</v>
      </c>
      <c r="D509" s="8" t="str">
        <f t="shared" si="23"/>
        <v>16-16</v>
      </c>
      <c r="E509" s="1">
        <f>_xlfn.IFNA(VLOOKUP('Comp X - UP'!B509,'Urban Plastix Holds'!$I$36:$U$498,8,0),0)</f>
        <v>0</v>
      </c>
      <c r="G509" s="2">
        <f t="shared" si="24"/>
        <v>0</v>
      </c>
      <c r="H509" s="2">
        <f t="shared" si="25"/>
        <v>0</v>
      </c>
    </row>
    <row r="510" spans="2:8">
      <c r="B510" s="3" t="s">
        <v>2585</v>
      </c>
      <c r="C510" s="3" t="s">
        <v>2586</v>
      </c>
      <c r="D510" s="9" t="str">
        <f t="shared" si="23"/>
        <v>13-01</v>
      </c>
      <c r="E510" s="1">
        <f>_xlfn.IFNA(VLOOKUP('Comp X - UP'!B510,'Urban Plastix Holds'!$I$36:$U$498,9,0),0)</f>
        <v>5</v>
      </c>
      <c r="G510" s="2">
        <f t="shared" si="24"/>
        <v>0</v>
      </c>
      <c r="H510" s="2">
        <f t="shared" si="25"/>
        <v>0</v>
      </c>
    </row>
    <row r="511" spans="2:8">
      <c r="B511" s="3" t="s">
        <v>2585</v>
      </c>
      <c r="C511" s="3" t="s">
        <v>2586</v>
      </c>
      <c r="D511" s="10" t="str">
        <f t="shared" si="23"/>
        <v>07-13</v>
      </c>
      <c r="E511" s="1">
        <f>_xlfn.IFNA(VLOOKUP('Comp X - UP'!B511,'Urban Plastix Holds'!$I$36:$U$498,10,0),0)</f>
        <v>0</v>
      </c>
      <c r="G511" s="2">
        <f t="shared" si="24"/>
        <v>0</v>
      </c>
      <c r="H511" s="2">
        <f t="shared" si="25"/>
        <v>0</v>
      </c>
    </row>
    <row r="512" spans="2:8">
      <c r="B512" s="3" t="s">
        <v>2585</v>
      </c>
      <c r="C512" s="3" t="s">
        <v>2586</v>
      </c>
      <c r="D512" s="11" t="str">
        <f t="shared" si="23"/>
        <v>11-25</v>
      </c>
      <c r="E512" s="1">
        <f>_xlfn.IFNA(VLOOKUP('Comp X - UP'!B512,'Urban Plastix Holds'!$I$36:$U$498,11,0),0)</f>
        <v>0</v>
      </c>
      <c r="G512" s="2">
        <f t="shared" si="24"/>
        <v>0</v>
      </c>
      <c r="H512" s="2">
        <f t="shared" si="25"/>
        <v>0</v>
      </c>
    </row>
    <row r="513" spans="2:8">
      <c r="B513" s="3" t="s">
        <v>2585</v>
      </c>
      <c r="C513" s="3" t="s">
        <v>2586</v>
      </c>
      <c r="D513" s="13" t="str">
        <f t="shared" si="23"/>
        <v>18-01</v>
      </c>
      <c r="E513" s="1">
        <f>_xlfn.IFNA(VLOOKUP('Comp X - UP'!B513,'Urban Plastix Holds'!$I$36:$U$498,12,0),0)</f>
        <v>3</v>
      </c>
      <c r="G513" s="2">
        <f t="shared" si="24"/>
        <v>0</v>
      </c>
      <c r="H513" s="2">
        <f t="shared" si="25"/>
        <v>0</v>
      </c>
    </row>
    <row r="514" spans="2:8">
      <c r="B514" s="3" t="s">
        <v>2585</v>
      </c>
      <c r="C514" s="3" t="s">
        <v>2586</v>
      </c>
      <c r="D514" s="12" t="str">
        <f t="shared" si="23"/>
        <v>12-01</v>
      </c>
      <c r="E514" s="1">
        <f>_xlfn.IFNA(VLOOKUP('Comp X - UP'!B514,'Urban Plastix Holds'!$I$36:$U$498,13,0),0)</f>
        <v>1</v>
      </c>
      <c r="G514" s="2">
        <f t="shared" si="24"/>
        <v>0</v>
      </c>
      <c r="H514" s="2">
        <f t="shared" si="25"/>
        <v>0</v>
      </c>
    </row>
    <row r="515" spans="2:8">
      <c r="B515" s="3" t="s">
        <v>2577</v>
      </c>
      <c r="C515" s="3" t="s">
        <v>2587</v>
      </c>
      <c r="D515" s="5" t="str">
        <f t="shared" si="23"/>
        <v>11-12</v>
      </c>
      <c r="E515" s="1">
        <f>_xlfn.IFNA(VLOOKUP('Comp X - UP'!B515,'Urban Plastix Holds'!$I$36:$U$498,5,0),0)</f>
        <v>0</v>
      </c>
      <c r="G515" s="2">
        <f t="shared" si="24"/>
        <v>0</v>
      </c>
      <c r="H515" s="2">
        <f t="shared" si="25"/>
        <v>0</v>
      </c>
    </row>
    <row r="516" spans="2:8">
      <c r="B516" s="3" t="s">
        <v>2577</v>
      </c>
      <c r="C516" s="3" t="s">
        <v>2587</v>
      </c>
      <c r="D516" s="6" t="str">
        <f t="shared" si="23"/>
        <v>14-01</v>
      </c>
      <c r="E516" s="1">
        <f>_xlfn.IFNA(VLOOKUP('Comp X - UP'!B516,'Urban Plastix Holds'!$I$36:$U$498,6,0),0)</f>
        <v>0</v>
      </c>
      <c r="G516" s="2">
        <f t="shared" si="24"/>
        <v>0</v>
      </c>
      <c r="H516" s="2">
        <f t="shared" si="25"/>
        <v>0</v>
      </c>
    </row>
    <row r="517" spans="2:8">
      <c r="B517" s="3" t="s">
        <v>2577</v>
      </c>
      <c r="C517" s="3" t="s">
        <v>2587</v>
      </c>
      <c r="D517" s="7" t="str">
        <f t="shared" si="23"/>
        <v>15-12</v>
      </c>
      <c r="E517" s="1">
        <f>_xlfn.IFNA(VLOOKUP('Comp X - UP'!B517,'Urban Plastix Holds'!$I$36:$U$498,7,0),0)</f>
        <v>4</v>
      </c>
      <c r="G517" s="2">
        <f t="shared" si="24"/>
        <v>0</v>
      </c>
      <c r="H517" s="2">
        <f t="shared" si="25"/>
        <v>0</v>
      </c>
    </row>
    <row r="518" spans="2:8">
      <c r="B518" s="3" t="s">
        <v>2577</v>
      </c>
      <c r="C518" s="3" t="s">
        <v>2587</v>
      </c>
      <c r="D518" s="8" t="str">
        <f t="shared" si="23"/>
        <v>16-16</v>
      </c>
      <c r="E518" s="1">
        <f>_xlfn.IFNA(VLOOKUP('Comp X - UP'!B518,'Urban Plastix Holds'!$I$36:$U$498,8,0),0)</f>
        <v>0</v>
      </c>
      <c r="G518" s="2">
        <f t="shared" si="24"/>
        <v>0</v>
      </c>
      <c r="H518" s="2">
        <f t="shared" si="25"/>
        <v>0</v>
      </c>
    </row>
    <row r="519" spans="2:8">
      <c r="B519" s="3" t="s">
        <v>2577</v>
      </c>
      <c r="C519" s="3" t="s">
        <v>2587</v>
      </c>
      <c r="D519" s="9" t="str">
        <f t="shared" si="23"/>
        <v>13-01</v>
      </c>
      <c r="E519" s="1">
        <f>_xlfn.IFNA(VLOOKUP('Comp X - UP'!B519,'Urban Plastix Holds'!$I$36:$U$498,9,0),0)</f>
        <v>5</v>
      </c>
      <c r="G519" s="2">
        <f t="shared" si="24"/>
        <v>0</v>
      </c>
      <c r="H519" s="2">
        <f t="shared" si="25"/>
        <v>0</v>
      </c>
    </row>
    <row r="520" spans="2:8">
      <c r="B520" s="3" t="s">
        <v>2577</v>
      </c>
      <c r="C520" s="3" t="s">
        <v>2587</v>
      </c>
      <c r="D520" s="10" t="str">
        <f t="shared" si="23"/>
        <v>07-13</v>
      </c>
      <c r="E520" s="1">
        <f>_xlfn.IFNA(VLOOKUP('Comp X - UP'!B520,'Urban Plastix Holds'!$I$36:$U$498,10,0),0)</f>
        <v>0</v>
      </c>
      <c r="G520" s="2">
        <f t="shared" si="24"/>
        <v>0</v>
      </c>
      <c r="H520" s="2">
        <f t="shared" si="25"/>
        <v>0</v>
      </c>
    </row>
    <row r="521" spans="2:8">
      <c r="B521" s="3" t="s">
        <v>2577</v>
      </c>
      <c r="C521" s="3" t="s">
        <v>2587</v>
      </c>
      <c r="D521" s="11" t="str">
        <f t="shared" si="23"/>
        <v>11-25</v>
      </c>
      <c r="E521" s="1">
        <f>_xlfn.IFNA(VLOOKUP('Comp X - UP'!B521,'Urban Plastix Holds'!$I$36:$U$498,11,0),0)</f>
        <v>0</v>
      </c>
      <c r="G521" s="2">
        <f t="shared" si="24"/>
        <v>0</v>
      </c>
      <c r="H521" s="2">
        <f t="shared" si="25"/>
        <v>0</v>
      </c>
    </row>
    <row r="522" spans="2:8">
      <c r="B522" s="3" t="s">
        <v>2577</v>
      </c>
      <c r="C522" s="3" t="s">
        <v>2587</v>
      </c>
      <c r="D522" s="13" t="str">
        <f t="shared" si="23"/>
        <v>18-01</v>
      </c>
      <c r="E522" s="1">
        <f>_xlfn.IFNA(VLOOKUP('Comp X - UP'!B522,'Urban Plastix Holds'!$I$36:$U$498,12,0),0)</f>
        <v>4</v>
      </c>
      <c r="G522" s="2">
        <f t="shared" si="24"/>
        <v>0</v>
      </c>
      <c r="H522" s="2">
        <f t="shared" si="25"/>
        <v>0</v>
      </c>
    </row>
    <row r="523" spans="2:8">
      <c r="B523" s="3" t="s">
        <v>2577</v>
      </c>
      <c r="C523" s="3" t="s">
        <v>2587</v>
      </c>
      <c r="D523" s="12" t="str">
        <f t="shared" ref="D523:D577" si="26">D514</f>
        <v>12-01</v>
      </c>
      <c r="E523" s="1">
        <f>_xlfn.IFNA(VLOOKUP('Comp X - UP'!B523,'Urban Plastix Holds'!$I$36:$U$498,13,0),0)</f>
        <v>0</v>
      </c>
      <c r="G523" s="2">
        <f t="shared" si="24"/>
        <v>0</v>
      </c>
      <c r="H523" s="2">
        <f t="shared" si="25"/>
        <v>0</v>
      </c>
    </row>
    <row r="524" spans="2:8">
      <c r="B524" s="3" t="s">
        <v>2579</v>
      </c>
      <c r="C524" s="3" t="s">
        <v>2588</v>
      </c>
      <c r="D524" s="5" t="str">
        <f t="shared" si="26"/>
        <v>11-12</v>
      </c>
      <c r="E524" s="1">
        <f>_xlfn.IFNA(VLOOKUP('Comp X - UP'!B524,'Urban Plastix Holds'!$I$36:$U$498,5,0),0)</f>
        <v>0</v>
      </c>
      <c r="G524" s="2">
        <f t="shared" si="24"/>
        <v>0</v>
      </c>
      <c r="H524" s="2">
        <f t="shared" si="25"/>
        <v>0</v>
      </c>
    </row>
    <row r="525" spans="2:8">
      <c r="B525" s="3" t="s">
        <v>2579</v>
      </c>
      <c r="C525" s="3" t="s">
        <v>2588</v>
      </c>
      <c r="D525" s="6" t="str">
        <f t="shared" si="26"/>
        <v>14-01</v>
      </c>
      <c r="E525" s="1">
        <f>_xlfn.IFNA(VLOOKUP('Comp X - UP'!B525,'Urban Plastix Holds'!$I$36:$U$498,6,0),0)</f>
        <v>0</v>
      </c>
      <c r="G525" s="2">
        <f t="shared" si="24"/>
        <v>0</v>
      </c>
      <c r="H525" s="2">
        <f t="shared" si="25"/>
        <v>0</v>
      </c>
    </row>
    <row r="526" spans="2:8">
      <c r="B526" s="3" t="s">
        <v>2579</v>
      </c>
      <c r="C526" s="3" t="s">
        <v>2588</v>
      </c>
      <c r="D526" s="7" t="str">
        <f t="shared" si="26"/>
        <v>15-12</v>
      </c>
      <c r="E526" s="1">
        <f>_xlfn.IFNA(VLOOKUP('Comp X - UP'!B526,'Urban Plastix Holds'!$I$36:$U$498,7,0),0)</f>
        <v>4</v>
      </c>
      <c r="G526" s="2">
        <f t="shared" si="24"/>
        <v>0</v>
      </c>
      <c r="H526" s="2">
        <f t="shared" si="25"/>
        <v>0</v>
      </c>
    </row>
    <row r="527" spans="2:8">
      <c r="B527" s="3" t="s">
        <v>2579</v>
      </c>
      <c r="C527" s="3" t="s">
        <v>2588</v>
      </c>
      <c r="D527" s="8" t="str">
        <f t="shared" si="26"/>
        <v>16-16</v>
      </c>
      <c r="E527" s="1">
        <f>_xlfn.IFNA(VLOOKUP('Comp X - UP'!B527,'Urban Plastix Holds'!$I$36:$U$498,8,0),0)</f>
        <v>0</v>
      </c>
      <c r="G527" s="2">
        <f t="shared" si="24"/>
        <v>0</v>
      </c>
      <c r="H527" s="2">
        <f t="shared" si="25"/>
        <v>0</v>
      </c>
    </row>
    <row r="528" spans="2:8">
      <c r="B528" s="3" t="s">
        <v>2579</v>
      </c>
      <c r="C528" s="3" t="s">
        <v>2588</v>
      </c>
      <c r="D528" s="9" t="str">
        <f t="shared" si="26"/>
        <v>13-01</v>
      </c>
      <c r="E528" s="1">
        <f>_xlfn.IFNA(VLOOKUP('Comp X - UP'!B528,'Urban Plastix Holds'!$I$36:$U$498,9,0),0)</f>
        <v>5</v>
      </c>
      <c r="G528" s="2">
        <f t="shared" si="24"/>
        <v>0</v>
      </c>
      <c r="H528" s="2">
        <f t="shared" si="25"/>
        <v>0</v>
      </c>
    </row>
    <row r="529" spans="2:8">
      <c r="B529" s="3" t="s">
        <v>2579</v>
      </c>
      <c r="C529" s="3" t="s">
        <v>2588</v>
      </c>
      <c r="D529" s="10" t="str">
        <f t="shared" si="26"/>
        <v>07-13</v>
      </c>
      <c r="E529" s="1">
        <f>_xlfn.IFNA(VLOOKUP('Comp X - UP'!B529,'Urban Plastix Holds'!$I$36:$U$498,10,0),0)</f>
        <v>0</v>
      </c>
      <c r="G529" s="2">
        <f t="shared" si="24"/>
        <v>0</v>
      </c>
      <c r="H529" s="2">
        <f t="shared" si="25"/>
        <v>0</v>
      </c>
    </row>
    <row r="530" spans="2:8">
      <c r="B530" s="3" t="s">
        <v>2579</v>
      </c>
      <c r="C530" s="3" t="s">
        <v>2588</v>
      </c>
      <c r="D530" s="11" t="str">
        <f t="shared" si="26"/>
        <v>11-25</v>
      </c>
      <c r="E530" s="1">
        <f>_xlfn.IFNA(VLOOKUP('Comp X - UP'!B530,'Urban Plastix Holds'!$I$36:$U$498,11,0),0)</f>
        <v>0</v>
      </c>
      <c r="G530" s="2">
        <f t="shared" si="24"/>
        <v>0</v>
      </c>
      <c r="H530" s="2">
        <f t="shared" si="25"/>
        <v>0</v>
      </c>
    </row>
    <row r="531" spans="2:8">
      <c r="B531" s="3" t="s">
        <v>2579</v>
      </c>
      <c r="C531" s="3" t="s">
        <v>2588</v>
      </c>
      <c r="D531" s="13" t="str">
        <f t="shared" si="26"/>
        <v>18-01</v>
      </c>
      <c r="E531" s="1">
        <f>_xlfn.IFNA(VLOOKUP('Comp X - UP'!B531,'Urban Plastix Holds'!$I$36:$U$498,12,0),0)</f>
        <v>5</v>
      </c>
      <c r="G531" s="2">
        <f t="shared" si="24"/>
        <v>0</v>
      </c>
      <c r="H531" s="2">
        <f t="shared" si="25"/>
        <v>0</v>
      </c>
    </row>
    <row r="532" spans="2:8">
      <c r="B532" s="3" t="s">
        <v>2579</v>
      </c>
      <c r="C532" s="3" t="s">
        <v>2588</v>
      </c>
      <c r="D532" s="12" t="str">
        <f t="shared" si="26"/>
        <v>12-01</v>
      </c>
      <c r="E532" s="1">
        <f>_xlfn.IFNA(VLOOKUP('Comp X - UP'!B532,'Urban Plastix Holds'!$I$36:$U$498,13,0),0)</f>
        <v>0</v>
      </c>
      <c r="G532" s="2">
        <f t="shared" si="24"/>
        <v>0</v>
      </c>
      <c r="H532" s="2">
        <f t="shared" si="25"/>
        <v>0</v>
      </c>
    </row>
    <row r="533" spans="2:8">
      <c r="B533" s="3" t="s">
        <v>2580</v>
      </c>
      <c r="C533" s="3" t="s">
        <v>2589</v>
      </c>
      <c r="D533" s="5" t="str">
        <f t="shared" si="26"/>
        <v>11-12</v>
      </c>
      <c r="E533" s="1">
        <f>_xlfn.IFNA(VLOOKUP('Comp X - UP'!B533,'Urban Plastix Holds'!$I$36:$U$498,5,0),0)</f>
        <v>0</v>
      </c>
      <c r="G533" s="2">
        <f t="shared" si="24"/>
        <v>0</v>
      </c>
      <c r="H533" s="2">
        <f t="shared" si="25"/>
        <v>0</v>
      </c>
    </row>
    <row r="534" spans="2:8">
      <c r="B534" s="3" t="s">
        <v>2580</v>
      </c>
      <c r="C534" s="3" t="s">
        <v>2589</v>
      </c>
      <c r="D534" s="6" t="str">
        <f t="shared" si="26"/>
        <v>14-01</v>
      </c>
      <c r="E534" s="1">
        <f>_xlfn.IFNA(VLOOKUP('Comp X - UP'!B534,'Urban Plastix Holds'!$I$36:$U$498,6,0),0)</f>
        <v>0</v>
      </c>
      <c r="G534" s="2">
        <f t="shared" ref="G534:G542" si="27">E534*F534</f>
        <v>0</v>
      </c>
      <c r="H534" s="2">
        <f t="shared" ref="H534:H542" si="28">IF($S$11="Y",G534*0.15,0)</f>
        <v>0</v>
      </c>
    </row>
    <row r="535" spans="2:8">
      <c r="B535" s="3" t="s">
        <v>2580</v>
      </c>
      <c r="C535" s="3" t="s">
        <v>2589</v>
      </c>
      <c r="D535" s="7" t="str">
        <f t="shared" si="26"/>
        <v>15-12</v>
      </c>
      <c r="E535" s="1">
        <f>_xlfn.IFNA(VLOOKUP('Comp X - UP'!B535,'Urban Plastix Holds'!$I$36:$U$498,7,0),0)</f>
        <v>4</v>
      </c>
      <c r="G535" s="2">
        <f t="shared" si="27"/>
        <v>0</v>
      </c>
      <c r="H535" s="2">
        <f t="shared" si="28"/>
        <v>0</v>
      </c>
    </row>
    <row r="536" spans="2:8">
      <c r="B536" s="3" t="s">
        <v>2580</v>
      </c>
      <c r="C536" s="3" t="s">
        <v>2589</v>
      </c>
      <c r="D536" s="8" t="str">
        <f t="shared" si="26"/>
        <v>16-16</v>
      </c>
      <c r="E536" s="1">
        <f>_xlfn.IFNA(VLOOKUP('Comp X - UP'!B536,'Urban Plastix Holds'!$I$36:$U$498,8,0),0)</f>
        <v>0</v>
      </c>
      <c r="G536" s="2">
        <f t="shared" si="27"/>
        <v>0</v>
      </c>
      <c r="H536" s="2">
        <f t="shared" si="28"/>
        <v>0</v>
      </c>
    </row>
    <row r="537" spans="2:8">
      <c r="B537" s="3" t="s">
        <v>2580</v>
      </c>
      <c r="C537" s="3" t="s">
        <v>2589</v>
      </c>
      <c r="D537" s="9" t="str">
        <f t="shared" si="26"/>
        <v>13-01</v>
      </c>
      <c r="E537" s="1">
        <f>_xlfn.IFNA(VLOOKUP('Comp X - UP'!B537,'Urban Plastix Holds'!$I$36:$U$498,9,0),0)</f>
        <v>5</v>
      </c>
      <c r="G537" s="2">
        <f t="shared" si="27"/>
        <v>0</v>
      </c>
      <c r="H537" s="2">
        <f t="shared" si="28"/>
        <v>0</v>
      </c>
    </row>
    <row r="538" spans="2:8">
      <c r="B538" s="3" t="s">
        <v>2580</v>
      </c>
      <c r="C538" s="3" t="s">
        <v>2589</v>
      </c>
      <c r="D538" s="10" t="str">
        <f t="shared" si="26"/>
        <v>07-13</v>
      </c>
      <c r="E538" s="1">
        <f>_xlfn.IFNA(VLOOKUP('Comp X - UP'!B538,'Urban Plastix Holds'!$I$36:$U$498,10,0),0)</f>
        <v>0</v>
      </c>
      <c r="G538" s="2">
        <f t="shared" si="27"/>
        <v>0</v>
      </c>
      <c r="H538" s="2">
        <f t="shared" si="28"/>
        <v>0</v>
      </c>
    </row>
    <row r="539" spans="2:8">
      <c r="B539" s="3" t="s">
        <v>2580</v>
      </c>
      <c r="C539" s="3" t="s">
        <v>2589</v>
      </c>
      <c r="D539" s="11" t="str">
        <f t="shared" si="26"/>
        <v>11-25</v>
      </c>
      <c r="E539" s="1">
        <f>_xlfn.IFNA(VLOOKUP('Comp X - UP'!B539,'Urban Plastix Holds'!$I$36:$U$498,11,0),0)</f>
        <v>0</v>
      </c>
      <c r="G539" s="2">
        <f t="shared" si="27"/>
        <v>0</v>
      </c>
      <c r="H539" s="2">
        <f t="shared" si="28"/>
        <v>0</v>
      </c>
    </row>
    <row r="540" spans="2:8">
      <c r="B540" s="3" t="s">
        <v>2580</v>
      </c>
      <c r="C540" s="3" t="s">
        <v>2589</v>
      </c>
      <c r="D540" s="13" t="str">
        <f t="shared" si="26"/>
        <v>18-01</v>
      </c>
      <c r="E540" s="1">
        <f>_xlfn.IFNA(VLOOKUP('Comp X - UP'!B540,'Urban Plastix Holds'!$I$36:$U$498,12,0),0)</f>
        <v>3</v>
      </c>
      <c r="G540" s="2">
        <f t="shared" si="27"/>
        <v>0</v>
      </c>
      <c r="H540" s="2">
        <f t="shared" si="28"/>
        <v>0</v>
      </c>
    </row>
    <row r="541" spans="2:8">
      <c r="B541" s="3" t="s">
        <v>2580</v>
      </c>
      <c r="C541" s="3" t="s">
        <v>2589</v>
      </c>
      <c r="D541" s="12" t="str">
        <f t="shared" si="26"/>
        <v>12-01</v>
      </c>
      <c r="E541" s="1">
        <f>_xlfn.IFNA(VLOOKUP('Comp X - UP'!B541,'Urban Plastix Holds'!$I$36:$U$498,13,0),0)</f>
        <v>0</v>
      </c>
      <c r="G541" s="2">
        <f t="shared" si="27"/>
        <v>0</v>
      </c>
      <c r="H541" s="2">
        <f t="shared" si="28"/>
        <v>0</v>
      </c>
    </row>
    <row r="542" spans="2:8">
      <c r="B542" s="3" t="s">
        <v>2581</v>
      </c>
      <c r="C542" s="3" t="s">
        <v>2583</v>
      </c>
      <c r="D542" s="5" t="str">
        <f t="shared" si="26"/>
        <v>11-12</v>
      </c>
      <c r="E542" s="1">
        <f>_xlfn.IFNA(VLOOKUP('Comp X - UP'!B542,'Urban Plastix Holds'!$I$36:$U$498,5,0),0)</f>
        <v>0</v>
      </c>
      <c r="G542" s="2">
        <f t="shared" si="27"/>
        <v>0</v>
      </c>
      <c r="H542" s="2">
        <f t="shared" si="28"/>
        <v>0</v>
      </c>
    </row>
    <row r="543" spans="2:8">
      <c r="B543" s="3" t="s">
        <v>2581</v>
      </c>
      <c r="C543" s="3" t="s">
        <v>2583</v>
      </c>
      <c r="D543" s="6" t="str">
        <f t="shared" si="26"/>
        <v>14-01</v>
      </c>
      <c r="E543" s="1">
        <f>_xlfn.IFNA(VLOOKUP('Comp X - UP'!B543,'Urban Plastix Holds'!$I$36:$U$498,6,0),0)</f>
        <v>0</v>
      </c>
      <c r="G543" s="2">
        <f t="shared" ref="G543:G586" si="29">E543*F543</f>
        <v>0</v>
      </c>
      <c r="H543" s="2">
        <f t="shared" ref="H543:H586" si="30">IF($S$11="Y",G543*0.15,0)</f>
        <v>0</v>
      </c>
    </row>
    <row r="544" spans="2:8">
      <c r="B544" s="3" t="s">
        <v>2581</v>
      </c>
      <c r="C544" s="3" t="s">
        <v>2583</v>
      </c>
      <c r="D544" s="7" t="str">
        <f t="shared" si="26"/>
        <v>15-12</v>
      </c>
      <c r="E544" s="1">
        <f>_xlfn.IFNA(VLOOKUP('Comp X - UP'!B544,'Urban Plastix Holds'!$I$36:$U$498,7,0),0)</f>
        <v>4</v>
      </c>
      <c r="G544" s="2">
        <f t="shared" si="29"/>
        <v>0</v>
      </c>
      <c r="H544" s="2">
        <f t="shared" si="30"/>
        <v>0</v>
      </c>
    </row>
    <row r="545" spans="2:8">
      <c r="B545" s="3" t="s">
        <v>2581</v>
      </c>
      <c r="C545" s="3" t="s">
        <v>2583</v>
      </c>
      <c r="D545" s="8" t="str">
        <f t="shared" si="26"/>
        <v>16-16</v>
      </c>
      <c r="E545" s="1">
        <f>_xlfn.IFNA(VLOOKUP('Comp X - UP'!B545,'Urban Plastix Holds'!$I$36:$U$498,8,0),0)</f>
        <v>0</v>
      </c>
      <c r="G545" s="2">
        <f t="shared" si="29"/>
        <v>0</v>
      </c>
      <c r="H545" s="2">
        <f t="shared" si="30"/>
        <v>0</v>
      </c>
    </row>
    <row r="546" spans="2:8">
      <c r="B546" s="3" t="s">
        <v>2581</v>
      </c>
      <c r="C546" s="3" t="s">
        <v>2583</v>
      </c>
      <c r="D546" s="9" t="str">
        <f t="shared" si="26"/>
        <v>13-01</v>
      </c>
      <c r="E546" s="1">
        <f>_xlfn.IFNA(VLOOKUP('Comp X - UP'!B546,'Urban Plastix Holds'!$I$36:$U$498,9,0),0)</f>
        <v>5</v>
      </c>
      <c r="G546" s="2">
        <f t="shared" si="29"/>
        <v>0</v>
      </c>
      <c r="H546" s="2">
        <f t="shared" si="30"/>
        <v>0</v>
      </c>
    </row>
    <row r="547" spans="2:8">
      <c r="B547" s="3" t="s">
        <v>2581</v>
      </c>
      <c r="C547" s="3" t="s">
        <v>2583</v>
      </c>
      <c r="D547" s="10" t="str">
        <f t="shared" si="26"/>
        <v>07-13</v>
      </c>
      <c r="E547" s="1">
        <f>_xlfn.IFNA(VLOOKUP('Comp X - UP'!B547,'Urban Plastix Holds'!$I$36:$U$498,10,0),0)</f>
        <v>0</v>
      </c>
      <c r="G547" s="2">
        <f t="shared" si="29"/>
        <v>0</v>
      </c>
      <c r="H547" s="2">
        <f t="shared" si="30"/>
        <v>0</v>
      </c>
    </row>
    <row r="548" spans="2:8">
      <c r="B548" s="3" t="s">
        <v>2581</v>
      </c>
      <c r="C548" s="3" t="s">
        <v>2583</v>
      </c>
      <c r="D548" s="11" t="str">
        <f t="shared" si="26"/>
        <v>11-25</v>
      </c>
      <c r="E548" s="1">
        <f>_xlfn.IFNA(VLOOKUP('Comp X - UP'!B548,'Urban Plastix Holds'!$I$36:$U$498,11,0),0)</f>
        <v>0</v>
      </c>
      <c r="G548" s="2">
        <f t="shared" si="29"/>
        <v>0</v>
      </c>
      <c r="H548" s="2">
        <f t="shared" si="30"/>
        <v>0</v>
      </c>
    </row>
    <row r="549" spans="2:8">
      <c r="B549" s="3" t="s">
        <v>2581</v>
      </c>
      <c r="C549" s="3" t="s">
        <v>2583</v>
      </c>
      <c r="D549" s="13" t="str">
        <f t="shared" si="26"/>
        <v>18-01</v>
      </c>
      <c r="E549" s="1">
        <f>_xlfn.IFNA(VLOOKUP('Comp X - UP'!B549,'Urban Plastix Holds'!$I$36:$U$498,12,0),0)</f>
        <v>3</v>
      </c>
      <c r="G549" s="2">
        <f t="shared" si="29"/>
        <v>0</v>
      </c>
      <c r="H549" s="2">
        <f t="shared" si="30"/>
        <v>0</v>
      </c>
    </row>
    <row r="550" spans="2:8">
      <c r="B550" s="3" t="s">
        <v>2581</v>
      </c>
      <c r="C550" s="3" t="s">
        <v>2583</v>
      </c>
      <c r="D550" s="12" t="str">
        <f t="shared" si="26"/>
        <v>12-01</v>
      </c>
      <c r="E550" s="1">
        <f>_xlfn.IFNA(VLOOKUP('Comp X - UP'!B550,'Urban Plastix Holds'!$I$36:$U$498,13,0),0)</f>
        <v>0</v>
      </c>
      <c r="G550" s="2">
        <f t="shared" si="29"/>
        <v>0</v>
      </c>
      <c r="H550" s="2">
        <f t="shared" si="30"/>
        <v>0</v>
      </c>
    </row>
    <row r="551" spans="2:8">
      <c r="B551" s="3" t="s">
        <v>2632</v>
      </c>
      <c r="C551" s="3" t="s">
        <v>2633</v>
      </c>
      <c r="D551" s="5" t="str">
        <f t="shared" si="26"/>
        <v>11-12</v>
      </c>
      <c r="E551" s="1">
        <f>_xlfn.IFNA(VLOOKUP('Comp X - UP'!B551,'Urban Plastix Holds'!$I$36:$U$498,5,0),0)</f>
        <v>0</v>
      </c>
      <c r="G551" s="2">
        <f t="shared" si="29"/>
        <v>0</v>
      </c>
      <c r="H551" s="2">
        <f t="shared" si="30"/>
        <v>0</v>
      </c>
    </row>
    <row r="552" spans="2:8">
      <c r="B552" s="3" t="s">
        <v>2632</v>
      </c>
      <c r="C552" s="3" t="s">
        <v>2633</v>
      </c>
      <c r="D552" s="6" t="str">
        <f t="shared" si="26"/>
        <v>14-01</v>
      </c>
      <c r="E552" s="1">
        <f>_xlfn.IFNA(VLOOKUP('Comp X - UP'!B552,'Urban Plastix Holds'!$I$36:$U$498,6,0),0)</f>
        <v>0</v>
      </c>
      <c r="G552" s="2">
        <f t="shared" ref="G552:G577" si="31">E552*F552</f>
        <v>0</v>
      </c>
      <c r="H552" s="2">
        <f t="shared" ref="H552:H577" si="32">IF($S$11="Y",G552*0.15,0)</f>
        <v>0</v>
      </c>
    </row>
    <row r="553" spans="2:8">
      <c r="B553" s="3" t="s">
        <v>2632</v>
      </c>
      <c r="C553" s="3" t="s">
        <v>2633</v>
      </c>
      <c r="D553" s="7" t="str">
        <f t="shared" si="26"/>
        <v>15-12</v>
      </c>
      <c r="E553" s="1">
        <f>_xlfn.IFNA(VLOOKUP('Comp X - UP'!B553,'Urban Plastix Holds'!$I$36:$U$498,7,0),0)</f>
        <v>4</v>
      </c>
      <c r="G553" s="2">
        <f t="shared" si="31"/>
        <v>0</v>
      </c>
      <c r="H553" s="2">
        <f t="shared" si="32"/>
        <v>0</v>
      </c>
    </row>
    <row r="554" spans="2:8">
      <c r="B554" s="3" t="s">
        <v>2632</v>
      </c>
      <c r="C554" s="3" t="s">
        <v>2633</v>
      </c>
      <c r="D554" s="8" t="str">
        <f t="shared" si="26"/>
        <v>16-16</v>
      </c>
      <c r="E554" s="1">
        <f>_xlfn.IFNA(VLOOKUP('Comp X - UP'!B554,'Urban Plastix Holds'!$I$36:$U$498,8,0),0)</f>
        <v>0</v>
      </c>
      <c r="G554" s="2">
        <f t="shared" si="31"/>
        <v>0</v>
      </c>
      <c r="H554" s="2">
        <f t="shared" si="32"/>
        <v>0</v>
      </c>
    </row>
    <row r="555" spans="2:8">
      <c r="B555" s="3" t="s">
        <v>2632</v>
      </c>
      <c r="C555" s="3" t="s">
        <v>2633</v>
      </c>
      <c r="D555" s="9" t="str">
        <f t="shared" si="26"/>
        <v>13-01</v>
      </c>
      <c r="E555" s="1">
        <f>_xlfn.IFNA(VLOOKUP('Comp X - UP'!B555,'Urban Plastix Holds'!$I$36:$U$498,9,0),0)</f>
        <v>5</v>
      </c>
      <c r="G555" s="2">
        <f t="shared" si="31"/>
        <v>0</v>
      </c>
      <c r="H555" s="2">
        <f t="shared" si="32"/>
        <v>0</v>
      </c>
    </row>
    <row r="556" spans="2:8">
      <c r="B556" s="3" t="s">
        <v>2632</v>
      </c>
      <c r="C556" s="3" t="s">
        <v>2633</v>
      </c>
      <c r="D556" s="10" t="str">
        <f t="shared" si="26"/>
        <v>07-13</v>
      </c>
      <c r="E556" s="1">
        <f>_xlfn.IFNA(VLOOKUP('Comp X - UP'!B556,'Urban Plastix Holds'!$I$36:$U$498,10,0),0)</f>
        <v>0</v>
      </c>
      <c r="G556" s="2">
        <f t="shared" si="31"/>
        <v>0</v>
      </c>
      <c r="H556" s="2">
        <f t="shared" si="32"/>
        <v>0</v>
      </c>
    </row>
    <row r="557" spans="2:8">
      <c r="B557" s="3" t="s">
        <v>2632</v>
      </c>
      <c r="C557" s="3" t="s">
        <v>2633</v>
      </c>
      <c r="D557" s="11" t="str">
        <f t="shared" si="26"/>
        <v>11-25</v>
      </c>
      <c r="E557" s="1">
        <f>_xlfn.IFNA(VLOOKUP('Comp X - UP'!B557,'Urban Plastix Holds'!$I$36:$U$498,11,0),0)</f>
        <v>0</v>
      </c>
      <c r="G557" s="2">
        <f t="shared" si="31"/>
        <v>0</v>
      </c>
      <c r="H557" s="2">
        <f t="shared" si="32"/>
        <v>0</v>
      </c>
    </row>
    <row r="558" spans="2:8">
      <c r="B558" s="3" t="s">
        <v>2632</v>
      </c>
      <c r="C558" s="3" t="s">
        <v>2633</v>
      </c>
      <c r="D558" s="13" t="str">
        <f t="shared" si="26"/>
        <v>18-01</v>
      </c>
      <c r="E558" s="1">
        <f>_xlfn.IFNA(VLOOKUP('Comp X - UP'!B558,'Urban Plastix Holds'!$I$36:$U$498,12,0),0)</f>
        <v>3</v>
      </c>
      <c r="G558" s="2">
        <f t="shared" si="31"/>
        <v>0</v>
      </c>
      <c r="H558" s="2">
        <f t="shared" si="32"/>
        <v>0</v>
      </c>
    </row>
    <row r="559" spans="2:8">
      <c r="B559" s="3" t="s">
        <v>2632</v>
      </c>
      <c r="C559" s="3" t="s">
        <v>2633</v>
      </c>
      <c r="D559" s="12" t="str">
        <f t="shared" si="26"/>
        <v>12-01</v>
      </c>
      <c r="E559" s="1">
        <f>_xlfn.IFNA(VLOOKUP('Comp X - UP'!B559,'Urban Plastix Holds'!$I$36:$U$498,13,0),0)</f>
        <v>0</v>
      </c>
      <c r="G559" s="2">
        <f t="shared" si="31"/>
        <v>0</v>
      </c>
      <c r="H559" s="2">
        <f t="shared" si="32"/>
        <v>0</v>
      </c>
    </row>
    <row r="560" spans="2:8">
      <c r="B560" s="3" t="s">
        <v>2634</v>
      </c>
      <c r="C560" s="3" t="s">
        <v>2635</v>
      </c>
      <c r="D560" s="5" t="str">
        <f t="shared" si="26"/>
        <v>11-12</v>
      </c>
      <c r="E560" s="1">
        <f>_xlfn.IFNA(VLOOKUP('Comp X - UP'!B560,'Urban Plastix Holds'!$I$36:$U$498,5,0),0)</f>
        <v>0</v>
      </c>
      <c r="G560" s="2">
        <f t="shared" si="31"/>
        <v>0</v>
      </c>
      <c r="H560" s="2">
        <f t="shared" si="32"/>
        <v>0</v>
      </c>
    </row>
    <row r="561" spans="2:8">
      <c r="B561" s="3" t="s">
        <v>2634</v>
      </c>
      <c r="C561" s="3" t="s">
        <v>2635</v>
      </c>
      <c r="D561" s="6" t="str">
        <f t="shared" si="26"/>
        <v>14-01</v>
      </c>
      <c r="E561" s="1">
        <f>_xlfn.IFNA(VLOOKUP('Comp X - UP'!B561,'Urban Plastix Holds'!$I$36:$U$498,6,0),0)</f>
        <v>0</v>
      </c>
      <c r="G561" s="2">
        <f t="shared" si="31"/>
        <v>0</v>
      </c>
      <c r="H561" s="2">
        <f t="shared" si="32"/>
        <v>0</v>
      </c>
    </row>
    <row r="562" spans="2:8">
      <c r="B562" s="3" t="s">
        <v>2634</v>
      </c>
      <c r="C562" s="3" t="s">
        <v>2635</v>
      </c>
      <c r="D562" s="7" t="str">
        <f t="shared" si="26"/>
        <v>15-12</v>
      </c>
      <c r="E562" s="1">
        <f>_xlfn.IFNA(VLOOKUP('Comp X - UP'!B562,'Urban Plastix Holds'!$I$36:$U$498,7,0),0)</f>
        <v>4</v>
      </c>
      <c r="G562" s="2">
        <f t="shared" si="31"/>
        <v>0</v>
      </c>
      <c r="H562" s="2">
        <f t="shared" si="32"/>
        <v>0</v>
      </c>
    </row>
    <row r="563" spans="2:8">
      <c r="B563" s="3" t="s">
        <v>2634</v>
      </c>
      <c r="C563" s="3" t="s">
        <v>2635</v>
      </c>
      <c r="D563" s="8" t="str">
        <f t="shared" si="26"/>
        <v>16-16</v>
      </c>
      <c r="E563" s="1">
        <f>_xlfn.IFNA(VLOOKUP('Comp X - UP'!B563,'Urban Plastix Holds'!$I$36:$U$498,8,0),0)</f>
        <v>0</v>
      </c>
      <c r="G563" s="2">
        <f t="shared" si="31"/>
        <v>0</v>
      </c>
      <c r="H563" s="2">
        <f t="shared" si="32"/>
        <v>0</v>
      </c>
    </row>
    <row r="564" spans="2:8">
      <c r="B564" s="3" t="s">
        <v>2634</v>
      </c>
      <c r="C564" s="3" t="s">
        <v>2635</v>
      </c>
      <c r="D564" s="9" t="str">
        <f t="shared" si="26"/>
        <v>13-01</v>
      </c>
      <c r="E564" s="1">
        <f>_xlfn.IFNA(VLOOKUP('Comp X - UP'!B564,'Urban Plastix Holds'!$I$36:$U$498,9,0),0)</f>
        <v>5</v>
      </c>
      <c r="G564" s="2">
        <f t="shared" si="31"/>
        <v>0</v>
      </c>
      <c r="H564" s="2">
        <f t="shared" si="32"/>
        <v>0</v>
      </c>
    </row>
    <row r="565" spans="2:8">
      <c r="B565" s="3" t="s">
        <v>2634</v>
      </c>
      <c r="C565" s="3" t="s">
        <v>2635</v>
      </c>
      <c r="D565" s="10" t="str">
        <f t="shared" si="26"/>
        <v>07-13</v>
      </c>
      <c r="E565" s="1">
        <f>_xlfn.IFNA(VLOOKUP('Comp X - UP'!B565,'Urban Plastix Holds'!$I$36:$U$498,10,0),0)</f>
        <v>0</v>
      </c>
      <c r="G565" s="2">
        <f t="shared" si="31"/>
        <v>0</v>
      </c>
      <c r="H565" s="2">
        <f t="shared" si="32"/>
        <v>0</v>
      </c>
    </row>
    <row r="566" spans="2:8">
      <c r="B566" s="3" t="s">
        <v>2634</v>
      </c>
      <c r="C566" s="3" t="s">
        <v>2635</v>
      </c>
      <c r="D566" s="11" t="str">
        <f t="shared" si="26"/>
        <v>11-25</v>
      </c>
      <c r="E566" s="1">
        <f>_xlfn.IFNA(VLOOKUP('Comp X - UP'!B566,'Urban Plastix Holds'!$I$36:$U$498,11,0),0)</f>
        <v>0</v>
      </c>
      <c r="G566" s="2">
        <f t="shared" si="31"/>
        <v>0</v>
      </c>
      <c r="H566" s="2">
        <f t="shared" si="32"/>
        <v>0</v>
      </c>
    </row>
    <row r="567" spans="2:8">
      <c r="B567" s="3" t="s">
        <v>2634</v>
      </c>
      <c r="C567" s="3" t="s">
        <v>2635</v>
      </c>
      <c r="D567" s="13" t="str">
        <f t="shared" si="26"/>
        <v>18-01</v>
      </c>
      <c r="E567" s="1">
        <f>_xlfn.IFNA(VLOOKUP('Comp X - UP'!B567,'Urban Plastix Holds'!$I$36:$U$498,12,0),0)</f>
        <v>4</v>
      </c>
      <c r="G567" s="2">
        <f t="shared" si="31"/>
        <v>0</v>
      </c>
      <c r="H567" s="2">
        <f t="shared" si="32"/>
        <v>0</v>
      </c>
    </row>
    <row r="568" spans="2:8">
      <c r="B568" s="3" t="s">
        <v>2634</v>
      </c>
      <c r="C568" s="3" t="s">
        <v>2635</v>
      </c>
      <c r="D568" s="12" t="str">
        <f t="shared" si="26"/>
        <v>12-01</v>
      </c>
      <c r="E568" s="1">
        <f>_xlfn.IFNA(VLOOKUP('Comp X - UP'!B568,'Urban Plastix Holds'!$I$36:$U$498,13,0),0)</f>
        <v>0</v>
      </c>
      <c r="G568" s="2">
        <f t="shared" si="31"/>
        <v>0</v>
      </c>
      <c r="H568" s="2">
        <f t="shared" si="32"/>
        <v>0</v>
      </c>
    </row>
    <row r="569" spans="2:8">
      <c r="B569" s="3" t="s">
        <v>2636</v>
      </c>
      <c r="C569" s="3" t="s">
        <v>2637</v>
      </c>
      <c r="D569" s="5" t="str">
        <f t="shared" si="26"/>
        <v>11-12</v>
      </c>
      <c r="E569" s="1">
        <f>_xlfn.IFNA(VLOOKUP('Comp X - UP'!B569,'Urban Plastix Holds'!$I$36:$U$498,5,0),0)</f>
        <v>0</v>
      </c>
      <c r="G569" s="2">
        <f t="shared" si="31"/>
        <v>0</v>
      </c>
      <c r="H569" s="2">
        <f t="shared" si="32"/>
        <v>0</v>
      </c>
    </row>
    <row r="570" spans="2:8">
      <c r="B570" s="3" t="s">
        <v>2636</v>
      </c>
      <c r="C570" s="3" t="s">
        <v>2637</v>
      </c>
      <c r="D570" s="6" t="str">
        <f t="shared" si="26"/>
        <v>14-01</v>
      </c>
      <c r="E570" s="1">
        <f>_xlfn.IFNA(VLOOKUP('Comp X - UP'!B570,'Urban Plastix Holds'!$I$36:$U$498,6,0),0)</f>
        <v>0</v>
      </c>
      <c r="G570" s="2">
        <f t="shared" si="31"/>
        <v>0</v>
      </c>
      <c r="H570" s="2">
        <f t="shared" si="32"/>
        <v>0</v>
      </c>
    </row>
    <row r="571" spans="2:8">
      <c r="B571" s="3" t="s">
        <v>2636</v>
      </c>
      <c r="C571" s="3" t="s">
        <v>2637</v>
      </c>
      <c r="D571" s="7" t="str">
        <f t="shared" si="26"/>
        <v>15-12</v>
      </c>
      <c r="E571" s="1">
        <f>_xlfn.IFNA(VLOOKUP('Comp X - UP'!B571,'Urban Plastix Holds'!$I$36:$U$498,7,0),0)</f>
        <v>2</v>
      </c>
      <c r="G571" s="2">
        <f t="shared" si="31"/>
        <v>0</v>
      </c>
      <c r="H571" s="2">
        <f t="shared" si="32"/>
        <v>0</v>
      </c>
    </row>
    <row r="572" spans="2:8">
      <c r="B572" s="3" t="s">
        <v>2636</v>
      </c>
      <c r="C572" s="3" t="s">
        <v>2637</v>
      </c>
      <c r="D572" s="8" t="str">
        <f t="shared" si="26"/>
        <v>16-16</v>
      </c>
      <c r="E572" s="1">
        <f>_xlfn.IFNA(VLOOKUP('Comp X - UP'!B572,'Urban Plastix Holds'!$I$36:$U$498,8,0),0)</f>
        <v>0</v>
      </c>
      <c r="G572" s="2">
        <f t="shared" si="31"/>
        <v>0</v>
      </c>
      <c r="H572" s="2">
        <f t="shared" si="32"/>
        <v>0</v>
      </c>
    </row>
    <row r="573" spans="2:8">
      <c r="B573" s="3" t="s">
        <v>2636</v>
      </c>
      <c r="C573" s="3" t="s">
        <v>2637</v>
      </c>
      <c r="D573" s="9" t="str">
        <f t="shared" si="26"/>
        <v>13-01</v>
      </c>
      <c r="E573" s="1">
        <f>_xlfn.IFNA(VLOOKUP('Comp X - UP'!B573,'Urban Plastix Holds'!$I$36:$U$498,9,0),0)</f>
        <v>5</v>
      </c>
      <c r="G573" s="2">
        <f t="shared" si="31"/>
        <v>0</v>
      </c>
      <c r="H573" s="2">
        <f t="shared" si="32"/>
        <v>0</v>
      </c>
    </row>
    <row r="574" spans="2:8">
      <c r="B574" s="3" t="s">
        <v>2636</v>
      </c>
      <c r="C574" s="3" t="s">
        <v>2637</v>
      </c>
      <c r="D574" s="10" t="str">
        <f t="shared" si="26"/>
        <v>07-13</v>
      </c>
      <c r="E574" s="1">
        <f>_xlfn.IFNA(VLOOKUP('Comp X - UP'!B574,'Urban Plastix Holds'!$I$36:$U$498,10,0),0)</f>
        <v>0</v>
      </c>
      <c r="G574" s="2">
        <f t="shared" si="31"/>
        <v>0</v>
      </c>
      <c r="H574" s="2">
        <f t="shared" si="32"/>
        <v>0</v>
      </c>
    </row>
    <row r="575" spans="2:8">
      <c r="B575" s="3" t="s">
        <v>2636</v>
      </c>
      <c r="C575" s="3" t="s">
        <v>2637</v>
      </c>
      <c r="D575" s="11" t="str">
        <f t="shared" si="26"/>
        <v>11-25</v>
      </c>
      <c r="E575" s="1">
        <f>_xlfn.IFNA(VLOOKUP('Comp X - UP'!B575,'Urban Plastix Holds'!$I$36:$U$498,11,0),0)</f>
        <v>0</v>
      </c>
      <c r="G575" s="2">
        <f t="shared" si="31"/>
        <v>0</v>
      </c>
      <c r="H575" s="2">
        <f t="shared" si="32"/>
        <v>0</v>
      </c>
    </row>
    <row r="576" spans="2:8">
      <c r="B576" s="3" t="s">
        <v>2636</v>
      </c>
      <c r="C576" s="3" t="s">
        <v>2637</v>
      </c>
      <c r="D576" s="13" t="str">
        <f t="shared" si="26"/>
        <v>18-01</v>
      </c>
      <c r="E576" s="1">
        <f>_xlfn.IFNA(VLOOKUP('Comp X - UP'!B576,'Urban Plastix Holds'!$I$36:$U$498,12,0),0)</f>
        <v>4</v>
      </c>
      <c r="G576" s="2">
        <f t="shared" si="31"/>
        <v>0</v>
      </c>
      <c r="H576" s="2">
        <f t="shared" si="32"/>
        <v>0</v>
      </c>
    </row>
    <row r="577" spans="2:8">
      <c r="B577" s="3" t="s">
        <v>2636</v>
      </c>
      <c r="C577" s="3" t="s">
        <v>2637</v>
      </c>
      <c r="D577" s="12" t="str">
        <f t="shared" si="26"/>
        <v>12-01</v>
      </c>
      <c r="E577" s="1">
        <f>_xlfn.IFNA(VLOOKUP('Comp X - UP'!B577,'Urban Plastix Holds'!$I$36:$U$498,13,0),0)</f>
        <v>0</v>
      </c>
      <c r="G577" s="2">
        <f t="shared" si="31"/>
        <v>0</v>
      </c>
      <c r="H577" s="2">
        <f t="shared" si="32"/>
        <v>0</v>
      </c>
    </row>
    <row r="578" spans="2:8">
      <c r="B578" s="3" t="s">
        <v>2574</v>
      </c>
      <c r="C578" s="3" t="s">
        <v>2584</v>
      </c>
      <c r="D578" s="5" t="str">
        <f t="shared" ref="D578:D622" si="33">D542</f>
        <v>11-12</v>
      </c>
      <c r="E578" s="1">
        <f>_xlfn.IFNA(VLOOKUP('Comp X - UP'!B578,'Urban Plastix Holds'!$I$36:$U$498,5,0),0)</f>
        <v>0</v>
      </c>
      <c r="G578" s="2">
        <f t="shared" si="29"/>
        <v>0</v>
      </c>
      <c r="H578" s="2">
        <f t="shared" si="30"/>
        <v>0</v>
      </c>
    </row>
    <row r="579" spans="2:8">
      <c r="B579" s="3" t="s">
        <v>2574</v>
      </c>
      <c r="C579" s="3" t="s">
        <v>2584</v>
      </c>
      <c r="D579" s="6" t="str">
        <f t="shared" si="33"/>
        <v>14-01</v>
      </c>
      <c r="E579" s="1">
        <f>_xlfn.IFNA(VLOOKUP('Comp X - UP'!B579,'Urban Plastix Holds'!$I$36:$U$498,6,0),0)</f>
        <v>0</v>
      </c>
      <c r="G579" s="2">
        <f t="shared" si="29"/>
        <v>0</v>
      </c>
      <c r="H579" s="2">
        <f t="shared" si="30"/>
        <v>0</v>
      </c>
    </row>
    <row r="580" spans="2:8">
      <c r="B580" s="3" t="s">
        <v>2574</v>
      </c>
      <c r="C580" s="3" t="s">
        <v>2584</v>
      </c>
      <c r="D580" s="7" t="str">
        <f t="shared" si="33"/>
        <v>15-12</v>
      </c>
      <c r="E580" s="1">
        <f>_xlfn.IFNA(VLOOKUP('Comp X - UP'!B580,'Urban Plastix Holds'!$I$36:$U$498,7,0),0)</f>
        <v>1</v>
      </c>
      <c r="G580" s="2">
        <f t="shared" si="29"/>
        <v>0</v>
      </c>
      <c r="H580" s="2">
        <f t="shared" si="30"/>
        <v>0</v>
      </c>
    </row>
    <row r="581" spans="2:8">
      <c r="B581" s="3" t="s">
        <v>2574</v>
      </c>
      <c r="C581" s="3" t="s">
        <v>2584</v>
      </c>
      <c r="D581" s="8" t="str">
        <f t="shared" si="33"/>
        <v>16-16</v>
      </c>
      <c r="E581" s="1">
        <f>_xlfn.IFNA(VLOOKUP('Comp X - UP'!B581,'Urban Plastix Holds'!$I$36:$U$498,8,0),0)</f>
        <v>0</v>
      </c>
      <c r="G581" s="2">
        <f t="shared" si="29"/>
        <v>0</v>
      </c>
      <c r="H581" s="2">
        <f t="shared" si="30"/>
        <v>0</v>
      </c>
    </row>
    <row r="582" spans="2:8">
      <c r="B582" s="3" t="s">
        <v>2574</v>
      </c>
      <c r="C582" s="3" t="s">
        <v>2584</v>
      </c>
      <c r="D582" s="9" t="str">
        <f t="shared" si="33"/>
        <v>13-01</v>
      </c>
      <c r="E582" s="1">
        <f>_xlfn.IFNA(VLOOKUP('Comp X - UP'!B582,'Urban Plastix Holds'!$I$36:$U$498,9,0),0)</f>
        <v>5</v>
      </c>
      <c r="G582" s="2">
        <f t="shared" si="29"/>
        <v>0</v>
      </c>
      <c r="H582" s="2">
        <f t="shared" si="30"/>
        <v>0</v>
      </c>
    </row>
    <row r="583" spans="2:8">
      <c r="B583" s="3" t="s">
        <v>2574</v>
      </c>
      <c r="C583" s="3" t="s">
        <v>2584</v>
      </c>
      <c r="D583" s="10" t="str">
        <f t="shared" si="33"/>
        <v>07-13</v>
      </c>
      <c r="E583" s="1">
        <f>_xlfn.IFNA(VLOOKUP('Comp X - UP'!B583,'Urban Plastix Holds'!$I$36:$U$498,10,0),0)</f>
        <v>0</v>
      </c>
      <c r="G583" s="2">
        <f t="shared" si="29"/>
        <v>0</v>
      </c>
      <c r="H583" s="2">
        <f t="shared" si="30"/>
        <v>0</v>
      </c>
    </row>
    <row r="584" spans="2:8">
      <c r="B584" s="3" t="s">
        <v>2574</v>
      </c>
      <c r="C584" s="3" t="s">
        <v>2584</v>
      </c>
      <c r="D584" s="11" t="str">
        <f t="shared" si="33"/>
        <v>11-25</v>
      </c>
      <c r="E584" s="1">
        <f>_xlfn.IFNA(VLOOKUP('Comp X - UP'!B584,'Urban Plastix Holds'!$I$36:$U$498,11,0),0)</f>
        <v>0</v>
      </c>
      <c r="G584" s="2">
        <f t="shared" si="29"/>
        <v>0</v>
      </c>
      <c r="H584" s="2">
        <f t="shared" si="30"/>
        <v>0</v>
      </c>
    </row>
    <row r="585" spans="2:8">
      <c r="B585" s="3" t="s">
        <v>2574</v>
      </c>
      <c r="C585" s="3" t="s">
        <v>2584</v>
      </c>
      <c r="D585" s="13" t="str">
        <f t="shared" si="33"/>
        <v>18-01</v>
      </c>
      <c r="E585" s="1">
        <f>_xlfn.IFNA(VLOOKUP('Comp X - UP'!B585,'Urban Plastix Holds'!$I$36:$U$498,12,0),0)</f>
        <v>1</v>
      </c>
      <c r="G585" s="2">
        <f t="shared" si="29"/>
        <v>0</v>
      </c>
      <c r="H585" s="2">
        <f t="shared" si="30"/>
        <v>0</v>
      </c>
    </row>
    <row r="586" spans="2:8">
      <c r="B586" s="3" t="s">
        <v>2574</v>
      </c>
      <c r="C586" s="3" t="s">
        <v>2584</v>
      </c>
      <c r="D586" s="12" t="str">
        <f t="shared" si="33"/>
        <v>12-01</v>
      </c>
      <c r="E586" s="1">
        <f>_xlfn.IFNA(VLOOKUP('Comp X - UP'!B586,'Urban Plastix Holds'!$I$36:$U$498,13,0),0)</f>
        <v>0</v>
      </c>
      <c r="G586" s="2">
        <f t="shared" si="29"/>
        <v>0</v>
      </c>
      <c r="H586" s="2">
        <f t="shared" si="30"/>
        <v>0</v>
      </c>
    </row>
    <row r="587" spans="2:8">
      <c r="B587" s="3" t="s">
        <v>2819</v>
      </c>
      <c r="C587" s="3" t="s">
        <v>2824</v>
      </c>
      <c r="D587" s="5" t="str">
        <f t="shared" si="33"/>
        <v>11-12</v>
      </c>
      <c r="E587" s="1">
        <f>_xlfn.IFNA(VLOOKUP('Comp X - UP'!B587,'Urban Plastix Holds'!$I$36:$U$498,5,0),0)</f>
        <v>0</v>
      </c>
      <c r="G587" s="2">
        <f t="shared" ref="G587:G784" si="34">E587*F587</f>
        <v>0</v>
      </c>
      <c r="H587" s="2">
        <f t="shared" ref="H587:H784" si="35">IF($S$11="Y",G587*0.15,0)</f>
        <v>0</v>
      </c>
    </row>
    <row r="588" spans="2:8">
      <c r="B588" s="3" t="s">
        <v>2819</v>
      </c>
      <c r="C588" s="3" t="s">
        <v>2824</v>
      </c>
      <c r="D588" s="6" t="str">
        <f t="shared" si="33"/>
        <v>14-01</v>
      </c>
      <c r="E588" s="1">
        <f>_xlfn.IFNA(VLOOKUP('Comp X - UP'!B588,'Urban Plastix Holds'!$I$36:$U$498,6,0),0)</f>
        <v>0</v>
      </c>
      <c r="G588" s="2">
        <f t="shared" si="34"/>
        <v>0</v>
      </c>
      <c r="H588" s="2">
        <f t="shared" si="35"/>
        <v>0</v>
      </c>
    </row>
    <row r="589" spans="2:8">
      <c r="B589" s="3" t="s">
        <v>2819</v>
      </c>
      <c r="C589" s="3" t="s">
        <v>2824</v>
      </c>
      <c r="D589" s="7" t="str">
        <f t="shared" si="33"/>
        <v>15-12</v>
      </c>
      <c r="E589" s="1">
        <f>_xlfn.IFNA(VLOOKUP('Comp X - UP'!B589,'Urban Plastix Holds'!$I$36:$U$498,7,0),0)</f>
        <v>0</v>
      </c>
      <c r="G589" s="2">
        <f t="shared" si="34"/>
        <v>0</v>
      </c>
      <c r="H589" s="2">
        <f t="shared" si="35"/>
        <v>0</v>
      </c>
    </row>
    <row r="590" spans="2:8">
      <c r="B590" s="3" t="s">
        <v>2819</v>
      </c>
      <c r="C590" s="3" t="s">
        <v>2824</v>
      </c>
      <c r="D590" s="8" t="str">
        <f t="shared" si="33"/>
        <v>16-16</v>
      </c>
      <c r="E590" s="1">
        <f>_xlfn.IFNA(VLOOKUP('Comp X - UP'!B590,'Urban Plastix Holds'!$I$36:$U$498,8,0),0)</f>
        <v>0</v>
      </c>
      <c r="G590" s="2">
        <f t="shared" si="34"/>
        <v>0</v>
      </c>
      <c r="H590" s="2">
        <f t="shared" si="35"/>
        <v>0</v>
      </c>
    </row>
    <row r="591" spans="2:8">
      <c r="B591" s="3" t="s">
        <v>2819</v>
      </c>
      <c r="C591" s="3" t="s">
        <v>2824</v>
      </c>
      <c r="D591" s="9" t="str">
        <f t="shared" si="33"/>
        <v>13-01</v>
      </c>
      <c r="E591" s="1">
        <f>_xlfn.IFNA(VLOOKUP('Comp X - UP'!B591,'Urban Plastix Holds'!$I$36:$U$498,9,0),0)</f>
        <v>0</v>
      </c>
      <c r="G591" s="2">
        <f t="shared" si="34"/>
        <v>0</v>
      </c>
      <c r="H591" s="2">
        <f t="shared" si="35"/>
        <v>0</v>
      </c>
    </row>
    <row r="592" spans="2:8">
      <c r="B592" s="3" t="s">
        <v>2819</v>
      </c>
      <c r="C592" s="3" t="s">
        <v>2824</v>
      </c>
      <c r="D592" s="10" t="str">
        <f t="shared" si="33"/>
        <v>07-13</v>
      </c>
      <c r="E592" s="1">
        <f>_xlfn.IFNA(VLOOKUP('Comp X - UP'!B592,'Urban Plastix Holds'!$I$36:$U$498,10,0),0)</f>
        <v>0</v>
      </c>
      <c r="G592" s="2">
        <f t="shared" si="34"/>
        <v>0</v>
      </c>
      <c r="H592" s="2">
        <f t="shared" si="35"/>
        <v>0</v>
      </c>
    </row>
    <row r="593" spans="2:8">
      <c r="B593" s="3" t="s">
        <v>2819</v>
      </c>
      <c r="C593" s="3" t="s">
        <v>2824</v>
      </c>
      <c r="D593" s="11" t="str">
        <f t="shared" si="33"/>
        <v>11-25</v>
      </c>
      <c r="E593" s="1">
        <f>_xlfn.IFNA(VLOOKUP('Comp X - UP'!B593,'Urban Plastix Holds'!$I$36:$U$498,11,0),0)</f>
        <v>0</v>
      </c>
      <c r="G593" s="2">
        <f t="shared" si="34"/>
        <v>0</v>
      </c>
      <c r="H593" s="2">
        <f t="shared" si="35"/>
        <v>0</v>
      </c>
    </row>
    <row r="594" spans="2:8">
      <c r="B594" s="3" t="s">
        <v>2819</v>
      </c>
      <c r="C594" s="3" t="s">
        <v>2824</v>
      </c>
      <c r="D594" s="13" t="str">
        <f t="shared" si="33"/>
        <v>18-01</v>
      </c>
      <c r="E594" s="1">
        <f>_xlfn.IFNA(VLOOKUP('Comp X - UP'!B594,'Urban Plastix Holds'!$I$36:$U$498,12,0),0)</f>
        <v>0</v>
      </c>
      <c r="G594" s="2">
        <f t="shared" si="34"/>
        <v>0</v>
      </c>
      <c r="H594" s="2">
        <f t="shared" si="35"/>
        <v>0</v>
      </c>
    </row>
    <row r="595" spans="2:8">
      <c r="B595" s="3" t="s">
        <v>2819</v>
      </c>
      <c r="C595" s="3" t="s">
        <v>2824</v>
      </c>
      <c r="D595" s="12" t="str">
        <f t="shared" si="33"/>
        <v>12-01</v>
      </c>
      <c r="E595" s="1">
        <f>_xlfn.IFNA(VLOOKUP('Comp X - UP'!B595,'Urban Plastix Holds'!$I$36:$U$498,13,0),0)</f>
        <v>0</v>
      </c>
      <c r="G595" s="2">
        <f t="shared" si="34"/>
        <v>0</v>
      </c>
      <c r="H595" s="2">
        <f t="shared" si="35"/>
        <v>0</v>
      </c>
    </row>
    <row r="596" spans="2:8">
      <c r="B596" s="3" t="s">
        <v>2901</v>
      </c>
      <c r="C596" s="3" t="s">
        <v>2902</v>
      </c>
      <c r="D596" s="5" t="str">
        <f t="shared" si="33"/>
        <v>11-12</v>
      </c>
      <c r="E596" s="1">
        <f>_xlfn.IFNA(VLOOKUP('Comp X - UP'!B596,'Urban Plastix Holds'!$I$36:$U$498,5,0),0)</f>
        <v>0</v>
      </c>
      <c r="G596" s="2">
        <f t="shared" ref="G596:G604" si="36">E596*F596</f>
        <v>0</v>
      </c>
      <c r="H596" s="2">
        <f t="shared" ref="H596:H604" si="37">IF($S$11="Y",G596*0.15,0)</f>
        <v>0</v>
      </c>
    </row>
    <row r="597" spans="2:8">
      <c r="B597" s="3" t="s">
        <v>2901</v>
      </c>
      <c r="C597" s="3" t="s">
        <v>2902</v>
      </c>
      <c r="D597" s="6" t="str">
        <f t="shared" si="33"/>
        <v>14-01</v>
      </c>
      <c r="E597" s="1">
        <f>_xlfn.IFNA(VLOOKUP('Comp X - UP'!B597,'Urban Plastix Holds'!$I$36:$U$498,6,0),0)</f>
        <v>0</v>
      </c>
      <c r="G597" s="2">
        <f t="shared" si="36"/>
        <v>0</v>
      </c>
      <c r="H597" s="2">
        <f t="shared" si="37"/>
        <v>0</v>
      </c>
    </row>
    <row r="598" spans="2:8">
      <c r="B598" s="3" t="s">
        <v>2901</v>
      </c>
      <c r="C598" s="3" t="s">
        <v>2902</v>
      </c>
      <c r="D598" s="7" t="str">
        <f t="shared" si="33"/>
        <v>15-12</v>
      </c>
      <c r="E598" s="1">
        <f>_xlfn.IFNA(VLOOKUP('Comp X - UP'!B598,'Urban Plastix Holds'!$I$36:$U$498,7,0),0)</f>
        <v>0</v>
      </c>
      <c r="G598" s="2">
        <f t="shared" si="36"/>
        <v>0</v>
      </c>
      <c r="H598" s="2">
        <f t="shared" si="37"/>
        <v>0</v>
      </c>
    </row>
    <row r="599" spans="2:8">
      <c r="B599" s="3" t="s">
        <v>2901</v>
      </c>
      <c r="C599" s="3" t="s">
        <v>2902</v>
      </c>
      <c r="D599" s="8" t="str">
        <f t="shared" si="33"/>
        <v>16-16</v>
      </c>
      <c r="E599" s="1">
        <f>_xlfn.IFNA(VLOOKUP('Comp X - UP'!B599,'Urban Plastix Holds'!$I$36:$U$498,8,0),0)</f>
        <v>0</v>
      </c>
      <c r="G599" s="2">
        <f t="shared" si="36"/>
        <v>0</v>
      </c>
      <c r="H599" s="2">
        <f t="shared" si="37"/>
        <v>0</v>
      </c>
    </row>
    <row r="600" spans="2:8">
      <c r="B600" s="3" t="s">
        <v>2901</v>
      </c>
      <c r="C600" s="3" t="s">
        <v>2902</v>
      </c>
      <c r="D600" s="9" t="str">
        <f t="shared" si="33"/>
        <v>13-01</v>
      </c>
      <c r="E600" s="1">
        <f>_xlfn.IFNA(VLOOKUP('Comp X - UP'!B600,'Urban Plastix Holds'!$I$36:$U$498,9,0),0)</f>
        <v>0</v>
      </c>
      <c r="G600" s="2">
        <f t="shared" si="36"/>
        <v>0</v>
      </c>
      <c r="H600" s="2">
        <f t="shared" si="37"/>
        <v>0</v>
      </c>
    </row>
    <row r="601" spans="2:8">
      <c r="B601" s="3" t="s">
        <v>2901</v>
      </c>
      <c r="C601" s="3" t="s">
        <v>2902</v>
      </c>
      <c r="D601" s="10" t="str">
        <f t="shared" si="33"/>
        <v>07-13</v>
      </c>
      <c r="E601" s="1">
        <f>_xlfn.IFNA(VLOOKUP('Comp X - UP'!B601,'Urban Plastix Holds'!$I$36:$U$498,10,0),0)</f>
        <v>0</v>
      </c>
      <c r="G601" s="2">
        <f t="shared" si="36"/>
        <v>0</v>
      </c>
      <c r="H601" s="2">
        <f t="shared" si="37"/>
        <v>0</v>
      </c>
    </row>
    <row r="602" spans="2:8">
      <c r="B602" s="3" t="s">
        <v>2901</v>
      </c>
      <c r="C602" s="3" t="s">
        <v>2902</v>
      </c>
      <c r="D602" s="11" t="str">
        <f t="shared" si="33"/>
        <v>11-25</v>
      </c>
      <c r="E602" s="1">
        <f>_xlfn.IFNA(VLOOKUP('Comp X - UP'!B602,'Urban Plastix Holds'!$I$36:$U$498,11,0),0)</f>
        <v>0</v>
      </c>
      <c r="G602" s="2">
        <f t="shared" si="36"/>
        <v>0</v>
      </c>
      <c r="H602" s="2">
        <f t="shared" si="37"/>
        <v>0</v>
      </c>
    </row>
    <row r="603" spans="2:8">
      <c r="B603" s="3" t="s">
        <v>2901</v>
      </c>
      <c r="C603" s="3" t="s">
        <v>2902</v>
      </c>
      <c r="D603" s="13" t="str">
        <f t="shared" si="33"/>
        <v>18-01</v>
      </c>
      <c r="E603" s="1">
        <f>_xlfn.IFNA(VLOOKUP('Comp X - UP'!B603,'Urban Plastix Holds'!$I$36:$U$498,12,0),0)</f>
        <v>0</v>
      </c>
      <c r="G603" s="2">
        <f t="shared" si="36"/>
        <v>0</v>
      </c>
      <c r="H603" s="2">
        <f t="shared" si="37"/>
        <v>0</v>
      </c>
    </row>
    <row r="604" spans="2:8">
      <c r="B604" s="3" t="s">
        <v>2901</v>
      </c>
      <c r="C604" s="3" t="s">
        <v>2902</v>
      </c>
      <c r="D604" s="12" t="str">
        <f t="shared" si="33"/>
        <v>12-01</v>
      </c>
      <c r="E604" s="1">
        <f>_xlfn.IFNA(VLOOKUP('Comp X - UP'!B604,'Urban Plastix Holds'!$I$36:$U$498,13,0),0)</f>
        <v>0</v>
      </c>
      <c r="G604" s="2">
        <f t="shared" si="36"/>
        <v>0</v>
      </c>
      <c r="H604" s="2">
        <f t="shared" si="37"/>
        <v>0</v>
      </c>
    </row>
    <row r="605" spans="2:8">
      <c r="B605" s="3" t="s">
        <v>2904</v>
      </c>
      <c r="C605" s="3" t="s">
        <v>2905</v>
      </c>
      <c r="D605" s="5" t="str">
        <f t="shared" si="33"/>
        <v>11-12</v>
      </c>
      <c r="E605" s="1">
        <f>_xlfn.IFNA(VLOOKUP('Comp X - UP'!B605,'Urban Plastix Holds'!$I$36:$U$498,5,0),0)</f>
        <v>0</v>
      </c>
      <c r="G605" s="2">
        <f t="shared" ref="G605:G631" si="38">E605*F605</f>
        <v>0</v>
      </c>
      <c r="H605" s="2">
        <f t="shared" ref="H605:H631" si="39">IF($S$11="Y",G605*0.15,0)</f>
        <v>0</v>
      </c>
    </row>
    <row r="606" spans="2:8">
      <c r="B606" s="3" t="s">
        <v>2904</v>
      </c>
      <c r="C606" s="3" t="s">
        <v>2905</v>
      </c>
      <c r="D606" s="6" t="str">
        <f t="shared" si="33"/>
        <v>14-01</v>
      </c>
      <c r="E606" s="1">
        <f>_xlfn.IFNA(VLOOKUP('Comp X - UP'!B606,'Urban Plastix Holds'!$I$36:$U$498,6,0),0)</f>
        <v>0</v>
      </c>
      <c r="G606" s="2">
        <f t="shared" si="38"/>
        <v>0</v>
      </c>
      <c r="H606" s="2">
        <f t="shared" si="39"/>
        <v>0</v>
      </c>
    </row>
    <row r="607" spans="2:8">
      <c r="B607" s="3" t="s">
        <v>2904</v>
      </c>
      <c r="C607" s="3" t="s">
        <v>2905</v>
      </c>
      <c r="D607" s="7" t="str">
        <f t="shared" si="33"/>
        <v>15-12</v>
      </c>
      <c r="E607" s="1">
        <f>_xlfn.IFNA(VLOOKUP('Comp X - UP'!B607,'Urban Plastix Holds'!$I$36:$U$498,7,0),0)</f>
        <v>0</v>
      </c>
      <c r="G607" s="2">
        <f t="shared" si="38"/>
        <v>0</v>
      </c>
      <c r="H607" s="2">
        <f t="shared" si="39"/>
        <v>0</v>
      </c>
    </row>
    <row r="608" spans="2:8">
      <c r="B608" s="3" t="s">
        <v>2904</v>
      </c>
      <c r="C608" s="3" t="s">
        <v>2905</v>
      </c>
      <c r="D608" s="8" t="str">
        <f t="shared" si="33"/>
        <v>16-16</v>
      </c>
      <c r="E608" s="1">
        <f>_xlfn.IFNA(VLOOKUP('Comp X - UP'!B608,'Urban Plastix Holds'!$I$36:$U$498,8,0),0)</f>
        <v>0</v>
      </c>
      <c r="G608" s="2">
        <f t="shared" si="38"/>
        <v>0</v>
      </c>
      <c r="H608" s="2">
        <f t="shared" si="39"/>
        <v>0</v>
      </c>
    </row>
    <row r="609" spans="2:8">
      <c r="B609" s="3" t="s">
        <v>2904</v>
      </c>
      <c r="C609" s="3" t="s">
        <v>2905</v>
      </c>
      <c r="D609" s="9" t="str">
        <f t="shared" si="33"/>
        <v>13-01</v>
      </c>
      <c r="E609" s="1">
        <f>_xlfn.IFNA(VLOOKUP('Comp X - UP'!B609,'Urban Plastix Holds'!$I$36:$U$498,9,0),0)</f>
        <v>0</v>
      </c>
      <c r="G609" s="2">
        <f t="shared" si="38"/>
        <v>0</v>
      </c>
      <c r="H609" s="2">
        <f t="shared" si="39"/>
        <v>0</v>
      </c>
    </row>
    <row r="610" spans="2:8">
      <c r="B610" s="3" t="s">
        <v>2904</v>
      </c>
      <c r="C610" s="3" t="s">
        <v>2905</v>
      </c>
      <c r="D610" s="10" t="str">
        <f t="shared" si="33"/>
        <v>07-13</v>
      </c>
      <c r="E610" s="1">
        <f>_xlfn.IFNA(VLOOKUP('Comp X - UP'!B610,'Urban Plastix Holds'!$I$36:$U$498,10,0),0)</f>
        <v>0</v>
      </c>
      <c r="G610" s="2">
        <f t="shared" si="38"/>
        <v>0</v>
      </c>
      <c r="H610" s="2">
        <f t="shared" si="39"/>
        <v>0</v>
      </c>
    </row>
    <row r="611" spans="2:8">
      <c r="B611" s="3" t="s">
        <v>2904</v>
      </c>
      <c r="C611" s="3" t="s">
        <v>2905</v>
      </c>
      <c r="D611" s="11" t="str">
        <f t="shared" si="33"/>
        <v>11-25</v>
      </c>
      <c r="E611" s="1">
        <f>_xlfn.IFNA(VLOOKUP('Comp X - UP'!B611,'Urban Plastix Holds'!$I$36:$U$498,11,0),0)</f>
        <v>0</v>
      </c>
      <c r="G611" s="2">
        <f t="shared" si="38"/>
        <v>0</v>
      </c>
      <c r="H611" s="2">
        <f t="shared" si="39"/>
        <v>0</v>
      </c>
    </row>
    <row r="612" spans="2:8">
      <c r="B612" s="3" t="s">
        <v>2904</v>
      </c>
      <c r="C612" s="3" t="s">
        <v>2905</v>
      </c>
      <c r="D612" s="13" t="str">
        <f t="shared" si="33"/>
        <v>18-01</v>
      </c>
      <c r="E612" s="1">
        <f>_xlfn.IFNA(VLOOKUP('Comp X - UP'!B612,'Urban Plastix Holds'!$I$36:$U$498,12,0),0)</f>
        <v>0</v>
      </c>
      <c r="G612" s="2">
        <f t="shared" si="38"/>
        <v>0</v>
      </c>
      <c r="H612" s="2">
        <f t="shared" si="39"/>
        <v>0</v>
      </c>
    </row>
    <row r="613" spans="2:8">
      <c r="B613" s="3" t="s">
        <v>2904</v>
      </c>
      <c r="C613" s="3" t="s">
        <v>2905</v>
      </c>
      <c r="D613" s="12" t="str">
        <f t="shared" si="33"/>
        <v>12-01</v>
      </c>
      <c r="E613" s="1">
        <f>_xlfn.IFNA(VLOOKUP('Comp X - UP'!B613,'Urban Plastix Holds'!$I$36:$U$498,13,0),0)</f>
        <v>0</v>
      </c>
      <c r="G613" s="2">
        <f t="shared" si="38"/>
        <v>0</v>
      </c>
      <c r="H613" s="2">
        <f t="shared" si="39"/>
        <v>0</v>
      </c>
    </row>
    <row r="614" spans="2:8">
      <c r="B614" s="3" t="s">
        <v>2934</v>
      </c>
      <c r="C614" s="3" t="s">
        <v>2935</v>
      </c>
      <c r="D614" s="5" t="str">
        <f t="shared" si="33"/>
        <v>11-12</v>
      </c>
      <c r="E614" s="1">
        <f>_xlfn.IFNA(VLOOKUP('Comp X - UP'!B614,'Urban Plastix Holds'!$I$36:$U$498,5,0),0)</f>
        <v>0</v>
      </c>
      <c r="G614" s="2">
        <f t="shared" si="38"/>
        <v>0</v>
      </c>
      <c r="H614" s="2">
        <f t="shared" si="39"/>
        <v>0</v>
      </c>
    </row>
    <row r="615" spans="2:8">
      <c r="B615" s="3" t="s">
        <v>2934</v>
      </c>
      <c r="C615" s="3" t="s">
        <v>2935</v>
      </c>
      <c r="D615" s="6" t="str">
        <f t="shared" si="33"/>
        <v>14-01</v>
      </c>
      <c r="E615" s="1">
        <f>_xlfn.IFNA(VLOOKUP('Comp X - UP'!B615,'Urban Plastix Holds'!$I$36:$U$498,6,0),0)</f>
        <v>0</v>
      </c>
      <c r="G615" s="2">
        <f t="shared" si="38"/>
        <v>0</v>
      </c>
      <c r="H615" s="2">
        <f t="shared" si="39"/>
        <v>0</v>
      </c>
    </row>
    <row r="616" spans="2:8">
      <c r="B616" s="3" t="s">
        <v>2934</v>
      </c>
      <c r="C616" s="3" t="s">
        <v>2935</v>
      </c>
      <c r="D616" s="7" t="str">
        <f t="shared" si="33"/>
        <v>15-12</v>
      </c>
      <c r="E616" s="1">
        <f>_xlfn.IFNA(VLOOKUP('Comp X - UP'!B616,'Urban Plastix Holds'!$I$36:$U$498,7,0),0)</f>
        <v>0</v>
      </c>
      <c r="G616" s="2">
        <f t="shared" si="38"/>
        <v>0</v>
      </c>
      <c r="H616" s="2">
        <f t="shared" si="39"/>
        <v>0</v>
      </c>
    </row>
    <row r="617" spans="2:8">
      <c r="B617" s="3" t="s">
        <v>2934</v>
      </c>
      <c r="C617" s="3" t="s">
        <v>2935</v>
      </c>
      <c r="D617" s="8" t="str">
        <f t="shared" si="33"/>
        <v>16-16</v>
      </c>
      <c r="E617" s="1">
        <f>_xlfn.IFNA(VLOOKUP('Comp X - UP'!B617,'Urban Plastix Holds'!$I$36:$U$498,8,0),0)</f>
        <v>0</v>
      </c>
      <c r="G617" s="2">
        <f t="shared" si="38"/>
        <v>0</v>
      </c>
      <c r="H617" s="2">
        <f t="shared" si="39"/>
        <v>0</v>
      </c>
    </row>
    <row r="618" spans="2:8">
      <c r="B618" s="3" t="s">
        <v>2934</v>
      </c>
      <c r="C618" s="3" t="s">
        <v>2935</v>
      </c>
      <c r="D618" s="9" t="str">
        <f t="shared" si="33"/>
        <v>13-01</v>
      </c>
      <c r="E618" s="1">
        <f>_xlfn.IFNA(VLOOKUP('Comp X - UP'!B618,'Urban Plastix Holds'!$I$36:$U$498,9,0),0)</f>
        <v>0</v>
      </c>
      <c r="G618" s="2">
        <f t="shared" si="38"/>
        <v>0</v>
      </c>
      <c r="H618" s="2">
        <f t="shared" si="39"/>
        <v>0</v>
      </c>
    </row>
    <row r="619" spans="2:8">
      <c r="B619" s="3" t="s">
        <v>2934</v>
      </c>
      <c r="C619" s="3" t="s">
        <v>2935</v>
      </c>
      <c r="D619" s="10" t="str">
        <f t="shared" si="33"/>
        <v>07-13</v>
      </c>
      <c r="E619" s="1">
        <f>_xlfn.IFNA(VLOOKUP('Comp X - UP'!B619,'Urban Plastix Holds'!$I$36:$U$498,10,0),0)</f>
        <v>0</v>
      </c>
      <c r="G619" s="2">
        <f t="shared" si="38"/>
        <v>0</v>
      </c>
      <c r="H619" s="2">
        <f t="shared" si="39"/>
        <v>0</v>
      </c>
    </row>
    <row r="620" spans="2:8">
      <c r="B620" s="3" t="s">
        <v>2934</v>
      </c>
      <c r="C620" s="3" t="s">
        <v>2935</v>
      </c>
      <c r="D620" s="11" t="str">
        <f t="shared" si="33"/>
        <v>11-25</v>
      </c>
      <c r="E620" s="1">
        <f>_xlfn.IFNA(VLOOKUP('Comp X - UP'!B620,'Urban Plastix Holds'!$I$36:$U$498,11,0),0)</f>
        <v>0</v>
      </c>
      <c r="G620" s="2">
        <f t="shared" si="38"/>
        <v>0</v>
      </c>
      <c r="H620" s="2">
        <f t="shared" si="39"/>
        <v>0</v>
      </c>
    </row>
    <row r="621" spans="2:8">
      <c r="B621" s="3" t="s">
        <v>2934</v>
      </c>
      <c r="C621" s="3" t="s">
        <v>2935</v>
      </c>
      <c r="D621" s="13" t="str">
        <f t="shared" si="33"/>
        <v>18-01</v>
      </c>
      <c r="E621" s="1">
        <f>_xlfn.IFNA(VLOOKUP('Comp X - UP'!B621,'Urban Plastix Holds'!$I$36:$U$498,12,0),0)</f>
        <v>0</v>
      </c>
      <c r="G621" s="2">
        <f t="shared" si="38"/>
        <v>0</v>
      </c>
      <c r="H621" s="2">
        <f t="shared" si="39"/>
        <v>0</v>
      </c>
    </row>
    <row r="622" spans="2:8">
      <c r="B622" s="3" t="s">
        <v>2934</v>
      </c>
      <c r="C622" s="3" t="s">
        <v>2935</v>
      </c>
      <c r="D622" s="12" t="str">
        <f t="shared" si="33"/>
        <v>12-01</v>
      </c>
      <c r="E622" s="1">
        <f>_xlfn.IFNA(VLOOKUP('Comp X - UP'!B622,'Urban Plastix Holds'!$I$36:$U$498,13,0),0)</f>
        <v>0</v>
      </c>
      <c r="G622" s="2">
        <f t="shared" si="38"/>
        <v>0</v>
      </c>
      <c r="H622" s="2">
        <f t="shared" si="39"/>
        <v>0</v>
      </c>
    </row>
    <row r="623" spans="2:8">
      <c r="B623" s="3" t="s">
        <v>2937</v>
      </c>
      <c r="C623" s="3" t="s">
        <v>2940</v>
      </c>
      <c r="D623" s="5" t="str">
        <f t="shared" ref="D623:D640" si="40">D578</f>
        <v>11-12</v>
      </c>
      <c r="E623" s="1">
        <f>_xlfn.IFNA(VLOOKUP('Comp X - UP'!B623,'Urban Plastix Holds'!$I$36:$U$498,5,0),0)</f>
        <v>0</v>
      </c>
      <c r="G623" s="2">
        <f t="shared" si="38"/>
        <v>0</v>
      </c>
      <c r="H623" s="2">
        <f t="shared" si="39"/>
        <v>0</v>
      </c>
    </row>
    <row r="624" spans="2:8">
      <c r="B624" s="3" t="s">
        <v>2937</v>
      </c>
      <c r="C624" s="3" t="s">
        <v>2940</v>
      </c>
      <c r="D624" s="6" t="str">
        <f t="shared" si="40"/>
        <v>14-01</v>
      </c>
      <c r="E624" s="1">
        <f>_xlfn.IFNA(VLOOKUP('Comp X - UP'!B624,'Urban Plastix Holds'!$I$36:$U$498,6,0),0)</f>
        <v>0</v>
      </c>
      <c r="G624" s="2">
        <f t="shared" si="38"/>
        <v>0</v>
      </c>
      <c r="H624" s="2">
        <f t="shared" si="39"/>
        <v>0</v>
      </c>
    </row>
    <row r="625" spans="2:8">
      <c r="B625" s="3" t="s">
        <v>2937</v>
      </c>
      <c r="C625" s="3" t="s">
        <v>2940</v>
      </c>
      <c r="D625" s="7" t="str">
        <f t="shared" si="40"/>
        <v>15-12</v>
      </c>
      <c r="E625" s="1">
        <f>_xlfn.IFNA(VLOOKUP('Comp X - UP'!B625,'Urban Plastix Holds'!$I$36:$U$498,7,0),0)</f>
        <v>0</v>
      </c>
      <c r="G625" s="2">
        <f t="shared" si="38"/>
        <v>0</v>
      </c>
      <c r="H625" s="2">
        <f t="shared" si="39"/>
        <v>0</v>
      </c>
    </row>
    <row r="626" spans="2:8">
      <c r="B626" s="3" t="s">
        <v>2937</v>
      </c>
      <c r="C626" s="3" t="s">
        <v>2940</v>
      </c>
      <c r="D626" s="8" t="str">
        <f t="shared" si="40"/>
        <v>16-16</v>
      </c>
      <c r="E626" s="1">
        <f>_xlfn.IFNA(VLOOKUP('Comp X - UP'!B626,'Urban Plastix Holds'!$I$36:$U$498,8,0),0)</f>
        <v>0</v>
      </c>
      <c r="G626" s="2">
        <f t="shared" si="38"/>
        <v>0</v>
      </c>
      <c r="H626" s="2">
        <f t="shared" si="39"/>
        <v>0</v>
      </c>
    </row>
    <row r="627" spans="2:8">
      <c r="B627" s="3" t="s">
        <v>2937</v>
      </c>
      <c r="C627" s="3" t="s">
        <v>2940</v>
      </c>
      <c r="D627" s="9" t="str">
        <f t="shared" si="40"/>
        <v>13-01</v>
      </c>
      <c r="E627" s="1">
        <f>_xlfn.IFNA(VLOOKUP('Comp X - UP'!B627,'Urban Plastix Holds'!$I$36:$U$498,9,0),0)</f>
        <v>0</v>
      </c>
      <c r="G627" s="2">
        <f t="shared" si="38"/>
        <v>0</v>
      </c>
      <c r="H627" s="2">
        <f t="shared" si="39"/>
        <v>0</v>
      </c>
    </row>
    <row r="628" spans="2:8">
      <c r="B628" s="3" t="s">
        <v>2937</v>
      </c>
      <c r="C628" s="3" t="s">
        <v>2940</v>
      </c>
      <c r="D628" s="10" t="str">
        <f t="shared" si="40"/>
        <v>07-13</v>
      </c>
      <c r="E628" s="1">
        <f>_xlfn.IFNA(VLOOKUP('Comp X - UP'!B628,'Urban Plastix Holds'!$I$36:$U$498,10,0),0)</f>
        <v>0</v>
      </c>
      <c r="G628" s="2">
        <f t="shared" si="38"/>
        <v>0</v>
      </c>
      <c r="H628" s="2">
        <f t="shared" si="39"/>
        <v>0</v>
      </c>
    </row>
    <row r="629" spans="2:8">
      <c r="B629" s="3" t="s">
        <v>2937</v>
      </c>
      <c r="C629" s="3" t="s">
        <v>2940</v>
      </c>
      <c r="D629" s="11" t="str">
        <f t="shared" si="40"/>
        <v>11-25</v>
      </c>
      <c r="E629" s="1">
        <f>_xlfn.IFNA(VLOOKUP('Comp X - UP'!B629,'Urban Plastix Holds'!$I$36:$U$498,11,0),0)</f>
        <v>0</v>
      </c>
      <c r="G629" s="2">
        <f t="shared" si="38"/>
        <v>0</v>
      </c>
      <c r="H629" s="2">
        <f t="shared" si="39"/>
        <v>0</v>
      </c>
    </row>
    <row r="630" spans="2:8">
      <c r="B630" s="3" t="s">
        <v>2937</v>
      </c>
      <c r="C630" s="3" t="s">
        <v>2940</v>
      </c>
      <c r="D630" s="13" t="str">
        <f t="shared" si="40"/>
        <v>18-01</v>
      </c>
      <c r="E630" s="1">
        <f>_xlfn.IFNA(VLOOKUP('Comp X - UP'!B630,'Urban Plastix Holds'!$I$36:$U$498,12,0),0)</f>
        <v>0</v>
      </c>
      <c r="G630" s="2">
        <f t="shared" si="38"/>
        <v>0</v>
      </c>
      <c r="H630" s="2">
        <f t="shared" si="39"/>
        <v>0</v>
      </c>
    </row>
    <row r="631" spans="2:8">
      <c r="B631" s="3" t="s">
        <v>2937</v>
      </c>
      <c r="C631" s="3" t="s">
        <v>2940</v>
      </c>
      <c r="D631" s="12" t="str">
        <f t="shared" si="40"/>
        <v>12-01</v>
      </c>
      <c r="E631" s="1">
        <f>_xlfn.IFNA(VLOOKUP('Comp X - UP'!B631,'Urban Plastix Holds'!$I$36:$U$498,13,0),0)</f>
        <v>0</v>
      </c>
      <c r="G631" s="2">
        <f t="shared" si="38"/>
        <v>0</v>
      </c>
      <c r="H631" s="2">
        <f t="shared" si="39"/>
        <v>0</v>
      </c>
    </row>
    <row r="632" spans="2:8">
      <c r="B632" s="3" t="s">
        <v>2941</v>
      </c>
      <c r="C632" s="3" t="s">
        <v>2942</v>
      </c>
      <c r="D632" s="5" t="str">
        <f t="shared" si="40"/>
        <v>11-12</v>
      </c>
      <c r="E632" s="1">
        <f>_xlfn.IFNA(VLOOKUP('Comp X - UP'!B632,'Urban Plastix Holds'!$I$36:$U$498,5,0),0)</f>
        <v>0</v>
      </c>
      <c r="G632" s="2">
        <f t="shared" ref="G632:G640" si="41">E632*F632</f>
        <v>0</v>
      </c>
      <c r="H632" s="2">
        <f t="shared" ref="H632:H640" si="42">IF($S$11="Y",G632*0.15,0)</f>
        <v>0</v>
      </c>
    </row>
    <row r="633" spans="2:8">
      <c r="B633" s="3" t="s">
        <v>2941</v>
      </c>
      <c r="C633" s="3" t="s">
        <v>2942</v>
      </c>
      <c r="D633" s="6" t="str">
        <f t="shared" si="40"/>
        <v>14-01</v>
      </c>
      <c r="E633" s="1">
        <f>_xlfn.IFNA(VLOOKUP('Comp X - UP'!B633,'Urban Plastix Holds'!$I$36:$U$498,6,0),0)</f>
        <v>0</v>
      </c>
      <c r="G633" s="2">
        <f t="shared" si="41"/>
        <v>0</v>
      </c>
      <c r="H633" s="2">
        <f t="shared" si="42"/>
        <v>0</v>
      </c>
    </row>
    <row r="634" spans="2:8">
      <c r="B634" s="3" t="s">
        <v>2941</v>
      </c>
      <c r="C634" s="3" t="s">
        <v>2942</v>
      </c>
      <c r="D634" s="7" t="str">
        <f t="shared" si="40"/>
        <v>15-12</v>
      </c>
      <c r="E634" s="1">
        <f>_xlfn.IFNA(VLOOKUP('Comp X - UP'!B634,'Urban Plastix Holds'!$I$36:$U$498,7,0),0)</f>
        <v>0</v>
      </c>
      <c r="G634" s="2">
        <f t="shared" si="41"/>
        <v>0</v>
      </c>
      <c r="H634" s="2">
        <f t="shared" si="42"/>
        <v>0</v>
      </c>
    </row>
    <row r="635" spans="2:8">
      <c r="B635" s="3" t="s">
        <v>2941</v>
      </c>
      <c r="C635" s="3" t="s">
        <v>2942</v>
      </c>
      <c r="D635" s="8" t="str">
        <f t="shared" si="40"/>
        <v>16-16</v>
      </c>
      <c r="E635" s="1">
        <f>_xlfn.IFNA(VLOOKUP('Comp X - UP'!B635,'Urban Plastix Holds'!$I$36:$U$498,8,0),0)</f>
        <v>0</v>
      </c>
      <c r="G635" s="2">
        <f t="shared" si="41"/>
        <v>0</v>
      </c>
      <c r="H635" s="2">
        <f t="shared" si="42"/>
        <v>0</v>
      </c>
    </row>
    <row r="636" spans="2:8">
      <c r="B636" s="3" t="s">
        <v>2941</v>
      </c>
      <c r="C636" s="3" t="s">
        <v>2942</v>
      </c>
      <c r="D636" s="9" t="str">
        <f t="shared" si="40"/>
        <v>13-01</v>
      </c>
      <c r="E636" s="1">
        <f>_xlfn.IFNA(VLOOKUP('Comp X - UP'!B636,'Urban Plastix Holds'!$I$36:$U$498,9,0),0)</f>
        <v>0</v>
      </c>
      <c r="G636" s="2">
        <f t="shared" si="41"/>
        <v>0</v>
      </c>
      <c r="H636" s="2">
        <f t="shared" si="42"/>
        <v>0</v>
      </c>
    </row>
    <row r="637" spans="2:8">
      <c r="B637" s="3" t="s">
        <v>2941</v>
      </c>
      <c r="C637" s="3" t="s">
        <v>2942</v>
      </c>
      <c r="D637" s="10" t="str">
        <f t="shared" si="40"/>
        <v>07-13</v>
      </c>
      <c r="E637" s="1">
        <f>_xlfn.IFNA(VLOOKUP('Comp X - UP'!B637,'Urban Plastix Holds'!$I$36:$U$498,10,0),0)</f>
        <v>0</v>
      </c>
      <c r="G637" s="2">
        <f t="shared" si="41"/>
        <v>0</v>
      </c>
      <c r="H637" s="2">
        <f t="shared" si="42"/>
        <v>0</v>
      </c>
    </row>
    <row r="638" spans="2:8">
      <c r="B638" s="3" t="s">
        <v>2941</v>
      </c>
      <c r="C638" s="3" t="s">
        <v>2942</v>
      </c>
      <c r="D638" s="11" t="str">
        <f t="shared" si="40"/>
        <v>11-25</v>
      </c>
      <c r="E638" s="1">
        <f>_xlfn.IFNA(VLOOKUP('Comp X - UP'!B638,'Urban Plastix Holds'!$I$36:$U$498,11,0),0)</f>
        <v>0</v>
      </c>
      <c r="G638" s="2">
        <f t="shared" si="41"/>
        <v>0</v>
      </c>
      <c r="H638" s="2">
        <f t="shared" si="42"/>
        <v>0</v>
      </c>
    </row>
    <row r="639" spans="2:8">
      <c r="B639" s="3" t="s">
        <v>2941</v>
      </c>
      <c r="C639" s="3" t="s">
        <v>2942</v>
      </c>
      <c r="D639" s="13" t="str">
        <f t="shared" si="40"/>
        <v>18-01</v>
      </c>
      <c r="E639" s="1">
        <f>_xlfn.IFNA(VLOOKUP('Comp X - UP'!B639,'Urban Plastix Holds'!$I$36:$U$498,12,0),0)</f>
        <v>0</v>
      </c>
      <c r="G639" s="2">
        <f t="shared" si="41"/>
        <v>0</v>
      </c>
      <c r="H639" s="2">
        <f t="shared" si="42"/>
        <v>0</v>
      </c>
    </row>
    <row r="640" spans="2:8">
      <c r="B640" s="3" t="s">
        <v>2941</v>
      </c>
      <c r="C640" s="3" t="s">
        <v>2942</v>
      </c>
      <c r="D640" s="12" t="str">
        <f t="shared" si="40"/>
        <v>12-01</v>
      </c>
      <c r="E640" s="1">
        <f>_xlfn.IFNA(VLOOKUP('Comp X - UP'!B640,'Urban Plastix Holds'!$I$36:$U$498,13,0),0)</f>
        <v>0</v>
      </c>
      <c r="G640" s="2">
        <f t="shared" si="41"/>
        <v>0</v>
      </c>
      <c r="H640" s="2">
        <f t="shared" si="42"/>
        <v>0</v>
      </c>
    </row>
    <row r="641" spans="2:8">
      <c r="B641" s="3" t="s">
        <v>2903</v>
      </c>
      <c r="C641" s="3" t="s">
        <v>2906</v>
      </c>
      <c r="D641" s="5" t="str">
        <f t="shared" ref="D641:D704" si="43">D569</f>
        <v>11-12</v>
      </c>
      <c r="E641" s="1">
        <f>_xlfn.IFNA(VLOOKUP('Comp X - UP'!B641,'Urban Plastix Holds'!$I$36:$U$498,5,0),0)</f>
        <v>0</v>
      </c>
      <c r="G641" s="2">
        <f t="shared" ref="G641:G649" si="44">E641*F641</f>
        <v>0</v>
      </c>
      <c r="H641" s="2">
        <f t="shared" ref="H641:H649" si="45">IF($S$11="Y",G641*0.15,0)</f>
        <v>0</v>
      </c>
    </row>
    <row r="642" spans="2:8">
      <c r="B642" s="3" t="s">
        <v>2903</v>
      </c>
      <c r="C642" s="3" t="s">
        <v>2906</v>
      </c>
      <c r="D642" s="6" t="str">
        <f t="shared" si="43"/>
        <v>14-01</v>
      </c>
      <c r="E642" s="1">
        <f>_xlfn.IFNA(VLOOKUP('Comp X - UP'!B642,'Urban Plastix Holds'!$I$36:$U$498,6,0),0)</f>
        <v>0</v>
      </c>
      <c r="G642" s="2">
        <f t="shared" si="44"/>
        <v>0</v>
      </c>
      <c r="H642" s="2">
        <f t="shared" si="45"/>
        <v>0</v>
      </c>
    </row>
    <row r="643" spans="2:8">
      <c r="B643" s="3" t="s">
        <v>2903</v>
      </c>
      <c r="C643" s="3" t="s">
        <v>2906</v>
      </c>
      <c r="D643" s="7" t="str">
        <f t="shared" si="43"/>
        <v>15-12</v>
      </c>
      <c r="E643" s="1">
        <f>_xlfn.IFNA(VLOOKUP('Comp X - UP'!B643,'Urban Plastix Holds'!$I$36:$U$498,7,0),0)</f>
        <v>0</v>
      </c>
      <c r="G643" s="2">
        <f t="shared" si="44"/>
        <v>0</v>
      </c>
      <c r="H643" s="2">
        <f t="shared" si="45"/>
        <v>0</v>
      </c>
    </row>
    <row r="644" spans="2:8">
      <c r="B644" s="3" t="s">
        <v>2903</v>
      </c>
      <c r="C644" s="3" t="s">
        <v>2906</v>
      </c>
      <c r="D644" s="8" t="str">
        <f t="shared" si="43"/>
        <v>16-16</v>
      </c>
      <c r="E644" s="1">
        <f>_xlfn.IFNA(VLOOKUP('Comp X - UP'!B644,'Urban Plastix Holds'!$I$36:$U$498,8,0),0)</f>
        <v>0</v>
      </c>
      <c r="G644" s="2">
        <f t="shared" si="44"/>
        <v>0</v>
      </c>
      <c r="H644" s="2">
        <f t="shared" si="45"/>
        <v>0</v>
      </c>
    </row>
    <row r="645" spans="2:8">
      <c r="B645" s="3" t="s">
        <v>2903</v>
      </c>
      <c r="C645" s="3" t="s">
        <v>2906</v>
      </c>
      <c r="D645" s="9" t="str">
        <f t="shared" si="43"/>
        <v>13-01</v>
      </c>
      <c r="E645" s="1">
        <f>_xlfn.IFNA(VLOOKUP('Comp X - UP'!B645,'Urban Plastix Holds'!$I$36:$U$498,9,0),0)</f>
        <v>0</v>
      </c>
      <c r="G645" s="2">
        <f t="shared" si="44"/>
        <v>0</v>
      </c>
      <c r="H645" s="2">
        <f t="shared" si="45"/>
        <v>0</v>
      </c>
    </row>
    <row r="646" spans="2:8">
      <c r="B646" s="3" t="s">
        <v>2903</v>
      </c>
      <c r="C646" s="3" t="s">
        <v>2906</v>
      </c>
      <c r="D646" s="10" t="str">
        <f t="shared" si="43"/>
        <v>07-13</v>
      </c>
      <c r="E646" s="1">
        <f>_xlfn.IFNA(VLOOKUP('Comp X - UP'!B646,'Urban Plastix Holds'!$I$36:$U$498,10,0),0)</f>
        <v>0</v>
      </c>
      <c r="G646" s="2">
        <f t="shared" si="44"/>
        <v>0</v>
      </c>
      <c r="H646" s="2">
        <f t="shared" si="45"/>
        <v>0</v>
      </c>
    </row>
    <row r="647" spans="2:8">
      <c r="B647" s="3" t="s">
        <v>2903</v>
      </c>
      <c r="C647" s="3" t="s">
        <v>2906</v>
      </c>
      <c r="D647" s="11" t="str">
        <f t="shared" si="43"/>
        <v>11-25</v>
      </c>
      <c r="E647" s="1">
        <f>_xlfn.IFNA(VLOOKUP('Comp X - UP'!B647,'Urban Plastix Holds'!$I$36:$U$498,11,0),0)</f>
        <v>0</v>
      </c>
      <c r="G647" s="2">
        <f t="shared" si="44"/>
        <v>0</v>
      </c>
      <c r="H647" s="2">
        <f t="shared" si="45"/>
        <v>0</v>
      </c>
    </row>
    <row r="648" spans="2:8">
      <c r="B648" s="3" t="s">
        <v>2903</v>
      </c>
      <c r="C648" s="3" t="s">
        <v>2906</v>
      </c>
      <c r="D648" s="13" t="str">
        <f t="shared" si="43"/>
        <v>18-01</v>
      </c>
      <c r="E648" s="1">
        <f>_xlfn.IFNA(VLOOKUP('Comp X - UP'!B648,'Urban Plastix Holds'!$I$36:$U$498,12,0),0)</f>
        <v>0</v>
      </c>
      <c r="G648" s="2">
        <f t="shared" si="44"/>
        <v>0</v>
      </c>
      <c r="H648" s="2">
        <f t="shared" si="45"/>
        <v>0</v>
      </c>
    </row>
    <row r="649" spans="2:8">
      <c r="B649" s="3" t="s">
        <v>2903</v>
      </c>
      <c r="C649" s="3" t="s">
        <v>2906</v>
      </c>
      <c r="D649" s="12" t="str">
        <f t="shared" si="43"/>
        <v>12-01</v>
      </c>
      <c r="E649" s="1">
        <f>_xlfn.IFNA(VLOOKUP('Comp X - UP'!B649,'Urban Plastix Holds'!$I$36:$U$498,13,0),0)</f>
        <v>0</v>
      </c>
      <c r="G649" s="2">
        <f t="shared" si="44"/>
        <v>0</v>
      </c>
      <c r="H649" s="2">
        <f t="shared" si="45"/>
        <v>0</v>
      </c>
    </row>
    <row r="650" spans="2:8">
      <c r="B650" s="3" t="s">
        <v>2907</v>
      </c>
      <c r="C650" s="3" t="s">
        <v>2908</v>
      </c>
      <c r="D650" s="5" t="str">
        <f t="shared" si="43"/>
        <v>11-12</v>
      </c>
      <c r="E650" s="1">
        <f>_xlfn.IFNA(VLOOKUP('Comp X - UP'!B650,'Urban Plastix Holds'!$I$36:$U$498,5,0),0)</f>
        <v>0</v>
      </c>
      <c r="G650" s="2">
        <f t="shared" ref="G650:G676" si="46">E650*F650</f>
        <v>0</v>
      </c>
      <c r="H650" s="2">
        <f t="shared" ref="H650:H676" si="47">IF($S$11="Y",G650*0.15,0)</f>
        <v>0</v>
      </c>
    </row>
    <row r="651" spans="2:8">
      <c r="B651" s="3" t="s">
        <v>2907</v>
      </c>
      <c r="C651" s="3" t="s">
        <v>2908</v>
      </c>
      <c r="D651" s="6" t="str">
        <f t="shared" si="43"/>
        <v>14-01</v>
      </c>
      <c r="E651" s="1">
        <f>_xlfn.IFNA(VLOOKUP('Comp X - UP'!B651,'Urban Plastix Holds'!$I$36:$U$498,6,0),0)</f>
        <v>0</v>
      </c>
      <c r="G651" s="2">
        <f t="shared" si="46"/>
        <v>0</v>
      </c>
      <c r="H651" s="2">
        <f t="shared" si="47"/>
        <v>0</v>
      </c>
    </row>
    <row r="652" spans="2:8">
      <c r="B652" s="3" t="s">
        <v>2907</v>
      </c>
      <c r="C652" s="3" t="s">
        <v>2908</v>
      </c>
      <c r="D652" s="7" t="str">
        <f t="shared" si="43"/>
        <v>15-12</v>
      </c>
      <c r="E652" s="1">
        <f>_xlfn.IFNA(VLOOKUP('Comp X - UP'!B652,'Urban Plastix Holds'!$I$36:$U$498,7,0),0)</f>
        <v>0</v>
      </c>
      <c r="G652" s="2">
        <f t="shared" si="46"/>
        <v>0</v>
      </c>
      <c r="H652" s="2">
        <f t="shared" si="47"/>
        <v>0</v>
      </c>
    </row>
    <row r="653" spans="2:8">
      <c r="B653" s="3" t="s">
        <v>2907</v>
      </c>
      <c r="C653" s="3" t="s">
        <v>2908</v>
      </c>
      <c r="D653" s="8" t="str">
        <f t="shared" si="43"/>
        <v>16-16</v>
      </c>
      <c r="E653" s="1">
        <f>_xlfn.IFNA(VLOOKUP('Comp X - UP'!B653,'Urban Plastix Holds'!$I$36:$U$498,8,0),0)</f>
        <v>0</v>
      </c>
      <c r="G653" s="2">
        <f t="shared" si="46"/>
        <v>0</v>
      </c>
      <c r="H653" s="2">
        <f t="shared" si="47"/>
        <v>0</v>
      </c>
    </row>
    <row r="654" spans="2:8">
      <c r="B654" s="3" t="s">
        <v>2907</v>
      </c>
      <c r="C654" s="3" t="s">
        <v>2908</v>
      </c>
      <c r="D654" s="9" t="str">
        <f t="shared" si="43"/>
        <v>13-01</v>
      </c>
      <c r="E654" s="1">
        <f>_xlfn.IFNA(VLOOKUP('Comp X - UP'!B654,'Urban Plastix Holds'!$I$36:$U$498,9,0),0)</f>
        <v>0</v>
      </c>
      <c r="G654" s="2">
        <f t="shared" si="46"/>
        <v>0</v>
      </c>
      <c r="H654" s="2">
        <f t="shared" si="47"/>
        <v>0</v>
      </c>
    </row>
    <row r="655" spans="2:8">
      <c r="B655" s="3" t="s">
        <v>2907</v>
      </c>
      <c r="C655" s="3" t="s">
        <v>2908</v>
      </c>
      <c r="D655" s="10" t="str">
        <f t="shared" si="43"/>
        <v>07-13</v>
      </c>
      <c r="E655" s="1">
        <f>_xlfn.IFNA(VLOOKUP('Comp X - UP'!B655,'Urban Plastix Holds'!$I$36:$U$498,10,0),0)</f>
        <v>0</v>
      </c>
      <c r="G655" s="2">
        <f t="shared" si="46"/>
        <v>0</v>
      </c>
      <c r="H655" s="2">
        <f t="shared" si="47"/>
        <v>0</v>
      </c>
    </row>
    <row r="656" spans="2:8">
      <c r="B656" s="3" t="s">
        <v>2907</v>
      </c>
      <c r="C656" s="3" t="s">
        <v>2908</v>
      </c>
      <c r="D656" s="11" t="str">
        <f t="shared" si="43"/>
        <v>11-25</v>
      </c>
      <c r="E656" s="1">
        <f>_xlfn.IFNA(VLOOKUP('Comp X - UP'!B656,'Urban Plastix Holds'!$I$36:$U$498,11,0),0)</f>
        <v>0</v>
      </c>
      <c r="G656" s="2">
        <f t="shared" si="46"/>
        <v>0</v>
      </c>
      <c r="H656" s="2">
        <f t="shared" si="47"/>
        <v>0</v>
      </c>
    </row>
    <row r="657" spans="2:8">
      <c r="B657" s="3" t="s">
        <v>2907</v>
      </c>
      <c r="C657" s="3" t="s">
        <v>2908</v>
      </c>
      <c r="D657" s="13" t="str">
        <f t="shared" si="43"/>
        <v>18-01</v>
      </c>
      <c r="E657" s="1">
        <f>_xlfn.IFNA(VLOOKUP('Comp X - UP'!B657,'Urban Plastix Holds'!$I$36:$U$498,12,0),0)</f>
        <v>0</v>
      </c>
      <c r="G657" s="2">
        <f t="shared" si="46"/>
        <v>0</v>
      </c>
      <c r="H657" s="2">
        <f t="shared" si="47"/>
        <v>0</v>
      </c>
    </row>
    <row r="658" spans="2:8">
      <c r="B658" s="3" t="s">
        <v>2907</v>
      </c>
      <c r="C658" s="3" t="s">
        <v>2908</v>
      </c>
      <c r="D658" s="12" t="str">
        <f t="shared" si="43"/>
        <v>12-01</v>
      </c>
      <c r="E658" s="1">
        <f>_xlfn.IFNA(VLOOKUP('Comp X - UP'!B658,'Urban Plastix Holds'!$I$36:$U$498,13,0),0)</f>
        <v>0</v>
      </c>
      <c r="G658" s="2">
        <f t="shared" si="46"/>
        <v>0</v>
      </c>
      <c r="H658" s="2">
        <f t="shared" si="47"/>
        <v>0</v>
      </c>
    </row>
    <row r="659" spans="2:8">
      <c r="B659" s="3" t="s">
        <v>2909</v>
      </c>
      <c r="C659" s="3" t="s">
        <v>2910</v>
      </c>
      <c r="D659" s="5" t="str">
        <f t="shared" si="43"/>
        <v>11-12</v>
      </c>
      <c r="E659" s="1">
        <f>_xlfn.IFNA(VLOOKUP('Comp X - UP'!B659,'Urban Plastix Holds'!$I$36:$U$498,5,0),0)</f>
        <v>0</v>
      </c>
      <c r="G659" s="2">
        <f t="shared" si="46"/>
        <v>0</v>
      </c>
      <c r="H659" s="2">
        <f t="shared" si="47"/>
        <v>0</v>
      </c>
    </row>
    <row r="660" spans="2:8">
      <c r="B660" s="3" t="s">
        <v>2909</v>
      </c>
      <c r="C660" s="3" t="s">
        <v>2910</v>
      </c>
      <c r="D660" s="6" t="str">
        <f t="shared" si="43"/>
        <v>14-01</v>
      </c>
      <c r="E660" s="1">
        <f>_xlfn.IFNA(VLOOKUP('Comp X - UP'!B660,'Urban Plastix Holds'!$I$36:$U$498,6,0),0)</f>
        <v>0</v>
      </c>
      <c r="G660" s="2">
        <f t="shared" si="46"/>
        <v>0</v>
      </c>
      <c r="H660" s="2">
        <f t="shared" si="47"/>
        <v>0</v>
      </c>
    </row>
    <row r="661" spans="2:8">
      <c r="B661" s="3" t="s">
        <v>2909</v>
      </c>
      <c r="C661" s="3" t="s">
        <v>2910</v>
      </c>
      <c r="D661" s="7" t="str">
        <f t="shared" si="43"/>
        <v>15-12</v>
      </c>
      <c r="E661" s="1">
        <f>_xlfn.IFNA(VLOOKUP('Comp X - UP'!B661,'Urban Plastix Holds'!$I$36:$U$498,7,0),0)</f>
        <v>0</v>
      </c>
      <c r="G661" s="2">
        <f t="shared" si="46"/>
        <v>0</v>
      </c>
      <c r="H661" s="2">
        <f t="shared" si="47"/>
        <v>0</v>
      </c>
    </row>
    <row r="662" spans="2:8">
      <c r="B662" s="3" t="s">
        <v>2909</v>
      </c>
      <c r="C662" s="3" t="s">
        <v>2910</v>
      </c>
      <c r="D662" s="8" t="str">
        <f t="shared" si="43"/>
        <v>16-16</v>
      </c>
      <c r="E662" s="1">
        <f>_xlfn.IFNA(VLOOKUP('Comp X - UP'!B662,'Urban Plastix Holds'!$I$36:$U$498,8,0),0)</f>
        <v>0</v>
      </c>
      <c r="G662" s="2">
        <f t="shared" si="46"/>
        <v>0</v>
      </c>
      <c r="H662" s="2">
        <f t="shared" si="47"/>
        <v>0</v>
      </c>
    </row>
    <row r="663" spans="2:8">
      <c r="B663" s="3" t="s">
        <v>2909</v>
      </c>
      <c r="C663" s="3" t="s">
        <v>2910</v>
      </c>
      <c r="D663" s="9" t="str">
        <f t="shared" si="43"/>
        <v>13-01</v>
      </c>
      <c r="E663" s="1">
        <f>_xlfn.IFNA(VLOOKUP('Comp X - UP'!B663,'Urban Plastix Holds'!$I$36:$U$498,9,0),0)</f>
        <v>0</v>
      </c>
      <c r="G663" s="2">
        <f t="shared" si="46"/>
        <v>0</v>
      </c>
      <c r="H663" s="2">
        <f t="shared" si="47"/>
        <v>0</v>
      </c>
    </row>
    <row r="664" spans="2:8">
      <c r="B664" s="3" t="s">
        <v>2909</v>
      </c>
      <c r="C664" s="3" t="s">
        <v>2910</v>
      </c>
      <c r="D664" s="10" t="str">
        <f t="shared" si="43"/>
        <v>07-13</v>
      </c>
      <c r="E664" s="1">
        <f>_xlfn.IFNA(VLOOKUP('Comp X - UP'!B664,'Urban Plastix Holds'!$I$36:$U$498,10,0),0)</f>
        <v>0</v>
      </c>
      <c r="G664" s="2">
        <f t="shared" si="46"/>
        <v>0</v>
      </c>
      <c r="H664" s="2">
        <f t="shared" si="47"/>
        <v>0</v>
      </c>
    </row>
    <row r="665" spans="2:8">
      <c r="B665" s="3" t="s">
        <v>2909</v>
      </c>
      <c r="C665" s="3" t="s">
        <v>2910</v>
      </c>
      <c r="D665" s="11" t="str">
        <f t="shared" si="43"/>
        <v>11-25</v>
      </c>
      <c r="E665" s="1">
        <f>_xlfn.IFNA(VLOOKUP('Comp X - UP'!B665,'Urban Plastix Holds'!$I$36:$U$498,11,0),0)</f>
        <v>0</v>
      </c>
      <c r="G665" s="2">
        <f t="shared" si="46"/>
        <v>0</v>
      </c>
      <c r="H665" s="2">
        <f t="shared" si="47"/>
        <v>0</v>
      </c>
    </row>
    <row r="666" spans="2:8">
      <c r="B666" s="3" t="s">
        <v>2909</v>
      </c>
      <c r="C666" s="3" t="s">
        <v>2910</v>
      </c>
      <c r="D666" s="13" t="str">
        <f t="shared" si="43"/>
        <v>18-01</v>
      </c>
      <c r="E666" s="1">
        <f>_xlfn.IFNA(VLOOKUP('Comp X - UP'!B666,'Urban Plastix Holds'!$I$36:$U$498,12,0),0)</f>
        <v>0</v>
      </c>
      <c r="G666" s="2">
        <f t="shared" si="46"/>
        <v>0</v>
      </c>
      <c r="H666" s="2">
        <f t="shared" si="47"/>
        <v>0</v>
      </c>
    </row>
    <row r="667" spans="2:8">
      <c r="B667" s="3" t="s">
        <v>2909</v>
      </c>
      <c r="C667" s="3" t="s">
        <v>2910</v>
      </c>
      <c r="D667" s="12" t="str">
        <f t="shared" si="43"/>
        <v>12-01</v>
      </c>
      <c r="E667" s="1">
        <f>_xlfn.IFNA(VLOOKUP('Comp X - UP'!B667,'Urban Plastix Holds'!$I$36:$U$498,13,0),0)</f>
        <v>0</v>
      </c>
      <c r="G667" s="2">
        <f t="shared" si="46"/>
        <v>0</v>
      </c>
      <c r="H667" s="2">
        <f t="shared" si="47"/>
        <v>0</v>
      </c>
    </row>
    <row r="668" spans="2:8">
      <c r="B668" s="3" t="s">
        <v>2911</v>
      </c>
      <c r="C668" s="3" t="s">
        <v>2912</v>
      </c>
      <c r="D668" s="5" t="str">
        <f t="shared" si="43"/>
        <v>11-12</v>
      </c>
      <c r="E668" s="1">
        <f>_xlfn.IFNA(VLOOKUP('Comp X - UP'!B668,'Urban Plastix Holds'!$I$36:$U$498,5,0),0)</f>
        <v>0</v>
      </c>
      <c r="G668" s="2">
        <f t="shared" si="46"/>
        <v>0</v>
      </c>
      <c r="H668" s="2">
        <f t="shared" si="47"/>
        <v>0</v>
      </c>
    </row>
    <row r="669" spans="2:8">
      <c r="B669" s="3" t="s">
        <v>2911</v>
      </c>
      <c r="C669" s="3" t="s">
        <v>2912</v>
      </c>
      <c r="D669" s="6" t="str">
        <f t="shared" si="43"/>
        <v>14-01</v>
      </c>
      <c r="E669" s="1">
        <f>_xlfn.IFNA(VLOOKUP('Comp X - UP'!B669,'Urban Plastix Holds'!$I$36:$U$498,6,0),0)</f>
        <v>0</v>
      </c>
      <c r="G669" s="2">
        <f t="shared" si="46"/>
        <v>0</v>
      </c>
      <c r="H669" s="2">
        <f t="shared" si="47"/>
        <v>0</v>
      </c>
    </row>
    <row r="670" spans="2:8">
      <c r="B670" s="3" t="s">
        <v>2911</v>
      </c>
      <c r="C670" s="3" t="s">
        <v>2912</v>
      </c>
      <c r="D670" s="7" t="str">
        <f t="shared" si="43"/>
        <v>15-12</v>
      </c>
      <c r="E670" s="1">
        <f>_xlfn.IFNA(VLOOKUP('Comp X - UP'!B670,'Urban Plastix Holds'!$I$36:$U$498,7,0),0)</f>
        <v>0</v>
      </c>
      <c r="G670" s="2">
        <f t="shared" si="46"/>
        <v>0</v>
      </c>
      <c r="H670" s="2">
        <f t="shared" si="47"/>
        <v>0</v>
      </c>
    </row>
    <row r="671" spans="2:8">
      <c r="B671" s="3" t="s">
        <v>2911</v>
      </c>
      <c r="C671" s="3" t="s">
        <v>2912</v>
      </c>
      <c r="D671" s="8" t="str">
        <f t="shared" si="43"/>
        <v>16-16</v>
      </c>
      <c r="E671" s="1">
        <f>_xlfn.IFNA(VLOOKUP('Comp X - UP'!B671,'Urban Plastix Holds'!$I$36:$U$498,8,0),0)</f>
        <v>0</v>
      </c>
      <c r="G671" s="2">
        <f t="shared" si="46"/>
        <v>0</v>
      </c>
      <c r="H671" s="2">
        <f t="shared" si="47"/>
        <v>0</v>
      </c>
    </row>
    <row r="672" spans="2:8">
      <c r="B672" s="3" t="s">
        <v>2911</v>
      </c>
      <c r="C672" s="3" t="s">
        <v>2912</v>
      </c>
      <c r="D672" s="9" t="str">
        <f t="shared" si="43"/>
        <v>13-01</v>
      </c>
      <c r="E672" s="1">
        <f>_xlfn.IFNA(VLOOKUP('Comp X - UP'!B672,'Urban Plastix Holds'!$I$36:$U$498,9,0),0)</f>
        <v>0</v>
      </c>
      <c r="G672" s="2">
        <f t="shared" si="46"/>
        <v>0</v>
      </c>
      <c r="H672" s="2">
        <f t="shared" si="47"/>
        <v>0</v>
      </c>
    </row>
    <row r="673" spans="2:8">
      <c r="B673" s="3" t="s">
        <v>2911</v>
      </c>
      <c r="C673" s="3" t="s">
        <v>2912</v>
      </c>
      <c r="D673" s="10" t="str">
        <f t="shared" si="43"/>
        <v>07-13</v>
      </c>
      <c r="E673" s="1">
        <f>_xlfn.IFNA(VLOOKUP('Comp X - UP'!B673,'Urban Plastix Holds'!$I$36:$U$498,10,0),0)</f>
        <v>0</v>
      </c>
      <c r="G673" s="2">
        <f t="shared" si="46"/>
        <v>0</v>
      </c>
      <c r="H673" s="2">
        <f t="shared" si="47"/>
        <v>0</v>
      </c>
    </row>
    <row r="674" spans="2:8">
      <c r="B674" s="3" t="s">
        <v>2911</v>
      </c>
      <c r="C674" s="3" t="s">
        <v>2912</v>
      </c>
      <c r="D674" s="11" t="str">
        <f t="shared" si="43"/>
        <v>11-25</v>
      </c>
      <c r="E674" s="1">
        <f>_xlfn.IFNA(VLOOKUP('Comp X - UP'!B674,'Urban Plastix Holds'!$I$36:$U$498,11,0),0)</f>
        <v>0</v>
      </c>
      <c r="G674" s="2">
        <f t="shared" si="46"/>
        <v>0</v>
      </c>
      <c r="H674" s="2">
        <f t="shared" si="47"/>
        <v>0</v>
      </c>
    </row>
    <row r="675" spans="2:8">
      <c r="B675" s="3" t="s">
        <v>2911</v>
      </c>
      <c r="C675" s="3" t="s">
        <v>2912</v>
      </c>
      <c r="D675" s="13" t="str">
        <f t="shared" si="43"/>
        <v>18-01</v>
      </c>
      <c r="E675" s="1">
        <f>_xlfn.IFNA(VLOOKUP('Comp X - UP'!B675,'Urban Plastix Holds'!$I$36:$U$498,12,0),0)</f>
        <v>0</v>
      </c>
      <c r="G675" s="2">
        <f t="shared" si="46"/>
        <v>0</v>
      </c>
      <c r="H675" s="2">
        <f t="shared" si="47"/>
        <v>0</v>
      </c>
    </row>
    <row r="676" spans="2:8">
      <c r="B676" s="3" t="s">
        <v>2911</v>
      </c>
      <c r="C676" s="3" t="s">
        <v>2912</v>
      </c>
      <c r="D676" s="12" t="str">
        <f t="shared" si="43"/>
        <v>12-01</v>
      </c>
      <c r="E676" s="1">
        <f>_xlfn.IFNA(VLOOKUP('Comp X - UP'!B676,'Urban Plastix Holds'!$I$36:$U$498,13,0),0)</f>
        <v>0</v>
      </c>
      <c r="G676" s="2">
        <f t="shared" si="46"/>
        <v>0</v>
      </c>
      <c r="H676" s="2">
        <f t="shared" si="47"/>
        <v>0</v>
      </c>
    </row>
    <row r="677" spans="2:8">
      <c r="B677" s="3" t="s">
        <v>2939</v>
      </c>
      <c r="C677" s="3" t="s">
        <v>2943</v>
      </c>
      <c r="D677" s="5" t="str">
        <f t="shared" si="43"/>
        <v>11-12</v>
      </c>
      <c r="E677" s="1">
        <f>_xlfn.IFNA(VLOOKUP('Comp X - UP'!B677,'Urban Plastix Holds'!$I$36:$U$498,5,0),0)</f>
        <v>0</v>
      </c>
      <c r="G677" s="2">
        <f t="shared" ref="G677:G712" si="48">E677*F677</f>
        <v>0</v>
      </c>
      <c r="H677" s="2">
        <f t="shared" ref="H677:H712" si="49">IF($S$11="Y",G677*0.15,0)</f>
        <v>0</v>
      </c>
    </row>
    <row r="678" spans="2:8">
      <c r="B678" s="3" t="s">
        <v>2939</v>
      </c>
      <c r="C678" s="3" t="s">
        <v>2943</v>
      </c>
      <c r="D678" s="6" t="str">
        <f t="shared" si="43"/>
        <v>14-01</v>
      </c>
      <c r="E678" s="1">
        <f>_xlfn.IFNA(VLOOKUP('Comp X - UP'!B678,'Urban Plastix Holds'!$I$36:$U$498,6,0),0)</f>
        <v>0</v>
      </c>
      <c r="G678" s="2">
        <f t="shared" si="48"/>
        <v>0</v>
      </c>
      <c r="H678" s="2">
        <f t="shared" si="49"/>
        <v>0</v>
      </c>
    </row>
    <row r="679" spans="2:8">
      <c r="B679" s="3" t="s">
        <v>2939</v>
      </c>
      <c r="C679" s="3" t="s">
        <v>2943</v>
      </c>
      <c r="D679" s="7" t="str">
        <f t="shared" si="43"/>
        <v>15-12</v>
      </c>
      <c r="E679" s="1">
        <f>_xlfn.IFNA(VLOOKUP('Comp X - UP'!B679,'Urban Plastix Holds'!$I$36:$U$498,7,0),0)</f>
        <v>0</v>
      </c>
      <c r="G679" s="2">
        <f t="shared" si="48"/>
        <v>0</v>
      </c>
      <c r="H679" s="2">
        <f t="shared" si="49"/>
        <v>0</v>
      </c>
    </row>
    <row r="680" spans="2:8">
      <c r="B680" s="3" t="s">
        <v>2939</v>
      </c>
      <c r="C680" s="3" t="s">
        <v>2943</v>
      </c>
      <c r="D680" s="8" t="str">
        <f t="shared" si="43"/>
        <v>16-16</v>
      </c>
      <c r="E680" s="1">
        <f>_xlfn.IFNA(VLOOKUP('Comp X - UP'!B680,'Urban Plastix Holds'!$I$36:$U$498,8,0),0)</f>
        <v>0</v>
      </c>
      <c r="G680" s="2">
        <f t="shared" si="48"/>
        <v>0</v>
      </c>
      <c r="H680" s="2">
        <f t="shared" si="49"/>
        <v>0</v>
      </c>
    </row>
    <row r="681" spans="2:8">
      <c r="B681" s="3" t="s">
        <v>2939</v>
      </c>
      <c r="C681" s="3" t="s">
        <v>2943</v>
      </c>
      <c r="D681" s="9" t="str">
        <f t="shared" si="43"/>
        <v>13-01</v>
      </c>
      <c r="E681" s="1">
        <f>_xlfn.IFNA(VLOOKUP('Comp X - UP'!B681,'Urban Plastix Holds'!$I$36:$U$498,9,0),0)</f>
        <v>0</v>
      </c>
      <c r="G681" s="2">
        <f t="shared" si="48"/>
        <v>0</v>
      </c>
      <c r="H681" s="2">
        <f t="shared" si="49"/>
        <v>0</v>
      </c>
    </row>
    <row r="682" spans="2:8">
      <c r="B682" s="3" t="s">
        <v>2939</v>
      </c>
      <c r="C682" s="3" t="s">
        <v>2943</v>
      </c>
      <c r="D682" s="10" t="str">
        <f t="shared" si="43"/>
        <v>07-13</v>
      </c>
      <c r="E682" s="1">
        <f>_xlfn.IFNA(VLOOKUP('Comp X - UP'!B682,'Urban Plastix Holds'!$I$36:$U$498,10,0),0)</f>
        <v>0</v>
      </c>
      <c r="G682" s="2">
        <f t="shared" si="48"/>
        <v>0</v>
      </c>
      <c r="H682" s="2">
        <f t="shared" si="49"/>
        <v>0</v>
      </c>
    </row>
    <row r="683" spans="2:8">
      <c r="B683" s="3" t="s">
        <v>2939</v>
      </c>
      <c r="C683" s="3" t="s">
        <v>2943</v>
      </c>
      <c r="D683" s="11" t="str">
        <f t="shared" si="43"/>
        <v>11-25</v>
      </c>
      <c r="E683" s="1">
        <f>_xlfn.IFNA(VLOOKUP('Comp X - UP'!B683,'Urban Plastix Holds'!$I$36:$U$498,11,0),0)</f>
        <v>0</v>
      </c>
      <c r="G683" s="2">
        <f t="shared" si="48"/>
        <v>0</v>
      </c>
      <c r="H683" s="2">
        <f t="shared" si="49"/>
        <v>0</v>
      </c>
    </row>
    <row r="684" spans="2:8">
      <c r="B684" s="3" t="s">
        <v>2939</v>
      </c>
      <c r="C684" s="3" t="s">
        <v>2943</v>
      </c>
      <c r="D684" s="13" t="str">
        <f t="shared" si="43"/>
        <v>18-01</v>
      </c>
      <c r="E684" s="1">
        <f>_xlfn.IFNA(VLOOKUP('Comp X - UP'!B684,'Urban Plastix Holds'!$I$36:$U$498,12,0),0)</f>
        <v>0</v>
      </c>
      <c r="G684" s="2">
        <f t="shared" si="48"/>
        <v>0</v>
      </c>
      <c r="H684" s="2">
        <f t="shared" si="49"/>
        <v>0</v>
      </c>
    </row>
    <row r="685" spans="2:8">
      <c r="B685" s="3" t="s">
        <v>2939</v>
      </c>
      <c r="C685" s="3" t="s">
        <v>2943</v>
      </c>
      <c r="D685" s="12" t="str">
        <f t="shared" si="43"/>
        <v>12-01</v>
      </c>
      <c r="E685" s="1">
        <f>_xlfn.IFNA(VLOOKUP('Comp X - UP'!B685,'Urban Plastix Holds'!$I$36:$U$498,13,0),0)</f>
        <v>0</v>
      </c>
      <c r="G685" s="2">
        <f t="shared" si="48"/>
        <v>0</v>
      </c>
      <c r="H685" s="2">
        <f t="shared" si="49"/>
        <v>0</v>
      </c>
    </row>
    <row r="686" spans="2:8">
      <c r="B686" s="3" t="s">
        <v>2944</v>
      </c>
      <c r="C686" s="3" t="s">
        <v>2945</v>
      </c>
      <c r="D686" s="5" t="str">
        <f t="shared" si="43"/>
        <v>11-12</v>
      </c>
      <c r="E686" s="1">
        <f>_xlfn.IFNA(VLOOKUP('Comp X - UP'!B686,'Urban Plastix Holds'!$I$36:$U$498,5,0),0)</f>
        <v>0</v>
      </c>
      <c r="G686" s="2">
        <f t="shared" si="48"/>
        <v>0</v>
      </c>
      <c r="H686" s="2">
        <f t="shared" si="49"/>
        <v>0</v>
      </c>
    </row>
    <row r="687" spans="2:8">
      <c r="B687" s="3" t="s">
        <v>2944</v>
      </c>
      <c r="C687" s="3" t="s">
        <v>2945</v>
      </c>
      <c r="D687" s="6" t="str">
        <f t="shared" si="43"/>
        <v>14-01</v>
      </c>
      <c r="E687" s="1">
        <f>_xlfn.IFNA(VLOOKUP('Comp X - UP'!B687,'Urban Plastix Holds'!$I$36:$U$498,6,0),0)</f>
        <v>0</v>
      </c>
      <c r="G687" s="2">
        <f t="shared" si="48"/>
        <v>0</v>
      </c>
      <c r="H687" s="2">
        <f t="shared" si="49"/>
        <v>0</v>
      </c>
    </row>
    <row r="688" spans="2:8">
      <c r="B688" s="3" t="s">
        <v>2944</v>
      </c>
      <c r="C688" s="3" t="s">
        <v>2945</v>
      </c>
      <c r="D688" s="7" t="str">
        <f t="shared" si="43"/>
        <v>15-12</v>
      </c>
      <c r="E688" s="1">
        <f>_xlfn.IFNA(VLOOKUP('Comp X - UP'!B688,'Urban Plastix Holds'!$I$36:$U$498,7,0),0)</f>
        <v>0</v>
      </c>
      <c r="G688" s="2">
        <f t="shared" si="48"/>
        <v>0</v>
      </c>
      <c r="H688" s="2">
        <f t="shared" si="49"/>
        <v>0</v>
      </c>
    </row>
    <row r="689" spans="2:8">
      <c r="B689" s="3" t="s">
        <v>2944</v>
      </c>
      <c r="C689" s="3" t="s">
        <v>2945</v>
      </c>
      <c r="D689" s="8" t="str">
        <f t="shared" si="43"/>
        <v>16-16</v>
      </c>
      <c r="E689" s="1">
        <f>_xlfn.IFNA(VLOOKUP('Comp X - UP'!B689,'Urban Plastix Holds'!$I$36:$U$498,8,0),0)</f>
        <v>0</v>
      </c>
      <c r="G689" s="2">
        <f t="shared" si="48"/>
        <v>0</v>
      </c>
      <c r="H689" s="2">
        <f t="shared" si="49"/>
        <v>0</v>
      </c>
    </row>
    <row r="690" spans="2:8">
      <c r="B690" s="3" t="s">
        <v>2944</v>
      </c>
      <c r="C690" s="3" t="s">
        <v>2945</v>
      </c>
      <c r="D690" s="9" t="str">
        <f t="shared" si="43"/>
        <v>13-01</v>
      </c>
      <c r="E690" s="1">
        <f>_xlfn.IFNA(VLOOKUP('Comp X - UP'!B690,'Urban Plastix Holds'!$I$36:$U$498,9,0),0)</f>
        <v>0</v>
      </c>
      <c r="G690" s="2">
        <f t="shared" si="48"/>
        <v>0</v>
      </c>
      <c r="H690" s="2">
        <f t="shared" si="49"/>
        <v>0</v>
      </c>
    </row>
    <row r="691" spans="2:8">
      <c r="B691" s="3" t="s">
        <v>2944</v>
      </c>
      <c r="C691" s="3" t="s">
        <v>2945</v>
      </c>
      <c r="D691" s="10" t="str">
        <f t="shared" si="43"/>
        <v>07-13</v>
      </c>
      <c r="E691" s="1">
        <f>_xlfn.IFNA(VLOOKUP('Comp X - UP'!B691,'Urban Plastix Holds'!$I$36:$U$498,10,0),0)</f>
        <v>0</v>
      </c>
      <c r="G691" s="2">
        <f t="shared" si="48"/>
        <v>0</v>
      </c>
      <c r="H691" s="2">
        <f t="shared" si="49"/>
        <v>0</v>
      </c>
    </row>
    <row r="692" spans="2:8">
      <c r="B692" s="3" t="s">
        <v>2944</v>
      </c>
      <c r="C692" s="3" t="s">
        <v>2945</v>
      </c>
      <c r="D692" s="11" t="str">
        <f t="shared" si="43"/>
        <v>11-25</v>
      </c>
      <c r="E692" s="1">
        <f>_xlfn.IFNA(VLOOKUP('Comp X - UP'!B692,'Urban Plastix Holds'!$I$36:$U$498,11,0),0)</f>
        <v>0</v>
      </c>
      <c r="G692" s="2">
        <f t="shared" si="48"/>
        <v>0</v>
      </c>
      <c r="H692" s="2">
        <f t="shared" si="49"/>
        <v>0</v>
      </c>
    </row>
    <row r="693" spans="2:8">
      <c r="B693" s="3" t="s">
        <v>2944</v>
      </c>
      <c r="C693" s="3" t="s">
        <v>2945</v>
      </c>
      <c r="D693" s="13" t="str">
        <f t="shared" si="43"/>
        <v>18-01</v>
      </c>
      <c r="E693" s="1">
        <f>_xlfn.IFNA(VLOOKUP('Comp X - UP'!B693,'Urban Plastix Holds'!$I$36:$U$498,12,0),0)</f>
        <v>0</v>
      </c>
      <c r="G693" s="2">
        <f t="shared" si="48"/>
        <v>0</v>
      </c>
      <c r="H693" s="2">
        <f t="shared" si="49"/>
        <v>0</v>
      </c>
    </row>
    <row r="694" spans="2:8">
      <c r="B694" s="3" t="s">
        <v>2944</v>
      </c>
      <c r="C694" s="3" t="s">
        <v>2945</v>
      </c>
      <c r="D694" s="12" t="str">
        <f t="shared" si="43"/>
        <v>12-01</v>
      </c>
      <c r="E694" s="1">
        <f>_xlfn.IFNA(VLOOKUP('Comp X - UP'!B694,'Urban Plastix Holds'!$I$36:$U$498,13,0),0)</f>
        <v>0</v>
      </c>
      <c r="G694" s="2">
        <f t="shared" si="48"/>
        <v>0</v>
      </c>
      <c r="H694" s="2">
        <f t="shared" si="49"/>
        <v>0</v>
      </c>
    </row>
    <row r="695" spans="2:8">
      <c r="B695" s="3" t="s">
        <v>2946</v>
      </c>
      <c r="C695" s="3" t="s">
        <v>2947</v>
      </c>
      <c r="D695" s="5" t="str">
        <f t="shared" si="43"/>
        <v>11-12</v>
      </c>
      <c r="E695" s="1">
        <f>_xlfn.IFNA(VLOOKUP('Comp X - UP'!B695,'Urban Plastix Holds'!$I$36:$U$498,5,0),0)</f>
        <v>0</v>
      </c>
      <c r="G695" s="2">
        <f t="shared" si="48"/>
        <v>0</v>
      </c>
      <c r="H695" s="2">
        <f t="shared" si="49"/>
        <v>0</v>
      </c>
    </row>
    <row r="696" spans="2:8">
      <c r="B696" s="3" t="s">
        <v>2946</v>
      </c>
      <c r="C696" s="3" t="s">
        <v>2947</v>
      </c>
      <c r="D696" s="6" t="str">
        <f t="shared" si="43"/>
        <v>14-01</v>
      </c>
      <c r="E696" s="1">
        <f>_xlfn.IFNA(VLOOKUP('Comp X - UP'!B696,'Urban Plastix Holds'!$I$36:$U$498,6,0),0)</f>
        <v>0</v>
      </c>
      <c r="G696" s="2">
        <f t="shared" si="48"/>
        <v>0</v>
      </c>
      <c r="H696" s="2">
        <f t="shared" si="49"/>
        <v>0</v>
      </c>
    </row>
    <row r="697" spans="2:8">
      <c r="B697" s="3" t="s">
        <v>2946</v>
      </c>
      <c r="C697" s="3" t="s">
        <v>2947</v>
      </c>
      <c r="D697" s="7" t="str">
        <f t="shared" si="43"/>
        <v>15-12</v>
      </c>
      <c r="E697" s="1">
        <f>_xlfn.IFNA(VLOOKUP('Comp X - UP'!B697,'Urban Plastix Holds'!$I$36:$U$498,7,0),0)</f>
        <v>0</v>
      </c>
      <c r="G697" s="2">
        <f t="shared" si="48"/>
        <v>0</v>
      </c>
      <c r="H697" s="2">
        <f t="shared" si="49"/>
        <v>0</v>
      </c>
    </row>
    <row r="698" spans="2:8">
      <c r="B698" s="3" t="s">
        <v>2946</v>
      </c>
      <c r="C698" s="3" t="s">
        <v>2947</v>
      </c>
      <c r="D698" s="8" t="str">
        <f t="shared" si="43"/>
        <v>16-16</v>
      </c>
      <c r="E698" s="1">
        <f>_xlfn.IFNA(VLOOKUP('Comp X - UP'!B698,'Urban Plastix Holds'!$I$36:$U$498,8,0),0)</f>
        <v>0</v>
      </c>
      <c r="G698" s="2">
        <f t="shared" si="48"/>
        <v>0</v>
      </c>
      <c r="H698" s="2">
        <f t="shared" si="49"/>
        <v>0</v>
      </c>
    </row>
    <row r="699" spans="2:8">
      <c r="B699" s="3" t="s">
        <v>2946</v>
      </c>
      <c r="C699" s="3" t="s">
        <v>2947</v>
      </c>
      <c r="D699" s="9" t="str">
        <f t="shared" si="43"/>
        <v>13-01</v>
      </c>
      <c r="E699" s="1">
        <f>_xlfn.IFNA(VLOOKUP('Comp X - UP'!B699,'Urban Plastix Holds'!$I$36:$U$498,9,0),0)</f>
        <v>0</v>
      </c>
      <c r="G699" s="2">
        <f t="shared" si="48"/>
        <v>0</v>
      </c>
      <c r="H699" s="2">
        <f t="shared" si="49"/>
        <v>0</v>
      </c>
    </row>
    <row r="700" spans="2:8">
      <c r="B700" s="3" t="s">
        <v>2946</v>
      </c>
      <c r="C700" s="3" t="s">
        <v>2947</v>
      </c>
      <c r="D700" s="10" t="str">
        <f t="shared" si="43"/>
        <v>07-13</v>
      </c>
      <c r="E700" s="1">
        <f>_xlfn.IFNA(VLOOKUP('Comp X - UP'!B700,'Urban Plastix Holds'!$I$36:$U$498,10,0),0)</f>
        <v>0</v>
      </c>
      <c r="G700" s="2">
        <f t="shared" si="48"/>
        <v>0</v>
      </c>
      <c r="H700" s="2">
        <f t="shared" si="49"/>
        <v>0</v>
      </c>
    </row>
    <row r="701" spans="2:8">
      <c r="B701" s="3" t="s">
        <v>2946</v>
      </c>
      <c r="C701" s="3" t="s">
        <v>2947</v>
      </c>
      <c r="D701" s="11" t="str">
        <f t="shared" si="43"/>
        <v>11-25</v>
      </c>
      <c r="E701" s="1">
        <f>_xlfn.IFNA(VLOOKUP('Comp X - UP'!B701,'Urban Plastix Holds'!$I$36:$U$498,11,0),0)</f>
        <v>0</v>
      </c>
      <c r="G701" s="2">
        <f t="shared" si="48"/>
        <v>0</v>
      </c>
      <c r="H701" s="2">
        <f t="shared" si="49"/>
        <v>0</v>
      </c>
    </row>
    <row r="702" spans="2:8">
      <c r="B702" s="3" t="s">
        <v>2946</v>
      </c>
      <c r="C702" s="3" t="s">
        <v>2947</v>
      </c>
      <c r="D702" s="13" t="str">
        <f t="shared" si="43"/>
        <v>18-01</v>
      </c>
      <c r="E702" s="1">
        <f>_xlfn.IFNA(VLOOKUP('Comp X - UP'!B702,'Urban Plastix Holds'!$I$36:$U$498,12,0),0)</f>
        <v>0</v>
      </c>
      <c r="G702" s="2">
        <f t="shared" si="48"/>
        <v>0</v>
      </c>
      <c r="H702" s="2">
        <f t="shared" si="49"/>
        <v>0</v>
      </c>
    </row>
    <row r="703" spans="2:8">
      <c r="B703" s="3" t="s">
        <v>2946</v>
      </c>
      <c r="C703" s="3" t="s">
        <v>2947</v>
      </c>
      <c r="D703" s="12" t="str">
        <f t="shared" si="43"/>
        <v>12-01</v>
      </c>
      <c r="E703" s="1">
        <f>_xlfn.IFNA(VLOOKUP('Comp X - UP'!B703,'Urban Plastix Holds'!$I$36:$U$498,13,0),0)</f>
        <v>0</v>
      </c>
      <c r="G703" s="2">
        <f t="shared" si="48"/>
        <v>0</v>
      </c>
      <c r="H703" s="2">
        <f t="shared" si="49"/>
        <v>0</v>
      </c>
    </row>
    <row r="704" spans="2:8">
      <c r="B704" s="3" t="s">
        <v>2948</v>
      </c>
      <c r="C704" s="3" t="s">
        <v>2949</v>
      </c>
      <c r="D704" s="5" t="str">
        <f t="shared" si="43"/>
        <v>11-12</v>
      </c>
      <c r="E704" s="1">
        <f>_xlfn.IFNA(VLOOKUP('Comp X - UP'!B704,'Urban Plastix Holds'!$I$36:$U$498,5,0),0)</f>
        <v>0</v>
      </c>
      <c r="G704" s="2">
        <f t="shared" si="48"/>
        <v>0</v>
      </c>
      <c r="H704" s="2">
        <f t="shared" si="49"/>
        <v>0</v>
      </c>
    </row>
    <row r="705" spans="2:8">
      <c r="B705" s="3" t="s">
        <v>2948</v>
      </c>
      <c r="C705" s="3" t="s">
        <v>2949</v>
      </c>
      <c r="D705" s="6" t="str">
        <f t="shared" ref="D705:D712" si="50">D633</f>
        <v>14-01</v>
      </c>
      <c r="E705" s="1">
        <f>_xlfn.IFNA(VLOOKUP('Comp X - UP'!B705,'Urban Plastix Holds'!$I$36:$U$498,6,0),0)</f>
        <v>0</v>
      </c>
      <c r="G705" s="2">
        <f t="shared" si="48"/>
        <v>0</v>
      </c>
      <c r="H705" s="2">
        <f t="shared" si="49"/>
        <v>0</v>
      </c>
    </row>
    <row r="706" spans="2:8">
      <c r="B706" s="3" t="s">
        <v>2948</v>
      </c>
      <c r="C706" s="3" t="s">
        <v>2949</v>
      </c>
      <c r="D706" s="7" t="str">
        <f t="shared" si="50"/>
        <v>15-12</v>
      </c>
      <c r="E706" s="1">
        <f>_xlfn.IFNA(VLOOKUP('Comp X - UP'!B706,'Urban Plastix Holds'!$I$36:$U$498,7,0),0)</f>
        <v>0</v>
      </c>
      <c r="G706" s="2">
        <f t="shared" si="48"/>
        <v>0</v>
      </c>
      <c r="H706" s="2">
        <f t="shared" si="49"/>
        <v>0</v>
      </c>
    </row>
    <row r="707" spans="2:8">
      <c r="B707" s="3" t="s">
        <v>2948</v>
      </c>
      <c r="C707" s="3" t="s">
        <v>2949</v>
      </c>
      <c r="D707" s="8" t="str">
        <f t="shared" si="50"/>
        <v>16-16</v>
      </c>
      <c r="E707" s="1">
        <f>_xlfn.IFNA(VLOOKUP('Comp X - UP'!B707,'Urban Plastix Holds'!$I$36:$U$498,8,0),0)</f>
        <v>0</v>
      </c>
      <c r="G707" s="2">
        <f t="shared" si="48"/>
        <v>0</v>
      </c>
      <c r="H707" s="2">
        <f t="shared" si="49"/>
        <v>0</v>
      </c>
    </row>
    <row r="708" spans="2:8">
      <c r="B708" s="3" t="s">
        <v>2948</v>
      </c>
      <c r="C708" s="3" t="s">
        <v>2949</v>
      </c>
      <c r="D708" s="9" t="str">
        <f t="shared" si="50"/>
        <v>13-01</v>
      </c>
      <c r="E708" s="1">
        <f>_xlfn.IFNA(VLOOKUP('Comp X - UP'!B708,'Urban Plastix Holds'!$I$36:$U$498,9,0),0)</f>
        <v>0</v>
      </c>
      <c r="G708" s="2">
        <f t="shared" si="48"/>
        <v>0</v>
      </c>
      <c r="H708" s="2">
        <f t="shared" si="49"/>
        <v>0</v>
      </c>
    </row>
    <row r="709" spans="2:8">
      <c r="B709" s="3" t="s">
        <v>2948</v>
      </c>
      <c r="C709" s="3" t="s">
        <v>2949</v>
      </c>
      <c r="D709" s="10" t="str">
        <f t="shared" si="50"/>
        <v>07-13</v>
      </c>
      <c r="E709" s="1">
        <f>_xlfn.IFNA(VLOOKUP('Comp X - UP'!B709,'Urban Plastix Holds'!$I$36:$U$498,10,0),0)</f>
        <v>0</v>
      </c>
      <c r="G709" s="2">
        <f t="shared" si="48"/>
        <v>0</v>
      </c>
      <c r="H709" s="2">
        <f t="shared" si="49"/>
        <v>0</v>
      </c>
    </row>
    <row r="710" spans="2:8">
      <c r="B710" s="3" t="s">
        <v>2948</v>
      </c>
      <c r="C710" s="3" t="s">
        <v>2949</v>
      </c>
      <c r="D710" s="11" t="str">
        <f t="shared" si="50"/>
        <v>11-25</v>
      </c>
      <c r="E710" s="1">
        <f>_xlfn.IFNA(VLOOKUP('Comp X - UP'!B710,'Urban Plastix Holds'!$I$36:$U$498,11,0),0)</f>
        <v>0</v>
      </c>
      <c r="G710" s="2">
        <f t="shared" si="48"/>
        <v>0</v>
      </c>
      <c r="H710" s="2">
        <f t="shared" si="49"/>
        <v>0</v>
      </c>
    </row>
    <row r="711" spans="2:8">
      <c r="B711" s="3" t="s">
        <v>2948</v>
      </c>
      <c r="C711" s="3" t="s">
        <v>2949</v>
      </c>
      <c r="D711" s="13" t="str">
        <f t="shared" si="50"/>
        <v>18-01</v>
      </c>
      <c r="E711" s="1">
        <f>_xlfn.IFNA(VLOOKUP('Comp X - UP'!B711,'Urban Plastix Holds'!$I$36:$U$498,12,0),0)</f>
        <v>0</v>
      </c>
      <c r="G711" s="2">
        <f t="shared" si="48"/>
        <v>0</v>
      </c>
      <c r="H711" s="2">
        <f t="shared" si="49"/>
        <v>0</v>
      </c>
    </row>
    <row r="712" spans="2:8">
      <c r="B712" s="3" t="s">
        <v>2948</v>
      </c>
      <c r="C712" s="3" t="s">
        <v>2949</v>
      </c>
      <c r="D712" s="12" t="str">
        <f t="shared" si="50"/>
        <v>12-01</v>
      </c>
      <c r="E712" s="1">
        <f>_xlfn.IFNA(VLOOKUP('Comp X - UP'!B712,'Urban Plastix Holds'!$I$36:$U$498,13,0),0)</f>
        <v>0</v>
      </c>
      <c r="G712" s="2">
        <f t="shared" si="48"/>
        <v>0</v>
      </c>
      <c r="H712" s="2">
        <f t="shared" si="49"/>
        <v>0</v>
      </c>
    </row>
    <row r="713" spans="2:8">
      <c r="B713" s="3" t="s">
        <v>2823</v>
      </c>
      <c r="C713" s="3" t="s">
        <v>2825</v>
      </c>
      <c r="D713" s="5" t="str">
        <f t="shared" ref="D713:D757" si="51">D560</f>
        <v>11-12</v>
      </c>
      <c r="E713" s="1">
        <f>_xlfn.IFNA(VLOOKUP('Comp X - UP'!B713,'Urban Plastix Holds'!$I$36:$U$498,5,0),0)</f>
        <v>0</v>
      </c>
      <c r="G713" s="2">
        <f t="shared" si="34"/>
        <v>0</v>
      </c>
      <c r="H713" s="2">
        <f t="shared" si="35"/>
        <v>0</v>
      </c>
    </row>
    <row r="714" spans="2:8">
      <c r="B714" s="3" t="s">
        <v>2823</v>
      </c>
      <c r="C714" s="3" t="s">
        <v>2825</v>
      </c>
      <c r="D714" s="6" t="str">
        <f t="shared" si="51"/>
        <v>14-01</v>
      </c>
      <c r="E714" s="1">
        <f>_xlfn.IFNA(VLOOKUP('Comp X - UP'!B714,'Urban Plastix Holds'!$I$36:$U$498,6,0),0)</f>
        <v>0</v>
      </c>
      <c r="G714" s="2">
        <f t="shared" si="34"/>
        <v>0</v>
      </c>
      <c r="H714" s="2">
        <f t="shared" si="35"/>
        <v>0</v>
      </c>
    </row>
    <row r="715" spans="2:8">
      <c r="B715" s="3" t="s">
        <v>2823</v>
      </c>
      <c r="C715" s="3" t="s">
        <v>2825</v>
      </c>
      <c r="D715" s="7" t="str">
        <f t="shared" si="51"/>
        <v>15-12</v>
      </c>
      <c r="E715" s="1">
        <f>_xlfn.IFNA(VLOOKUP('Comp X - UP'!B715,'Urban Plastix Holds'!$I$36:$U$498,7,0),0)</f>
        <v>0</v>
      </c>
      <c r="G715" s="2">
        <f t="shared" si="34"/>
        <v>0</v>
      </c>
      <c r="H715" s="2">
        <f t="shared" si="35"/>
        <v>0</v>
      </c>
    </row>
    <row r="716" spans="2:8">
      <c r="B716" s="3" t="s">
        <v>2823</v>
      </c>
      <c r="C716" s="3" t="s">
        <v>2825</v>
      </c>
      <c r="D716" s="8" t="str">
        <f t="shared" si="51"/>
        <v>16-16</v>
      </c>
      <c r="E716" s="1">
        <f>_xlfn.IFNA(VLOOKUP('Comp X - UP'!B716,'Urban Plastix Holds'!$I$36:$U$498,8,0),0)</f>
        <v>0</v>
      </c>
      <c r="G716" s="2">
        <f t="shared" si="34"/>
        <v>0</v>
      </c>
      <c r="H716" s="2">
        <f t="shared" si="35"/>
        <v>0</v>
      </c>
    </row>
    <row r="717" spans="2:8">
      <c r="B717" s="3" t="s">
        <v>2823</v>
      </c>
      <c r="C717" s="3" t="s">
        <v>2825</v>
      </c>
      <c r="D717" s="9" t="str">
        <f t="shared" si="51"/>
        <v>13-01</v>
      </c>
      <c r="E717" s="1">
        <f>_xlfn.IFNA(VLOOKUP('Comp X - UP'!B717,'Urban Plastix Holds'!$I$36:$U$498,9,0),0)</f>
        <v>0</v>
      </c>
      <c r="G717" s="2">
        <f t="shared" si="34"/>
        <v>0</v>
      </c>
      <c r="H717" s="2">
        <f t="shared" si="35"/>
        <v>0</v>
      </c>
    </row>
    <row r="718" spans="2:8">
      <c r="B718" s="3" t="s">
        <v>2823</v>
      </c>
      <c r="C718" s="3" t="s">
        <v>2825</v>
      </c>
      <c r="D718" s="10" t="str">
        <f t="shared" si="51"/>
        <v>07-13</v>
      </c>
      <c r="E718" s="1">
        <f>_xlfn.IFNA(VLOOKUP('Comp X - UP'!B718,'Urban Plastix Holds'!$I$36:$U$498,10,0),0)</f>
        <v>0</v>
      </c>
      <c r="G718" s="2">
        <f t="shared" si="34"/>
        <v>0</v>
      </c>
      <c r="H718" s="2">
        <f t="shared" si="35"/>
        <v>0</v>
      </c>
    </row>
    <row r="719" spans="2:8">
      <c r="B719" s="3" t="s">
        <v>2823</v>
      </c>
      <c r="C719" s="3" t="s">
        <v>2825</v>
      </c>
      <c r="D719" s="11" t="str">
        <f t="shared" si="51"/>
        <v>11-25</v>
      </c>
      <c r="E719" s="1">
        <f>_xlfn.IFNA(VLOOKUP('Comp X - UP'!B719,'Urban Plastix Holds'!$I$36:$U$498,11,0),0)</f>
        <v>0</v>
      </c>
      <c r="G719" s="2">
        <f t="shared" si="34"/>
        <v>0</v>
      </c>
      <c r="H719" s="2">
        <f t="shared" si="35"/>
        <v>0</v>
      </c>
    </row>
    <row r="720" spans="2:8">
      <c r="B720" s="3" t="s">
        <v>2823</v>
      </c>
      <c r="C720" s="3" t="s">
        <v>2825</v>
      </c>
      <c r="D720" s="13" t="str">
        <f t="shared" si="51"/>
        <v>18-01</v>
      </c>
      <c r="E720" s="1">
        <f>_xlfn.IFNA(VLOOKUP('Comp X - UP'!B720,'Urban Plastix Holds'!$I$36:$U$498,12,0),0)</f>
        <v>0</v>
      </c>
      <c r="G720" s="2">
        <f t="shared" si="34"/>
        <v>0</v>
      </c>
      <c r="H720" s="2">
        <f t="shared" si="35"/>
        <v>0</v>
      </c>
    </row>
    <row r="721" spans="2:8">
      <c r="B721" s="3" t="s">
        <v>2823</v>
      </c>
      <c r="C721" s="3" t="s">
        <v>2825</v>
      </c>
      <c r="D721" s="12" t="str">
        <f t="shared" si="51"/>
        <v>12-01</v>
      </c>
      <c r="E721" s="1">
        <f>_xlfn.IFNA(VLOOKUP('Comp X - UP'!B721,'Urban Plastix Holds'!$I$36:$U$498,13,0),0)</f>
        <v>0</v>
      </c>
      <c r="G721" s="2">
        <f t="shared" si="34"/>
        <v>0</v>
      </c>
      <c r="H721" s="2">
        <f t="shared" si="35"/>
        <v>0</v>
      </c>
    </row>
    <row r="722" spans="2:8">
      <c r="B722" s="3" t="s">
        <v>2917</v>
      </c>
      <c r="C722" s="3" t="s">
        <v>2918</v>
      </c>
      <c r="D722" s="5" t="str">
        <f t="shared" si="51"/>
        <v>11-12</v>
      </c>
      <c r="E722" s="1">
        <f>_xlfn.IFNA(VLOOKUP('Comp X - UP'!B722,'Urban Plastix Holds'!$I$36:$U$498,5,0),0)</f>
        <v>0</v>
      </c>
      <c r="G722" s="2">
        <f t="shared" ref="G722:G730" si="52">E722*F722</f>
        <v>0</v>
      </c>
      <c r="H722" s="2">
        <f t="shared" ref="H722:H730" si="53">IF($S$11="Y",G722*0.15,0)</f>
        <v>0</v>
      </c>
    </row>
    <row r="723" spans="2:8">
      <c r="B723" s="3" t="s">
        <v>2917</v>
      </c>
      <c r="C723" s="3" t="s">
        <v>2918</v>
      </c>
      <c r="D723" s="6" t="str">
        <f t="shared" si="51"/>
        <v>14-01</v>
      </c>
      <c r="E723" s="1">
        <f>_xlfn.IFNA(VLOOKUP('Comp X - UP'!B723,'Urban Plastix Holds'!$I$36:$U$498,6,0),0)</f>
        <v>0</v>
      </c>
      <c r="G723" s="2">
        <f t="shared" si="52"/>
        <v>0</v>
      </c>
      <c r="H723" s="2">
        <f t="shared" si="53"/>
        <v>0</v>
      </c>
    </row>
    <row r="724" spans="2:8">
      <c r="B724" s="3" t="s">
        <v>2917</v>
      </c>
      <c r="C724" s="3" t="s">
        <v>2918</v>
      </c>
      <c r="D724" s="7" t="str">
        <f t="shared" si="51"/>
        <v>15-12</v>
      </c>
      <c r="E724" s="1">
        <f>_xlfn.IFNA(VLOOKUP('Comp X - UP'!B724,'Urban Plastix Holds'!$I$36:$U$498,7,0),0)</f>
        <v>0</v>
      </c>
      <c r="G724" s="2">
        <f t="shared" si="52"/>
        <v>0</v>
      </c>
      <c r="H724" s="2">
        <f t="shared" si="53"/>
        <v>0</v>
      </c>
    </row>
    <row r="725" spans="2:8">
      <c r="B725" s="3" t="s">
        <v>2917</v>
      </c>
      <c r="C725" s="3" t="s">
        <v>2918</v>
      </c>
      <c r="D725" s="8" t="str">
        <f t="shared" si="51"/>
        <v>16-16</v>
      </c>
      <c r="E725" s="1">
        <f>_xlfn.IFNA(VLOOKUP('Comp X - UP'!B725,'Urban Plastix Holds'!$I$36:$U$498,8,0),0)</f>
        <v>0</v>
      </c>
      <c r="G725" s="2">
        <f t="shared" si="52"/>
        <v>0</v>
      </c>
      <c r="H725" s="2">
        <f t="shared" si="53"/>
        <v>0</v>
      </c>
    </row>
    <row r="726" spans="2:8">
      <c r="B726" s="3" t="s">
        <v>2917</v>
      </c>
      <c r="C726" s="3" t="s">
        <v>2918</v>
      </c>
      <c r="D726" s="9" t="str">
        <f t="shared" si="51"/>
        <v>13-01</v>
      </c>
      <c r="E726" s="1">
        <f>_xlfn.IFNA(VLOOKUP('Comp X - UP'!B726,'Urban Plastix Holds'!$I$36:$U$498,9,0),0)</f>
        <v>0</v>
      </c>
      <c r="G726" s="2">
        <f t="shared" si="52"/>
        <v>0</v>
      </c>
      <c r="H726" s="2">
        <f t="shared" si="53"/>
        <v>0</v>
      </c>
    </row>
    <row r="727" spans="2:8">
      <c r="B727" s="3" t="s">
        <v>2917</v>
      </c>
      <c r="C727" s="3" t="s">
        <v>2918</v>
      </c>
      <c r="D727" s="10" t="str">
        <f t="shared" si="51"/>
        <v>07-13</v>
      </c>
      <c r="E727" s="1">
        <f>_xlfn.IFNA(VLOOKUP('Comp X - UP'!B727,'Urban Plastix Holds'!$I$36:$U$498,10,0),0)</f>
        <v>0</v>
      </c>
      <c r="G727" s="2">
        <f t="shared" si="52"/>
        <v>0</v>
      </c>
      <c r="H727" s="2">
        <f t="shared" si="53"/>
        <v>0</v>
      </c>
    </row>
    <row r="728" spans="2:8">
      <c r="B728" s="3" t="s">
        <v>2917</v>
      </c>
      <c r="C728" s="3" t="s">
        <v>2918</v>
      </c>
      <c r="D728" s="11" t="str">
        <f t="shared" si="51"/>
        <v>11-25</v>
      </c>
      <c r="E728" s="1">
        <f>_xlfn.IFNA(VLOOKUP('Comp X - UP'!B728,'Urban Plastix Holds'!$I$36:$U$498,11,0),0)</f>
        <v>0</v>
      </c>
      <c r="G728" s="2">
        <f t="shared" si="52"/>
        <v>0</v>
      </c>
      <c r="H728" s="2">
        <f t="shared" si="53"/>
        <v>0</v>
      </c>
    </row>
    <row r="729" spans="2:8">
      <c r="B729" s="3" t="s">
        <v>2917</v>
      </c>
      <c r="C729" s="3" t="s">
        <v>2918</v>
      </c>
      <c r="D729" s="13" t="str">
        <f t="shared" si="51"/>
        <v>18-01</v>
      </c>
      <c r="E729" s="1">
        <f>_xlfn.IFNA(VLOOKUP('Comp X - UP'!B729,'Urban Plastix Holds'!$I$36:$U$498,12,0),0)</f>
        <v>0</v>
      </c>
      <c r="G729" s="2">
        <f t="shared" si="52"/>
        <v>0</v>
      </c>
      <c r="H729" s="2">
        <f t="shared" si="53"/>
        <v>0</v>
      </c>
    </row>
    <row r="730" spans="2:8">
      <c r="B730" s="3" t="s">
        <v>2917</v>
      </c>
      <c r="C730" s="3" t="s">
        <v>2918</v>
      </c>
      <c r="D730" s="12" t="str">
        <f t="shared" si="51"/>
        <v>12-01</v>
      </c>
      <c r="E730" s="1">
        <f>_xlfn.IFNA(VLOOKUP('Comp X - UP'!B730,'Urban Plastix Holds'!$I$36:$U$498,13,0),0)</f>
        <v>0</v>
      </c>
      <c r="G730" s="2">
        <f t="shared" si="52"/>
        <v>0</v>
      </c>
      <c r="H730" s="2">
        <f t="shared" si="53"/>
        <v>0</v>
      </c>
    </row>
    <row r="731" spans="2:8">
      <c r="B731" s="3" t="s">
        <v>2922</v>
      </c>
      <c r="C731" s="3" t="s">
        <v>2923</v>
      </c>
      <c r="D731" s="5" t="str">
        <f t="shared" si="51"/>
        <v>11-12</v>
      </c>
      <c r="E731" s="1">
        <f>_xlfn.IFNA(VLOOKUP('Comp X - UP'!B731,'Urban Plastix Holds'!$I$36:$U$498,5,0),0)</f>
        <v>0</v>
      </c>
      <c r="G731" s="2">
        <f t="shared" ref="G731:G775" si="54">E731*F731</f>
        <v>0</v>
      </c>
      <c r="H731" s="2">
        <f t="shared" ref="H731:H775" si="55">IF($S$11="Y",G731*0.15,0)</f>
        <v>0</v>
      </c>
    </row>
    <row r="732" spans="2:8">
      <c r="B732" s="3" t="s">
        <v>2922</v>
      </c>
      <c r="C732" s="3" t="s">
        <v>2923</v>
      </c>
      <c r="D732" s="6" t="str">
        <f t="shared" si="51"/>
        <v>14-01</v>
      </c>
      <c r="E732" s="1">
        <f>_xlfn.IFNA(VLOOKUP('Comp X - UP'!B732,'Urban Plastix Holds'!$I$36:$U$498,6,0),0)</f>
        <v>0</v>
      </c>
      <c r="G732" s="2">
        <f t="shared" si="54"/>
        <v>0</v>
      </c>
      <c r="H732" s="2">
        <f t="shared" si="55"/>
        <v>0</v>
      </c>
    </row>
    <row r="733" spans="2:8">
      <c r="B733" s="3" t="s">
        <v>2922</v>
      </c>
      <c r="C733" s="3" t="s">
        <v>2923</v>
      </c>
      <c r="D733" s="7" t="str">
        <f t="shared" si="51"/>
        <v>15-12</v>
      </c>
      <c r="E733" s="1">
        <f>_xlfn.IFNA(VLOOKUP('Comp X - UP'!B733,'Urban Plastix Holds'!$I$36:$U$498,7,0),0)</f>
        <v>0</v>
      </c>
      <c r="G733" s="2">
        <f t="shared" si="54"/>
        <v>0</v>
      </c>
      <c r="H733" s="2">
        <f t="shared" si="55"/>
        <v>0</v>
      </c>
    </row>
    <row r="734" spans="2:8">
      <c r="B734" s="3" t="s">
        <v>2922</v>
      </c>
      <c r="C734" s="3" t="s">
        <v>2923</v>
      </c>
      <c r="D734" s="8" t="str">
        <f t="shared" si="51"/>
        <v>16-16</v>
      </c>
      <c r="E734" s="1">
        <f>_xlfn.IFNA(VLOOKUP('Comp X - UP'!B734,'Urban Plastix Holds'!$I$36:$U$498,8,0),0)</f>
        <v>0</v>
      </c>
      <c r="G734" s="2">
        <f t="shared" si="54"/>
        <v>0</v>
      </c>
      <c r="H734" s="2">
        <f t="shared" si="55"/>
        <v>0</v>
      </c>
    </row>
    <row r="735" spans="2:8">
      <c r="B735" s="3" t="s">
        <v>2922</v>
      </c>
      <c r="C735" s="3" t="s">
        <v>2923</v>
      </c>
      <c r="D735" s="9" t="str">
        <f t="shared" si="51"/>
        <v>13-01</v>
      </c>
      <c r="E735" s="1">
        <f>_xlfn.IFNA(VLOOKUP('Comp X - UP'!B735,'Urban Plastix Holds'!$I$36:$U$498,9,0),0)</f>
        <v>0</v>
      </c>
      <c r="G735" s="2">
        <f t="shared" si="54"/>
        <v>0</v>
      </c>
      <c r="H735" s="2">
        <f t="shared" si="55"/>
        <v>0</v>
      </c>
    </row>
    <row r="736" spans="2:8">
      <c r="B736" s="3" t="s">
        <v>2922</v>
      </c>
      <c r="C736" s="3" t="s">
        <v>2923</v>
      </c>
      <c r="D736" s="10" t="str">
        <f t="shared" si="51"/>
        <v>07-13</v>
      </c>
      <c r="E736" s="1">
        <f>_xlfn.IFNA(VLOOKUP('Comp X - UP'!B736,'Urban Plastix Holds'!$I$36:$U$498,10,0),0)</f>
        <v>0</v>
      </c>
      <c r="G736" s="2">
        <f t="shared" si="54"/>
        <v>0</v>
      </c>
      <c r="H736" s="2">
        <f t="shared" si="55"/>
        <v>0</v>
      </c>
    </row>
    <row r="737" spans="2:8">
      <c r="B737" s="3" t="s">
        <v>2922</v>
      </c>
      <c r="C737" s="3" t="s">
        <v>2923</v>
      </c>
      <c r="D737" s="11" t="str">
        <f t="shared" si="51"/>
        <v>11-25</v>
      </c>
      <c r="E737" s="1">
        <f>_xlfn.IFNA(VLOOKUP('Comp X - UP'!B737,'Urban Plastix Holds'!$I$36:$U$498,11,0),0)</f>
        <v>0</v>
      </c>
      <c r="G737" s="2">
        <f t="shared" si="54"/>
        <v>0</v>
      </c>
      <c r="H737" s="2">
        <f t="shared" si="55"/>
        <v>0</v>
      </c>
    </row>
    <row r="738" spans="2:8">
      <c r="B738" s="3" t="s">
        <v>2922</v>
      </c>
      <c r="C738" s="3" t="s">
        <v>2923</v>
      </c>
      <c r="D738" s="13" t="str">
        <f t="shared" si="51"/>
        <v>18-01</v>
      </c>
      <c r="E738" s="1">
        <f>_xlfn.IFNA(VLOOKUP('Comp X - UP'!B738,'Urban Plastix Holds'!$I$36:$U$498,12,0),0)</f>
        <v>0</v>
      </c>
      <c r="G738" s="2">
        <f t="shared" si="54"/>
        <v>0</v>
      </c>
      <c r="H738" s="2">
        <f t="shared" si="55"/>
        <v>0</v>
      </c>
    </row>
    <row r="739" spans="2:8">
      <c r="B739" s="3" t="s">
        <v>2922</v>
      </c>
      <c r="C739" s="3" t="s">
        <v>2923</v>
      </c>
      <c r="D739" s="12" t="str">
        <f t="shared" si="51"/>
        <v>12-01</v>
      </c>
      <c r="E739" s="1">
        <f>_xlfn.IFNA(VLOOKUP('Comp X - UP'!B739,'Urban Plastix Holds'!$I$36:$U$498,13,0),0)</f>
        <v>0</v>
      </c>
      <c r="G739" s="2">
        <f t="shared" si="54"/>
        <v>0</v>
      </c>
      <c r="H739" s="2">
        <f t="shared" si="55"/>
        <v>0</v>
      </c>
    </row>
    <row r="740" spans="2:8">
      <c r="B740" s="3" t="s">
        <v>2921</v>
      </c>
      <c r="C740" s="3" t="s">
        <v>2924</v>
      </c>
      <c r="D740" s="5" t="str">
        <f t="shared" si="51"/>
        <v>11-12</v>
      </c>
      <c r="E740" s="1">
        <f>_xlfn.IFNA(VLOOKUP('Comp X - UP'!B740,'Urban Plastix Holds'!$I$36:$U$498,5,0),0)</f>
        <v>0</v>
      </c>
      <c r="G740" s="2">
        <f t="shared" si="54"/>
        <v>0</v>
      </c>
      <c r="H740" s="2">
        <f t="shared" si="55"/>
        <v>0</v>
      </c>
    </row>
    <row r="741" spans="2:8">
      <c r="B741" s="3" t="s">
        <v>2921</v>
      </c>
      <c r="C741" s="3" t="s">
        <v>2924</v>
      </c>
      <c r="D741" s="6" t="str">
        <f t="shared" si="51"/>
        <v>14-01</v>
      </c>
      <c r="E741" s="1">
        <f>_xlfn.IFNA(VLOOKUP('Comp X - UP'!B741,'Urban Plastix Holds'!$I$36:$U$498,6,0),0)</f>
        <v>0</v>
      </c>
      <c r="G741" s="2">
        <f t="shared" si="54"/>
        <v>0</v>
      </c>
      <c r="H741" s="2">
        <f t="shared" si="55"/>
        <v>0</v>
      </c>
    </row>
    <row r="742" spans="2:8">
      <c r="B742" s="3" t="s">
        <v>2921</v>
      </c>
      <c r="C742" s="3" t="s">
        <v>2924</v>
      </c>
      <c r="D742" s="7" t="str">
        <f t="shared" si="51"/>
        <v>15-12</v>
      </c>
      <c r="E742" s="1">
        <f>_xlfn.IFNA(VLOOKUP('Comp X - UP'!B742,'Urban Plastix Holds'!$I$36:$U$498,7,0),0)</f>
        <v>0</v>
      </c>
      <c r="G742" s="2">
        <f t="shared" si="54"/>
        <v>0</v>
      </c>
      <c r="H742" s="2">
        <f t="shared" si="55"/>
        <v>0</v>
      </c>
    </row>
    <row r="743" spans="2:8">
      <c r="B743" s="3" t="s">
        <v>2921</v>
      </c>
      <c r="C743" s="3" t="s">
        <v>2924</v>
      </c>
      <c r="D743" s="8" t="str">
        <f t="shared" si="51"/>
        <v>16-16</v>
      </c>
      <c r="E743" s="1">
        <f>_xlfn.IFNA(VLOOKUP('Comp X - UP'!B743,'Urban Plastix Holds'!$I$36:$U$498,8,0),0)</f>
        <v>0</v>
      </c>
      <c r="G743" s="2">
        <f t="shared" si="54"/>
        <v>0</v>
      </c>
      <c r="H743" s="2">
        <f t="shared" si="55"/>
        <v>0</v>
      </c>
    </row>
    <row r="744" spans="2:8">
      <c r="B744" s="3" t="s">
        <v>2921</v>
      </c>
      <c r="C744" s="3" t="s">
        <v>2924</v>
      </c>
      <c r="D744" s="9" t="str">
        <f t="shared" si="51"/>
        <v>13-01</v>
      </c>
      <c r="E744" s="1">
        <f>_xlfn.IFNA(VLOOKUP('Comp X - UP'!B744,'Urban Plastix Holds'!$I$36:$U$498,9,0),0)</f>
        <v>0</v>
      </c>
      <c r="G744" s="2">
        <f t="shared" si="54"/>
        <v>0</v>
      </c>
      <c r="H744" s="2">
        <f t="shared" si="55"/>
        <v>0</v>
      </c>
    </row>
    <row r="745" spans="2:8">
      <c r="B745" s="3" t="s">
        <v>2921</v>
      </c>
      <c r="C745" s="3" t="s">
        <v>2924</v>
      </c>
      <c r="D745" s="10" t="str">
        <f t="shared" si="51"/>
        <v>07-13</v>
      </c>
      <c r="E745" s="1">
        <f>_xlfn.IFNA(VLOOKUP('Comp X - UP'!B745,'Urban Plastix Holds'!$I$36:$U$498,10,0),0)</f>
        <v>0</v>
      </c>
      <c r="G745" s="2">
        <f t="shared" si="54"/>
        <v>0</v>
      </c>
      <c r="H745" s="2">
        <f t="shared" si="55"/>
        <v>0</v>
      </c>
    </row>
    <row r="746" spans="2:8">
      <c r="B746" s="3" t="s">
        <v>2921</v>
      </c>
      <c r="C746" s="3" t="s">
        <v>2924</v>
      </c>
      <c r="D746" s="11" t="str">
        <f t="shared" si="51"/>
        <v>11-25</v>
      </c>
      <c r="E746" s="1">
        <f>_xlfn.IFNA(VLOOKUP('Comp X - UP'!B746,'Urban Plastix Holds'!$I$36:$U$498,11,0),0)</f>
        <v>0</v>
      </c>
      <c r="G746" s="2">
        <f t="shared" si="54"/>
        <v>0</v>
      </c>
      <c r="H746" s="2">
        <f t="shared" si="55"/>
        <v>0</v>
      </c>
    </row>
    <row r="747" spans="2:8">
      <c r="B747" s="3" t="s">
        <v>2921</v>
      </c>
      <c r="C747" s="3" t="s">
        <v>2924</v>
      </c>
      <c r="D747" s="13" t="str">
        <f t="shared" si="51"/>
        <v>18-01</v>
      </c>
      <c r="E747" s="1">
        <f>_xlfn.IFNA(VLOOKUP('Comp X - UP'!B747,'Urban Plastix Holds'!$I$36:$U$498,12,0),0)</f>
        <v>0</v>
      </c>
      <c r="G747" s="2">
        <f t="shared" si="54"/>
        <v>0</v>
      </c>
      <c r="H747" s="2">
        <f t="shared" si="55"/>
        <v>0</v>
      </c>
    </row>
    <row r="748" spans="2:8">
      <c r="B748" s="3" t="s">
        <v>2921</v>
      </c>
      <c r="C748" s="3" t="s">
        <v>2924</v>
      </c>
      <c r="D748" s="12" t="str">
        <f t="shared" si="51"/>
        <v>12-01</v>
      </c>
      <c r="E748" s="1">
        <f>_xlfn.IFNA(VLOOKUP('Comp X - UP'!B748,'Urban Plastix Holds'!$I$36:$U$498,13,0),0)</f>
        <v>0</v>
      </c>
      <c r="G748" s="2">
        <f t="shared" si="54"/>
        <v>0</v>
      </c>
      <c r="H748" s="2">
        <f t="shared" si="55"/>
        <v>0</v>
      </c>
    </row>
    <row r="749" spans="2:8">
      <c r="B749" s="3" t="s">
        <v>2925</v>
      </c>
      <c r="C749" s="3" t="s">
        <v>2926</v>
      </c>
      <c r="D749" s="5" t="str">
        <f t="shared" si="51"/>
        <v>11-12</v>
      </c>
      <c r="E749" s="1">
        <f>_xlfn.IFNA(VLOOKUP('Comp X - UP'!B749,'Urban Plastix Holds'!$I$36:$U$498,5,0),0)</f>
        <v>0</v>
      </c>
      <c r="G749" s="2">
        <f t="shared" si="54"/>
        <v>0</v>
      </c>
      <c r="H749" s="2">
        <f t="shared" si="55"/>
        <v>0</v>
      </c>
    </row>
    <row r="750" spans="2:8">
      <c r="B750" s="3" t="s">
        <v>2925</v>
      </c>
      <c r="C750" s="3" t="s">
        <v>2926</v>
      </c>
      <c r="D750" s="6" t="str">
        <f t="shared" si="51"/>
        <v>14-01</v>
      </c>
      <c r="E750" s="1">
        <f>_xlfn.IFNA(VLOOKUP('Comp X - UP'!B750,'Urban Plastix Holds'!$I$36:$U$498,6,0),0)</f>
        <v>0</v>
      </c>
      <c r="G750" s="2">
        <f t="shared" si="54"/>
        <v>0</v>
      </c>
      <c r="H750" s="2">
        <f t="shared" si="55"/>
        <v>0</v>
      </c>
    </row>
    <row r="751" spans="2:8">
      <c r="B751" s="3" t="s">
        <v>2925</v>
      </c>
      <c r="C751" s="3" t="s">
        <v>2926</v>
      </c>
      <c r="D751" s="7" t="str">
        <f t="shared" si="51"/>
        <v>15-12</v>
      </c>
      <c r="E751" s="1">
        <f>_xlfn.IFNA(VLOOKUP('Comp X - UP'!B751,'Urban Plastix Holds'!$I$36:$U$498,7,0),0)</f>
        <v>0</v>
      </c>
      <c r="G751" s="2">
        <f t="shared" si="54"/>
        <v>0</v>
      </c>
      <c r="H751" s="2">
        <f t="shared" si="55"/>
        <v>0</v>
      </c>
    </row>
    <row r="752" spans="2:8">
      <c r="B752" s="3" t="s">
        <v>2925</v>
      </c>
      <c r="C752" s="3" t="s">
        <v>2926</v>
      </c>
      <c r="D752" s="8" t="str">
        <f t="shared" si="51"/>
        <v>16-16</v>
      </c>
      <c r="E752" s="1">
        <f>_xlfn.IFNA(VLOOKUP('Comp X - UP'!B752,'Urban Plastix Holds'!$I$36:$U$498,8,0),0)</f>
        <v>0</v>
      </c>
      <c r="G752" s="2">
        <f t="shared" si="54"/>
        <v>0</v>
      </c>
      <c r="H752" s="2">
        <f t="shared" si="55"/>
        <v>0</v>
      </c>
    </row>
    <row r="753" spans="2:8">
      <c r="B753" s="3" t="s">
        <v>2925</v>
      </c>
      <c r="C753" s="3" t="s">
        <v>2926</v>
      </c>
      <c r="D753" s="9" t="str">
        <f t="shared" si="51"/>
        <v>13-01</v>
      </c>
      <c r="E753" s="1">
        <f>_xlfn.IFNA(VLOOKUP('Comp X - UP'!B753,'Urban Plastix Holds'!$I$36:$U$498,9,0),0)</f>
        <v>0</v>
      </c>
      <c r="G753" s="2">
        <f t="shared" si="54"/>
        <v>0</v>
      </c>
      <c r="H753" s="2">
        <f t="shared" si="55"/>
        <v>0</v>
      </c>
    </row>
    <row r="754" spans="2:8">
      <c r="B754" s="3" t="s">
        <v>2925</v>
      </c>
      <c r="C754" s="3" t="s">
        <v>2926</v>
      </c>
      <c r="D754" s="10" t="str">
        <f t="shared" si="51"/>
        <v>07-13</v>
      </c>
      <c r="E754" s="1">
        <f>_xlfn.IFNA(VLOOKUP('Comp X - UP'!B754,'Urban Plastix Holds'!$I$36:$U$498,10,0),0)</f>
        <v>0</v>
      </c>
      <c r="G754" s="2">
        <f t="shared" si="54"/>
        <v>0</v>
      </c>
      <c r="H754" s="2">
        <f t="shared" si="55"/>
        <v>0</v>
      </c>
    </row>
    <row r="755" spans="2:8">
      <c r="B755" s="3" t="s">
        <v>2925</v>
      </c>
      <c r="C755" s="3" t="s">
        <v>2926</v>
      </c>
      <c r="D755" s="11" t="str">
        <f t="shared" si="51"/>
        <v>11-25</v>
      </c>
      <c r="E755" s="1">
        <f>_xlfn.IFNA(VLOOKUP('Comp X - UP'!B755,'Urban Plastix Holds'!$I$36:$U$498,11,0),0)</f>
        <v>0</v>
      </c>
      <c r="G755" s="2">
        <f t="shared" si="54"/>
        <v>0</v>
      </c>
      <c r="H755" s="2">
        <f t="shared" si="55"/>
        <v>0</v>
      </c>
    </row>
    <row r="756" spans="2:8">
      <c r="B756" s="3" t="s">
        <v>2925</v>
      </c>
      <c r="C756" s="3" t="s">
        <v>2926</v>
      </c>
      <c r="D756" s="13" t="str">
        <f t="shared" si="51"/>
        <v>18-01</v>
      </c>
      <c r="E756" s="1">
        <f>_xlfn.IFNA(VLOOKUP('Comp X - UP'!B756,'Urban Plastix Holds'!$I$36:$U$498,12,0),0)</f>
        <v>0</v>
      </c>
      <c r="G756" s="2">
        <f t="shared" si="54"/>
        <v>0</v>
      </c>
      <c r="H756" s="2">
        <f t="shared" si="55"/>
        <v>0</v>
      </c>
    </row>
    <row r="757" spans="2:8">
      <c r="B757" s="3" t="s">
        <v>2925</v>
      </c>
      <c r="C757" s="3" t="s">
        <v>2926</v>
      </c>
      <c r="D757" s="12" t="str">
        <f t="shared" si="51"/>
        <v>12-01</v>
      </c>
      <c r="E757" s="1">
        <f>_xlfn.IFNA(VLOOKUP('Comp X - UP'!B757,'Urban Plastix Holds'!$I$36:$U$498,13,0),0)</f>
        <v>0</v>
      </c>
      <c r="G757" s="2">
        <f t="shared" si="54"/>
        <v>0</v>
      </c>
      <c r="H757" s="2">
        <f t="shared" si="55"/>
        <v>0</v>
      </c>
    </row>
    <row r="758" spans="2:8">
      <c r="B758" s="3" t="s">
        <v>2927</v>
      </c>
      <c r="C758" s="3" t="s">
        <v>2928</v>
      </c>
      <c r="D758" s="5" t="str">
        <f t="shared" ref="D758:D775" si="56">D641</f>
        <v>11-12</v>
      </c>
      <c r="E758" s="1">
        <f>_xlfn.IFNA(VLOOKUP('Comp X - UP'!B758,'Urban Plastix Holds'!$I$36:$U$498,5,0),0)</f>
        <v>0</v>
      </c>
      <c r="G758" s="2">
        <f t="shared" si="54"/>
        <v>0</v>
      </c>
      <c r="H758" s="2">
        <f t="shared" si="55"/>
        <v>0</v>
      </c>
    </row>
    <row r="759" spans="2:8">
      <c r="B759" s="3" t="s">
        <v>2927</v>
      </c>
      <c r="C759" s="3" t="s">
        <v>2928</v>
      </c>
      <c r="D759" s="6" t="str">
        <f t="shared" si="56"/>
        <v>14-01</v>
      </c>
      <c r="E759" s="1">
        <f>_xlfn.IFNA(VLOOKUP('Comp X - UP'!B759,'Urban Plastix Holds'!$I$36:$U$498,6,0),0)</f>
        <v>0</v>
      </c>
      <c r="G759" s="2">
        <f t="shared" si="54"/>
        <v>0</v>
      </c>
      <c r="H759" s="2">
        <f t="shared" si="55"/>
        <v>0</v>
      </c>
    </row>
    <row r="760" spans="2:8">
      <c r="B760" s="3" t="s">
        <v>2927</v>
      </c>
      <c r="C760" s="3" t="s">
        <v>2928</v>
      </c>
      <c r="D760" s="7" t="str">
        <f t="shared" si="56"/>
        <v>15-12</v>
      </c>
      <c r="E760" s="1">
        <f>_xlfn.IFNA(VLOOKUP('Comp X - UP'!B760,'Urban Plastix Holds'!$I$36:$U$498,7,0),0)</f>
        <v>0</v>
      </c>
      <c r="G760" s="2">
        <f t="shared" si="54"/>
        <v>0</v>
      </c>
      <c r="H760" s="2">
        <f t="shared" si="55"/>
        <v>0</v>
      </c>
    </row>
    <row r="761" spans="2:8">
      <c r="B761" s="3" t="s">
        <v>2927</v>
      </c>
      <c r="C761" s="3" t="s">
        <v>2928</v>
      </c>
      <c r="D761" s="8" t="str">
        <f t="shared" si="56"/>
        <v>16-16</v>
      </c>
      <c r="E761" s="1">
        <f>_xlfn.IFNA(VLOOKUP('Comp X - UP'!B761,'Urban Plastix Holds'!$I$36:$U$498,8,0),0)</f>
        <v>0</v>
      </c>
      <c r="G761" s="2">
        <f t="shared" si="54"/>
        <v>0</v>
      </c>
      <c r="H761" s="2">
        <f t="shared" si="55"/>
        <v>0</v>
      </c>
    </row>
    <row r="762" spans="2:8">
      <c r="B762" s="3" t="s">
        <v>2927</v>
      </c>
      <c r="C762" s="3" t="s">
        <v>2928</v>
      </c>
      <c r="D762" s="9" t="str">
        <f t="shared" si="56"/>
        <v>13-01</v>
      </c>
      <c r="E762" s="1">
        <f>_xlfn.IFNA(VLOOKUP('Comp X - UP'!B762,'Urban Plastix Holds'!$I$36:$U$498,9,0),0)</f>
        <v>0</v>
      </c>
      <c r="G762" s="2">
        <f t="shared" si="54"/>
        <v>0</v>
      </c>
      <c r="H762" s="2">
        <f t="shared" si="55"/>
        <v>0</v>
      </c>
    </row>
    <row r="763" spans="2:8">
      <c r="B763" s="3" t="s">
        <v>2927</v>
      </c>
      <c r="C763" s="3" t="s">
        <v>2928</v>
      </c>
      <c r="D763" s="10" t="str">
        <f t="shared" si="56"/>
        <v>07-13</v>
      </c>
      <c r="E763" s="1">
        <f>_xlfn.IFNA(VLOOKUP('Comp X - UP'!B763,'Urban Plastix Holds'!$I$36:$U$498,10,0),0)</f>
        <v>0</v>
      </c>
      <c r="G763" s="2">
        <f t="shared" si="54"/>
        <v>0</v>
      </c>
      <c r="H763" s="2">
        <f t="shared" si="55"/>
        <v>0</v>
      </c>
    </row>
    <row r="764" spans="2:8">
      <c r="B764" s="3" t="s">
        <v>2927</v>
      </c>
      <c r="C764" s="3" t="s">
        <v>2928</v>
      </c>
      <c r="D764" s="11" t="str">
        <f t="shared" si="56"/>
        <v>11-25</v>
      </c>
      <c r="E764" s="1">
        <f>_xlfn.IFNA(VLOOKUP('Comp X - UP'!B764,'Urban Plastix Holds'!$I$36:$U$498,11,0),0)</f>
        <v>0</v>
      </c>
      <c r="G764" s="2">
        <f t="shared" si="54"/>
        <v>0</v>
      </c>
      <c r="H764" s="2">
        <f t="shared" si="55"/>
        <v>0</v>
      </c>
    </row>
    <row r="765" spans="2:8">
      <c r="B765" s="3" t="s">
        <v>2927</v>
      </c>
      <c r="C765" s="3" t="s">
        <v>2928</v>
      </c>
      <c r="D765" s="13" t="str">
        <f t="shared" si="56"/>
        <v>18-01</v>
      </c>
      <c r="E765" s="1">
        <f>_xlfn.IFNA(VLOOKUP('Comp X - UP'!B765,'Urban Plastix Holds'!$I$36:$U$498,12,0),0)</f>
        <v>0</v>
      </c>
      <c r="G765" s="2">
        <f t="shared" si="54"/>
        <v>0</v>
      </c>
      <c r="H765" s="2">
        <f t="shared" si="55"/>
        <v>0</v>
      </c>
    </row>
    <row r="766" spans="2:8">
      <c r="B766" s="3" t="s">
        <v>2927</v>
      </c>
      <c r="C766" s="3" t="s">
        <v>2928</v>
      </c>
      <c r="D766" s="12" t="str">
        <f t="shared" si="56"/>
        <v>12-01</v>
      </c>
      <c r="E766" s="1">
        <f>_xlfn.IFNA(VLOOKUP('Comp X - UP'!B766,'Urban Plastix Holds'!$I$36:$U$498,13,0),0)</f>
        <v>0</v>
      </c>
      <c r="G766" s="2">
        <f t="shared" si="54"/>
        <v>0</v>
      </c>
      <c r="H766" s="2">
        <f t="shared" si="55"/>
        <v>0</v>
      </c>
    </row>
    <row r="767" spans="2:8">
      <c r="B767" s="3" t="s">
        <v>2929</v>
      </c>
      <c r="C767" s="3" t="s">
        <v>2930</v>
      </c>
      <c r="D767" s="5" t="str">
        <f t="shared" si="56"/>
        <v>11-12</v>
      </c>
      <c r="E767" s="1">
        <f>_xlfn.IFNA(VLOOKUP('Comp X - UP'!B767,'Urban Plastix Holds'!$I$36:$U$498,5,0),0)</f>
        <v>0</v>
      </c>
      <c r="G767" s="2">
        <f t="shared" si="54"/>
        <v>0</v>
      </c>
      <c r="H767" s="2">
        <f t="shared" si="55"/>
        <v>0</v>
      </c>
    </row>
    <row r="768" spans="2:8">
      <c r="B768" s="3" t="s">
        <v>2929</v>
      </c>
      <c r="C768" s="3" t="s">
        <v>2930</v>
      </c>
      <c r="D768" s="6" t="str">
        <f t="shared" si="56"/>
        <v>14-01</v>
      </c>
      <c r="E768" s="1">
        <f>_xlfn.IFNA(VLOOKUP('Comp X - UP'!B768,'Urban Plastix Holds'!$I$36:$U$498,6,0),0)</f>
        <v>0</v>
      </c>
      <c r="G768" s="2">
        <f t="shared" si="54"/>
        <v>0</v>
      </c>
      <c r="H768" s="2">
        <f t="shared" si="55"/>
        <v>0</v>
      </c>
    </row>
    <row r="769" spans="2:8">
      <c r="B769" s="3" t="s">
        <v>2929</v>
      </c>
      <c r="C769" s="3" t="s">
        <v>2930</v>
      </c>
      <c r="D769" s="7" t="str">
        <f t="shared" si="56"/>
        <v>15-12</v>
      </c>
      <c r="E769" s="1">
        <f>_xlfn.IFNA(VLOOKUP('Comp X - UP'!B769,'Urban Plastix Holds'!$I$36:$U$498,7,0),0)</f>
        <v>0</v>
      </c>
      <c r="G769" s="2">
        <f t="shared" si="54"/>
        <v>0</v>
      </c>
      <c r="H769" s="2">
        <f t="shared" si="55"/>
        <v>0</v>
      </c>
    </row>
    <row r="770" spans="2:8">
      <c r="B770" s="3" t="s">
        <v>2929</v>
      </c>
      <c r="C770" s="3" t="s">
        <v>2930</v>
      </c>
      <c r="D770" s="8" t="str">
        <f t="shared" si="56"/>
        <v>16-16</v>
      </c>
      <c r="E770" s="1">
        <f>_xlfn.IFNA(VLOOKUP('Comp X - UP'!B770,'Urban Plastix Holds'!$I$36:$U$498,8,0),0)</f>
        <v>0</v>
      </c>
      <c r="G770" s="2">
        <f t="shared" si="54"/>
        <v>0</v>
      </c>
      <c r="H770" s="2">
        <f t="shared" si="55"/>
        <v>0</v>
      </c>
    </row>
    <row r="771" spans="2:8">
      <c r="B771" s="3" t="s">
        <v>2929</v>
      </c>
      <c r="C771" s="3" t="s">
        <v>2930</v>
      </c>
      <c r="D771" s="9" t="str">
        <f t="shared" si="56"/>
        <v>13-01</v>
      </c>
      <c r="E771" s="1">
        <f>_xlfn.IFNA(VLOOKUP('Comp X - UP'!B771,'Urban Plastix Holds'!$I$36:$U$498,9,0),0)</f>
        <v>0</v>
      </c>
      <c r="G771" s="2">
        <f t="shared" si="54"/>
        <v>0</v>
      </c>
      <c r="H771" s="2">
        <f t="shared" si="55"/>
        <v>0</v>
      </c>
    </row>
    <row r="772" spans="2:8">
      <c r="B772" s="3" t="s">
        <v>2929</v>
      </c>
      <c r="C772" s="3" t="s">
        <v>2930</v>
      </c>
      <c r="D772" s="10" t="str">
        <f t="shared" si="56"/>
        <v>07-13</v>
      </c>
      <c r="E772" s="1">
        <f>_xlfn.IFNA(VLOOKUP('Comp X - UP'!B772,'Urban Plastix Holds'!$I$36:$U$498,10,0),0)</f>
        <v>0</v>
      </c>
      <c r="G772" s="2">
        <f t="shared" si="54"/>
        <v>0</v>
      </c>
      <c r="H772" s="2">
        <f t="shared" si="55"/>
        <v>0</v>
      </c>
    </row>
    <row r="773" spans="2:8">
      <c r="B773" s="3" t="s">
        <v>2929</v>
      </c>
      <c r="C773" s="3" t="s">
        <v>2930</v>
      </c>
      <c r="D773" s="11" t="str">
        <f t="shared" si="56"/>
        <v>11-25</v>
      </c>
      <c r="E773" s="1">
        <f>_xlfn.IFNA(VLOOKUP('Comp X - UP'!B773,'Urban Plastix Holds'!$I$36:$U$498,11,0),0)</f>
        <v>0</v>
      </c>
      <c r="G773" s="2">
        <f t="shared" si="54"/>
        <v>0</v>
      </c>
      <c r="H773" s="2">
        <f t="shared" si="55"/>
        <v>0</v>
      </c>
    </row>
    <row r="774" spans="2:8">
      <c r="B774" s="3" t="s">
        <v>2929</v>
      </c>
      <c r="C774" s="3" t="s">
        <v>2930</v>
      </c>
      <c r="D774" s="13" t="str">
        <f t="shared" si="56"/>
        <v>18-01</v>
      </c>
      <c r="E774" s="1">
        <f>_xlfn.IFNA(VLOOKUP('Comp X - UP'!B774,'Urban Plastix Holds'!$I$36:$U$498,12,0),0)</f>
        <v>0</v>
      </c>
      <c r="G774" s="2">
        <f t="shared" si="54"/>
        <v>0</v>
      </c>
      <c r="H774" s="2">
        <f t="shared" si="55"/>
        <v>0</v>
      </c>
    </row>
    <row r="775" spans="2:8">
      <c r="B775" s="3" t="s">
        <v>2929</v>
      </c>
      <c r="C775" s="3" t="s">
        <v>2930</v>
      </c>
      <c r="D775" s="12" t="str">
        <f t="shared" si="56"/>
        <v>12-01</v>
      </c>
      <c r="E775" s="1">
        <f>_xlfn.IFNA(VLOOKUP('Comp X - UP'!B775,'Urban Plastix Holds'!$I$36:$U$498,13,0),0)</f>
        <v>0</v>
      </c>
      <c r="G775" s="2">
        <f t="shared" si="54"/>
        <v>0</v>
      </c>
      <c r="H775" s="2">
        <f t="shared" si="55"/>
        <v>0</v>
      </c>
    </row>
    <row r="776" spans="2:8">
      <c r="B776" s="3" t="s">
        <v>2821</v>
      </c>
      <c r="C776" s="3" t="s">
        <v>2826</v>
      </c>
      <c r="D776" s="5" t="str">
        <f t="shared" ref="D776:D811" si="57">D569</f>
        <v>11-12</v>
      </c>
      <c r="E776" s="1">
        <f>_xlfn.IFNA(VLOOKUP('Comp X - UP'!B776,'Urban Plastix Holds'!$I$36:$U$498,5,0),0)</f>
        <v>0</v>
      </c>
      <c r="G776" s="2">
        <f t="shared" si="34"/>
        <v>0</v>
      </c>
      <c r="H776" s="2">
        <f t="shared" si="35"/>
        <v>0</v>
      </c>
    </row>
    <row r="777" spans="2:8">
      <c r="B777" s="3" t="s">
        <v>2821</v>
      </c>
      <c r="C777" s="3" t="s">
        <v>2826</v>
      </c>
      <c r="D777" s="6" t="str">
        <f t="shared" si="57"/>
        <v>14-01</v>
      </c>
      <c r="E777" s="1">
        <f>_xlfn.IFNA(VLOOKUP('Comp X - UP'!B777,'Urban Plastix Holds'!$I$36:$U$498,6,0),0)</f>
        <v>0</v>
      </c>
      <c r="G777" s="2">
        <f t="shared" si="34"/>
        <v>0</v>
      </c>
      <c r="H777" s="2">
        <f t="shared" si="35"/>
        <v>0</v>
      </c>
    </row>
    <row r="778" spans="2:8">
      <c r="B778" s="3" t="s">
        <v>2821</v>
      </c>
      <c r="C778" s="3" t="s">
        <v>2826</v>
      </c>
      <c r="D778" s="7" t="str">
        <f t="shared" si="57"/>
        <v>15-12</v>
      </c>
      <c r="E778" s="1">
        <f>_xlfn.IFNA(VLOOKUP('Comp X - UP'!B778,'Urban Plastix Holds'!$I$36:$U$498,7,0),0)</f>
        <v>0</v>
      </c>
      <c r="G778" s="2">
        <f t="shared" si="34"/>
        <v>0</v>
      </c>
      <c r="H778" s="2">
        <f t="shared" si="35"/>
        <v>0</v>
      </c>
    </row>
    <row r="779" spans="2:8">
      <c r="B779" s="3" t="s">
        <v>2821</v>
      </c>
      <c r="C779" s="3" t="s">
        <v>2826</v>
      </c>
      <c r="D779" s="8" t="str">
        <f t="shared" si="57"/>
        <v>16-16</v>
      </c>
      <c r="E779" s="1">
        <f>_xlfn.IFNA(VLOOKUP('Comp X - UP'!B779,'Urban Plastix Holds'!$I$36:$U$498,8,0),0)</f>
        <v>0</v>
      </c>
      <c r="G779" s="2">
        <f t="shared" si="34"/>
        <v>0</v>
      </c>
      <c r="H779" s="2">
        <f t="shared" si="35"/>
        <v>0</v>
      </c>
    </row>
    <row r="780" spans="2:8">
      <c r="B780" s="3" t="s">
        <v>2821</v>
      </c>
      <c r="C780" s="3" t="s">
        <v>2826</v>
      </c>
      <c r="D780" s="9" t="str">
        <f t="shared" si="57"/>
        <v>13-01</v>
      </c>
      <c r="E780" s="1">
        <f>_xlfn.IFNA(VLOOKUP('Comp X - UP'!B780,'Urban Plastix Holds'!$I$36:$U$498,9,0),0)</f>
        <v>0</v>
      </c>
      <c r="G780" s="2">
        <f t="shared" si="34"/>
        <v>0</v>
      </c>
      <c r="H780" s="2">
        <f t="shared" si="35"/>
        <v>0</v>
      </c>
    </row>
    <row r="781" spans="2:8">
      <c r="B781" s="3" t="s">
        <v>2821</v>
      </c>
      <c r="C781" s="3" t="s">
        <v>2826</v>
      </c>
      <c r="D781" s="10" t="str">
        <f t="shared" si="57"/>
        <v>07-13</v>
      </c>
      <c r="E781" s="1">
        <f>_xlfn.IFNA(VLOOKUP('Comp X - UP'!B781,'Urban Plastix Holds'!$I$36:$U$498,10,0),0)</f>
        <v>0</v>
      </c>
      <c r="G781" s="2">
        <f t="shared" si="34"/>
        <v>0</v>
      </c>
      <c r="H781" s="2">
        <f t="shared" si="35"/>
        <v>0</v>
      </c>
    </row>
    <row r="782" spans="2:8">
      <c r="B782" s="3" t="s">
        <v>2821</v>
      </c>
      <c r="C782" s="3" t="s">
        <v>2826</v>
      </c>
      <c r="D782" s="11" t="str">
        <f t="shared" si="57"/>
        <v>11-25</v>
      </c>
      <c r="E782" s="1">
        <f>_xlfn.IFNA(VLOOKUP('Comp X - UP'!B782,'Urban Plastix Holds'!$I$36:$U$498,11,0),0)</f>
        <v>0</v>
      </c>
      <c r="G782" s="2">
        <f t="shared" si="34"/>
        <v>0</v>
      </c>
      <c r="H782" s="2">
        <f t="shared" si="35"/>
        <v>0</v>
      </c>
    </row>
    <row r="783" spans="2:8">
      <c r="B783" s="3" t="s">
        <v>2821</v>
      </c>
      <c r="C783" s="3" t="s">
        <v>2826</v>
      </c>
      <c r="D783" s="13" t="str">
        <f t="shared" si="57"/>
        <v>18-01</v>
      </c>
      <c r="E783" s="1">
        <f>_xlfn.IFNA(VLOOKUP('Comp X - UP'!B783,'Urban Plastix Holds'!$I$36:$U$498,12,0),0)</f>
        <v>0</v>
      </c>
      <c r="G783" s="2">
        <f t="shared" si="34"/>
        <v>0</v>
      </c>
      <c r="H783" s="2">
        <f t="shared" si="35"/>
        <v>0</v>
      </c>
    </row>
    <row r="784" spans="2:8">
      <c r="B784" s="3" t="s">
        <v>2821</v>
      </c>
      <c r="C784" s="3" t="s">
        <v>2826</v>
      </c>
      <c r="D784" s="12" t="str">
        <f t="shared" si="57"/>
        <v>12-01</v>
      </c>
      <c r="E784" s="1">
        <f>_xlfn.IFNA(VLOOKUP('Comp X - UP'!B784,'Urban Plastix Holds'!$I$36:$U$498,13,0),0)</f>
        <v>0</v>
      </c>
      <c r="G784" s="2">
        <f t="shared" si="34"/>
        <v>0</v>
      </c>
      <c r="H784" s="2">
        <f t="shared" si="35"/>
        <v>0</v>
      </c>
    </row>
    <row r="785" spans="2:8">
      <c r="B785" s="3" t="s">
        <v>2956</v>
      </c>
      <c r="C785" s="3" t="s">
        <v>2957</v>
      </c>
      <c r="D785" s="5" t="str">
        <f t="shared" si="57"/>
        <v>11-12</v>
      </c>
      <c r="E785" s="1">
        <f>_xlfn.IFNA(VLOOKUP('Comp X - UP'!B785,'Urban Plastix Holds'!$I$36:$U$498,5,0),0)</f>
        <v>0</v>
      </c>
      <c r="G785" s="2">
        <f t="shared" ref="G785:G793" si="58">E785*F785</f>
        <v>0</v>
      </c>
      <c r="H785" s="2">
        <f t="shared" ref="H785:H793" si="59">IF($S$11="Y",G785*0.15,0)</f>
        <v>0</v>
      </c>
    </row>
    <row r="786" spans="2:8">
      <c r="B786" s="3" t="s">
        <v>2956</v>
      </c>
      <c r="C786" s="3" t="s">
        <v>2957</v>
      </c>
      <c r="D786" s="6" t="str">
        <f t="shared" si="57"/>
        <v>14-01</v>
      </c>
      <c r="E786" s="1">
        <f>_xlfn.IFNA(VLOOKUP('Comp X - UP'!B786,'Urban Plastix Holds'!$I$36:$U$498,6,0),0)</f>
        <v>0</v>
      </c>
      <c r="G786" s="2">
        <f t="shared" si="58"/>
        <v>0</v>
      </c>
      <c r="H786" s="2">
        <f t="shared" si="59"/>
        <v>0</v>
      </c>
    </row>
    <row r="787" spans="2:8">
      <c r="B787" s="3" t="s">
        <v>2956</v>
      </c>
      <c r="C787" s="3" t="s">
        <v>2957</v>
      </c>
      <c r="D787" s="7" t="str">
        <f t="shared" si="57"/>
        <v>15-12</v>
      </c>
      <c r="E787" s="1">
        <f>_xlfn.IFNA(VLOOKUP('Comp X - UP'!B787,'Urban Plastix Holds'!$I$36:$U$498,7,0),0)</f>
        <v>0</v>
      </c>
      <c r="G787" s="2">
        <f t="shared" si="58"/>
        <v>0</v>
      </c>
      <c r="H787" s="2">
        <f t="shared" si="59"/>
        <v>0</v>
      </c>
    </row>
    <row r="788" spans="2:8">
      <c r="B788" s="3" t="s">
        <v>2956</v>
      </c>
      <c r="C788" s="3" t="s">
        <v>2957</v>
      </c>
      <c r="D788" s="8" t="str">
        <f t="shared" si="57"/>
        <v>16-16</v>
      </c>
      <c r="E788" s="1">
        <f>_xlfn.IFNA(VLOOKUP('Comp X - UP'!B788,'Urban Plastix Holds'!$I$36:$U$498,8,0),0)</f>
        <v>0</v>
      </c>
      <c r="G788" s="2">
        <f t="shared" si="58"/>
        <v>0</v>
      </c>
      <c r="H788" s="2">
        <f t="shared" si="59"/>
        <v>0</v>
      </c>
    </row>
    <row r="789" spans="2:8">
      <c r="B789" s="3" t="s">
        <v>2956</v>
      </c>
      <c r="C789" s="3" t="s">
        <v>2957</v>
      </c>
      <c r="D789" s="9" t="str">
        <f t="shared" si="57"/>
        <v>13-01</v>
      </c>
      <c r="E789" s="1">
        <f>_xlfn.IFNA(VLOOKUP('Comp X - UP'!B789,'Urban Plastix Holds'!$I$36:$U$498,9,0),0)</f>
        <v>0</v>
      </c>
      <c r="G789" s="2">
        <f t="shared" si="58"/>
        <v>0</v>
      </c>
      <c r="H789" s="2">
        <f t="shared" si="59"/>
        <v>0</v>
      </c>
    </row>
    <row r="790" spans="2:8">
      <c r="B790" s="3" t="s">
        <v>2956</v>
      </c>
      <c r="C790" s="3" t="s">
        <v>2957</v>
      </c>
      <c r="D790" s="10" t="str">
        <f t="shared" si="57"/>
        <v>07-13</v>
      </c>
      <c r="E790" s="1">
        <f>_xlfn.IFNA(VLOOKUP('Comp X - UP'!B790,'Urban Plastix Holds'!$I$36:$U$498,10,0),0)</f>
        <v>0</v>
      </c>
      <c r="G790" s="2">
        <f t="shared" si="58"/>
        <v>0</v>
      </c>
      <c r="H790" s="2">
        <f t="shared" si="59"/>
        <v>0</v>
      </c>
    </row>
    <row r="791" spans="2:8">
      <c r="B791" s="3" t="s">
        <v>2956</v>
      </c>
      <c r="C791" s="3" t="s">
        <v>2957</v>
      </c>
      <c r="D791" s="11" t="str">
        <f t="shared" si="57"/>
        <v>11-25</v>
      </c>
      <c r="E791" s="1">
        <f>_xlfn.IFNA(VLOOKUP('Comp X - UP'!B791,'Urban Plastix Holds'!$I$36:$U$498,11,0),0)</f>
        <v>0</v>
      </c>
      <c r="G791" s="2">
        <f t="shared" si="58"/>
        <v>0</v>
      </c>
      <c r="H791" s="2">
        <f t="shared" si="59"/>
        <v>0</v>
      </c>
    </row>
    <row r="792" spans="2:8">
      <c r="B792" s="3" t="s">
        <v>2956</v>
      </c>
      <c r="C792" s="3" t="s">
        <v>2957</v>
      </c>
      <c r="D792" s="13" t="str">
        <f t="shared" si="57"/>
        <v>18-01</v>
      </c>
      <c r="E792" s="1">
        <f>_xlfn.IFNA(VLOOKUP('Comp X - UP'!B792,'Urban Plastix Holds'!$I$36:$U$498,12,0),0)</f>
        <v>0</v>
      </c>
      <c r="G792" s="2">
        <f t="shared" si="58"/>
        <v>0</v>
      </c>
      <c r="H792" s="2">
        <f t="shared" si="59"/>
        <v>0</v>
      </c>
    </row>
    <row r="793" spans="2:8">
      <c r="B793" s="3" t="s">
        <v>2956</v>
      </c>
      <c r="C793" s="3" t="s">
        <v>2957</v>
      </c>
      <c r="D793" s="12" t="str">
        <f t="shared" si="57"/>
        <v>12-01</v>
      </c>
      <c r="E793" s="1">
        <f>_xlfn.IFNA(VLOOKUP('Comp X - UP'!B793,'Urban Plastix Holds'!$I$36:$U$498,13,0),0)</f>
        <v>0</v>
      </c>
      <c r="G793" s="2">
        <f t="shared" si="58"/>
        <v>0</v>
      </c>
      <c r="H793" s="2">
        <f t="shared" si="59"/>
        <v>0</v>
      </c>
    </row>
    <row r="794" spans="2:8">
      <c r="B794" s="3" t="s">
        <v>3116</v>
      </c>
      <c r="C794" s="3" t="s">
        <v>3120</v>
      </c>
      <c r="D794" s="5" t="str">
        <f t="shared" si="57"/>
        <v>11-12</v>
      </c>
      <c r="E794" s="1">
        <f>_xlfn.IFNA(VLOOKUP('Comp X - UP'!B794,'Urban Plastix Holds'!$I$36:$U$498,5,0),0)</f>
        <v>0</v>
      </c>
      <c r="G794" s="2">
        <f t="shared" ref="G794:G802" si="60">E794*F794</f>
        <v>0</v>
      </c>
      <c r="H794" s="2">
        <f t="shared" ref="H794:H802" si="61">IF($S$11="Y",G794*0.15,0)</f>
        <v>0</v>
      </c>
    </row>
    <row r="795" spans="2:8">
      <c r="B795" s="3" t="s">
        <v>3116</v>
      </c>
      <c r="C795" s="3" t="s">
        <v>3120</v>
      </c>
      <c r="D795" s="6" t="str">
        <f t="shared" si="57"/>
        <v>14-01</v>
      </c>
      <c r="E795" s="1">
        <f>_xlfn.IFNA(VLOOKUP('Comp X - UP'!B795,'Urban Plastix Holds'!$I$36:$U$498,6,0),0)</f>
        <v>0</v>
      </c>
      <c r="G795" s="2">
        <f t="shared" si="60"/>
        <v>0</v>
      </c>
      <c r="H795" s="2">
        <f t="shared" si="61"/>
        <v>0</v>
      </c>
    </row>
    <row r="796" spans="2:8">
      <c r="B796" s="3" t="s">
        <v>3116</v>
      </c>
      <c r="C796" s="3" t="s">
        <v>3120</v>
      </c>
      <c r="D796" s="7" t="str">
        <f t="shared" si="57"/>
        <v>15-12</v>
      </c>
      <c r="E796" s="1">
        <f>_xlfn.IFNA(VLOOKUP('Comp X - UP'!B796,'Urban Plastix Holds'!$I$36:$U$498,7,0),0)</f>
        <v>0</v>
      </c>
      <c r="G796" s="2">
        <f t="shared" si="60"/>
        <v>0</v>
      </c>
      <c r="H796" s="2">
        <f t="shared" si="61"/>
        <v>0</v>
      </c>
    </row>
    <row r="797" spans="2:8">
      <c r="B797" s="3" t="s">
        <v>3116</v>
      </c>
      <c r="C797" s="3" t="s">
        <v>3120</v>
      </c>
      <c r="D797" s="8" t="str">
        <f t="shared" si="57"/>
        <v>16-16</v>
      </c>
      <c r="E797" s="1">
        <f>_xlfn.IFNA(VLOOKUP('Comp X - UP'!B797,'Urban Plastix Holds'!$I$36:$U$498,8,0),0)</f>
        <v>0</v>
      </c>
      <c r="G797" s="2">
        <f t="shared" si="60"/>
        <v>0</v>
      </c>
      <c r="H797" s="2">
        <f t="shared" si="61"/>
        <v>0</v>
      </c>
    </row>
    <row r="798" spans="2:8">
      <c r="B798" s="3" t="s">
        <v>3116</v>
      </c>
      <c r="C798" s="3" t="s">
        <v>3120</v>
      </c>
      <c r="D798" s="9" t="str">
        <f t="shared" si="57"/>
        <v>13-01</v>
      </c>
      <c r="E798" s="1">
        <f>_xlfn.IFNA(VLOOKUP('Comp X - UP'!B798,'Urban Plastix Holds'!$I$36:$U$498,9,0),0)</f>
        <v>0</v>
      </c>
      <c r="G798" s="2">
        <f t="shared" si="60"/>
        <v>0</v>
      </c>
      <c r="H798" s="2">
        <f t="shared" si="61"/>
        <v>0</v>
      </c>
    </row>
    <row r="799" spans="2:8">
      <c r="B799" s="3" t="s">
        <v>3116</v>
      </c>
      <c r="C799" s="3" t="s">
        <v>3120</v>
      </c>
      <c r="D799" s="10" t="str">
        <f t="shared" si="57"/>
        <v>07-13</v>
      </c>
      <c r="E799" s="1">
        <f>_xlfn.IFNA(VLOOKUP('Comp X - UP'!B799,'Urban Plastix Holds'!$I$36:$U$498,10,0),0)</f>
        <v>0</v>
      </c>
      <c r="G799" s="2">
        <f t="shared" si="60"/>
        <v>0</v>
      </c>
      <c r="H799" s="2">
        <f t="shared" si="61"/>
        <v>0</v>
      </c>
    </row>
    <row r="800" spans="2:8">
      <c r="B800" s="3" t="s">
        <v>3116</v>
      </c>
      <c r="C800" s="3" t="s">
        <v>3120</v>
      </c>
      <c r="D800" s="11" t="str">
        <f t="shared" si="57"/>
        <v>11-25</v>
      </c>
      <c r="E800" s="1">
        <f>_xlfn.IFNA(VLOOKUP('Comp X - UP'!B800,'Urban Plastix Holds'!$I$36:$U$498,11,0),0)</f>
        <v>0</v>
      </c>
      <c r="G800" s="2">
        <f t="shared" si="60"/>
        <v>0</v>
      </c>
      <c r="H800" s="2">
        <f t="shared" si="61"/>
        <v>0</v>
      </c>
    </row>
    <row r="801" spans="2:8">
      <c r="B801" s="3" t="s">
        <v>3116</v>
      </c>
      <c r="C801" s="3" t="s">
        <v>3120</v>
      </c>
      <c r="D801" s="13" t="str">
        <f t="shared" si="57"/>
        <v>18-01</v>
      </c>
      <c r="E801" s="1">
        <f>_xlfn.IFNA(VLOOKUP('Comp X - UP'!B801,'Urban Plastix Holds'!$I$36:$U$498,12,0),0)</f>
        <v>0</v>
      </c>
      <c r="G801" s="2">
        <f t="shared" si="60"/>
        <v>0</v>
      </c>
      <c r="H801" s="2">
        <f t="shared" si="61"/>
        <v>0</v>
      </c>
    </row>
    <row r="802" spans="2:8">
      <c r="B802" s="3" t="s">
        <v>3116</v>
      </c>
      <c r="C802" s="3" t="s">
        <v>3120</v>
      </c>
      <c r="D802" s="12" t="str">
        <f t="shared" si="57"/>
        <v>12-01</v>
      </c>
      <c r="E802" s="1">
        <f>_xlfn.IFNA(VLOOKUP('Comp X - UP'!B802,'Urban Plastix Holds'!$I$36:$U$498,13,0),0)</f>
        <v>0</v>
      </c>
      <c r="G802" s="2">
        <f t="shared" si="60"/>
        <v>0</v>
      </c>
      <c r="H802" s="2">
        <f t="shared" si="61"/>
        <v>0</v>
      </c>
    </row>
    <row r="803" spans="2:8">
      <c r="B803" s="3" t="s">
        <v>3119</v>
      </c>
      <c r="C803" s="3" t="s">
        <v>3121</v>
      </c>
      <c r="D803" s="5" t="str">
        <f t="shared" si="57"/>
        <v>11-12</v>
      </c>
      <c r="E803" s="1">
        <f>_xlfn.IFNA(VLOOKUP('Comp X - UP'!B803,'Urban Plastix Holds'!$I$36:$U$498,5,0),0)</f>
        <v>0</v>
      </c>
      <c r="G803" s="2">
        <f t="shared" ref="G803:G811" si="62">E803*F803</f>
        <v>0</v>
      </c>
      <c r="H803" s="2">
        <f t="shared" ref="H803:H811" si="63">IF($S$11="Y",G803*0.15,0)</f>
        <v>0</v>
      </c>
    </row>
    <row r="804" spans="2:8">
      <c r="B804" s="3" t="s">
        <v>3119</v>
      </c>
      <c r="C804" s="3" t="s">
        <v>3121</v>
      </c>
      <c r="D804" s="6" t="str">
        <f t="shared" si="57"/>
        <v>14-01</v>
      </c>
      <c r="E804" s="1">
        <f>_xlfn.IFNA(VLOOKUP('Comp X - UP'!B804,'Urban Plastix Holds'!$I$36:$U$498,6,0),0)</f>
        <v>0</v>
      </c>
      <c r="G804" s="2">
        <f t="shared" si="62"/>
        <v>0</v>
      </c>
      <c r="H804" s="2">
        <f t="shared" si="63"/>
        <v>0</v>
      </c>
    </row>
    <row r="805" spans="2:8">
      <c r="B805" s="3" t="s">
        <v>3119</v>
      </c>
      <c r="C805" s="3" t="s">
        <v>3121</v>
      </c>
      <c r="D805" s="7" t="str">
        <f t="shared" si="57"/>
        <v>15-12</v>
      </c>
      <c r="E805" s="1">
        <f>_xlfn.IFNA(VLOOKUP('Comp X - UP'!B805,'Urban Plastix Holds'!$I$36:$U$498,7,0),0)</f>
        <v>0</v>
      </c>
      <c r="G805" s="2">
        <f t="shared" si="62"/>
        <v>0</v>
      </c>
      <c r="H805" s="2">
        <f t="shared" si="63"/>
        <v>0</v>
      </c>
    </row>
    <row r="806" spans="2:8">
      <c r="B806" s="3" t="s">
        <v>3119</v>
      </c>
      <c r="C806" s="3" t="s">
        <v>3121</v>
      </c>
      <c r="D806" s="8" t="str">
        <f t="shared" si="57"/>
        <v>16-16</v>
      </c>
      <c r="E806" s="1">
        <f>_xlfn.IFNA(VLOOKUP('Comp X - UP'!B806,'Urban Plastix Holds'!$I$36:$U$498,8,0),0)</f>
        <v>0</v>
      </c>
      <c r="G806" s="2">
        <f t="shared" si="62"/>
        <v>0</v>
      </c>
      <c r="H806" s="2">
        <f t="shared" si="63"/>
        <v>0</v>
      </c>
    </row>
    <row r="807" spans="2:8">
      <c r="B807" s="3" t="s">
        <v>3119</v>
      </c>
      <c r="C807" s="3" t="s">
        <v>3121</v>
      </c>
      <c r="D807" s="9" t="str">
        <f t="shared" si="57"/>
        <v>13-01</v>
      </c>
      <c r="E807" s="1">
        <f>_xlfn.IFNA(VLOOKUP('Comp X - UP'!B807,'Urban Plastix Holds'!$I$36:$U$498,9,0),0)</f>
        <v>0</v>
      </c>
      <c r="G807" s="2">
        <f t="shared" si="62"/>
        <v>0</v>
      </c>
      <c r="H807" s="2">
        <f t="shared" si="63"/>
        <v>0</v>
      </c>
    </row>
    <row r="808" spans="2:8">
      <c r="B808" s="3" t="s">
        <v>3119</v>
      </c>
      <c r="C808" s="3" t="s">
        <v>3121</v>
      </c>
      <c r="D808" s="10" t="str">
        <f t="shared" si="57"/>
        <v>07-13</v>
      </c>
      <c r="E808" s="1">
        <f>_xlfn.IFNA(VLOOKUP('Comp X - UP'!B808,'Urban Plastix Holds'!$I$36:$U$498,10,0),0)</f>
        <v>0</v>
      </c>
      <c r="G808" s="2">
        <f t="shared" si="62"/>
        <v>0</v>
      </c>
      <c r="H808" s="2">
        <f t="shared" si="63"/>
        <v>0</v>
      </c>
    </row>
    <row r="809" spans="2:8">
      <c r="B809" s="3" t="s">
        <v>3119</v>
      </c>
      <c r="C809" s="3" t="s">
        <v>3121</v>
      </c>
      <c r="D809" s="11" t="str">
        <f t="shared" si="57"/>
        <v>11-25</v>
      </c>
      <c r="E809" s="1">
        <f>_xlfn.IFNA(VLOOKUP('Comp X - UP'!B809,'Urban Plastix Holds'!$I$36:$U$498,11,0),0)</f>
        <v>0</v>
      </c>
      <c r="G809" s="2">
        <f t="shared" si="62"/>
        <v>0</v>
      </c>
      <c r="H809" s="2">
        <f t="shared" si="63"/>
        <v>0</v>
      </c>
    </row>
    <row r="810" spans="2:8">
      <c r="B810" s="3" t="s">
        <v>3119</v>
      </c>
      <c r="C810" s="3" t="s">
        <v>3121</v>
      </c>
      <c r="D810" s="13" t="str">
        <f t="shared" si="57"/>
        <v>18-01</v>
      </c>
      <c r="E810" s="1">
        <f>_xlfn.IFNA(VLOOKUP('Comp X - UP'!B810,'Urban Plastix Holds'!$I$36:$U$498,12,0),0)</f>
        <v>0</v>
      </c>
      <c r="G810" s="2">
        <f t="shared" si="62"/>
        <v>0</v>
      </c>
      <c r="H810" s="2">
        <f t="shared" si="63"/>
        <v>0</v>
      </c>
    </row>
    <row r="811" spans="2:8">
      <c r="B811" s="3" t="s">
        <v>3119</v>
      </c>
      <c r="C811" s="3" t="s">
        <v>3121</v>
      </c>
      <c r="D811" s="12" t="str">
        <f t="shared" si="57"/>
        <v>12-01</v>
      </c>
      <c r="E811" s="1">
        <f>_xlfn.IFNA(VLOOKUP('Comp X - UP'!B811,'Urban Plastix Holds'!$I$36:$U$498,13,0),0)</f>
        <v>0</v>
      </c>
      <c r="G811" s="2">
        <f t="shared" si="62"/>
        <v>0</v>
      </c>
      <c r="H811" s="2">
        <f t="shared" si="63"/>
        <v>0</v>
      </c>
    </row>
  </sheetData>
  <phoneticPr fontId="39" type="noConversion"/>
  <conditionalFormatting sqref="N19:N88">
    <cfRule type="cellIs" dxfId="1" priority="1" operator="lessThan">
      <formula>0</formula>
    </cfRule>
    <cfRule type="cellIs" dxfId="0" priority="2" operator="greater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outlinePr summaryBelow="0" summaryRight="0"/>
  </sheetPr>
  <dimension ref="A1:AA992"/>
  <sheetViews>
    <sheetView zoomScale="140" zoomScaleNormal="140" workbookViewId="0">
      <pane xSplit="1" ySplit="2" topLeftCell="B3" activePane="bottomRight" state="frozen"/>
      <selection activeCell="S411" sqref="S411"/>
      <selection pane="topRight" activeCell="S411" sqref="S411"/>
      <selection pane="bottomLeft" activeCell="S411" sqref="S411"/>
      <selection pane="bottomRight"/>
    </sheetView>
  </sheetViews>
  <sheetFormatPr defaultColWidth="14.3828125" defaultRowHeight="15" customHeight="1"/>
  <cols>
    <col min="1" max="1" width="16.15234375" style="33" bestFit="1" customWidth="1"/>
    <col min="2" max="5" width="8.15234375" style="33" customWidth="1"/>
    <col min="6" max="11" width="8.61328125" style="33" customWidth="1"/>
    <col min="12" max="12" width="11" style="33" customWidth="1"/>
    <col min="13" max="13" width="7.765625" style="33" bestFit="1" customWidth="1"/>
    <col min="14" max="14" width="1.4609375" style="33" customWidth="1"/>
    <col min="15" max="15" width="22.15234375" style="33" bestFit="1" customWidth="1"/>
    <col min="16" max="20" width="8.15234375" style="33" customWidth="1"/>
    <col min="21" max="16384" width="14.3828125" style="33"/>
  </cols>
  <sheetData>
    <row r="1" spans="1:14" ht="32.25" customHeight="1" thickBot="1">
      <c r="A1" s="226"/>
      <c r="B1" s="774" t="s">
        <v>38</v>
      </c>
      <c r="C1" s="775"/>
      <c r="D1" s="775"/>
      <c r="E1" s="775"/>
      <c r="F1" s="775"/>
      <c r="G1" s="775"/>
      <c r="H1" s="775"/>
      <c r="I1" s="775"/>
      <c r="J1" s="775"/>
      <c r="K1" s="133"/>
      <c r="L1" s="134"/>
      <c r="M1" s="135"/>
      <c r="N1" s="128"/>
    </row>
    <row r="2" spans="1:14" ht="21" thickTop="1" thickBot="1">
      <c r="A2" s="227" t="s">
        <v>1081</v>
      </c>
      <c r="B2" s="136" t="str">
        <f>'Kilter Holds'!T34</f>
        <v>Red</v>
      </c>
      <c r="C2" s="137" t="str">
        <f>'Kilter Holds'!U34</f>
        <v>Orange</v>
      </c>
      <c r="D2" s="138" t="str">
        <f>'Kilter Holds'!V34</f>
        <v>Yellow</v>
      </c>
      <c r="E2" s="139" t="str">
        <f>'Kilter Holds'!W34</f>
        <v>Green</v>
      </c>
      <c r="F2" s="140" t="str">
        <f>'Kilter Holds'!X34</f>
        <v>Blue</v>
      </c>
      <c r="G2" s="141" t="str">
        <f>'Kilter Holds'!Y34</f>
        <v>Purple</v>
      </c>
      <c r="H2" s="142" t="str">
        <f>'Kilter Holds'!Z34</f>
        <v>Hot Pink</v>
      </c>
      <c r="I2" s="143" t="str">
        <f>'Kilter Holds'!AA34</f>
        <v>Black</v>
      </c>
      <c r="J2" s="144" t="str">
        <f>'Kilter Holds'!AB34</f>
        <v>White</v>
      </c>
      <c r="K2" s="145" t="s">
        <v>40</v>
      </c>
      <c r="L2" s="146" t="s">
        <v>41</v>
      </c>
      <c r="M2" s="147"/>
    </row>
    <row r="3" spans="1:14" ht="13.5">
      <c r="A3" s="228" t="s">
        <v>2113</v>
      </c>
      <c r="B3" s="424">
        <f>IFERROR(SUMPRODUCT(('Kilter Holds'!$J$36:$J$370)*('Kilter Holds'!$I$36:$I$370=$A3),'Kilter Holds'!T$36:T$370),0)+IFERROR(SUMPRODUCT(('Urban Plastix Holds'!$H$36:$H$498)*('Urban Plastix Holds'!$F$36:$F$498=$A3),'Urban Plastix Holds'!M$36:M$498),0)+IFERROR(SUMPRODUCT(('Kilter Holds'!$L$36:$L$370)*('Kilter Holds'!$K$36:$K$370=$A3),'Kilter Holds'!T$36:T$370),0)</f>
        <v>0</v>
      </c>
      <c r="C3" s="425">
        <f>IFERROR(SUMPRODUCT(('Kilter Holds'!$J$36:$J$370)*('Kilter Holds'!$I$36:$I$370=$A3),'Kilter Holds'!U$36:U$370),0)+IFERROR(SUMPRODUCT(('Urban Plastix Holds'!$H$36:$H$498)*('Urban Plastix Holds'!$F$36:$F$498=$A3),'Urban Plastix Holds'!N$36:N$498),0)+IFERROR(SUMPRODUCT(('Kilter Holds'!$L$36:$L$370)*('Kilter Holds'!$K$36:$K$370=$A3),'Kilter Holds'!U$36:U$370),0)</f>
        <v>0</v>
      </c>
      <c r="D3" s="425">
        <f>IFERROR(SUMPRODUCT(('Kilter Holds'!$J$36:$J$370)*('Kilter Holds'!$I$36:$I$370=$A3),'Kilter Holds'!V$36:V$370),0)+IFERROR(SUMPRODUCT(('Urban Plastix Holds'!$H$36:$H$498)*('Urban Plastix Holds'!$F$36:$F$498=$A3),'Urban Plastix Holds'!O$36:O$498),0)+IFERROR(SUMPRODUCT(('Kilter Holds'!$L$36:$L$370)*('Kilter Holds'!$K$36:$K$370=$A3),'Kilter Holds'!V$36:V$370),0)</f>
        <v>0</v>
      </c>
      <c r="E3" s="425">
        <f>IFERROR(SUMPRODUCT(('Kilter Holds'!$J$36:$J$370)*('Kilter Holds'!$I$36:$I$370=$A3),'Kilter Holds'!W$36:W$370),0)+IFERROR(SUMPRODUCT(('Urban Plastix Holds'!$H$36:$H$498)*('Urban Plastix Holds'!$F$36:$F$498=$A3),'Urban Plastix Holds'!P$36:P$498),0)+IFERROR(SUMPRODUCT(('Kilter Holds'!$L$36:$L$370)*('Kilter Holds'!$K$36:$K$370=$A3),'Kilter Holds'!W$36:W$370),0)</f>
        <v>0</v>
      </c>
      <c r="F3" s="425">
        <f>IFERROR(SUMPRODUCT(('Kilter Holds'!$J$36:$J$370)*('Kilter Holds'!$I$36:$I$370=$A3),'Kilter Holds'!X$36:X$370),0)+IFERROR(SUMPRODUCT(('Urban Plastix Holds'!$H$36:$H$498)*('Urban Plastix Holds'!$F$36:$F$498=$A3),'Urban Plastix Holds'!Q$36:Q$498),0)+IFERROR(SUMPRODUCT(('Kilter Holds'!$L$36:$L$370)*('Kilter Holds'!$K$36:$K$370=$A3),'Kilter Holds'!X$36:X$370),0)</f>
        <v>0</v>
      </c>
      <c r="G3" s="425">
        <f>IFERROR(SUMPRODUCT(('Kilter Holds'!$J$36:$J$370)*('Kilter Holds'!$I$36:$I$370=$A3),'Kilter Holds'!Y$36:Y$370),0)+IFERROR(SUMPRODUCT(('Urban Plastix Holds'!$H$36:$H$498)*('Urban Plastix Holds'!$F$36:$F$498=$A3),'Urban Plastix Holds'!R$36:R$498),0)+IFERROR(SUMPRODUCT(('Kilter Holds'!$L$36:$L$370)*('Kilter Holds'!$K$36:$K$370=$A3),'Kilter Holds'!Y$36:Y$370),0)</f>
        <v>0</v>
      </c>
      <c r="H3" s="425">
        <f>IFERROR(SUMPRODUCT(('Kilter Holds'!$J$36:$J$370)*('Kilter Holds'!$I$36:$I$370=$A3),'Kilter Holds'!Z$36:Z$370),0)+IFERROR(SUMPRODUCT(('Urban Plastix Holds'!$H$36:$H$498)*('Urban Plastix Holds'!$F$36:$F$498=$A3),'Urban Plastix Holds'!S$36:S$498),0)+IFERROR(SUMPRODUCT(('Kilter Holds'!$L$36:$L$370)*('Kilter Holds'!$K$36:$K$370=$A3),'Kilter Holds'!Z$36:Z$370),0)</f>
        <v>0</v>
      </c>
      <c r="I3" s="425">
        <f>IFERROR(SUMPRODUCT(('Kilter Holds'!$J$36:$J$370)*('Kilter Holds'!$I$36:$I$370=$A3),'Kilter Holds'!AA$36:AA$370),0)+IFERROR(SUMPRODUCT(('Urban Plastix Holds'!$H$36:$H$498)*('Urban Plastix Holds'!$F$36:$F$498=$A3),'Urban Plastix Holds'!T$36:T$498),0)+IFERROR(SUMPRODUCT(('Kilter Holds'!$L$36:$L$370)*('Kilter Holds'!$K$36:$K$370=$A3),'Kilter Holds'!AA$36:AA$370),0)</f>
        <v>0</v>
      </c>
      <c r="J3" s="426">
        <f>IFERROR(SUMPRODUCT(('Kilter Holds'!$J$36:$J$370)*('Kilter Holds'!$I$36:$I$370=$A3),'Kilter Holds'!AB$36:AB$370),0)+IFERROR(SUMPRODUCT(('Urban Plastix Holds'!$H$36:$H$498)*('Urban Plastix Holds'!$F$36:$F$498=$A3),'Urban Plastix Holds'!U$36:U$498),0)+IFERROR(SUMPRODUCT(('Kilter Holds'!$L$36:$L$370)*('Kilter Holds'!$K$36:$K$370=$A3),'Kilter Holds'!AB$36:AB$370),0)</f>
        <v>0</v>
      </c>
      <c r="K3" s="148">
        <f>SUM(B3:J3)</f>
        <v>0</v>
      </c>
      <c r="L3" s="149">
        <f t="shared" ref="L3:L17" si="0">IFERROR($K3 / $K$19,0)</f>
        <v>0</v>
      </c>
      <c r="M3" s="776">
        <f>SUM(L4:L7)</f>
        <v>0.35231822291101639</v>
      </c>
    </row>
    <row r="4" spans="1:14" ht="13.5">
      <c r="A4" s="229" t="s">
        <v>493</v>
      </c>
      <c r="B4" s="427">
        <f>IFERROR(SUMPRODUCT(('Kilter Holds'!$J$36:$J$370)*('Kilter Holds'!$I$36:$I$370=$A4),'Kilter Holds'!T$36:T$370),0)+IFERROR(SUMPRODUCT(('Urban Plastix Holds'!$H$36:$H$498)*('Urban Plastix Holds'!$F$36:$F$498=$A4),'Urban Plastix Holds'!M$36:M$498),0)+IFERROR(SUMPRODUCT(('Kilter Holds'!$L$36:$L$370)*('Kilter Holds'!$K$36:$K$370=$A4),'Kilter Holds'!T$36:T$370),0)</f>
        <v>296</v>
      </c>
      <c r="C4" s="150">
        <f>IFERROR(SUMPRODUCT(('Kilter Holds'!$J$36:$J$370)*('Kilter Holds'!$I$36:$I$370=$A4),'Kilter Holds'!U$36:U$370),0)+IFERROR(SUMPRODUCT(('Urban Plastix Holds'!$H$36:$H$498)*('Urban Plastix Holds'!$F$36:$F$498=$A4),'Urban Plastix Holds'!N$36:N$498),0)+IFERROR(SUMPRODUCT(('Kilter Holds'!$L$36:$L$370)*('Kilter Holds'!$K$36:$K$370=$A4),'Kilter Holds'!U$36:U$370),0)</f>
        <v>6</v>
      </c>
      <c r="D4" s="150">
        <f>IFERROR(SUMPRODUCT(('Kilter Holds'!$J$36:$J$370)*('Kilter Holds'!$I$36:$I$370=$A4),'Kilter Holds'!V$36:V$370),0)+IFERROR(SUMPRODUCT(('Urban Plastix Holds'!$H$36:$H$498)*('Urban Plastix Holds'!$F$36:$F$498=$A4),'Urban Plastix Holds'!O$36:O$498),0)+IFERROR(SUMPRODUCT(('Kilter Holds'!$L$36:$L$370)*('Kilter Holds'!$K$36:$K$370=$A4),'Kilter Holds'!V$36:V$370),0)</f>
        <v>317</v>
      </c>
      <c r="E4" s="150">
        <f>IFERROR(SUMPRODUCT(('Kilter Holds'!$J$36:$J$370)*('Kilter Holds'!$I$36:$I$370=$A4),'Kilter Holds'!W$36:W$370),0)+IFERROR(SUMPRODUCT(('Urban Plastix Holds'!$H$36:$H$498)*('Urban Plastix Holds'!$F$36:$F$498=$A4),'Urban Plastix Holds'!P$36:P$498),0)+IFERROR(SUMPRODUCT(('Kilter Holds'!$L$36:$L$370)*('Kilter Holds'!$K$36:$K$370=$A4),'Kilter Holds'!W$36:W$370),0)</f>
        <v>364</v>
      </c>
      <c r="F4" s="150">
        <f>IFERROR(SUMPRODUCT(('Kilter Holds'!$J$36:$J$370)*('Kilter Holds'!$I$36:$I$370=$A4),'Kilter Holds'!X$36:X$370),0)+IFERROR(SUMPRODUCT(('Urban Plastix Holds'!$H$36:$H$498)*('Urban Plastix Holds'!$F$36:$F$498=$A4),'Urban Plastix Holds'!Q$36:Q$498),0)+IFERROR(SUMPRODUCT(('Kilter Holds'!$L$36:$L$370)*('Kilter Holds'!$K$36:$K$370=$A4),'Kilter Holds'!X$36:X$370),0)</f>
        <v>327</v>
      </c>
      <c r="G4" s="150">
        <f>IFERROR(SUMPRODUCT(('Kilter Holds'!$J$36:$J$370)*('Kilter Holds'!$I$36:$I$370=$A4),'Kilter Holds'!Y$36:Y$370),0)+IFERROR(SUMPRODUCT(('Urban Plastix Holds'!$H$36:$H$498)*('Urban Plastix Holds'!$F$36:$F$498=$A4),'Urban Plastix Holds'!R$36:R$498),0)+IFERROR(SUMPRODUCT(('Kilter Holds'!$L$36:$L$370)*('Kilter Holds'!$K$36:$K$370=$A4),'Kilter Holds'!Y$36:Y$370),0)</f>
        <v>259</v>
      </c>
      <c r="H4" s="150">
        <f>IFERROR(SUMPRODUCT(('Kilter Holds'!$J$36:$J$370)*('Kilter Holds'!$I$36:$I$370=$A4),'Kilter Holds'!Z$36:Z$370),0)+IFERROR(SUMPRODUCT(('Urban Plastix Holds'!$H$36:$H$498)*('Urban Plastix Holds'!$F$36:$F$498=$A4),'Urban Plastix Holds'!S$36:S$498),0)+IFERROR(SUMPRODUCT(('Kilter Holds'!$L$36:$L$370)*('Kilter Holds'!$K$36:$K$370=$A4),'Kilter Holds'!Z$36:Z$370),0)</f>
        <v>135</v>
      </c>
      <c r="I4" s="150">
        <f>IFERROR(SUMPRODUCT(('Kilter Holds'!$J$36:$J$370)*('Kilter Holds'!$I$36:$I$370=$A4),'Kilter Holds'!AA$36:AA$370),0)+IFERROR(SUMPRODUCT(('Urban Plastix Holds'!$H$36:$H$498)*('Urban Plastix Holds'!$F$36:$F$498=$A4),'Urban Plastix Holds'!T$36:T$498),0)+IFERROR(SUMPRODUCT(('Kilter Holds'!$L$36:$L$370)*('Kilter Holds'!$K$36:$K$370=$A4),'Kilter Holds'!AA$36:AA$370),0)</f>
        <v>508</v>
      </c>
      <c r="J4" s="428">
        <f>IFERROR(SUMPRODUCT(('Kilter Holds'!$J$36:$J$370)*('Kilter Holds'!$I$36:$I$370=$A4),'Kilter Holds'!AB$36:AB$370),0)+IFERROR(SUMPRODUCT(('Urban Plastix Holds'!$H$36:$H$498)*('Urban Plastix Holds'!$F$36:$F$498=$A4),'Urban Plastix Holds'!U$36:U$498),0)+IFERROR(SUMPRODUCT(('Kilter Holds'!$L$36:$L$370)*('Kilter Holds'!$K$36:$K$370=$A4),'Kilter Holds'!AB$36:AB$370),0)</f>
        <v>10</v>
      </c>
      <c r="K4" s="151">
        <f>SUM(B4:J4)</f>
        <v>2222</v>
      </c>
      <c r="L4" s="152">
        <f t="shared" si="0"/>
        <v>4.7828145852167547E-2</v>
      </c>
      <c r="M4" s="777"/>
    </row>
    <row r="5" spans="1:14" ht="13.5">
      <c r="A5" s="229" t="s">
        <v>457</v>
      </c>
      <c r="B5" s="427">
        <f>IFERROR(SUMPRODUCT(('Kilter Holds'!$J$36:$J$370)*('Kilter Holds'!$I$36:$I$370=$A5),'Kilter Holds'!T$36:T$370),0)+IFERROR(SUMPRODUCT(('Urban Plastix Holds'!$H$36:$H$498)*('Urban Plastix Holds'!$F$36:$F$498=$A5),'Urban Plastix Holds'!M$36:M$498),0)+IFERROR(SUMPRODUCT(('Kilter Holds'!$L$36:$L$370)*('Kilter Holds'!$K$36:$K$370=$A5),'Kilter Holds'!T$36:T$370),0)</f>
        <v>972</v>
      </c>
      <c r="C5" s="150">
        <f>IFERROR(SUMPRODUCT(('Kilter Holds'!$J$36:$J$370)*('Kilter Holds'!$I$36:$I$370=$A5),'Kilter Holds'!U$36:U$370),0)+IFERROR(SUMPRODUCT(('Urban Plastix Holds'!$H$36:$H$498)*('Urban Plastix Holds'!$F$36:$F$498=$A5),'Urban Plastix Holds'!N$36:N$498),0)+IFERROR(SUMPRODUCT(('Kilter Holds'!$L$36:$L$370)*('Kilter Holds'!$K$36:$K$370=$A5),'Kilter Holds'!U$36:U$370),0)</f>
        <v>0</v>
      </c>
      <c r="D5" s="150">
        <f>IFERROR(SUMPRODUCT(('Kilter Holds'!$J$36:$J$370)*('Kilter Holds'!$I$36:$I$370=$A5),'Kilter Holds'!V$36:V$370),0)+IFERROR(SUMPRODUCT(('Urban Plastix Holds'!$H$36:$H$498)*('Urban Plastix Holds'!$F$36:$F$498=$A5),'Urban Plastix Holds'!O$36:O$498),0)+IFERROR(SUMPRODUCT(('Kilter Holds'!$L$36:$L$370)*('Kilter Holds'!$K$36:$K$370=$A5),'Kilter Holds'!V$36:V$370),0)</f>
        <v>1399</v>
      </c>
      <c r="E5" s="150">
        <f>IFERROR(SUMPRODUCT(('Kilter Holds'!$J$36:$J$370)*('Kilter Holds'!$I$36:$I$370=$A5),'Kilter Holds'!W$36:W$370),0)+IFERROR(SUMPRODUCT(('Urban Plastix Holds'!$H$36:$H$498)*('Urban Plastix Holds'!$F$36:$F$498=$A5),'Urban Plastix Holds'!P$36:P$498),0)+IFERROR(SUMPRODUCT(('Kilter Holds'!$L$36:$L$370)*('Kilter Holds'!$K$36:$K$370=$A5),'Kilter Holds'!W$36:W$370),0)</f>
        <v>1158</v>
      </c>
      <c r="F5" s="150">
        <f>IFERROR(SUMPRODUCT(('Kilter Holds'!$J$36:$J$370)*('Kilter Holds'!$I$36:$I$370=$A5),'Kilter Holds'!X$36:X$370),0)+IFERROR(SUMPRODUCT(('Urban Plastix Holds'!$H$36:$H$498)*('Urban Plastix Holds'!$F$36:$F$498=$A5),'Urban Plastix Holds'!Q$36:Q$498),0)+IFERROR(SUMPRODUCT(('Kilter Holds'!$L$36:$L$370)*('Kilter Holds'!$K$36:$K$370=$A5),'Kilter Holds'!X$36:X$370),0)</f>
        <v>1552</v>
      </c>
      <c r="G5" s="150">
        <f>IFERROR(SUMPRODUCT(('Kilter Holds'!$J$36:$J$370)*('Kilter Holds'!$I$36:$I$370=$A5),'Kilter Holds'!Y$36:Y$370),0)+IFERROR(SUMPRODUCT(('Urban Plastix Holds'!$H$36:$H$498)*('Urban Plastix Holds'!$F$36:$F$498=$A5),'Urban Plastix Holds'!R$36:R$498),0)+IFERROR(SUMPRODUCT(('Kilter Holds'!$L$36:$L$370)*('Kilter Holds'!$K$36:$K$370=$A5),'Kilter Holds'!Y$36:Y$370),0)</f>
        <v>725</v>
      </c>
      <c r="H5" s="150">
        <f>IFERROR(SUMPRODUCT(('Kilter Holds'!$J$36:$J$370)*('Kilter Holds'!$I$36:$I$370=$A5),'Kilter Holds'!Z$36:Z$370),0)+IFERROR(SUMPRODUCT(('Urban Plastix Holds'!$H$36:$H$498)*('Urban Plastix Holds'!$F$36:$F$498=$A5),'Urban Plastix Holds'!S$36:S$498),0)+IFERROR(SUMPRODUCT(('Kilter Holds'!$L$36:$L$370)*('Kilter Holds'!$K$36:$K$370=$A5),'Kilter Holds'!Z$36:Z$370),0)</f>
        <v>582</v>
      </c>
      <c r="I5" s="150">
        <f>IFERROR(SUMPRODUCT(('Kilter Holds'!$J$36:$J$370)*('Kilter Holds'!$I$36:$I$370=$A5),'Kilter Holds'!AA$36:AA$370),0)+IFERROR(SUMPRODUCT(('Urban Plastix Holds'!$H$36:$H$498)*('Urban Plastix Holds'!$F$36:$F$498=$A5),'Urban Plastix Holds'!T$36:T$498),0)+IFERROR(SUMPRODUCT(('Kilter Holds'!$L$36:$L$370)*('Kilter Holds'!$K$36:$K$370=$A5),'Kilter Holds'!AA$36:AA$370),0)</f>
        <v>1917</v>
      </c>
      <c r="J5" s="428">
        <f>IFERROR(SUMPRODUCT(('Kilter Holds'!$J$36:$J$370)*('Kilter Holds'!$I$36:$I$370=$A5),'Kilter Holds'!AB$36:AB$370),0)+IFERROR(SUMPRODUCT(('Urban Plastix Holds'!$H$36:$H$498)*('Urban Plastix Holds'!$F$36:$F$498=$A5),'Urban Plastix Holds'!U$36:U$498),0)+IFERROR(SUMPRODUCT(('Kilter Holds'!$L$36:$L$370)*('Kilter Holds'!$K$36:$K$370=$A5),'Kilter Holds'!AB$36:AB$370),0)</f>
        <v>139</v>
      </c>
      <c r="K5" s="151">
        <f>SUM(B5:J5)</f>
        <v>8444</v>
      </c>
      <c r="L5" s="152">
        <f t="shared" si="0"/>
        <v>0.1817555641654828</v>
      </c>
      <c r="M5" s="777"/>
    </row>
    <row r="6" spans="1:14" ht="13.5">
      <c r="A6" s="229" t="s">
        <v>461</v>
      </c>
      <c r="B6" s="427">
        <f>IFERROR(SUMPRODUCT(('Kilter Holds'!$J$36:$J$370)*('Kilter Holds'!$I$36:$I$370=$A6),'Kilter Holds'!T$36:T$370),0)+IFERROR(SUMPRODUCT(('Urban Plastix Holds'!$H$36:$H$498)*('Urban Plastix Holds'!$F$36:$F$498=$A6),'Urban Plastix Holds'!M$36:M$498),0)+IFERROR(SUMPRODUCT(('Kilter Holds'!$L$36:$L$370)*('Kilter Holds'!$K$36:$K$370=$A6),'Kilter Holds'!T$36:T$370),0)</f>
        <v>72</v>
      </c>
      <c r="C6" s="150">
        <f>IFERROR(SUMPRODUCT(('Kilter Holds'!$J$36:$J$370)*('Kilter Holds'!$I$36:$I$370=$A6),'Kilter Holds'!U$36:U$370),0)+IFERROR(SUMPRODUCT(('Urban Plastix Holds'!$H$36:$H$498)*('Urban Plastix Holds'!$F$36:$F$498=$A6),'Urban Plastix Holds'!N$36:N$498),0)+IFERROR(SUMPRODUCT(('Kilter Holds'!$L$36:$L$370)*('Kilter Holds'!$K$36:$K$370=$A6),'Kilter Holds'!U$36:U$370),0)</f>
        <v>0</v>
      </c>
      <c r="D6" s="150">
        <f>IFERROR(SUMPRODUCT(('Kilter Holds'!$J$36:$J$370)*('Kilter Holds'!$I$36:$I$370=$A6),'Kilter Holds'!V$36:V$370),0)+IFERROR(SUMPRODUCT(('Urban Plastix Holds'!$H$36:$H$498)*('Urban Plastix Holds'!$F$36:$F$498=$A6),'Urban Plastix Holds'!O$36:O$498),0)+IFERROR(SUMPRODUCT(('Kilter Holds'!$L$36:$L$370)*('Kilter Holds'!$K$36:$K$370=$A6),'Kilter Holds'!V$36:V$370),0)</f>
        <v>122</v>
      </c>
      <c r="E6" s="150">
        <f>IFERROR(SUMPRODUCT(('Kilter Holds'!$J$36:$J$370)*('Kilter Holds'!$I$36:$I$370=$A6),'Kilter Holds'!W$36:W$370),0)+IFERROR(SUMPRODUCT(('Urban Plastix Holds'!$H$36:$H$498)*('Urban Plastix Holds'!$F$36:$F$498=$A6),'Urban Plastix Holds'!P$36:P$498),0)+IFERROR(SUMPRODUCT(('Kilter Holds'!$L$36:$L$370)*('Kilter Holds'!$K$36:$K$370=$A6),'Kilter Holds'!W$36:W$370),0)</f>
        <v>90</v>
      </c>
      <c r="F6" s="150">
        <f>IFERROR(SUMPRODUCT(('Kilter Holds'!$J$36:$J$370)*('Kilter Holds'!$I$36:$I$370=$A6),'Kilter Holds'!X$36:X$370),0)+IFERROR(SUMPRODUCT(('Urban Plastix Holds'!$H$36:$H$498)*('Urban Plastix Holds'!$F$36:$F$498=$A6),'Urban Plastix Holds'!Q$36:Q$498),0)+IFERROR(SUMPRODUCT(('Kilter Holds'!$L$36:$L$370)*('Kilter Holds'!$K$36:$K$370=$A6),'Kilter Holds'!X$36:X$370),0)</f>
        <v>172</v>
      </c>
      <c r="G6" s="150">
        <f>IFERROR(SUMPRODUCT(('Kilter Holds'!$J$36:$J$370)*('Kilter Holds'!$I$36:$I$370=$A6),'Kilter Holds'!Y$36:Y$370),0)+IFERROR(SUMPRODUCT(('Urban Plastix Holds'!$H$36:$H$498)*('Urban Plastix Holds'!$F$36:$F$498=$A6),'Urban Plastix Holds'!R$36:R$498),0)+IFERROR(SUMPRODUCT(('Kilter Holds'!$L$36:$L$370)*('Kilter Holds'!$K$36:$K$370=$A6),'Kilter Holds'!Y$36:Y$370),0)</f>
        <v>56</v>
      </c>
      <c r="H6" s="150">
        <f>IFERROR(SUMPRODUCT(('Kilter Holds'!$J$36:$J$370)*('Kilter Holds'!$I$36:$I$370=$A6),'Kilter Holds'!Z$36:Z$370),0)+IFERROR(SUMPRODUCT(('Urban Plastix Holds'!$H$36:$H$498)*('Urban Plastix Holds'!$F$36:$F$498=$A6),'Urban Plastix Holds'!S$36:S$498),0)+IFERROR(SUMPRODUCT(('Kilter Holds'!$L$36:$L$370)*('Kilter Holds'!$K$36:$K$370=$A6),'Kilter Holds'!Z$36:Z$370),0)</f>
        <v>60</v>
      </c>
      <c r="I6" s="150">
        <f>IFERROR(SUMPRODUCT(('Kilter Holds'!$J$36:$J$370)*('Kilter Holds'!$I$36:$I$370=$A6),'Kilter Holds'!AA$36:AA$370),0)+IFERROR(SUMPRODUCT(('Urban Plastix Holds'!$H$36:$H$498)*('Urban Plastix Holds'!$F$36:$F$498=$A6),'Urban Plastix Holds'!T$36:T$498),0)+IFERROR(SUMPRODUCT(('Kilter Holds'!$L$36:$L$370)*('Kilter Holds'!$K$36:$K$370=$A6),'Kilter Holds'!AA$36:AA$370),0)</f>
        <v>222</v>
      </c>
      <c r="J6" s="428">
        <f>IFERROR(SUMPRODUCT(('Kilter Holds'!$J$36:$J$370)*('Kilter Holds'!$I$36:$I$370=$A6),'Kilter Holds'!AB$36:AB$370),0)+IFERROR(SUMPRODUCT(('Urban Plastix Holds'!$H$36:$H$498)*('Urban Plastix Holds'!$F$36:$F$498=$A6),'Urban Plastix Holds'!U$36:U$498),0)+IFERROR(SUMPRODUCT(('Kilter Holds'!$L$36:$L$370)*('Kilter Holds'!$K$36:$K$370=$A6),'Kilter Holds'!AB$36:AB$370),0)</f>
        <v>57</v>
      </c>
      <c r="K6" s="151">
        <f t="shared" ref="K6:K16" si="1">SUM(B6:J6)</f>
        <v>851</v>
      </c>
      <c r="L6" s="152">
        <f t="shared" si="0"/>
        <v>1.8317620216109175E-2</v>
      </c>
      <c r="M6" s="777"/>
    </row>
    <row r="7" spans="1:14" ht="18" customHeight="1" thickBot="1">
      <c r="A7" s="230" t="s">
        <v>455</v>
      </c>
      <c r="B7" s="429">
        <f>IFERROR(SUMPRODUCT(('Kilter Holds'!$J$36:$J$370)*('Kilter Holds'!$I$36:$I$370=$A7),'Kilter Holds'!T$36:T$370),0)+IFERROR(SUMPRODUCT(('Urban Plastix Holds'!$H$36:$H$498)*('Urban Plastix Holds'!$F$36:$F$498=$A7),'Urban Plastix Holds'!M$36:M$498),0)+IFERROR(SUMPRODUCT(('Kilter Holds'!$L$36:$L$370)*('Kilter Holds'!$K$36:$K$370=$A7),'Kilter Holds'!T$36:T$370),0)</f>
        <v>599</v>
      </c>
      <c r="C7" s="153">
        <f>IFERROR(SUMPRODUCT(('Kilter Holds'!$J$36:$J$370)*('Kilter Holds'!$I$36:$I$370=$A7),'Kilter Holds'!U$36:U$370),0)+IFERROR(SUMPRODUCT(('Urban Plastix Holds'!$H$36:$H$498)*('Urban Plastix Holds'!$F$36:$F$498=$A7),'Urban Plastix Holds'!N$36:N$498),0)+IFERROR(SUMPRODUCT(('Kilter Holds'!$L$36:$L$370)*('Kilter Holds'!$K$36:$K$370=$A7),'Kilter Holds'!U$36:U$370),0)</f>
        <v>72</v>
      </c>
      <c r="D7" s="153">
        <f>IFERROR(SUMPRODUCT(('Kilter Holds'!$J$36:$J$370)*('Kilter Holds'!$I$36:$I$370=$A7),'Kilter Holds'!V$36:V$370),0)+IFERROR(SUMPRODUCT(('Urban Plastix Holds'!$H$36:$H$498)*('Urban Plastix Holds'!$F$36:$F$498=$A7),'Urban Plastix Holds'!O$36:O$498),0)+IFERROR(SUMPRODUCT(('Kilter Holds'!$L$36:$L$370)*('Kilter Holds'!$K$36:$K$370=$A7),'Kilter Holds'!V$36:V$370),0)</f>
        <v>750</v>
      </c>
      <c r="E7" s="153">
        <f>IFERROR(SUMPRODUCT(('Kilter Holds'!$J$36:$J$370)*('Kilter Holds'!$I$36:$I$370=$A7),'Kilter Holds'!W$36:W$370),0)+IFERROR(SUMPRODUCT(('Urban Plastix Holds'!$H$36:$H$498)*('Urban Plastix Holds'!$F$36:$F$498=$A7),'Urban Plastix Holds'!P$36:P$498),0)+IFERROR(SUMPRODUCT(('Kilter Holds'!$L$36:$L$370)*('Kilter Holds'!$K$36:$K$370=$A7),'Kilter Holds'!W$36:W$370),0)</f>
        <v>659</v>
      </c>
      <c r="F7" s="153">
        <f>IFERROR(SUMPRODUCT(('Kilter Holds'!$J$36:$J$370)*('Kilter Holds'!$I$36:$I$370=$A7),'Kilter Holds'!X$36:X$370),0)+IFERROR(SUMPRODUCT(('Urban Plastix Holds'!$H$36:$H$498)*('Urban Plastix Holds'!$F$36:$F$498=$A7),'Urban Plastix Holds'!Q$36:Q$498),0)+IFERROR(SUMPRODUCT(('Kilter Holds'!$L$36:$L$370)*('Kilter Holds'!$K$36:$K$370=$A7),'Kilter Holds'!X$36:X$370),0)</f>
        <v>910</v>
      </c>
      <c r="G7" s="153">
        <f>IFERROR(SUMPRODUCT(('Kilter Holds'!$J$36:$J$370)*('Kilter Holds'!$I$36:$I$370=$A7),'Kilter Holds'!Y$36:Y$370),0)+IFERROR(SUMPRODUCT(('Urban Plastix Holds'!$H$36:$H$498)*('Urban Plastix Holds'!$F$36:$F$498=$A7),'Urban Plastix Holds'!R$36:R$498),0)+IFERROR(SUMPRODUCT(('Kilter Holds'!$L$36:$L$370)*('Kilter Holds'!$K$36:$K$370=$A7),'Kilter Holds'!Y$36:Y$370),0)</f>
        <v>462</v>
      </c>
      <c r="H7" s="153">
        <f>IFERROR(SUMPRODUCT(('Kilter Holds'!$J$36:$J$370)*('Kilter Holds'!$I$36:$I$370=$A7),'Kilter Holds'!Z$36:Z$370),0)+IFERROR(SUMPRODUCT(('Urban Plastix Holds'!$H$36:$H$498)*('Urban Plastix Holds'!$F$36:$F$498=$A7),'Urban Plastix Holds'!S$36:S$498),0)+IFERROR(SUMPRODUCT(('Kilter Holds'!$L$36:$L$370)*('Kilter Holds'!$K$36:$K$370=$A7),'Kilter Holds'!Z$36:Z$370),0)</f>
        <v>247</v>
      </c>
      <c r="I7" s="153">
        <f>IFERROR(SUMPRODUCT(('Kilter Holds'!$J$36:$J$370)*('Kilter Holds'!$I$36:$I$370=$A7),'Kilter Holds'!AA$36:AA$370),0)+IFERROR(SUMPRODUCT(('Urban Plastix Holds'!$H$36:$H$498)*('Urban Plastix Holds'!$F$36:$F$498=$A7),'Urban Plastix Holds'!T$36:T$498),0)+IFERROR(SUMPRODUCT(('Kilter Holds'!$L$36:$L$370)*('Kilter Holds'!$K$36:$K$370=$A7),'Kilter Holds'!AA$36:AA$370),0)</f>
        <v>988</v>
      </c>
      <c r="J7" s="430">
        <f>IFERROR(SUMPRODUCT(('Kilter Holds'!$J$36:$J$370)*('Kilter Holds'!$I$36:$I$370=$A7),'Kilter Holds'!AB$36:AB$370),0)+IFERROR(SUMPRODUCT(('Urban Plastix Holds'!$H$36:$H$498)*('Urban Plastix Holds'!$F$36:$F$498=$A7),'Urban Plastix Holds'!U$36:U$498),0)+IFERROR(SUMPRODUCT(('Kilter Holds'!$L$36:$L$370)*('Kilter Holds'!$K$36:$K$370=$A7),'Kilter Holds'!AB$36:AB$370),0)</f>
        <v>164</v>
      </c>
      <c r="K7" s="154">
        <f t="shared" si="1"/>
        <v>4851</v>
      </c>
      <c r="L7" s="155">
        <f t="shared" si="0"/>
        <v>0.10441689267725687</v>
      </c>
      <c r="M7" s="778"/>
    </row>
    <row r="8" spans="1:14" ht="13.5">
      <c r="A8" s="229" t="s">
        <v>450</v>
      </c>
      <c r="B8" s="424">
        <f>IFERROR(SUMPRODUCT(('Kilter Holds'!$J$36:$J$370)*('Kilter Holds'!$I$36:$I$370=$A8),'Kilter Holds'!T$36:T$370),0)+IFERROR(SUMPRODUCT(('Urban Plastix Holds'!$H$36:$H$498)*('Urban Plastix Holds'!$F$36:$F$498=$A8),'Urban Plastix Holds'!M$36:M$498),0)+IFERROR(SUMPRODUCT(('Kilter Holds'!$L$36:$L$370)*('Kilter Holds'!$K$36:$K$370=$A8),'Kilter Holds'!T$36:T$370),0)</f>
        <v>125</v>
      </c>
      <c r="C8" s="425">
        <f>IFERROR(SUMPRODUCT(('Kilter Holds'!$J$36:$J$370)*('Kilter Holds'!$I$36:$I$370=$A8),'Kilter Holds'!U$36:U$370),0)+IFERROR(SUMPRODUCT(('Urban Plastix Holds'!$H$36:$H$498)*('Urban Plastix Holds'!$F$36:$F$498=$A8),'Urban Plastix Holds'!N$36:N$498),0)+IFERROR(SUMPRODUCT(('Kilter Holds'!$L$36:$L$370)*('Kilter Holds'!$K$36:$K$370=$A8),'Kilter Holds'!U$36:U$370),0)</f>
        <v>10</v>
      </c>
      <c r="D8" s="425">
        <f>IFERROR(SUMPRODUCT(('Kilter Holds'!$J$36:$J$370)*('Kilter Holds'!$I$36:$I$370=$A8),'Kilter Holds'!V$36:V$370),0)+IFERROR(SUMPRODUCT(('Urban Plastix Holds'!$H$36:$H$498)*('Urban Plastix Holds'!$F$36:$F$498=$A8),'Urban Plastix Holds'!O$36:O$498),0)+IFERROR(SUMPRODUCT(('Kilter Holds'!$L$36:$L$370)*('Kilter Holds'!$K$36:$K$370=$A8),'Kilter Holds'!V$36:V$370),0)</f>
        <v>327</v>
      </c>
      <c r="E8" s="425">
        <f>IFERROR(SUMPRODUCT(('Kilter Holds'!$J$36:$J$370)*('Kilter Holds'!$I$36:$I$370=$A8),'Kilter Holds'!W$36:W$370),0)+IFERROR(SUMPRODUCT(('Urban Plastix Holds'!$H$36:$H$498)*('Urban Plastix Holds'!$F$36:$F$498=$A8),'Urban Plastix Holds'!P$36:P$498),0)+IFERROR(SUMPRODUCT(('Kilter Holds'!$L$36:$L$370)*('Kilter Holds'!$K$36:$K$370=$A8),'Kilter Holds'!W$36:W$370),0)</f>
        <v>130</v>
      </c>
      <c r="F8" s="425">
        <f>IFERROR(SUMPRODUCT(('Kilter Holds'!$J$36:$J$370)*('Kilter Holds'!$I$36:$I$370=$A8),'Kilter Holds'!X$36:X$370),0)+IFERROR(SUMPRODUCT(('Urban Plastix Holds'!$H$36:$H$498)*('Urban Plastix Holds'!$F$36:$F$498=$A8),'Urban Plastix Holds'!Q$36:Q$498),0)+IFERROR(SUMPRODUCT(('Kilter Holds'!$L$36:$L$370)*('Kilter Holds'!$K$36:$K$370=$A8),'Kilter Holds'!X$36:X$370),0)</f>
        <v>528</v>
      </c>
      <c r="G8" s="425">
        <f>IFERROR(SUMPRODUCT(('Kilter Holds'!$J$36:$J$370)*('Kilter Holds'!$I$36:$I$370=$A8),'Kilter Holds'!Y$36:Y$370),0)+IFERROR(SUMPRODUCT(('Urban Plastix Holds'!$H$36:$H$498)*('Urban Plastix Holds'!$F$36:$F$498=$A8),'Urban Plastix Holds'!R$36:R$498),0)+IFERROR(SUMPRODUCT(('Kilter Holds'!$L$36:$L$370)*('Kilter Holds'!$K$36:$K$370=$A8),'Kilter Holds'!Y$36:Y$370),0)</f>
        <v>103</v>
      </c>
      <c r="H8" s="425">
        <f>IFERROR(SUMPRODUCT(('Kilter Holds'!$J$36:$J$370)*('Kilter Holds'!$I$36:$I$370=$A8),'Kilter Holds'!Z$36:Z$370),0)+IFERROR(SUMPRODUCT(('Urban Plastix Holds'!$H$36:$H$498)*('Urban Plastix Holds'!$F$36:$F$498=$A8),'Urban Plastix Holds'!S$36:S$498),0)+IFERROR(SUMPRODUCT(('Kilter Holds'!$L$36:$L$370)*('Kilter Holds'!$K$36:$K$370=$A8),'Kilter Holds'!Z$36:Z$370),0)</f>
        <v>60</v>
      </c>
      <c r="I8" s="425">
        <f>IFERROR(SUMPRODUCT(('Kilter Holds'!$J$36:$J$370)*('Kilter Holds'!$I$36:$I$370=$A8),'Kilter Holds'!AA$36:AA$370),0)+IFERROR(SUMPRODUCT(('Urban Plastix Holds'!$H$36:$H$498)*('Urban Plastix Holds'!$F$36:$F$498=$A8),'Urban Plastix Holds'!T$36:T$498),0)+IFERROR(SUMPRODUCT(('Kilter Holds'!$L$36:$L$370)*('Kilter Holds'!$K$36:$K$370=$A8),'Kilter Holds'!AA$36:AA$370),0)</f>
        <v>648</v>
      </c>
      <c r="J8" s="426">
        <f>IFERROR(SUMPRODUCT(('Kilter Holds'!$J$36:$J$370)*('Kilter Holds'!$I$36:$I$370=$A8),'Kilter Holds'!AB$36:AB$370),0)+IFERROR(SUMPRODUCT(('Urban Plastix Holds'!$H$36:$H$498)*('Urban Plastix Holds'!$F$36:$F$498=$A8),'Urban Plastix Holds'!U$36:U$498),0)+IFERROR(SUMPRODUCT(('Kilter Holds'!$L$36:$L$370)*('Kilter Holds'!$K$36:$K$370=$A8),'Kilter Holds'!AB$36:AB$370),0)</f>
        <v>60</v>
      </c>
      <c r="K8" s="151">
        <f t="shared" si="1"/>
        <v>1991</v>
      </c>
      <c r="L8" s="152">
        <f t="shared" si="0"/>
        <v>4.2855912867536268E-2</v>
      </c>
      <c r="M8" s="776">
        <f>SUM(L8:L14)</f>
        <v>0.50458478625855618</v>
      </c>
    </row>
    <row r="9" spans="1:14" ht="13.5">
      <c r="A9" s="229" t="s">
        <v>453</v>
      </c>
      <c r="B9" s="427">
        <f>IFERROR(SUMPRODUCT(('Kilter Holds'!$J$36:$J$370)*('Kilter Holds'!$I$36:$I$370=$A9),'Kilter Holds'!T$36:T$370),0)+IFERROR(SUMPRODUCT(('Urban Plastix Holds'!$H$36:$H$498)*('Urban Plastix Holds'!$F$36:$F$498=$A9),'Urban Plastix Holds'!M$36:M$498),0)+IFERROR(SUMPRODUCT(('Kilter Holds'!$L$36:$L$370)*('Kilter Holds'!$K$36:$K$370=$A9),'Kilter Holds'!T$36:T$370),0)</f>
        <v>476</v>
      </c>
      <c r="C9" s="150">
        <f>IFERROR(SUMPRODUCT(('Kilter Holds'!$J$36:$J$370)*('Kilter Holds'!$I$36:$I$370=$A9),'Kilter Holds'!U$36:U$370),0)+IFERROR(SUMPRODUCT(('Urban Plastix Holds'!$H$36:$H$498)*('Urban Plastix Holds'!$F$36:$F$498=$A9),'Urban Plastix Holds'!N$36:N$498),0)+IFERROR(SUMPRODUCT(('Kilter Holds'!$L$36:$L$370)*('Kilter Holds'!$K$36:$K$370=$A9),'Kilter Holds'!U$36:U$370),0)</f>
        <v>9</v>
      </c>
      <c r="D9" s="150">
        <f>IFERROR(SUMPRODUCT(('Kilter Holds'!$J$36:$J$370)*('Kilter Holds'!$I$36:$I$370=$A9),'Kilter Holds'!V$36:V$370),0)+IFERROR(SUMPRODUCT(('Urban Plastix Holds'!$H$36:$H$498)*('Urban Plastix Holds'!$F$36:$F$498=$A9),'Urban Plastix Holds'!O$36:O$498),0)+IFERROR(SUMPRODUCT(('Kilter Holds'!$L$36:$L$370)*('Kilter Holds'!$K$36:$K$370=$A9),'Kilter Holds'!V$36:V$370),0)</f>
        <v>689</v>
      </c>
      <c r="E9" s="150">
        <f>IFERROR(SUMPRODUCT(('Kilter Holds'!$J$36:$J$370)*('Kilter Holds'!$I$36:$I$370=$A9),'Kilter Holds'!W$36:W$370),0)+IFERROR(SUMPRODUCT(('Urban Plastix Holds'!$H$36:$H$498)*('Urban Plastix Holds'!$F$36:$F$498=$A9),'Urban Plastix Holds'!P$36:P$498),0)+IFERROR(SUMPRODUCT(('Kilter Holds'!$L$36:$L$370)*('Kilter Holds'!$K$36:$K$370=$A9),'Kilter Holds'!W$36:W$370),0)</f>
        <v>554</v>
      </c>
      <c r="F9" s="150">
        <f>IFERROR(SUMPRODUCT(('Kilter Holds'!$J$36:$J$370)*('Kilter Holds'!$I$36:$I$370=$A9),'Kilter Holds'!X$36:X$370),0)+IFERROR(SUMPRODUCT(('Urban Plastix Holds'!$H$36:$H$498)*('Urban Plastix Holds'!$F$36:$F$498=$A9),'Urban Plastix Holds'!Q$36:Q$498),0)+IFERROR(SUMPRODUCT(('Kilter Holds'!$L$36:$L$370)*('Kilter Holds'!$K$36:$K$370=$A9),'Kilter Holds'!X$36:X$370),0)</f>
        <v>639</v>
      </c>
      <c r="G9" s="150">
        <f>IFERROR(SUMPRODUCT(('Kilter Holds'!$J$36:$J$370)*('Kilter Holds'!$I$36:$I$370=$A9),'Kilter Holds'!Y$36:Y$370),0)+IFERROR(SUMPRODUCT(('Urban Plastix Holds'!$H$36:$H$498)*('Urban Plastix Holds'!$F$36:$F$498=$A9),'Urban Plastix Holds'!R$36:R$498),0)+IFERROR(SUMPRODUCT(('Kilter Holds'!$L$36:$L$370)*('Kilter Holds'!$K$36:$K$370=$A9),'Kilter Holds'!Y$36:Y$370),0)</f>
        <v>666</v>
      </c>
      <c r="H9" s="150">
        <f>IFERROR(SUMPRODUCT(('Kilter Holds'!$J$36:$J$370)*('Kilter Holds'!$I$36:$I$370=$A9),'Kilter Holds'!Z$36:Z$370),0)+IFERROR(SUMPRODUCT(('Urban Plastix Holds'!$H$36:$H$498)*('Urban Plastix Holds'!$F$36:$F$498=$A9),'Urban Plastix Holds'!S$36:S$498),0)+IFERROR(SUMPRODUCT(('Kilter Holds'!$L$36:$L$370)*('Kilter Holds'!$K$36:$K$370=$A9),'Kilter Holds'!Z$36:Z$370),0)</f>
        <v>232</v>
      </c>
      <c r="I9" s="150">
        <f>IFERROR(SUMPRODUCT(('Kilter Holds'!$J$36:$J$370)*('Kilter Holds'!$I$36:$I$370=$A9),'Kilter Holds'!AA$36:AA$370),0)+IFERROR(SUMPRODUCT(('Urban Plastix Holds'!$H$36:$H$498)*('Urban Plastix Holds'!$F$36:$F$498=$A9),'Urban Plastix Holds'!T$36:T$498),0)+IFERROR(SUMPRODUCT(('Kilter Holds'!$L$36:$L$370)*('Kilter Holds'!$K$36:$K$370=$A9),'Kilter Holds'!AA$36:AA$370),0)</f>
        <v>1040</v>
      </c>
      <c r="J9" s="428">
        <f>IFERROR(SUMPRODUCT(('Kilter Holds'!$J$36:$J$370)*('Kilter Holds'!$I$36:$I$370=$A9),'Kilter Holds'!AB$36:AB$370),0)+IFERROR(SUMPRODUCT(('Urban Plastix Holds'!$H$36:$H$498)*('Urban Plastix Holds'!$F$36:$F$498=$A9),'Urban Plastix Holds'!U$36:U$498),0)+IFERROR(SUMPRODUCT(('Kilter Holds'!$L$36:$L$370)*('Kilter Holds'!$K$36:$K$370=$A9),'Kilter Holds'!AB$36:AB$370),0)</f>
        <v>94</v>
      </c>
      <c r="K9" s="151">
        <f t="shared" si="1"/>
        <v>4399</v>
      </c>
      <c r="L9" s="152">
        <f t="shared" si="0"/>
        <v>9.4687674889147186E-2</v>
      </c>
      <c r="M9" s="777"/>
    </row>
    <row r="10" spans="1:14" ht="13.5">
      <c r="A10" s="229" t="s">
        <v>460</v>
      </c>
      <c r="B10" s="427">
        <f>IFERROR(SUMPRODUCT(('Kilter Holds'!$J$36:$J$370)*('Kilter Holds'!$I$36:$I$370=$A10),'Kilter Holds'!T$36:T$370),0)+IFERROR(SUMPRODUCT(('Urban Plastix Holds'!$H$36:$H$498)*('Urban Plastix Holds'!$F$36:$F$498=$A10),'Urban Plastix Holds'!M$36:M$498),0)+IFERROR(SUMPRODUCT(('Kilter Holds'!$L$36:$L$370)*('Kilter Holds'!$K$36:$K$370=$A10),'Kilter Holds'!T$36:T$370),0)</f>
        <v>0</v>
      </c>
      <c r="C10" s="150">
        <f>IFERROR(SUMPRODUCT(('Kilter Holds'!$J$36:$J$370)*('Kilter Holds'!$I$36:$I$370=$A10),'Kilter Holds'!U$36:U$370),0)+IFERROR(SUMPRODUCT(('Urban Plastix Holds'!$H$36:$H$498)*('Urban Plastix Holds'!$F$36:$F$498=$A10),'Urban Plastix Holds'!N$36:N$498),0)+IFERROR(SUMPRODUCT(('Kilter Holds'!$L$36:$L$370)*('Kilter Holds'!$K$36:$K$370=$A10),'Kilter Holds'!U$36:U$370),0)</f>
        <v>0</v>
      </c>
      <c r="D10" s="150">
        <f>IFERROR(SUMPRODUCT(('Kilter Holds'!$J$36:$J$370)*('Kilter Holds'!$I$36:$I$370=$A10),'Kilter Holds'!V$36:V$370),0)+IFERROR(SUMPRODUCT(('Urban Plastix Holds'!$H$36:$H$498)*('Urban Plastix Holds'!$F$36:$F$498=$A10),'Urban Plastix Holds'!O$36:O$498),0)+IFERROR(SUMPRODUCT(('Kilter Holds'!$L$36:$L$370)*('Kilter Holds'!$K$36:$K$370=$A10),'Kilter Holds'!V$36:V$370),0)</f>
        <v>0</v>
      </c>
      <c r="E10" s="150">
        <f>IFERROR(SUMPRODUCT(('Kilter Holds'!$J$36:$J$370)*('Kilter Holds'!$I$36:$I$370=$A10),'Kilter Holds'!W$36:W$370),0)+IFERROR(SUMPRODUCT(('Urban Plastix Holds'!$H$36:$H$498)*('Urban Plastix Holds'!$F$36:$F$498=$A10),'Urban Plastix Holds'!P$36:P$498),0)+IFERROR(SUMPRODUCT(('Kilter Holds'!$L$36:$L$370)*('Kilter Holds'!$K$36:$K$370=$A10),'Kilter Holds'!W$36:W$370),0)</f>
        <v>0</v>
      </c>
      <c r="F10" s="150">
        <f>IFERROR(SUMPRODUCT(('Kilter Holds'!$J$36:$J$370)*('Kilter Holds'!$I$36:$I$370=$A10),'Kilter Holds'!X$36:X$370),0)+IFERROR(SUMPRODUCT(('Urban Plastix Holds'!$H$36:$H$498)*('Urban Plastix Holds'!$F$36:$F$498=$A10),'Urban Plastix Holds'!Q$36:Q$498),0)+IFERROR(SUMPRODUCT(('Kilter Holds'!$L$36:$L$370)*('Kilter Holds'!$K$36:$K$370=$A10),'Kilter Holds'!X$36:X$370),0)</f>
        <v>0</v>
      </c>
      <c r="G10" s="150">
        <f>IFERROR(SUMPRODUCT(('Kilter Holds'!$J$36:$J$370)*('Kilter Holds'!$I$36:$I$370=$A10),'Kilter Holds'!Y$36:Y$370),0)+IFERROR(SUMPRODUCT(('Urban Plastix Holds'!$H$36:$H$498)*('Urban Plastix Holds'!$F$36:$F$498=$A10),'Urban Plastix Holds'!R$36:R$498),0)+IFERROR(SUMPRODUCT(('Kilter Holds'!$L$36:$L$370)*('Kilter Holds'!$K$36:$K$370=$A10),'Kilter Holds'!Y$36:Y$370),0)</f>
        <v>0</v>
      </c>
      <c r="H10" s="150">
        <f>IFERROR(SUMPRODUCT(('Kilter Holds'!$J$36:$J$370)*('Kilter Holds'!$I$36:$I$370=$A10),'Kilter Holds'!Z$36:Z$370),0)+IFERROR(SUMPRODUCT(('Urban Plastix Holds'!$H$36:$H$498)*('Urban Plastix Holds'!$F$36:$F$498=$A10),'Urban Plastix Holds'!S$36:S$498),0)+IFERROR(SUMPRODUCT(('Kilter Holds'!$L$36:$L$370)*('Kilter Holds'!$K$36:$K$370=$A10),'Kilter Holds'!Z$36:Z$370),0)</f>
        <v>0</v>
      </c>
      <c r="I10" s="150">
        <f>IFERROR(SUMPRODUCT(('Kilter Holds'!$J$36:$J$370)*('Kilter Holds'!$I$36:$I$370=$A10),'Kilter Holds'!AA$36:AA$370),0)+IFERROR(SUMPRODUCT(('Urban Plastix Holds'!$H$36:$H$498)*('Urban Plastix Holds'!$F$36:$F$498=$A10),'Urban Plastix Holds'!T$36:T$498),0)+IFERROR(SUMPRODUCT(('Kilter Holds'!$L$36:$L$370)*('Kilter Holds'!$K$36:$K$370=$A10),'Kilter Holds'!AA$36:AA$370),0)</f>
        <v>0</v>
      </c>
      <c r="J10" s="428">
        <f>IFERROR(SUMPRODUCT(('Kilter Holds'!$J$36:$J$370)*('Kilter Holds'!$I$36:$I$370=$A10),'Kilter Holds'!AB$36:AB$370),0)+IFERROR(SUMPRODUCT(('Urban Plastix Holds'!$H$36:$H$498)*('Urban Plastix Holds'!$F$36:$F$498=$A10),'Urban Plastix Holds'!U$36:U$498),0)+IFERROR(SUMPRODUCT(('Kilter Holds'!$L$36:$L$370)*('Kilter Holds'!$K$36:$K$370=$A10),'Kilter Holds'!AB$36:AB$370),0)</f>
        <v>0</v>
      </c>
      <c r="K10" s="151">
        <f t="shared" si="1"/>
        <v>0</v>
      </c>
      <c r="L10" s="152">
        <f t="shared" si="0"/>
        <v>0</v>
      </c>
      <c r="M10" s="777"/>
    </row>
    <row r="11" spans="1:14" ht="13.5">
      <c r="A11" s="229" t="s">
        <v>458</v>
      </c>
      <c r="B11" s="427">
        <f>IFERROR(SUMPRODUCT(('Kilter Holds'!$J$36:$J$370)*('Kilter Holds'!$I$36:$I$370=$A11),'Kilter Holds'!T$36:T$370),0)+IFERROR(SUMPRODUCT(('Urban Plastix Holds'!$H$36:$H$498)*('Urban Plastix Holds'!$F$36:$F$498=$A11),'Urban Plastix Holds'!M$36:M$498),0)+IFERROR(SUMPRODUCT(('Kilter Holds'!$L$36:$L$370)*('Kilter Holds'!$K$36:$K$370=$A11),'Kilter Holds'!T$36:T$370),0)</f>
        <v>438</v>
      </c>
      <c r="C11" s="150">
        <f>IFERROR(SUMPRODUCT(('Kilter Holds'!$J$36:$J$370)*('Kilter Holds'!$I$36:$I$370=$A11),'Kilter Holds'!U$36:U$370),0)+IFERROR(SUMPRODUCT(('Urban Plastix Holds'!$H$36:$H$498)*('Urban Plastix Holds'!$F$36:$F$498=$A11),'Urban Plastix Holds'!N$36:N$498),0)+IFERROR(SUMPRODUCT(('Kilter Holds'!$L$36:$L$370)*('Kilter Holds'!$K$36:$K$370=$A11),'Kilter Holds'!U$36:U$370),0)</f>
        <v>24</v>
      </c>
      <c r="D11" s="150">
        <f>IFERROR(SUMPRODUCT(('Kilter Holds'!$J$36:$J$370)*('Kilter Holds'!$I$36:$I$370=$A11),'Kilter Holds'!V$36:V$370),0)+IFERROR(SUMPRODUCT(('Urban Plastix Holds'!$H$36:$H$498)*('Urban Plastix Holds'!$F$36:$F$498=$A11),'Urban Plastix Holds'!O$36:O$498),0)+IFERROR(SUMPRODUCT(('Kilter Holds'!$L$36:$L$370)*('Kilter Holds'!$K$36:$K$370=$A11),'Kilter Holds'!V$36:V$370),0)</f>
        <v>718</v>
      </c>
      <c r="E11" s="150">
        <f>IFERROR(SUMPRODUCT(('Kilter Holds'!$J$36:$J$370)*('Kilter Holds'!$I$36:$I$370=$A11),'Kilter Holds'!W$36:W$370),0)+IFERROR(SUMPRODUCT(('Urban Plastix Holds'!$H$36:$H$498)*('Urban Plastix Holds'!$F$36:$F$498=$A11),'Urban Plastix Holds'!P$36:P$498),0)+IFERROR(SUMPRODUCT(('Kilter Holds'!$L$36:$L$370)*('Kilter Holds'!$K$36:$K$370=$A11),'Kilter Holds'!W$36:W$370),0)</f>
        <v>558</v>
      </c>
      <c r="F11" s="150">
        <f>IFERROR(SUMPRODUCT(('Kilter Holds'!$J$36:$J$370)*('Kilter Holds'!$I$36:$I$370=$A11),'Kilter Holds'!X$36:X$370),0)+IFERROR(SUMPRODUCT(('Urban Plastix Holds'!$H$36:$H$498)*('Urban Plastix Holds'!$F$36:$F$498=$A11),'Urban Plastix Holds'!Q$36:Q$498),0)+IFERROR(SUMPRODUCT(('Kilter Holds'!$L$36:$L$370)*('Kilter Holds'!$K$36:$K$370=$A11),'Kilter Holds'!X$36:X$370),0)</f>
        <v>913</v>
      </c>
      <c r="G11" s="150">
        <f>IFERROR(SUMPRODUCT(('Kilter Holds'!$J$36:$J$370)*('Kilter Holds'!$I$36:$I$370=$A11),'Kilter Holds'!Y$36:Y$370),0)+IFERROR(SUMPRODUCT(('Urban Plastix Holds'!$H$36:$H$498)*('Urban Plastix Holds'!$F$36:$F$498=$A11),'Urban Plastix Holds'!R$36:R$498),0)+IFERROR(SUMPRODUCT(('Kilter Holds'!$L$36:$L$370)*('Kilter Holds'!$K$36:$K$370=$A11),'Kilter Holds'!Y$36:Y$370),0)</f>
        <v>393</v>
      </c>
      <c r="H11" s="150">
        <f>IFERROR(SUMPRODUCT(('Kilter Holds'!$J$36:$J$370)*('Kilter Holds'!$I$36:$I$370=$A11),'Kilter Holds'!Z$36:Z$370),0)+IFERROR(SUMPRODUCT(('Urban Plastix Holds'!$H$36:$H$498)*('Urban Plastix Holds'!$F$36:$F$498=$A11),'Urban Plastix Holds'!S$36:S$498),0)+IFERROR(SUMPRODUCT(('Kilter Holds'!$L$36:$L$370)*('Kilter Holds'!$K$36:$K$370=$A11),'Kilter Holds'!Z$36:Z$370),0)</f>
        <v>218</v>
      </c>
      <c r="I11" s="150">
        <f>IFERROR(SUMPRODUCT(('Kilter Holds'!$J$36:$J$370)*('Kilter Holds'!$I$36:$I$370=$A11),'Kilter Holds'!AA$36:AA$370),0)+IFERROR(SUMPRODUCT(('Urban Plastix Holds'!$H$36:$H$498)*('Urban Plastix Holds'!$F$36:$F$498=$A11),'Urban Plastix Holds'!T$36:T$498),0)+IFERROR(SUMPRODUCT(('Kilter Holds'!$L$36:$L$370)*('Kilter Holds'!$K$36:$K$370=$A11),'Kilter Holds'!AA$36:AA$370),0)</f>
        <v>1034</v>
      </c>
      <c r="J11" s="428">
        <f>IFERROR(SUMPRODUCT(('Kilter Holds'!$J$36:$J$370)*('Kilter Holds'!$I$36:$I$370=$A11),'Kilter Holds'!AB$36:AB$370),0)+IFERROR(SUMPRODUCT(('Urban Plastix Holds'!$H$36:$H$498)*('Urban Plastix Holds'!$F$36:$F$498=$A11),'Urban Plastix Holds'!U$36:U$498),0)+IFERROR(SUMPRODUCT(('Kilter Holds'!$L$36:$L$370)*('Kilter Holds'!$K$36:$K$370=$A11),'Kilter Holds'!AB$36:AB$370),0)</f>
        <v>80</v>
      </c>
      <c r="K11" s="151">
        <f t="shared" si="1"/>
        <v>4376</v>
      </c>
      <c r="L11" s="152">
        <f t="shared" si="0"/>
        <v>9.4192604072495592E-2</v>
      </c>
      <c r="M11" s="777"/>
    </row>
    <row r="12" spans="1:14" ht="13.5">
      <c r="A12" s="229" t="s">
        <v>1044</v>
      </c>
      <c r="B12" s="427">
        <f>IFERROR(SUMPRODUCT(('Kilter Holds'!$J$36:$J$370)*('Kilter Holds'!$I$36:$I$370=$A12),'Kilter Holds'!T$36:T$370),0)+IFERROR(SUMPRODUCT(('Urban Plastix Holds'!$H$36:$H$498)*('Urban Plastix Holds'!$F$36:$F$498=$A12),'Urban Plastix Holds'!M$36:M$498),0)+IFERROR(SUMPRODUCT(('Kilter Holds'!$L$36:$L$370)*('Kilter Holds'!$K$36:$K$370=$A12),'Kilter Holds'!T$36:T$370),0)</f>
        <v>0</v>
      </c>
      <c r="C12" s="150">
        <f>IFERROR(SUMPRODUCT(('Kilter Holds'!$J$36:$J$370)*('Kilter Holds'!$I$36:$I$370=$A12),'Kilter Holds'!U$36:U$370),0)+IFERROR(SUMPRODUCT(('Urban Plastix Holds'!$H$36:$H$498)*('Urban Plastix Holds'!$F$36:$F$498=$A12),'Urban Plastix Holds'!N$36:N$498),0)+IFERROR(SUMPRODUCT(('Kilter Holds'!$L$36:$L$370)*('Kilter Holds'!$K$36:$K$370=$A12),'Kilter Holds'!U$36:U$370),0)</f>
        <v>0</v>
      </c>
      <c r="D12" s="150">
        <f>IFERROR(SUMPRODUCT(('Kilter Holds'!$J$36:$J$370)*('Kilter Holds'!$I$36:$I$370=$A12),'Kilter Holds'!V$36:V$370),0)+IFERROR(SUMPRODUCT(('Urban Plastix Holds'!$H$36:$H$498)*('Urban Plastix Holds'!$F$36:$F$498=$A12),'Urban Plastix Holds'!O$36:O$498),0)+IFERROR(SUMPRODUCT(('Kilter Holds'!$L$36:$L$370)*('Kilter Holds'!$K$36:$K$370=$A12),'Kilter Holds'!V$36:V$370),0)</f>
        <v>0</v>
      </c>
      <c r="E12" s="150">
        <f>IFERROR(SUMPRODUCT(('Kilter Holds'!$J$36:$J$370)*('Kilter Holds'!$I$36:$I$370=$A12),'Kilter Holds'!W$36:W$370),0)+IFERROR(SUMPRODUCT(('Urban Plastix Holds'!$H$36:$H$498)*('Urban Plastix Holds'!$F$36:$F$498=$A12),'Urban Plastix Holds'!P$36:P$498),0)+IFERROR(SUMPRODUCT(('Kilter Holds'!$L$36:$L$370)*('Kilter Holds'!$K$36:$K$370=$A12),'Kilter Holds'!W$36:W$370),0)</f>
        <v>0</v>
      </c>
      <c r="F12" s="150">
        <f>IFERROR(SUMPRODUCT(('Kilter Holds'!$J$36:$J$370)*('Kilter Holds'!$I$36:$I$370=$A12),'Kilter Holds'!X$36:X$370),0)+IFERROR(SUMPRODUCT(('Urban Plastix Holds'!$H$36:$H$498)*('Urban Plastix Holds'!$F$36:$F$498=$A12),'Urban Plastix Holds'!Q$36:Q$498),0)+IFERROR(SUMPRODUCT(('Kilter Holds'!$L$36:$L$370)*('Kilter Holds'!$K$36:$K$370=$A12),'Kilter Holds'!X$36:X$370),0)</f>
        <v>0</v>
      </c>
      <c r="G12" s="150">
        <f>IFERROR(SUMPRODUCT(('Kilter Holds'!$J$36:$J$370)*('Kilter Holds'!$I$36:$I$370=$A12),'Kilter Holds'!Y$36:Y$370),0)+IFERROR(SUMPRODUCT(('Urban Plastix Holds'!$H$36:$H$498)*('Urban Plastix Holds'!$F$36:$F$498=$A12),'Urban Plastix Holds'!R$36:R$498),0)+IFERROR(SUMPRODUCT(('Kilter Holds'!$L$36:$L$370)*('Kilter Holds'!$K$36:$K$370=$A12),'Kilter Holds'!Y$36:Y$370),0)</f>
        <v>0</v>
      </c>
      <c r="H12" s="150">
        <f>IFERROR(SUMPRODUCT(('Kilter Holds'!$J$36:$J$370)*('Kilter Holds'!$I$36:$I$370=$A12),'Kilter Holds'!Z$36:Z$370),0)+IFERROR(SUMPRODUCT(('Urban Plastix Holds'!$H$36:$H$498)*('Urban Plastix Holds'!$F$36:$F$498=$A12),'Urban Plastix Holds'!S$36:S$498),0)+IFERROR(SUMPRODUCT(('Kilter Holds'!$L$36:$L$370)*('Kilter Holds'!$K$36:$K$370=$A12),'Kilter Holds'!Z$36:Z$370),0)</f>
        <v>0</v>
      </c>
      <c r="I12" s="150">
        <f>IFERROR(SUMPRODUCT(('Kilter Holds'!$J$36:$J$370)*('Kilter Holds'!$I$36:$I$370=$A12),'Kilter Holds'!AA$36:AA$370),0)+IFERROR(SUMPRODUCT(('Urban Plastix Holds'!$H$36:$H$498)*('Urban Plastix Holds'!$F$36:$F$498=$A12),'Urban Plastix Holds'!T$36:T$498),0)+IFERROR(SUMPRODUCT(('Kilter Holds'!$L$36:$L$370)*('Kilter Holds'!$K$36:$K$370=$A12),'Kilter Holds'!AA$36:AA$370),0)</f>
        <v>0</v>
      </c>
      <c r="J12" s="428">
        <f>IFERROR(SUMPRODUCT(('Kilter Holds'!$J$36:$J$370)*('Kilter Holds'!$I$36:$I$370=$A12),'Kilter Holds'!AB$36:AB$370),0)+IFERROR(SUMPRODUCT(('Urban Plastix Holds'!$H$36:$H$498)*('Urban Plastix Holds'!$F$36:$F$498=$A12),'Urban Plastix Holds'!U$36:U$498),0)+IFERROR(SUMPRODUCT(('Kilter Holds'!$L$36:$L$370)*('Kilter Holds'!$K$36:$K$370=$A12),'Kilter Holds'!AB$36:AB$370),0)</f>
        <v>0</v>
      </c>
      <c r="K12" s="151">
        <f t="shared" ref="K12" si="2">SUM(B12:J12)</f>
        <v>0</v>
      </c>
      <c r="L12" s="152">
        <f t="shared" si="0"/>
        <v>0</v>
      </c>
      <c r="M12" s="777"/>
    </row>
    <row r="13" spans="1:14" ht="13.5">
      <c r="A13" s="229" t="s">
        <v>459</v>
      </c>
      <c r="B13" s="427">
        <f>IFERROR(SUMPRODUCT(('Kilter Holds'!$J$36:$J$370)*('Kilter Holds'!$I$36:$I$370=$A13),'Kilter Holds'!T$36:T$370),0)+IFERROR(SUMPRODUCT(('Urban Plastix Holds'!$H$36:$H$498)*('Urban Plastix Holds'!$F$36:$F$498=$A13),'Urban Plastix Holds'!M$36:M$498),0)+IFERROR(SUMPRODUCT(('Kilter Holds'!$L$36:$L$370)*('Kilter Holds'!$K$36:$K$370=$A13),'Kilter Holds'!T$36:T$370),0)</f>
        <v>524</v>
      </c>
      <c r="C13" s="150">
        <f>IFERROR(SUMPRODUCT(('Kilter Holds'!$J$36:$J$370)*('Kilter Holds'!$I$36:$I$370=$A13),'Kilter Holds'!U$36:U$370),0)+IFERROR(SUMPRODUCT(('Urban Plastix Holds'!$H$36:$H$498)*('Urban Plastix Holds'!$F$36:$F$498=$A13),'Urban Plastix Holds'!N$36:N$498),0)+IFERROR(SUMPRODUCT(('Kilter Holds'!$L$36:$L$370)*('Kilter Holds'!$K$36:$K$370=$A13),'Kilter Holds'!U$36:U$370),0)</f>
        <v>52</v>
      </c>
      <c r="D13" s="150">
        <f>IFERROR(SUMPRODUCT(('Kilter Holds'!$J$36:$J$370)*('Kilter Holds'!$I$36:$I$370=$A13),'Kilter Holds'!V$36:V$370),0)+IFERROR(SUMPRODUCT(('Urban Plastix Holds'!$H$36:$H$498)*('Urban Plastix Holds'!$F$36:$F$498=$A13),'Urban Plastix Holds'!O$36:O$498),0)+IFERROR(SUMPRODUCT(('Kilter Holds'!$L$36:$L$370)*('Kilter Holds'!$K$36:$K$370=$A13),'Kilter Holds'!V$36:V$370),0)</f>
        <v>614</v>
      </c>
      <c r="E13" s="150">
        <f>IFERROR(SUMPRODUCT(('Kilter Holds'!$J$36:$J$370)*('Kilter Holds'!$I$36:$I$370=$A13),'Kilter Holds'!W$36:W$370),0)+IFERROR(SUMPRODUCT(('Urban Plastix Holds'!$H$36:$H$498)*('Urban Plastix Holds'!$F$36:$F$498=$A13),'Urban Plastix Holds'!P$36:P$498),0)+IFERROR(SUMPRODUCT(('Kilter Holds'!$L$36:$L$370)*('Kilter Holds'!$K$36:$K$370=$A13),'Kilter Holds'!W$36:W$370),0)</f>
        <v>564</v>
      </c>
      <c r="F13" s="150">
        <f>IFERROR(SUMPRODUCT(('Kilter Holds'!$J$36:$J$370)*('Kilter Holds'!$I$36:$I$370=$A13),'Kilter Holds'!X$36:X$370),0)+IFERROR(SUMPRODUCT(('Urban Plastix Holds'!$H$36:$H$498)*('Urban Plastix Holds'!$F$36:$F$498=$A13),'Urban Plastix Holds'!Q$36:Q$498),0)+IFERROR(SUMPRODUCT(('Kilter Holds'!$L$36:$L$370)*('Kilter Holds'!$K$36:$K$370=$A13),'Kilter Holds'!X$36:X$370),0)</f>
        <v>671</v>
      </c>
      <c r="G13" s="150">
        <f>IFERROR(SUMPRODUCT(('Kilter Holds'!$J$36:$J$370)*('Kilter Holds'!$I$36:$I$370=$A13),'Kilter Holds'!Y$36:Y$370),0)+IFERROR(SUMPRODUCT(('Urban Plastix Holds'!$H$36:$H$498)*('Urban Plastix Holds'!$F$36:$F$498=$A13),'Urban Plastix Holds'!R$36:R$498),0)+IFERROR(SUMPRODUCT(('Kilter Holds'!$L$36:$L$370)*('Kilter Holds'!$K$36:$K$370=$A13),'Kilter Holds'!Y$36:Y$370),0)</f>
        <v>323</v>
      </c>
      <c r="H13" s="150">
        <f>IFERROR(SUMPRODUCT(('Kilter Holds'!$J$36:$J$370)*('Kilter Holds'!$I$36:$I$370=$A13),'Kilter Holds'!Z$36:Z$370),0)+IFERROR(SUMPRODUCT(('Urban Plastix Holds'!$H$36:$H$498)*('Urban Plastix Holds'!$F$36:$F$498=$A13),'Urban Plastix Holds'!S$36:S$498),0)+IFERROR(SUMPRODUCT(('Kilter Holds'!$L$36:$L$370)*('Kilter Holds'!$K$36:$K$370=$A13),'Kilter Holds'!Z$36:Z$370),0)</f>
        <v>256</v>
      </c>
      <c r="I13" s="150">
        <f>IFERROR(SUMPRODUCT(('Kilter Holds'!$J$36:$J$370)*('Kilter Holds'!$I$36:$I$370=$A13),'Kilter Holds'!AA$36:AA$370),0)+IFERROR(SUMPRODUCT(('Urban Plastix Holds'!$H$36:$H$498)*('Urban Plastix Holds'!$F$36:$F$498=$A13),'Urban Plastix Holds'!T$36:T$498),0)+IFERROR(SUMPRODUCT(('Kilter Holds'!$L$36:$L$370)*('Kilter Holds'!$K$36:$K$370=$A13),'Kilter Holds'!AA$36:AA$370),0)</f>
        <v>1003</v>
      </c>
      <c r="J13" s="428">
        <f>IFERROR(SUMPRODUCT(('Kilter Holds'!$J$36:$J$370)*('Kilter Holds'!$I$36:$I$370=$A13),'Kilter Holds'!AB$36:AB$370),0)+IFERROR(SUMPRODUCT(('Urban Plastix Holds'!$H$36:$H$498)*('Urban Plastix Holds'!$F$36:$F$498=$A13),'Urban Plastix Holds'!U$36:U$498),0)+IFERROR(SUMPRODUCT(('Kilter Holds'!$L$36:$L$370)*('Kilter Holds'!$K$36:$K$370=$A13),'Kilter Holds'!AB$36:AB$370),0)</f>
        <v>175</v>
      </c>
      <c r="K13" s="151">
        <f t="shared" si="1"/>
        <v>4182</v>
      </c>
      <c r="L13" s="152">
        <f t="shared" si="0"/>
        <v>9.0016789358129928E-2</v>
      </c>
      <c r="M13" s="777"/>
    </row>
    <row r="14" spans="1:14" ht="14" thickBot="1">
      <c r="A14" s="230" t="s">
        <v>456</v>
      </c>
      <c r="B14" s="429">
        <f>IFERROR(SUMPRODUCT(('Kilter Holds'!$J$36:$J$370)*('Kilter Holds'!$I$36:$I$370=$A14),'Kilter Holds'!T$36:T$370),0)+IFERROR(SUMPRODUCT(('Urban Plastix Holds'!$H$36:$H$498)*('Urban Plastix Holds'!$F$36:$F$498=$A14),'Urban Plastix Holds'!M$36:M$498),0)+IFERROR(SUMPRODUCT(('Kilter Holds'!$L$36:$L$370)*('Kilter Holds'!$K$36:$K$370=$A14),'Kilter Holds'!T$36:T$370),0)</f>
        <v>1195</v>
      </c>
      <c r="C14" s="153">
        <f>IFERROR(SUMPRODUCT(('Kilter Holds'!$J$36:$J$370)*('Kilter Holds'!$I$36:$I$370=$A14),'Kilter Holds'!U$36:U$370),0)+IFERROR(SUMPRODUCT(('Urban Plastix Holds'!$H$36:$H$498)*('Urban Plastix Holds'!$F$36:$F$498=$A14),'Urban Plastix Holds'!N$36:N$498),0)+IFERROR(SUMPRODUCT(('Kilter Holds'!$L$36:$L$370)*('Kilter Holds'!$K$36:$K$370=$A14),'Kilter Holds'!U$36:U$370),0)</f>
        <v>148</v>
      </c>
      <c r="D14" s="153">
        <f>IFERROR(SUMPRODUCT(('Kilter Holds'!$J$36:$J$370)*('Kilter Holds'!$I$36:$I$370=$A14),'Kilter Holds'!V$36:V$370),0)+IFERROR(SUMPRODUCT(('Urban Plastix Holds'!$H$36:$H$498)*('Urban Plastix Holds'!$F$36:$F$498=$A14),'Urban Plastix Holds'!O$36:O$498),0)+IFERROR(SUMPRODUCT(('Kilter Holds'!$L$36:$L$370)*('Kilter Holds'!$K$36:$K$370=$A14),'Kilter Holds'!V$36:V$370),0)</f>
        <v>1365</v>
      </c>
      <c r="E14" s="153">
        <f>IFERROR(SUMPRODUCT(('Kilter Holds'!$J$36:$J$370)*('Kilter Holds'!$I$36:$I$370=$A14),'Kilter Holds'!W$36:W$370),0)+IFERROR(SUMPRODUCT(('Urban Plastix Holds'!$H$36:$H$498)*('Urban Plastix Holds'!$F$36:$F$498=$A14),'Urban Plastix Holds'!P$36:P$498),0)+IFERROR(SUMPRODUCT(('Kilter Holds'!$L$36:$L$370)*('Kilter Holds'!$K$36:$K$370=$A14),'Kilter Holds'!W$36:W$370),0)</f>
        <v>901</v>
      </c>
      <c r="F14" s="153">
        <f>IFERROR(SUMPRODUCT(('Kilter Holds'!$J$36:$J$370)*('Kilter Holds'!$I$36:$I$370=$A14),'Kilter Holds'!X$36:X$370),0)+IFERROR(SUMPRODUCT(('Urban Plastix Holds'!$H$36:$H$498)*('Urban Plastix Holds'!$F$36:$F$498=$A14),'Urban Plastix Holds'!Q$36:Q$498),0)+IFERROR(SUMPRODUCT(('Kilter Holds'!$L$36:$L$370)*('Kilter Holds'!$K$36:$K$370=$A14),'Kilter Holds'!X$36:X$370),0)</f>
        <v>1510</v>
      </c>
      <c r="G14" s="153">
        <f>IFERROR(SUMPRODUCT(('Kilter Holds'!$J$36:$J$370)*('Kilter Holds'!$I$36:$I$370=$A14),'Kilter Holds'!Y$36:Y$370),0)+IFERROR(SUMPRODUCT(('Urban Plastix Holds'!$H$36:$H$498)*('Urban Plastix Holds'!$F$36:$F$498=$A14),'Urban Plastix Holds'!R$36:R$498),0)+IFERROR(SUMPRODUCT(('Kilter Holds'!$L$36:$L$370)*('Kilter Holds'!$K$36:$K$370=$A14),'Kilter Holds'!Y$36:Y$370),0)</f>
        <v>646</v>
      </c>
      <c r="H14" s="153">
        <f>IFERROR(SUMPRODUCT(('Kilter Holds'!$J$36:$J$370)*('Kilter Holds'!$I$36:$I$370=$A14),'Kilter Holds'!Z$36:Z$370),0)+IFERROR(SUMPRODUCT(('Urban Plastix Holds'!$H$36:$H$498)*('Urban Plastix Holds'!$F$36:$F$498=$A14),'Urban Plastix Holds'!S$36:S$498),0)+IFERROR(SUMPRODUCT(('Kilter Holds'!$L$36:$L$370)*('Kilter Holds'!$K$36:$K$370=$A14),'Kilter Holds'!Z$36:Z$370),0)</f>
        <v>602</v>
      </c>
      <c r="I14" s="153">
        <f>IFERROR(SUMPRODUCT(('Kilter Holds'!$J$36:$J$370)*('Kilter Holds'!$I$36:$I$370=$A14),'Kilter Holds'!AA$36:AA$370),0)+IFERROR(SUMPRODUCT(('Urban Plastix Holds'!$H$36:$H$498)*('Urban Plastix Holds'!$F$36:$F$498=$A14),'Urban Plastix Holds'!T$36:T$498),0)+IFERROR(SUMPRODUCT(('Kilter Holds'!$L$36:$L$370)*('Kilter Holds'!$K$36:$K$370=$A14),'Kilter Holds'!AA$36:AA$370),0)</f>
        <v>1953</v>
      </c>
      <c r="J14" s="430">
        <f>IFERROR(SUMPRODUCT(('Kilter Holds'!$J$36:$J$370)*('Kilter Holds'!$I$36:$I$370=$A14),'Kilter Holds'!AB$36:AB$370),0)+IFERROR(SUMPRODUCT(('Urban Plastix Holds'!$H$36:$H$498)*('Urban Plastix Holds'!$F$36:$F$498=$A14),'Urban Plastix Holds'!U$36:U$498),0)+IFERROR(SUMPRODUCT(('Kilter Holds'!$L$36:$L$370)*('Kilter Holds'!$K$36:$K$370=$A14),'Kilter Holds'!AB$36:AB$370),0)</f>
        <v>174</v>
      </c>
      <c r="K14" s="154">
        <f t="shared" si="1"/>
        <v>8494</v>
      </c>
      <c r="L14" s="152">
        <f t="shared" si="0"/>
        <v>0.18283180507124716</v>
      </c>
      <c r="M14" s="778"/>
    </row>
    <row r="15" spans="1:14" ht="14" thickBot="1">
      <c r="A15" s="412" t="s">
        <v>454</v>
      </c>
      <c r="B15" s="431">
        <f>IFERROR(SUMPRODUCT(('Kilter Holds'!$J$36:$J$370)*('Kilter Holds'!$I$36:$I$370=$A15),'Kilter Holds'!T$36:T$370),0)+IFERROR(SUMPRODUCT(('Urban Plastix Holds'!$H$36:$H$498)*('Urban Plastix Holds'!$F$36:$F$498=$A15),'Urban Plastix Holds'!M$36:M$498),0)+IFERROR(SUMPRODUCT(('Kilter Holds'!$L$36:$L$370)*('Kilter Holds'!$K$36:$K$370=$A15),'Kilter Holds'!T$36:T$370),0)</f>
        <v>570</v>
      </c>
      <c r="C15" s="432">
        <f>IFERROR(SUMPRODUCT(('Kilter Holds'!$J$36:$J$370)*('Kilter Holds'!$I$36:$I$370=$A15),'Kilter Holds'!U$36:U$370),0)+IFERROR(SUMPRODUCT(('Urban Plastix Holds'!$H$36:$H$498)*('Urban Plastix Holds'!$F$36:$F$498=$A15),'Urban Plastix Holds'!N$36:N$498),0)+IFERROR(SUMPRODUCT(('Kilter Holds'!$L$36:$L$370)*('Kilter Holds'!$K$36:$K$370=$A15),'Kilter Holds'!U$36:U$370),0)</f>
        <v>100</v>
      </c>
      <c r="D15" s="432">
        <f>IFERROR(SUMPRODUCT(('Kilter Holds'!$J$36:$J$370)*('Kilter Holds'!$I$36:$I$370=$A15),'Kilter Holds'!V$36:V$370),0)+IFERROR(SUMPRODUCT(('Urban Plastix Holds'!$H$36:$H$498)*('Urban Plastix Holds'!$F$36:$F$498=$A15),'Urban Plastix Holds'!O$36:O$498),0)+IFERROR(SUMPRODUCT(('Kilter Holds'!$L$36:$L$370)*('Kilter Holds'!$K$36:$K$370=$A15),'Kilter Holds'!V$36:V$370),0)</f>
        <v>1201</v>
      </c>
      <c r="E15" s="432">
        <f>IFERROR(SUMPRODUCT(('Kilter Holds'!$J$36:$J$370)*('Kilter Holds'!$I$36:$I$370=$A15),'Kilter Holds'!W$36:W$370),0)+IFERROR(SUMPRODUCT(('Urban Plastix Holds'!$H$36:$H$498)*('Urban Plastix Holds'!$F$36:$F$498=$A15),'Urban Plastix Holds'!P$36:P$498),0)+IFERROR(SUMPRODUCT(('Kilter Holds'!$L$36:$L$370)*('Kilter Holds'!$K$36:$K$370=$A15),'Kilter Holds'!W$36:W$370),0)</f>
        <v>470</v>
      </c>
      <c r="F15" s="432">
        <f>IFERROR(SUMPRODUCT(('Kilter Holds'!$J$36:$J$370)*('Kilter Holds'!$I$36:$I$370=$A15),'Kilter Holds'!X$36:X$370),0)+IFERROR(SUMPRODUCT(('Urban Plastix Holds'!$H$36:$H$498)*('Urban Plastix Holds'!$F$36:$F$498=$A15),'Urban Plastix Holds'!Q$36:Q$498),0)+IFERROR(SUMPRODUCT(('Kilter Holds'!$L$36:$L$370)*('Kilter Holds'!$K$36:$K$370=$A15),'Kilter Holds'!X$36:X$370),0)</f>
        <v>1965</v>
      </c>
      <c r="G15" s="432">
        <f>IFERROR(SUMPRODUCT(('Kilter Holds'!$J$36:$J$370)*('Kilter Holds'!$I$36:$I$370=$A15),'Kilter Holds'!Y$36:Y$370),0)+IFERROR(SUMPRODUCT(('Urban Plastix Holds'!$H$36:$H$498)*('Urban Plastix Holds'!$F$36:$F$498=$A15),'Urban Plastix Holds'!R$36:R$498),0)+IFERROR(SUMPRODUCT(('Kilter Holds'!$L$36:$L$370)*('Kilter Holds'!$K$36:$K$370=$A15),'Kilter Holds'!Y$36:Y$370),0)</f>
        <v>290</v>
      </c>
      <c r="H15" s="432">
        <f>IFERROR(SUMPRODUCT(('Kilter Holds'!$J$36:$J$370)*('Kilter Holds'!$I$36:$I$370=$A15),'Kilter Holds'!Z$36:Z$370),0)+IFERROR(SUMPRODUCT(('Urban Plastix Holds'!$H$36:$H$498)*('Urban Plastix Holds'!$F$36:$F$498=$A15),'Urban Plastix Holds'!S$36:S$498),0)+IFERROR(SUMPRODUCT(('Kilter Holds'!$L$36:$L$370)*('Kilter Holds'!$K$36:$K$370=$A15),'Kilter Holds'!Z$36:Z$370),0)</f>
        <v>265</v>
      </c>
      <c r="I15" s="432">
        <f>IFERROR(SUMPRODUCT(('Kilter Holds'!$J$36:$J$370)*('Kilter Holds'!$I$36:$I$370=$A15),'Kilter Holds'!AA$36:AA$370),0)+IFERROR(SUMPRODUCT(('Urban Plastix Holds'!$H$36:$H$498)*('Urban Plastix Holds'!$F$36:$F$498=$A15),'Urban Plastix Holds'!T$36:T$498),0)+IFERROR(SUMPRODUCT(('Kilter Holds'!$L$36:$L$370)*('Kilter Holds'!$K$36:$K$370=$A15),'Kilter Holds'!AA$36:AA$370),0)</f>
        <v>1602</v>
      </c>
      <c r="J15" s="433">
        <f>IFERROR(SUMPRODUCT(('Kilter Holds'!$J$36:$J$370)*('Kilter Holds'!$I$36:$I$370=$A15),'Kilter Holds'!AB$36:AB$370),0)+IFERROR(SUMPRODUCT(('Urban Plastix Holds'!$H$36:$H$498)*('Urban Plastix Holds'!$F$36:$F$498=$A15),'Urban Plastix Holds'!U$36:U$498),0)+IFERROR(SUMPRODUCT(('Kilter Holds'!$L$36:$L$370)*('Kilter Holds'!$K$36:$K$370=$A15),'Kilter Holds'!AB$36:AB$370),0)</f>
        <v>185</v>
      </c>
      <c r="K15" s="413">
        <f t="shared" si="1"/>
        <v>6648</v>
      </c>
      <c r="L15" s="156">
        <f t="shared" si="0"/>
        <v>0.14309699083042748</v>
      </c>
      <c r="M15" s="157">
        <f>L15</f>
        <v>0.14309699083042748</v>
      </c>
    </row>
    <row r="16" spans="1:14" ht="14" thickBot="1">
      <c r="A16" s="412" t="s">
        <v>2250</v>
      </c>
      <c r="B16" s="431">
        <f>IFERROR(SUMPRODUCT(('Kilter Holds'!$J$36:$J$370)*('Kilter Holds'!$I$36:$I$370=$A16),'Kilter Holds'!T$36:T$370),0)+IFERROR(SUMPRODUCT(('Urban Plastix Holds'!$H$36:$H$498)*('Urban Plastix Holds'!$F$36:$F$498=$A16),'Urban Plastix Holds'!M$36:M$498),0)+IFERROR(SUMPRODUCT(('Kilter Holds'!$L$36:$L$370)*('Kilter Holds'!$K$36:$K$370=$A16),'Kilter Holds'!T$36:T$370),0)</f>
        <v>0</v>
      </c>
      <c r="C16" s="432">
        <f>IFERROR(SUMPRODUCT(('Kilter Holds'!$J$36:$J$370)*('Kilter Holds'!$I$36:$I$370=$A16),'Kilter Holds'!U$36:U$370),0)+IFERROR(SUMPRODUCT(('Urban Plastix Holds'!$H$36:$H$498)*('Urban Plastix Holds'!$F$36:$F$498=$A16),'Urban Plastix Holds'!N$36:N$498),0)+IFERROR(SUMPRODUCT(('Kilter Holds'!$L$36:$L$370)*('Kilter Holds'!$K$36:$K$370=$A16),'Kilter Holds'!U$36:U$370),0)</f>
        <v>0</v>
      </c>
      <c r="D16" s="432">
        <f>IFERROR(SUMPRODUCT(('Kilter Holds'!$J$36:$J$370)*('Kilter Holds'!$I$36:$I$370=$A16),'Kilter Holds'!V$36:V$370),0)+IFERROR(SUMPRODUCT(('Urban Plastix Holds'!$H$36:$H$498)*('Urban Plastix Holds'!$F$36:$F$498=$A16),'Urban Plastix Holds'!O$36:O$498),0)+IFERROR(SUMPRODUCT(('Kilter Holds'!$L$36:$L$370)*('Kilter Holds'!$K$36:$K$370=$A16),'Kilter Holds'!V$36:V$370),0)</f>
        <v>0</v>
      </c>
      <c r="E16" s="432">
        <f>IFERROR(SUMPRODUCT(('Kilter Holds'!$J$36:$J$370)*('Kilter Holds'!$I$36:$I$370=$A16),'Kilter Holds'!W$36:W$370),0)+IFERROR(SUMPRODUCT(('Urban Plastix Holds'!$H$36:$H$498)*('Urban Plastix Holds'!$F$36:$F$498=$A16),'Urban Plastix Holds'!P$36:P$498),0)+IFERROR(SUMPRODUCT(('Kilter Holds'!$L$36:$L$370)*('Kilter Holds'!$K$36:$K$370=$A16),'Kilter Holds'!W$36:W$370),0)</f>
        <v>0</v>
      </c>
      <c r="F16" s="432">
        <f>IFERROR(SUMPRODUCT(('Kilter Holds'!$J$36:$J$370)*('Kilter Holds'!$I$36:$I$370=$A16),'Kilter Holds'!X$36:X$370),0)+IFERROR(SUMPRODUCT(('Urban Plastix Holds'!$H$36:$H$498)*('Urban Plastix Holds'!$F$36:$F$498=$A16),'Urban Plastix Holds'!Q$36:Q$498),0)+IFERROR(SUMPRODUCT(('Kilter Holds'!$L$36:$L$370)*('Kilter Holds'!$K$36:$K$370=$A16),'Kilter Holds'!X$36:X$370),0)</f>
        <v>0</v>
      </c>
      <c r="G16" s="432">
        <f>IFERROR(SUMPRODUCT(('Kilter Holds'!$J$36:$J$370)*('Kilter Holds'!$I$36:$I$370=$A16),'Kilter Holds'!Y$36:Y$370),0)+IFERROR(SUMPRODUCT(('Urban Plastix Holds'!$H$36:$H$498)*('Urban Plastix Holds'!$F$36:$F$498=$A16),'Urban Plastix Holds'!R$36:R$498),0)+IFERROR(SUMPRODUCT(('Kilter Holds'!$L$36:$L$370)*('Kilter Holds'!$K$36:$K$370=$A16),'Kilter Holds'!Y$36:Y$370),0)</f>
        <v>0</v>
      </c>
      <c r="H16" s="432">
        <f>IFERROR(SUMPRODUCT(('Kilter Holds'!$J$36:$J$370)*('Kilter Holds'!$I$36:$I$370=$A16),'Kilter Holds'!Z$36:Z$370),0)+IFERROR(SUMPRODUCT(('Urban Plastix Holds'!$H$36:$H$498)*('Urban Plastix Holds'!$F$36:$F$498=$A16),'Urban Plastix Holds'!S$36:S$498),0)+IFERROR(SUMPRODUCT(('Kilter Holds'!$L$36:$L$370)*('Kilter Holds'!$K$36:$K$370=$A16),'Kilter Holds'!Z$36:Z$370),0)</f>
        <v>0</v>
      </c>
      <c r="I16" s="432">
        <f>IFERROR(SUMPRODUCT(('Kilter Holds'!$J$36:$J$370)*('Kilter Holds'!$I$36:$I$370=$A16),'Kilter Holds'!AA$36:AA$370),0)+IFERROR(SUMPRODUCT(('Urban Plastix Holds'!$H$36:$H$498)*('Urban Plastix Holds'!$F$36:$F$498=$A16),'Urban Plastix Holds'!T$36:T$498),0)+IFERROR(SUMPRODUCT(('Kilter Holds'!$L$36:$L$370)*('Kilter Holds'!$K$36:$K$370=$A16),'Kilter Holds'!AA$36:AA$370),0)</f>
        <v>0</v>
      </c>
      <c r="J16" s="433">
        <f>IFERROR(SUMPRODUCT(('Kilter Holds'!$J$36:$J$370)*('Kilter Holds'!$I$36:$I$370=$A16),'Kilter Holds'!AB$36:AB$370),0)+IFERROR(SUMPRODUCT(('Urban Plastix Holds'!$H$36:$H$498)*('Urban Plastix Holds'!$F$36:$F$498=$A16),'Urban Plastix Holds'!U$36:U$498),0)+IFERROR(SUMPRODUCT(('Kilter Holds'!$L$36:$L$370)*('Kilter Holds'!$K$36:$K$370=$A16),'Kilter Holds'!AB$36:AB$370),0)</f>
        <v>0</v>
      </c>
      <c r="K16" s="413">
        <f t="shared" si="1"/>
        <v>0</v>
      </c>
      <c r="L16" s="156">
        <f t="shared" si="0"/>
        <v>0</v>
      </c>
      <c r="M16" s="157">
        <f>L16</f>
        <v>0</v>
      </c>
    </row>
    <row r="17" spans="1:27" ht="14" thickBot="1">
      <c r="A17" s="412" t="s">
        <v>2114</v>
      </c>
      <c r="B17" s="431">
        <f>IFERROR(SUMPRODUCT(('Kilter Holds'!$J$36:$J$370)*('Kilter Holds'!$I$36:$I$370=$A17),'Kilter Holds'!T$36:T$370),0)+IFERROR(SUMPRODUCT(('Urban Plastix Holds'!$H$36:$H$498)*('Urban Plastix Holds'!$F$36:$F$498=$A17),'Urban Plastix Holds'!M$36:M$498),0)+IFERROR(SUMPRODUCT(('Kilter Holds'!$L$36:$L$370)*('Kilter Holds'!$K$36:$K$370=$A17),'Kilter Holds'!T$36:T$370),0)</f>
        <v>0</v>
      </c>
      <c r="C17" s="432">
        <f>IFERROR(SUMPRODUCT(('Kilter Holds'!$J$36:$J$370)*('Kilter Holds'!$I$36:$I$370=$A17),'Kilter Holds'!U$36:U$370),0)+IFERROR(SUMPRODUCT(('Urban Plastix Holds'!$H$36:$H$498)*('Urban Plastix Holds'!$F$36:$F$498=$A17),'Urban Plastix Holds'!N$36:N$498),0)+IFERROR(SUMPRODUCT(('Kilter Holds'!$L$36:$L$370)*('Kilter Holds'!$K$36:$K$370=$A17),'Kilter Holds'!U$36:U$370),0)</f>
        <v>0</v>
      </c>
      <c r="D17" s="432">
        <f>IFERROR(SUMPRODUCT(('Kilter Holds'!$J$36:$J$370)*('Kilter Holds'!$I$36:$I$370=$A17),'Kilter Holds'!V$36:V$370),0)+IFERROR(SUMPRODUCT(('Urban Plastix Holds'!$H$36:$H$498)*('Urban Plastix Holds'!$F$36:$F$498=$A17),'Urban Plastix Holds'!O$36:O$498),0)+IFERROR(SUMPRODUCT(('Kilter Holds'!$L$36:$L$370)*('Kilter Holds'!$K$36:$K$370=$A17),'Kilter Holds'!V$36:V$370),0)</f>
        <v>0</v>
      </c>
      <c r="E17" s="432">
        <f>IFERROR(SUMPRODUCT(('Kilter Holds'!$J$36:$J$370)*('Kilter Holds'!$I$36:$I$370=$A17),'Kilter Holds'!W$36:W$370),0)+IFERROR(SUMPRODUCT(('Urban Plastix Holds'!$H$36:$H$498)*('Urban Plastix Holds'!$F$36:$F$498=$A17),'Urban Plastix Holds'!P$36:P$498),0)+IFERROR(SUMPRODUCT(('Kilter Holds'!$L$36:$L$370)*('Kilter Holds'!$K$36:$K$370=$A17),'Kilter Holds'!W$36:W$370),0)</f>
        <v>0</v>
      </c>
      <c r="F17" s="432">
        <f>IFERROR(SUMPRODUCT(('Kilter Holds'!$J$36:$J$370)*('Kilter Holds'!$I$36:$I$370=$A17),'Kilter Holds'!X$36:X$370),0)+IFERROR(SUMPRODUCT(('Urban Plastix Holds'!$H$36:$H$498)*('Urban Plastix Holds'!$F$36:$F$498=$A17),'Urban Plastix Holds'!Q$36:Q$498),0)+IFERROR(SUMPRODUCT(('Kilter Holds'!$L$36:$L$370)*('Kilter Holds'!$K$36:$K$370=$A17),'Kilter Holds'!X$36:X$370),0)</f>
        <v>0</v>
      </c>
      <c r="G17" s="432">
        <f>IFERROR(SUMPRODUCT(('Kilter Holds'!$J$36:$J$370)*('Kilter Holds'!$I$36:$I$370=$A17),'Kilter Holds'!Y$36:Y$370),0)+IFERROR(SUMPRODUCT(('Urban Plastix Holds'!$H$36:$H$498)*('Urban Plastix Holds'!$F$36:$F$498=$A17),'Urban Plastix Holds'!R$36:R$498),0)+IFERROR(SUMPRODUCT(('Kilter Holds'!$L$36:$L$370)*('Kilter Holds'!$K$36:$K$370=$A17),'Kilter Holds'!Y$36:Y$370),0)</f>
        <v>0</v>
      </c>
      <c r="H17" s="432">
        <f>IFERROR(SUMPRODUCT(('Kilter Holds'!$J$36:$J$370)*('Kilter Holds'!$I$36:$I$370=$A17),'Kilter Holds'!Z$36:Z$370),0)+IFERROR(SUMPRODUCT(('Urban Plastix Holds'!$H$36:$H$498)*('Urban Plastix Holds'!$F$36:$F$498=$A17),'Urban Plastix Holds'!S$36:S$498),0)+IFERROR(SUMPRODUCT(('Kilter Holds'!$L$36:$L$370)*('Kilter Holds'!$K$36:$K$370=$A17),'Kilter Holds'!Z$36:Z$370),0)</f>
        <v>0</v>
      </c>
      <c r="I17" s="432">
        <f>IFERROR(SUMPRODUCT(('Kilter Holds'!$J$36:$J$370)*('Kilter Holds'!$I$36:$I$370=$A17),'Kilter Holds'!AA$36:AA$370),0)+IFERROR(SUMPRODUCT(('Urban Plastix Holds'!$H$36:$H$498)*('Urban Plastix Holds'!$F$36:$F$498=$A17),'Urban Plastix Holds'!T$36:T$498),0)+IFERROR(SUMPRODUCT(('Kilter Holds'!$L$36:$L$370)*('Kilter Holds'!$K$36:$K$370=$A17),'Kilter Holds'!AA$36:AA$370),0)</f>
        <v>0</v>
      </c>
      <c r="J17" s="433">
        <f>IFERROR(SUMPRODUCT(('Kilter Holds'!$J$36:$J$370)*('Kilter Holds'!$I$36:$I$370=$A17),'Kilter Holds'!AB$36:AB$370),0)+IFERROR(SUMPRODUCT(('Urban Plastix Holds'!$H$36:$H$498)*('Urban Plastix Holds'!$F$36:$F$498=$A17),'Urban Plastix Holds'!U$36:U$498),0)+IFERROR(SUMPRODUCT(('Kilter Holds'!$L$36:$L$370)*('Kilter Holds'!$K$36:$K$370=$A17),'Kilter Holds'!AB$36:AB$370),0)</f>
        <v>0</v>
      </c>
      <c r="K17" s="413">
        <f t="shared" ref="K17" si="3">SUM(B17:J17)</f>
        <v>0</v>
      </c>
      <c r="L17" s="156">
        <f t="shared" si="0"/>
        <v>0</v>
      </c>
      <c r="M17" s="157">
        <f>L17</f>
        <v>0</v>
      </c>
    </row>
    <row r="18" spans="1:27" ht="27.5" thickBot="1">
      <c r="A18" s="231" t="s">
        <v>1073</v>
      </c>
      <c r="B18" s="167">
        <f t="shared" ref="B18:K18" si="4">SUM(B3:B14)</f>
        <v>4697</v>
      </c>
      <c r="C18" s="167">
        <f t="shared" si="4"/>
        <v>321</v>
      </c>
      <c r="D18" s="167">
        <f t="shared" si="4"/>
        <v>6301</v>
      </c>
      <c r="E18" s="167">
        <f t="shared" si="4"/>
        <v>4978</v>
      </c>
      <c r="F18" s="167">
        <f t="shared" si="4"/>
        <v>7222</v>
      </c>
      <c r="G18" s="167">
        <f t="shared" si="4"/>
        <v>3633</v>
      </c>
      <c r="H18" s="167">
        <f t="shared" si="4"/>
        <v>2392</v>
      </c>
      <c r="I18" s="167">
        <f t="shared" si="4"/>
        <v>9313</v>
      </c>
      <c r="J18" s="167">
        <f t="shared" si="4"/>
        <v>953</v>
      </c>
      <c r="K18" s="159">
        <f t="shared" si="4"/>
        <v>39810</v>
      </c>
      <c r="L18" s="160" t="s">
        <v>73</v>
      </c>
      <c r="M18" s="161"/>
    </row>
    <row r="19" spans="1:27" ht="14.5" thickTop="1" thickBot="1">
      <c r="A19" s="231" t="s">
        <v>1074</v>
      </c>
      <c r="B19" s="158">
        <f>SUM(B15:B18)</f>
        <v>5267</v>
      </c>
      <c r="C19" s="158">
        <f>SUM(C15:C18)</f>
        <v>421</v>
      </c>
      <c r="D19" s="158">
        <f t="shared" ref="D19:J19" si="5">SUM(D15:D18)</f>
        <v>7502</v>
      </c>
      <c r="E19" s="158">
        <f t="shared" si="5"/>
        <v>5448</v>
      </c>
      <c r="F19" s="158">
        <f t="shared" si="5"/>
        <v>9187</v>
      </c>
      <c r="G19" s="158">
        <f t="shared" si="5"/>
        <v>3923</v>
      </c>
      <c r="H19" s="158">
        <f t="shared" si="5"/>
        <v>2657</v>
      </c>
      <c r="I19" s="158">
        <f t="shared" si="5"/>
        <v>10915</v>
      </c>
      <c r="J19" s="158">
        <f t="shared" si="5"/>
        <v>1138</v>
      </c>
      <c r="K19" s="159">
        <f>SUM(K15:K18)</f>
        <v>46458</v>
      </c>
      <c r="L19" s="223" t="s">
        <v>79</v>
      </c>
      <c r="AA19" s="129"/>
    </row>
    <row r="20" spans="1:27" ht="14" thickBot="1">
      <c r="A20" s="232" t="s">
        <v>1083</v>
      </c>
      <c r="B20" s="162">
        <f>IFERROR(B19/$K$19,0)</f>
        <v>0.11337121701321624</v>
      </c>
      <c r="C20" s="162">
        <f t="shared" ref="C20:J20" si="6">IFERROR(C19/$K$19,0)</f>
        <v>9.0619484265357965E-3</v>
      </c>
      <c r="D20" s="162">
        <f t="shared" si="6"/>
        <v>0.16147918550088253</v>
      </c>
      <c r="E20" s="162">
        <f t="shared" si="6"/>
        <v>0.11726720909208317</v>
      </c>
      <c r="F20" s="162">
        <f t="shared" si="6"/>
        <v>0.19774850402514099</v>
      </c>
      <c r="G20" s="162">
        <f t="shared" si="6"/>
        <v>8.4441861466270612E-2</v>
      </c>
      <c r="H20" s="162">
        <f t="shared" si="6"/>
        <v>5.7191441732317362E-2</v>
      </c>
      <c r="I20" s="162">
        <f t="shared" si="6"/>
        <v>0.23494338972835679</v>
      </c>
      <c r="J20" s="162">
        <f t="shared" si="6"/>
        <v>2.4495243015196521E-2</v>
      </c>
      <c r="K20"/>
      <c r="L20"/>
      <c r="M20"/>
    </row>
    <row r="21" spans="1:27" ht="14" thickBot="1">
      <c r="A21" s="232" t="s">
        <v>1082</v>
      </c>
      <c r="B21" s="162">
        <f>IFERROR(B15/B19,0)</f>
        <v>0.10822099867097019</v>
      </c>
      <c r="C21" s="162">
        <f t="shared" ref="C21:J21" si="7">IFERROR(C15/C19,0)</f>
        <v>0.23752969121140141</v>
      </c>
      <c r="D21" s="162">
        <f t="shared" si="7"/>
        <v>0.16009064249533458</v>
      </c>
      <c r="E21" s="162">
        <f t="shared" si="7"/>
        <v>8.6270190895741561E-2</v>
      </c>
      <c r="F21" s="162">
        <f t="shared" si="7"/>
        <v>0.21388919124850331</v>
      </c>
      <c r="G21" s="162">
        <f t="shared" si="7"/>
        <v>7.3923018098394092E-2</v>
      </c>
      <c r="H21" s="162">
        <f t="shared" si="7"/>
        <v>9.9736544975536315E-2</v>
      </c>
      <c r="I21" s="162">
        <f t="shared" si="7"/>
        <v>0.1467704993128722</v>
      </c>
      <c r="J21" s="162">
        <f t="shared" si="7"/>
        <v>0.1625659050966608</v>
      </c>
      <c r="K21"/>
      <c r="L21"/>
      <c r="M21"/>
    </row>
    <row r="22" spans="1:27" ht="13.5">
      <c r="A22" s="3"/>
      <c r="B22"/>
      <c r="C22"/>
      <c r="D22"/>
      <c r="E22"/>
      <c r="F22"/>
      <c r="G22"/>
      <c r="H22"/>
      <c r="I22"/>
      <c r="J22"/>
      <c r="K22"/>
      <c r="L22"/>
      <c r="M22"/>
    </row>
    <row r="23" spans="1:27" ht="13.5">
      <c r="A23" s="232"/>
      <c r="B23"/>
      <c r="C23"/>
      <c r="D23"/>
      <c r="E23"/>
      <c r="F23"/>
      <c r="G23"/>
      <c r="H23"/>
      <c r="I23"/>
      <c r="J23"/>
      <c r="K23"/>
      <c r="L23" s="163"/>
      <c r="M23"/>
    </row>
    <row r="24" spans="1:27" ht="15.5" thickBot="1">
      <c r="A24" s="226"/>
      <c r="B24" s="774" t="s">
        <v>38</v>
      </c>
      <c r="C24" s="775"/>
      <c r="D24" s="775"/>
      <c r="E24" s="775"/>
      <c r="F24" s="775"/>
      <c r="G24" s="775"/>
      <c r="H24" s="775"/>
      <c r="I24" s="775"/>
      <c r="J24" s="775"/>
      <c r="K24" s="133"/>
      <c r="L24" s="134"/>
      <c r="M24" s="135"/>
    </row>
    <row r="25" spans="1:27" ht="21" thickTop="1" thickBot="1">
      <c r="A25" s="227" t="s">
        <v>1081</v>
      </c>
      <c r="B25" s="136" t="str">
        <f t="shared" ref="B25:J25" si="8">B2</f>
        <v>Red</v>
      </c>
      <c r="C25" s="137" t="str">
        <f t="shared" si="8"/>
        <v>Orange</v>
      </c>
      <c r="D25" s="138" t="str">
        <f t="shared" si="8"/>
        <v>Yellow</v>
      </c>
      <c r="E25" s="139" t="str">
        <f t="shared" si="8"/>
        <v>Green</v>
      </c>
      <c r="F25" s="140" t="str">
        <f t="shared" si="8"/>
        <v>Blue</v>
      </c>
      <c r="G25" s="141" t="str">
        <f t="shared" si="8"/>
        <v>Purple</v>
      </c>
      <c r="H25" s="142" t="str">
        <f t="shared" si="8"/>
        <v>Hot Pink</v>
      </c>
      <c r="I25" s="143" t="str">
        <f t="shared" si="8"/>
        <v>Black</v>
      </c>
      <c r="J25" s="144" t="str">
        <f t="shared" si="8"/>
        <v>White</v>
      </c>
      <c r="K25" s="145" t="s">
        <v>40</v>
      </c>
      <c r="L25" s="146" t="s">
        <v>41</v>
      </c>
      <c r="M25" s="147"/>
    </row>
    <row r="26" spans="1:27" ht="13.5">
      <c r="A26" s="228" t="s">
        <v>449</v>
      </c>
      <c r="B26" s="414">
        <f>IFERROR(SUMPRODUCT(('Kilter Holds'!$O$36:$O$370)*('Kilter Holds'!$N$36:$N$370=$A26),'Kilter Holds'!T$36:T$370),0)+IFERROR(SUMPRODUCT(('Urban Plastix Holds'!$H$36:$H$498)*('Urban Plastix Holds'!$G$36:$G$498=$A26),'Urban Plastix Holds'!M$36:M$498),0)</f>
        <v>1683</v>
      </c>
      <c r="C26" s="415">
        <f>IFERROR(SUMPRODUCT(('Kilter Holds'!$O$36:$O$370)*('Kilter Holds'!$N$36:$N$370=$A26),'Kilter Holds'!U$36:U$370),0)+IFERROR(SUMPRODUCT(('Urban Plastix Holds'!$H$36:$H$498)*('Urban Plastix Holds'!$G$36:$G$498=$A26),'Urban Plastix Holds'!N$36:N$498),0)</f>
        <v>42</v>
      </c>
      <c r="D26" s="415">
        <f>IFERROR(SUMPRODUCT(('Kilter Holds'!$O$36:$O$370)*('Kilter Holds'!$N$36:$N$370=$A26),'Kilter Holds'!V$36:V$370),0)+IFERROR(SUMPRODUCT(('Urban Plastix Holds'!$H$36:$H$498)*('Urban Plastix Holds'!$G$36:$G$498=$A26),'Urban Plastix Holds'!O$36:O$498),0)</f>
        <v>2461</v>
      </c>
      <c r="E26" s="415">
        <f>IFERROR(SUMPRODUCT(('Kilter Holds'!$O$36:$O$370)*('Kilter Holds'!$N$36:$N$370=$A26),'Kilter Holds'!W$36:W$370),0)+IFERROR(SUMPRODUCT(('Urban Plastix Holds'!$H$36:$H$498)*('Urban Plastix Holds'!$G$36:$G$498=$A26),'Urban Plastix Holds'!P$36:P$498),0)</f>
        <v>2014</v>
      </c>
      <c r="F26" s="415">
        <f>IFERROR(SUMPRODUCT(('Kilter Holds'!$O$36:$O$370)*('Kilter Holds'!$N$36:$N$370=$A26),'Kilter Holds'!X$36:X$370),0)+IFERROR(SUMPRODUCT(('Urban Plastix Holds'!$H$36:$H$498)*('Urban Plastix Holds'!$G$36:$G$498=$A26),'Urban Plastix Holds'!Q$36:Q$498),0)</f>
        <v>2617</v>
      </c>
      <c r="G26" s="415">
        <f>IFERROR(SUMPRODUCT(('Kilter Holds'!$O$36:$O$370)*('Kilter Holds'!$N$36:$N$370=$A26),'Kilter Holds'!Y$36:Y$370),0)+IFERROR(SUMPRODUCT(('Urban Plastix Holds'!$H$36:$H$498)*('Urban Plastix Holds'!$G$36:$G$498=$A26),'Urban Plastix Holds'!R$36:R$498),0)</f>
        <v>1218</v>
      </c>
      <c r="H26" s="415">
        <f>IFERROR(SUMPRODUCT(('Kilter Holds'!$O$36:$O$370)*('Kilter Holds'!$N$36:$N$370=$A26),'Kilter Holds'!Z$36:Z$370),0)+IFERROR(SUMPRODUCT(('Urban Plastix Holds'!$H$36:$H$498)*('Urban Plastix Holds'!$G$36:$G$498=$A26),'Urban Plastix Holds'!S$36:S$498),0)</f>
        <v>907</v>
      </c>
      <c r="I26" s="415">
        <f>IFERROR(SUMPRODUCT(('Kilter Holds'!$O$36:$O$370)*('Kilter Holds'!$N$36:$N$370=$A26),'Kilter Holds'!AA$36:AA$370),0)+IFERROR(SUMPRODUCT(('Urban Plastix Holds'!$H$36:$H$498)*('Urban Plastix Holds'!$G$36:$G$498=$A26),'Urban Plastix Holds'!T$36:T$498),0)</f>
        <v>3085</v>
      </c>
      <c r="J26" s="416">
        <f>IFERROR(SUMPRODUCT(('Kilter Holds'!$O$36:$O$370)*('Kilter Holds'!$N$36:$N$370=$A26),'Kilter Holds'!AB$36:AB$370),0)+IFERROR(SUMPRODUCT(('Urban Plastix Holds'!$H$36:$H$498)*('Urban Plastix Holds'!$G$36:$G$498=$A26),'Urban Plastix Holds'!U$36:U$498),0)</f>
        <v>299</v>
      </c>
      <c r="K26" s="164">
        <f>SUM(B26:J26)</f>
        <v>14326</v>
      </c>
      <c r="L26" s="149">
        <f>IFERROR($K26 / $K$29,0)</f>
        <v>0.30836454431960048</v>
      </c>
      <c r="M26" s="779"/>
    </row>
    <row r="27" spans="1:27" ht="13.5">
      <c r="A27" s="229" t="s">
        <v>452</v>
      </c>
      <c r="B27" s="417">
        <f>IFERROR(SUMPRODUCT(('Kilter Holds'!$O$36:$O$370)*('Kilter Holds'!$N$36:$N$370=$A27),'Kilter Holds'!T$36:T$370),0)+IFERROR(SUMPRODUCT(('Urban Plastix Holds'!$H$36:$H$498)*('Urban Plastix Holds'!$G$36:$G$498=$A27),'Urban Plastix Holds'!M$36:M$498),0)</f>
        <v>1314</v>
      </c>
      <c r="C27" s="150">
        <f>IFERROR(SUMPRODUCT(('Kilter Holds'!$O$36:$O$370)*('Kilter Holds'!$N$36:$N$370=$A27),'Kilter Holds'!U$36:U$370),0)+IFERROR(SUMPRODUCT(('Urban Plastix Holds'!$H$36:$H$498)*('Urban Plastix Holds'!$G$36:$G$498=$A27),'Urban Plastix Holds'!N$36:N$498),0)</f>
        <v>87</v>
      </c>
      <c r="D27" s="150">
        <f>IFERROR(SUMPRODUCT(('Kilter Holds'!$O$36:$O$370)*('Kilter Holds'!$N$36:$N$370=$A27),'Kilter Holds'!V$36:V$370),0)+IFERROR(SUMPRODUCT(('Urban Plastix Holds'!$H$36:$H$498)*('Urban Plastix Holds'!$G$36:$G$498=$A27),'Urban Plastix Holds'!O$36:O$498),0)</f>
        <v>1830</v>
      </c>
      <c r="E27" s="150">
        <f>IFERROR(SUMPRODUCT(('Kilter Holds'!$O$36:$O$370)*('Kilter Holds'!$N$36:$N$370=$A27),'Kilter Holds'!W$36:W$370),0)+IFERROR(SUMPRODUCT(('Urban Plastix Holds'!$H$36:$H$498)*('Urban Plastix Holds'!$G$36:$G$498=$A27),'Urban Plastix Holds'!P$36:P$498),0)</f>
        <v>1514</v>
      </c>
      <c r="F27" s="150">
        <f>IFERROR(SUMPRODUCT(('Kilter Holds'!$O$36:$O$370)*('Kilter Holds'!$N$36:$N$370=$A27),'Kilter Holds'!X$36:X$370),0)+IFERROR(SUMPRODUCT(('Urban Plastix Holds'!$H$36:$H$498)*('Urban Plastix Holds'!$G$36:$G$498=$A27),'Urban Plastix Holds'!Q$36:Q$498),0)</f>
        <v>2387</v>
      </c>
      <c r="G27" s="150">
        <f>IFERROR(SUMPRODUCT(('Kilter Holds'!$O$36:$O$370)*('Kilter Holds'!$N$36:$N$370=$A27),'Kilter Holds'!Y$36:Y$370),0)+IFERROR(SUMPRODUCT(('Urban Plastix Holds'!$H$36:$H$498)*('Urban Plastix Holds'!$G$36:$G$498=$A27),'Urban Plastix Holds'!R$36:R$498),0)</f>
        <v>1270</v>
      </c>
      <c r="H27" s="150">
        <f>IFERROR(SUMPRODUCT(('Kilter Holds'!$O$36:$O$370)*('Kilter Holds'!$N$36:$N$370=$A27),'Kilter Holds'!Z$36:Z$370),0)+IFERROR(SUMPRODUCT(('Urban Plastix Holds'!$H$36:$H$498)*('Urban Plastix Holds'!$G$36:$G$498=$A27),'Urban Plastix Holds'!S$36:S$498),0)</f>
        <v>587</v>
      </c>
      <c r="I27" s="150">
        <f>IFERROR(SUMPRODUCT(('Kilter Holds'!$O$36:$O$370)*('Kilter Holds'!$N$36:$N$370=$A27),'Kilter Holds'!AA$36:AA$370),0)+IFERROR(SUMPRODUCT(('Urban Plastix Holds'!$H$36:$H$498)*('Urban Plastix Holds'!$G$36:$G$498=$A27),'Urban Plastix Holds'!T$36:T$498),0)</f>
        <v>3037</v>
      </c>
      <c r="J27" s="418">
        <f>IFERROR(SUMPRODUCT(('Kilter Holds'!$O$36:$O$370)*('Kilter Holds'!$N$36:$N$370=$A27),'Kilter Holds'!AB$36:AB$370),0)+IFERROR(SUMPRODUCT(('Urban Plastix Holds'!$H$36:$H$498)*('Urban Plastix Holds'!$G$36:$G$498=$A27),'Urban Plastix Holds'!U$36:U$498),0)</f>
        <v>286</v>
      </c>
      <c r="K27" s="165">
        <f>SUM(B27:J27)</f>
        <v>12312</v>
      </c>
      <c r="L27" s="152">
        <f>IFERROR($K27 / $K$29,0)</f>
        <v>0.26501356063541265</v>
      </c>
      <c r="M27" s="779"/>
    </row>
    <row r="28" spans="1:27" ht="14" thickBot="1">
      <c r="A28" s="230" t="s">
        <v>451</v>
      </c>
      <c r="B28" s="421">
        <f>IFERROR(SUMPRODUCT(('Kilter Holds'!$O$36:$O$370)*('Kilter Holds'!$N$36:$N$370=$A28),'Kilter Holds'!T$36:T$370),0)+IFERROR(SUMPRODUCT(('Urban Plastix Holds'!$H$36:$H$498)*('Urban Plastix Holds'!$G$36:$G$498=$A28),'Urban Plastix Holds'!M$36:M$498),0)</f>
        <v>2270</v>
      </c>
      <c r="C28" s="422">
        <f>IFERROR(SUMPRODUCT(('Kilter Holds'!$O$36:$O$370)*('Kilter Holds'!$N$36:$N$370=$A28),'Kilter Holds'!U$36:U$370),0)+IFERROR(SUMPRODUCT(('Urban Plastix Holds'!$H$36:$H$498)*('Urban Plastix Holds'!$G$36:$G$498=$A28),'Urban Plastix Holds'!N$36:N$498),0)</f>
        <v>292</v>
      </c>
      <c r="D28" s="422">
        <f>IFERROR(SUMPRODUCT(('Kilter Holds'!$O$36:$O$370)*('Kilter Holds'!$N$36:$N$370=$A28),'Kilter Holds'!V$36:V$370),0)+IFERROR(SUMPRODUCT(('Urban Plastix Holds'!$H$36:$H$498)*('Urban Plastix Holds'!$G$36:$G$498=$A28),'Urban Plastix Holds'!O$36:O$498),0)</f>
        <v>3211</v>
      </c>
      <c r="E28" s="422">
        <f>IFERROR(SUMPRODUCT(('Kilter Holds'!$O$36:$O$370)*('Kilter Holds'!$N$36:$N$370=$A28),'Kilter Holds'!W$36:W$370),0)+IFERROR(SUMPRODUCT(('Urban Plastix Holds'!$H$36:$H$498)*('Urban Plastix Holds'!$G$36:$G$498=$A28),'Urban Plastix Holds'!P$36:P$498),0)</f>
        <v>1920</v>
      </c>
      <c r="F28" s="422">
        <f>IFERROR(SUMPRODUCT(('Kilter Holds'!$O$36:$O$370)*('Kilter Holds'!$N$36:$N$370=$A28),'Kilter Holds'!X$36:X$370),0)+IFERROR(SUMPRODUCT(('Urban Plastix Holds'!$H$36:$H$498)*('Urban Plastix Holds'!$G$36:$G$498=$A28),'Urban Plastix Holds'!Q$36:Q$498),0)</f>
        <v>4183</v>
      </c>
      <c r="G28" s="422">
        <f>IFERROR(SUMPRODUCT(('Kilter Holds'!$O$36:$O$370)*('Kilter Holds'!$N$36:$N$370=$A28),'Kilter Holds'!Y$36:Y$370),0)+IFERROR(SUMPRODUCT(('Urban Plastix Holds'!$H$36:$H$498)*('Urban Plastix Holds'!$G$36:$G$498=$A28),'Urban Plastix Holds'!R$36:R$498),0)</f>
        <v>1435</v>
      </c>
      <c r="H28" s="422">
        <f>IFERROR(SUMPRODUCT(('Kilter Holds'!$O$36:$O$370)*('Kilter Holds'!$N$36:$N$370=$A28),'Kilter Holds'!Z$36:Z$370),0)+IFERROR(SUMPRODUCT(('Urban Plastix Holds'!$H$36:$H$498)*('Urban Plastix Holds'!$G$36:$G$498=$A28),'Urban Plastix Holds'!S$36:S$498),0)</f>
        <v>1163</v>
      </c>
      <c r="I28" s="422">
        <f>IFERROR(SUMPRODUCT(('Kilter Holds'!$O$36:$O$370)*('Kilter Holds'!$N$36:$N$370=$A28),'Kilter Holds'!AA$36:AA$370),0)+IFERROR(SUMPRODUCT(('Urban Plastix Holds'!$H$36:$H$498)*('Urban Plastix Holds'!$G$36:$G$498=$A28),'Urban Plastix Holds'!T$36:T$498),0)</f>
        <v>4793</v>
      </c>
      <c r="J28" s="423">
        <f>IFERROR(SUMPRODUCT(('Kilter Holds'!$O$36:$O$370)*('Kilter Holds'!$N$36:$N$370=$A28),'Kilter Holds'!AB$36:AB$370),0)+IFERROR(SUMPRODUCT(('Urban Plastix Holds'!$H$36:$H$498)*('Urban Plastix Holds'!$G$36:$G$498=$A28),'Urban Plastix Holds'!U$36:U$498),0)</f>
        <v>553</v>
      </c>
      <c r="K28" s="166">
        <f t="shared" ref="K28" si="9">SUM(B28:J28)</f>
        <v>19820</v>
      </c>
      <c r="L28" s="155">
        <f>IFERROR($K28 / $K$29,0)</f>
        <v>0.42662189504498688</v>
      </c>
      <c r="M28" s="779"/>
    </row>
    <row r="29" spans="1:27" ht="27.5" thickBot="1">
      <c r="A29" s="231" t="s">
        <v>71</v>
      </c>
      <c r="B29" s="167">
        <f>SUM(B26:B28)</f>
        <v>5267</v>
      </c>
      <c r="C29" s="167">
        <f t="shared" ref="C29:J29" si="10">SUM(C26:C28)</f>
        <v>421</v>
      </c>
      <c r="D29" s="167">
        <f t="shared" si="10"/>
        <v>7502</v>
      </c>
      <c r="E29" s="167">
        <f t="shared" si="10"/>
        <v>5448</v>
      </c>
      <c r="F29" s="167">
        <f t="shared" si="10"/>
        <v>9187</v>
      </c>
      <c r="G29" s="167">
        <f t="shared" si="10"/>
        <v>3923</v>
      </c>
      <c r="H29" s="167">
        <f t="shared" si="10"/>
        <v>2657</v>
      </c>
      <c r="I29" s="167">
        <f t="shared" si="10"/>
        <v>10915</v>
      </c>
      <c r="J29" s="167">
        <f t="shared" si="10"/>
        <v>1138</v>
      </c>
      <c r="K29" s="159">
        <f>SUM(K26:K28)</f>
        <v>46458</v>
      </c>
      <c r="L29" s="223" t="s">
        <v>79</v>
      </c>
      <c r="M29" s="168"/>
    </row>
    <row r="30" spans="1:27" ht="14" thickBot="1">
      <c r="A30" s="232" t="s">
        <v>74</v>
      </c>
      <c r="B30" s="162">
        <f>IFERROR(B29/$K$19,0)</f>
        <v>0.11337121701321624</v>
      </c>
      <c r="C30" s="162">
        <f t="shared" ref="C30:J30" si="11">IFERROR(C29/$K$19,0)</f>
        <v>9.0619484265357965E-3</v>
      </c>
      <c r="D30" s="162">
        <f t="shared" si="11"/>
        <v>0.16147918550088253</v>
      </c>
      <c r="E30" s="162">
        <f t="shared" si="11"/>
        <v>0.11726720909208317</v>
      </c>
      <c r="F30" s="162">
        <f t="shared" si="11"/>
        <v>0.19774850402514099</v>
      </c>
      <c r="G30" s="162">
        <f t="shared" si="11"/>
        <v>8.4441861466270612E-2</v>
      </c>
      <c r="H30" s="162">
        <f t="shared" si="11"/>
        <v>5.7191441732317362E-2</v>
      </c>
      <c r="I30" s="162">
        <f t="shared" si="11"/>
        <v>0.23494338972835679</v>
      </c>
      <c r="J30" s="162">
        <f t="shared" si="11"/>
        <v>2.4495243015196521E-2</v>
      </c>
      <c r="L30" s="131"/>
      <c r="M30"/>
    </row>
    <row r="31" spans="1:27" ht="13.5">
      <c r="A31" s="48"/>
      <c r="G31" s="132"/>
      <c r="L31" s="131"/>
    </row>
    <row r="32" spans="1:27" ht="15.5" thickBot="1">
      <c r="A32" s="226"/>
      <c r="B32" s="774" t="s">
        <v>38</v>
      </c>
      <c r="C32" s="775"/>
      <c r="D32" s="775"/>
      <c r="E32" s="775"/>
      <c r="F32" s="775"/>
      <c r="G32" s="775"/>
      <c r="H32" s="775"/>
      <c r="I32" s="775"/>
      <c r="J32" s="775"/>
      <c r="K32" s="133"/>
      <c r="L32" s="134"/>
      <c r="M32" s="135"/>
    </row>
    <row r="33" spans="1:13" ht="21" thickTop="1" thickBot="1">
      <c r="A33" s="227" t="s">
        <v>1081</v>
      </c>
      <c r="B33" s="136" t="str">
        <f t="shared" ref="B33:J33" si="12">B2</f>
        <v>Red</v>
      </c>
      <c r="C33" s="137" t="str">
        <f t="shared" si="12"/>
        <v>Orange</v>
      </c>
      <c r="D33" s="138" t="str">
        <f t="shared" si="12"/>
        <v>Yellow</v>
      </c>
      <c r="E33" s="139" t="str">
        <f t="shared" si="12"/>
        <v>Green</v>
      </c>
      <c r="F33" s="140" t="str">
        <f t="shared" si="12"/>
        <v>Blue</v>
      </c>
      <c r="G33" s="141" t="str">
        <f t="shared" si="12"/>
        <v>Purple</v>
      </c>
      <c r="H33" s="142" t="str">
        <f t="shared" si="12"/>
        <v>Hot Pink</v>
      </c>
      <c r="I33" s="143" t="str">
        <f t="shared" si="12"/>
        <v>Black</v>
      </c>
      <c r="J33" s="144" t="str">
        <f t="shared" si="12"/>
        <v>White</v>
      </c>
      <c r="K33" s="145" t="s">
        <v>40</v>
      </c>
      <c r="L33" s="146" t="s">
        <v>41</v>
      </c>
      <c r="M33" s="147"/>
    </row>
    <row r="34" spans="1:13" ht="13.5">
      <c r="A34" s="228" t="s">
        <v>1076</v>
      </c>
      <c r="B34" s="414">
        <f>IFERROR(SUMPRODUCT(('Kilter Holds'!$O$36:$O$370)*('Kilter Holds'!$C$36:$C$370=$A34),'Kilter Holds'!T$36:T$370),0)+IFERROR(SUMPRODUCT(('Urban Plastix Holds'!$H$36:$H$498)*('Urban Plastix Holds'!$C$36:$C$498=$A34),'Urban Plastix Holds'!M$36:M$498),0)</f>
        <v>2130</v>
      </c>
      <c r="C34" s="415">
        <f>IFERROR(SUMPRODUCT(('Kilter Holds'!$O$36:$O$370)*('Kilter Holds'!$C$36:$C$370=$A34),'Kilter Holds'!U$36:U$370),0)+IFERROR(SUMPRODUCT(('Urban Plastix Holds'!$H$36:$H$498)*('Urban Plastix Holds'!$C$36:$C$498=$A34),'Urban Plastix Holds'!N$36:N$498),0)</f>
        <v>203</v>
      </c>
      <c r="D34" s="415">
        <f>IFERROR(SUMPRODUCT(('Kilter Holds'!$O$36:$O$370)*('Kilter Holds'!$C$36:$C$370=$A34),'Kilter Holds'!V$36:V$370),0)+IFERROR(SUMPRODUCT(('Urban Plastix Holds'!$H$36:$H$498)*('Urban Plastix Holds'!$C$36:$C$498=$A34),'Urban Plastix Holds'!O$36:O$498),0)</f>
        <v>3182</v>
      </c>
      <c r="E34" s="415">
        <f>IFERROR(SUMPRODUCT(('Kilter Holds'!$O$36:$O$370)*('Kilter Holds'!$C$36:$C$370=$A34),'Kilter Holds'!W$36:W$370),0)+IFERROR(SUMPRODUCT(('Urban Plastix Holds'!$H$36:$H$498)*('Urban Plastix Holds'!$C$36:$C$498=$A34),'Urban Plastix Holds'!P$36:P$498),0)</f>
        <v>2583</v>
      </c>
      <c r="F34" s="415">
        <f>IFERROR(SUMPRODUCT(('Kilter Holds'!$O$36:$O$370)*('Kilter Holds'!$C$36:$C$370=$A34),'Kilter Holds'!X$36:X$370),0)+IFERROR(SUMPRODUCT(('Urban Plastix Holds'!$H$36:$H$498)*('Urban Plastix Holds'!$C$36:$C$498=$A34),'Urban Plastix Holds'!Q$36:Q$498),0)</f>
        <v>3415</v>
      </c>
      <c r="G34" s="415">
        <f>IFERROR(SUMPRODUCT(('Kilter Holds'!$O$36:$O$370)*('Kilter Holds'!$C$36:$C$370=$A34),'Kilter Holds'!Y$36:Y$370),0)+IFERROR(SUMPRODUCT(('Urban Plastix Holds'!$H$36:$H$498)*('Urban Plastix Holds'!$C$36:$C$498=$A34),'Urban Plastix Holds'!R$36:R$498),0)</f>
        <v>1948</v>
      </c>
      <c r="H34" s="415">
        <f>IFERROR(SUMPRODUCT(('Kilter Holds'!$O$36:$O$370)*('Kilter Holds'!$C$36:$C$370=$A34),'Kilter Holds'!Z$36:Z$370),0)+IFERROR(SUMPRODUCT(('Urban Plastix Holds'!$H$36:$H$498)*('Urban Plastix Holds'!$C$36:$C$498=$A34),'Urban Plastix Holds'!S$36:S$498),0)</f>
        <v>1603</v>
      </c>
      <c r="I34" s="415">
        <f>IFERROR(SUMPRODUCT(('Kilter Holds'!$O$36:$O$370)*('Kilter Holds'!$C$36:$C$370=$A34),'Kilter Holds'!AA$36:AA$370),0)+IFERROR(SUMPRODUCT(('Urban Plastix Holds'!$H$36:$H$498)*('Urban Plastix Holds'!$C$36:$C$498=$A34),'Urban Plastix Holds'!T$36:T$498),0)</f>
        <v>4804</v>
      </c>
      <c r="J34" s="416">
        <f>IFERROR(SUMPRODUCT(('Kilter Holds'!$O$36:$O$370)*('Kilter Holds'!$C$36:$C$370=$A34),'Kilter Holds'!AB$36:AB$370),0)+IFERROR(SUMPRODUCT(('Urban Plastix Holds'!$H$36:$H$498)*('Urban Plastix Holds'!$C$36:$C$498=$A34),'Urban Plastix Holds'!U$36:U$498),0)</f>
        <v>599</v>
      </c>
      <c r="K34" s="148">
        <f>SUM(B34:J34)</f>
        <v>20467</v>
      </c>
      <c r="L34" s="149">
        <f t="shared" ref="L34:L39" si="13">IFERROR($K34 / $K$42,0)</f>
        <v>0.44054845236557749</v>
      </c>
      <c r="M34" s="776">
        <f>SUM(L34:L36)</f>
        <v>0.47716216797968053</v>
      </c>
    </row>
    <row r="35" spans="1:13" ht="13.5">
      <c r="A35" s="229" t="s">
        <v>1077</v>
      </c>
      <c r="B35" s="417">
        <f>IFERROR(SUMPRODUCT(('Kilter Holds'!$O$36:$O$370)*('Kilter Holds'!$C$36:$C$370=$A35),'Kilter Holds'!T$36:T$370),0)+IFERROR(SUMPRODUCT(('Urban Plastix Holds'!$H$36:$H$498)*('Urban Plastix Holds'!$C$36:$C$498=$A35),'Urban Plastix Holds'!M$36:M$498),0)</f>
        <v>227</v>
      </c>
      <c r="C35" s="150">
        <f>IFERROR(SUMPRODUCT(('Kilter Holds'!$O$36:$O$370)*('Kilter Holds'!$C$36:$C$370=$A35),'Kilter Holds'!U$36:U$370),0)+IFERROR(SUMPRODUCT(('Urban Plastix Holds'!$H$36:$H$498)*('Urban Plastix Holds'!$C$36:$C$498=$A35),'Urban Plastix Holds'!N$36:N$498),0)</f>
        <v>8</v>
      </c>
      <c r="D35" s="150">
        <f>IFERROR(SUMPRODUCT(('Kilter Holds'!$O$36:$O$370)*('Kilter Holds'!$C$36:$C$370=$A35),'Kilter Holds'!V$36:V$370),0)+IFERROR(SUMPRODUCT(('Urban Plastix Holds'!$H$36:$H$498)*('Urban Plastix Holds'!$C$36:$C$498=$A35),'Urban Plastix Holds'!O$36:O$498),0)</f>
        <v>219</v>
      </c>
      <c r="E35" s="150">
        <f>IFERROR(SUMPRODUCT(('Kilter Holds'!$O$36:$O$370)*('Kilter Holds'!$C$36:$C$370=$A35),'Kilter Holds'!W$36:W$370),0)+IFERROR(SUMPRODUCT(('Urban Plastix Holds'!$H$36:$H$498)*('Urban Plastix Holds'!$C$36:$C$498=$A35),'Urban Plastix Holds'!P$36:P$498),0)</f>
        <v>281</v>
      </c>
      <c r="F35" s="150">
        <f>IFERROR(SUMPRODUCT(('Kilter Holds'!$O$36:$O$370)*('Kilter Holds'!$C$36:$C$370=$A35),'Kilter Holds'!X$36:X$370),0)+IFERROR(SUMPRODUCT(('Urban Plastix Holds'!$H$36:$H$498)*('Urban Plastix Holds'!$C$36:$C$498=$A35),'Urban Plastix Holds'!Q$36:Q$498),0)</f>
        <v>298</v>
      </c>
      <c r="G35" s="150">
        <f>IFERROR(SUMPRODUCT(('Kilter Holds'!$O$36:$O$370)*('Kilter Holds'!$C$36:$C$370=$A35),'Kilter Holds'!Y$36:Y$370),0)+IFERROR(SUMPRODUCT(('Urban Plastix Holds'!$H$36:$H$498)*('Urban Plastix Holds'!$C$36:$C$498=$A35),'Urban Plastix Holds'!R$36:R$498),0)</f>
        <v>175</v>
      </c>
      <c r="H35" s="150">
        <f>IFERROR(SUMPRODUCT(('Kilter Holds'!$O$36:$O$370)*('Kilter Holds'!$C$36:$C$370=$A35),'Kilter Holds'!Z$36:Z$370),0)+IFERROR(SUMPRODUCT(('Urban Plastix Holds'!$H$36:$H$498)*('Urban Plastix Holds'!$C$36:$C$498=$A35),'Urban Plastix Holds'!S$36:S$498),0)</f>
        <v>35</v>
      </c>
      <c r="I35" s="150">
        <f>IFERROR(SUMPRODUCT(('Kilter Holds'!$O$36:$O$370)*('Kilter Holds'!$C$36:$C$370=$A35),'Kilter Holds'!AA$36:AA$370),0)+IFERROR(SUMPRODUCT(('Urban Plastix Holds'!$H$36:$H$498)*('Urban Plastix Holds'!$C$36:$C$498=$A35),'Urban Plastix Holds'!T$36:T$498),0)</f>
        <v>450</v>
      </c>
      <c r="J35" s="418">
        <f>IFERROR(SUMPRODUCT(('Kilter Holds'!$O$36:$O$370)*('Kilter Holds'!$C$36:$C$370=$A35),'Kilter Holds'!AB$36:AB$370),0)+IFERROR(SUMPRODUCT(('Urban Plastix Holds'!$H$36:$H$498)*('Urban Plastix Holds'!$C$36:$C$498=$A35),'Urban Plastix Holds'!U$36:U$498),0)</f>
        <v>8</v>
      </c>
      <c r="K35" s="151">
        <f>SUM(B35:J35)</f>
        <v>1701</v>
      </c>
      <c r="L35" s="152">
        <f t="shared" si="13"/>
        <v>3.6613715614103058E-2</v>
      </c>
      <c r="M35" s="777"/>
    </row>
    <row r="36" spans="1:13" ht="14" thickBot="1">
      <c r="A36" s="230" t="s">
        <v>1078</v>
      </c>
      <c r="B36" s="419">
        <f>IFERROR(SUMPRODUCT(('Kilter Holds'!$O$36:$O$370)*('Kilter Holds'!$C$36:$C$370=$A36),'Kilter Holds'!T$36:T$370),0)+IFERROR(SUMPRODUCT(('Urban Plastix Holds'!$H$36:$H$498)*('Urban Plastix Holds'!$C$36:$C$498=$A36),'Urban Plastix Holds'!M$36:M$498),0)</f>
        <v>0</v>
      </c>
      <c r="C36" s="153">
        <f>IFERROR(SUMPRODUCT(('Kilter Holds'!$O$36:$O$370)*('Kilter Holds'!$C$36:$C$370=$A36),'Kilter Holds'!U$36:U$370),0)+IFERROR(SUMPRODUCT(('Urban Plastix Holds'!$H$36:$H$498)*('Urban Plastix Holds'!$C$36:$C$498=$A36),'Urban Plastix Holds'!N$36:N$498),0)</f>
        <v>0</v>
      </c>
      <c r="D36" s="153">
        <f>IFERROR(SUMPRODUCT(('Kilter Holds'!$O$36:$O$370)*('Kilter Holds'!$C$36:$C$370=$A36),'Kilter Holds'!V$36:V$370),0)+IFERROR(SUMPRODUCT(('Urban Plastix Holds'!$H$36:$H$498)*('Urban Plastix Holds'!$C$36:$C$498=$A36),'Urban Plastix Holds'!O$36:O$498),0)</f>
        <v>0</v>
      </c>
      <c r="E36" s="153">
        <f>IFERROR(SUMPRODUCT(('Kilter Holds'!$O$36:$O$370)*('Kilter Holds'!$C$36:$C$370=$A36),'Kilter Holds'!W$36:W$370),0)+IFERROR(SUMPRODUCT(('Urban Plastix Holds'!$H$36:$H$498)*('Urban Plastix Holds'!$C$36:$C$498=$A36),'Urban Plastix Holds'!P$36:P$498),0)</f>
        <v>0</v>
      </c>
      <c r="F36" s="153">
        <f>IFERROR(SUMPRODUCT(('Kilter Holds'!$O$36:$O$370)*('Kilter Holds'!$C$36:$C$370=$A36),'Kilter Holds'!X$36:X$370),0)+IFERROR(SUMPRODUCT(('Urban Plastix Holds'!$H$36:$H$498)*('Urban Plastix Holds'!$C$36:$C$498=$A36),'Urban Plastix Holds'!Q$36:Q$498),0)</f>
        <v>0</v>
      </c>
      <c r="G36" s="153">
        <f>IFERROR(SUMPRODUCT(('Kilter Holds'!$O$36:$O$370)*('Kilter Holds'!$C$36:$C$370=$A36),'Kilter Holds'!Y$36:Y$370),0)+IFERROR(SUMPRODUCT(('Urban Plastix Holds'!$H$36:$H$498)*('Urban Plastix Holds'!$C$36:$C$498=$A36),'Urban Plastix Holds'!R$36:R$498),0)</f>
        <v>0</v>
      </c>
      <c r="H36" s="153">
        <f>IFERROR(SUMPRODUCT(('Kilter Holds'!$O$36:$O$370)*('Kilter Holds'!$C$36:$C$370=$A36),'Kilter Holds'!Z$36:Z$370),0)+IFERROR(SUMPRODUCT(('Urban Plastix Holds'!$H$36:$H$498)*('Urban Plastix Holds'!$C$36:$C$498=$A36),'Urban Plastix Holds'!S$36:S$498),0)</f>
        <v>0</v>
      </c>
      <c r="I36" s="153">
        <f>IFERROR(SUMPRODUCT(('Kilter Holds'!$O$36:$O$370)*('Kilter Holds'!$C$36:$C$370=$A36),'Kilter Holds'!AA$36:AA$370),0)+IFERROR(SUMPRODUCT(('Urban Plastix Holds'!$H$36:$H$498)*('Urban Plastix Holds'!$C$36:$C$498=$A36),'Urban Plastix Holds'!T$36:T$498),0)</f>
        <v>0</v>
      </c>
      <c r="J36" s="420">
        <f>IFERROR(SUMPRODUCT(('Kilter Holds'!$O$36:$O$370)*('Kilter Holds'!$C$36:$C$370=$A36),'Kilter Holds'!AB$36:AB$370),0)+IFERROR(SUMPRODUCT(('Urban Plastix Holds'!$H$36:$H$498)*('Urban Plastix Holds'!$C$36:$C$498=$A36),'Urban Plastix Holds'!U$36:U$498),0)</f>
        <v>0</v>
      </c>
      <c r="K36" s="154">
        <f t="shared" ref="K36:K39" si="14">SUM(B36:J36)</f>
        <v>0</v>
      </c>
      <c r="L36" s="155">
        <f t="shared" si="13"/>
        <v>0</v>
      </c>
      <c r="M36" s="778"/>
    </row>
    <row r="37" spans="1:13" ht="14" thickBot="1">
      <c r="A37" s="228" t="s">
        <v>1079</v>
      </c>
      <c r="B37" s="417">
        <f>IFERROR(SUMPRODUCT(('Kilter Holds'!$O$36:$O$370)*('Kilter Holds'!$C$36:$C$370=$A37),'Kilter Holds'!T$36:T$370),0)+IFERROR(SUMPRODUCT(('Urban Plastix Holds'!$H$36:$H$498)*('Urban Plastix Holds'!$C$36:$C$498=$A37),'Urban Plastix Holds'!M$36:M$498),0)</f>
        <v>91</v>
      </c>
      <c r="C37" s="150">
        <f>IFERROR(SUMPRODUCT(('Kilter Holds'!$O$36:$O$370)*('Kilter Holds'!$C$36:$C$370=$A37),'Kilter Holds'!U$36:U$370),0)+IFERROR(SUMPRODUCT(('Urban Plastix Holds'!$H$36:$H$498)*('Urban Plastix Holds'!$C$36:$C$498=$A37),'Urban Plastix Holds'!N$36:N$498),0)</f>
        <v>0</v>
      </c>
      <c r="D37" s="150">
        <f>IFERROR(SUMPRODUCT(('Kilter Holds'!$O$36:$O$370)*('Kilter Holds'!$C$36:$C$370=$A37),'Kilter Holds'!V$36:V$370),0)+IFERROR(SUMPRODUCT(('Urban Plastix Holds'!$H$36:$H$498)*('Urban Plastix Holds'!$C$36:$C$498=$A37),'Urban Plastix Holds'!O$36:O$498),0)</f>
        <v>325</v>
      </c>
      <c r="E37" s="150">
        <f>IFERROR(SUMPRODUCT(('Kilter Holds'!$O$36:$O$370)*('Kilter Holds'!$C$36:$C$370=$A37),'Kilter Holds'!W$36:W$370),0)+IFERROR(SUMPRODUCT(('Urban Plastix Holds'!$H$36:$H$498)*('Urban Plastix Holds'!$C$36:$C$498=$A37),'Urban Plastix Holds'!P$36:P$498),0)</f>
        <v>50</v>
      </c>
      <c r="F37" s="150">
        <f>IFERROR(SUMPRODUCT(('Kilter Holds'!$O$36:$O$370)*('Kilter Holds'!$C$36:$C$370=$A37),'Kilter Holds'!X$36:X$370),0)+IFERROR(SUMPRODUCT(('Urban Plastix Holds'!$H$36:$H$498)*('Urban Plastix Holds'!$C$36:$C$498=$A37),'Urban Plastix Holds'!Q$36:Q$498),0)</f>
        <v>442</v>
      </c>
      <c r="G37" s="150">
        <f>IFERROR(SUMPRODUCT(('Kilter Holds'!$O$36:$O$370)*('Kilter Holds'!$C$36:$C$370=$A37),'Kilter Holds'!Y$36:Y$370),0)+IFERROR(SUMPRODUCT(('Urban Plastix Holds'!$H$36:$H$498)*('Urban Plastix Holds'!$C$36:$C$498=$A37),'Urban Plastix Holds'!R$36:R$498),0)</f>
        <v>25</v>
      </c>
      <c r="H37" s="150">
        <f>IFERROR(SUMPRODUCT(('Kilter Holds'!$O$36:$O$370)*('Kilter Holds'!$C$36:$C$370=$A37),'Kilter Holds'!Z$36:Z$370),0)+IFERROR(SUMPRODUCT(('Urban Plastix Holds'!$H$36:$H$498)*('Urban Plastix Holds'!$C$36:$C$498=$A37),'Urban Plastix Holds'!S$36:S$498),0)</f>
        <v>15</v>
      </c>
      <c r="I37" s="150">
        <f>IFERROR(SUMPRODUCT(('Kilter Holds'!$O$36:$O$370)*('Kilter Holds'!$C$36:$C$370=$A37),'Kilter Holds'!AA$36:AA$370),0)+IFERROR(SUMPRODUCT(('Urban Plastix Holds'!$H$36:$H$498)*('Urban Plastix Holds'!$C$36:$C$498=$A37),'Urban Plastix Holds'!T$36:T$498),0)</f>
        <v>415</v>
      </c>
      <c r="J37" s="418">
        <f>IFERROR(SUMPRODUCT(('Kilter Holds'!$O$36:$O$370)*('Kilter Holds'!$C$36:$C$370=$A37),'Kilter Holds'!AB$36:AB$370),0)+IFERROR(SUMPRODUCT(('Urban Plastix Holds'!$H$36:$H$498)*('Urban Plastix Holds'!$C$36:$C$498=$A37),'Urban Plastix Holds'!U$36:U$498),0)</f>
        <v>26</v>
      </c>
      <c r="K37" s="148">
        <f t="shared" si="14"/>
        <v>1389</v>
      </c>
      <c r="L37" s="149">
        <f t="shared" si="13"/>
        <v>2.989797236213354E-2</v>
      </c>
      <c r="M37" s="224">
        <f>L37</f>
        <v>2.989797236213354E-2</v>
      </c>
    </row>
    <row r="38" spans="1:13" ht="14" thickBot="1">
      <c r="A38" s="229" t="s">
        <v>2972</v>
      </c>
      <c r="B38" s="417">
        <f>IFERROR(SUMPRODUCT(('Kilter Holds'!$O$36:$O$370)*('Kilter Holds'!$C$36:$C$370=$A38),'Kilter Holds'!T$36:T$370),0)+IFERROR(SUMPRODUCT(('Urban Plastix Holds'!$H$36:$H$498)*('Urban Plastix Holds'!$C$36:$C$498=$A38),'Urban Plastix Holds'!M$36:M$498),0)</f>
        <v>0</v>
      </c>
      <c r="C38" s="150">
        <f>IFERROR(SUMPRODUCT(('Kilter Holds'!$O$36:$O$370)*('Kilter Holds'!$C$36:$C$370=$A38),'Kilter Holds'!U$36:U$370),0)+IFERROR(SUMPRODUCT(('Urban Plastix Holds'!$H$36:$H$498)*('Urban Plastix Holds'!$C$36:$C$498=$A38),'Urban Plastix Holds'!N$36:N$498),0)</f>
        <v>0</v>
      </c>
      <c r="D38" s="150">
        <f>IFERROR(SUMPRODUCT(('Kilter Holds'!$O$36:$O$370)*('Kilter Holds'!$C$36:$C$370=$A38),'Kilter Holds'!V$36:V$370),0)+IFERROR(SUMPRODUCT(('Urban Plastix Holds'!$H$36:$H$498)*('Urban Plastix Holds'!$C$36:$C$498=$A38),'Urban Plastix Holds'!O$36:O$498),0)</f>
        <v>0</v>
      </c>
      <c r="E38" s="150">
        <f>IFERROR(SUMPRODUCT(('Kilter Holds'!$O$36:$O$370)*('Kilter Holds'!$C$36:$C$370=$A38),'Kilter Holds'!W$36:W$370),0)+IFERROR(SUMPRODUCT(('Urban Plastix Holds'!$H$36:$H$498)*('Urban Plastix Holds'!$C$36:$C$498=$A38),'Urban Plastix Holds'!P$36:P$498),0)</f>
        <v>0</v>
      </c>
      <c r="F38" s="150">
        <f>IFERROR(SUMPRODUCT(('Kilter Holds'!$O$36:$O$370)*('Kilter Holds'!$C$36:$C$370=$A38),'Kilter Holds'!X$36:X$370),0)+IFERROR(SUMPRODUCT(('Urban Plastix Holds'!$H$36:$H$498)*('Urban Plastix Holds'!$C$36:$C$498=$A38),'Urban Plastix Holds'!Q$36:Q$498),0)</f>
        <v>0</v>
      </c>
      <c r="G38" s="150">
        <f>IFERROR(SUMPRODUCT(('Kilter Holds'!$O$36:$O$370)*('Kilter Holds'!$C$36:$C$370=$A38),'Kilter Holds'!Y$36:Y$370),0)+IFERROR(SUMPRODUCT(('Urban Plastix Holds'!$H$36:$H$498)*('Urban Plastix Holds'!$C$36:$C$498=$A38),'Urban Plastix Holds'!R$36:R$498),0)</f>
        <v>0</v>
      </c>
      <c r="H38" s="150">
        <f>IFERROR(SUMPRODUCT(('Kilter Holds'!$O$36:$O$370)*('Kilter Holds'!$C$36:$C$370=$A38),'Kilter Holds'!Z$36:Z$370),0)+IFERROR(SUMPRODUCT(('Urban Plastix Holds'!$H$36:$H$498)*('Urban Plastix Holds'!$C$36:$C$498=$A38),'Urban Plastix Holds'!S$36:S$498),0)</f>
        <v>0</v>
      </c>
      <c r="I38" s="150">
        <f>IFERROR(SUMPRODUCT(('Kilter Holds'!$O$36:$O$370)*('Kilter Holds'!$C$36:$C$370=$A38),'Kilter Holds'!AA$36:AA$370),0)+IFERROR(SUMPRODUCT(('Urban Plastix Holds'!$H$36:$H$498)*('Urban Plastix Holds'!$C$36:$C$498=$A38),'Urban Plastix Holds'!T$36:T$498),0)</f>
        <v>0</v>
      </c>
      <c r="J38" s="418">
        <f>IFERROR(SUMPRODUCT(('Kilter Holds'!$O$36:$O$370)*('Kilter Holds'!$C$36:$C$370=$A38),'Kilter Holds'!AB$36:AB$370),0)+IFERROR(SUMPRODUCT(('Urban Plastix Holds'!$H$36:$H$498)*('Urban Plastix Holds'!$C$36:$C$498=$A38),'Urban Plastix Holds'!U$36:U$498),0)</f>
        <v>0</v>
      </c>
      <c r="K38" s="151">
        <f t="shared" ref="K38" si="15">SUM(B38:J38)</f>
        <v>0</v>
      </c>
      <c r="L38" s="152">
        <f t="shared" si="13"/>
        <v>0</v>
      </c>
      <c r="M38" s="224">
        <f>L38</f>
        <v>0</v>
      </c>
    </row>
    <row r="39" spans="1:13" ht="14" thickBot="1">
      <c r="A39" s="229" t="s">
        <v>1080</v>
      </c>
      <c r="B39" s="417">
        <f>IFERROR(SUMPRODUCT(('Kilter Holds'!$O$36:$O$370)*('Kilter Holds'!$C$36:$C$370=$A39),'Kilter Holds'!T$36:T$370),0)+IFERROR(SUMPRODUCT(('Urban Plastix Holds'!$H$36:$H$498)*('Urban Plastix Holds'!$C$36:$C$498=$A39),'Urban Plastix Holds'!M$36:M$498),0)</f>
        <v>2819</v>
      </c>
      <c r="C39" s="150">
        <f>IFERROR(SUMPRODUCT(('Kilter Holds'!$O$36:$O$370)*('Kilter Holds'!$C$36:$C$370=$A39),'Kilter Holds'!U$36:U$370),0)+IFERROR(SUMPRODUCT(('Urban Plastix Holds'!$H$36:$H$498)*('Urban Plastix Holds'!$C$36:$C$498=$A39),'Urban Plastix Holds'!N$36:N$498),0)</f>
        <v>210</v>
      </c>
      <c r="D39" s="150">
        <f>IFERROR(SUMPRODUCT(('Kilter Holds'!$O$36:$O$370)*('Kilter Holds'!$C$36:$C$370=$A39),'Kilter Holds'!V$36:V$370),0)+IFERROR(SUMPRODUCT(('Urban Plastix Holds'!$H$36:$H$498)*('Urban Plastix Holds'!$C$36:$C$498=$A39),'Urban Plastix Holds'!O$36:O$498),0)</f>
        <v>2996</v>
      </c>
      <c r="E39" s="150">
        <f>IFERROR(SUMPRODUCT(('Kilter Holds'!$O$36:$O$370)*('Kilter Holds'!$C$36:$C$370=$A39),'Kilter Holds'!W$36:W$370),0)+IFERROR(SUMPRODUCT(('Urban Plastix Holds'!$H$36:$H$498)*('Urban Plastix Holds'!$C$36:$C$498=$A39),'Urban Plastix Holds'!P$36:P$498),0)</f>
        <v>2529</v>
      </c>
      <c r="F39" s="150">
        <f>IFERROR(SUMPRODUCT(('Kilter Holds'!$O$36:$O$370)*('Kilter Holds'!$C$36:$C$370=$A39),'Kilter Holds'!X$36:X$370),0)+IFERROR(SUMPRODUCT(('Urban Plastix Holds'!$H$36:$H$498)*('Urban Plastix Holds'!$C$36:$C$498=$A39),'Urban Plastix Holds'!Q$36:Q$498),0)</f>
        <v>3744</v>
      </c>
      <c r="G39" s="150">
        <f>IFERROR(SUMPRODUCT(('Kilter Holds'!$O$36:$O$370)*('Kilter Holds'!$C$36:$C$370=$A39),'Kilter Holds'!Y$36:Y$370),0)+IFERROR(SUMPRODUCT(('Urban Plastix Holds'!$H$36:$H$498)*('Urban Plastix Holds'!$C$36:$C$498=$A39),'Urban Plastix Holds'!R$36:R$498),0)</f>
        <v>1775</v>
      </c>
      <c r="H39" s="150">
        <f>IFERROR(SUMPRODUCT(('Kilter Holds'!$O$36:$O$370)*('Kilter Holds'!$C$36:$C$370=$A39),'Kilter Holds'!Z$36:Z$370),0)+IFERROR(SUMPRODUCT(('Urban Plastix Holds'!$H$36:$H$498)*('Urban Plastix Holds'!$C$36:$C$498=$A39),'Urban Plastix Holds'!S$36:S$498),0)</f>
        <v>957</v>
      </c>
      <c r="I39" s="150">
        <f>IFERROR(SUMPRODUCT(('Kilter Holds'!$O$36:$O$370)*('Kilter Holds'!$C$36:$C$370=$A39),'Kilter Holds'!AA$36:AA$370),0)+IFERROR(SUMPRODUCT(('Urban Plastix Holds'!$H$36:$H$498)*('Urban Plastix Holds'!$C$36:$C$498=$A39),'Urban Plastix Holds'!T$36:T$498),0)</f>
        <v>4276</v>
      </c>
      <c r="J39" s="418">
        <f>IFERROR(SUMPRODUCT(('Kilter Holds'!$O$36:$O$370)*('Kilter Holds'!$C$36:$C$370=$A39),'Kilter Holds'!AB$36:AB$370),0)+IFERROR(SUMPRODUCT(('Urban Plastix Holds'!$H$36:$H$498)*('Urban Plastix Holds'!$C$36:$C$498=$A39),'Urban Plastix Holds'!U$36:U$498),0)</f>
        <v>480</v>
      </c>
      <c r="K39" s="151">
        <f t="shared" si="14"/>
        <v>19786</v>
      </c>
      <c r="L39" s="152">
        <f t="shared" si="13"/>
        <v>0.42589005122906709</v>
      </c>
      <c r="M39" s="224">
        <f>L39</f>
        <v>0.42589005122906709</v>
      </c>
    </row>
    <row r="40" spans="1:13" ht="14" thickBot="1">
      <c r="A40" s="230" t="s">
        <v>1327</v>
      </c>
      <c r="B40" s="419">
        <f>IFERROR(SUMPRODUCT(('Kilter Holds'!$O$36:$O$370)*('Kilter Holds'!$C$36:$C$370=$A40),'Kilter Holds'!T$36:T$370),0)+IFERROR(SUMPRODUCT(('Urban Plastix Holds'!$H$36:$H$498)*('Urban Plastix Holds'!$C$36:$C$498=$A40),'Urban Plastix Holds'!M$36:M$498),0)</f>
        <v>0</v>
      </c>
      <c r="C40" s="153">
        <f>IFERROR(SUMPRODUCT(('Kilter Holds'!$O$36:$O$370)*('Kilter Holds'!$C$36:$C$370=$A40),'Kilter Holds'!U$36:U$370),0)+IFERROR(SUMPRODUCT(('Urban Plastix Holds'!$H$36:$H$498)*('Urban Plastix Holds'!$C$36:$C$498=$A40),'Urban Plastix Holds'!N$36:N$498),0)</f>
        <v>0</v>
      </c>
      <c r="D40" s="153">
        <f>IFERROR(SUMPRODUCT(('Kilter Holds'!$O$36:$O$370)*('Kilter Holds'!$C$36:$C$370=$A40),'Kilter Holds'!V$36:V$370),0)+IFERROR(SUMPRODUCT(('Urban Plastix Holds'!$H$36:$H$498)*('Urban Plastix Holds'!$C$36:$C$498=$A40),'Urban Plastix Holds'!O$36:O$498),0)</f>
        <v>780</v>
      </c>
      <c r="E40" s="153">
        <f>IFERROR(SUMPRODUCT(('Kilter Holds'!$O$36:$O$370)*('Kilter Holds'!$C$36:$C$370=$A40),'Kilter Holds'!W$36:W$370),0)+IFERROR(SUMPRODUCT(('Urban Plastix Holds'!$H$36:$H$498)*('Urban Plastix Holds'!$C$36:$C$498=$A40),'Urban Plastix Holds'!P$36:P$498),0)</f>
        <v>5</v>
      </c>
      <c r="F40" s="153">
        <f>IFERROR(SUMPRODUCT(('Kilter Holds'!$O$36:$O$370)*('Kilter Holds'!$C$36:$C$370=$A40),'Kilter Holds'!X$36:X$370),0)+IFERROR(SUMPRODUCT(('Urban Plastix Holds'!$H$36:$H$498)*('Urban Plastix Holds'!$C$36:$C$498=$A40),'Urban Plastix Holds'!Q$36:Q$498),0)</f>
        <v>1288</v>
      </c>
      <c r="G40" s="153">
        <f>IFERROR(SUMPRODUCT(('Kilter Holds'!$O$36:$O$370)*('Kilter Holds'!$C$36:$C$370=$A40),'Kilter Holds'!Y$36:Y$370),0)+IFERROR(SUMPRODUCT(('Urban Plastix Holds'!$H$36:$H$498)*('Urban Plastix Holds'!$C$36:$C$498=$A40),'Urban Plastix Holds'!R$36:R$498),0)</f>
        <v>0</v>
      </c>
      <c r="H40" s="153">
        <f>IFERROR(SUMPRODUCT(('Kilter Holds'!$O$36:$O$370)*('Kilter Holds'!$C$36:$C$370=$A40),'Kilter Holds'!Z$36:Z$370),0)+IFERROR(SUMPRODUCT(('Urban Plastix Holds'!$H$36:$H$498)*('Urban Plastix Holds'!$C$36:$C$498=$A40),'Urban Plastix Holds'!S$36:S$498),0)</f>
        <v>47</v>
      </c>
      <c r="I40" s="153">
        <f>IFERROR(SUMPRODUCT(('Kilter Holds'!$O$36:$O$370)*('Kilter Holds'!$C$36:$C$370=$A40),'Kilter Holds'!AA$36:AA$370),0)+IFERROR(SUMPRODUCT(('Urban Plastix Holds'!$H$36:$H$498)*('Urban Plastix Holds'!$C$36:$C$498=$A40),'Urban Plastix Holds'!T$36:T$498),0)</f>
        <v>970</v>
      </c>
      <c r="J40" s="420">
        <f>IFERROR(SUMPRODUCT(('Kilter Holds'!$O$36:$O$370)*('Kilter Holds'!$C$36:$C$370=$A40),'Kilter Holds'!AB$36:AB$370),0)+IFERROR(SUMPRODUCT(('Urban Plastix Holds'!$H$36:$H$498)*('Urban Plastix Holds'!$C$36:$C$498=$A40),'Urban Plastix Holds'!U$36:U$498),0)</f>
        <v>25</v>
      </c>
      <c r="K40" s="154">
        <f t="shared" ref="K40:K41" si="16">SUM(B40:J40)</f>
        <v>3115</v>
      </c>
      <c r="L40" s="155">
        <f t="shared" ref="L40:L41" si="17">IFERROR($K40 / $K$42,0)</f>
        <v>6.7049808429118771E-2</v>
      </c>
      <c r="M40" s="224">
        <f t="shared" ref="M40:M41" si="18">L40</f>
        <v>6.7049808429118771E-2</v>
      </c>
    </row>
    <row r="41" spans="1:13" ht="14" thickBot="1">
      <c r="A41" s="230" t="s">
        <v>2114</v>
      </c>
      <c r="B41" s="419">
        <f>IFERROR(SUMPRODUCT(('Kilter Holds'!$O$36:$O$370)*('Kilter Holds'!$C$36:$C$370=$A41),'Kilter Holds'!T$36:T$370),0)+IFERROR(SUMPRODUCT(('Urban Plastix Holds'!$H$36:$H$498)*('Urban Plastix Holds'!$C$36:$C$498=$A41),'Urban Plastix Holds'!M$36:M$498),0)</f>
        <v>0</v>
      </c>
      <c r="C41" s="153">
        <f>IFERROR(SUMPRODUCT(('Kilter Holds'!$O$36:$O$370)*('Kilter Holds'!$C$36:$C$370=$A41),'Kilter Holds'!U$36:U$370),0)+IFERROR(SUMPRODUCT(('Urban Plastix Holds'!$H$36:$H$498)*('Urban Plastix Holds'!$C$36:$C$498=$A41),'Urban Plastix Holds'!N$36:N$498),0)</f>
        <v>0</v>
      </c>
      <c r="D41" s="153">
        <f>IFERROR(SUMPRODUCT(('Kilter Holds'!$O$36:$O$370)*('Kilter Holds'!$C$36:$C$370=$A41),'Kilter Holds'!V$36:V$370),0)+IFERROR(SUMPRODUCT(('Urban Plastix Holds'!$H$36:$H$498)*('Urban Plastix Holds'!$C$36:$C$498=$A41),'Urban Plastix Holds'!O$36:O$498),0)</f>
        <v>0</v>
      </c>
      <c r="E41" s="153">
        <f>IFERROR(SUMPRODUCT(('Kilter Holds'!$O$36:$O$370)*('Kilter Holds'!$C$36:$C$370=$A41),'Kilter Holds'!W$36:W$370),0)+IFERROR(SUMPRODUCT(('Urban Plastix Holds'!$H$36:$H$498)*('Urban Plastix Holds'!$C$36:$C$498=$A41),'Urban Plastix Holds'!P$36:P$498),0)</f>
        <v>0</v>
      </c>
      <c r="F41" s="153">
        <f>IFERROR(SUMPRODUCT(('Kilter Holds'!$O$36:$O$370)*('Kilter Holds'!$C$36:$C$370=$A41),'Kilter Holds'!X$36:X$370),0)+IFERROR(SUMPRODUCT(('Urban Plastix Holds'!$H$36:$H$498)*('Urban Plastix Holds'!$C$36:$C$498=$A41),'Urban Plastix Holds'!Q$36:Q$498),0)</f>
        <v>0</v>
      </c>
      <c r="G41" s="153">
        <f>IFERROR(SUMPRODUCT(('Kilter Holds'!$O$36:$O$370)*('Kilter Holds'!$C$36:$C$370=$A41),'Kilter Holds'!Y$36:Y$370),0)+IFERROR(SUMPRODUCT(('Urban Plastix Holds'!$H$36:$H$498)*('Urban Plastix Holds'!$C$36:$C$498=$A41),'Urban Plastix Holds'!R$36:R$498),0)</f>
        <v>0</v>
      </c>
      <c r="H41" s="153">
        <f>IFERROR(SUMPRODUCT(('Kilter Holds'!$O$36:$O$370)*('Kilter Holds'!$C$36:$C$370=$A41),'Kilter Holds'!Z$36:Z$370),0)+IFERROR(SUMPRODUCT(('Urban Plastix Holds'!$H$36:$H$498)*('Urban Plastix Holds'!$C$36:$C$498=$A41),'Urban Plastix Holds'!S$36:S$498),0)</f>
        <v>0</v>
      </c>
      <c r="I41" s="153">
        <f>IFERROR(SUMPRODUCT(('Kilter Holds'!$O$36:$O$370)*('Kilter Holds'!$C$36:$C$370=$A41),'Kilter Holds'!AA$36:AA$370),0)+IFERROR(SUMPRODUCT(('Urban Plastix Holds'!$H$36:$H$498)*('Urban Plastix Holds'!$C$36:$C$498=$A41),'Urban Plastix Holds'!T$36:T$498),0)</f>
        <v>0</v>
      </c>
      <c r="J41" s="420">
        <f>IFERROR(SUMPRODUCT(('Kilter Holds'!$O$36:$O$370)*('Kilter Holds'!$C$36:$C$370=$A41),'Kilter Holds'!AB$36:AB$370),0)+IFERROR(SUMPRODUCT(('Urban Plastix Holds'!$H$36:$H$498)*('Urban Plastix Holds'!$C$36:$C$498=$A41),'Urban Plastix Holds'!U$36:U$498),0)</f>
        <v>0</v>
      </c>
      <c r="K41" s="151">
        <f t="shared" si="16"/>
        <v>0</v>
      </c>
      <c r="L41" s="152">
        <f t="shared" si="17"/>
        <v>0</v>
      </c>
      <c r="M41" s="224">
        <f t="shared" si="18"/>
        <v>0</v>
      </c>
    </row>
    <row r="42" spans="1:13" ht="14" thickBot="1">
      <c r="A42" s="231" t="s">
        <v>1149</v>
      </c>
      <c r="B42" s="167">
        <f>SUM(B34:B41)</f>
        <v>5267</v>
      </c>
      <c r="C42" s="167">
        <f t="shared" ref="C42:J42" si="19">SUM(C34:C41)</f>
        <v>421</v>
      </c>
      <c r="D42" s="167">
        <f t="shared" si="19"/>
        <v>7502</v>
      </c>
      <c r="E42" s="167">
        <f t="shared" si="19"/>
        <v>5448</v>
      </c>
      <c r="F42" s="167">
        <f t="shared" si="19"/>
        <v>9187</v>
      </c>
      <c r="G42" s="167">
        <f t="shared" si="19"/>
        <v>3923</v>
      </c>
      <c r="H42" s="167">
        <f t="shared" si="19"/>
        <v>2657</v>
      </c>
      <c r="I42" s="167">
        <f t="shared" si="19"/>
        <v>10915</v>
      </c>
      <c r="J42" s="167">
        <f t="shared" si="19"/>
        <v>1138</v>
      </c>
      <c r="K42" s="159">
        <f>SUM(K34:K41)</f>
        <v>46458</v>
      </c>
      <c r="L42" s="223" t="s">
        <v>79</v>
      </c>
    </row>
    <row r="43" spans="1:13" ht="14" thickBot="1">
      <c r="A43" s="232" t="s">
        <v>74</v>
      </c>
      <c r="B43" s="162">
        <f>IFERROR(B42/$K$19,0)</f>
        <v>0.11337121701321624</v>
      </c>
      <c r="C43" s="162">
        <f t="shared" ref="C43" si="20">IFERROR(C42/$K$19,0)</f>
        <v>9.0619484265357965E-3</v>
      </c>
      <c r="D43" s="162">
        <f t="shared" ref="D43" si="21">IFERROR(D42/$K$19,0)</f>
        <v>0.16147918550088253</v>
      </c>
      <c r="E43" s="162">
        <f t="shared" ref="E43" si="22">IFERROR(E42/$K$19,0)</f>
        <v>0.11726720909208317</v>
      </c>
      <c r="F43" s="162">
        <f t="shared" ref="F43" si="23">IFERROR(F42/$K$19,0)</f>
        <v>0.19774850402514099</v>
      </c>
      <c r="G43" s="162">
        <f t="shared" ref="G43" si="24">IFERROR(G42/$K$19,0)</f>
        <v>8.4441861466270612E-2</v>
      </c>
      <c r="H43" s="162">
        <f t="shared" ref="H43" si="25">IFERROR(H42/$K$19,0)</f>
        <v>5.7191441732317362E-2</v>
      </c>
      <c r="I43" s="162">
        <f t="shared" ref="I43" si="26">IFERROR(I42/$K$19,0)</f>
        <v>0.23494338972835679</v>
      </c>
      <c r="J43" s="162">
        <f t="shared" ref="J43" si="27">IFERROR(J42/$K$19,0)</f>
        <v>2.4495243015196521E-2</v>
      </c>
      <c r="K43"/>
      <c r="L43"/>
      <c r="M43"/>
    </row>
    <row r="44" spans="1:13" ht="15.5" thickBot="1">
      <c r="A44" s="130"/>
      <c r="L44" s="131"/>
    </row>
    <row r="45" spans="1:13" ht="21" thickTop="1" thickBot="1">
      <c r="A45" s="227" t="s">
        <v>1081</v>
      </c>
      <c r="B45" s="136" t="str">
        <f t="shared" ref="B45:J45" si="28">B2</f>
        <v>Red</v>
      </c>
      <c r="C45" s="137" t="str">
        <f t="shared" si="28"/>
        <v>Orange</v>
      </c>
      <c r="D45" s="138" t="str">
        <f t="shared" si="28"/>
        <v>Yellow</v>
      </c>
      <c r="E45" s="139" t="str">
        <f t="shared" si="28"/>
        <v>Green</v>
      </c>
      <c r="F45" s="140" t="str">
        <f t="shared" si="28"/>
        <v>Blue</v>
      </c>
      <c r="G45" s="141" t="str">
        <f t="shared" si="28"/>
        <v>Purple</v>
      </c>
      <c r="H45" s="142" t="str">
        <f t="shared" si="28"/>
        <v>Hot Pink</v>
      </c>
      <c r="I45" s="143" t="str">
        <f t="shared" si="28"/>
        <v>Black</v>
      </c>
      <c r="J45" s="144" t="str">
        <f t="shared" si="28"/>
        <v>White</v>
      </c>
      <c r="K45" s="145" t="s">
        <v>40</v>
      </c>
      <c r="L45" s="146" t="s">
        <v>41</v>
      </c>
    </row>
    <row r="46" spans="1:13" ht="13.5">
      <c r="A46" s="228" t="s">
        <v>1146</v>
      </c>
      <c r="B46" s="424">
        <f>IFERROR(SUMPRODUCT(('Kilter Holds'!$E$36:$E$370)*('Kilter Holds'!$D$36:$D$370=$A46),'Kilter Holds'!T$36:T$370),0)+IFERROR(SUMPRODUCT(('Urban Plastix Holds'!$H$36:$H$498)*('Urban Plastix Holds'!$D$36:$D$498=$A46),'Urban Plastix Holds'!M$36:M$498),0)+IFERROR(SUMPRODUCT(('Kilter Holds'!$G$36:$G$370)*('Kilter Holds'!$F$36:$F$370=$A46),'Kilter Holds'!T$36:T$370),0)</f>
        <v>296</v>
      </c>
      <c r="C46" s="425">
        <f>IFERROR(SUMPRODUCT(('Kilter Holds'!$E$36:$E$370)*('Kilter Holds'!$D$36:$D$370=$A46),'Kilter Holds'!U$36:U$370),0)+IFERROR(SUMPRODUCT(('Urban Plastix Holds'!$H$36:$H$498)*('Urban Plastix Holds'!$D$36:$D$498=$A46),'Urban Plastix Holds'!N$36:N$498),0)+IFERROR(SUMPRODUCT(('Kilter Holds'!$G$36:$G$370)*('Kilter Holds'!$F$36:$F$370=$A46),'Kilter Holds'!U$36:U$370),0)</f>
        <v>6</v>
      </c>
      <c r="D46" s="425">
        <f>IFERROR(SUMPRODUCT(('Kilter Holds'!$E$36:$E$370)*('Kilter Holds'!$D$36:$D$370=$A46),'Kilter Holds'!V$36:V$370),0)+IFERROR(SUMPRODUCT(('Urban Plastix Holds'!$H$36:$H$498)*('Urban Plastix Holds'!$D$36:$D$498=$A46),'Urban Plastix Holds'!O$36:O$498),0)+IFERROR(SUMPRODUCT(('Kilter Holds'!$G$36:$G$370)*('Kilter Holds'!$F$36:$F$370=$A46),'Kilter Holds'!V$36:V$370),0)</f>
        <v>317</v>
      </c>
      <c r="E46" s="425">
        <f>IFERROR(SUMPRODUCT(('Kilter Holds'!$E$36:$E$370)*('Kilter Holds'!$D$36:$D$370=$A46),'Kilter Holds'!W$36:W$370),0)+IFERROR(SUMPRODUCT(('Urban Plastix Holds'!$H$36:$H$498)*('Urban Plastix Holds'!$D$36:$D$498=$A46),'Urban Plastix Holds'!P$36:P$498),0)+IFERROR(SUMPRODUCT(('Kilter Holds'!$G$36:$G$370)*('Kilter Holds'!$F$36:$F$370=$A46),'Kilter Holds'!W$36:W$370),0)</f>
        <v>364</v>
      </c>
      <c r="F46" s="425">
        <f>IFERROR(SUMPRODUCT(('Kilter Holds'!$E$36:$E$370)*('Kilter Holds'!$D$36:$D$370=$A46),'Kilter Holds'!X$36:X$370),0)+IFERROR(SUMPRODUCT(('Urban Plastix Holds'!$H$36:$H$498)*('Urban Plastix Holds'!$D$36:$D$498=$A46),'Urban Plastix Holds'!Q$36:Q$498),0)+IFERROR(SUMPRODUCT(('Kilter Holds'!$G$36:$G$370)*('Kilter Holds'!$F$36:$F$370=$A46),'Kilter Holds'!X$36:X$370),0)</f>
        <v>327</v>
      </c>
      <c r="G46" s="425">
        <f>IFERROR(SUMPRODUCT(('Kilter Holds'!$E$36:$E$370)*('Kilter Holds'!$D$36:$D$370=$A46),'Kilter Holds'!Y$36:Y$370),0)+IFERROR(SUMPRODUCT(('Urban Plastix Holds'!$H$36:$H$498)*('Urban Plastix Holds'!$D$36:$D$498=$A46),'Urban Plastix Holds'!R$36:R$498),0)+IFERROR(SUMPRODUCT(('Kilter Holds'!$G$36:$G$370)*('Kilter Holds'!$F$36:$F$370=$A46),'Kilter Holds'!Y$36:Y$370),0)</f>
        <v>259</v>
      </c>
      <c r="H46" s="425">
        <f>IFERROR(SUMPRODUCT(('Kilter Holds'!$E$36:$E$370)*('Kilter Holds'!$D$36:$D$370=$A46),'Kilter Holds'!Z$36:Z$370),0)+IFERROR(SUMPRODUCT(('Urban Plastix Holds'!$H$36:$H$498)*('Urban Plastix Holds'!$D$36:$D$498=$A46),'Urban Plastix Holds'!S$36:S$498),0)+IFERROR(SUMPRODUCT(('Kilter Holds'!$G$36:$G$370)*('Kilter Holds'!$F$36:$F$370=$A46),'Kilter Holds'!Z$36:Z$370),0)</f>
        <v>135</v>
      </c>
      <c r="I46" s="425">
        <f>IFERROR(SUMPRODUCT(('Kilter Holds'!$E$36:$E$370)*('Kilter Holds'!$D$36:$D$370=$A46),'Kilter Holds'!AA$36:AA$370),0)+IFERROR(SUMPRODUCT(('Urban Plastix Holds'!$H$36:$H$498)*('Urban Plastix Holds'!$D$36:$D$498=$A46),'Urban Plastix Holds'!T$36:T$498),0)+IFERROR(SUMPRODUCT(('Kilter Holds'!$G$36:$G$370)*('Kilter Holds'!$F$36:$F$370=$A46),'Kilter Holds'!AA$36:AA$370),0)</f>
        <v>508</v>
      </c>
      <c r="J46" s="426">
        <f>IFERROR(SUMPRODUCT(('Kilter Holds'!$E$36:$E$370)*('Kilter Holds'!$D$36:$D$370=$A46),'Kilter Holds'!AB$36:AB$370),0)+IFERROR(SUMPRODUCT(('Urban Plastix Holds'!$H$36:$H$498)*('Urban Plastix Holds'!$D$36:$D$498=$A46),'Urban Plastix Holds'!U$36:U$498),0)+IFERROR(SUMPRODUCT(('Kilter Holds'!$G$36:$G$370)*('Kilter Holds'!$F$36:$F$370=$A46),'Kilter Holds'!AB$36:AB$370),0)</f>
        <v>10</v>
      </c>
      <c r="K46" s="148">
        <f>SUM(B46:J46)</f>
        <v>2222</v>
      </c>
      <c r="L46" s="149">
        <f t="shared" ref="L46:L54" si="29">IFERROR($K46 / $K$19,0)</f>
        <v>4.7828145852167547E-2</v>
      </c>
    </row>
    <row r="47" spans="1:13" ht="13.5">
      <c r="A47" s="229" t="s">
        <v>1150</v>
      </c>
      <c r="B47" s="427">
        <f>IFERROR(SUMPRODUCT(('Kilter Holds'!$E$36:$E$370)*('Kilter Holds'!$D$36:$D$370=$A47),'Kilter Holds'!T$36:T$370),0)+IFERROR(SUMPRODUCT(('Urban Plastix Holds'!$H$36:$H$498)*('Urban Plastix Holds'!$D$36:$D$498=$A47),'Urban Plastix Holds'!M$36:M$498),0)+IFERROR(SUMPRODUCT(('Kilter Holds'!$G$36:$G$370)*('Kilter Holds'!$F$36:$F$370=$A47),'Kilter Holds'!T$36:T$370),0)</f>
        <v>499</v>
      </c>
      <c r="C47" s="150">
        <f>IFERROR(SUMPRODUCT(('Kilter Holds'!$E$36:$E$370)*('Kilter Holds'!$D$36:$D$370=$A47),'Kilter Holds'!U$36:U$370),0)+IFERROR(SUMPRODUCT(('Urban Plastix Holds'!$H$36:$H$498)*('Urban Plastix Holds'!$D$36:$D$498=$A47),'Urban Plastix Holds'!N$36:N$498),0)+IFERROR(SUMPRODUCT(('Kilter Holds'!$G$36:$G$370)*('Kilter Holds'!$F$36:$F$370=$A47),'Kilter Holds'!U$36:U$370),0)</f>
        <v>45</v>
      </c>
      <c r="D47" s="150">
        <f>IFERROR(SUMPRODUCT(('Kilter Holds'!$E$36:$E$370)*('Kilter Holds'!$D$36:$D$370=$A47),'Kilter Holds'!V$36:V$370),0)+IFERROR(SUMPRODUCT(('Urban Plastix Holds'!$H$36:$H$498)*('Urban Plastix Holds'!$D$36:$D$498=$A47),'Urban Plastix Holds'!O$36:O$498),0)+IFERROR(SUMPRODUCT(('Kilter Holds'!$G$36:$G$370)*('Kilter Holds'!$F$36:$F$370=$A47),'Kilter Holds'!V$36:V$370),0)</f>
        <v>688</v>
      </c>
      <c r="E47" s="150">
        <f>IFERROR(SUMPRODUCT(('Kilter Holds'!$E$36:$E$370)*('Kilter Holds'!$D$36:$D$370=$A47),'Kilter Holds'!W$36:W$370),0)+IFERROR(SUMPRODUCT(('Urban Plastix Holds'!$H$36:$H$498)*('Urban Plastix Holds'!$D$36:$D$498=$A47),'Urban Plastix Holds'!P$36:P$498),0)+IFERROR(SUMPRODUCT(('Kilter Holds'!$G$36:$G$370)*('Kilter Holds'!$F$36:$F$370=$A47),'Kilter Holds'!W$36:W$370),0)</f>
        <v>696</v>
      </c>
      <c r="F47" s="150">
        <f>IFERROR(SUMPRODUCT(('Kilter Holds'!$E$36:$E$370)*('Kilter Holds'!$D$36:$D$370=$A47),'Kilter Holds'!X$36:X$370),0)+IFERROR(SUMPRODUCT(('Urban Plastix Holds'!$H$36:$H$498)*('Urban Plastix Holds'!$D$36:$D$498=$A47),'Urban Plastix Holds'!Q$36:Q$498),0)+IFERROR(SUMPRODUCT(('Kilter Holds'!$G$36:$G$370)*('Kilter Holds'!$F$36:$F$370=$A47),'Kilter Holds'!X$36:X$370),0)</f>
        <v>844</v>
      </c>
      <c r="G47" s="150">
        <f>IFERROR(SUMPRODUCT(('Kilter Holds'!$E$36:$E$370)*('Kilter Holds'!$D$36:$D$370=$A47),'Kilter Holds'!Y$36:Y$370),0)+IFERROR(SUMPRODUCT(('Urban Plastix Holds'!$H$36:$H$498)*('Urban Plastix Holds'!$D$36:$D$498=$A47),'Urban Plastix Holds'!R$36:R$498),0)+IFERROR(SUMPRODUCT(('Kilter Holds'!$G$36:$G$370)*('Kilter Holds'!$F$36:$F$370=$A47),'Kilter Holds'!Y$36:Y$370),0)</f>
        <v>411</v>
      </c>
      <c r="H47" s="150">
        <f>IFERROR(SUMPRODUCT(('Kilter Holds'!$E$36:$E$370)*('Kilter Holds'!$D$36:$D$370=$A47),'Kilter Holds'!Z$36:Z$370),0)+IFERROR(SUMPRODUCT(('Urban Plastix Holds'!$H$36:$H$498)*('Urban Plastix Holds'!$D$36:$D$498=$A47),'Urban Plastix Holds'!S$36:S$498),0)+IFERROR(SUMPRODUCT(('Kilter Holds'!$G$36:$G$370)*('Kilter Holds'!$F$36:$F$370=$A47),'Kilter Holds'!Z$36:Z$370),0)</f>
        <v>250</v>
      </c>
      <c r="I47" s="150">
        <f>IFERROR(SUMPRODUCT(('Kilter Holds'!$E$36:$E$370)*('Kilter Holds'!$D$36:$D$370=$A47),'Kilter Holds'!AA$36:AA$370),0)+IFERROR(SUMPRODUCT(('Urban Plastix Holds'!$H$36:$H$498)*('Urban Plastix Holds'!$D$36:$D$498=$A47),'Urban Plastix Holds'!T$36:T$498),0)+IFERROR(SUMPRODUCT(('Kilter Holds'!$G$36:$G$370)*('Kilter Holds'!$F$36:$F$370=$A47),'Kilter Holds'!AA$36:AA$370),0)</f>
        <v>1095</v>
      </c>
      <c r="J47" s="428">
        <f>IFERROR(SUMPRODUCT(('Kilter Holds'!$E$36:$E$370)*('Kilter Holds'!$D$36:$D$370=$A47),'Kilter Holds'!AB$36:AB$370),0)+IFERROR(SUMPRODUCT(('Urban Plastix Holds'!$H$36:$H$498)*('Urban Plastix Holds'!$D$36:$D$498=$A47),'Urban Plastix Holds'!U$36:U$498),0)+IFERROR(SUMPRODUCT(('Kilter Holds'!$G$36:$G$370)*('Kilter Holds'!$F$36:$F$370=$A47),'Kilter Holds'!AB$36:AB$370),0)</f>
        <v>32</v>
      </c>
      <c r="K47" s="151">
        <f>SUM(B47:J47)</f>
        <v>4560</v>
      </c>
      <c r="L47" s="152">
        <f t="shared" si="29"/>
        <v>9.8153170605708384E-2</v>
      </c>
    </row>
    <row r="48" spans="1:13" ht="13.5">
      <c r="A48" s="229" t="s">
        <v>1151</v>
      </c>
      <c r="B48" s="427">
        <f>IFERROR(SUMPRODUCT(('Kilter Holds'!$E$36:$E$370)*('Kilter Holds'!$D$36:$D$370=$A48),'Kilter Holds'!T$36:T$370),0)+IFERROR(SUMPRODUCT(('Urban Plastix Holds'!$H$36:$H$498)*('Urban Plastix Holds'!$D$36:$D$498=$A48),'Urban Plastix Holds'!M$36:M$498),0)+IFERROR(SUMPRODUCT(('Kilter Holds'!$G$36:$G$370)*('Kilter Holds'!$F$36:$F$370=$A48),'Kilter Holds'!T$36:T$370),0)</f>
        <v>1059</v>
      </c>
      <c r="C48" s="150">
        <f>IFERROR(SUMPRODUCT(('Kilter Holds'!$E$36:$E$370)*('Kilter Holds'!$D$36:$D$370=$A48),'Kilter Holds'!U$36:U$370),0)+IFERROR(SUMPRODUCT(('Urban Plastix Holds'!$H$36:$H$498)*('Urban Plastix Holds'!$D$36:$D$498=$A48),'Urban Plastix Holds'!N$36:N$498),0)+IFERROR(SUMPRODUCT(('Kilter Holds'!$G$36:$G$370)*('Kilter Holds'!$F$36:$F$370=$A48),'Kilter Holds'!U$36:U$370),0)</f>
        <v>12</v>
      </c>
      <c r="D48" s="150">
        <f>IFERROR(SUMPRODUCT(('Kilter Holds'!$E$36:$E$370)*('Kilter Holds'!$D$36:$D$370=$A48),'Kilter Holds'!V$36:V$370),0)+IFERROR(SUMPRODUCT(('Urban Plastix Holds'!$H$36:$H$498)*('Urban Plastix Holds'!$D$36:$D$498=$A48),'Urban Plastix Holds'!O$36:O$498),0)+IFERROR(SUMPRODUCT(('Kilter Holds'!$G$36:$G$370)*('Kilter Holds'!$F$36:$F$370=$A48),'Kilter Holds'!V$36:V$370),0)</f>
        <v>1496</v>
      </c>
      <c r="E48" s="150">
        <f>IFERROR(SUMPRODUCT(('Kilter Holds'!$E$36:$E$370)*('Kilter Holds'!$D$36:$D$370=$A48),'Kilter Holds'!W$36:W$370),0)+IFERROR(SUMPRODUCT(('Urban Plastix Holds'!$H$36:$H$498)*('Urban Plastix Holds'!$D$36:$D$498=$A48),'Urban Plastix Holds'!P$36:P$498),0)+IFERROR(SUMPRODUCT(('Kilter Holds'!$G$36:$G$370)*('Kilter Holds'!$F$36:$F$370=$A48),'Kilter Holds'!W$36:W$370),0)</f>
        <v>1148</v>
      </c>
      <c r="F48" s="150">
        <f>IFERROR(SUMPRODUCT(('Kilter Holds'!$E$36:$E$370)*('Kilter Holds'!$D$36:$D$370=$A48),'Kilter Holds'!X$36:X$370),0)+IFERROR(SUMPRODUCT(('Urban Plastix Holds'!$H$36:$H$498)*('Urban Plastix Holds'!$D$36:$D$498=$A48),'Urban Plastix Holds'!Q$36:Q$498),0)+IFERROR(SUMPRODUCT(('Kilter Holds'!$G$36:$G$370)*('Kilter Holds'!$F$36:$F$370=$A48),'Kilter Holds'!X$36:X$370),0)</f>
        <v>1428</v>
      </c>
      <c r="G48" s="150">
        <f>IFERROR(SUMPRODUCT(('Kilter Holds'!$E$36:$E$370)*('Kilter Holds'!$D$36:$D$370=$A48),'Kilter Holds'!Y$36:Y$370),0)+IFERROR(SUMPRODUCT(('Urban Plastix Holds'!$H$36:$H$498)*('Urban Plastix Holds'!$D$36:$D$498=$A48),'Urban Plastix Holds'!R$36:R$498),0)+IFERROR(SUMPRODUCT(('Kilter Holds'!$G$36:$G$370)*('Kilter Holds'!$F$36:$F$370=$A48),'Kilter Holds'!Y$36:Y$370),0)</f>
        <v>750</v>
      </c>
      <c r="H48" s="150">
        <f>IFERROR(SUMPRODUCT(('Kilter Holds'!$E$36:$E$370)*('Kilter Holds'!$D$36:$D$370=$A48),'Kilter Holds'!Z$36:Z$370),0)+IFERROR(SUMPRODUCT(('Urban Plastix Holds'!$H$36:$H$498)*('Urban Plastix Holds'!$D$36:$D$498=$A48),'Urban Plastix Holds'!S$36:S$498),0)+IFERROR(SUMPRODUCT(('Kilter Holds'!$G$36:$G$370)*('Kilter Holds'!$F$36:$F$370=$A48),'Kilter Holds'!Z$36:Z$370),0)</f>
        <v>543</v>
      </c>
      <c r="I48" s="150">
        <f>IFERROR(SUMPRODUCT(('Kilter Holds'!$E$36:$E$370)*('Kilter Holds'!$D$36:$D$370=$A48),'Kilter Holds'!AA$36:AA$370),0)+IFERROR(SUMPRODUCT(('Urban Plastix Holds'!$H$36:$H$498)*('Urban Plastix Holds'!$D$36:$D$498=$A48),'Urban Plastix Holds'!T$36:T$498),0)+IFERROR(SUMPRODUCT(('Kilter Holds'!$G$36:$G$370)*('Kilter Holds'!$F$36:$F$370=$A48),'Kilter Holds'!AA$36:AA$370),0)</f>
        <v>2365</v>
      </c>
      <c r="J48" s="428">
        <f>IFERROR(SUMPRODUCT(('Kilter Holds'!$E$36:$E$370)*('Kilter Holds'!$D$36:$D$370=$A48),'Kilter Holds'!AB$36:AB$370),0)+IFERROR(SUMPRODUCT(('Urban Plastix Holds'!$H$36:$H$498)*('Urban Plastix Holds'!$D$36:$D$498=$A48),'Urban Plastix Holds'!U$36:U$498),0)+IFERROR(SUMPRODUCT(('Kilter Holds'!$G$36:$G$370)*('Kilter Holds'!$F$36:$F$370=$A48),'Kilter Holds'!AB$36:AB$370),0)</f>
        <v>84</v>
      </c>
      <c r="K48" s="151">
        <f t="shared" ref="K48:K53" si="30">SUM(B48:J48)</f>
        <v>8885</v>
      </c>
      <c r="L48" s="152">
        <f t="shared" si="29"/>
        <v>0.19124800895432434</v>
      </c>
    </row>
    <row r="49" spans="1:12" ht="13.5">
      <c r="A49" s="229" t="s">
        <v>1147</v>
      </c>
      <c r="B49" s="427">
        <f>IFERROR(SUMPRODUCT(('Kilter Holds'!$E$36:$E$370)*('Kilter Holds'!$D$36:$D$370=$A49),'Kilter Holds'!T$36:T$370),0)+IFERROR(SUMPRODUCT(('Urban Plastix Holds'!$H$36:$H$498)*('Urban Plastix Holds'!$D$36:$D$498=$A49),'Urban Plastix Holds'!M$36:M$498),0)+IFERROR(SUMPRODUCT(('Kilter Holds'!$G$36:$G$370)*('Kilter Holds'!$F$36:$F$370=$A49),'Kilter Holds'!T$36:T$370),0)</f>
        <v>690</v>
      </c>
      <c r="C49" s="150">
        <f>IFERROR(SUMPRODUCT(('Kilter Holds'!$E$36:$E$370)*('Kilter Holds'!$D$36:$D$370=$A49),'Kilter Holds'!U$36:U$370),0)+IFERROR(SUMPRODUCT(('Urban Plastix Holds'!$H$36:$H$498)*('Urban Plastix Holds'!$D$36:$D$498=$A49),'Urban Plastix Holds'!N$36:N$498),0)+IFERROR(SUMPRODUCT(('Kilter Holds'!$G$36:$G$370)*('Kilter Holds'!$F$36:$F$370=$A49),'Kilter Holds'!U$36:U$370),0)</f>
        <v>10</v>
      </c>
      <c r="D49" s="150">
        <f>IFERROR(SUMPRODUCT(('Kilter Holds'!$E$36:$E$370)*('Kilter Holds'!$D$36:$D$370=$A49),'Kilter Holds'!V$36:V$370),0)+IFERROR(SUMPRODUCT(('Urban Plastix Holds'!$H$36:$H$498)*('Urban Plastix Holds'!$D$36:$D$498=$A49),'Urban Plastix Holds'!O$36:O$498),0)+IFERROR(SUMPRODUCT(('Kilter Holds'!$G$36:$G$370)*('Kilter Holds'!$F$36:$F$370=$A49),'Kilter Holds'!V$36:V$370),0)</f>
        <v>1043</v>
      </c>
      <c r="E49" s="150">
        <f>IFERROR(SUMPRODUCT(('Kilter Holds'!$E$36:$E$370)*('Kilter Holds'!$D$36:$D$370=$A49),'Kilter Holds'!W$36:W$370),0)+IFERROR(SUMPRODUCT(('Urban Plastix Holds'!$H$36:$H$498)*('Urban Plastix Holds'!$D$36:$D$498=$A49),'Urban Plastix Holds'!P$36:P$498),0)+IFERROR(SUMPRODUCT(('Kilter Holds'!$G$36:$G$370)*('Kilter Holds'!$F$36:$F$370=$A49),'Kilter Holds'!W$36:W$370),0)</f>
        <v>794</v>
      </c>
      <c r="F49" s="150">
        <f>IFERROR(SUMPRODUCT(('Kilter Holds'!$E$36:$E$370)*('Kilter Holds'!$D$36:$D$370=$A49),'Kilter Holds'!X$36:X$370),0)+IFERROR(SUMPRODUCT(('Urban Plastix Holds'!$H$36:$H$498)*('Urban Plastix Holds'!$D$36:$D$498=$A49),'Urban Plastix Holds'!Q$36:Q$498),0)+IFERROR(SUMPRODUCT(('Kilter Holds'!$G$36:$G$370)*('Kilter Holds'!$F$36:$F$370=$A49),'Kilter Holds'!X$36:X$370),0)</f>
        <v>1230</v>
      </c>
      <c r="G49" s="150">
        <f>IFERROR(SUMPRODUCT(('Kilter Holds'!$E$36:$E$370)*('Kilter Holds'!$D$36:$D$370=$A49),'Kilter Holds'!Y$36:Y$370),0)+IFERROR(SUMPRODUCT(('Urban Plastix Holds'!$H$36:$H$498)*('Urban Plastix Holds'!$D$36:$D$498=$A49),'Urban Plastix Holds'!R$36:R$498),0)+IFERROR(SUMPRODUCT(('Kilter Holds'!$G$36:$G$370)*('Kilter Holds'!$F$36:$F$370=$A49),'Kilter Holds'!Y$36:Y$370),0)</f>
        <v>638</v>
      </c>
      <c r="H49" s="150">
        <f>IFERROR(SUMPRODUCT(('Kilter Holds'!$E$36:$E$370)*('Kilter Holds'!$D$36:$D$370=$A49),'Kilter Holds'!Z$36:Z$370),0)+IFERROR(SUMPRODUCT(('Urban Plastix Holds'!$H$36:$H$498)*('Urban Plastix Holds'!$D$36:$D$498=$A49),'Urban Plastix Holds'!S$36:S$498),0)+IFERROR(SUMPRODUCT(('Kilter Holds'!$G$36:$G$370)*('Kilter Holds'!$F$36:$F$370=$A49),'Kilter Holds'!Z$36:Z$370),0)</f>
        <v>398</v>
      </c>
      <c r="I49" s="150">
        <f>IFERROR(SUMPRODUCT(('Kilter Holds'!$E$36:$E$370)*('Kilter Holds'!$D$36:$D$370=$A49),'Kilter Holds'!AA$36:AA$370),0)+IFERROR(SUMPRODUCT(('Urban Plastix Holds'!$H$36:$H$498)*('Urban Plastix Holds'!$D$36:$D$498=$A49),'Urban Plastix Holds'!T$36:T$498),0)+IFERROR(SUMPRODUCT(('Kilter Holds'!$G$36:$G$370)*('Kilter Holds'!$F$36:$F$370=$A49),'Kilter Holds'!AA$36:AA$370),0)</f>
        <v>1324</v>
      </c>
      <c r="J49" s="428">
        <f>IFERROR(SUMPRODUCT(('Kilter Holds'!$E$36:$E$370)*('Kilter Holds'!$D$36:$D$370=$A49),'Kilter Holds'!AB$36:AB$370),0)+IFERROR(SUMPRODUCT(('Urban Plastix Holds'!$H$36:$H$498)*('Urban Plastix Holds'!$D$36:$D$498=$A49),'Urban Plastix Holds'!U$36:U$498),0)+IFERROR(SUMPRODUCT(('Kilter Holds'!$G$36:$G$370)*('Kilter Holds'!$F$36:$F$370=$A49),'Kilter Holds'!AB$36:AB$370),0)</f>
        <v>232</v>
      </c>
      <c r="K49" s="151">
        <f t="shared" si="30"/>
        <v>6359</v>
      </c>
      <c r="L49" s="152">
        <f t="shared" si="29"/>
        <v>0.13687631839510955</v>
      </c>
    </row>
    <row r="50" spans="1:12" ht="13.5">
      <c r="A50" s="229" t="s">
        <v>452</v>
      </c>
      <c r="B50" s="427">
        <f>IFERROR(SUMPRODUCT(('Kilter Holds'!$E$36:$E$370)*('Kilter Holds'!$D$36:$D$370=$A50),'Kilter Holds'!T$36:T$370),0)+IFERROR(SUMPRODUCT(('Urban Plastix Holds'!$H$36:$H$498)*('Urban Plastix Holds'!$D$36:$D$498=$A50),'Urban Plastix Holds'!M$36:M$498),0)+IFERROR(SUMPRODUCT(('Kilter Holds'!$G$36:$G$370)*('Kilter Holds'!$F$36:$F$370=$A50),'Kilter Holds'!T$36:T$370),0)</f>
        <v>539</v>
      </c>
      <c r="C50" s="150">
        <f>IFERROR(SUMPRODUCT(('Kilter Holds'!$E$36:$E$370)*('Kilter Holds'!$D$36:$D$370=$A50),'Kilter Holds'!U$36:U$370),0)+IFERROR(SUMPRODUCT(('Urban Plastix Holds'!$H$36:$H$498)*('Urban Plastix Holds'!$D$36:$D$498=$A50),'Urban Plastix Holds'!N$36:N$498),0)+IFERROR(SUMPRODUCT(('Kilter Holds'!$G$36:$G$370)*('Kilter Holds'!$F$36:$F$370=$A50),'Kilter Holds'!U$36:U$370),0)</f>
        <v>10</v>
      </c>
      <c r="D50" s="150">
        <f>IFERROR(SUMPRODUCT(('Kilter Holds'!$E$36:$E$370)*('Kilter Holds'!$D$36:$D$370=$A50),'Kilter Holds'!V$36:V$370),0)+IFERROR(SUMPRODUCT(('Urban Plastix Holds'!$H$36:$H$498)*('Urban Plastix Holds'!$D$36:$D$498=$A50),'Urban Plastix Holds'!O$36:O$498),0)+IFERROR(SUMPRODUCT(('Kilter Holds'!$G$36:$G$370)*('Kilter Holds'!$F$36:$F$370=$A50),'Kilter Holds'!V$36:V$370),0)</f>
        <v>793</v>
      </c>
      <c r="E50" s="150">
        <f>IFERROR(SUMPRODUCT(('Kilter Holds'!$E$36:$E$370)*('Kilter Holds'!$D$36:$D$370=$A50),'Kilter Holds'!W$36:W$370),0)+IFERROR(SUMPRODUCT(('Urban Plastix Holds'!$H$36:$H$498)*('Urban Plastix Holds'!$D$36:$D$498=$A50),'Urban Plastix Holds'!P$36:P$498),0)+IFERROR(SUMPRODUCT(('Kilter Holds'!$G$36:$G$370)*('Kilter Holds'!$F$36:$F$370=$A50),'Kilter Holds'!W$36:W$370),0)</f>
        <v>575</v>
      </c>
      <c r="F50" s="150">
        <f>IFERROR(SUMPRODUCT(('Kilter Holds'!$E$36:$E$370)*('Kilter Holds'!$D$36:$D$370=$A50),'Kilter Holds'!X$36:X$370),0)+IFERROR(SUMPRODUCT(('Urban Plastix Holds'!$H$36:$H$498)*('Urban Plastix Holds'!$D$36:$D$498=$A50),'Urban Plastix Holds'!Q$36:Q$498),0)+IFERROR(SUMPRODUCT(('Kilter Holds'!$G$36:$G$370)*('Kilter Holds'!$F$36:$F$370=$A50),'Kilter Holds'!X$36:X$370),0)</f>
        <v>943</v>
      </c>
      <c r="G50" s="150">
        <f>IFERROR(SUMPRODUCT(('Kilter Holds'!$E$36:$E$370)*('Kilter Holds'!$D$36:$D$370=$A50),'Kilter Holds'!Y$36:Y$370),0)+IFERROR(SUMPRODUCT(('Urban Plastix Holds'!$H$36:$H$498)*('Urban Plastix Holds'!$D$36:$D$498=$A50),'Urban Plastix Holds'!R$36:R$498),0)+IFERROR(SUMPRODUCT(('Kilter Holds'!$G$36:$G$370)*('Kilter Holds'!$F$36:$F$370=$A50),'Kilter Holds'!Y$36:Y$370),0)</f>
        <v>429</v>
      </c>
      <c r="H50" s="150">
        <f>IFERROR(SUMPRODUCT(('Kilter Holds'!$E$36:$E$370)*('Kilter Holds'!$D$36:$D$370=$A50),'Kilter Holds'!Z$36:Z$370),0)+IFERROR(SUMPRODUCT(('Urban Plastix Holds'!$H$36:$H$498)*('Urban Plastix Holds'!$D$36:$D$498=$A50),'Urban Plastix Holds'!S$36:S$498),0)+IFERROR(SUMPRODUCT(('Kilter Holds'!$G$36:$G$370)*('Kilter Holds'!$F$36:$F$370=$A50),'Kilter Holds'!Z$36:Z$370),0)</f>
        <v>195</v>
      </c>
      <c r="I50" s="150">
        <f>IFERROR(SUMPRODUCT(('Kilter Holds'!$E$36:$E$370)*('Kilter Holds'!$D$36:$D$370=$A50),'Kilter Holds'!AA$36:AA$370),0)+IFERROR(SUMPRODUCT(('Urban Plastix Holds'!$H$36:$H$498)*('Urban Plastix Holds'!$D$36:$D$498=$A50),'Urban Plastix Holds'!T$36:T$498),0)+IFERROR(SUMPRODUCT(('Kilter Holds'!$G$36:$G$370)*('Kilter Holds'!$F$36:$F$370=$A50),'Kilter Holds'!AA$36:AA$370),0)</f>
        <v>1164</v>
      </c>
      <c r="J50" s="428">
        <f>IFERROR(SUMPRODUCT(('Kilter Holds'!$E$36:$E$370)*('Kilter Holds'!$D$36:$D$370=$A50),'Kilter Holds'!AB$36:AB$370),0)+IFERROR(SUMPRODUCT(('Urban Plastix Holds'!$H$36:$H$498)*('Urban Plastix Holds'!$D$36:$D$498=$A50),'Urban Plastix Holds'!U$36:U$498),0)+IFERROR(SUMPRODUCT(('Kilter Holds'!$G$36:$G$370)*('Kilter Holds'!$F$36:$F$370=$A50),'Kilter Holds'!AB$36:AB$370),0)</f>
        <v>214</v>
      </c>
      <c r="K50" s="151">
        <f t="shared" si="30"/>
        <v>4862</v>
      </c>
      <c r="L50" s="152">
        <f t="shared" si="29"/>
        <v>0.10465366567652504</v>
      </c>
    </row>
    <row r="51" spans="1:12" ht="13.5">
      <c r="A51" s="229" t="s">
        <v>1148</v>
      </c>
      <c r="B51" s="427">
        <f>IFERROR(SUMPRODUCT(('Kilter Holds'!$E$36:$E$370)*('Kilter Holds'!$D$36:$D$370=$A51),'Kilter Holds'!T$36:T$370),0)+IFERROR(SUMPRODUCT(('Urban Plastix Holds'!$H$36:$H$498)*('Urban Plastix Holds'!$D$36:$D$498=$A51),'Urban Plastix Holds'!M$36:M$498),0)+IFERROR(SUMPRODUCT(('Kilter Holds'!$G$36:$G$370)*('Kilter Holds'!$F$36:$F$370=$A51),'Kilter Holds'!T$36:T$370),0)</f>
        <v>435</v>
      </c>
      <c r="C51" s="150">
        <f>IFERROR(SUMPRODUCT(('Kilter Holds'!$E$36:$E$370)*('Kilter Holds'!$D$36:$D$370=$A51),'Kilter Holds'!U$36:U$370),0)+IFERROR(SUMPRODUCT(('Urban Plastix Holds'!$H$36:$H$498)*('Urban Plastix Holds'!$D$36:$D$498=$A51),'Urban Plastix Holds'!N$36:N$498),0)+IFERROR(SUMPRODUCT(('Kilter Holds'!$G$36:$G$370)*('Kilter Holds'!$F$36:$F$370=$A51),'Kilter Holds'!U$36:U$370),0)</f>
        <v>90</v>
      </c>
      <c r="D51" s="150">
        <f>IFERROR(SUMPRODUCT(('Kilter Holds'!$E$36:$E$370)*('Kilter Holds'!$D$36:$D$370=$A51),'Kilter Holds'!V$36:V$370),0)+IFERROR(SUMPRODUCT(('Urban Plastix Holds'!$H$36:$H$498)*('Urban Plastix Holds'!$D$36:$D$498=$A51),'Urban Plastix Holds'!O$36:O$498),0)+IFERROR(SUMPRODUCT(('Kilter Holds'!$G$36:$G$370)*('Kilter Holds'!$F$36:$F$370=$A51),'Kilter Holds'!V$36:V$370),0)</f>
        <v>681</v>
      </c>
      <c r="E51" s="150">
        <f>IFERROR(SUMPRODUCT(('Kilter Holds'!$E$36:$E$370)*('Kilter Holds'!$D$36:$D$370=$A51),'Kilter Holds'!W$36:W$370),0)+IFERROR(SUMPRODUCT(('Urban Plastix Holds'!$H$36:$H$498)*('Urban Plastix Holds'!$D$36:$D$498=$A51),'Urban Plastix Holds'!P$36:P$498),0)+IFERROR(SUMPRODUCT(('Kilter Holds'!$G$36:$G$370)*('Kilter Holds'!$F$36:$F$370=$A51),'Kilter Holds'!W$36:W$370),0)</f>
        <v>484</v>
      </c>
      <c r="F51" s="150">
        <f>IFERROR(SUMPRODUCT(('Kilter Holds'!$E$36:$E$370)*('Kilter Holds'!$D$36:$D$370=$A51),'Kilter Holds'!X$36:X$370),0)+IFERROR(SUMPRODUCT(('Urban Plastix Holds'!$H$36:$H$498)*('Urban Plastix Holds'!$D$36:$D$498=$A51),'Urban Plastix Holds'!Q$36:Q$498),0)+IFERROR(SUMPRODUCT(('Kilter Holds'!$G$36:$G$370)*('Kilter Holds'!$F$36:$F$370=$A51),'Kilter Holds'!X$36:X$370),0)</f>
        <v>1018</v>
      </c>
      <c r="G51" s="150">
        <f>IFERROR(SUMPRODUCT(('Kilter Holds'!$E$36:$E$370)*('Kilter Holds'!$D$36:$D$370=$A51),'Kilter Holds'!Y$36:Y$370),0)+IFERROR(SUMPRODUCT(('Urban Plastix Holds'!$H$36:$H$498)*('Urban Plastix Holds'!$D$36:$D$498=$A51),'Urban Plastix Holds'!R$36:R$498),0)+IFERROR(SUMPRODUCT(('Kilter Holds'!$G$36:$G$370)*('Kilter Holds'!$F$36:$F$370=$A51),'Kilter Holds'!Y$36:Y$370),0)</f>
        <v>464</v>
      </c>
      <c r="H51" s="150">
        <f>IFERROR(SUMPRODUCT(('Kilter Holds'!$E$36:$E$370)*('Kilter Holds'!$D$36:$D$370=$A51),'Kilter Holds'!Z$36:Z$370),0)+IFERROR(SUMPRODUCT(('Urban Plastix Holds'!$H$36:$H$498)*('Urban Plastix Holds'!$D$36:$D$498=$A51),'Urban Plastix Holds'!S$36:S$498),0)+IFERROR(SUMPRODUCT(('Kilter Holds'!$G$36:$G$370)*('Kilter Holds'!$F$36:$F$370=$A51),'Kilter Holds'!Z$36:Z$370),0)</f>
        <v>175</v>
      </c>
      <c r="I51" s="150">
        <f>IFERROR(SUMPRODUCT(('Kilter Holds'!$E$36:$E$370)*('Kilter Holds'!$D$36:$D$370=$A51),'Kilter Holds'!AA$36:AA$370),0)+IFERROR(SUMPRODUCT(('Urban Plastix Holds'!$H$36:$H$498)*('Urban Plastix Holds'!$D$36:$D$498=$A51),'Urban Plastix Holds'!T$36:T$498),0)+IFERROR(SUMPRODUCT(('Kilter Holds'!$G$36:$G$370)*('Kilter Holds'!$F$36:$F$370=$A51),'Kilter Holds'!AA$36:AA$370),0)</f>
        <v>865</v>
      </c>
      <c r="J51" s="428">
        <f>IFERROR(SUMPRODUCT(('Kilter Holds'!$E$36:$E$370)*('Kilter Holds'!$D$36:$D$370=$A51),'Kilter Holds'!AB$36:AB$370),0)+IFERROR(SUMPRODUCT(('Urban Plastix Holds'!$H$36:$H$498)*('Urban Plastix Holds'!$D$36:$D$498=$A51),'Urban Plastix Holds'!U$36:U$498),0)+IFERROR(SUMPRODUCT(('Kilter Holds'!$G$36:$G$370)*('Kilter Holds'!$F$36:$F$370=$A51),'Kilter Holds'!AB$36:AB$370),0)</f>
        <v>184</v>
      </c>
      <c r="K51" s="151">
        <f t="shared" si="30"/>
        <v>4396</v>
      </c>
      <c r="L51" s="152">
        <f t="shared" si="29"/>
        <v>9.4623100434801322E-2</v>
      </c>
    </row>
    <row r="52" spans="1:12" ht="13.5">
      <c r="A52" s="229" t="s">
        <v>1152</v>
      </c>
      <c r="B52" s="427">
        <f>IFERROR(SUMPRODUCT(('Kilter Holds'!$E$36:$E$370)*('Kilter Holds'!$D$36:$D$370=$A52),'Kilter Holds'!T$36:T$370),0)+IFERROR(SUMPRODUCT(('Urban Plastix Holds'!$H$36:$H$498)*('Urban Plastix Holds'!$D$36:$D$498=$A52),'Urban Plastix Holds'!M$36:M$498),0)+IFERROR(SUMPRODUCT(('Kilter Holds'!$G$36:$G$370)*('Kilter Holds'!$F$36:$F$370=$A52),'Kilter Holds'!T$36:T$370),0)</f>
        <v>919</v>
      </c>
      <c r="C52" s="150">
        <f>IFERROR(SUMPRODUCT(('Kilter Holds'!$E$36:$E$370)*('Kilter Holds'!$D$36:$D$370=$A52),'Kilter Holds'!U$36:U$370),0)+IFERROR(SUMPRODUCT(('Urban Plastix Holds'!$H$36:$H$498)*('Urban Plastix Holds'!$D$36:$D$498=$A52),'Urban Plastix Holds'!N$36:N$498),0)+IFERROR(SUMPRODUCT(('Kilter Holds'!$G$36:$G$370)*('Kilter Holds'!$F$36:$F$370=$A52),'Kilter Holds'!U$36:U$370),0)</f>
        <v>100</v>
      </c>
      <c r="D52" s="150">
        <f>IFERROR(SUMPRODUCT(('Kilter Holds'!$E$36:$E$370)*('Kilter Holds'!$D$36:$D$370=$A52),'Kilter Holds'!V$36:V$370),0)+IFERROR(SUMPRODUCT(('Urban Plastix Holds'!$H$36:$H$498)*('Urban Plastix Holds'!$D$36:$D$498=$A52),'Urban Plastix Holds'!O$36:O$498),0)+IFERROR(SUMPRODUCT(('Kilter Holds'!$G$36:$G$370)*('Kilter Holds'!$F$36:$F$370=$A52),'Kilter Holds'!V$36:V$370),0)</f>
        <v>1369</v>
      </c>
      <c r="E52" s="150">
        <f>IFERROR(SUMPRODUCT(('Kilter Holds'!$E$36:$E$370)*('Kilter Holds'!$D$36:$D$370=$A52),'Kilter Holds'!W$36:W$370),0)+IFERROR(SUMPRODUCT(('Urban Plastix Holds'!$H$36:$H$498)*('Urban Plastix Holds'!$D$36:$D$498=$A52),'Urban Plastix Holds'!P$36:P$498),0)+IFERROR(SUMPRODUCT(('Kilter Holds'!$G$36:$G$370)*('Kilter Holds'!$F$36:$F$370=$A52),'Kilter Holds'!W$36:W$370),0)</f>
        <v>536</v>
      </c>
      <c r="F52" s="150">
        <f>IFERROR(SUMPRODUCT(('Kilter Holds'!$E$36:$E$370)*('Kilter Holds'!$D$36:$D$370=$A52),'Kilter Holds'!X$36:X$370),0)+IFERROR(SUMPRODUCT(('Urban Plastix Holds'!$H$36:$H$498)*('Urban Plastix Holds'!$D$36:$D$498=$A52),'Urban Plastix Holds'!Q$36:Q$498),0)+IFERROR(SUMPRODUCT(('Kilter Holds'!$G$36:$G$370)*('Kilter Holds'!$F$36:$F$370=$A52),'Kilter Holds'!X$36:X$370),0)</f>
        <v>2362</v>
      </c>
      <c r="G52" s="150">
        <f>IFERROR(SUMPRODUCT(('Kilter Holds'!$E$36:$E$370)*('Kilter Holds'!$D$36:$D$370=$A52),'Kilter Holds'!Y$36:Y$370),0)+IFERROR(SUMPRODUCT(('Urban Plastix Holds'!$H$36:$H$498)*('Urban Plastix Holds'!$D$36:$D$498=$A52),'Urban Plastix Holds'!R$36:R$498),0)+IFERROR(SUMPRODUCT(('Kilter Holds'!$G$36:$G$370)*('Kilter Holds'!$F$36:$F$370=$A52),'Kilter Holds'!Y$36:Y$370),0)</f>
        <v>356</v>
      </c>
      <c r="H52" s="150">
        <f>IFERROR(SUMPRODUCT(('Kilter Holds'!$E$36:$E$370)*('Kilter Holds'!$D$36:$D$370=$A52),'Kilter Holds'!Z$36:Z$370),0)+IFERROR(SUMPRODUCT(('Urban Plastix Holds'!$H$36:$H$498)*('Urban Plastix Holds'!$D$36:$D$498=$A52),'Urban Plastix Holds'!S$36:S$498),0)+IFERROR(SUMPRODUCT(('Kilter Holds'!$G$36:$G$370)*('Kilter Holds'!$F$36:$F$370=$A52),'Kilter Holds'!Z$36:Z$370),0)</f>
        <v>309</v>
      </c>
      <c r="I52" s="150">
        <f>IFERROR(SUMPRODUCT(('Kilter Holds'!$E$36:$E$370)*('Kilter Holds'!$D$36:$D$370=$A52),'Kilter Holds'!AA$36:AA$370),0)+IFERROR(SUMPRODUCT(('Urban Plastix Holds'!$H$36:$H$498)*('Urban Plastix Holds'!$D$36:$D$498=$A52),'Urban Plastix Holds'!T$36:T$498),0)+IFERROR(SUMPRODUCT(('Kilter Holds'!$G$36:$G$370)*('Kilter Holds'!$F$36:$F$370=$A52),'Kilter Holds'!AA$36:AA$370),0)</f>
        <v>2026</v>
      </c>
      <c r="J52" s="428">
        <f>IFERROR(SUMPRODUCT(('Kilter Holds'!$E$36:$E$370)*('Kilter Holds'!$D$36:$D$370=$A52),'Kilter Holds'!AB$36:AB$370),0)+IFERROR(SUMPRODUCT(('Urban Plastix Holds'!$H$36:$H$498)*('Urban Plastix Holds'!$D$36:$D$498=$A52),'Urban Plastix Holds'!U$36:U$498),0)+IFERROR(SUMPRODUCT(('Kilter Holds'!$G$36:$G$370)*('Kilter Holds'!$F$36:$F$370=$A52),'Kilter Holds'!AB$36:AB$370),0)</f>
        <v>218</v>
      </c>
      <c r="K52" s="151">
        <f t="shared" si="30"/>
        <v>8195</v>
      </c>
      <c r="L52" s="152">
        <f t="shared" si="29"/>
        <v>0.17639588445477636</v>
      </c>
    </row>
    <row r="53" spans="1:12" ht="13.5">
      <c r="A53" s="229" t="s">
        <v>456</v>
      </c>
      <c r="B53" s="427">
        <f>IFERROR(SUMPRODUCT(('Kilter Holds'!$E$36:$E$370)*('Kilter Holds'!$D$36:$D$370=$A53),'Kilter Holds'!T$36:T$370),0)+IFERROR(SUMPRODUCT(('Urban Plastix Holds'!$H$36:$H$498)*('Urban Plastix Holds'!$D$36:$D$498=$A53),'Urban Plastix Holds'!M$36:M$498),0)+IFERROR(SUMPRODUCT(('Kilter Holds'!$G$36:$G$370)*('Kilter Holds'!$F$36:$F$370=$A53),'Kilter Holds'!T$36:T$370),0)</f>
        <v>830</v>
      </c>
      <c r="C53" s="150">
        <f>IFERROR(SUMPRODUCT(('Kilter Holds'!$E$36:$E$370)*('Kilter Holds'!$D$36:$D$370=$A53),'Kilter Holds'!U$36:U$370),0)+IFERROR(SUMPRODUCT(('Urban Plastix Holds'!$H$36:$H$498)*('Urban Plastix Holds'!$D$36:$D$498=$A53),'Urban Plastix Holds'!N$36:N$498),0)+IFERROR(SUMPRODUCT(('Kilter Holds'!$G$36:$G$370)*('Kilter Holds'!$F$36:$F$370=$A53),'Kilter Holds'!U$36:U$370),0)</f>
        <v>148</v>
      </c>
      <c r="D53" s="150">
        <f>IFERROR(SUMPRODUCT(('Kilter Holds'!$E$36:$E$370)*('Kilter Holds'!$D$36:$D$370=$A53),'Kilter Holds'!V$36:V$370),0)+IFERROR(SUMPRODUCT(('Urban Plastix Holds'!$H$36:$H$498)*('Urban Plastix Holds'!$D$36:$D$498=$A53),'Urban Plastix Holds'!O$36:O$498),0)+IFERROR(SUMPRODUCT(('Kilter Holds'!$G$36:$G$370)*('Kilter Holds'!$F$36:$F$370=$A53),'Kilter Holds'!V$36:V$370),0)</f>
        <v>1115</v>
      </c>
      <c r="E53" s="150">
        <f>IFERROR(SUMPRODUCT(('Kilter Holds'!$E$36:$E$370)*('Kilter Holds'!$D$36:$D$370=$A53),'Kilter Holds'!W$36:W$370),0)+IFERROR(SUMPRODUCT(('Urban Plastix Holds'!$H$36:$H$498)*('Urban Plastix Holds'!$D$36:$D$498=$A53),'Urban Plastix Holds'!P$36:P$498),0)+IFERROR(SUMPRODUCT(('Kilter Holds'!$G$36:$G$370)*('Kilter Holds'!$F$36:$F$370=$A53),'Kilter Holds'!W$36:W$370),0)</f>
        <v>851</v>
      </c>
      <c r="F53" s="150">
        <f>IFERROR(SUMPRODUCT(('Kilter Holds'!$E$36:$E$370)*('Kilter Holds'!$D$36:$D$370=$A53),'Kilter Holds'!X$36:X$370),0)+IFERROR(SUMPRODUCT(('Urban Plastix Holds'!$H$36:$H$498)*('Urban Plastix Holds'!$D$36:$D$498=$A53),'Urban Plastix Holds'!Q$36:Q$498),0)+IFERROR(SUMPRODUCT(('Kilter Holds'!$G$36:$G$370)*('Kilter Holds'!$F$36:$F$370=$A53),'Kilter Holds'!X$36:X$370),0)</f>
        <v>1035</v>
      </c>
      <c r="G53" s="150">
        <f>IFERROR(SUMPRODUCT(('Kilter Holds'!$E$36:$E$370)*('Kilter Holds'!$D$36:$D$370=$A53),'Kilter Holds'!Y$36:Y$370),0)+IFERROR(SUMPRODUCT(('Urban Plastix Holds'!$H$36:$H$498)*('Urban Plastix Holds'!$D$36:$D$498=$A53),'Urban Plastix Holds'!R$36:R$498),0)+IFERROR(SUMPRODUCT(('Kilter Holds'!$G$36:$G$370)*('Kilter Holds'!$F$36:$F$370=$A53),'Kilter Holds'!Y$36:Y$370),0)</f>
        <v>616</v>
      </c>
      <c r="H53" s="150">
        <f>IFERROR(SUMPRODUCT(('Kilter Holds'!$E$36:$E$370)*('Kilter Holds'!$D$36:$D$370=$A53),'Kilter Holds'!Z$36:Z$370),0)+IFERROR(SUMPRODUCT(('Urban Plastix Holds'!$H$36:$H$498)*('Urban Plastix Holds'!$D$36:$D$498=$A53),'Urban Plastix Holds'!S$36:S$498),0)+IFERROR(SUMPRODUCT(('Kilter Holds'!$G$36:$G$370)*('Kilter Holds'!$F$36:$F$370=$A53),'Kilter Holds'!Z$36:Z$370),0)</f>
        <v>652</v>
      </c>
      <c r="I53" s="150">
        <f>IFERROR(SUMPRODUCT(('Kilter Holds'!$E$36:$E$370)*('Kilter Holds'!$D$36:$D$370=$A53),'Kilter Holds'!AA$36:AA$370),0)+IFERROR(SUMPRODUCT(('Urban Plastix Holds'!$H$36:$H$498)*('Urban Plastix Holds'!$D$36:$D$498=$A53),'Urban Plastix Holds'!T$36:T$498),0)+IFERROR(SUMPRODUCT(('Kilter Holds'!$G$36:$G$370)*('Kilter Holds'!$F$36:$F$370=$A53),'Kilter Holds'!AA$36:AA$370),0)</f>
        <v>1568</v>
      </c>
      <c r="J53" s="428">
        <f>IFERROR(SUMPRODUCT(('Kilter Holds'!$E$36:$E$370)*('Kilter Holds'!$D$36:$D$370=$A53),'Kilter Holds'!AB$36:AB$370),0)+IFERROR(SUMPRODUCT(('Urban Plastix Holds'!$H$36:$H$498)*('Urban Plastix Holds'!$D$36:$D$498=$A53),'Urban Plastix Holds'!U$36:U$498),0)+IFERROR(SUMPRODUCT(('Kilter Holds'!$G$36:$G$370)*('Kilter Holds'!$F$36:$F$370=$A53),'Kilter Holds'!AB$36:AB$370),0)</f>
        <v>164</v>
      </c>
      <c r="K53" s="151">
        <f t="shared" si="30"/>
        <v>6979</v>
      </c>
      <c r="L53" s="152">
        <f t="shared" si="29"/>
        <v>0.15022170562658746</v>
      </c>
    </row>
    <row r="54" spans="1:12" ht="14" thickBot="1">
      <c r="A54" s="230" t="s">
        <v>2114</v>
      </c>
      <c r="B54" s="429">
        <f>IFERROR(SUMPRODUCT(('Kilter Holds'!$E$36:$E$370)*('Kilter Holds'!$D$36:$D$370=$A54),'Kilter Holds'!T$36:T$370),0)+IFERROR(SUMPRODUCT(('Urban Plastix Holds'!$H$36:$H$498)*('Urban Plastix Holds'!$D$36:$D$498=$A54),'Urban Plastix Holds'!M$36:M$498),0)+IFERROR(SUMPRODUCT(('Kilter Holds'!$G$36:$G$370)*('Kilter Holds'!$F$36:$F$370=$A54),'Kilter Holds'!T$36:T$370),0)</f>
        <v>0</v>
      </c>
      <c r="C54" s="153">
        <f>IFERROR(SUMPRODUCT(('Kilter Holds'!$E$36:$E$370)*('Kilter Holds'!$D$36:$D$370=$A54),'Kilter Holds'!U$36:U$370),0)+IFERROR(SUMPRODUCT(('Urban Plastix Holds'!$H$36:$H$498)*('Urban Plastix Holds'!$D$36:$D$498=$A54),'Urban Plastix Holds'!N$36:N$498),0)+IFERROR(SUMPRODUCT(('Kilter Holds'!$G$36:$G$370)*('Kilter Holds'!$F$36:$F$370=$A54),'Kilter Holds'!U$36:U$370),0)</f>
        <v>0</v>
      </c>
      <c r="D54" s="153">
        <f>IFERROR(SUMPRODUCT(('Kilter Holds'!$E$36:$E$370)*('Kilter Holds'!$D$36:$D$370=$A54),'Kilter Holds'!V$36:V$370),0)+IFERROR(SUMPRODUCT(('Urban Plastix Holds'!$H$36:$H$498)*('Urban Plastix Holds'!$D$36:$D$498=$A54),'Urban Plastix Holds'!O$36:O$498),0)+IFERROR(SUMPRODUCT(('Kilter Holds'!$G$36:$G$370)*('Kilter Holds'!$F$36:$F$370=$A54),'Kilter Holds'!V$36:V$370),0)</f>
        <v>0</v>
      </c>
      <c r="E54" s="153">
        <f>IFERROR(SUMPRODUCT(('Kilter Holds'!$E$36:$E$370)*('Kilter Holds'!$D$36:$D$370=$A54),'Kilter Holds'!W$36:W$370),0)+IFERROR(SUMPRODUCT(('Urban Plastix Holds'!$H$36:$H$498)*('Urban Plastix Holds'!$D$36:$D$498=$A54),'Urban Plastix Holds'!P$36:P$498),0)+IFERROR(SUMPRODUCT(('Kilter Holds'!$G$36:$G$370)*('Kilter Holds'!$F$36:$F$370=$A54),'Kilter Holds'!W$36:W$370),0)</f>
        <v>0</v>
      </c>
      <c r="F54" s="153">
        <f>IFERROR(SUMPRODUCT(('Kilter Holds'!$E$36:$E$370)*('Kilter Holds'!$D$36:$D$370=$A54),'Kilter Holds'!X$36:X$370),0)+IFERROR(SUMPRODUCT(('Urban Plastix Holds'!$H$36:$H$498)*('Urban Plastix Holds'!$D$36:$D$498=$A54),'Urban Plastix Holds'!Q$36:Q$498),0)+IFERROR(SUMPRODUCT(('Kilter Holds'!$G$36:$G$370)*('Kilter Holds'!$F$36:$F$370=$A54),'Kilter Holds'!X$36:X$370),0)</f>
        <v>0</v>
      </c>
      <c r="G54" s="153">
        <f>IFERROR(SUMPRODUCT(('Kilter Holds'!$E$36:$E$370)*('Kilter Holds'!$D$36:$D$370=$A54),'Kilter Holds'!Y$36:Y$370),0)+IFERROR(SUMPRODUCT(('Urban Plastix Holds'!$H$36:$H$498)*('Urban Plastix Holds'!$D$36:$D$498=$A54),'Urban Plastix Holds'!R$36:R$498),0)+IFERROR(SUMPRODUCT(('Kilter Holds'!$G$36:$G$370)*('Kilter Holds'!$F$36:$F$370=$A54),'Kilter Holds'!Y$36:Y$370),0)</f>
        <v>0</v>
      </c>
      <c r="H54" s="153">
        <f>IFERROR(SUMPRODUCT(('Kilter Holds'!$E$36:$E$370)*('Kilter Holds'!$D$36:$D$370=$A54),'Kilter Holds'!Z$36:Z$370),0)+IFERROR(SUMPRODUCT(('Urban Plastix Holds'!$H$36:$H$498)*('Urban Plastix Holds'!$D$36:$D$498=$A54),'Urban Plastix Holds'!S$36:S$498),0)+IFERROR(SUMPRODUCT(('Kilter Holds'!$G$36:$G$370)*('Kilter Holds'!$F$36:$F$370=$A54),'Kilter Holds'!Z$36:Z$370),0)</f>
        <v>0</v>
      </c>
      <c r="I54" s="153">
        <f>IFERROR(SUMPRODUCT(('Kilter Holds'!$E$36:$E$370)*('Kilter Holds'!$D$36:$D$370=$A54),'Kilter Holds'!AA$36:AA$370),0)+IFERROR(SUMPRODUCT(('Urban Plastix Holds'!$H$36:$H$498)*('Urban Plastix Holds'!$D$36:$D$498=$A54),'Urban Plastix Holds'!T$36:T$498),0)+IFERROR(SUMPRODUCT(('Kilter Holds'!$G$36:$G$370)*('Kilter Holds'!$F$36:$F$370=$A54),'Kilter Holds'!AA$36:AA$370),0)</f>
        <v>0</v>
      </c>
      <c r="J54" s="430">
        <f>IFERROR(SUMPRODUCT(('Kilter Holds'!$E$36:$E$370)*('Kilter Holds'!$D$36:$D$370=$A54),'Kilter Holds'!AB$36:AB$370),0)+IFERROR(SUMPRODUCT(('Urban Plastix Holds'!$H$36:$H$498)*('Urban Plastix Holds'!$D$36:$D$498=$A54),'Urban Plastix Holds'!U$36:U$498),0)+IFERROR(SUMPRODUCT(('Kilter Holds'!$G$36:$G$370)*('Kilter Holds'!$F$36:$F$370=$A54),'Kilter Holds'!AB$36:AB$370),0)</f>
        <v>0</v>
      </c>
      <c r="K54" s="154">
        <f t="shared" ref="K54" si="31">SUM(B54:J54)</f>
        <v>0</v>
      </c>
      <c r="L54" s="152">
        <f t="shared" si="29"/>
        <v>0</v>
      </c>
    </row>
    <row r="55" spans="1:12" ht="14" thickBot="1">
      <c r="A55" s="231" t="s">
        <v>1149</v>
      </c>
      <c r="B55" s="167">
        <f>SUM(B46:B54)</f>
        <v>5267</v>
      </c>
      <c r="C55" s="167">
        <f t="shared" ref="C55:J55" si="32">SUM(C46:C54)</f>
        <v>421</v>
      </c>
      <c r="D55" s="167">
        <f t="shared" si="32"/>
        <v>7502</v>
      </c>
      <c r="E55" s="167">
        <f t="shared" si="32"/>
        <v>5448</v>
      </c>
      <c r="F55" s="167">
        <f t="shared" si="32"/>
        <v>9187</v>
      </c>
      <c r="G55" s="167">
        <f t="shared" si="32"/>
        <v>3923</v>
      </c>
      <c r="H55" s="167">
        <f t="shared" si="32"/>
        <v>2657</v>
      </c>
      <c r="I55" s="167">
        <f t="shared" si="32"/>
        <v>10915</v>
      </c>
      <c r="J55" s="167">
        <f t="shared" si="32"/>
        <v>1138</v>
      </c>
      <c r="K55" s="159">
        <f>SUM(K46:K54)</f>
        <v>46458</v>
      </c>
      <c r="L55" s="223" t="s">
        <v>79</v>
      </c>
    </row>
    <row r="56" spans="1:12" ht="14" thickBot="1">
      <c r="A56" s="232" t="s">
        <v>74</v>
      </c>
      <c r="B56" s="162">
        <f>IFERROR(B55/$K$19,0)</f>
        <v>0.11337121701321624</v>
      </c>
      <c r="C56" s="162">
        <f t="shared" ref="C56:J56" si="33">IFERROR(C55/$K$19,0)</f>
        <v>9.0619484265357965E-3</v>
      </c>
      <c r="D56" s="162">
        <f t="shared" si="33"/>
        <v>0.16147918550088253</v>
      </c>
      <c r="E56" s="162">
        <f t="shared" si="33"/>
        <v>0.11726720909208317</v>
      </c>
      <c r="F56" s="162">
        <f t="shared" si="33"/>
        <v>0.19774850402514099</v>
      </c>
      <c r="G56" s="162">
        <f t="shared" si="33"/>
        <v>8.4441861466270612E-2</v>
      </c>
      <c r="H56" s="162">
        <f t="shared" si="33"/>
        <v>5.7191441732317362E-2</v>
      </c>
      <c r="I56" s="162">
        <f t="shared" si="33"/>
        <v>0.23494338972835679</v>
      </c>
      <c r="J56" s="162">
        <f t="shared" si="33"/>
        <v>2.4495243015196521E-2</v>
      </c>
      <c r="L56" s="131"/>
    </row>
    <row r="57" spans="1:12" ht="15.5" thickBot="1">
      <c r="A57" s="130"/>
      <c r="L57" s="131"/>
    </row>
    <row r="58" spans="1:12" ht="21" thickTop="1" thickBot="1">
      <c r="A58" s="227" t="s">
        <v>1081</v>
      </c>
      <c r="B58" s="136" t="str">
        <f t="shared" ref="B58:J58" si="34">B2</f>
        <v>Red</v>
      </c>
      <c r="C58" s="137" t="str">
        <f t="shared" si="34"/>
        <v>Orange</v>
      </c>
      <c r="D58" s="138" t="str">
        <f t="shared" si="34"/>
        <v>Yellow</v>
      </c>
      <c r="E58" s="139" t="str">
        <f t="shared" si="34"/>
        <v>Green</v>
      </c>
      <c r="F58" s="140" t="str">
        <f t="shared" si="34"/>
        <v>Blue</v>
      </c>
      <c r="G58" s="141" t="str">
        <f t="shared" si="34"/>
        <v>Purple</v>
      </c>
      <c r="H58" s="142" t="str">
        <f t="shared" si="34"/>
        <v>Hot Pink</v>
      </c>
      <c r="I58" s="143" t="str">
        <f t="shared" si="34"/>
        <v>Black</v>
      </c>
      <c r="J58" s="144" t="str">
        <f t="shared" si="34"/>
        <v>White</v>
      </c>
      <c r="K58" s="145" t="s">
        <v>40</v>
      </c>
      <c r="L58" s="146" t="s">
        <v>41</v>
      </c>
    </row>
    <row r="59" spans="1:12" ht="13.5">
      <c r="A59" s="228" t="s">
        <v>2010</v>
      </c>
      <c r="B59" s="424">
        <f>IFERROR(SUMPRODUCT(('Kilter Holds'!$O$36:$O$370)*('Kilter Holds'!$H$36:$H$370=$A59),'Kilter Holds'!T$36:T$370),0)+IFERROR(SUMPRODUCT(('Urban Plastix Holds'!$H$36:$H$498)*('Urban Plastix Holds'!$E$36:$E$498=$A59),'Urban Plastix Holds'!M$36:M$498),0)</f>
        <v>0</v>
      </c>
      <c r="C59" s="425">
        <f>IFERROR(SUMPRODUCT(('Kilter Holds'!$O$36:$O$370)*('Kilter Holds'!$H$36:$H$370=$A59),'Kilter Holds'!U$36:U$370),0)+IFERROR(SUMPRODUCT(('Urban Plastix Holds'!$H$36:$H$498)*('Urban Plastix Holds'!$E$36:$E$498=$A59),'Urban Plastix Holds'!N$36:N$498),0)</f>
        <v>0</v>
      </c>
      <c r="D59" s="425">
        <f>IFERROR(SUMPRODUCT(('Kilter Holds'!$O$36:$O$370)*('Kilter Holds'!$H$36:$H$370=$A59),'Kilter Holds'!V$36:V$370),0)+IFERROR(SUMPRODUCT(('Urban Plastix Holds'!$H$36:$H$498)*('Urban Plastix Holds'!$E$36:$E$498=$A59),'Urban Plastix Holds'!O$36:O$498),0)</f>
        <v>0</v>
      </c>
      <c r="E59" s="425">
        <f>IFERROR(SUMPRODUCT(('Kilter Holds'!$O$36:$O$370)*('Kilter Holds'!$H$36:$H$370=$A59),'Kilter Holds'!W$36:W$370),0)+IFERROR(SUMPRODUCT(('Urban Plastix Holds'!$H$36:$H$498)*('Urban Plastix Holds'!$E$36:$E$498=$A59),'Urban Plastix Holds'!P$36:P$498),0)</f>
        <v>0</v>
      </c>
      <c r="F59" s="425">
        <f>IFERROR(SUMPRODUCT(('Kilter Holds'!$O$36:$O$370)*('Kilter Holds'!$H$36:$H$370=$A59),'Kilter Holds'!X$36:X$370),0)+IFERROR(SUMPRODUCT(('Urban Plastix Holds'!$H$36:$H$498)*('Urban Plastix Holds'!$E$36:$E$498=$A59),'Urban Plastix Holds'!Q$36:Q$498),0)</f>
        <v>0</v>
      </c>
      <c r="G59" s="425">
        <f>IFERROR(SUMPRODUCT(('Kilter Holds'!$O$36:$O$370)*('Kilter Holds'!$H$36:$H$370=$A59),'Kilter Holds'!Y$36:Y$370),0)+IFERROR(SUMPRODUCT(('Urban Plastix Holds'!$H$36:$H$498)*('Urban Plastix Holds'!$E$36:$E$498=$A59),'Urban Plastix Holds'!R$36:R$498),0)</f>
        <v>0</v>
      </c>
      <c r="H59" s="425">
        <f>IFERROR(SUMPRODUCT(('Kilter Holds'!$O$36:$O$370)*('Kilter Holds'!$H$36:$H$370=$A59),'Kilter Holds'!Z$36:Z$370),0)+IFERROR(SUMPRODUCT(('Urban Plastix Holds'!$H$36:$H$498)*('Urban Plastix Holds'!$E$36:$E$498=$A59),'Urban Plastix Holds'!S$36:S$498),0)</f>
        <v>0</v>
      </c>
      <c r="I59" s="425">
        <f>IFERROR(SUMPRODUCT(('Kilter Holds'!$O$36:$O$370)*('Kilter Holds'!$H$36:$H$370=$A59),'Kilter Holds'!AA$36:AA$370),0)+IFERROR(SUMPRODUCT(('Urban Plastix Holds'!$H$36:$H$498)*('Urban Plastix Holds'!$E$36:$E$498=$A59),'Urban Plastix Holds'!T$36:T$498),0)</f>
        <v>0</v>
      </c>
      <c r="J59" s="426">
        <f>IFERROR(SUMPRODUCT(('Kilter Holds'!$O$36:$O$370)*('Kilter Holds'!$H$36:$H$370=$A59),'Kilter Holds'!AB$36:AB$370),0)+IFERROR(SUMPRODUCT(('Urban Plastix Holds'!$H$36:$H$498)*('Urban Plastix Holds'!$E$36:$E$498=$A59),'Urban Plastix Holds'!U$36:U$498),0)</f>
        <v>0</v>
      </c>
      <c r="K59" s="148">
        <f>SUM(B59:J59)</f>
        <v>0</v>
      </c>
      <c r="L59" s="149">
        <f t="shared" ref="L59:L61" si="35">IFERROR($K59 / $K$19,0)</f>
        <v>0</v>
      </c>
    </row>
    <row r="60" spans="1:12" ht="13.5">
      <c r="A60" s="229" t="s">
        <v>2011</v>
      </c>
      <c r="B60" s="427">
        <f>IFERROR(SUMPRODUCT(('Kilter Holds'!$O$36:$O$370)*('Kilter Holds'!$H$36:$H$370=$A60),'Kilter Holds'!T$36:T$370),0)+IFERROR(SUMPRODUCT(('Urban Plastix Holds'!$H$36:$H$498)*('Urban Plastix Holds'!$E$36:$E$498=$A60),'Urban Plastix Holds'!M$36:M$498),0)</f>
        <v>5267</v>
      </c>
      <c r="C60" s="150">
        <f>IFERROR(SUMPRODUCT(('Kilter Holds'!$O$36:$O$370)*('Kilter Holds'!$H$36:$H$370=$A60),'Kilter Holds'!U$36:U$370),0)+IFERROR(SUMPRODUCT(('Urban Plastix Holds'!$H$36:$H$498)*('Urban Plastix Holds'!$E$36:$E$498=$A60),'Urban Plastix Holds'!N$36:N$498),0)</f>
        <v>421</v>
      </c>
      <c r="D60" s="150">
        <f>IFERROR(SUMPRODUCT(('Kilter Holds'!$O$36:$O$370)*('Kilter Holds'!$H$36:$H$370=$A60),'Kilter Holds'!V$36:V$370),0)+IFERROR(SUMPRODUCT(('Urban Plastix Holds'!$H$36:$H$498)*('Urban Plastix Holds'!$E$36:$E$498=$A60),'Urban Plastix Holds'!O$36:O$498),0)</f>
        <v>7502</v>
      </c>
      <c r="E60" s="150">
        <f>IFERROR(SUMPRODUCT(('Kilter Holds'!$O$36:$O$370)*('Kilter Holds'!$H$36:$H$370=$A60),'Kilter Holds'!W$36:W$370),0)+IFERROR(SUMPRODUCT(('Urban Plastix Holds'!$H$36:$H$498)*('Urban Plastix Holds'!$E$36:$E$498=$A60),'Urban Plastix Holds'!P$36:P$498),0)</f>
        <v>5448</v>
      </c>
      <c r="F60" s="150">
        <f>IFERROR(SUMPRODUCT(('Kilter Holds'!$O$36:$O$370)*('Kilter Holds'!$H$36:$H$370=$A60),'Kilter Holds'!X$36:X$370),0)+IFERROR(SUMPRODUCT(('Urban Plastix Holds'!$H$36:$H$498)*('Urban Plastix Holds'!$E$36:$E$498=$A60),'Urban Plastix Holds'!Q$36:Q$498),0)</f>
        <v>9187</v>
      </c>
      <c r="G60" s="150">
        <f>IFERROR(SUMPRODUCT(('Kilter Holds'!$O$36:$O$370)*('Kilter Holds'!$H$36:$H$370=$A60),'Kilter Holds'!Y$36:Y$370),0)+IFERROR(SUMPRODUCT(('Urban Plastix Holds'!$H$36:$H$498)*('Urban Plastix Holds'!$E$36:$E$498=$A60),'Urban Plastix Holds'!R$36:R$498),0)</f>
        <v>3923</v>
      </c>
      <c r="H60" s="150">
        <f>IFERROR(SUMPRODUCT(('Kilter Holds'!$O$36:$O$370)*('Kilter Holds'!$H$36:$H$370=$A60),'Kilter Holds'!Z$36:Z$370),0)+IFERROR(SUMPRODUCT(('Urban Plastix Holds'!$H$36:$H$498)*('Urban Plastix Holds'!$E$36:$E$498=$A60),'Urban Plastix Holds'!S$36:S$498),0)</f>
        <v>2657</v>
      </c>
      <c r="I60" s="150">
        <f>IFERROR(SUMPRODUCT(('Kilter Holds'!$O$36:$O$370)*('Kilter Holds'!$H$36:$H$370=$A60),'Kilter Holds'!AA$36:AA$370),0)+IFERROR(SUMPRODUCT(('Urban Plastix Holds'!$H$36:$H$498)*('Urban Plastix Holds'!$E$36:$E$498=$A60),'Urban Plastix Holds'!T$36:T$498),0)</f>
        <v>10915</v>
      </c>
      <c r="J60" s="428">
        <f>IFERROR(SUMPRODUCT(('Kilter Holds'!$O$36:$O$370)*('Kilter Holds'!$H$36:$H$370=$A60),'Kilter Holds'!AB$36:AB$370),0)+IFERROR(SUMPRODUCT(('Urban Plastix Holds'!$H$36:$H$498)*('Urban Plastix Holds'!$E$36:$E$498=$A60),'Urban Plastix Holds'!U$36:U$498),0)</f>
        <v>1138</v>
      </c>
      <c r="K60" s="151">
        <f>SUM(B60:J60)</f>
        <v>46458</v>
      </c>
      <c r="L60" s="152">
        <f t="shared" si="35"/>
        <v>1</v>
      </c>
    </row>
    <row r="61" spans="1:12" ht="14" thickBot="1">
      <c r="A61" s="229" t="s">
        <v>2112</v>
      </c>
      <c r="B61" s="429">
        <f>IFERROR(SUMPRODUCT(('Kilter Holds'!$O$36:$O$370)*('Kilter Holds'!$H$36:$H$370=$A61),'Kilter Holds'!T$36:T$370),0)+IFERROR(SUMPRODUCT(('Urban Plastix Holds'!$H$36:$H$498)*('Urban Plastix Holds'!$E$36:$E$498=$A61),'Urban Plastix Holds'!M$36:M$498),0)</f>
        <v>0</v>
      </c>
      <c r="C61" s="153">
        <f>IFERROR(SUMPRODUCT(('Kilter Holds'!$O$36:$O$370)*('Kilter Holds'!$H$36:$H$370=$A61),'Kilter Holds'!U$36:U$370),0)+IFERROR(SUMPRODUCT(('Urban Plastix Holds'!$H$36:$H$498)*('Urban Plastix Holds'!$E$36:$E$498=$A61),'Urban Plastix Holds'!N$36:N$498),0)</f>
        <v>0</v>
      </c>
      <c r="D61" s="153">
        <f>IFERROR(SUMPRODUCT(('Kilter Holds'!$O$36:$O$370)*('Kilter Holds'!$H$36:$H$370=$A61),'Kilter Holds'!V$36:V$370),0)+IFERROR(SUMPRODUCT(('Urban Plastix Holds'!$H$36:$H$498)*('Urban Plastix Holds'!$E$36:$E$498=$A61),'Urban Plastix Holds'!O$36:O$498),0)</f>
        <v>0</v>
      </c>
      <c r="E61" s="153">
        <f>IFERROR(SUMPRODUCT(('Kilter Holds'!$O$36:$O$370)*('Kilter Holds'!$H$36:$H$370=$A61),'Kilter Holds'!W$36:W$370),0)+IFERROR(SUMPRODUCT(('Urban Plastix Holds'!$H$36:$H$498)*('Urban Plastix Holds'!$E$36:$E$498=$A61),'Urban Plastix Holds'!P$36:P$498),0)</f>
        <v>0</v>
      </c>
      <c r="F61" s="153">
        <f>IFERROR(SUMPRODUCT(('Kilter Holds'!$O$36:$O$370)*('Kilter Holds'!$H$36:$H$370=$A61),'Kilter Holds'!X$36:X$370),0)+IFERROR(SUMPRODUCT(('Urban Plastix Holds'!$H$36:$H$498)*('Urban Plastix Holds'!$E$36:$E$498=$A61),'Urban Plastix Holds'!Q$36:Q$498),0)</f>
        <v>0</v>
      </c>
      <c r="G61" s="153">
        <f>IFERROR(SUMPRODUCT(('Kilter Holds'!$O$36:$O$370)*('Kilter Holds'!$H$36:$H$370=$A61),'Kilter Holds'!Y$36:Y$370),0)+IFERROR(SUMPRODUCT(('Urban Plastix Holds'!$H$36:$H$498)*('Urban Plastix Holds'!$E$36:$E$498=$A61),'Urban Plastix Holds'!R$36:R$498),0)</f>
        <v>0</v>
      </c>
      <c r="H61" s="153">
        <f>IFERROR(SUMPRODUCT(('Kilter Holds'!$O$36:$O$370)*('Kilter Holds'!$H$36:$H$370=$A61),'Kilter Holds'!Z$36:Z$370),0)+IFERROR(SUMPRODUCT(('Urban Plastix Holds'!$H$36:$H$498)*('Urban Plastix Holds'!$E$36:$E$498=$A61),'Urban Plastix Holds'!S$36:S$498),0)</f>
        <v>0</v>
      </c>
      <c r="I61" s="153">
        <f>IFERROR(SUMPRODUCT(('Kilter Holds'!$O$36:$O$370)*('Kilter Holds'!$H$36:$H$370=$A61),'Kilter Holds'!AA$36:AA$370),0)+IFERROR(SUMPRODUCT(('Urban Plastix Holds'!$H$36:$H$498)*('Urban Plastix Holds'!$E$36:$E$498=$A61),'Urban Plastix Holds'!T$36:T$498),0)</f>
        <v>0</v>
      </c>
      <c r="J61" s="430">
        <f>IFERROR(SUMPRODUCT(('Kilter Holds'!$O$36:$O$370)*('Kilter Holds'!$H$36:$H$370=$A61),'Kilter Holds'!AB$36:AB$370),0)+IFERROR(SUMPRODUCT(('Urban Plastix Holds'!$H$36:$H$498)*('Urban Plastix Holds'!$E$36:$E$498=$A61),'Urban Plastix Holds'!U$36:U$498),0)</f>
        <v>0</v>
      </c>
      <c r="K61" s="151">
        <f>SUM(B61:J61)</f>
        <v>0</v>
      </c>
      <c r="L61" s="152">
        <f t="shared" si="35"/>
        <v>0</v>
      </c>
    </row>
    <row r="62" spans="1:12" ht="14" thickBot="1">
      <c r="A62" s="231" t="s">
        <v>1149</v>
      </c>
      <c r="B62" s="167">
        <f>SUM(B59:B61)</f>
        <v>5267</v>
      </c>
      <c r="C62" s="167">
        <f t="shared" ref="C62:J62" si="36">SUM(C59:C61)</f>
        <v>421</v>
      </c>
      <c r="D62" s="167">
        <f t="shared" si="36"/>
        <v>7502</v>
      </c>
      <c r="E62" s="167">
        <f t="shared" si="36"/>
        <v>5448</v>
      </c>
      <c r="F62" s="167">
        <f t="shared" si="36"/>
        <v>9187</v>
      </c>
      <c r="G62" s="167">
        <f t="shared" si="36"/>
        <v>3923</v>
      </c>
      <c r="H62" s="167">
        <f t="shared" si="36"/>
        <v>2657</v>
      </c>
      <c r="I62" s="167">
        <f t="shared" si="36"/>
        <v>10915</v>
      </c>
      <c r="J62" s="167">
        <f t="shared" si="36"/>
        <v>1138</v>
      </c>
      <c r="K62" s="159">
        <f>SUM(K59:K61)</f>
        <v>46458</v>
      </c>
      <c r="L62" s="223" t="s">
        <v>79</v>
      </c>
    </row>
    <row r="63" spans="1:12" ht="14" thickBot="1">
      <c r="A63" s="232" t="s">
        <v>74</v>
      </c>
      <c r="B63" s="162">
        <f>IFERROR(B62/$K$19,0)</f>
        <v>0.11337121701321624</v>
      </c>
      <c r="C63" s="162">
        <f t="shared" ref="C63:J63" si="37">IFERROR(C62/$K$19,0)</f>
        <v>9.0619484265357965E-3</v>
      </c>
      <c r="D63" s="162">
        <f t="shared" si="37"/>
        <v>0.16147918550088253</v>
      </c>
      <c r="E63" s="162">
        <f t="shared" si="37"/>
        <v>0.11726720909208317</v>
      </c>
      <c r="F63" s="162">
        <f t="shared" si="37"/>
        <v>0.19774850402514099</v>
      </c>
      <c r="G63" s="162">
        <f t="shared" si="37"/>
        <v>8.4441861466270612E-2</v>
      </c>
      <c r="H63" s="162">
        <f t="shared" si="37"/>
        <v>5.7191441732317362E-2</v>
      </c>
      <c r="I63" s="162">
        <f t="shared" si="37"/>
        <v>0.23494338972835679</v>
      </c>
      <c r="J63" s="162">
        <f t="shared" si="37"/>
        <v>2.4495243015196521E-2</v>
      </c>
      <c r="L63" s="131"/>
    </row>
    <row r="64" spans="1:12" ht="15.5" thickBot="1">
      <c r="A64" s="130"/>
      <c r="L64" s="131"/>
    </row>
    <row r="65" spans="1:12" ht="21" thickTop="1" thickBot="1">
      <c r="A65" s="227" t="s">
        <v>1081</v>
      </c>
      <c r="B65" s="136" t="str">
        <f t="shared" ref="B65:J65" si="38">B58</f>
        <v>Red</v>
      </c>
      <c r="C65" s="137" t="str">
        <f t="shared" si="38"/>
        <v>Orange</v>
      </c>
      <c r="D65" s="138" t="str">
        <f t="shared" si="38"/>
        <v>Yellow</v>
      </c>
      <c r="E65" s="139" t="str">
        <f t="shared" si="38"/>
        <v>Green</v>
      </c>
      <c r="F65" s="140" t="str">
        <f t="shared" si="38"/>
        <v>Blue</v>
      </c>
      <c r="G65" s="141" t="str">
        <f t="shared" si="38"/>
        <v>Purple</v>
      </c>
      <c r="H65" s="142" t="str">
        <f t="shared" si="38"/>
        <v>Hot Pink</v>
      </c>
      <c r="I65" s="143" t="str">
        <f t="shared" si="38"/>
        <v>Black</v>
      </c>
      <c r="J65" s="144" t="str">
        <f t="shared" si="38"/>
        <v>White</v>
      </c>
      <c r="K65" s="145" t="s">
        <v>40</v>
      </c>
      <c r="L65" s="146" t="s">
        <v>41</v>
      </c>
    </row>
    <row r="66" spans="1:12" ht="13.5">
      <c r="A66" s="228" t="s">
        <v>2015</v>
      </c>
      <c r="B66" s="424">
        <f>IFERROR(SUMPRODUCT(('Kilter Holds'!$O$36:$O$370)*('Kilter Holds'!$H$36:$H$370=$A59),'Kilter Holds'!T$36:T$370),0)+IFERROR(SUMPRODUCT(('Kilter Holds'!$O$36:$O$370)*('Kilter Holds'!$H$36:$H$370=$A60),'Kilter Holds'!T$36:T$370),0)+IFERROR(SUMPRODUCT(('Kilter Holds'!$O$36:$O$370)*('Kilter Holds'!$H$36:$H$370=$A61),'Kilter Holds'!T$36:T$370),0)</f>
        <v>5212</v>
      </c>
      <c r="C66" s="425">
        <f>IFERROR(SUMPRODUCT(('Kilter Holds'!$O$36:$O$370)*('Kilter Holds'!$H$36:$H$370=$A59),'Kilter Holds'!U$36:U$370),0)+IFERROR(SUMPRODUCT(('Kilter Holds'!$O$36:$O$370)*('Kilter Holds'!$H$36:$H$370=$A60),'Kilter Holds'!U$36:U$370),0)+IFERROR(SUMPRODUCT(('Kilter Holds'!$O$36:$O$370)*('Kilter Holds'!$H$36:$H$370=$A61),'Kilter Holds'!U$36:U$370),0)</f>
        <v>421</v>
      </c>
      <c r="D66" s="425">
        <f>IFERROR(SUMPRODUCT(('Kilter Holds'!$O$36:$O$370)*('Kilter Holds'!$H$36:$H$370=$A59),'Kilter Holds'!V$36:V$370),0)+IFERROR(SUMPRODUCT(('Kilter Holds'!$O$36:$O$370)*('Kilter Holds'!$H$36:$H$370=$A60),'Kilter Holds'!V$36:V$370),0)+IFERROR(SUMPRODUCT(('Kilter Holds'!$O$36:$O$370)*('Kilter Holds'!$H$36:$H$370=$A61),'Kilter Holds'!V$36:V$370),0)</f>
        <v>5875</v>
      </c>
      <c r="E66" s="425">
        <f>IFERROR(SUMPRODUCT(('Kilter Holds'!$O$36:$O$370)*('Kilter Holds'!$H$36:$H$370=$A59),'Kilter Holds'!W$36:W$370),0)+IFERROR(SUMPRODUCT(('Kilter Holds'!$O$36:$O$370)*('Kilter Holds'!$H$36:$H$370=$A60),'Kilter Holds'!W$36:W$370),0)+IFERROR(SUMPRODUCT(('Kilter Holds'!$O$36:$O$370)*('Kilter Holds'!$H$36:$H$370=$A61),'Kilter Holds'!W$36:W$370),0)</f>
        <v>5393</v>
      </c>
      <c r="F66" s="425">
        <f>IFERROR(SUMPRODUCT(('Kilter Holds'!$O$36:$O$370)*('Kilter Holds'!$H$36:$H$370=$A59),'Kilter Holds'!X$36:X$370),0)+IFERROR(SUMPRODUCT(('Kilter Holds'!$O$36:$O$370)*('Kilter Holds'!$H$36:$H$370=$A60),'Kilter Holds'!X$36:X$370),0)+IFERROR(SUMPRODUCT(('Kilter Holds'!$O$36:$O$370)*('Kilter Holds'!$H$36:$H$370=$A61),'Kilter Holds'!X$36:X$370),0)</f>
        <v>6345</v>
      </c>
      <c r="G66" s="425">
        <f>IFERROR(SUMPRODUCT(('Kilter Holds'!$O$36:$O$370)*('Kilter Holds'!$H$36:$H$370=$A59),'Kilter Holds'!Y$36:Y$370),0)+IFERROR(SUMPRODUCT(('Kilter Holds'!$O$36:$O$370)*('Kilter Holds'!$H$36:$H$370=$A60),'Kilter Holds'!Y$36:Y$370),0)+IFERROR(SUMPRODUCT(('Kilter Holds'!$O$36:$O$370)*('Kilter Holds'!$H$36:$H$370=$A61),'Kilter Holds'!Y$36:Y$370),0)</f>
        <v>3920</v>
      </c>
      <c r="H66" s="425">
        <f>IFERROR(SUMPRODUCT(('Kilter Holds'!$O$36:$O$370)*('Kilter Holds'!$H$36:$H$370=$A59),'Kilter Holds'!Z$36:Z$370),0)+IFERROR(SUMPRODUCT(('Kilter Holds'!$O$36:$O$370)*('Kilter Holds'!$H$36:$H$370=$A60),'Kilter Holds'!Z$36:Z$370),0)+IFERROR(SUMPRODUCT(('Kilter Holds'!$O$36:$O$370)*('Kilter Holds'!$H$36:$H$370=$A61),'Kilter Holds'!Z$36:Z$370),0)</f>
        <v>2610</v>
      </c>
      <c r="I66" s="425">
        <f>IFERROR(SUMPRODUCT(('Kilter Holds'!$O$36:$O$370)*('Kilter Holds'!$H$36:$H$370=$A59),'Kilter Holds'!AA$36:AA$370),0)+IFERROR(SUMPRODUCT(('Kilter Holds'!$O$36:$O$370)*('Kilter Holds'!$H$36:$H$370=$A60),'Kilter Holds'!AA$36:AA$370),0)+IFERROR(SUMPRODUCT(('Kilter Holds'!$O$36:$O$370)*('Kilter Holds'!$H$36:$H$370=$A61),'Kilter Holds'!AA$36:AA$370),0)</f>
        <v>8847</v>
      </c>
      <c r="J66" s="426">
        <f>IFERROR(SUMPRODUCT(('Kilter Holds'!$O$36:$O$370)*('Kilter Holds'!$H$36:$H$370=$A59),'Kilter Holds'!AB$36:AB$370),0)+IFERROR(SUMPRODUCT(('Kilter Holds'!$O$36:$O$370)*('Kilter Holds'!$H$36:$H$370=$A60),'Kilter Holds'!AB$36:AB$370),0)+IFERROR(SUMPRODUCT(('Kilter Holds'!$O$36:$O$370)*('Kilter Holds'!$H$36:$H$370=$A61),'Kilter Holds'!AB$36:AB$370),0)</f>
        <v>1113</v>
      </c>
      <c r="K66" s="148">
        <f>SUM(B66:J66)</f>
        <v>39736</v>
      </c>
      <c r="L66" s="149">
        <f t="shared" ref="L66:L67" si="39">IFERROR($K66 / $K$19,0)</f>
        <v>0.8553101726290413</v>
      </c>
    </row>
    <row r="67" spans="1:12" ht="14" thickBot="1">
      <c r="A67" s="229" t="s">
        <v>2016</v>
      </c>
      <c r="B67" s="429" cm="1">
        <f t="array" ref="B67">IFERROR(SUMPRODUCT(('Urban Plastix Holds'!$H$36:$H$498)*('Urban Plastix Holds'!$E$36:$E$498=$A59),'Urban Plastix Holds'!M$36:M$498),0)+IFERROR(SUMPRODUCT(('Urban Plastix Holds'!$H$36:$H$498)*('Urban Plastix Holds'!$E$36:$E$498=$A60),'Urban Plastix Holds'!M$36:M$498),0)++IFERROR(SUMPRODUCT(('Urban Plastix Holds'!$H$36:$H$498)*('Urban Plastix Holds'!$E$36:$E$498=$A61),'Urban Plastix Holds'!M$36:M$498),0)</f>
        <v>55</v>
      </c>
      <c r="C67" s="153" cm="1">
        <f t="array" ref="C67">IFERROR(SUMPRODUCT(('Urban Plastix Holds'!$H$36:$H$498)*('Urban Plastix Holds'!$E$36:$E$498=$A59),'Urban Plastix Holds'!N$36:N$498),0)+IFERROR(SUMPRODUCT(('Urban Plastix Holds'!$H$36:$H$498)*('Urban Plastix Holds'!$E$36:$E$498=$A60),'Urban Plastix Holds'!N$36:N$498),0)++IFERROR(SUMPRODUCT(('Urban Plastix Holds'!$H$36:$H$498)*('Urban Plastix Holds'!$E$36:$E$498=$A61),'Urban Plastix Holds'!N$36:N$498),0)</f>
        <v>0</v>
      </c>
      <c r="D67" s="153" cm="1">
        <f t="array" ref="D67">IFERROR(SUMPRODUCT(('Urban Plastix Holds'!$H$36:$H$498)*('Urban Plastix Holds'!$E$36:$E$498=$A59),'Urban Plastix Holds'!O$36:O$498),0)+IFERROR(SUMPRODUCT(('Urban Plastix Holds'!$H$36:$H$498)*('Urban Plastix Holds'!$E$36:$E$498=$A60),'Urban Plastix Holds'!O$36:O$498),0)++IFERROR(SUMPRODUCT(('Urban Plastix Holds'!$H$36:$H$498)*('Urban Plastix Holds'!$E$36:$E$498=$A61),'Urban Plastix Holds'!O$36:O$498),0)</f>
        <v>1627</v>
      </c>
      <c r="E67" s="153" cm="1">
        <f t="array" ref="E67">IFERROR(SUMPRODUCT(('Urban Plastix Holds'!$H$36:$H$498)*('Urban Plastix Holds'!$E$36:$E$498=$A59),'Urban Plastix Holds'!P$36:P$498),0)+IFERROR(SUMPRODUCT(('Urban Plastix Holds'!$H$36:$H$498)*('Urban Plastix Holds'!$E$36:$E$498=$A60),'Urban Plastix Holds'!P$36:P$498),0)++IFERROR(SUMPRODUCT(('Urban Plastix Holds'!$H$36:$H$498)*('Urban Plastix Holds'!$E$36:$E$498=$A61),'Urban Plastix Holds'!P$36:P$498),0)</f>
        <v>55</v>
      </c>
      <c r="F67" s="153" cm="1">
        <f t="array" ref="F67">IFERROR(SUMPRODUCT(('Urban Plastix Holds'!$H$36:$H$498)*('Urban Plastix Holds'!$E$36:$E$498=$A59),'Urban Plastix Holds'!Q$36:Q$498),0)+IFERROR(SUMPRODUCT(('Urban Plastix Holds'!$H$36:$H$498)*('Urban Plastix Holds'!$E$36:$E$498=$A60),'Urban Plastix Holds'!Q$36:Q$498),0)++IFERROR(SUMPRODUCT(('Urban Plastix Holds'!$H$36:$H$498)*('Urban Plastix Holds'!$E$36:$E$498=$A61),'Urban Plastix Holds'!Q$36:Q$498),0)</f>
        <v>2842</v>
      </c>
      <c r="G67" s="153" cm="1">
        <f t="array" ref="G67">IFERROR(SUMPRODUCT(('Urban Plastix Holds'!$H$36:$H$498)*('Urban Plastix Holds'!$E$36:$E$498=$A59),'Urban Plastix Holds'!R$36:R$498),0)+IFERROR(SUMPRODUCT(('Urban Plastix Holds'!$H$36:$H$498)*('Urban Plastix Holds'!$E$36:$E$498=$A60),'Urban Plastix Holds'!R$36:R$498),0)++IFERROR(SUMPRODUCT(('Urban Plastix Holds'!$H$36:$H$498)*('Urban Plastix Holds'!$E$36:$E$498=$A61),'Urban Plastix Holds'!R$36:R$498),0)</f>
        <v>3</v>
      </c>
      <c r="H67" s="153" cm="1">
        <f t="array" ref="H67">IFERROR(SUMPRODUCT(('Urban Plastix Holds'!$H$36:$H$498)*('Urban Plastix Holds'!$E$36:$E$498=$A59),'Urban Plastix Holds'!S$36:S$498),0)+IFERROR(SUMPRODUCT(('Urban Plastix Holds'!$H$36:$H$498)*('Urban Plastix Holds'!$E$36:$E$498=$A60),'Urban Plastix Holds'!S$36:S$498),0)++IFERROR(SUMPRODUCT(('Urban Plastix Holds'!$H$36:$H$498)*('Urban Plastix Holds'!$E$36:$E$498=$A61),'Urban Plastix Holds'!S$36:S$498),0)</f>
        <v>47</v>
      </c>
      <c r="I67" s="153" cm="1">
        <f t="array" ref="I67">IFERROR(SUMPRODUCT(('Urban Plastix Holds'!$H$36:$H$498)*('Urban Plastix Holds'!$E$36:$E$498=$A59),'Urban Plastix Holds'!T$36:T$498),0)+IFERROR(SUMPRODUCT(('Urban Plastix Holds'!$H$36:$H$498)*('Urban Plastix Holds'!$E$36:$E$498=$A60),'Urban Plastix Holds'!T$36:T$498),0)++IFERROR(SUMPRODUCT(('Urban Plastix Holds'!$H$36:$H$498)*('Urban Plastix Holds'!$E$36:$E$498=$A61),'Urban Plastix Holds'!T$36:T$498),0)</f>
        <v>2068</v>
      </c>
      <c r="J67" s="430" cm="1">
        <f t="array" ref="J67">IFERROR(SUMPRODUCT(('Urban Plastix Holds'!$H$36:$H$498)*('Urban Plastix Holds'!$E$36:$E$498=$A59),'Urban Plastix Holds'!U$36:U$498),0)+IFERROR(SUMPRODUCT(('Urban Plastix Holds'!$H$36:$H$498)*('Urban Plastix Holds'!$E$36:$E$498=$A60),'Urban Plastix Holds'!U$36:U$498),0)++IFERROR(SUMPRODUCT(('Urban Plastix Holds'!$H$36:$H$498)*('Urban Plastix Holds'!$E$36:$E$498=$A61),'Urban Plastix Holds'!U$36:U$498),0)</f>
        <v>25</v>
      </c>
      <c r="K67" s="151">
        <f>SUM(B67:J67)</f>
        <v>6722</v>
      </c>
      <c r="L67" s="152">
        <f t="shared" si="39"/>
        <v>0.14468982737095873</v>
      </c>
    </row>
    <row r="68" spans="1:12" ht="14" thickBot="1">
      <c r="A68" s="231" t="s">
        <v>1149</v>
      </c>
      <c r="B68" s="167">
        <f t="shared" ref="B68:K68" si="40">SUM(B66:B67)</f>
        <v>5267</v>
      </c>
      <c r="C68" s="167">
        <f t="shared" si="40"/>
        <v>421</v>
      </c>
      <c r="D68" s="167">
        <f t="shared" si="40"/>
        <v>7502</v>
      </c>
      <c r="E68" s="167">
        <f t="shared" si="40"/>
        <v>5448</v>
      </c>
      <c r="F68" s="167">
        <f t="shared" si="40"/>
        <v>9187</v>
      </c>
      <c r="G68" s="167">
        <f t="shared" si="40"/>
        <v>3923</v>
      </c>
      <c r="H68" s="167">
        <f t="shared" si="40"/>
        <v>2657</v>
      </c>
      <c r="I68" s="167">
        <f t="shared" si="40"/>
        <v>10915</v>
      </c>
      <c r="J68" s="167">
        <f t="shared" si="40"/>
        <v>1138</v>
      </c>
      <c r="K68" s="159">
        <f t="shared" si="40"/>
        <v>46458</v>
      </c>
      <c r="L68" s="223" t="s">
        <v>79</v>
      </c>
    </row>
    <row r="69" spans="1:12" ht="14" thickBot="1">
      <c r="A69" s="232" t="s">
        <v>74</v>
      </c>
      <c r="B69" s="162">
        <f>IFERROR(B68/$K$19,0)</f>
        <v>0.11337121701321624</v>
      </c>
      <c r="C69" s="162">
        <f t="shared" ref="C69:J69" si="41">IFERROR(C68/$K$19,0)</f>
        <v>9.0619484265357965E-3</v>
      </c>
      <c r="D69" s="162">
        <f t="shared" si="41"/>
        <v>0.16147918550088253</v>
      </c>
      <c r="E69" s="162">
        <f t="shared" si="41"/>
        <v>0.11726720909208317</v>
      </c>
      <c r="F69" s="162">
        <f t="shared" si="41"/>
        <v>0.19774850402514099</v>
      </c>
      <c r="G69" s="162">
        <f t="shared" si="41"/>
        <v>8.4441861466270612E-2</v>
      </c>
      <c r="H69" s="162">
        <f t="shared" si="41"/>
        <v>5.7191441732317362E-2</v>
      </c>
      <c r="I69" s="162">
        <f t="shared" si="41"/>
        <v>0.23494338972835679</v>
      </c>
      <c r="J69" s="162">
        <f t="shared" si="41"/>
        <v>2.4495243015196521E-2</v>
      </c>
      <c r="L69" s="131"/>
    </row>
    <row r="70" spans="1:12">
      <c r="A70" s="130"/>
      <c r="L70" s="131"/>
    </row>
    <row r="71" spans="1:12">
      <c r="A71" s="130"/>
      <c r="L71" s="131"/>
    </row>
    <row r="72" spans="1:12">
      <c r="A72" s="130"/>
      <c r="L72" s="131"/>
    </row>
    <row r="73" spans="1:12">
      <c r="A73" s="130"/>
      <c r="L73" s="131"/>
    </row>
    <row r="74" spans="1:12">
      <c r="A74" s="130"/>
      <c r="L74" s="131"/>
    </row>
    <row r="75" spans="1:12">
      <c r="A75" s="130"/>
      <c r="L75" s="131"/>
    </row>
    <row r="76" spans="1:12">
      <c r="A76" s="130"/>
      <c r="L76" s="131"/>
    </row>
    <row r="77" spans="1:12">
      <c r="A77" s="130"/>
      <c r="L77" s="131"/>
    </row>
    <row r="78" spans="1:12">
      <c r="A78" s="130"/>
      <c r="L78" s="131"/>
    </row>
    <row r="79" spans="1:12">
      <c r="A79" s="130"/>
      <c r="L79" s="131"/>
    </row>
    <row r="80" spans="1:12">
      <c r="A80" s="130"/>
      <c r="L80" s="131"/>
    </row>
    <row r="81" spans="1:12">
      <c r="A81" s="130"/>
      <c r="L81" s="131"/>
    </row>
    <row r="82" spans="1:12">
      <c r="A82" s="130"/>
      <c r="L82" s="131"/>
    </row>
    <row r="83" spans="1:12">
      <c r="A83" s="130"/>
      <c r="L83" s="131"/>
    </row>
    <row r="84" spans="1:12">
      <c r="A84" s="130"/>
      <c r="L84" s="131"/>
    </row>
    <row r="85" spans="1:12">
      <c r="A85" s="130"/>
      <c r="L85" s="131"/>
    </row>
    <row r="86" spans="1:12">
      <c r="A86" s="130"/>
      <c r="L86" s="131"/>
    </row>
    <row r="87" spans="1:12">
      <c r="A87" s="130"/>
      <c r="L87" s="131"/>
    </row>
    <row r="88" spans="1:12">
      <c r="A88" s="130"/>
      <c r="L88" s="131"/>
    </row>
    <row r="89" spans="1:12">
      <c r="A89" s="130"/>
      <c r="L89" s="131"/>
    </row>
    <row r="90" spans="1:12">
      <c r="A90" s="130"/>
      <c r="L90" s="131"/>
    </row>
    <row r="91" spans="1:12">
      <c r="A91" s="130"/>
      <c r="L91" s="131"/>
    </row>
    <row r="92" spans="1:12">
      <c r="A92" s="130"/>
      <c r="L92" s="131"/>
    </row>
    <row r="93" spans="1:12">
      <c r="A93" s="130"/>
      <c r="L93" s="131"/>
    </row>
    <row r="94" spans="1:12">
      <c r="A94" s="130"/>
      <c r="L94" s="131"/>
    </row>
    <row r="95" spans="1:12">
      <c r="A95" s="130"/>
      <c r="L95" s="131"/>
    </row>
    <row r="96" spans="1:12">
      <c r="A96" s="130"/>
      <c r="L96" s="131"/>
    </row>
    <row r="97" spans="1:12">
      <c r="A97" s="130"/>
      <c r="L97" s="131"/>
    </row>
    <row r="98" spans="1:12">
      <c r="A98" s="130"/>
      <c r="L98" s="131"/>
    </row>
    <row r="99" spans="1:12">
      <c r="A99" s="130"/>
      <c r="L99" s="131"/>
    </row>
    <row r="100" spans="1:12">
      <c r="A100" s="130"/>
      <c r="L100" s="131"/>
    </row>
    <row r="101" spans="1:12">
      <c r="A101" s="130"/>
      <c r="L101" s="131"/>
    </row>
    <row r="102" spans="1:12">
      <c r="A102" s="130"/>
      <c r="L102" s="131"/>
    </row>
    <row r="103" spans="1:12">
      <c r="A103" s="130"/>
      <c r="L103" s="131"/>
    </row>
    <row r="104" spans="1:12">
      <c r="A104" s="130"/>
      <c r="L104" s="131"/>
    </row>
    <row r="105" spans="1:12">
      <c r="A105" s="130"/>
      <c r="L105" s="131"/>
    </row>
    <row r="106" spans="1:12">
      <c r="A106" s="130"/>
      <c r="L106" s="131"/>
    </row>
    <row r="107" spans="1:12">
      <c r="A107" s="130"/>
      <c r="L107" s="131"/>
    </row>
    <row r="108" spans="1:12">
      <c r="A108" s="130"/>
      <c r="L108" s="131"/>
    </row>
    <row r="109" spans="1:12">
      <c r="A109" s="130"/>
      <c r="L109" s="131"/>
    </row>
    <row r="110" spans="1:12">
      <c r="A110" s="130"/>
      <c r="L110" s="131"/>
    </row>
    <row r="111" spans="1:12">
      <c r="A111" s="130"/>
      <c r="L111" s="131"/>
    </row>
    <row r="112" spans="1:12">
      <c r="A112" s="130"/>
      <c r="L112" s="131"/>
    </row>
    <row r="113" spans="1:12">
      <c r="A113" s="130"/>
      <c r="L113" s="131"/>
    </row>
    <row r="114" spans="1:12">
      <c r="A114" s="130"/>
      <c r="L114" s="131"/>
    </row>
    <row r="115" spans="1:12">
      <c r="A115" s="130"/>
      <c r="L115" s="131"/>
    </row>
    <row r="116" spans="1:12">
      <c r="A116" s="130"/>
      <c r="L116" s="131"/>
    </row>
    <row r="117" spans="1:12">
      <c r="A117" s="130"/>
      <c r="L117" s="131"/>
    </row>
    <row r="118" spans="1:12">
      <c r="A118" s="130"/>
      <c r="L118" s="131"/>
    </row>
    <row r="119" spans="1:12">
      <c r="A119" s="130"/>
      <c r="L119" s="131"/>
    </row>
    <row r="120" spans="1:12">
      <c r="A120" s="130"/>
      <c r="L120" s="131"/>
    </row>
    <row r="121" spans="1:12">
      <c r="A121" s="130"/>
      <c r="L121" s="131"/>
    </row>
    <row r="122" spans="1:12">
      <c r="A122" s="130"/>
      <c r="L122" s="131"/>
    </row>
    <row r="123" spans="1:12">
      <c r="A123" s="130"/>
      <c r="L123" s="131"/>
    </row>
    <row r="124" spans="1:12">
      <c r="A124" s="130"/>
      <c r="L124" s="131"/>
    </row>
    <row r="125" spans="1:12">
      <c r="A125" s="130"/>
      <c r="L125" s="131"/>
    </row>
    <row r="126" spans="1:12">
      <c r="A126" s="130"/>
      <c r="L126" s="131"/>
    </row>
    <row r="127" spans="1:12">
      <c r="A127" s="130"/>
      <c r="L127" s="131"/>
    </row>
    <row r="128" spans="1:12">
      <c r="A128" s="130"/>
      <c r="L128" s="131"/>
    </row>
    <row r="129" spans="1:12">
      <c r="A129" s="130"/>
      <c r="L129" s="131"/>
    </row>
    <row r="130" spans="1:12">
      <c r="A130" s="130"/>
      <c r="L130" s="131"/>
    </row>
    <row r="131" spans="1:12">
      <c r="A131" s="130"/>
      <c r="L131" s="131"/>
    </row>
    <row r="132" spans="1:12">
      <c r="A132" s="130"/>
      <c r="L132" s="131"/>
    </row>
    <row r="133" spans="1:12">
      <c r="A133" s="130"/>
      <c r="L133" s="131"/>
    </row>
    <row r="134" spans="1:12">
      <c r="A134" s="130"/>
      <c r="L134" s="131"/>
    </row>
    <row r="135" spans="1:12">
      <c r="A135" s="130"/>
      <c r="L135" s="131"/>
    </row>
    <row r="136" spans="1:12">
      <c r="A136" s="130"/>
      <c r="L136" s="131"/>
    </row>
    <row r="137" spans="1:12">
      <c r="A137" s="130"/>
      <c r="L137" s="131"/>
    </row>
    <row r="138" spans="1:12">
      <c r="A138" s="130"/>
      <c r="L138" s="131"/>
    </row>
    <row r="139" spans="1:12">
      <c r="A139" s="130"/>
      <c r="L139" s="131"/>
    </row>
    <row r="140" spans="1:12">
      <c r="A140" s="130"/>
      <c r="L140" s="131"/>
    </row>
    <row r="141" spans="1:12">
      <c r="A141" s="130"/>
      <c r="L141" s="131"/>
    </row>
    <row r="142" spans="1:12">
      <c r="A142" s="130"/>
      <c r="L142" s="131"/>
    </row>
    <row r="143" spans="1:12">
      <c r="A143" s="130"/>
      <c r="L143" s="131"/>
    </row>
    <row r="144" spans="1:12">
      <c r="A144" s="130"/>
      <c r="L144" s="131"/>
    </row>
    <row r="145" spans="1:12">
      <c r="A145" s="130"/>
      <c r="L145" s="131"/>
    </row>
    <row r="146" spans="1:12">
      <c r="A146" s="130"/>
      <c r="L146" s="131"/>
    </row>
    <row r="147" spans="1:12">
      <c r="A147" s="130"/>
      <c r="L147" s="131"/>
    </row>
    <row r="148" spans="1:12">
      <c r="A148" s="130"/>
      <c r="L148" s="131"/>
    </row>
    <row r="149" spans="1:12">
      <c r="A149" s="130"/>
      <c r="L149" s="131"/>
    </row>
    <row r="150" spans="1:12">
      <c r="A150" s="130"/>
      <c r="L150" s="131"/>
    </row>
    <row r="151" spans="1:12">
      <c r="A151" s="130"/>
      <c r="L151" s="131"/>
    </row>
    <row r="152" spans="1:12">
      <c r="A152" s="130"/>
      <c r="L152" s="131"/>
    </row>
    <row r="153" spans="1:12">
      <c r="A153" s="130"/>
      <c r="L153" s="131"/>
    </row>
    <row r="154" spans="1:12">
      <c r="A154" s="130"/>
      <c r="L154" s="131"/>
    </row>
    <row r="155" spans="1:12">
      <c r="A155" s="130"/>
      <c r="L155" s="131"/>
    </row>
    <row r="156" spans="1:12">
      <c r="A156" s="130"/>
      <c r="L156" s="131"/>
    </row>
    <row r="157" spans="1:12">
      <c r="A157" s="130"/>
      <c r="L157" s="131"/>
    </row>
    <row r="158" spans="1:12">
      <c r="A158" s="130"/>
      <c r="L158" s="131"/>
    </row>
    <row r="159" spans="1:12">
      <c r="A159" s="130"/>
      <c r="L159" s="131"/>
    </row>
    <row r="160" spans="1:12">
      <c r="A160" s="130"/>
      <c r="L160" s="131"/>
    </row>
    <row r="161" spans="1:12">
      <c r="A161" s="130"/>
      <c r="L161" s="131"/>
    </row>
    <row r="162" spans="1:12">
      <c r="A162" s="130"/>
      <c r="L162" s="131"/>
    </row>
    <row r="163" spans="1:12">
      <c r="A163" s="130"/>
      <c r="L163" s="131"/>
    </row>
    <row r="164" spans="1:12">
      <c r="A164" s="130"/>
      <c r="L164" s="131"/>
    </row>
    <row r="165" spans="1:12">
      <c r="A165" s="130"/>
      <c r="L165" s="131"/>
    </row>
    <row r="166" spans="1:12">
      <c r="A166" s="130"/>
      <c r="L166" s="131"/>
    </row>
    <row r="167" spans="1:12">
      <c r="A167" s="130"/>
      <c r="L167" s="131"/>
    </row>
    <row r="168" spans="1:12">
      <c r="A168" s="130"/>
      <c r="L168" s="131"/>
    </row>
    <row r="169" spans="1:12">
      <c r="A169" s="130"/>
      <c r="L169" s="131"/>
    </row>
    <row r="170" spans="1:12">
      <c r="A170" s="130"/>
      <c r="L170" s="131"/>
    </row>
    <row r="171" spans="1:12">
      <c r="A171" s="130"/>
      <c r="L171" s="131"/>
    </row>
    <row r="172" spans="1:12">
      <c r="A172" s="130"/>
      <c r="L172" s="131"/>
    </row>
    <row r="173" spans="1:12">
      <c r="A173" s="130"/>
      <c r="L173" s="131"/>
    </row>
    <row r="174" spans="1:12">
      <c r="A174" s="130"/>
      <c r="L174" s="131"/>
    </row>
    <row r="175" spans="1:12">
      <c r="A175" s="130"/>
      <c r="L175" s="131"/>
    </row>
    <row r="176" spans="1:12">
      <c r="A176" s="130"/>
      <c r="L176" s="131"/>
    </row>
    <row r="177" spans="1:12">
      <c r="A177" s="130"/>
      <c r="L177" s="131"/>
    </row>
    <row r="178" spans="1:12">
      <c r="A178" s="130"/>
      <c r="L178" s="131"/>
    </row>
    <row r="179" spans="1:12">
      <c r="A179" s="130"/>
      <c r="L179" s="131"/>
    </row>
    <row r="180" spans="1:12">
      <c r="A180" s="130"/>
      <c r="L180" s="131"/>
    </row>
    <row r="181" spans="1:12">
      <c r="A181" s="130"/>
      <c r="L181" s="131"/>
    </row>
    <row r="182" spans="1:12">
      <c r="A182" s="130"/>
      <c r="L182" s="131"/>
    </row>
    <row r="183" spans="1:12">
      <c r="A183" s="130"/>
      <c r="L183" s="131"/>
    </row>
    <row r="184" spans="1:12">
      <c r="A184" s="130"/>
      <c r="L184" s="131"/>
    </row>
    <row r="185" spans="1:12">
      <c r="A185" s="130"/>
      <c r="L185" s="131"/>
    </row>
    <row r="186" spans="1:12">
      <c r="A186" s="130"/>
      <c r="L186" s="131"/>
    </row>
    <row r="187" spans="1:12">
      <c r="A187" s="130"/>
      <c r="L187" s="131"/>
    </row>
    <row r="188" spans="1:12">
      <c r="A188" s="130"/>
      <c r="L188" s="131"/>
    </row>
    <row r="189" spans="1:12">
      <c r="A189" s="130"/>
      <c r="L189" s="131"/>
    </row>
    <row r="190" spans="1:12">
      <c r="A190" s="130"/>
      <c r="L190" s="131"/>
    </row>
    <row r="191" spans="1:12">
      <c r="A191" s="130"/>
      <c r="L191" s="131"/>
    </row>
    <row r="192" spans="1:12">
      <c r="A192" s="130"/>
      <c r="L192" s="131"/>
    </row>
    <row r="193" spans="1:12">
      <c r="A193" s="130"/>
      <c r="L193" s="131"/>
    </row>
    <row r="194" spans="1:12">
      <c r="A194" s="130"/>
      <c r="L194" s="131"/>
    </row>
    <row r="195" spans="1:12">
      <c r="A195" s="130"/>
      <c r="L195" s="131"/>
    </row>
    <row r="196" spans="1:12">
      <c r="A196" s="130"/>
      <c r="L196" s="131"/>
    </row>
    <row r="197" spans="1:12">
      <c r="A197" s="130"/>
      <c r="L197" s="131"/>
    </row>
    <row r="198" spans="1:12">
      <c r="A198" s="130"/>
      <c r="L198" s="131"/>
    </row>
    <row r="199" spans="1:12">
      <c r="A199" s="130"/>
      <c r="L199" s="131"/>
    </row>
    <row r="200" spans="1:12">
      <c r="A200" s="130"/>
      <c r="L200" s="131"/>
    </row>
    <row r="201" spans="1:12">
      <c r="A201" s="130"/>
      <c r="L201" s="131"/>
    </row>
    <row r="202" spans="1:12">
      <c r="A202" s="130"/>
      <c r="L202" s="131"/>
    </row>
    <row r="203" spans="1:12">
      <c r="A203" s="130"/>
      <c r="L203" s="131"/>
    </row>
    <row r="204" spans="1:12">
      <c r="A204" s="130"/>
      <c r="L204" s="131"/>
    </row>
    <row r="205" spans="1:12">
      <c r="A205" s="130"/>
      <c r="L205" s="131"/>
    </row>
    <row r="206" spans="1:12">
      <c r="A206" s="130"/>
      <c r="L206" s="131"/>
    </row>
    <row r="207" spans="1:12">
      <c r="A207" s="130"/>
      <c r="L207" s="131"/>
    </row>
    <row r="208" spans="1:12">
      <c r="A208" s="130"/>
      <c r="L208" s="131"/>
    </row>
    <row r="209" spans="1:12">
      <c r="A209" s="130"/>
      <c r="L209" s="131"/>
    </row>
    <row r="210" spans="1:12">
      <c r="A210" s="130"/>
      <c r="L210" s="131"/>
    </row>
    <row r="211" spans="1:12">
      <c r="A211" s="130"/>
      <c r="L211" s="131"/>
    </row>
    <row r="212" spans="1:12">
      <c r="A212" s="130"/>
      <c r="L212" s="131"/>
    </row>
    <row r="213" spans="1:12">
      <c r="A213" s="130"/>
      <c r="L213" s="131"/>
    </row>
    <row r="214" spans="1:12">
      <c r="A214" s="130"/>
      <c r="L214" s="131"/>
    </row>
    <row r="215" spans="1:12">
      <c r="A215" s="130"/>
      <c r="L215" s="131"/>
    </row>
    <row r="216" spans="1:12">
      <c r="A216" s="130"/>
      <c r="L216" s="131"/>
    </row>
    <row r="217" spans="1:12">
      <c r="A217" s="130"/>
      <c r="L217" s="131"/>
    </row>
    <row r="218" spans="1:12">
      <c r="A218" s="130"/>
      <c r="L218" s="131"/>
    </row>
    <row r="219" spans="1:12">
      <c r="A219" s="130"/>
      <c r="L219" s="131"/>
    </row>
    <row r="220" spans="1:12">
      <c r="A220" s="130"/>
      <c r="L220" s="131"/>
    </row>
    <row r="221" spans="1:12">
      <c r="A221" s="130"/>
      <c r="L221" s="131"/>
    </row>
    <row r="222" spans="1:12">
      <c r="A222" s="130"/>
      <c r="L222" s="131"/>
    </row>
    <row r="223" spans="1:12">
      <c r="A223" s="130"/>
      <c r="L223" s="131"/>
    </row>
    <row r="224" spans="1:12">
      <c r="A224" s="130"/>
      <c r="L224" s="131"/>
    </row>
    <row r="225" spans="1:12">
      <c r="A225" s="130"/>
      <c r="L225" s="131"/>
    </row>
    <row r="226" spans="1:12">
      <c r="A226" s="130"/>
      <c r="L226" s="131"/>
    </row>
    <row r="227" spans="1:12">
      <c r="A227" s="130"/>
      <c r="L227" s="131"/>
    </row>
    <row r="228" spans="1:12">
      <c r="A228" s="130"/>
      <c r="L228" s="131"/>
    </row>
    <row r="229" spans="1:12">
      <c r="A229" s="130"/>
      <c r="L229" s="131"/>
    </row>
    <row r="230" spans="1:12">
      <c r="A230" s="130"/>
      <c r="L230" s="131"/>
    </row>
    <row r="231" spans="1:12">
      <c r="A231" s="130"/>
      <c r="L231" s="131"/>
    </row>
    <row r="232" spans="1:12">
      <c r="A232" s="130"/>
      <c r="L232" s="131"/>
    </row>
    <row r="233" spans="1:12">
      <c r="A233" s="130"/>
      <c r="L233" s="131"/>
    </row>
    <row r="234" spans="1:12">
      <c r="A234" s="130"/>
      <c r="L234" s="131"/>
    </row>
    <row r="235" spans="1:12">
      <c r="A235" s="130"/>
      <c r="L235" s="131"/>
    </row>
    <row r="236" spans="1:12">
      <c r="A236" s="130"/>
      <c r="L236" s="131"/>
    </row>
    <row r="237" spans="1:12">
      <c r="A237" s="130"/>
      <c r="L237" s="131"/>
    </row>
    <row r="238" spans="1:12">
      <c r="A238" s="130"/>
      <c r="L238" s="131"/>
    </row>
    <row r="239" spans="1:12">
      <c r="A239" s="130"/>
      <c r="L239" s="131"/>
    </row>
    <row r="240" spans="1:12">
      <c r="A240" s="130"/>
      <c r="L240" s="131"/>
    </row>
    <row r="241" spans="1:12">
      <c r="A241" s="130"/>
      <c r="L241" s="131"/>
    </row>
    <row r="242" spans="1:12">
      <c r="A242" s="130"/>
      <c r="L242" s="131"/>
    </row>
    <row r="243" spans="1:12">
      <c r="A243" s="130"/>
      <c r="L243" s="131"/>
    </row>
    <row r="244" spans="1:12">
      <c r="A244" s="130"/>
      <c r="L244" s="131"/>
    </row>
    <row r="245" spans="1:12">
      <c r="A245" s="130"/>
      <c r="L245" s="131"/>
    </row>
    <row r="246" spans="1:12">
      <c r="A246" s="130"/>
      <c r="L246" s="131"/>
    </row>
    <row r="247" spans="1:12">
      <c r="A247" s="130"/>
      <c r="L247" s="131"/>
    </row>
    <row r="248" spans="1:12">
      <c r="A248" s="130"/>
      <c r="L248" s="131"/>
    </row>
    <row r="249" spans="1:12">
      <c r="A249" s="130"/>
      <c r="L249" s="131"/>
    </row>
    <row r="250" spans="1:12">
      <c r="A250" s="130"/>
      <c r="L250" s="131"/>
    </row>
    <row r="251" spans="1:12">
      <c r="A251" s="130"/>
      <c r="L251" s="131"/>
    </row>
    <row r="252" spans="1:12">
      <c r="A252" s="130"/>
      <c r="L252" s="131"/>
    </row>
    <row r="253" spans="1:12">
      <c r="A253" s="130"/>
      <c r="L253" s="131"/>
    </row>
    <row r="254" spans="1:12">
      <c r="A254" s="130"/>
      <c r="L254" s="131"/>
    </row>
    <row r="255" spans="1:12">
      <c r="A255" s="130"/>
      <c r="L255" s="131"/>
    </row>
    <row r="256" spans="1:12">
      <c r="A256" s="130"/>
      <c r="L256" s="131"/>
    </row>
    <row r="257" spans="1:12">
      <c r="A257" s="130"/>
      <c r="L257" s="131"/>
    </row>
    <row r="258" spans="1:12">
      <c r="A258" s="130"/>
      <c r="L258" s="131"/>
    </row>
    <row r="259" spans="1:12">
      <c r="A259" s="130"/>
      <c r="L259" s="131"/>
    </row>
    <row r="260" spans="1:12">
      <c r="A260" s="130"/>
      <c r="L260" s="131"/>
    </row>
    <row r="261" spans="1:12">
      <c r="A261" s="130"/>
      <c r="L261" s="131"/>
    </row>
    <row r="262" spans="1:12">
      <c r="A262" s="130"/>
      <c r="L262" s="131"/>
    </row>
    <row r="263" spans="1:12">
      <c r="A263" s="130"/>
      <c r="L263" s="131"/>
    </row>
    <row r="264" spans="1:12">
      <c r="A264" s="130"/>
      <c r="L264" s="131"/>
    </row>
    <row r="265" spans="1:12">
      <c r="A265" s="130"/>
      <c r="L265" s="131"/>
    </row>
    <row r="266" spans="1:12">
      <c r="A266" s="130"/>
      <c r="L266" s="131"/>
    </row>
    <row r="267" spans="1:12">
      <c r="A267" s="130"/>
      <c r="L267" s="131"/>
    </row>
    <row r="268" spans="1:12">
      <c r="A268" s="130"/>
      <c r="L268" s="131"/>
    </row>
    <row r="269" spans="1:12">
      <c r="A269" s="130"/>
      <c r="L269" s="131"/>
    </row>
    <row r="270" spans="1:12">
      <c r="A270" s="130"/>
      <c r="L270" s="131"/>
    </row>
    <row r="271" spans="1:12">
      <c r="A271" s="130"/>
      <c r="L271" s="131"/>
    </row>
    <row r="272" spans="1:12">
      <c r="A272" s="130"/>
      <c r="L272" s="131"/>
    </row>
    <row r="273" spans="1:12">
      <c r="A273" s="130"/>
      <c r="L273" s="131"/>
    </row>
    <row r="274" spans="1:12">
      <c r="A274" s="130"/>
      <c r="L274" s="131"/>
    </row>
    <row r="275" spans="1:12">
      <c r="A275" s="130"/>
      <c r="L275" s="131"/>
    </row>
    <row r="276" spans="1:12">
      <c r="A276" s="130"/>
      <c r="L276" s="131"/>
    </row>
    <row r="277" spans="1:12">
      <c r="A277" s="130"/>
      <c r="L277" s="131"/>
    </row>
    <row r="278" spans="1:12">
      <c r="A278" s="130"/>
      <c r="L278" s="131"/>
    </row>
    <row r="279" spans="1:12">
      <c r="A279" s="130"/>
      <c r="L279" s="131"/>
    </row>
    <row r="280" spans="1:12">
      <c r="A280" s="130"/>
      <c r="L280" s="131"/>
    </row>
    <row r="281" spans="1:12">
      <c r="A281" s="130"/>
      <c r="L281" s="131"/>
    </row>
    <row r="282" spans="1:12">
      <c r="A282" s="130"/>
      <c r="L282" s="131"/>
    </row>
    <row r="283" spans="1:12">
      <c r="A283" s="130"/>
      <c r="L283" s="131"/>
    </row>
    <row r="284" spans="1:12">
      <c r="A284" s="130"/>
      <c r="L284" s="131"/>
    </row>
    <row r="285" spans="1:12">
      <c r="A285" s="130"/>
      <c r="L285" s="131"/>
    </row>
    <row r="286" spans="1:12">
      <c r="A286" s="130"/>
      <c r="L286" s="131"/>
    </row>
    <row r="287" spans="1:12">
      <c r="A287" s="130"/>
      <c r="L287" s="131"/>
    </row>
    <row r="288" spans="1:12">
      <c r="A288" s="130"/>
      <c r="L288" s="131"/>
    </row>
    <row r="289" spans="1:12">
      <c r="A289" s="130"/>
      <c r="L289" s="131"/>
    </row>
    <row r="290" spans="1:12">
      <c r="A290" s="130"/>
      <c r="L290" s="131"/>
    </row>
    <row r="291" spans="1:12">
      <c r="A291" s="130"/>
      <c r="L291" s="131"/>
    </row>
    <row r="292" spans="1:12">
      <c r="A292" s="130"/>
      <c r="L292" s="131"/>
    </row>
    <row r="293" spans="1:12">
      <c r="A293" s="130"/>
      <c r="L293" s="131"/>
    </row>
    <row r="294" spans="1:12">
      <c r="A294" s="130"/>
      <c r="L294" s="131"/>
    </row>
    <row r="295" spans="1:12">
      <c r="A295" s="130"/>
      <c r="L295" s="131"/>
    </row>
    <row r="296" spans="1:12">
      <c r="A296" s="130"/>
      <c r="L296" s="131"/>
    </row>
    <row r="297" spans="1:12">
      <c r="A297" s="130"/>
      <c r="L297" s="131"/>
    </row>
    <row r="298" spans="1:12">
      <c r="A298" s="130"/>
      <c r="L298" s="131"/>
    </row>
    <row r="299" spans="1:12">
      <c r="A299" s="130"/>
      <c r="L299" s="131"/>
    </row>
    <row r="300" spans="1:12">
      <c r="A300" s="130"/>
      <c r="L300" s="131"/>
    </row>
    <row r="301" spans="1:12">
      <c r="A301" s="130"/>
      <c r="L301" s="131"/>
    </row>
    <row r="302" spans="1:12">
      <c r="A302" s="130"/>
      <c r="L302" s="131"/>
    </row>
    <row r="303" spans="1:12">
      <c r="A303" s="130"/>
      <c r="L303" s="131"/>
    </row>
    <row r="304" spans="1:12">
      <c r="A304" s="130"/>
      <c r="L304" s="131"/>
    </row>
    <row r="305" spans="1:12">
      <c r="A305" s="130"/>
      <c r="L305" s="131"/>
    </row>
    <row r="306" spans="1:12">
      <c r="A306" s="130"/>
      <c r="L306" s="131"/>
    </row>
    <row r="307" spans="1:12">
      <c r="A307" s="130"/>
      <c r="L307" s="131"/>
    </row>
    <row r="308" spans="1:12">
      <c r="A308" s="130"/>
      <c r="L308" s="131"/>
    </row>
    <row r="309" spans="1:12">
      <c r="A309" s="130"/>
      <c r="L309" s="131"/>
    </row>
    <row r="310" spans="1:12">
      <c r="A310" s="130"/>
      <c r="L310" s="131"/>
    </row>
    <row r="311" spans="1:12">
      <c r="A311" s="130"/>
      <c r="L311" s="131"/>
    </row>
    <row r="312" spans="1:12">
      <c r="A312" s="130"/>
      <c r="L312" s="131"/>
    </row>
    <row r="313" spans="1:12">
      <c r="A313" s="130"/>
      <c r="L313" s="131"/>
    </row>
    <row r="314" spans="1:12">
      <c r="A314" s="130"/>
      <c r="L314" s="131"/>
    </row>
    <row r="315" spans="1:12">
      <c r="A315" s="130"/>
      <c r="L315" s="131"/>
    </row>
    <row r="316" spans="1:12">
      <c r="A316" s="130"/>
      <c r="L316" s="131"/>
    </row>
    <row r="317" spans="1:12">
      <c r="A317" s="130"/>
      <c r="L317" s="131"/>
    </row>
    <row r="318" spans="1:12">
      <c r="A318" s="130"/>
      <c r="L318" s="131"/>
    </row>
    <row r="319" spans="1:12">
      <c r="A319" s="130"/>
      <c r="L319" s="131"/>
    </row>
    <row r="320" spans="1:12">
      <c r="A320" s="130"/>
      <c r="L320" s="131"/>
    </row>
    <row r="321" spans="1:12">
      <c r="A321" s="130"/>
      <c r="L321" s="131"/>
    </row>
    <row r="322" spans="1:12">
      <c r="A322" s="130"/>
      <c r="L322" s="131"/>
    </row>
    <row r="323" spans="1:12">
      <c r="A323" s="130"/>
      <c r="L323" s="131"/>
    </row>
    <row r="324" spans="1:12">
      <c r="A324" s="130"/>
      <c r="L324" s="131"/>
    </row>
    <row r="325" spans="1:12">
      <c r="A325" s="130"/>
      <c r="L325" s="131"/>
    </row>
    <row r="326" spans="1:12">
      <c r="A326" s="130"/>
      <c r="L326" s="131"/>
    </row>
    <row r="327" spans="1:12">
      <c r="A327" s="130"/>
      <c r="L327" s="131"/>
    </row>
    <row r="328" spans="1:12">
      <c r="A328" s="130"/>
      <c r="L328" s="131"/>
    </row>
    <row r="329" spans="1:12">
      <c r="A329" s="130"/>
      <c r="L329" s="131"/>
    </row>
    <row r="330" spans="1:12">
      <c r="A330" s="130"/>
      <c r="L330" s="131"/>
    </row>
    <row r="331" spans="1:12">
      <c r="A331" s="130"/>
      <c r="L331" s="131"/>
    </row>
    <row r="332" spans="1:12">
      <c r="A332" s="130"/>
      <c r="L332" s="131"/>
    </row>
    <row r="333" spans="1:12">
      <c r="A333" s="130"/>
      <c r="L333" s="131"/>
    </row>
    <row r="334" spans="1:12">
      <c r="A334" s="130"/>
      <c r="L334" s="131"/>
    </row>
    <row r="335" spans="1:12">
      <c r="A335" s="130"/>
      <c r="L335" s="131"/>
    </row>
    <row r="336" spans="1:12">
      <c r="A336" s="130"/>
      <c r="L336" s="131"/>
    </row>
    <row r="337" spans="1:12">
      <c r="A337" s="130"/>
      <c r="L337" s="131"/>
    </row>
    <row r="338" spans="1:12">
      <c r="A338" s="130"/>
      <c r="L338" s="131"/>
    </row>
    <row r="339" spans="1:12">
      <c r="A339" s="130"/>
      <c r="L339" s="131"/>
    </row>
    <row r="340" spans="1:12">
      <c r="A340" s="130"/>
      <c r="L340" s="131"/>
    </row>
    <row r="341" spans="1:12">
      <c r="A341" s="130"/>
      <c r="L341" s="131"/>
    </row>
    <row r="342" spans="1:12">
      <c r="A342" s="130"/>
      <c r="L342" s="131"/>
    </row>
    <row r="343" spans="1:12">
      <c r="A343" s="130"/>
      <c r="L343" s="131"/>
    </row>
    <row r="344" spans="1:12">
      <c r="A344" s="130"/>
      <c r="L344" s="131"/>
    </row>
    <row r="345" spans="1:12">
      <c r="A345" s="130"/>
      <c r="L345" s="131"/>
    </row>
    <row r="346" spans="1:12">
      <c r="A346" s="130"/>
      <c r="L346" s="131"/>
    </row>
    <row r="347" spans="1:12">
      <c r="A347" s="130"/>
      <c r="L347" s="131"/>
    </row>
    <row r="348" spans="1:12">
      <c r="A348" s="130"/>
      <c r="L348" s="131"/>
    </row>
    <row r="349" spans="1:12">
      <c r="A349" s="130"/>
      <c r="L349" s="131"/>
    </row>
    <row r="350" spans="1:12">
      <c r="A350" s="130"/>
      <c r="L350" s="131"/>
    </row>
    <row r="351" spans="1:12">
      <c r="A351" s="130"/>
      <c r="L351" s="131"/>
    </row>
    <row r="352" spans="1:12">
      <c r="A352" s="130"/>
      <c r="L352" s="131"/>
    </row>
    <row r="353" spans="1:12">
      <c r="A353" s="130"/>
      <c r="L353" s="131"/>
    </row>
    <row r="354" spans="1:12">
      <c r="A354" s="130"/>
      <c r="L354" s="131"/>
    </row>
    <row r="355" spans="1:12">
      <c r="A355" s="130"/>
      <c r="L355" s="131"/>
    </row>
    <row r="356" spans="1:12">
      <c r="A356" s="130"/>
      <c r="L356" s="131"/>
    </row>
    <row r="357" spans="1:12">
      <c r="A357" s="130"/>
      <c r="L357" s="131"/>
    </row>
    <row r="358" spans="1:12">
      <c r="A358" s="130"/>
      <c r="L358" s="131"/>
    </row>
    <row r="359" spans="1:12">
      <c r="A359" s="130"/>
      <c r="L359" s="131"/>
    </row>
    <row r="360" spans="1:12">
      <c r="A360" s="130"/>
      <c r="L360" s="131"/>
    </row>
    <row r="361" spans="1:12">
      <c r="A361" s="130"/>
      <c r="L361" s="131"/>
    </row>
    <row r="362" spans="1:12">
      <c r="A362" s="130"/>
      <c r="L362" s="131"/>
    </row>
    <row r="363" spans="1:12">
      <c r="A363" s="130"/>
      <c r="L363" s="131"/>
    </row>
    <row r="364" spans="1:12">
      <c r="A364" s="130"/>
      <c r="L364" s="131"/>
    </row>
    <row r="365" spans="1:12">
      <c r="A365" s="130"/>
      <c r="L365" s="131"/>
    </row>
    <row r="366" spans="1:12">
      <c r="A366" s="130"/>
      <c r="L366" s="131"/>
    </row>
    <row r="367" spans="1:12">
      <c r="A367" s="130"/>
      <c r="L367" s="131"/>
    </row>
    <row r="368" spans="1:12">
      <c r="A368" s="130"/>
      <c r="L368" s="131"/>
    </row>
    <row r="369" spans="1:12">
      <c r="A369" s="130"/>
      <c r="L369" s="131"/>
    </row>
    <row r="370" spans="1:12">
      <c r="A370" s="130"/>
      <c r="L370" s="131"/>
    </row>
    <row r="371" spans="1:12">
      <c r="A371" s="130"/>
      <c r="L371" s="131"/>
    </row>
    <row r="372" spans="1:12">
      <c r="A372" s="130"/>
      <c r="L372" s="131"/>
    </row>
    <row r="373" spans="1:12">
      <c r="A373" s="130"/>
      <c r="L373" s="131"/>
    </row>
    <row r="374" spans="1:12">
      <c r="A374" s="130"/>
      <c r="L374" s="131"/>
    </row>
    <row r="375" spans="1:12">
      <c r="A375" s="130"/>
      <c r="L375" s="131"/>
    </row>
    <row r="376" spans="1:12">
      <c r="A376" s="130"/>
      <c r="L376" s="131"/>
    </row>
    <row r="377" spans="1:12">
      <c r="A377" s="130"/>
      <c r="L377" s="131"/>
    </row>
    <row r="378" spans="1:12">
      <c r="A378" s="130"/>
      <c r="L378" s="131"/>
    </row>
    <row r="379" spans="1:12">
      <c r="A379" s="130"/>
      <c r="L379" s="131"/>
    </row>
    <row r="380" spans="1:12">
      <c r="A380" s="130"/>
      <c r="L380" s="131"/>
    </row>
    <row r="381" spans="1:12">
      <c r="A381" s="130"/>
      <c r="L381" s="131"/>
    </row>
    <row r="382" spans="1:12">
      <c r="A382" s="130"/>
      <c r="L382" s="131"/>
    </row>
    <row r="383" spans="1:12">
      <c r="A383" s="130"/>
      <c r="L383" s="131"/>
    </row>
    <row r="384" spans="1:12">
      <c r="A384" s="130"/>
      <c r="L384" s="131"/>
    </row>
    <row r="385" spans="1:12">
      <c r="A385" s="130"/>
      <c r="L385" s="131"/>
    </row>
    <row r="386" spans="1:12">
      <c r="A386" s="130"/>
      <c r="L386" s="131"/>
    </row>
    <row r="387" spans="1:12">
      <c r="A387" s="130"/>
      <c r="L387" s="131"/>
    </row>
    <row r="388" spans="1:12">
      <c r="A388" s="130"/>
      <c r="L388" s="131"/>
    </row>
    <row r="389" spans="1:12">
      <c r="A389" s="130"/>
      <c r="L389" s="131"/>
    </row>
    <row r="390" spans="1:12">
      <c r="A390" s="130"/>
      <c r="L390" s="131"/>
    </row>
    <row r="391" spans="1:12">
      <c r="A391" s="130"/>
      <c r="L391" s="131"/>
    </row>
    <row r="392" spans="1:12">
      <c r="A392" s="130"/>
      <c r="L392" s="131"/>
    </row>
    <row r="393" spans="1:12">
      <c r="A393" s="130"/>
      <c r="L393" s="131"/>
    </row>
    <row r="394" spans="1:12">
      <c r="A394" s="130"/>
      <c r="L394" s="131"/>
    </row>
    <row r="395" spans="1:12">
      <c r="A395" s="130"/>
      <c r="L395" s="131"/>
    </row>
    <row r="396" spans="1:12">
      <c r="A396" s="130"/>
      <c r="L396" s="131"/>
    </row>
    <row r="397" spans="1:12">
      <c r="A397" s="130"/>
      <c r="L397" s="131"/>
    </row>
    <row r="398" spans="1:12">
      <c r="A398" s="130"/>
      <c r="L398" s="131"/>
    </row>
    <row r="399" spans="1:12">
      <c r="A399" s="130"/>
      <c r="L399" s="131"/>
    </row>
    <row r="400" spans="1:12">
      <c r="A400" s="130"/>
      <c r="L400" s="131"/>
    </row>
    <row r="401" spans="1:12">
      <c r="A401" s="130"/>
      <c r="L401" s="131"/>
    </row>
    <row r="402" spans="1:12">
      <c r="A402" s="130"/>
      <c r="L402" s="131"/>
    </row>
    <row r="403" spans="1:12">
      <c r="A403" s="130"/>
      <c r="L403" s="131"/>
    </row>
    <row r="404" spans="1:12">
      <c r="A404" s="130"/>
      <c r="L404" s="131"/>
    </row>
    <row r="405" spans="1:12">
      <c r="A405" s="130"/>
      <c r="L405" s="131"/>
    </row>
    <row r="406" spans="1:12">
      <c r="A406" s="130"/>
      <c r="L406" s="131"/>
    </row>
    <row r="407" spans="1:12">
      <c r="A407" s="130"/>
      <c r="L407" s="131"/>
    </row>
    <row r="408" spans="1:12">
      <c r="A408" s="130"/>
      <c r="L408" s="131"/>
    </row>
    <row r="409" spans="1:12">
      <c r="A409" s="130"/>
      <c r="L409" s="131"/>
    </row>
    <row r="410" spans="1:12">
      <c r="A410" s="130"/>
      <c r="L410" s="131"/>
    </row>
    <row r="411" spans="1:12">
      <c r="A411" s="130"/>
      <c r="L411" s="131"/>
    </row>
    <row r="412" spans="1:12">
      <c r="A412" s="130"/>
      <c r="L412" s="131"/>
    </row>
    <row r="413" spans="1:12">
      <c r="A413" s="130"/>
      <c r="L413" s="131"/>
    </row>
    <row r="414" spans="1:12">
      <c r="A414" s="130"/>
      <c r="L414" s="131"/>
    </row>
    <row r="415" spans="1:12">
      <c r="A415" s="130"/>
      <c r="L415" s="131"/>
    </row>
    <row r="416" spans="1:12">
      <c r="A416" s="130"/>
      <c r="L416" s="131"/>
    </row>
    <row r="417" spans="1:12">
      <c r="A417" s="130"/>
      <c r="L417" s="131"/>
    </row>
    <row r="418" spans="1:12">
      <c r="A418" s="130"/>
      <c r="L418" s="131"/>
    </row>
    <row r="419" spans="1:12">
      <c r="A419" s="130"/>
      <c r="L419" s="131"/>
    </row>
    <row r="420" spans="1:12">
      <c r="A420" s="130"/>
      <c r="L420" s="131"/>
    </row>
    <row r="421" spans="1:12">
      <c r="A421" s="130"/>
      <c r="L421" s="131"/>
    </row>
    <row r="422" spans="1:12">
      <c r="A422" s="130"/>
      <c r="L422" s="131"/>
    </row>
    <row r="423" spans="1:12">
      <c r="A423" s="130"/>
      <c r="L423" s="131"/>
    </row>
    <row r="424" spans="1:12">
      <c r="A424" s="130"/>
      <c r="L424" s="131"/>
    </row>
    <row r="425" spans="1:12">
      <c r="A425" s="130"/>
      <c r="L425" s="131"/>
    </row>
    <row r="426" spans="1:12">
      <c r="A426" s="130"/>
      <c r="L426" s="131"/>
    </row>
    <row r="427" spans="1:12">
      <c r="A427" s="130"/>
      <c r="L427" s="131"/>
    </row>
    <row r="428" spans="1:12">
      <c r="A428" s="130"/>
      <c r="L428" s="131"/>
    </row>
    <row r="429" spans="1:12">
      <c r="A429" s="130"/>
      <c r="L429" s="131"/>
    </row>
    <row r="430" spans="1:12">
      <c r="A430" s="130"/>
      <c r="L430" s="131"/>
    </row>
    <row r="431" spans="1:12">
      <c r="A431" s="130"/>
      <c r="L431" s="131"/>
    </row>
    <row r="432" spans="1:12">
      <c r="A432" s="130"/>
      <c r="L432" s="131"/>
    </row>
    <row r="433" spans="1:12">
      <c r="A433" s="130"/>
      <c r="L433" s="131"/>
    </row>
    <row r="434" spans="1:12">
      <c r="A434" s="130"/>
      <c r="L434" s="131"/>
    </row>
    <row r="435" spans="1:12">
      <c r="A435" s="130"/>
      <c r="L435" s="131"/>
    </row>
    <row r="436" spans="1:12">
      <c r="A436" s="130"/>
      <c r="L436" s="131"/>
    </row>
    <row r="437" spans="1:12">
      <c r="A437" s="130"/>
      <c r="L437" s="131"/>
    </row>
    <row r="438" spans="1:12">
      <c r="A438" s="130"/>
      <c r="L438" s="131"/>
    </row>
    <row r="439" spans="1:12">
      <c r="A439" s="130"/>
      <c r="L439" s="131"/>
    </row>
    <row r="440" spans="1:12">
      <c r="A440" s="130"/>
      <c r="L440" s="131"/>
    </row>
    <row r="441" spans="1:12">
      <c r="A441" s="130"/>
      <c r="L441" s="131"/>
    </row>
    <row r="442" spans="1:12">
      <c r="A442" s="130"/>
      <c r="L442" s="131"/>
    </row>
    <row r="443" spans="1:12">
      <c r="A443" s="130"/>
      <c r="L443" s="131"/>
    </row>
    <row r="444" spans="1:12">
      <c r="A444" s="130"/>
      <c r="L444" s="131"/>
    </row>
    <row r="445" spans="1:12">
      <c r="A445" s="130"/>
      <c r="L445" s="131"/>
    </row>
    <row r="446" spans="1:12">
      <c r="A446" s="130"/>
      <c r="L446" s="131"/>
    </row>
    <row r="447" spans="1:12">
      <c r="A447" s="130"/>
      <c r="L447" s="131"/>
    </row>
    <row r="448" spans="1:12">
      <c r="A448" s="130"/>
      <c r="L448" s="131"/>
    </row>
    <row r="449" spans="1:12">
      <c r="A449" s="130"/>
      <c r="L449" s="131"/>
    </row>
    <row r="450" spans="1:12">
      <c r="A450" s="130"/>
      <c r="L450" s="131"/>
    </row>
    <row r="451" spans="1:12">
      <c r="A451" s="130"/>
      <c r="L451" s="131"/>
    </row>
    <row r="452" spans="1:12">
      <c r="A452" s="130"/>
      <c r="L452" s="131"/>
    </row>
    <row r="453" spans="1:12">
      <c r="A453" s="130"/>
      <c r="L453" s="131"/>
    </row>
    <row r="454" spans="1:12">
      <c r="A454" s="130"/>
      <c r="L454" s="131"/>
    </row>
    <row r="455" spans="1:12">
      <c r="A455" s="130"/>
      <c r="L455" s="131"/>
    </row>
    <row r="456" spans="1:12">
      <c r="A456" s="130"/>
      <c r="L456" s="131"/>
    </row>
    <row r="457" spans="1:12">
      <c r="A457" s="130"/>
      <c r="L457" s="131"/>
    </row>
    <row r="458" spans="1:12">
      <c r="A458" s="130"/>
      <c r="L458" s="131"/>
    </row>
    <row r="459" spans="1:12">
      <c r="A459" s="130"/>
      <c r="L459" s="131"/>
    </row>
    <row r="460" spans="1:12">
      <c r="A460" s="130"/>
      <c r="L460" s="131"/>
    </row>
    <row r="461" spans="1:12">
      <c r="A461" s="130"/>
      <c r="L461" s="131"/>
    </row>
    <row r="462" spans="1:12">
      <c r="A462" s="130"/>
      <c r="L462" s="131"/>
    </row>
    <row r="463" spans="1:12">
      <c r="A463" s="130"/>
      <c r="L463" s="131"/>
    </row>
    <row r="464" spans="1:12">
      <c r="A464" s="130"/>
      <c r="L464" s="131"/>
    </row>
    <row r="465" spans="1:12">
      <c r="A465" s="130"/>
      <c r="L465" s="131"/>
    </row>
    <row r="466" spans="1:12">
      <c r="A466" s="130"/>
      <c r="L466" s="131"/>
    </row>
    <row r="467" spans="1:12">
      <c r="A467" s="130"/>
      <c r="L467" s="131"/>
    </row>
    <row r="468" spans="1:12">
      <c r="A468" s="130"/>
      <c r="L468" s="131"/>
    </row>
    <row r="469" spans="1:12">
      <c r="A469" s="130"/>
      <c r="L469" s="131"/>
    </row>
    <row r="470" spans="1:12">
      <c r="A470" s="130"/>
      <c r="L470" s="131"/>
    </row>
    <row r="471" spans="1:12">
      <c r="A471" s="130"/>
      <c r="L471" s="131"/>
    </row>
    <row r="472" spans="1:12">
      <c r="A472" s="130"/>
      <c r="L472" s="131"/>
    </row>
    <row r="473" spans="1:12">
      <c r="A473" s="130"/>
      <c r="L473" s="131"/>
    </row>
    <row r="474" spans="1:12">
      <c r="A474" s="130"/>
      <c r="L474" s="131"/>
    </row>
    <row r="475" spans="1:12">
      <c r="A475" s="130"/>
      <c r="L475" s="131"/>
    </row>
    <row r="476" spans="1:12">
      <c r="A476" s="130"/>
      <c r="L476" s="131"/>
    </row>
    <row r="477" spans="1:12">
      <c r="A477" s="130"/>
      <c r="L477" s="131"/>
    </row>
    <row r="478" spans="1:12">
      <c r="A478" s="130"/>
      <c r="L478" s="131"/>
    </row>
    <row r="479" spans="1:12">
      <c r="A479" s="130"/>
      <c r="L479" s="131"/>
    </row>
    <row r="480" spans="1:12">
      <c r="A480" s="130"/>
      <c r="L480" s="131"/>
    </row>
    <row r="481" spans="1:12">
      <c r="A481" s="130"/>
      <c r="L481" s="131"/>
    </row>
    <row r="482" spans="1:12">
      <c r="A482" s="130"/>
      <c r="L482" s="131"/>
    </row>
    <row r="483" spans="1:12">
      <c r="A483" s="130"/>
      <c r="L483" s="131"/>
    </row>
    <row r="484" spans="1:12">
      <c r="A484" s="130"/>
      <c r="L484" s="131"/>
    </row>
    <row r="485" spans="1:12">
      <c r="A485" s="130"/>
      <c r="L485" s="131"/>
    </row>
    <row r="486" spans="1:12">
      <c r="A486" s="130"/>
      <c r="L486" s="131"/>
    </row>
    <row r="487" spans="1:12">
      <c r="A487" s="130"/>
      <c r="L487" s="131"/>
    </row>
    <row r="488" spans="1:12">
      <c r="A488" s="130"/>
      <c r="L488" s="131"/>
    </row>
    <row r="489" spans="1:12">
      <c r="A489" s="130"/>
      <c r="L489" s="131"/>
    </row>
    <row r="490" spans="1:12">
      <c r="A490" s="130"/>
      <c r="L490" s="131"/>
    </row>
    <row r="491" spans="1:12">
      <c r="A491" s="130"/>
      <c r="L491" s="131"/>
    </row>
    <row r="492" spans="1:12">
      <c r="A492" s="130"/>
      <c r="L492" s="131"/>
    </row>
    <row r="493" spans="1:12">
      <c r="A493" s="130"/>
      <c r="L493" s="131"/>
    </row>
    <row r="494" spans="1:12">
      <c r="A494" s="130"/>
      <c r="L494" s="131"/>
    </row>
    <row r="495" spans="1:12">
      <c r="A495" s="130"/>
      <c r="L495" s="131"/>
    </row>
    <row r="496" spans="1:12">
      <c r="A496" s="130"/>
      <c r="L496" s="131"/>
    </row>
    <row r="497" spans="1:12">
      <c r="A497" s="130"/>
      <c r="L497" s="131"/>
    </row>
    <row r="498" spans="1:12">
      <c r="A498" s="130"/>
      <c r="L498" s="131"/>
    </row>
    <row r="499" spans="1:12">
      <c r="A499" s="130"/>
      <c r="L499" s="131"/>
    </row>
    <row r="500" spans="1:12">
      <c r="A500" s="130"/>
      <c r="L500" s="131"/>
    </row>
    <row r="501" spans="1:12">
      <c r="A501" s="130"/>
      <c r="L501" s="131"/>
    </row>
    <row r="502" spans="1:12">
      <c r="A502" s="130"/>
      <c r="L502" s="131"/>
    </row>
    <row r="503" spans="1:12">
      <c r="A503" s="130"/>
      <c r="L503" s="131"/>
    </row>
    <row r="504" spans="1:12">
      <c r="A504" s="130"/>
      <c r="L504" s="131"/>
    </row>
    <row r="505" spans="1:12">
      <c r="A505" s="130"/>
      <c r="L505" s="131"/>
    </row>
    <row r="506" spans="1:12">
      <c r="A506" s="130"/>
      <c r="L506" s="131"/>
    </row>
    <row r="507" spans="1:12">
      <c r="A507" s="130"/>
      <c r="L507" s="131"/>
    </row>
    <row r="508" spans="1:12">
      <c r="A508" s="130"/>
      <c r="L508" s="131"/>
    </row>
    <row r="509" spans="1:12">
      <c r="A509" s="130"/>
      <c r="L509" s="131"/>
    </row>
    <row r="510" spans="1:12">
      <c r="A510" s="130"/>
      <c r="L510" s="131"/>
    </row>
    <row r="511" spans="1:12">
      <c r="A511" s="130"/>
      <c r="L511" s="131"/>
    </row>
    <row r="512" spans="1:12">
      <c r="A512" s="130"/>
      <c r="L512" s="131"/>
    </row>
    <row r="513" spans="1:12">
      <c r="A513" s="130"/>
      <c r="L513" s="131"/>
    </row>
    <row r="514" spans="1:12">
      <c r="A514" s="130"/>
      <c r="L514" s="131"/>
    </row>
    <row r="515" spans="1:12">
      <c r="A515" s="130"/>
      <c r="L515" s="131"/>
    </row>
    <row r="516" spans="1:12">
      <c r="A516" s="130"/>
      <c r="L516" s="131"/>
    </row>
    <row r="517" spans="1:12">
      <c r="A517" s="130"/>
      <c r="L517" s="131"/>
    </row>
    <row r="518" spans="1:12">
      <c r="A518" s="130"/>
      <c r="L518" s="131"/>
    </row>
    <row r="519" spans="1:12">
      <c r="A519" s="130"/>
      <c r="L519" s="131"/>
    </row>
    <row r="520" spans="1:12">
      <c r="A520" s="130"/>
      <c r="L520" s="131"/>
    </row>
    <row r="521" spans="1:12">
      <c r="A521" s="130"/>
      <c r="L521" s="131"/>
    </row>
    <row r="522" spans="1:12">
      <c r="A522" s="130"/>
      <c r="L522" s="131"/>
    </row>
    <row r="523" spans="1:12">
      <c r="A523" s="130"/>
      <c r="L523" s="131"/>
    </row>
    <row r="524" spans="1:12">
      <c r="A524" s="130"/>
      <c r="L524" s="131"/>
    </row>
    <row r="525" spans="1:12">
      <c r="A525" s="130"/>
      <c r="L525" s="131"/>
    </row>
    <row r="526" spans="1:12">
      <c r="A526" s="130"/>
      <c r="L526" s="131"/>
    </row>
    <row r="527" spans="1:12">
      <c r="A527" s="130"/>
      <c r="L527" s="131"/>
    </row>
    <row r="528" spans="1:12">
      <c r="A528" s="130"/>
      <c r="L528" s="131"/>
    </row>
    <row r="529" spans="1:12">
      <c r="A529" s="130"/>
      <c r="L529" s="131"/>
    </row>
    <row r="530" spans="1:12">
      <c r="A530" s="130"/>
      <c r="L530" s="131"/>
    </row>
    <row r="531" spans="1:12">
      <c r="A531" s="130"/>
      <c r="L531" s="131"/>
    </row>
    <row r="532" spans="1:12">
      <c r="A532" s="130"/>
      <c r="L532" s="131"/>
    </row>
    <row r="533" spans="1:12">
      <c r="A533" s="130"/>
      <c r="L533" s="131"/>
    </row>
    <row r="534" spans="1:12">
      <c r="A534" s="130"/>
      <c r="L534" s="131"/>
    </row>
    <row r="535" spans="1:12">
      <c r="A535" s="130"/>
      <c r="L535" s="131"/>
    </row>
    <row r="536" spans="1:12">
      <c r="A536" s="130"/>
      <c r="L536" s="131"/>
    </row>
    <row r="537" spans="1:12">
      <c r="A537" s="130"/>
      <c r="L537" s="131"/>
    </row>
    <row r="538" spans="1:12">
      <c r="A538" s="130"/>
      <c r="L538" s="131"/>
    </row>
    <row r="539" spans="1:12">
      <c r="A539" s="130"/>
      <c r="L539" s="131"/>
    </row>
    <row r="540" spans="1:12">
      <c r="A540" s="130"/>
      <c r="L540" s="131"/>
    </row>
    <row r="541" spans="1:12">
      <c r="A541" s="130"/>
      <c r="L541" s="131"/>
    </row>
    <row r="542" spans="1:12">
      <c r="A542" s="130"/>
      <c r="L542" s="131"/>
    </row>
    <row r="543" spans="1:12">
      <c r="A543" s="130"/>
      <c r="L543" s="131"/>
    </row>
    <row r="544" spans="1:12">
      <c r="A544" s="130"/>
      <c r="L544" s="131"/>
    </row>
    <row r="545" spans="1:12">
      <c r="A545" s="130"/>
      <c r="L545" s="131"/>
    </row>
    <row r="546" spans="1:12">
      <c r="A546" s="130"/>
      <c r="L546" s="131"/>
    </row>
    <row r="547" spans="1:12">
      <c r="A547" s="130"/>
      <c r="L547" s="131"/>
    </row>
    <row r="548" spans="1:12">
      <c r="A548" s="130"/>
      <c r="L548" s="131"/>
    </row>
    <row r="549" spans="1:12">
      <c r="A549" s="130"/>
      <c r="L549" s="131"/>
    </row>
    <row r="550" spans="1:12">
      <c r="A550" s="130"/>
      <c r="L550" s="131"/>
    </row>
    <row r="551" spans="1:12">
      <c r="A551" s="130"/>
      <c r="L551" s="131"/>
    </row>
    <row r="552" spans="1:12">
      <c r="A552" s="130"/>
      <c r="L552" s="131"/>
    </row>
    <row r="553" spans="1:12">
      <c r="A553" s="130"/>
      <c r="L553" s="131"/>
    </row>
    <row r="554" spans="1:12">
      <c r="A554" s="130"/>
      <c r="L554" s="131"/>
    </row>
    <row r="555" spans="1:12">
      <c r="A555" s="130"/>
      <c r="L555" s="131"/>
    </row>
    <row r="556" spans="1:12">
      <c r="A556" s="130"/>
      <c r="L556" s="131"/>
    </row>
    <row r="557" spans="1:12">
      <c r="A557" s="130"/>
      <c r="L557" s="131"/>
    </row>
    <row r="558" spans="1:12">
      <c r="A558" s="130"/>
      <c r="L558" s="131"/>
    </row>
    <row r="559" spans="1:12">
      <c r="A559" s="130"/>
      <c r="L559" s="131"/>
    </row>
    <row r="560" spans="1:12">
      <c r="A560" s="130"/>
      <c r="L560" s="131"/>
    </row>
    <row r="561" spans="1:12">
      <c r="A561" s="130"/>
      <c r="L561" s="131"/>
    </row>
    <row r="562" spans="1:12">
      <c r="A562" s="130"/>
      <c r="L562" s="131"/>
    </row>
    <row r="563" spans="1:12">
      <c r="A563" s="130"/>
      <c r="L563" s="131"/>
    </row>
    <row r="564" spans="1:12">
      <c r="A564" s="130"/>
      <c r="L564" s="131"/>
    </row>
    <row r="565" spans="1:12">
      <c r="A565" s="130"/>
      <c r="L565" s="131"/>
    </row>
    <row r="566" spans="1:12">
      <c r="A566" s="130"/>
      <c r="L566" s="131"/>
    </row>
    <row r="567" spans="1:12">
      <c r="A567" s="130"/>
      <c r="L567" s="131"/>
    </row>
    <row r="568" spans="1:12">
      <c r="A568" s="130"/>
      <c r="L568" s="131"/>
    </row>
    <row r="569" spans="1:12">
      <c r="A569" s="130"/>
      <c r="L569" s="131"/>
    </row>
    <row r="570" spans="1:12">
      <c r="A570" s="130"/>
      <c r="L570" s="131"/>
    </row>
    <row r="571" spans="1:12">
      <c r="A571" s="130"/>
      <c r="L571" s="131"/>
    </row>
    <row r="572" spans="1:12">
      <c r="A572" s="130"/>
      <c r="L572" s="131"/>
    </row>
    <row r="573" spans="1:12">
      <c r="A573" s="130"/>
      <c r="L573" s="131"/>
    </row>
    <row r="574" spans="1:12">
      <c r="A574" s="130"/>
      <c r="L574" s="131"/>
    </row>
    <row r="575" spans="1:12">
      <c r="A575" s="130"/>
      <c r="L575" s="131"/>
    </row>
    <row r="576" spans="1:12">
      <c r="A576" s="130"/>
      <c r="L576" s="131"/>
    </row>
    <row r="577" spans="1:12">
      <c r="A577" s="130"/>
      <c r="L577" s="131"/>
    </row>
    <row r="578" spans="1:12">
      <c r="A578" s="130"/>
      <c r="L578" s="131"/>
    </row>
    <row r="579" spans="1:12">
      <c r="A579" s="130"/>
      <c r="L579" s="131"/>
    </row>
    <row r="580" spans="1:12">
      <c r="A580" s="130"/>
      <c r="L580" s="131"/>
    </row>
    <row r="581" spans="1:12">
      <c r="A581" s="130"/>
      <c r="L581" s="131"/>
    </row>
    <row r="582" spans="1:12">
      <c r="A582" s="130"/>
      <c r="L582" s="131"/>
    </row>
    <row r="583" spans="1:12">
      <c r="A583" s="130"/>
      <c r="L583" s="131"/>
    </row>
    <row r="584" spans="1:12">
      <c r="A584" s="130"/>
      <c r="L584" s="131"/>
    </row>
    <row r="585" spans="1:12">
      <c r="A585" s="130"/>
      <c r="L585" s="131"/>
    </row>
    <row r="586" spans="1:12">
      <c r="A586" s="130"/>
      <c r="L586" s="131"/>
    </row>
    <row r="587" spans="1:12">
      <c r="A587" s="130"/>
      <c r="L587" s="131"/>
    </row>
    <row r="588" spans="1:12">
      <c r="A588" s="130"/>
      <c r="L588" s="131"/>
    </row>
    <row r="589" spans="1:12">
      <c r="A589" s="130"/>
      <c r="L589" s="131"/>
    </row>
    <row r="590" spans="1:12">
      <c r="A590" s="130"/>
      <c r="L590" s="131"/>
    </row>
    <row r="591" spans="1:12">
      <c r="A591" s="130"/>
      <c r="L591" s="131"/>
    </row>
    <row r="592" spans="1:12">
      <c r="A592" s="130"/>
      <c r="L592" s="131"/>
    </row>
    <row r="593" spans="1:12">
      <c r="A593" s="130"/>
      <c r="L593" s="131"/>
    </row>
    <row r="594" spans="1:12">
      <c r="A594" s="130"/>
      <c r="L594" s="131"/>
    </row>
    <row r="595" spans="1:12">
      <c r="A595" s="130"/>
      <c r="L595" s="131"/>
    </row>
    <row r="596" spans="1:12">
      <c r="A596" s="130"/>
      <c r="L596" s="131"/>
    </row>
    <row r="597" spans="1:12">
      <c r="A597" s="130"/>
      <c r="L597" s="131"/>
    </row>
    <row r="598" spans="1:12">
      <c r="A598" s="130"/>
      <c r="L598" s="131"/>
    </row>
    <row r="599" spans="1:12">
      <c r="A599" s="130"/>
      <c r="L599" s="131"/>
    </row>
    <row r="600" spans="1:12">
      <c r="A600" s="130"/>
      <c r="L600" s="131"/>
    </row>
    <row r="601" spans="1:12">
      <c r="A601" s="130"/>
      <c r="L601" s="131"/>
    </row>
    <row r="602" spans="1:12">
      <c r="A602" s="130"/>
      <c r="L602" s="131"/>
    </row>
    <row r="603" spans="1:12">
      <c r="A603" s="130"/>
      <c r="L603" s="131"/>
    </row>
    <row r="604" spans="1:12">
      <c r="A604" s="130"/>
      <c r="L604" s="131"/>
    </row>
    <row r="605" spans="1:12">
      <c r="A605" s="130"/>
      <c r="L605" s="131"/>
    </row>
    <row r="606" spans="1:12">
      <c r="A606" s="130"/>
      <c r="L606" s="131"/>
    </row>
    <row r="607" spans="1:12">
      <c r="A607" s="130"/>
      <c r="L607" s="131"/>
    </row>
    <row r="608" spans="1:12">
      <c r="A608" s="130"/>
      <c r="L608" s="131"/>
    </row>
    <row r="609" spans="1:12">
      <c r="A609" s="130"/>
      <c r="L609" s="131"/>
    </row>
    <row r="610" spans="1:12">
      <c r="A610" s="130"/>
      <c r="L610" s="131"/>
    </row>
    <row r="611" spans="1:12">
      <c r="A611" s="130"/>
      <c r="L611" s="131"/>
    </row>
    <row r="612" spans="1:12">
      <c r="A612" s="130"/>
      <c r="L612" s="131"/>
    </row>
    <row r="613" spans="1:12">
      <c r="A613" s="130"/>
      <c r="L613" s="131"/>
    </row>
    <row r="614" spans="1:12">
      <c r="A614" s="130"/>
      <c r="L614" s="131"/>
    </row>
    <row r="615" spans="1:12">
      <c r="A615" s="130"/>
      <c r="L615" s="131"/>
    </row>
    <row r="616" spans="1:12">
      <c r="A616" s="130"/>
      <c r="L616" s="131"/>
    </row>
    <row r="617" spans="1:12">
      <c r="A617" s="130"/>
      <c r="L617" s="131"/>
    </row>
    <row r="618" spans="1:12">
      <c r="A618" s="130"/>
      <c r="L618" s="131"/>
    </row>
    <row r="619" spans="1:12">
      <c r="A619" s="130"/>
      <c r="L619" s="131"/>
    </row>
    <row r="620" spans="1:12">
      <c r="A620" s="130"/>
      <c r="L620" s="131"/>
    </row>
    <row r="621" spans="1:12">
      <c r="A621" s="130"/>
      <c r="L621" s="131"/>
    </row>
    <row r="622" spans="1:12">
      <c r="A622" s="130"/>
      <c r="L622" s="131"/>
    </row>
    <row r="623" spans="1:12">
      <c r="A623" s="130"/>
      <c r="L623" s="131"/>
    </row>
    <row r="624" spans="1:12">
      <c r="A624" s="130"/>
      <c r="L624" s="131"/>
    </row>
    <row r="625" spans="1:12">
      <c r="A625" s="130"/>
      <c r="L625" s="131"/>
    </row>
    <row r="626" spans="1:12">
      <c r="A626" s="130"/>
      <c r="L626" s="131"/>
    </row>
    <row r="627" spans="1:12">
      <c r="A627" s="130"/>
      <c r="L627" s="131"/>
    </row>
    <row r="628" spans="1:12">
      <c r="A628" s="130"/>
      <c r="L628" s="131"/>
    </row>
    <row r="629" spans="1:12">
      <c r="A629" s="130"/>
      <c r="L629" s="131"/>
    </row>
    <row r="630" spans="1:12">
      <c r="A630" s="130"/>
      <c r="L630" s="131"/>
    </row>
    <row r="631" spans="1:12">
      <c r="A631" s="130"/>
      <c r="L631" s="131"/>
    </row>
    <row r="632" spans="1:12">
      <c r="A632" s="130"/>
      <c r="L632" s="131"/>
    </row>
    <row r="633" spans="1:12">
      <c r="A633" s="130"/>
      <c r="L633" s="131"/>
    </row>
    <row r="634" spans="1:12">
      <c r="A634" s="130"/>
      <c r="L634" s="131"/>
    </row>
    <row r="635" spans="1:12">
      <c r="A635" s="130"/>
      <c r="L635" s="131"/>
    </row>
    <row r="636" spans="1:12">
      <c r="A636" s="130"/>
      <c r="L636" s="131"/>
    </row>
    <row r="637" spans="1:12">
      <c r="A637" s="130"/>
      <c r="L637" s="131"/>
    </row>
    <row r="638" spans="1:12">
      <c r="A638" s="130"/>
      <c r="L638" s="131"/>
    </row>
    <row r="639" spans="1:12">
      <c r="A639" s="130"/>
      <c r="L639" s="131"/>
    </row>
    <row r="640" spans="1:12">
      <c r="A640" s="130"/>
      <c r="L640" s="131"/>
    </row>
    <row r="641" spans="1:12">
      <c r="A641" s="130"/>
      <c r="L641" s="131"/>
    </row>
    <row r="642" spans="1:12">
      <c r="A642" s="130"/>
      <c r="L642" s="131"/>
    </row>
    <row r="643" spans="1:12">
      <c r="A643" s="130"/>
      <c r="L643" s="131"/>
    </row>
    <row r="644" spans="1:12">
      <c r="A644" s="130"/>
      <c r="L644" s="131"/>
    </row>
    <row r="645" spans="1:12">
      <c r="A645" s="130"/>
      <c r="L645" s="131"/>
    </row>
    <row r="646" spans="1:12">
      <c r="A646" s="130"/>
      <c r="L646" s="131"/>
    </row>
    <row r="647" spans="1:12">
      <c r="A647" s="130"/>
      <c r="L647" s="131"/>
    </row>
    <row r="648" spans="1:12">
      <c r="A648" s="130"/>
      <c r="L648" s="131"/>
    </row>
    <row r="649" spans="1:12">
      <c r="A649" s="130"/>
      <c r="L649" s="131"/>
    </row>
    <row r="650" spans="1:12">
      <c r="A650" s="130"/>
      <c r="L650" s="131"/>
    </row>
    <row r="651" spans="1:12">
      <c r="A651" s="130"/>
      <c r="L651" s="131"/>
    </row>
    <row r="652" spans="1:12">
      <c r="A652" s="130"/>
      <c r="L652" s="131"/>
    </row>
    <row r="653" spans="1:12">
      <c r="A653" s="130"/>
      <c r="L653" s="131"/>
    </row>
    <row r="654" spans="1:12">
      <c r="A654" s="130"/>
      <c r="L654" s="131"/>
    </row>
    <row r="655" spans="1:12">
      <c r="A655" s="130"/>
      <c r="L655" s="131"/>
    </row>
    <row r="656" spans="1:12">
      <c r="A656" s="130"/>
      <c r="L656" s="131"/>
    </row>
    <row r="657" spans="1:12">
      <c r="A657" s="130"/>
      <c r="L657" s="131"/>
    </row>
    <row r="658" spans="1:12">
      <c r="A658" s="130"/>
      <c r="L658" s="131"/>
    </row>
    <row r="659" spans="1:12">
      <c r="A659" s="130"/>
      <c r="L659" s="131"/>
    </row>
    <row r="660" spans="1:12">
      <c r="A660" s="130"/>
      <c r="L660" s="131"/>
    </row>
    <row r="661" spans="1:12">
      <c r="A661" s="130"/>
      <c r="L661" s="131"/>
    </row>
    <row r="662" spans="1:12">
      <c r="A662" s="130"/>
      <c r="L662" s="131"/>
    </row>
    <row r="663" spans="1:12">
      <c r="A663" s="130"/>
      <c r="L663" s="131"/>
    </row>
    <row r="664" spans="1:12">
      <c r="A664" s="130"/>
      <c r="L664" s="131"/>
    </row>
    <row r="665" spans="1:12">
      <c r="A665" s="130"/>
      <c r="L665" s="131"/>
    </row>
    <row r="666" spans="1:12">
      <c r="A666" s="130"/>
      <c r="L666" s="131"/>
    </row>
    <row r="667" spans="1:12">
      <c r="A667" s="130"/>
      <c r="L667" s="131"/>
    </row>
    <row r="668" spans="1:12">
      <c r="A668" s="130"/>
      <c r="L668" s="131"/>
    </row>
    <row r="669" spans="1:12">
      <c r="A669" s="130"/>
      <c r="L669" s="131"/>
    </row>
    <row r="670" spans="1:12">
      <c r="A670" s="130"/>
      <c r="L670" s="131"/>
    </row>
    <row r="671" spans="1:12">
      <c r="A671" s="130"/>
      <c r="L671" s="131"/>
    </row>
    <row r="672" spans="1:12">
      <c r="A672" s="130"/>
      <c r="L672" s="131"/>
    </row>
    <row r="673" spans="1:12">
      <c r="A673" s="130"/>
      <c r="L673" s="131"/>
    </row>
    <row r="674" spans="1:12">
      <c r="A674" s="130"/>
      <c r="L674" s="131"/>
    </row>
    <row r="675" spans="1:12">
      <c r="A675" s="130"/>
      <c r="L675" s="131"/>
    </row>
    <row r="676" spans="1:12">
      <c r="A676" s="130"/>
      <c r="L676" s="131"/>
    </row>
    <row r="677" spans="1:12">
      <c r="A677" s="130"/>
      <c r="L677" s="131"/>
    </row>
    <row r="678" spans="1:12">
      <c r="A678" s="130"/>
      <c r="L678" s="131"/>
    </row>
    <row r="679" spans="1:12">
      <c r="A679" s="130"/>
      <c r="L679" s="131"/>
    </row>
    <row r="680" spans="1:12">
      <c r="A680" s="130"/>
      <c r="L680" s="131"/>
    </row>
    <row r="681" spans="1:12">
      <c r="A681" s="130"/>
      <c r="L681" s="131"/>
    </row>
    <row r="682" spans="1:12">
      <c r="A682" s="130"/>
      <c r="L682" s="131"/>
    </row>
    <row r="683" spans="1:12">
      <c r="A683" s="130"/>
      <c r="L683" s="131"/>
    </row>
    <row r="684" spans="1:12">
      <c r="A684" s="130"/>
      <c r="L684" s="131"/>
    </row>
    <row r="685" spans="1:12">
      <c r="A685" s="130"/>
      <c r="L685" s="131"/>
    </row>
    <row r="686" spans="1:12">
      <c r="A686" s="130"/>
      <c r="L686" s="131"/>
    </row>
    <row r="687" spans="1:12">
      <c r="A687" s="130"/>
      <c r="L687" s="131"/>
    </row>
    <row r="688" spans="1:12">
      <c r="A688" s="130"/>
      <c r="L688" s="131"/>
    </row>
    <row r="689" spans="1:12">
      <c r="A689" s="130"/>
      <c r="L689" s="131"/>
    </row>
    <row r="690" spans="1:12">
      <c r="A690" s="130"/>
      <c r="L690" s="131"/>
    </row>
    <row r="691" spans="1:12">
      <c r="A691" s="130"/>
      <c r="L691" s="131"/>
    </row>
    <row r="692" spans="1:12">
      <c r="A692" s="130"/>
      <c r="L692" s="131"/>
    </row>
    <row r="693" spans="1:12">
      <c r="A693" s="130"/>
      <c r="L693" s="131"/>
    </row>
    <row r="694" spans="1:12">
      <c r="A694" s="130"/>
      <c r="L694" s="131"/>
    </row>
    <row r="695" spans="1:12">
      <c r="A695" s="130"/>
      <c r="L695" s="131"/>
    </row>
    <row r="696" spans="1:12">
      <c r="A696" s="130"/>
      <c r="L696" s="131"/>
    </row>
    <row r="697" spans="1:12">
      <c r="A697" s="130"/>
      <c r="L697" s="131"/>
    </row>
    <row r="698" spans="1:12">
      <c r="A698" s="130"/>
      <c r="L698" s="131"/>
    </row>
    <row r="699" spans="1:12">
      <c r="A699" s="130"/>
      <c r="L699" s="131"/>
    </row>
    <row r="700" spans="1:12">
      <c r="A700" s="130"/>
      <c r="L700" s="131"/>
    </row>
    <row r="701" spans="1:12">
      <c r="A701" s="130"/>
      <c r="L701" s="131"/>
    </row>
    <row r="702" spans="1:12">
      <c r="A702" s="130"/>
      <c r="L702" s="131"/>
    </row>
    <row r="703" spans="1:12">
      <c r="A703" s="130"/>
      <c r="L703" s="131"/>
    </row>
    <row r="704" spans="1:12">
      <c r="A704" s="130"/>
      <c r="L704" s="131"/>
    </row>
    <row r="705" spans="1:12">
      <c r="A705" s="130"/>
      <c r="L705" s="131"/>
    </row>
    <row r="706" spans="1:12">
      <c r="A706" s="130"/>
      <c r="L706" s="131"/>
    </row>
    <row r="707" spans="1:12">
      <c r="A707" s="130"/>
      <c r="L707" s="131"/>
    </row>
    <row r="708" spans="1:12">
      <c r="A708" s="130"/>
      <c r="L708" s="131"/>
    </row>
    <row r="709" spans="1:12">
      <c r="A709" s="130"/>
      <c r="L709" s="131"/>
    </row>
    <row r="710" spans="1:12">
      <c r="A710" s="130"/>
      <c r="L710" s="131"/>
    </row>
    <row r="711" spans="1:12">
      <c r="A711" s="130"/>
      <c r="L711" s="131"/>
    </row>
    <row r="712" spans="1:12">
      <c r="A712" s="130"/>
      <c r="L712" s="131"/>
    </row>
    <row r="713" spans="1:12">
      <c r="A713" s="130"/>
      <c r="L713" s="131"/>
    </row>
    <row r="714" spans="1:12">
      <c r="A714" s="130"/>
      <c r="L714" s="131"/>
    </row>
    <row r="715" spans="1:12">
      <c r="A715" s="130"/>
      <c r="L715" s="131"/>
    </row>
    <row r="716" spans="1:12">
      <c r="A716" s="130"/>
      <c r="L716" s="131"/>
    </row>
    <row r="717" spans="1:12">
      <c r="A717" s="130"/>
      <c r="L717" s="131"/>
    </row>
    <row r="718" spans="1:12">
      <c r="A718" s="130"/>
      <c r="L718" s="131"/>
    </row>
    <row r="719" spans="1:12">
      <c r="A719" s="130"/>
      <c r="L719" s="131"/>
    </row>
    <row r="720" spans="1:12">
      <c r="A720" s="130"/>
      <c r="L720" s="131"/>
    </row>
    <row r="721" spans="1:12">
      <c r="A721" s="130"/>
      <c r="L721" s="131"/>
    </row>
    <row r="722" spans="1:12">
      <c r="A722" s="130"/>
      <c r="L722" s="131"/>
    </row>
    <row r="723" spans="1:12">
      <c r="A723" s="130"/>
      <c r="L723" s="131"/>
    </row>
    <row r="724" spans="1:12">
      <c r="A724" s="130"/>
      <c r="L724" s="131"/>
    </row>
    <row r="725" spans="1:12">
      <c r="A725" s="130"/>
      <c r="L725" s="131"/>
    </row>
    <row r="726" spans="1:12">
      <c r="A726" s="130"/>
      <c r="L726" s="131"/>
    </row>
    <row r="727" spans="1:12">
      <c r="A727" s="130"/>
      <c r="L727" s="131"/>
    </row>
    <row r="728" spans="1:12">
      <c r="A728" s="130"/>
      <c r="L728" s="131"/>
    </row>
    <row r="729" spans="1:12">
      <c r="A729" s="130"/>
      <c r="L729" s="131"/>
    </row>
    <row r="730" spans="1:12">
      <c r="A730" s="130"/>
      <c r="L730" s="131"/>
    </row>
    <row r="731" spans="1:12">
      <c r="A731" s="130"/>
      <c r="L731" s="131"/>
    </row>
    <row r="732" spans="1:12">
      <c r="A732" s="130"/>
      <c r="L732" s="131"/>
    </row>
    <row r="733" spans="1:12">
      <c r="A733" s="130"/>
      <c r="L733" s="131"/>
    </row>
    <row r="734" spans="1:12">
      <c r="A734" s="130"/>
      <c r="L734" s="131"/>
    </row>
    <row r="735" spans="1:12">
      <c r="A735" s="130"/>
      <c r="L735" s="131"/>
    </row>
    <row r="736" spans="1:12">
      <c r="A736" s="130"/>
      <c r="L736" s="131"/>
    </row>
    <row r="737" spans="1:12">
      <c r="A737" s="130"/>
      <c r="L737" s="131"/>
    </row>
    <row r="738" spans="1:12">
      <c r="A738" s="130"/>
      <c r="L738" s="131"/>
    </row>
    <row r="739" spans="1:12">
      <c r="A739" s="130"/>
      <c r="L739" s="131"/>
    </row>
    <row r="740" spans="1:12">
      <c r="A740" s="130"/>
      <c r="L740" s="131"/>
    </row>
    <row r="741" spans="1:12">
      <c r="A741" s="130"/>
      <c r="L741" s="131"/>
    </row>
    <row r="742" spans="1:12">
      <c r="A742" s="130"/>
      <c r="L742" s="131"/>
    </row>
    <row r="743" spans="1:12">
      <c r="A743" s="130"/>
      <c r="L743" s="131"/>
    </row>
    <row r="744" spans="1:12">
      <c r="A744" s="130"/>
      <c r="L744" s="131"/>
    </row>
    <row r="745" spans="1:12">
      <c r="A745" s="130"/>
      <c r="L745" s="131"/>
    </row>
    <row r="746" spans="1:12">
      <c r="A746" s="130"/>
      <c r="L746" s="131"/>
    </row>
    <row r="747" spans="1:12">
      <c r="A747" s="130"/>
      <c r="L747" s="131"/>
    </row>
    <row r="748" spans="1:12">
      <c r="A748" s="130"/>
      <c r="L748" s="131"/>
    </row>
    <row r="749" spans="1:12">
      <c r="A749" s="130"/>
      <c r="L749" s="131"/>
    </row>
    <row r="750" spans="1:12">
      <c r="A750" s="130"/>
      <c r="L750" s="131"/>
    </row>
    <row r="751" spans="1:12">
      <c r="A751" s="130"/>
      <c r="L751" s="131"/>
    </row>
    <row r="752" spans="1:12">
      <c r="A752" s="130"/>
      <c r="L752" s="131"/>
    </row>
    <row r="753" spans="1:12">
      <c r="A753" s="130"/>
      <c r="L753" s="131"/>
    </row>
    <row r="754" spans="1:12">
      <c r="A754" s="130"/>
      <c r="L754" s="131"/>
    </row>
    <row r="755" spans="1:12">
      <c r="A755" s="130"/>
      <c r="L755" s="131"/>
    </row>
    <row r="756" spans="1:12">
      <c r="A756" s="130"/>
      <c r="L756" s="131"/>
    </row>
    <row r="757" spans="1:12">
      <c r="A757" s="130"/>
      <c r="L757" s="131"/>
    </row>
    <row r="758" spans="1:12">
      <c r="A758" s="130"/>
      <c r="L758" s="131"/>
    </row>
    <row r="759" spans="1:12">
      <c r="A759" s="130"/>
      <c r="L759" s="131"/>
    </row>
    <row r="760" spans="1:12">
      <c r="A760" s="130"/>
      <c r="L760" s="131"/>
    </row>
    <row r="761" spans="1:12">
      <c r="A761" s="130"/>
      <c r="L761" s="131"/>
    </row>
    <row r="762" spans="1:12">
      <c r="A762" s="130"/>
      <c r="L762" s="131"/>
    </row>
    <row r="763" spans="1:12">
      <c r="A763" s="130"/>
      <c r="L763" s="131"/>
    </row>
    <row r="764" spans="1:12">
      <c r="A764" s="130"/>
      <c r="L764" s="131"/>
    </row>
    <row r="765" spans="1:12">
      <c r="A765" s="130"/>
      <c r="L765" s="131"/>
    </row>
    <row r="766" spans="1:12">
      <c r="A766" s="130"/>
      <c r="L766" s="131"/>
    </row>
    <row r="767" spans="1:12">
      <c r="A767" s="130"/>
      <c r="L767" s="131"/>
    </row>
    <row r="768" spans="1:12">
      <c r="A768" s="130"/>
      <c r="L768" s="131"/>
    </row>
    <row r="769" spans="1:12">
      <c r="A769" s="130"/>
      <c r="L769" s="131"/>
    </row>
    <row r="770" spans="1:12">
      <c r="A770" s="130"/>
      <c r="L770" s="131"/>
    </row>
    <row r="771" spans="1:12">
      <c r="A771" s="130"/>
      <c r="L771" s="131"/>
    </row>
    <row r="772" spans="1:12">
      <c r="A772" s="130"/>
      <c r="L772" s="131"/>
    </row>
    <row r="773" spans="1:12">
      <c r="A773" s="130"/>
      <c r="L773" s="131"/>
    </row>
    <row r="774" spans="1:12">
      <c r="A774" s="130"/>
      <c r="L774" s="131"/>
    </row>
    <row r="775" spans="1:12">
      <c r="A775" s="130"/>
      <c r="L775" s="131"/>
    </row>
    <row r="776" spans="1:12">
      <c r="A776" s="130"/>
      <c r="L776" s="131"/>
    </row>
    <row r="777" spans="1:12">
      <c r="A777" s="130"/>
      <c r="L777" s="131"/>
    </row>
    <row r="778" spans="1:12">
      <c r="A778" s="130"/>
      <c r="L778" s="131"/>
    </row>
    <row r="779" spans="1:12">
      <c r="A779" s="130"/>
      <c r="L779" s="131"/>
    </row>
    <row r="780" spans="1:12">
      <c r="A780" s="130"/>
      <c r="L780" s="131"/>
    </row>
    <row r="781" spans="1:12">
      <c r="A781" s="130"/>
      <c r="L781" s="131"/>
    </row>
    <row r="782" spans="1:12">
      <c r="A782" s="130"/>
      <c r="L782" s="131"/>
    </row>
    <row r="783" spans="1:12">
      <c r="A783" s="130"/>
      <c r="L783" s="131"/>
    </row>
    <row r="784" spans="1:12">
      <c r="A784" s="130"/>
      <c r="L784" s="131"/>
    </row>
    <row r="785" spans="1:12">
      <c r="A785" s="130"/>
      <c r="L785" s="131"/>
    </row>
    <row r="786" spans="1:12">
      <c r="A786" s="130"/>
      <c r="L786" s="131"/>
    </row>
    <row r="787" spans="1:12">
      <c r="A787" s="130"/>
      <c r="L787" s="131"/>
    </row>
    <row r="788" spans="1:12">
      <c r="A788" s="130"/>
      <c r="L788" s="131"/>
    </row>
    <row r="789" spans="1:12">
      <c r="A789" s="130"/>
      <c r="L789" s="131"/>
    </row>
    <row r="790" spans="1:12">
      <c r="A790" s="130"/>
      <c r="L790" s="131"/>
    </row>
    <row r="791" spans="1:12">
      <c r="A791" s="130"/>
      <c r="L791" s="131"/>
    </row>
    <row r="792" spans="1:12">
      <c r="A792" s="130"/>
      <c r="L792" s="131"/>
    </row>
    <row r="793" spans="1:12">
      <c r="A793" s="130"/>
      <c r="L793" s="131"/>
    </row>
    <row r="794" spans="1:12">
      <c r="A794" s="130"/>
      <c r="L794" s="131"/>
    </row>
    <row r="795" spans="1:12">
      <c r="A795" s="130"/>
      <c r="L795" s="131"/>
    </row>
    <row r="796" spans="1:12">
      <c r="A796" s="130"/>
      <c r="L796" s="131"/>
    </row>
    <row r="797" spans="1:12">
      <c r="A797" s="130"/>
      <c r="L797" s="131"/>
    </row>
    <row r="798" spans="1:12">
      <c r="A798" s="130"/>
      <c r="L798" s="131"/>
    </row>
    <row r="799" spans="1:12">
      <c r="A799" s="130"/>
      <c r="L799" s="131"/>
    </row>
    <row r="800" spans="1:12">
      <c r="A800" s="130"/>
      <c r="L800" s="131"/>
    </row>
    <row r="801" spans="1:12">
      <c r="A801" s="130"/>
      <c r="L801" s="131"/>
    </row>
    <row r="802" spans="1:12">
      <c r="A802" s="130"/>
      <c r="L802" s="131"/>
    </row>
    <row r="803" spans="1:12">
      <c r="A803" s="130"/>
      <c r="L803" s="131"/>
    </row>
    <row r="804" spans="1:12">
      <c r="A804" s="130"/>
      <c r="L804" s="131"/>
    </row>
    <row r="805" spans="1:12">
      <c r="A805" s="130"/>
      <c r="L805" s="131"/>
    </row>
    <row r="806" spans="1:12">
      <c r="A806" s="130"/>
      <c r="L806" s="131"/>
    </row>
    <row r="807" spans="1:12">
      <c r="A807" s="130"/>
      <c r="L807" s="131"/>
    </row>
    <row r="808" spans="1:12">
      <c r="A808" s="130"/>
      <c r="L808" s="131"/>
    </row>
    <row r="809" spans="1:12">
      <c r="A809" s="130"/>
      <c r="L809" s="131"/>
    </row>
    <row r="810" spans="1:12">
      <c r="A810" s="130"/>
      <c r="L810" s="131"/>
    </row>
    <row r="811" spans="1:12">
      <c r="A811" s="130"/>
      <c r="L811" s="131"/>
    </row>
    <row r="812" spans="1:12">
      <c r="A812" s="130"/>
      <c r="L812" s="131"/>
    </row>
    <row r="813" spans="1:12">
      <c r="A813" s="130"/>
      <c r="L813" s="131"/>
    </row>
    <row r="814" spans="1:12">
      <c r="A814" s="130"/>
      <c r="L814" s="131"/>
    </row>
    <row r="815" spans="1:12">
      <c r="A815" s="130"/>
      <c r="L815" s="131"/>
    </row>
    <row r="816" spans="1:12">
      <c r="A816" s="130"/>
      <c r="L816" s="131"/>
    </row>
    <row r="817" spans="1:12">
      <c r="A817" s="130"/>
      <c r="L817" s="131"/>
    </row>
    <row r="818" spans="1:12">
      <c r="A818" s="130"/>
      <c r="L818" s="131"/>
    </row>
    <row r="819" spans="1:12">
      <c r="A819" s="130"/>
      <c r="L819" s="131"/>
    </row>
    <row r="820" spans="1:12">
      <c r="A820" s="130"/>
      <c r="L820" s="131"/>
    </row>
    <row r="821" spans="1:12">
      <c r="A821" s="130"/>
      <c r="L821" s="131"/>
    </row>
    <row r="822" spans="1:12">
      <c r="A822" s="130"/>
      <c r="L822" s="131"/>
    </row>
    <row r="823" spans="1:12">
      <c r="A823" s="130"/>
      <c r="L823" s="131"/>
    </row>
    <row r="824" spans="1:12">
      <c r="A824" s="130"/>
      <c r="L824" s="131"/>
    </row>
    <row r="825" spans="1:12">
      <c r="A825" s="130"/>
      <c r="L825" s="131"/>
    </row>
    <row r="826" spans="1:12">
      <c r="A826" s="130"/>
      <c r="L826" s="131"/>
    </row>
    <row r="827" spans="1:12">
      <c r="A827" s="130"/>
      <c r="L827" s="131"/>
    </row>
    <row r="828" spans="1:12">
      <c r="A828" s="130"/>
      <c r="L828" s="131"/>
    </row>
    <row r="829" spans="1:12">
      <c r="A829" s="130"/>
      <c r="L829" s="131"/>
    </row>
    <row r="830" spans="1:12">
      <c r="A830" s="130"/>
      <c r="L830" s="131"/>
    </row>
    <row r="831" spans="1:12">
      <c r="A831" s="130"/>
      <c r="L831" s="131"/>
    </row>
    <row r="832" spans="1:12">
      <c r="A832" s="130"/>
      <c r="L832" s="131"/>
    </row>
    <row r="833" spans="1:12">
      <c r="A833" s="130"/>
      <c r="L833" s="131"/>
    </row>
    <row r="834" spans="1:12">
      <c r="A834" s="130"/>
      <c r="L834" s="131"/>
    </row>
    <row r="835" spans="1:12">
      <c r="A835" s="130"/>
      <c r="L835" s="131"/>
    </row>
    <row r="836" spans="1:12">
      <c r="A836" s="130"/>
      <c r="L836" s="131"/>
    </row>
    <row r="837" spans="1:12">
      <c r="A837" s="130"/>
      <c r="L837" s="131"/>
    </row>
    <row r="838" spans="1:12">
      <c r="A838" s="130"/>
      <c r="L838" s="131"/>
    </row>
    <row r="839" spans="1:12">
      <c r="A839" s="130"/>
      <c r="L839" s="131"/>
    </row>
    <row r="840" spans="1:12">
      <c r="A840" s="130"/>
      <c r="L840" s="131"/>
    </row>
    <row r="841" spans="1:12">
      <c r="A841" s="130"/>
      <c r="L841" s="131"/>
    </row>
    <row r="842" spans="1:12">
      <c r="A842" s="130"/>
      <c r="L842" s="131"/>
    </row>
    <row r="843" spans="1:12">
      <c r="A843" s="130"/>
      <c r="L843" s="131"/>
    </row>
    <row r="844" spans="1:12">
      <c r="A844" s="130"/>
      <c r="L844" s="131"/>
    </row>
    <row r="845" spans="1:12">
      <c r="A845" s="130"/>
      <c r="L845" s="131"/>
    </row>
    <row r="846" spans="1:12">
      <c r="A846" s="130"/>
      <c r="L846" s="131"/>
    </row>
    <row r="847" spans="1:12">
      <c r="A847" s="130"/>
      <c r="L847" s="131"/>
    </row>
    <row r="848" spans="1:12">
      <c r="A848" s="130"/>
      <c r="L848" s="131"/>
    </row>
    <row r="849" spans="1:12">
      <c r="A849" s="130"/>
      <c r="L849" s="131"/>
    </row>
    <row r="850" spans="1:12">
      <c r="A850" s="130"/>
      <c r="L850" s="131"/>
    </row>
    <row r="851" spans="1:12">
      <c r="A851" s="130"/>
      <c r="L851" s="131"/>
    </row>
    <row r="852" spans="1:12">
      <c r="A852" s="130"/>
      <c r="L852" s="131"/>
    </row>
    <row r="853" spans="1:12">
      <c r="A853" s="130"/>
      <c r="L853" s="131"/>
    </row>
    <row r="854" spans="1:12">
      <c r="A854" s="130"/>
      <c r="L854" s="131"/>
    </row>
    <row r="855" spans="1:12">
      <c r="A855" s="130"/>
      <c r="L855" s="131"/>
    </row>
    <row r="856" spans="1:12">
      <c r="A856" s="130"/>
      <c r="L856" s="131"/>
    </row>
    <row r="857" spans="1:12">
      <c r="A857" s="130"/>
      <c r="L857" s="131"/>
    </row>
    <row r="858" spans="1:12">
      <c r="A858" s="130"/>
      <c r="L858" s="131"/>
    </row>
    <row r="859" spans="1:12">
      <c r="A859" s="130"/>
      <c r="L859" s="131"/>
    </row>
    <row r="860" spans="1:12">
      <c r="A860" s="130"/>
      <c r="L860" s="131"/>
    </row>
    <row r="861" spans="1:12">
      <c r="A861" s="130"/>
      <c r="L861" s="131"/>
    </row>
    <row r="862" spans="1:12">
      <c r="A862" s="130"/>
      <c r="L862" s="131"/>
    </row>
    <row r="863" spans="1:12">
      <c r="A863" s="130"/>
      <c r="L863" s="131"/>
    </row>
    <row r="864" spans="1:12">
      <c r="A864" s="130"/>
      <c r="L864" s="131"/>
    </row>
    <row r="865" spans="1:12">
      <c r="A865" s="130"/>
      <c r="L865" s="131"/>
    </row>
    <row r="866" spans="1:12">
      <c r="A866" s="130"/>
      <c r="L866" s="131"/>
    </row>
    <row r="867" spans="1:12">
      <c r="A867" s="130"/>
      <c r="L867" s="131"/>
    </row>
    <row r="868" spans="1:12">
      <c r="A868" s="130"/>
      <c r="L868" s="131"/>
    </row>
    <row r="869" spans="1:12">
      <c r="A869" s="130"/>
      <c r="L869" s="131"/>
    </row>
    <row r="870" spans="1:12">
      <c r="A870" s="130"/>
      <c r="L870" s="131"/>
    </row>
    <row r="871" spans="1:12">
      <c r="A871" s="130"/>
      <c r="L871" s="131"/>
    </row>
    <row r="872" spans="1:12">
      <c r="A872" s="130"/>
      <c r="L872" s="131"/>
    </row>
    <row r="873" spans="1:12">
      <c r="A873" s="130"/>
      <c r="L873" s="131"/>
    </row>
    <row r="874" spans="1:12">
      <c r="A874" s="130"/>
      <c r="L874" s="131"/>
    </row>
    <row r="875" spans="1:12">
      <c r="A875" s="130"/>
      <c r="L875" s="131"/>
    </row>
    <row r="876" spans="1:12">
      <c r="A876" s="130"/>
      <c r="L876" s="131"/>
    </row>
    <row r="877" spans="1:12">
      <c r="A877" s="130"/>
      <c r="L877" s="131"/>
    </row>
    <row r="878" spans="1:12">
      <c r="A878" s="130"/>
      <c r="L878" s="131"/>
    </row>
    <row r="879" spans="1:12">
      <c r="A879" s="130"/>
      <c r="L879" s="131"/>
    </row>
    <row r="880" spans="1:12">
      <c r="A880" s="130"/>
      <c r="L880" s="131"/>
    </row>
    <row r="881" spans="1:12">
      <c r="A881" s="130"/>
      <c r="L881" s="131"/>
    </row>
    <row r="882" spans="1:12">
      <c r="A882" s="130"/>
      <c r="L882" s="131"/>
    </row>
    <row r="883" spans="1:12">
      <c r="A883" s="130"/>
      <c r="L883" s="131"/>
    </row>
    <row r="884" spans="1:12">
      <c r="A884" s="130"/>
      <c r="L884" s="131"/>
    </row>
    <row r="885" spans="1:12">
      <c r="A885" s="130"/>
      <c r="L885" s="131"/>
    </row>
    <row r="886" spans="1:12">
      <c r="A886" s="130"/>
      <c r="L886" s="131"/>
    </row>
    <row r="887" spans="1:12">
      <c r="A887" s="130"/>
      <c r="L887" s="131"/>
    </row>
    <row r="888" spans="1:12">
      <c r="A888" s="130"/>
      <c r="L888" s="131"/>
    </row>
    <row r="889" spans="1:12">
      <c r="A889" s="130"/>
      <c r="L889" s="131"/>
    </row>
    <row r="890" spans="1:12">
      <c r="A890" s="130"/>
      <c r="L890" s="131"/>
    </row>
    <row r="891" spans="1:12">
      <c r="A891" s="130"/>
      <c r="L891" s="131"/>
    </row>
    <row r="892" spans="1:12">
      <c r="A892" s="130"/>
      <c r="L892" s="131"/>
    </row>
    <row r="893" spans="1:12">
      <c r="A893" s="130"/>
      <c r="L893" s="131"/>
    </row>
    <row r="894" spans="1:12">
      <c r="A894" s="130"/>
      <c r="L894" s="131"/>
    </row>
    <row r="895" spans="1:12">
      <c r="A895" s="130"/>
      <c r="L895" s="131"/>
    </row>
    <row r="896" spans="1:12">
      <c r="A896" s="130"/>
      <c r="L896" s="131"/>
    </row>
    <row r="897" spans="1:12">
      <c r="A897" s="130"/>
      <c r="L897" s="131"/>
    </row>
    <row r="898" spans="1:12">
      <c r="A898" s="130"/>
      <c r="L898" s="131"/>
    </row>
    <row r="899" spans="1:12">
      <c r="A899" s="130"/>
      <c r="L899" s="131"/>
    </row>
    <row r="900" spans="1:12">
      <c r="A900" s="130"/>
      <c r="L900" s="131"/>
    </row>
    <row r="901" spans="1:12">
      <c r="A901" s="130"/>
      <c r="L901" s="131"/>
    </row>
    <row r="902" spans="1:12">
      <c r="A902" s="130"/>
      <c r="L902" s="131"/>
    </row>
    <row r="903" spans="1:12">
      <c r="A903" s="130"/>
      <c r="L903" s="131"/>
    </row>
    <row r="904" spans="1:12">
      <c r="A904" s="130"/>
      <c r="L904" s="131"/>
    </row>
    <row r="905" spans="1:12">
      <c r="A905" s="130"/>
      <c r="L905" s="131"/>
    </row>
    <row r="906" spans="1:12">
      <c r="A906" s="130"/>
      <c r="L906" s="131"/>
    </row>
    <row r="907" spans="1:12">
      <c r="A907" s="130"/>
      <c r="L907" s="131"/>
    </row>
    <row r="908" spans="1:12">
      <c r="A908" s="130"/>
      <c r="L908" s="131"/>
    </row>
    <row r="909" spans="1:12">
      <c r="A909" s="130"/>
      <c r="L909" s="131"/>
    </row>
    <row r="910" spans="1:12">
      <c r="A910" s="130"/>
      <c r="L910" s="131"/>
    </row>
    <row r="911" spans="1:12">
      <c r="A911" s="130"/>
      <c r="L911" s="131"/>
    </row>
    <row r="912" spans="1:12">
      <c r="A912" s="130"/>
      <c r="L912" s="131"/>
    </row>
    <row r="913" spans="1:12">
      <c r="A913" s="130"/>
      <c r="L913" s="131"/>
    </row>
    <row r="914" spans="1:12">
      <c r="A914" s="130"/>
      <c r="L914" s="131"/>
    </row>
    <row r="915" spans="1:12">
      <c r="A915" s="130"/>
      <c r="L915" s="131"/>
    </row>
    <row r="916" spans="1:12">
      <c r="A916" s="130"/>
      <c r="L916" s="131"/>
    </row>
    <row r="917" spans="1:12">
      <c r="A917" s="130"/>
      <c r="L917" s="131"/>
    </row>
    <row r="918" spans="1:12">
      <c r="A918" s="130"/>
      <c r="L918" s="131"/>
    </row>
    <row r="919" spans="1:12">
      <c r="A919" s="130"/>
      <c r="L919" s="131"/>
    </row>
    <row r="920" spans="1:12">
      <c r="A920" s="130"/>
      <c r="L920" s="131"/>
    </row>
    <row r="921" spans="1:12">
      <c r="A921" s="130"/>
      <c r="L921" s="131"/>
    </row>
    <row r="922" spans="1:12">
      <c r="A922" s="130"/>
      <c r="L922" s="131"/>
    </row>
    <row r="923" spans="1:12">
      <c r="A923" s="130"/>
      <c r="L923" s="131"/>
    </row>
    <row r="924" spans="1:12">
      <c r="A924" s="130"/>
      <c r="L924" s="131"/>
    </row>
    <row r="925" spans="1:12">
      <c r="A925" s="130"/>
      <c r="L925" s="131"/>
    </row>
    <row r="926" spans="1:12">
      <c r="A926" s="130"/>
      <c r="L926" s="131"/>
    </row>
    <row r="927" spans="1:12">
      <c r="A927" s="130"/>
      <c r="L927" s="131"/>
    </row>
    <row r="928" spans="1:12">
      <c r="A928" s="130"/>
      <c r="L928" s="131"/>
    </row>
    <row r="929" spans="1:12">
      <c r="A929" s="130"/>
      <c r="L929" s="131"/>
    </row>
    <row r="930" spans="1:12">
      <c r="A930" s="130"/>
      <c r="L930" s="131"/>
    </row>
    <row r="931" spans="1:12">
      <c r="A931" s="130"/>
      <c r="L931" s="131"/>
    </row>
    <row r="932" spans="1:12">
      <c r="A932" s="130"/>
      <c r="L932" s="131"/>
    </row>
    <row r="933" spans="1:12">
      <c r="A933" s="130"/>
      <c r="L933" s="131"/>
    </row>
    <row r="934" spans="1:12">
      <c r="A934" s="130"/>
      <c r="L934" s="131"/>
    </row>
    <row r="935" spans="1:12">
      <c r="A935" s="130"/>
      <c r="L935" s="131"/>
    </row>
    <row r="936" spans="1:12">
      <c r="A936" s="130"/>
      <c r="L936" s="131"/>
    </row>
    <row r="937" spans="1:12">
      <c r="A937" s="130"/>
      <c r="L937" s="131"/>
    </row>
    <row r="938" spans="1:12">
      <c r="A938" s="130"/>
      <c r="L938" s="131"/>
    </row>
    <row r="939" spans="1:12">
      <c r="A939" s="130"/>
      <c r="L939" s="131"/>
    </row>
    <row r="940" spans="1:12">
      <c r="A940" s="130"/>
      <c r="L940" s="131"/>
    </row>
    <row r="941" spans="1:12">
      <c r="A941" s="130"/>
      <c r="L941" s="131"/>
    </row>
    <row r="942" spans="1:12">
      <c r="A942" s="130"/>
      <c r="L942" s="131"/>
    </row>
    <row r="943" spans="1:12">
      <c r="A943" s="130"/>
      <c r="L943" s="131"/>
    </row>
    <row r="944" spans="1:12">
      <c r="A944" s="130"/>
      <c r="L944" s="131"/>
    </row>
    <row r="945" spans="1:12">
      <c r="A945" s="130"/>
      <c r="L945" s="131"/>
    </row>
    <row r="946" spans="1:12">
      <c r="A946" s="130"/>
      <c r="L946" s="131"/>
    </row>
    <row r="947" spans="1:12">
      <c r="A947" s="130"/>
      <c r="L947" s="131"/>
    </row>
    <row r="948" spans="1:12">
      <c r="A948" s="130"/>
      <c r="L948" s="131"/>
    </row>
    <row r="949" spans="1:12">
      <c r="A949" s="130"/>
      <c r="L949" s="131"/>
    </row>
    <row r="950" spans="1:12">
      <c r="A950" s="130"/>
      <c r="L950" s="131"/>
    </row>
    <row r="951" spans="1:12">
      <c r="A951" s="130"/>
      <c r="L951" s="131"/>
    </row>
    <row r="952" spans="1:12">
      <c r="A952" s="130"/>
      <c r="L952" s="131"/>
    </row>
    <row r="953" spans="1:12">
      <c r="A953" s="130"/>
      <c r="L953" s="131"/>
    </row>
    <row r="954" spans="1:12">
      <c r="A954" s="130"/>
      <c r="L954" s="131"/>
    </row>
    <row r="955" spans="1:12">
      <c r="A955" s="130"/>
      <c r="L955" s="131"/>
    </row>
    <row r="956" spans="1:12">
      <c r="A956" s="130"/>
      <c r="L956" s="131"/>
    </row>
    <row r="957" spans="1:12">
      <c r="A957" s="130"/>
      <c r="L957" s="131"/>
    </row>
    <row r="958" spans="1:12">
      <c r="A958" s="130"/>
      <c r="L958" s="131"/>
    </row>
    <row r="959" spans="1:12">
      <c r="A959" s="130"/>
      <c r="L959" s="131"/>
    </row>
    <row r="960" spans="1:12">
      <c r="A960" s="130"/>
      <c r="L960" s="131"/>
    </row>
    <row r="961" spans="1:12">
      <c r="A961" s="130"/>
      <c r="L961" s="131"/>
    </row>
    <row r="962" spans="1:12">
      <c r="A962" s="130"/>
      <c r="L962" s="131"/>
    </row>
    <row r="963" spans="1:12">
      <c r="A963" s="130"/>
      <c r="L963" s="131"/>
    </row>
    <row r="964" spans="1:12">
      <c r="A964" s="130"/>
      <c r="L964" s="131"/>
    </row>
    <row r="965" spans="1:12">
      <c r="A965" s="130"/>
      <c r="L965" s="131"/>
    </row>
    <row r="966" spans="1:12">
      <c r="A966" s="130"/>
      <c r="L966" s="131"/>
    </row>
    <row r="967" spans="1:12">
      <c r="A967" s="130"/>
      <c r="L967" s="131"/>
    </row>
    <row r="968" spans="1:12">
      <c r="A968" s="130"/>
      <c r="L968" s="131"/>
    </row>
    <row r="969" spans="1:12">
      <c r="A969" s="130"/>
      <c r="L969" s="131"/>
    </row>
    <row r="970" spans="1:12">
      <c r="A970" s="130"/>
      <c r="L970" s="131"/>
    </row>
    <row r="971" spans="1:12">
      <c r="A971" s="130"/>
      <c r="L971" s="131"/>
    </row>
    <row r="972" spans="1:12">
      <c r="A972" s="130"/>
      <c r="L972" s="131"/>
    </row>
    <row r="973" spans="1:12">
      <c r="A973" s="130"/>
      <c r="L973" s="131"/>
    </row>
    <row r="974" spans="1:12">
      <c r="A974" s="130"/>
      <c r="L974" s="131"/>
    </row>
    <row r="975" spans="1:12">
      <c r="A975" s="130"/>
      <c r="L975" s="131"/>
    </row>
    <row r="976" spans="1:12">
      <c r="A976" s="130"/>
      <c r="L976" s="131"/>
    </row>
    <row r="977" spans="1:12">
      <c r="A977" s="130"/>
      <c r="L977" s="131"/>
    </row>
    <row r="978" spans="1:12">
      <c r="A978" s="130"/>
      <c r="L978" s="131"/>
    </row>
    <row r="979" spans="1:12">
      <c r="A979" s="130"/>
      <c r="L979" s="131"/>
    </row>
    <row r="980" spans="1:12">
      <c r="A980" s="130"/>
      <c r="L980" s="131"/>
    </row>
    <row r="981" spans="1:12">
      <c r="A981" s="130"/>
      <c r="L981" s="131"/>
    </row>
    <row r="982" spans="1:12">
      <c r="A982" s="130"/>
      <c r="L982" s="131"/>
    </row>
    <row r="983" spans="1:12">
      <c r="A983" s="130"/>
      <c r="L983" s="131"/>
    </row>
    <row r="984" spans="1:12">
      <c r="A984" s="130"/>
      <c r="L984" s="131"/>
    </row>
    <row r="985" spans="1:12">
      <c r="A985" s="130"/>
      <c r="L985" s="131"/>
    </row>
    <row r="986" spans="1:12">
      <c r="A986" s="130"/>
      <c r="L986" s="131"/>
    </row>
    <row r="987" spans="1:12">
      <c r="A987" s="130"/>
      <c r="L987" s="131"/>
    </row>
    <row r="988" spans="1:12">
      <c r="A988" s="130"/>
      <c r="L988" s="131"/>
    </row>
    <row r="989" spans="1:12">
      <c r="A989" s="130"/>
      <c r="L989" s="131"/>
    </row>
    <row r="990" spans="1:12">
      <c r="A990" s="130"/>
      <c r="L990" s="131"/>
    </row>
    <row r="991" spans="1:12">
      <c r="A991" s="130"/>
      <c r="L991" s="131"/>
    </row>
    <row r="992" spans="1:12">
      <c r="A992" s="130"/>
      <c r="L992" s="131"/>
    </row>
  </sheetData>
  <mergeCells count="7">
    <mergeCell ref="B32:J32"/>
    <mergeCell ref="M34:M36"/>
    <mergeCell ref="B1:J1"/>
    <mergeCell ref="B24:J24"/>
    <mergeCell ref="M26:M28"/>
    <mergeCell ref="M3:M7"/>
    <mergeCell ref="M8:M14"/>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outlinePr summaryBelow="0" summaryRight="0"/>
    <pageSetUpPr fitToPage="1"/>
  </sheetPr>
  <dimension ref="A1:AN933"/>
  <sheetViews>
    <sheetView showGridLines="0" zoomScaleNormal="100" workbookViewId="0">
      <selection activeCell="B1" sqref="B1:AB1"/>
    </sheetView>
  </sheetViews>
  <sheetFormatPr defaultColWidth="14.3828125" defaultRowHeight="15" customHeight="1"/>
  <cols>
    <col min="1" max="1" width="10.84375" style="33" bestFit="1" customWidth="1"/>
    <col min="2" max="2" width="56.3828125" style="33" customWidth="1"/>
    <col min="3" max="3" width="16.765625" style="33" hidden="1" customWidth="1"/>
    <col min="4" max="4" width="6.61328125" style="33" hidden="1" customWidth="1"/>
    <col min="5" max="5" width="2.61328125" style="33" hidden="1" customWidth="1"/>
    <col min="6" max="6" width="3.3828125" style="33" hidden="1" customWidth="1"/>
    <col min="7" max="7" width="2.61328125" style="33" hidden="1" customWidth="1"/>
    <col min="8" max="8" width="11.4609375" style="33" customWidth="1"/>
    <col min="9" max="9" width="13.4609375" style="33" hidden="1" customWidth="1"/>
    <col min="10" max="10" width="2.61328125" style="33" hidden="1" customWidth="1"/>
    <col min="11" max="11" width="4.765625" style="33" hidden="1" customWidth="1"/>
    <col min="12" max="12" width="2.61328125" style="33" hidden="1" customWidth="1"/>
    <col min="13" max="13" width="8.765625" style="33" customWidth="1"/>
    <col min="14" max="14" width="8.84375" style="33" customWidth="1"/>
    <col min="15" max="15" width="10.4609375" style="33" bestFit="1" customWidth="1"/>
    <col min="16" max="16" width="11.4609375" style="33" bestFit="1" customWidth="1"/>
    <col min="17" max="17" width="10.23046875" style="33" customWidth="1"/>
    <col min="18" max="18" width="8.53515625" style="33" hidden="1" customWidth="1"/>
    <col min="19" max="19" width="9" style="33" bestFit="1" customWidth="1"/>
    <col min="20" max="20" width="7" style="33" customWidth="1"/>
    <col min="21" max="21" width="8" style="33" customWidth="1"/>
    <col min="22" max="22" width="8.15234375" style="33" customWidth="1"/>
    <col min="23" max="23" width="7.765625" style="33" customWidth="1"/>
    <col min="24" max="24" width="7.3828125" style="33" customWidth="1"/>
    <col min="25" max="25" width="7.765625" style="33" customWidth="1"/>
    <col min="26" max="26" width="7.4609375" style="33" customWidth="1"/>
    <col min="27" max="28" width="7.765625" style="33" customWidth="1"/>
    <col min="29" max="29" width="10.3828125" style="33" bestFit="1" customWidth="1"/>
    <col min="30" max="30" width="7.53515625" style="33" hidden="1" customWidth="1"/>
    <col min="31" max="31" width="7.15234375" style="57" customWidth="1"/>
    <col min="32" max="32" width="9.61328125" style="33" customWidth="1"/>
    <col min="33" max="33" width="27.84375" style="33" customWidth="1"/>
    <col min="34" max="34" width="14.3828125" style="33"/>
    <col min="35" max="35" width="15.15234375" style="33" customWidth="1"/>
    <col min="36" max="36" width="18.4609375" style="33" customWidth="1"/>
    <col min="37" max="16384" width="14.3828125" style="33"/>
  </cols>
  <sheetData>
    <row r="1" spans="1:40" ht="23.25" customHeight="1">
      <c r="A1" s="30"/>
      <c r="B1" s="794" t="s">
        <v>1715</v>
      </c>
      <c r="C1" s="794"/>
      <c r="D1" s="794"/>
      <c r="E1" s="794"/>
      <c r="F1" s="794"/>
      <c r="G1" s="794"/>
      <c r="H1" s="794"/>
      <c r="I1" s="794"/>
      <c r="J1" s="794"/>
      <c r="K1" s="794"/>
      <c r="L1" s="794"/>
      <c r="M1" s="795"/>
      <c r="N1" s="795"/>
      <c r="O1" s="795"/>
      <c r="P1" s="795"/>
      <c r="Q1" s="795"/>
      <c r="R1" s="795"/>
      <c r="S1" s="795"/>
      <c r="T1" s="795"/>
      <c r="U1" s="795"/>
      <c r="V1" s="795"/>
      <c r="W1" s="795"/>
      <c r="X1" s="795"/>
      <c r="Y1" s="795"/>
      <c r="Z1" s="795"/>
      <c r="AA1" s="795"/>
      <c r="AB1" s="795"/>
      <c r="AC1" s="31"/>
      <c r="AD1" s="31"/>
      <c r="AE1" s="32"/>
      <c r="AF1"/>
      <c r="AG1"/>
      <c r="AH1"/>
      <c r="AI1"/>
      <c r="AJ1"/>
      <c r="AK1"/>
      <c r="AL1"/>
      <c r="AM1"/>
      <c r="AN1"/>
    </row>
    <row r="2" spans="1:40" ht="12" customHeight="1">
      <c r="A2" s="34"/>
      <c r="B2" s="35"/>
      <c r="C2" s="35"/>
      <c r="D2" s="35"/>
      <c r="E2" s="35"/>
      <c r="F2" s="35"/>
      <c r="G2" s="35"/>
      <c r="M2" s="803" t="s">
        <v>3180</v>
      </c>
      <c r="N2" s="803"/>
      <c r="O2" s="803"/>
      <c r="P2" s="803"/>
      <c r="Q2" s="803"/>
      <c r="R2" s="803"/>
      <c r="S2" s="803"/>
      <c r="T2" s="803"/>
      <c r="W2" s="35"/>
      <c r="X2" s="35"/>
      <c r="Y2" s="35"/>
      <c r="Z2" s="35"/>
      <c r="AA2" s="35"/>
      <c r="AB2" s="35"/>
      <c r="AC2" s="36"/>
      <c r="AD2" s="36"/>
      <c r="AE2" s="37"/>
      <c r="AF2"/>
      <c r="AG2"/>
      <c r="AH2"/>
      <c r="AI2"/>
      <c r="AJ2"/>
      <c r="AK2"/>
      <c r="AL2"/>
      <c r="AM2"/>
      <c r="AN2"/>
    </row>
    <row r="3" spans="1:40" ht="12" customHeight="1">
      <c r="A3" s="34"/>
      <c r="B3" s="36"/>
      <c r="C3" s="36"/>
      <c r="D3" s="36"/>
      <c r="E3" s="36"/>
      <c r="F3" s="36"/>
      <c r="G3" s="36"/>
      <c r="H3" s="36"/>
      <c r="I3" s="36"/>
      <c r="J3" s="36"/>
      <c r="K3" s="36"/>
      <c r="L3" s="36"/>
      <c r="M3" s="36"/>
      <c r="N3" s="35"/>
      <c r="O3" s="35"/>
      <c r="P3" s="35"/>
      <c r="Q3" s="35"/>
      <c r="R3" s="35"/>
      <c r="S3" s="35"/>
      <c r="T3" s="35"/>
      <c r="W3" s="35"/>
      <c r="X3" s="35"/>
      <c r="Y3" s="35"/>
      <c r="Z3" s="35"/>
      <c r="AA3" s="35"/>
      <c r="AB3" s="35"/>
      <c r="AC3" s="36"/>
      <c r="AD3" s="36"/>
      <c r="AE3" s="37"/>
      <c r="AF3"/>
      <c r="AG3"/>
      <c r="AH3"/>
      <c r="AI3"/>
      <c r="AJ3"/>
      <c r="AK3"/>
      <c r="AL3"/>
      <c r="AM3"/>
      <c r="AN3"/>
    </row>
    <row r="4" spans="1:40" ht="12" customHeight="1">
      <c r="A4" s="38" t="s">
        <v>0</v>
      </c>
      <c r="B4" s="30" t="s">
        <v>3181</v>
      </c>
      <c r="C4" s="30"/>
      <c r="D4" s="30"/>
      <c r="E4" s="30"/>
      <c r="F4" s="30"/>
      <c r="G4" s="30"/>
      <c r="H4" s="30"/>
      <c r="I4" s="30"/>
      <c r="J4" s="30"/>
      <c r="K4" s="30"/>
      <c r="L4" s="30"/>
      <c r="M4" s="30"/>
      <c r="N4" s="34"/>
      <c r="O4" s="34"/>
      <c r="P4" s="38" t="s">
        <v>1</v>
      </c>
      <c r="Q4" s="39" t="s">
        <v>2</v>
      </c>
      <c r="R4" s="39"/>
      <c r="S4" s="39"/>
      <c r="T4" s="34"/>
      <c r="U4" s="30"/>
      <c r="V4" s="30"/>
      <c r="W4" s="30"/>
      <c r="X4" s="30"/>
      <c r="Y4" s="30"/>
      <c r="Z4" s="30"/>
      <c r="AA4" s="30"/>
      <c r="AB4" s="30"/>
      <c r="AC4" s="30"/>
      <c r="AD4" s="30"/>
      <c r="AE4" s="40"/>
      <c r="AF4"/>
      <c r="AG4"/>
      <c r="AH4"/>
      <c r="AI4"/>
      <c r="AJ4"/>
      <c r="AK4"/>
      <c r="AL4"/>
      <c r="AM4"/>
      <c r="AN4"/>
    </row>
    <row r="5" spans="1:40" ht="12.75" customHeight="1">
      <c r="A5" s="34"/>
      <c r="B5" s="30"/>
      <c r="C5" s="30"/>
      <c r="D5" s="30"/>
      <c r="E5" s="30"/>
      <c r="F5" s="30"/>
      <c r="G5" s="30"/>
      <c r="H5" s="30"/>
      <c r="I5" s="30"/>
      <c r="J5" s="30"/>
      <c r="K5" s="30"/>
      <c r="L5" s="30"/>
      <c r="M5" s="30"/>
      <c r="N5" s="34"/>
      <c r="O5" s="34"/>
      <c r="P5" s="34"/>
      <c r="Q5" s="39" t="s">
        <v>3</v>
      </c>
      <c r="R5" s="39"/>
      <c r="S5" s="39"/>
      <c r="T5" s="34"/>
      <c r="U5" s="30"/>
      <c r="V5" s="30"/>
      <c r="W5" s="30"/>
      <c r="X5" s="41"/>
      <c r="Y5" s="34"/>
      <c r="Z5" s="34"/>
      <c r="AA5" s="30"/>
      <c r="AB5" s="30"/>
      <c r="AC5" s="30"/>
      <c r="AD5" s="30"/>
      <c r="AE5" s="40"/>
      <c r="AF5"/>
      <c r="AG5"/>
      <c r="AH5"/>
      <c r="AI5"/>
      <c r="AJ5"/>
      <c r="AK5"/>
      <c r="AL5"/>
      <c r="AM5"/>
      <c r="AN5"/>
    </row>
    <row r="6" spans="1:40" ht="12.75" customHeight="1">
      <c r="A6" s="34"/>
      <c r="B6" s="30"/>
      <c r="C6" s="30"/>
      <c r="D6" s="30"/>
      <c r="E6" s="30"/>
      <c r="F6" s="30"/>
      <c r="G6" s="30"/>
      <c r="H6" s="30"/>
      <c r="I6" s="30"/>
      <c r="J6" s="30"/>
      <c r="K6" s="30"/>
      <c r="L6" s="30"/>
      <c r="M6" s="30"/>
      <c r="N6" s="34"/>
      <c r="O6" s="34"/>
      <c r="P6" s="34"/>
      <c r="Q6" s="39" t="s">
        <v>4</v>
      </c>
      <c r="R6" s="39"/>
      <c r="S6" s="39"/>
      <c r="T6" s="34"/>
      <c r="U6" s="30"/>
      <c r="V6" s="38" t="s">
        <v>5</v>
      </c>
      <c r="W6" s="42" t="s">
        <v>926</v>
      </c>
      <c r="X6" s="43"/>
      <c r="Y6" s="30"/>
      <c r="Z6" s="30"/>
      <c r="AA6" s="30"/>
      <c r="AB6" s="30"/>
      <c r="AC6" s="30"/>
      <c r="AD6" s="30"/>
      <c r="AE6" s="40"/>
      <c r="AF6"/>
      <c r="AG6"/>
      <c r="AH6"/>
      <c r="AI6"/>
      <c r="AJ6"/>
      <c r="AK6"/>
      <c r="AL6"/>
      <c r="AM6"/>
      <c r="AN6"/>
    </row>
    <row r="7" spans="1:40" ht="12.75" customHeight="1">
      <c r="A7" s="34"/>
      <c r="B7" s="30"/>
      <c r="C7" s="30"/>
      <c r="D7" s="30"/>
      <c r="E7" s="30"/>
      <c r="F7" s="30"/>
      <c r="G7" s="30"/>
      <c r="H7" s="30"/>
      <c r="I7" s="30"/>
      <c r="J7" s="30"/>
      <c r="K7" s="30"/>
      <c r="L7" s="30"/>
      <c r="M7" s="30"/>
      <c r="N7" s="34"/>
      <c r="O7" s="34"/>
      <c r="P7" s="34"/>
      <c r="Q7" s="233" t="s">
        <v>2050</v>
      </c>
      <c r="R7" s="39"/>
      <c r="S7" s="39"/>
      <c r="T7" s="34"/>
      <c r="U7" s="30"/>
      <c r="V7" s="801" t="s">
        <v>6</v>
      </c>
      <c r="W7" s="799" t="s">
        <v>925</v>
      </c>
      <c r="X7" s="44"/>
      <c r="Y7" s="44"/>
      <c r="Z7" s="44"/>
      <c r="AA7" s="44"/>
      <c r="AB7" s="44"/>
      <c r="AC7" s="44"/>
      <c r="AD7" s="44"/>
      <c r="AE7" s="40"/>
      <c r="AF7"/>
      <c r="AG7"/>
      <c r="AH7"/>
      <c r="AI7"/>
      <c r="AJ7"/>
      <c r="AK7"/>
      <c r="AL7"/>
      <c r="AM7"/>
      <c r="AN7"/>
    </row>
    <row r="8" spans="1:40" ht="12.75" customHeight="1">
      <c r="A8" s="34"/>
      <c r="B8" s="34"/>
      <c r="C8" s="34"/>
      <c r="D8" s="34"/>
      <c r="E8" s="34"/>
      <c r="F8" s="34"/>
      <c r="G8" s="34"/>
      <c r="H8" s="34"/>
      <c r="I8" s="34"/>
      <c r="J8" s="34"/>
      <c r="K8" s="34"/>
      <c r="L8" s="34"/>
      <c r="M8" s="34"/>
      <c r="N8" s="34"/>
      <c r="O8" s="34"/>
      <c r="P8" s="34"/>
      <c r="Q8" s="39"/>
      <c r="R8" s="39"/>
      <c r="S8" s="39"/>
      <c r="T8" s="34"/>
      <c r="U8" s="30"/>
      <c r="V8" s="802"/>
      <c r="W8" s="800"/>
      <c r="X8" s="44"/>
      <c r="Y8" s="44"/>
      <c r="Z8" s="44"/>
      <c r="AA8" s="44"/>
      <c r="AB8" s="44"/>
      <c r="AC8" s="44"/>
      <c r="AD8" s="44"/>
      <c r="AE8" s="40"/>
      <c r="AF8"/>
      <c r="AG8"/>
      <c r="AH8"/>
      <c r="AI8"/>
      <c r="AJ8"/>
      <c r="AK8"/>
      <c r="AL8"/>
      <c r="AM8"/>
      <c r="AN8"/>
    </row>
    <row r="9" spans="1:40" ht="12.75" customHeight="1">
      <c r="A9" s="38" t="s">
        <v>7</v>
      </c>
      <c r="B9" s="34"/>
      <c r="C9" s="34"/>
      <c r="D9" s="34"/>
      <c r="E9" s="34"/>
      <c r="F9" s="34"/>
      <c r="G9" s="34"/>
      <c r="H9" s="34"/>
      <c r="I9" s="34"/>
      <c r="J9" s="34"/>
      <c r="K9" s="34"/>
      <c r="L9" s="34"/>
      <c r="M9" s="34"/>
      <c r="N9" s="34"/>
      <c r="O9" s="34"/>
      <c r="P9" s="38" t="s">
        <v>8</v>
      </c>
      <c r="Q9" s="39" t="s">
        <v>1579</v>
      </c>
      <c r="R9" s="39"/>
      <c r="S9" s="39"/>
      <c r="T9" s="796" t="s">
        <v>9</v>
      </c>
      <c r="U9" s="797"/>
      <c r="V9" s="798"/>
      <c r="W9" s="795"/>
      <c r="X9" s="44"/>
      <c r="Y9" s="44"/>
      <c r="Z9" s="44"/>
      <c r="AA9" s="30"/>
      <c r="AB9" s="30"/>
      <c r="AC9" s="30"/>
      <c r="AD9" s="30"/>
      <c r="AE9" s="40"/>
      <c r="AF9"/>
      <c r="AG9"/>
      <c r="AH9"/>
      <c r="AI9"/>
      <c r="AJ9"/>
      <c r="AK9"/>
      <c r="AL9"/>
      <c r="AM9"/>
      <c r="AN9"/>
    </row>
    <row r="10" spans="1:40" ht="12.75" customHeight="1">
      <c r="A10" s="45" t="s">
        <v>10</v>
      </c>
      <c r="B10" s="34"/>
      <c r="C10" s="34"/>
      <c r="D10" s="34"/>
      <c r="E10" s="34"/>
      <c r="F10" s="34"/>
      <c r="G10" s="34"/>
      <c r="H10" s="34"/>
      <c r="I10" s="34"/>
      <c r="J10" s="34"/>
      <c r="K10" s="34"/>
      <c r="L10" s="34"/>
      <c r="O10" s="30"/>
      <c r="P10" s="34"/>
      <c r="Q10" s="39"/>
      <c r="R10" s="39"/>
      <c r="S10" s="39"/>
      <c r="T10" s="34"/>
      <c r="U10" s="30"/>
      <c r="V10" s="30"/>
      <c r="W10" s="30"/>
      <c r="X10" s="44"/>
      <c r="Y10" s="44"/>
      <c r="Z10" s="44"/>
      <c r="AA10" s="44"/>
      <c r="AB10" s="44"/>
      <c r="AC10" s="30"/>
      <c r="AD10" s="30"/>
      <c r="AE10" s="40"/>
      <c r="AF10"/>
      <c r="AG10"/>
      <c r="AH10"/>
      <c r="AI10"/>
      <c r="AJ10"/>
      <c r="AK10"/>
      <c r="AL10"/>
      <c r="AM10"/>
      <c r="AN10"/>
    </row>
    <row r="11" spans="1:40" ht="12.75" customHeight="1">
      <c r="A11" s="45" t="s">
        <v>11</v>
      </c>
      <c r="B11" s="34"/>
      <c r="C11" s="34"/>
      <c r="D11" s="34"/>
      <c r="E11" s="34"/>
      <c r="F11" s="34"/>
      <c r="G11" s="34"/>
      <c r="H11" s="34"/>
      <c r="I11" s="34"/>
      <c r="J11" s="34"/>
      <c r="K11" s="34"/>
      <c r="L11" s="34"/>
      <c r="O11" s="30"/>
      <c r="P11" s="38" t="s">
        <v>12</v>
      </c>
      <c r="Q11" s="583" t="s">
        <v>13</v>
      </c>
      <c r="R11" s="583"/>
      <c r="T11"/>
      <c r="U11"/>
      <c r="V11"/>
      <c r="W11" s="30"/>
      <c r="X11" s="34"/>
      <c r="Y11" s="34"/>
      <c r="Z11" s="34"/>
      <c r="AA11" s="30"/>
      <c r="AB11" s="30"/>
      <c r="AC11" s="30"/>
      <c r="AD11" s="30"/>
      <c r="AE11" s="40"/>
      <c r="AF11"/>
      <c r="AG11"/>
      <c r="AH11"/>
      <c r="AI11"/>
      <c r="AJ11"/>
      <c r="AK11"/>
      <c r="AL11"/>
      <c r="AM11"/>
      <c r="AN11"/>
    </row>
    <row r="12" spans="1:40" ht="12.75" customHeight="1">
      <c r="A12" s="45" t="s">
        <v>14</v>
      </c>
      <c r="B12" s="34"/>
      <c r="C12" s="34"/>
      <c r="D12" s="34"/>
      <c r="E12" s="34"/>
      <c r="F12" s="34"/>
      <c r="G12" s="34"/>
      <c r="H12" s="34"/>
      <c r="I12" s="34"/>
      <c r="J12" s="34"/>
      <c r="K12" s="34"/>
      <c r="L12" s="34"/>
      <c r="O12" s="30"/>
      <c r="P12" s="34"/>
      <c r="Q12" s="34"/>
      <c r="R12" s="34"/>
      <c r="S12" s="34"/>
      <c r="T12" s="34"/>
      <c r="U12" s="30"/>
      <c r="V12" s="30"/>
      <c r="W12" s="30"/>
      <c r="X12" s="46"/>
      <c r="Y12" s="34"/>
      <c r="Z12" s="34"/>
      <c r="AA12" s="30"/>
      <c r="AB12" s="30"/>
      <c r="AC12" s="30"/>
      <c r="AD12" s="30"/>
      <c r="AE12" s="40"/>
      <c r="AF12"/>
      <c r="AG12"/>
      <c r="AH12"/>
      <c r="AI12"/>
      <c r="AJ12"/>
      <c r="AK12"/>
      <c r="AL12"/>
      <c r="AM12"/>
      <c r="AN12"/>
    </row>
    <row r="13" spans="1:40" ht="12.75" customHeight="1">
      <c r="A13" s="45" t="s">
        <v>15</v>
      </c>
      <c r="B13" s="34"/>
      <c r="C13" s="34"/>
      <c r="D13" s="34"/>
      <c r="E13" s="34"/>
      <c r="F13" s="34"/>
      <c r="G13" s="34"/>
      <c r="H13" s="34"/>
      <c r="I13" s="34"/>
      <c r="J13" s="34"/>
      <c r="K13" s="34"/>
      <c r="L13" s="34"/>
      <c r="O13" s="30"/>
      <c r="P13" s="38" t="s">
        <v>16</v>
      </c>
      <c r="Q13" s="808" t="s">
        <v>17</v>
      </c>
      <c r="R13" s="809"/>
      <c r="S13" s="810"/>
      <c r="T13" s="810"/>
      <c r="U13" s="810"/>
      <c r="V13" s="810"/>
      <c r="W13" s="811"/>
      <c r="X13" s="85" t="s">
        <v>928</v>
      </c>
      <c r="Y13" s="170"/>
      <c r="Z13" s="85"/>
      <c r="AA13" s="171"/>
      <c r="AB13" s="85"/>
      <c r="AC13" s="85"/>
      <c r="AD13" s="30"/>
      <c r="AE13" s="40"/>
      <c r="AF13"/>
      <c r="AG13"/>
      <c r="AH13"/>
      <c r="AI13"/>
      <c r="AJ13"/>
      <c r="AK13"/>
      <c r="AL13"/>
      <c r="AM13"/>
      <c r="AN13"/>
    </row>
    <row r="14" spans="1:40" ht="12.75" customHeight="1">
      <c r="A14" s="45" t="s">
        <v>15</v>
      </c>
      <c r="B14" s="34"/>
      <c r="C14" s="34"/>
      <c r="D14" s="34"/>
      <c r="E14" s="34"/>
      <c r="F14" s="34"/>
      <c r="G14" s="34"/>
      <c r="H14" s="34"/>
      <c r="I14" s="34"/>
      <c r="J14" s="34"/>
      <c r="K14" s="34"/>
      <c r="L14" s="34"/>
      <c r="O14" s="30"/>
      <c r="P14" s="34"/>
      <c r="Q14" s="812"/>
      <c r="R14" s="813"/>
      <c r="S14" s="795"/>
      <c r="T14" s="795"/>
      <c r="U14" s="795"/>
      <c r="V14" s="795"/>
      <c r="W14" s="814"/>
      <c r="X14" s="85"/>
      <c r="Y14" s="85"/>
      <c r="Z14" s="85"/>
      <c r="AA14" s="85"/>
      <c r="AB14" s="85"/>
      <c r="AC14" s="85"/>
      <c r="AD14" s="30"/>
      <c r="AE14" s="40"/>
      <c r="AF14"/>
      <c r="AG14"/>
      <c r="AH14"/>
      <c r="AI14"/>
      <c r="AJ14"/>
      <c r="AK14"/>
      <c r="AL14"/>
      <c r="AM14"/>
      <c r="AN14"/>
    </row>
    <row r="15" spans="1:40" ht="12.75" customHeight="1">
      <c r="A15" s="45" t="s">
        <v>18</v>
      </c>
      <c r="B15" s="34"/>
      <c r="C15" s="34"/>
      <c r="D15" s="34"/>
      <c r="E15" s="34"/>
      <c r="F15" s="34"/>
      <c r="G15" s="34"/>
      <c r="H15" s="34"/>
      <c r="I15" s="34"/>
      <c r="J15" s="34"/>
      <c r="K15" s="34"/>
      <c r="L15" s="34"/>
      <c r="O15" s="30"/>
      <c r="P15" s="34"/>
      <c r="Q15" s="812"/>
      <c r="R15" s="813"/>
      <c r="S15" s="795"/>
      <c r="T15" s="795"/>
      <c r="U15" s="795"/>
      <c r="V15" s="795"/>
      <c r="W15" s="814"/>
      <c r="X15" s="85" t="s">
        <v>929</v>
      </c>
      <c r="Y15" s="85"/>
      <c r="Z15" s="85"/>
      <c r="AA15" s="85"/>
      <c r="AB15" s="85"/>
      <c r="AC15" s="85"/>
      <c r="AD15" s="30"/>
      <c r="AE15" s="40"/>
      <c r="AF15" s="216"/>
      <c r="AG15"/>
      <c r="AH15"/>
      <c r="AI15"/>
      <c r="AJ15"/>
      <c r="AK15"/>
      <c r="AL15"/>
      <c r="AM15"/>
      <c r="AN15"/>
    </row>
    <row r="16" spans="1:40" ht="12.75" customHeight="1">
      <c r="A16" s="45" t="s">
        <v>19</v>
      </c>
      <c r="B16" s="34"/>
      <c r="C16" s="34"/>
      <c r="D16" s="34"/>
      <c r="E16" s="34"/>
      <c r="F16" s="34"/>
      <c r="G16" s="34"/>
      <c r="H16" s="34"/>
      <c r="I16" s="34"/>
      <c r="J16" s="34"/>
      <c r="K16" s="34"/>
      <c r="L16" s="34"/>
      <c r="O16" s="30"/>
      <c r="P16" s="34"/>
      <c r="Q16" s="812"/>
      <c r="R16" s="813"/>
      <c r="S16" s="795"/>
      <c r="T16" s="795"/>
      <c r="U16" s="795"/>
      <c r="V16" s="795"/>
      <c r="W16" s="814"/>
      <c r="X16" s="85"/>
      <c r="Y16" s="170"/>
      <c r="Z16" s="170"/>
      <c r="AA16" s="85"/>
      <c r="AB16" s="85"/>
      <c r="AC16" s="85"/>
      <c r="AD16" s="30"/>
      <c r="AE16" s="40"/>
      <c r="AF16" s="216"/>
      <c r="AG16"/>
      <c r="AH16"/>
      <c r="AI16"/>
      <c r="AJ16"/>
      <c r="AK16"/>
      <c r="AL16"/>
      <c r="AM16"/>
      <c r="AN16"/>
    </row>
    <row r="17" spans="1:40" ht="12.75" customHeight="1">
      <c r="A17" s="45" t="s">
        <v>20</v>
      </c>
      <c r="B17" s="582"/>
      <c r="C17" s="582"/>
      <c r="D17" s="582"/>
      <c r="E17" s="582"/>
      <c r="F17" s="582"/>
      <c r="G17" s="582"/>
      <c r="H17" s="582"/>
      <c r="I17" s="582"/>
      <c r="J17" s="582"/>
      <c r="K17" s="582"/>
      <c r="L17" s="582"/>
      <c r="O17" s="30"/>
      <c r="P17" s="34" t="s">
        <v>21</v>
      </c>
      <c r="Q17" s="812"/>
      <c r="R17" s="813"/>
      <c r="S17" s="795"/>
      <c r="T17" s="795"/>
      <c r="U17" s="795"/>
      <c r="V17" s="795"/>
      <c r="W17" s="814"/>
      <c r="X17" s="85" t="s">
        <v>2720</v>
      </c>
      <c r="Y17" s="85"/>
      <c r="Z17" s="85"/>
      <c r="AA17" s="85"/>
      <c r="AB17" s="85"/>
      <c r="AC17" s="85"/>
      <c r="AD17" s="30"/>
      <c r="AE17" s="40"/>
      <c r="AF17" s="216"/>
      <c r="AG17"/>
      <c r="AH17"/>
      <c r="AI17"/>
      <c r="AJ17"/>
      <c r="AK17"/>
      <c r="AL17"/>
      <c r="AM17"/>
      <c r="AN17"/>
    </row>
    <row r="18" spans="1:40" ht="12.75" customHeight="1">
      <c r="A18" s="45" t="s">
        <v>22</v>
      </c>
      <c r="B18" s="34"/>
      <c r="C18" s="34"/>
      <c r="D18" s="34"/>
      <c r="E18" s="34"/>
      <c r="F18" s="34"/>
      <c r="G18" s="34"/>
      <c r="H18" s="34"/>
      <c r="I18" s="34"/>
      <c r="J18" s="34"/>
      <c r="K18" s="34"/>
      <c r="L18" s="34"/>
      <c r="O18" s="30"/>
      <c r="P18" s="34"/>
      <c r="Q18" s="812"/>
      <c r="R18" s="813"/>
      <c r="S18" s="795"/>
      <c r="T18" s="795"/>
      <c r="U18" s="795"/>
      <c r="V18" s="795"/>
      <c r="W18" s="814"/>
      <c r="X18" s="85"/>
      <c r="Y18" s="85"/>
      <c r="Z18" s="85"/>
      <c r="AA18" s="85"/>
      <c r="AB18" s="85"/>
      <c r="AC18" s="85"/>
      <c r="AD18" s="30"/>
      <c r="AE18" s="40"/>
      <c r="AF18" s="216"/>
      <c r="AG18"/>
      <c r="AH18"/>
      <c r="AI18"/>
      <c r="AJ18"/>
      <c r="AK18"/>
      <c r="AL18"/>
      <c r="AM18"/>
      <c r="AN18"/>
    </row>
    <row r="19" spans="1:40" ht="12.75" customHeight="1">
      <c r="A19" s="45" t="s">
        <v>23</v>
      </c>
      <c r="B19" s="47"/>
      <c r="C19" s="47"/>
      <c r="D19" s="47"/>
      <c r="E19" s="47"/>
      <c r="F19" s="47"/>
      <c r="G19" s="47"/>
      <c r="H19" s="47"/>
      <c r="I19" s="47"/>
      <c r="J19" s="47"/>
      <c r="K19" s="47"/>
      <c r="L19" s="47"/>
      <c r="M19" s="47"/>
      <c r="N19" s="30"/>
      <c r="O19" s="30"/>
      <c r="P19" s="34"/>
      <c r="Q19" s="812"/>
      <c r="R19" s="813"/>
      <c r="S19" s="795"/>
      <c r="T19" s="795"/>
      <c r="U19" s="795"/>
      <c r="V19" s="795"/>
      <c r="W19" s="814"/>
      <c r="X19" s="85" t="s">
        <v>933</v>
      </c>
      <c r="Y19" s="85"/>
      <c r="Z19" s="85"/>
      <c r="AA19" s="85"/>
      <c r="AB19" s="85"/>
      <c r="AC19" s="85"/>
      <c r="AD19" s="30"/>
      <c r="AE19" s="40"/>
      <c r="AF19" s="216"/>
      <c r="AG19"/>
      <c r="AH19"/>
      <c r="AI19"/>
      <c r="AJ19"/>
    </row>
    <row r="20" spans="1:40" ht="12.75" customHeight="1">
      <c r="A20" s="45"/>
      <c r="B20" s="48"/>
      <c r="C20" s="48"/>
      <c r="D20" s="48"/>
      <c r="E20" s="48"/>
      <c r="F20" s="48"/>
      <c r="G20" s="48"/>
      <c r="H20" s="48"/>
      <c r="I20" s="48"/>
      <c r="J20" s="48"/>
      <c r="K20" s="48"/>
      <c r="L20" s="48"/>
      <c r="M20" s="48"/>
      <c r="N20" s="30"/>
      <c r="O20" s="30"/>
      <c r="P20" s="30"/>
      <c r="Q20" s="815"/>
      <c r="R20" s="813"/>
      <c r="S20" s="816"/>
      <c r="T20" s="816"/>
      <c r="U20" s="816"/>
      <c r="V20" s="816"/>
      <c r="W20" s="817"/>
      <c r="X20" s="85" t="s">
        <v>953</v>
      </c>
      <c r="Y20" s="30"/>
      <c r="Z20" s="30"/>
      <c r="AA20" s="30"/>
      <c r="AB20" s="30"/>
      <c r="AC20" s="30"/>
      <c r="AD20" s="30"/>
      <c r="AE20" s="40"/>
      <c r="AF20" s="216"/>
      <c r="AG20"/>
      <c r="AH20"/>
      <c r="AI20"/>
      <c r="AJ20"/>
    </row>
    <row r="21" spans="1:40" ht="12.75" customHeight="1">
      <c r="A21" s="30"/>
      <c r="B21" s="30"/>
      <c r="C21" s="30"/>
      <c r="D21" s="30"/>
      <c r="E21" s="30"/>
      <c r="F21" s="30"/>
      <c r="G21" s="30"/>
      <c r="H21" s="30"/>
      <c r="I21" s="30"/>
      <c r="J21" s="30"/>
      <c r="K21" s="30"/>
      <c r="L21" s="30"/>
      <c r="M21" s="30"/>
      <c r="N21" s="30"/>
      <c r="O21" s="30"/>
      <c r="P21" s="30"/>
      <c r="Q21" s="43"/>
      <c r="R21" s="43"/>
      <c r="S21" s="43"/>
      <c r="T21" s="43"/>
      <c r="U21" s="43"/>
      <c r="V21" s="43"/>
      <c r="W21" s="43"/>
      <c r="AC21" s="30"/>
      <c r="AD21" s="30"/>
      <c r="AE21" s="40"/>
      <c r="AF21" s="216"/>
      <c r="AG21"/>
      <c r="AH21"/>
      <c r="AI21"/>
      <c r="AJ21"/>
    </row>
    <row r="22" spans="1:40" ht="12.75" customHeight="1">
      <c r="A22" s="30"/>
      <c r="B22" s="30"/>
      <c r="C22" s="30"/>
      <c r="D22" s="30"/>
      <c r="E22" s="30"/>
      <c r="F22" s="30"/>
      <c r="G22" s="30"/>
      <c r="H22" s="30"/>
      <c r="I22" s="30"/>
      <c r="J22" s="30"/>
      <c r="K22" s="30"/>
      <c r="L22" s="30"/>
      <c r="M22" s="30"/>
      <c r="N22" s="49" t="s">
        <v>24</v>
      </c>
      <c r="O22" s="818"/>
      <c r="P22" s="819"/>
      <c r="Q22" s="819"/>
      <c r="R22" s="819"/>
      <c r="S22" s="820"/>
      <c r="T22" s="30"/>
      <c r="U22" s="30"/>
      <c r="V22" s="30"/>
      <c r="W22" s="30"/>
      <c r="X22" s="30"/>
      <c r="Y22" s="30"/>
      <c r="Z22" s="30"/>
      <c r="AA22" s="30"/>
      <c r="AB22" s="30"/>
      <c r="AC22" s="30"/>
      <c r="AD22" s="30"/>
      <c r="AE22" s="40"/>
      <c r="AF22" s="216"/>
      <c r="AG22"/>
      <c r="AH22"/>
      <c r="AI22"/>
      <c r="AJ22"/>
    </row>
    <row r="23" spans="1:40" ht="12.75" customHeight="1">
      <c r="A23" s="30"/>
      <c r="B23" s="30"/>
      <c r="C23" s="30"/>
      <c r="D23" s="30"/>
      <c r="E23" s="30"/>
      <c r="F23" s="30"/>
      <c r="G23" s="30"/>
      <c r="H23" s="30"/>
      <c r="I23" s="30"/>
      <c r="J23" s="30"/>
      <c r="K23" s="30"/>
      <c r="L23" s="30"/>
      <c r="M23" s="30"/>
      <c r="N23" s="49" t="s">
        <v>25</v>
      </c>
      <c r="O23" s="818"/>
      <c r="P23" s="819"/>
      <c r="Q23" s="819"/>
      <c r="R23" s="819"/>
      <c r="S23" s="820"/>
      <c r="T23" s="30"/>
      <c r="U23" s="30"/>
      <c r="V23" s="30"/>
      <c r="W23" s="30"/>
      <c r="X23" s="30"/>
      <c r="Y23" s="30"/>
      <c r="Z23" s="30"/>
      <c r="AA23" s="30"/>
      <c r="AB23" s="30"/>
      <c r="AC23" s="30"/>
      <c r="AD23" s="30"/>
      <c r="AE23" s="40"/>
      <c r="AF23" s="216"/>
      <c r="AG23"/>
      <c r="AH23"/>
      <c r="AI23"/>
      <c r="AJ23"/>
    </row>
    <row r="24" spans="1:40" ht="12.75" customHeight="1">
      <c r="A24" s="30"/>
      <c r="B24" s="30"/>
      <c r="C24" s="30"/>
      <c r="D24" s="30"/>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40"/>
      <c r="AF24" s="216"/>
      <c r="AG24"/>
      <c r="AH24"/>
      <c r="AI24"/>
      <c r="AJ24"/>
    </row>
    <row r="25" spans="1:40" ht="12.75" customHeight="1">
      <c r="A25" s="45"/>
      <c r="B25" s="48" t="s">
        <v>26</v>
      </c>
      <c r="C25" s="48"/>
      <c r="D25" s="48"/>
      <c r="E25" s="48"/>
      <c r="F25" s="48"/>
      <c r="G25" s="48"/>
      <c r="H25" s="48"/>
      <c r="I25" s="48"/>
      <c r="J25" s="48"/>
      <c r="K25" s="48"/>
      <c r="L25" s="48"/>
      <c r="M25" s="48"/>
      <c r="N25" s="30"/>
      <c r="O25" s="30"/>
      <c r="P25" s="30"/>
      <c r="Q25" s="30"/>
      <c r="R25" s="30"/>
      <c r="S25" s="30"/>
      <c r="T25" s="30"/>
      <c r="U25" s="30"/>
      <c r="V25" s="30"/>
      <c r="W25" s="30"/>
      <c r="X25" s="30"/>
      <c r="Y25" s="30"/>
      <c r="Z25" s="30"/>
      <c r="AA25" s="30"/>
      <c r="AB25" s="30"/>
      <c r="AC25" s="30"/>
      <c r="AD25" s="30"/>
      <c r="AE25" s="40"/>
      <c r="AF25" s="216"/>
      <c r="AG25"/>
      <c r="AH25"/>
      <c r="AI25"/>
      <c r="AJ25"/>
    </row>
    <row r="26" spans="1:40" ht="12.75" customHeight="1">
      <c r="A26" s="45"/>
      <c r="B26" s="821" t="s">
        <v>932</v>
      </c>
      <c r="C26" s="821"/>
      <c r="D26" s="821"/>
      <c r="E26" s="821"/>
      <c r="F26" s="821"/>
      <c r="G26" s="821"/>
      <c r="H26" s="821"/>
      <c r="I26" s="821"/>
      <c r="J26" s="821"/>
      <c r="K26" s="821"/>
      <c r="L26" s="821"/>
      <c r="M26" s="795"/>
      <c r="N26" s="795"/>
      <c r="O26" s="795"/>
      <c r="P26" s="795"/>
      <c r="Q26" s="795"/>
      <c r="R26" s="795"/>
      <c r="S26" s="795"/>
      <c r="T26" s="795"/>
      <c r="U26" s="795"/>
      <c r="V26" s="795"/>
      <c r="W26" s="795"/>
      <c r="X26" s="795"/>
      <c r="Y26" s="795"/>
      <c r="Z26" s="795"/>
      <c r="AA26" s="795"/>
      <c r="AB26" s="795"/>
      <c r="AC26" s="795"/>
      <c r="AD26" s="30"/>
      <c r="AE26" s="40"/>
      <c r="AF26" s="216"/>
      <c r="AG26"/>
      <c r="AH26"/>
      <c r="AI26"/>
      <c r="AJ26"/>
    </row>
    <row r="27" spans="1:40" ht="12.75" customHeight="1">
      <c r="A27" s="45"/>
      <c r="B27" s="795"/>
      <c r="C27" s="795"/>
      <c r="D27" s="795"/>
      <c r="E27" s="795"/>
      <c r="F27" s="795"/>
      <c r="G27" s="795"/>
      <c r="H27" s="795"/>
      <c r="I27" s="795"/>
      <c r="J27" s="795"/>
      <c r="K27" s="795"/>
      <c r="L27" s="795"/>
      <c r="M27" s="795"/>
      <c r="N27" s="795"/>
      <c r="O27" s="795"/>
      <c r="P27" s="795"/>
      <c r="Q27" s="795"/>
      <c r="R27" s="795"/>
      <c r="S27" s="795"/>
      <c r="T27" s="795"/>
      <c r="U27" s="795"/>
      <c r="V27" s="795"/>
      <c r="W27" s="795"/>
      <c r="X27" s="795"/>
      <c r="Y27" s="795"/>
      <c r="Z27" s="795"/>
      <c r="AA27" s="795"/>
      <c r="AB27" s="795"/>
      <c r="AC27" s="795"/>
      <c r="AD27" s="30"/>
      <c r="AE27" s="40"/>
      <c r="AF27" s="216"/>
      <c r="AG27"/>
      <c r="AH27"/>
      <c r="AI27"/>
      <c r="AJ27"/>
    </row>
    <row r="28" spans="1:40" ht="12.75" customHeight="1">
      <c r="A28" s="45"/>
      <c r="B28" s="795"/>
      <c r="C28" s="795"/>
      <c r="D28" s="795"/>
      <c r="E28" s="795"/>
      <c r="F28" s="795"/>
      <c r="G28" s="795"/>
      <c r="H28" s="795"/>
      <c r="I28" s="795"/>
      <c r="J28" s="795"/>
      <c r="K28" s="795"/>
      <c r="L28" s="795"/>
      <c r="M28" s="795"/>
      <c r="N28" s="795"/>
      <c r="O28" s="795"/>
      <c r="P28" s="795"/>
      <c r="Q28" s="795"/>
      <c r="R28" s="795"/>
      <c r="S28" s="795"/>
      <c r="T28" s="795"/>
      <c r="U28" s="795"/>
      <c r="V28" s="795"/>
      <c r="W28" s="795"/>
      <c r="X28" s="795"/>
      <c r="Y28" s="795"/>
      <c r="Z28" s="795"/>
      <c r="AA28" s="795"/>
      <c r="AB28" s="795"/>
      <c r="AC28" s="795"/>
      <c r="AD28" s="30"/>
      <c r="AE28" s="40"/>
      <c r="AF28" s="216"/>
      <c r="AG28"/>
      <c r="AH28"/>
      <c r="AI28"/>
      <c r="AJ28"/>
    </row>
    <row r="29" spans="1:40" ht="12.75" customHeight="1">
      <c r="A29" s="45"/>
      <c r="B29" s="795"/>
      <c r="C29" s="795"/>
      <c r="D29" s="795"/>
      <c r="E29" s="795"/>
      <c r="F29" s="795"/>
      <c r="G29" s="795"/>
      <c r="H29" s="795"/>
      <c r="I29" s="795"/>
      <c r="J29" s="795"/>
      <c r="K29" s="795"/>
      <c r="L29" s="795"/>
      <c r="M29" s="795"/>
      <c r="N29" s="795"/>
      <c r="O29" s="795"/>
      <c r="P29" s="795"/>
      <c r="Q29" s="795"/>
      <c r="R29" s="795"/>
      <c r="S29" s="795"/>
      <c r="T29" s="795"/>
      <c r="U29" s="795"/>
      <c r="V29" s="795"/>
      <c r="W29" s="795"/>
      <c r="X29" s="795"/>
      <c r="Y29" s="795"/>
      <c r="Z29" s="795"/>
      <c r="AA29" s="795"/>
      <c r="AB29" s="795"/>
      <c r="AC29" s="795"/>
      <c r="AD29" s="30"/>
      <c r="AE29" s="40"/>
      <c r="AF29" s="216"/>
      <c r="AG29"/>
      <c r="AH29"/>
      <c r="AI29"/>
      <c r="AJ29"/>
    </row>
    <row r="30" spans="1:40" ht="12.75" customHeight="1">
      <c r="A30" s="45"/>
      <c r="B30" s="795"/>
      <c r="C30" s="795"/>
      <c r="D30" s="795"/>
      <c r="E30" s="795"/>
      <c r="F30" s="795"/>
      <c r="G30" s="795"/>
      <c r="H30" s="795"/>
      <c r="I30" s="795"/>
      <c r="J30" s="795"/>
      <c r="K30" s="795"/>
      <c r="L30" s="795"/>
      <c r="M30" s="795"/>
      <c r="N30" s="795"/>
      <c r="O30" s="795"/>
      <c r="P30" s="795"/>
      <c r="Q30" s="795"/>
      <c r="R30" s="795"/>
      <c r="S30" s="795"/>
      <c r="T30" s="795"/>
      <c r="U30" s="795"/>
      <c r="V30" s="795"/>
      <c r="W30" s="795"/>
      <c r="X30" s="795"/>
      <c r="Y30" s="795"/>
      <c r="Z30" s="795"/>
      <c r="AA30" s="795"/>
      <c r="AB30" s="795"/>
      <c r="AC30" s="795"/>
      <c r="AD30" s="30"/>
      <c r="AE30" s="40"/>
      <c r="AF30" s="216"/>
      <c r="AG30"/>
      <c r="AH30"/>
      <c r="AI30"/>
      <c r="AJ30"/>
    </row>
    <row r="31" spans="1:40" ht="12.75" customHeight="1" thickBot="1">
      <c r="A31" s="45"/>
      <c r="B31" s="795"/>
      <c r="C31" s="795"/>
      <c r="D31" s="795"/>
      <c r="E31" s="795"/>
      <c r="F31" s="795"/>
      <c r="G31" s="795"/>
      <c r="H31" s="795"/>
      <c r="I31" s="795"/>
      <c r="J31" s="795"/>
      <c r="K31" s="795"/>
      <c r="L31" s="795"/>
      <c r="M31" s="795"/>
      <c r="N31" s="795"/>
      <c r="O31" s="795"/>
      <c r="P31" s="795"/>
      <c r="Q31" s="795"/>
      <c r="R31" s="795"/>
      <c r="S31" s="795"/>
      <c r="T31" s="795"/>
      <c r="U31" s="795"/>
      <c r="V31" s="795"/>
      <c r="W31" s="795"/>
      <c r="X31" s="795"/>
      <c r="Y31" s="795"/>
      <c r="Z31" s="795"/>
      <c r="AA31" s="795"/>
      <c r="AB31" s="795"/>
      <c r="AC31" s="795"/>
      <c r="AD31" s="30"/>
      <c r="AE31" s="40"/>
      <c r="AF31" s="216"/>
      <c r="AG31"/>
      <c r="AH31"/>
      <c r="AI31"/>
      <c r="AJ31"/>
    </row>
    <row r="32" spans="1:40" ht="12.75" customHeight="1" thickBot="1">
      <c r="A32" s="45"/>
      <c r="B32" s="744" t="s">
        <v>3105</v>
      </c>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40"/>
      <c r="AG32"/>
      <c r="AH32"/>
      <c r="AI32"/>
      <c r="AJ32"/>
    </row>
    <row r="33" spans="1:36" ht="12.75" customHeight="1" thickBot="1">
      <c r="A33" s="34"/>
      <c r="B33" s="646" t="s">
        <v>3104</v>
      </c>
      <c r="C33" s="34"/>
      <c r="D33" s="34"/>
      <c r="E33" s="34"/>
      <c r="F33" s="34"/>
      <c r="G33" s="34"/>
      <c r="H33" s="34"/>
      <c r="I33" s="34"/>
      <c r="J33" s="34"/>
      <c r="K33" s="34"/>
      <c r="L33" s="34"/>
      <c r="M33" s="34"/>
      <c r="N33" s="34"/>
      <c r="O33" s="34"/>
      <c r="P33" s="34"/>
      <c r="Q33" s="34"/>
      <c r="R33" s="34"/>
      <c r="S33" s="34"/>
      <c r="T33" s="50"/>
      <c r="U33" s="34"/>
      <c r="V33" s="50"/>
      <c r="W33" s="50" t="s">
        <v>987</v>
      </c>
      <c r="X33" s="50"/>
      <c r="Y33" s="34"/>
      <c r="Z33" s="34"/>
      <c r="AA33" s="34"/>
      <c r="AB33" s="34"/>
      <c r="AC33" s="34"/>
      <c r="AD33" s="807" t="s">
        <v>27</v>
      </c>
      <c r="AE33" s="795"/>
      <c r="AG33"/>
      <c r="AH33"/>
      <c r="AI33"/>
      <c r="AJ33"/>
    </row>
    <row r="34" spans="1:36">
      <c r="A34" s="34"/>
      <c r="B34" s="172" t="s">
        <v>919</v>
      </c>
      <c r="C34" s="173"/>
      <c r="D34" s="173"/>
      <c r="E34" s="173"/>
      <c r="F34" s="173"/>
      <c r="G34" s="173"/>
      <c r="H34" s="173"/>
      <c r="I34" s="173"/>
      <c r="J34" s="173"/>
      <c r="K34" s="173"/>
      <c r="L34" s="173"/>
      <c r="M34" s="173"/>
      <c r="N34" s="173"/>
      <c r="O34" s="173"/>
      <c r="P34" s="173"/>
      <c r="Q34" s="173"/>
      <c r="R34" s="173"/>
      <c r="S34" s="173"/>
      <c r="T34" s="174" t="s">
        <v>467</v>
      </c>
      <c r="U34" s="175" t="s">
        <v>468</v>
      </c>
      <c r="V34" s="176" t="s">
        <v>469</v>
      </c>
      <c r="W34" s="177" t="s">
        <v>482</v>
      </c>
      <c r="X34" s="178" t="s">
        <v>470</v>
      </c>
      <c r="Y34" s="179" t="s">
        <v>471</v>
      </c>
      <c r="Z34" s="180" t="s">
        <v>472</v>
      </c>
      <c r="AA34" s="181" t="s">
        <v>473</v>
      </c>
      <c r="AB34" s="182" t="s">
        <v>1189</v>
      </c>
      <c r="AC34" s="173"/>
      <c r="AD34" s="183"/>
      <c r="AE34" s="184"/>
      <c r="AF34" s="184"/>
      <c r="AG34"/>
      <c r="AH34"/>
      <c r="AI34"/>
      <c r="AJ34"/>
    </row>
    <row r="35" spans="1:36" ht="20">
      <c r="A35" s="34"/>
      <c r="B35" s="196" t="s">
        <v>28</v>
      </c>
      <c r="C35" s="197" t="s">
        <v>867</v>
      </c>
      <c r="D35" s="197" t="s">
        <v>868</v>
      </c>
      <c r="E35" s="197"/>
      <c r="F35" s="197"/>
      <c r="G35" s="197"/>
      <c r="H35" s="197" t="s">
        <v>866</v>
      </c>
      <c r="I35" s="197"/>
      <c r="J35" s="197"/>
      <c r="K35" s="197"/>
      <c r="L35" s="197"/>
      <c r="M35" s="197" t="s">
        <v>29</v>
      </c>
      <c r="N35" s="197" t="s">
        <v>448</v>
      </c>
      <c r="O35" s="198" t="s">
        <v>30</v>
      </c>
      <c r="P35" s="199" t="s">
        <v>31</v>
      </c>
      <c r="Q35" s="199" t="s">
        <v>918</v>
      </c>
      <c r="R35" s="199" t="s">
        <v>915</v>
      </c>
      <c r="S35" s="199" t="s">
        <v>32</v>
      </c>
      <c r="T35" s="200" t="s">
        <v>474</v>
      </c>
      <c r="U35" s="201" t="s">
        <v>475</v>
      </c>
      <c r="V35" s="202" t="s">
        <v>476</v>
      </c>
      <c r="W35" s="203" t="s">
        <v>477</v>
      </c>
      <c r="X35" s="204" t="s">
        <v>478</v>
      </c>
      <c r="Y35" s="205" t="s">
        <v>479</v>
      </c>
      <c r="Z35" s="206" t="s">
        <v>1203</v>
      </c>
      <c r="AA35" s="207" t="s">
        <v>481</v>
      </c>
      <c r="AB35" s="215" t="s">
        <v>1188</v>
      </c>
      <c r="AC35" s="208" t="s">
        <v>34</v>
      </c>
      <c r="AD35" s="208" t="s">
        <v>35</v>
      </c>
      <c r="AE35" s="209" t="s">
        <v>36</v>
      </c>
      <c r="AF35" s="210" t="s">
        <v>37</v>
      </c>
      <c r="AG35"/>
      <c r="AH35"/>
      <c r="AI35"/>
      <c r="AJ35"/>
    </row>
    <row r="36" spans="1:36" ht="12.75" customHeight="1">
      <c r="A36" s="211" t="s">
        <v>2018</v>
      </c>
      <c r="B36" s="710" t="s">
        <v>2019</v>
      </c>
      <c r="C36" s="491" t="str">
        <f>B36</f>
        <v>Brushed Sandstone and Sandstone</v>
      </c>
      <c r="D36" s="491"/>
      <c r="E36" s="491"/>
      <c r="F36" s="491"/>
      <c r="G36" s="491"/>
      <c r="H36" s="491" t="s">
        <v>445</v>
      </c>
      <c r="I36" s="491" t="s">
        <v>1328</v>
      </c>
      <c r="J36" s="491"/>
      <c r="K36" s="491"/>
      <c r="L36" s="491"/>
      <c r="M36" s="491"/>
      <c r="N36" s="491"/>
      <c r="O36" s="491"/>
      <c r="P36" s="491"/>
      <c r="Q36" s="493"/>
      <c r="R36" s="492"/>
      <c r="S36" s="493"/>
      <c r="T36" s="491"/>
      <c r="U36" s="491"/>
      <c r="V36" s="491"/>
      <c r="W36" s="491"/>
      <c r="X36" s="491"/>
      <c r="Y36" s="491"/>
      <c r="Z36" s="491"/>
      <c r="AA36" s="491"/>
      <c r="AB36" s="491"/>
      <c r="AC36" s="493"/>
      <c r="AD36" s="493"/>
      <c r="AE36" s="493"/>
      <c r="AF36" s="509"/>
      <c r="AG36"/>
      <c r="AH36"/>
      <c r="AI36"/>
    </row>
    <row r="37" spans="1:36" ht="12.75" customHeight="1">
      <c r="A37" s="48"/>
      <c r="B37" s="703" t="s">
        <v>2166</v>
      </c>
      <c r="C37" s="476" t="s">
        <v>1076</v>
      </c>
      <c r="D37" s="476" t="s">
        <v>1146</v>
      </c>
      <c r="E37" s="478">
        <v>3</v>
      </c>
      <c r="F37" s="476" t="s">
        <v>456</v>
      </c>
      <c r="G37" s="476">
        <v>3</v>
      </c>
      <c r="H37" s="476" t="s">
        <v>445</v>
      </c>
      <c r="I37" s="476" t="s">
        <v>493</v>
      </c>
      <c r="J37" s="478">
        <v>3</v>
      </c>
      <c r="K37" s="476" t="s">
        <v>456</v>
      </c>
      <c r="L37" s="476">
        <v>3</v>
      </c>
      <c r="M37" s="476" t="s">
        <v>493</v>
      </c>
      <c r="N37" s="476" t="s">
        <v>449</v>
      </c>
      <c r="O37" s="478">
        <v>6</v>
      </c>
      <c r="P37" s="478" t="s">
        <v>2168</v>
      </c>
      <c r="Q37" s="752">
        <f>R37*(1-Bolts!$E$1157)</f>
        <v>4932.32</v>
      </c>
      <c r="R37" s="752">
        <v>4932.32</v>
      </c>
      <c r="S37" s="464">
        <f t="shared" ref="S37:S45" si="0">SUM(T37:AB37)</f>
        <v>0</v>
      </c>
      <c r="T37" s="465">
        <v>0</v>
      </c>
      <c r="U37" s="466">
        <v>0</v>
      </c>
      <c r="V37" s="467">
        <v>0</v>
      </c>
      <c r="W37" s="468">
        <v>0</v>
      </c>
      <c r="X37" s="469">
        <v>0</v>
      </c>
      <c r="Y37" s="470">
        <v>0</v>
      </c>
      <c r="Z37" s="471">
        <v>0</v>
      </c>
      <c r="AA37" s="472">
        <v>0</v>
      </c>
      <c r="AB37" s="473">
        <v>0</v>
      </c>
      <c r="AC37" s="464">
        <f t="shared" ref="AC37:AC45" si="1">S37*O37</f>
        <v>0</v>
      </c>
      <c r="AD37" s="474">
        <f t="shared" ref="AD37:AD45" si="2">S37*R37</f>
        <v>0</v>
      </c>
      <c r="AE37" s="475">
        <v>8.7090628685475817</v>
      </c>
      <c r="AF37" s="507">
        <f t="shared" ref="AF37:AF45" si="3">AE37*S37</f>
        <v>0</v>
      </c>
      <c r="AG37"/>
      <c r="AH37"/>
      <c r="AI37"/>
    </row>
    <row r="38" spans="1:36" ht="12.75" customHeight="1">
      <c r="A38" s="48"/>
      <c r="B38" s="703" t="s">
        <v>1815</v>
      </c>
      <c r="C38" s="476" t="s">
        <v>1076</v>
      </c>
      <c r="D38" s="476" t="s">
        <v>1146</v>
      </c>
      <c r="E38" s="478">
        <v>3</v>
      </c>
      <c r="F38" s="476"/>
      <c r="G38" s="476"/>
      <c r="H38" s="476" t="s">
        <v>445</v>
      </c>
      <c r="I38" s="476" t="s">
        <v>493</v>
      </c>
      <c r="J38" s="478">
        <v>3</v>
      </c>
      <c r="K38" s="476"/>
      <c r="L38" s="476"/>
      <c r="M38" s="476" t="s">
        <v>493</v>
      </c>
      <c r="N38" s="476" t="s">
        <v>449</v>
      </c>
      <c r="O38" s="478">
        <v>3</v>
      </c>
      <c r="P38" s="478" t="s">
        <v>1818</v>
      </c>
      <c r="Q38" s="752">
        <f>R38*(1-Bolts!$E$1157)</f>
        <v>421.60526315789474</v>
      </c>
      <c r="R38" s="752">
        <v>421.60526315789474</v>
      </c>
      <c r="S38" s="464">
        <f t="shared" si="0"/>
        <v>35</v>
      </c>
      <c r="T38" s="465">
        <v>8</v>
      </c>
      <c r="U38" s="466">
        <v>0</v>
      </c>
      <c r="V38" s="467">
        <v>8</v>
      </c>
      <c r="W38" s="468">
        <v>3</v>
      </c>
      <c r="X38" s="469">
        <v>3</v>
      </c>
      <c r="Y38" s="470">
        <v>0</v>
      </c>
      <c r="Z38" s="471">
        <v>3</v>
      </c>
      <c r="AA38" s="472">
        <v>10</v>
      </c>
      <c r="AB38" s="473">
        <v>0</v>
      </c>
      <c r="AC38" s="464">
        <f t="shared" si="1"/>
        <v>105</v>
      </c>
      <c r="AD38" s="474">
        <f t="shared" si="2"/>
        <v>14756.184210526317</v>
      </c>
      <c r="AE38" s="475">
        <v>7.7610450875442254</v>
      </c>
      <c r="AF38" s="507">
        <f t="shared" si="3"/>
        <v>271.63657806404791</v>
      </c>
      <c r="AG38"/>
      <c r="AH38"/>
      <c r="AI38"/>
    </row>
    <row r="39" spans="1:36" ht="12.75" customHeight="1">
      <c r="A39" s="48"/>
      <c r="B39" s="703" t="s">
        <v>1680</v>
      </c>
      <c r="C39" s="476" t="s">
        <v>1076</v>
      </c>
      <c r="D39" s="476" t="s">
        <v>456</v>
      </c>
      <c r="E39" s="478">
        <v>3</v>
      </c>
      <c r="F39" s="476"/>
      <c r="G39" s="476"/>
      <c r="H39" s="476" t="s">
        <v>445</v>
      </c>
      <c r="I39" s="476" t="s">
        <v>456</v>
      </c>
      <c r="J39" s="478">
        <v>3</v>
      </c>
      <c r="K39" s="476"/>
      <c r="L39" s="476"/>
      <c r="M39" s="476" t="s">
        <v>456</v>
      </c>
      <c r="N39" s="476" t="s">
        <v>451</v>
      </c>
      <c r="O39" s="478">
        <v>3</v>
      </c>
      <c r="P39" s="478" t="s">
        <v>1686</v>
      </c>
      <c r="Q39" s="752">
        <f>R39*(1-Bolts!$E$1157)</f>
        <v>71.71052631578948</v>
      </c>
      <c r="R39" s="752">
        <v>71.71052631578948</v>
      </c>
      <c r="S39" s="464">
        <f t="shared" si="0"/>
        <v>41</v>
      </c>
      <c r="T39" s="465">
        <v>4</v>
      </c>
      <c r="U39" s="466">
        <v>0</v>
      </c>
      <c r="V39" s="467">
        <v>5</v>
      </c>
      <c r="W39" s="468">
        <v>8</v>
      </c>
      <c r="X39" s="469">
        <v>3</v>
      </c>
      <c r="Y39" s="470">
        <v>5</v>
      </c>
      <c r="Z39" s="471">
        <v>4</v>
      </c>
      <c r="AA39" s="472">
        <v>12</v>
      </c>
      <c r="AB39" s="473">
        <v>0</v>
      </c>
      <c r="AC39" s="464">
        <f t="shared" si="1"/>
        <v>123</v>
      </c>
      <c r="AD39" s="474">
        <f t="shared" si="2"/>
        <v>2940.1315789473688</v>
      </c>
      <c r="AE39" s="475">
        <v>0.94599999999999995</v>
      </c>
      <c r="AF39" s="507">
        <f t="shared" si="3"/>
        <v>38.786000000000001</v>
      </c>
      <c r="AG39"/>
      <c r="AH39"/>
      <c r="AI39"/>
    </row>
    <row r="40" spans="1:36" ht="12.75" customHeight="1">
      <c r="A40" s="48"/>
      <c r="B40" s="703" t="s">
        <v>2167</v>
      </c>
      <c r="C40" s="476" t="s">
        <v>1076</v>
      </c>
      <c r="D40" s="476" t="s">
        <v>1146</v>
      </c>
      <c r="E40" s="478">
        <v>3</v>
      </c>
      <c r="F40" s="476" t="s">
        <v>456</v>
      </c>
      <c r="G40" s="476">
        <v>3</v>
      </c>
      <c r="H40" s="476" t="s">
        <v>445</v>
      </c>
      <c r="I40" s="476" t="s">
        <v>493</v>
      </c>
      <c r="J40" s="478">
        <v>3</v>
      </c>
      <c r="K40" s="476" t="s">
        <v>456</v>
      </c>
      <c r="L40" s="476">
        <v>3</v>
      </c>
      <c r="M40" s="476" t="s">
        <v>493</v>
      </c>
      <c r="N40" s="476" t="s">
        <v>449</v>
      </c>
      <c r="O40" s="478">
        <v>6</v>
      </c>
      <c r="P40" s="478" t="s">
        <v>2169</v>
      </c>
      <c r="Q40" s="752">
        <f>R40*(1-Bolts!$E$1157)</f>
        <v>438.08</v>
      </c>
      <c r="R40" s="752">
        <v>438.08</v>
      </c>
      <c r="S40" s="464">
        <f t="shared" ref="S40" si="4">SUM(T40:AB40)</f>
        <v>0</v>
      </c>
      <c r="T40" s="465">
        <v>0</v>
      </c>
      <c r="U40" s="466">
        <v>0</v>
      </c>
      <c r="V40" s="467">
        <v>0</v>
      </c>
      <c r="W40" s="468">
        <v>0</v>
      </c>
      <c r="X40" s="469">
        <v>0</v>
      </c>
      <c r="Y40" s="470">
        <v>0</v>
      </c>
      <c r="Z40" s="471">
        <v>0</v>
      </c>
      <c r="AA40" s="472">
        <v>0</v>
      </c>
      <c r="AB40" s="473">
        <v>0</v>
      </c>
      <c r="AC40" s="464">
        <f t="shared" si="1"/>
        <v>0</v>
      </c>
      <c r="AD40" s="474">
        <f t="shared" si="2"/>
        <v>0</v>
      </c>
      <c r="AE40" s="475">
        <v>7.6295019504672048</v>
      </c>
      <c r="AF40" s="507">
        <f t="shared" ref="AF40" si="5">AE40*S40</f>
        <v>0</v>
      </c>
      <c r="AG40"/>
      <c r="AH40"/>
      <c r="AI40"/>
    </row>
    <row r="41" spans="1:36" ht="12.75" customHeight="1">
      <c r="A41" s="48"/>
      <c r="B41" s="703" t="s">
        <v>1816</v>
      </c>
      <c r="C41" s="476" t="s">
        <v>1076</v>
      </c>
      <c r="D41" s="476" t="s">
        <v>1146</v>
      </c>
      <c r="E41" s="478">
        <v>3</v>
      </c>
      <c r="F41" s="476"/>
      <c r="G41" s="476"/>
      <c r="H41" s="476" t="s">
        <v>445</v>
      </c>
      <c r="I41" s="476" t="s">
        <v>493</v>
      </c>
      <c r="J41" s="478">
        <v>3</v>
      </c>
      <c r="K41" s="476"/>
      <c r="L41" s="476"/>
      <c r="M41" s="476" t="s">
        <v>493</v>
      </c>
      <c r="N41" s="476" t="s">
        <v>449</v>
      </c>
      <c r="O41" s="478">
        <v>3</v>
      </c>
      <c r="P41" s="478" t="s">
        <v>1819</v>
      </c>
      <c r="Q41" s="752">
        <f>R41*(1-Bolts!$E$1157)</f>
        <v>357.15789473684208</v>
      </c>
      <c r="R41" s="752">
        <v>357.15789473684208</v>
      </c>
      <c r="S41" s="464">
        <f t="shared" si="0"/>
        <v>31</v>
      </c>
      <c r="T41" s="465">
        <v>5</v>
      </c>
      <c r="U41" s="466">
        <v>0</v>
      </c>
      <c r="V41" s="467">
        <v>5</v>
      </c>
      <c r="W41" s="468">
        <v>3</v>
      </c>
      <c r="X41" s="469">
        <v>3</v>
      </c>
      <c r="Y41" s="470">
        <v>0</v>
      </c>
      <c r="Z41" s="471">
        <v>4</v>
      </c>
      <c r="AA41" s="472">
        <v>11</v>
      </c>
      <c r="AB41" s="473">
        <v>0</v>
      </c>
      <c r="AC41" s="464">
        <f t="shared" si="1"/>
        <v>93</v>
      </c>
      <c r="AD41" s="474">
        <f t="shared" si="2"/>
        <v>11071.894736842105</v>
      </c>
      <c r="AE41" s="475">
        <v>6.4819014787262992</v>
      </c>
      <c r="AF41" s="507">
        <f t="shared" si="3"/>
        <v>200.93894584051529</v>
      </c>
      <c r="AG41"/>
      <c r="AH41"/>
      <c r="AI41"/>
    </row>
    <row r="42" spans="1:36" ht="12.75" customHeight="1">
      <c r="A42" s="48"/>
      <c r="B42" s="703" t="s">
        <v>1681</v>
      </c>
      <c r="C42" s="476" t="s">
        <v>1076</v>
      </c>
      <c r="D42" s="476" t="s">
        <v>456</v>
      </c>
      <c r="E42" s="478">
        <v>3</v>
      </c>
      <c r="F42" s="476"/>
      <c r="G42" s="476"/>
      <c r="H42" s="476" t="s">
        <v>445</v>
      </c>
      <c r="I42" s="476" t="s">
        <v>456</v>
      </c>
      <c r="J42" s="478">
        <v>3</v>
      </c>
      <c r="K42" s="476"/>
      <c r="L42" s="476"/>
      <c r="M42" s="476" t="s">
        <v>456</v>
      </c>
      <c r="N42" s="476" t="s">
        <v>451</v>
      </c>
      <c r="O42" s="478">
        <v>3</v>
      </c>
      <c r="P42" s="478" t="s">
        <v>1682</v>
      </c>
      <c r="Q42" s="752">
        <f>R42*(1-Bolts!$E$1157)</f>
        <v>80.921052631578945</v>
      </c>
      <c r="R42" s="752">
        <v>80.921052631578945</v>
      </c>
      <c r="S42" s="464">
        <f t="shared" si="0"/>
        <v>35</v>
      </c>
      <c r="T42" s="465">
        <v>5</v>
      </c>
      <c r="U42" s="466">
        <v>0</v>
      </c>
      <c r="V42" s="467">
        <v>8</v>
      </c>
      <c r="W42" s="468">
        <v>6</v>
      </c>
      <c r="X42" s="469">
        <v>2</v>
      </c>
      <c r="Y42" s="470">
        <v>0</v>
      </c>
      <c r="Z42" s="471">
        <v>4</v>
      </c>
      <c r="AA42" s="472">
        <v>10</v>
      </c>
      <c r="AB42" s="473">
        <v>0</v>
      </c>
      <c r="AC42" s="464">
        <f t="shared" si="1"/>
        <v>105</v>
      </c>
      <c r="AD42" s="474">
        <f t="shared" si="2"/>
        <v>2832.2368421052629</v>
      </c>
      <c r="AE42" s="475">
        <v>1.147</v>
      </c>
      <c r="AF42" s="507">
        <f t="shared" si="3"/>
        <v>40.145000000000003</v>
      </c>
      <c r="AG42"/>
      <c r="AH42"/>
      <c r="AI42"/>
    </row>
    <row r="43" spans="1:36" ht="12.75" customHeight="1">
      <c r="A43" s="214"/>
      <c r="B43" s="703" t="s">
        <v>2544</v>
      </c>
      <c r="C43" s="476" t="s">
        <v>1076</v>
      </c>
      <c r="D43" s="476" t="s">
        <v>1146</v>
      </c>
      <c r="E43" s="478">
        <v>1</v>
      </c>
      <c r="F43" s="476" t="s">
        <v>456</v>
      </c>
      <c r="G43" s="476">
        <v>2</v>
      </c>
      <c r="H43" s="476" t="s">
        <v>445</v>
      </c>
      <c r="I43" s="476" t="s">
        <v>493</v>
      </c>
      <c r="J43" s="478">
        <v>1</v>
      </c>
      <c r="K43" s="476" t="s">
        <v>456</v>
      </c>
      <c r="L43" s="476">
        <v>2</v>
      </c>
      <c r="M43" s="476" t="s">
        <v>493</v>
      </c>
      <c r="N43" s="476" t="s">
        <v>452</v>
      </c>
      <c r="O43" s="478">
        <v>3</v>
      </c>
      <c r="P43" s="478" t="s">
        <v>2349</v>
      </c>
      <c r="Q43" s="752">
        <f>R43*(1-Bolts!$E$1157)</f>
        <v>298.84210526315792</v>
      </c>
      <c r="R43" s="752">
        <v>298.84210526315792</v>
      </c>
      <c r="S43" s="464">
        <f t="shared" si="0"/>
        <v>47</v>
      </c>
      <c r="T43" s="465">
        <v>8</v>
      </c>
      <c r="U43" s="466">
        <v>0</v>
      </c>
      <c r="V43" s="467">
        <v>5</v>
      </c>
      <c r="W43" s="468">
        <v>9</v>
      </c>
      <c r="X43" s="469">
        <v>8</v>
      </c>
      <c r="Y43" s="470">
        <v>0</v>
      </c>
      <c r="Z43" s="471">
        <v>5</v>
      </c>
      <c r="AA43" s="472">
        <v>12</v>
      </c>
      <c r="AB43" s="473">
        <v>0</v>
      </c>
      <c r="AC43" s="464">
        <f t="shared" si="1"/>
        <v>141</v>
      </c>
      <c r="AD43" s="474">
        <f t="shared" si="2"/>
        <v>14045.578947368422</v>
      </c>
      <c r="AE43" s="475">
        <v>5.8986664247482539</v>
      </c>
      <c r="AF43" s="507">
        <f t="shared" si="3"/>
        <v>277.23732196316791</v>
      </c>
      <c r="AG43"/>
      <c r="AH43"/>
      <c r="AI43"/>
    </row>
    <row r="44" spans="1:36" ht="12.75" customHeight="1">
      <c r="A44" s="214"/>
      <c r="B44" s="703" t="s">
        <v>2545</v>
      </c>
      <c r="C44" s="476" t="s">
        <v>1076</v>
      </c>
      <c r="D44" s="476" t="s">
        <v>1150</v>
      </c>
      <c r="E44" s="478">
        <v>3</v>
      </c>
      <c r="F44" s="476"/>
      <c r="G44" s="476"/>
      <c r="H44" s="476" t="s">
        <v>445</v>
      </c>
      <c r="I44" s="476" t="s">
        <v>453</v>
      </c>
      <c r="J44" s="478">
        <v>3</v>
      </c>
      <c r="K44" s="476"/>
      <c r="L44" s="476"/>
      <c r="M44" s="476" t="s">
        <v>453</v>
      </c>
      <c r="N44" s="476" t="s">
        <v>452</v>
      </c>
      <c r="O44" s="478">
        <v>3</v>
      </c>
      <c r="P44" s="478" t="s">
        <v>2546</v>
      </c>
      <c r="Q44" s="752">
        <f>R44*(1-Bolts!$E$1157)</f>
        <v>231.10526315789471</v>
      </c>
      <c r="R44" s="752">
        <v>231.10526315789471</v>
      </c>
      <c r="S44" s="464">
        <f t="shared" si="0"/>
        <v>37</v>
      </c>
      <c r="T44" s="465">
        <v>7</v>
      </c>
      <c r="U44" s="466">
        <v>3</v>
      </c>
      <c r="V44" s="467">
        <v>5</v>
      </c>
      <c r="W44" s="468">
        <v>5</v>
      </c>
      <c r="X44" s="469">
        <v>5</v>
      </c>
      <c r="Y44" s="470">
        <v>4</v>
      </c>
      <c r="Z44" s="471">
        <v>4</v>
      </c>
      <c r="AA44" s="472">
        <v>4</v>
      </c>
      <c r="AB44" s="473">
        <v>0</v>
      </c>
      <c r="AC44" s="464">
        <f t="shared" si="1"/>
        <v>111</v>
      </c>
      <c r="AD44" s="474">
        <f t="shared" si="2"/>
        <v>8550.894736842105</v>
      </c>
      <c r="AE44" s="475">
        <v>4.4409999999999998</v>
      </c>
      <c r="AF44" s="507">
        <f t="shared" si="3"/>
        <v>164.31700000000001</v>
      </c>
      <c r="AG44"/>
      <c r="AH44"/>
      <c r="AI44"/>
    </row>
    <row r="45" spans="1:36" ht="12.75" customHeight="1">
      <c r="A45" s="214"/>
      <c r="B45" s="703" t="s">
        <v>2558</v>
      </c>
      <c r="C45" s="476" t="s">
        <v>1076</v>
      </c>
      <c r="D45" s="476" t="s">
        <v>456</v>
      </c>
      <c r="E45" s="478">
        <v>7</v>
      </c>
      <c r="F45" s="476"/>
      <c r="G45" s="476"/>
      <c r="H45" s="476" t="s">
        <v>445</v>
      </c>
      <c r="I45" s="476" t="s">
        <v>456</v>
      </c>
      <c r="J45" s="478">
        <v>7</v>
      </c>
      <c r="K45" s="476"/>
      <c r="L45" s="476"/>
      <c r="M45" s="476" t="s">
        <v>456</v>
      </c>
      <c r="N45" s="476" t="s">
        <v>451</v>
      </c>
      <c r="O45" s="478">
        <v>7</v>
      </c>
      <c r="P45" s="478" t="s">
        <v>2559</v>
      </c>
      <c r="Q45" s="752">
        <f>R45*(1-Bolts!$E$1157)</f>
        <v>265.02631578947364</v>
      </c>
      <c r="R45" s="752">
        <v>265.02631578947364</v>
      </c>
      <c r="S45" s="464">
        <f t="shared" si="0"/>
        <v>39</v>
      </c>
      <c r="T45" s="465">
        <v>6</v>
      </c>
      <c r="U45" s="466">
        <v>4</v>
      </c>
      <c r="V45" s="467">
        <v>5</v>
      </c>
      <c r="W45" s="468">
        <v>1</v>
      </c>
      <c r="X45" s="469">
        <v>4</v>
      </c>
      <c r="Y45" s="470">
        <v>5</v>
      </c>
      <c r="Z45" s="471">
        <v>5</v>
      </c>
      <c r="AA45" s="472">
        <v>6</v>
      </c>
      <c r="AB45" s="473">
        <v>3</v>
      </c>
      <c r="AC45" s="464">
        <f t="shared" si="1"/>
        <v>273</v>
      </c>
      <c r="AD45" s="474">
        <f t="shared" si="2"/>
        <v>10336.026315789471</v>
      </c>
      <c r="AE45" s="475">
        <v>3.6120000000000001</v>
      </c>
      <c r="AF45" s="507">
        <f t="shared" si="3"/>
        <v>140.86799999999999</v>
      </c>
      <c r="AG45"/>
      <c r="AH45"/>
      <c r="AI45"/>
    </row>
    <row r="46" spans="1:36" ht="12.75" customHeight="1">
      <c r="A46" s="48"/>
      <c r="B46" s="705"/>
      <c r="C46" s="476"/>
      <c r="D46" s="476"/>
      <c r="E46" s="478"/>
      <c r="F46" s="476"/>
      <c r="G46" s="476"/>
      <c r="H46" s="476"/>
      <c r="I46" s="477"/>
      <c r="J46" s="478"/>
      <c r="K46" s="476"/>
      <c r="L46" s="476"/>
      <c r="M46" s="477"/>
      <c r="N46" s="477"/>
      <c r="O46" s="478"/>
      <c r="P46" s="478"/>
      <c r="Q46" s="753"/>
      <c r="R46" s="752">
        <v>0</v>
      </c>
      <c r="S46" s="479"/>
      <c r="T46" s="465">
        <v>0</v>
      </c>
      <c r="U46" s="466">
        <v>0</v>
      </c>
      <c r="V46" s="467">
        <v>0</v>
      </c>
      <c r="W46" s="468">
        <v>0</v>
      </c>
      <c r="X46" s="469">
        <v>0</v>
      </c>
      <c r="Y46" s="470">
        <v>0</v>
      </c>
      <c r="Z46" s="471">
        <v>0</v>
      </c>
      <c r="AA46" s="472">
        <v>0</v>
      </c>
      <c r="AB46" s="473">
        <v>0</v>
      </c>
      <c r="AC46" s="479"/>
      <c r="AD46" s="488"/>
      <c r="AE46" s="489">
        <v>0</v>
      </c>
      <c r="AF46" s="508"/>
      <c r="AG46"/>
      <c r="AH46"/>
      <c r="AI46"/>
    </row>
    <row r="47" spans="1:36" ht="12.75" customHeight="1">
      <c r="A47" s="48"/>
      <c r="B47" s="703" t="s">
        <v>2094</v>
      </c>
      <c r="C47" s="476" t="s">
        <v>1076</v>
      </c>
      <c r="D47" s="476" t="s">
        <v>1146</v>
      </c>
      <c r="E47" s="478">
        <v>1</v>
      </c>
      <c r="F47" s="476"/>
      <c r="G47" s="476"/>
      <c r="H47" s="476" t="s">
        <v>445</v>
      </c>
      <c r="I47" s="476" t="s">
        <v>493</v>
      </c>
      <c r="J47" s="478">
        <v>1</v>
      </c>
      <c r="K47" s="476"/>
      <c r="L47" s="476"/>
      <c r="M47" s="476" t="s">
        <v>493</v>
      </c>
      <c r="N47" s="476" t="s">
        <v>449</v>
      </c>
      <c r="O47" s="478">
        <v>1</v>
      </c>
      <c r="P47" s="478" t="s">
        <v>2095</v>
      </c>
      <c r="Q47" s="752">
        <f>R47*(1-Bolts!$E$1157)</f>
        <v>303.5263157894737</v>
      </c>
      <c r="R47" s="752">
        <v>303.5263157894737</v>
      </c>
      <c r="S47" s="464">
        <f t="shared" ref="S47" si="6">SUM(T47:AB47)</f>
        <v>54</v>
      </c>
      <c r="T47" s="465">
        <v>9</v>
      </c>
      <c r="U47" s="466">
        <v>0</v>
      </c>
      <c r="V47" s="467">
        <v>9</v>
      </c>
      <c r="W47" s="468">
        <v>8</v>
      </c>
      <c r="X47" s="469">
        <v>8</v>
      </c>
      <c r="Y47" s="470">
        <v>5</v>
      </c>
      <c r="Z47" s="471">
        <v>5</v>
      </c>
      <c r="AA47" s="472">
        <v>10</v>
      </c>
      <c r="AB47" s="473">
        <v>0</v>
      </c>
      <c r="AC47" s="464">
        <f>S47*O47</f>
        <v>54</v>
      </c>
      <c r="AD47" s="474">
        <f>S47*R47</f>
        <v>16390.42105263158</v>
      </c>
      <c r="AE47" s="475">
        <v>5.8540000000000001</v>
      </c>
      <c r="AF47" s="507">
        <f t="shared" ref="AF47" si="7">AE47*S47</f>
        <v>316.11599999999999</v>
      </c>
      <c r="AG47"/>
      <c r="AH47"/>
      <c r="AI47"/>
    </row>
    <row r="48" spans="1:36" ht="12.75" customHeight="1">
      <c r="A48" s="48"/>
      <c r="B48" s="705"/>
      <c r="C48" s="476"/>
      <c r="D48" s="476"/>
      <c r="E48" s="478"/>
      <c r="F48" s="476"/>
      <c r="G48" s="476"/>
      <c r="H48" s="476"/>
      <c r="I48" s="477"/>
      <c r="J48" s="478"/>
      <c r="K48" s="476"/>
      <c r="L48" s="476"/>
      <c r="M48" s="477"/>
      <c r="N48" s="477"/>
      <c r="O48" s="478"/>
      <c r="P48" s="478"/>
      <c r="Q48" s="753"/>
      <c r="R48" s="752">
        <v>0</v>
      </c>
      <c r="S48" s="479"/>
      <c r="T48" s="465">
        <v>0</v>
      </c>
      <c r="U48" s="466">
        <v>0</v>
      </c>
      <c r="V48" s="467">
        <v>0</v>
      </c>
      <c r="W48" s="468">
        <v>0</v>
      </c>
      <c r="X48" s="469">
        <v>0</v>
      </c>
      <c r="Y48" s="470">
        <v>0</v>
      </c>
      <c r="Z48" s="471">
        <v>0</v>
      </c>
      <c r="AA48" s="472">
        <v>0</v>
      </c>
      <c r="AB48" s="473">
        <v>0</v>
      </c>
      <c r="AC48" s="479"/>
      <c r="AD48" s="488"/>
      <c r="AE48" s="489">
        <v>0</v>
      </c>
      <c r="AF48" s="508"/>
      <c r="AG48"/>
      <c r="AH48"/>
      <c r="AI48"/>
    </row>
    <row r="49" spans="1:36" ht="12.75" customHeight="1">
      <c r="A49" s="48"/>
      <c r="B49" s="707" t="s">
        <v>1814</v>
      </c>
      <c r="C49" s="461" t="s">
        <v>1076</v>
      </c>
      <c r="D49" s="461" t="s">
        <v>1146</v>
      </c>
      <c r="E49" s="462">
        <v>2</v>
      </c>
      <c r="F49" s="461"/>
      <c r="G49" s="461"/>
      <c r="H49" s="461" t="s">
        <v>445</v>
      </c>
      <c r="I49" s="461" t="s">
        <v>493</v>
      </c>
      <c r="J49" s="462">
        <v>2</v>
      </c>
      <c r="K49" s="461"/>
      <c r="L49" s="461"/>
      <c r="M49" s="461" t="s">
        <v>493</v>
      </c>
      <c r="N49" s="461" t="s">
        <v>449</v>
      </c>
      <c r="O49" s="462">
        <v>2</v>
      </c>
      <c r="P49" s="462" t="s">
        <v>1817</v>
      </c>
      <c r="Q49" s="752">
        <f>R49*(1-Bolts!$E$1157)</f>
        <v>266.9473684210526</v>
      </c>
      <c r="R49" s="752">
        <v>266.9473684210526</v>
      </c>
      <c r="S49" s="464">
        <f t="shared" ref="S49" si="8">SUM(T49:AB49)</f>
        <v>57</v>
      </c>
      <c r="T49" s="465">
        <v>10</v>
      </c>
      <c r="U49" s="466">
        <v>0</v>
      </c>
      <c r="V49" s="467">
        <v>10</v>
      </c>
      <c r="W49" s="468">
        <v>8</v>
      </c>
      <c r="X49" s="469">
        <v>8</v>
      </c>
      <c r="Y49" s="470">
        <v>6</v>
      </c>
      <c r="Z49" s="471">
        <v>3</v>
      </c>
      <c r="AA49" s="472">
        <v>12</v>
      </c>
      <c r="AB49" s="473">
        <v>0</v>
      </c>
      <c r="AC49" s="464">
        <f t="shared" ref="AC49:AC58" si="9">S49*O49</f>
        <v>114</v>
      </c>
      <c r="AD49" s="474">
        <f t="shared" ref="AD49:AD58" si="10">S49*R49</f>
        <v>15215.999999999998</v>
      </c>
      <c r="AE49" s="475">
        <v>4.2411321781729105</v>
      </c>
      <c r="AF49" s="507">
        <f t="shared" ref="AF49" si="11">AE49*S49</f>
        <v>241.74453415585589</v>
      </c>
      <c r="AG49"/>
      <c r="AH49"/>
      <c r="AI49"/>
    </row>
    <row r="50" spans="1:36" ht="12.75" customHeight="1">
      <c r="A50" s="48"/>
      <c r="B50" s="707" t="s">
        <v>1673</v>
      </c>
      <c r="C50" s="461" t="s">
        <v>1076</v>
      </c>
      <c r="D50" s="461" t="s">
        <v>1146</v>
      </c>
      <c r="E50" s="462">
        <v>3</v>
      </c>
      <c r="F50" s="461"/>
      <c r="G50" s="461"/>
      <c r="H50" s="461" t="s">
        <v>445</v>
      </c>
      <c r="I50" s="461" t="s">
        <v>493</v>
      </c>
      <c r="J50" s="462">
        <v>3</v>
      </c>
      <c r="K50" s="461"/>
      <c r="L50" s="461"/>
      <c r="M50" s="461" t="s">
        <v>493</v>
      </c>
      <c r="N50" s="461" t="s">
        <v>449</v>
      </c>
      <c r="O50" s="462">
        <v>3</v>
      </c>
      <c r="P50" s="462" t="s">
        <v>1674</v>
      </c>
      <c r="Q50" s="752">
        <f>R50*(1-Bolts!$E$1157)</f>
        <v>363.76315789473682</v>
      </c>
      <c r="R50" s="752">
        <v>363.76315789473682</v>
      </c>
      <c r="S50" s="464">
        <f>SUM(T50:AB50)</f>
        <v>44</v>
      </c>
      <c r="T50" s="465">
        <v>3</v>
      </c>
      <c r="U50" s="466">
        <v>0</v>
      </c>
      <c r="V50" s="467">
        <v>10</v>
      </c>
      <c r="W50" s="468">
        <v>3</v>
      </c>
      <c r="X50" s="469">
        <v>9</v>
      </c>
      <c r="Y50" s="470">
        <v>6</v>
      </c>
      <c r="Z50" s="471">
        <v>3</v>
      </c>
      <c r="AA50" s="472">
        <v>10</v>
      </c>
      <c r="AB50" s="473">
        <v>0</v>
      </c>
      <c r="AC50" s="464">
        <f t="shared" si="9"/>
        <v>132</v>
      </c>
      <c r="AD50" s="474">
        <f t="shared" si="10"/>
        <v>16005.57894736842</v>
      </c>
      <c r="AE50" s="475">
        <v>6.1680000000000001</v>
      </c>
      <c r="AF50" s="507">
        <f>AE50*S50</f>
        <v>271.392</v>
      </c>
      <c r="AG50"/>
      <c r="AH50"/>
      <c r="AI50"/>
    </row>
    <row r="51" spans="1:36" ht="12.75" customHeight="1">
      <c r="A51" s="48"/>
      <c r="B51" s="703" t="s">
        <v>1960</v>
      </c>
      <c r="C51" s="476" t="s">
        <v>1076</v>
      </c>
      <c r="D51" s="476" t="s">
        <v>1146</v>
      </c>
      <c r="E51" s="478">
        <v>3</v>
      </c>
      <c r="F51" s="476"/>
      <c r="G51" s="476"/>
      <c r="H51" s="476" t="s">
        <v>445</v>
      </c>
      <c r="I51" s="476" t="s">
        <v>493</v>
      </c>
      <c r="J51" s="478">
        <v>3</v>
      </c>
      <c r="K51" s="476"/>
      <c r="L51" s="476"/>
      <c r="M51" s="476" t="s">
        <v>493</v>
      </c>
      <c r="N51" s="476" t="s">
        <v>452</v>
      </c>
      <c r="O51" s="478">
        <v>3</v>
      </c>
      <c r="P51" s="478" t="s">
        <v>1961</v>
      </c>
      <c r="Q51" s="752">
        <f>R51*(1-Bolts!$E$1157)</f>
        <v>361.28947368421052</v>
      </c>
      <c r="R51" s="752">
        <v>361.28947368421052</v>
      </c>
      <c r="S51" s="464">
        <f t="shared" ref="S51:S58" si="12">SUM(T51:AB51)</f>
        <v>46</v>
      </c>
      <c r="T51" s="465">
        <v>4</v>
      </c>
      <c r="U51" s="466">
        <v>0</v>
      </c>
      <c r="V51" s="467">
        <v>4</v>
      </c>
      <c r="W51" s="468">
        <v>9</v>
      </c>
      <c r="X51" s="469">
        <v>9</v>
      </c>
      <c r="Y51" s="470">
        <v>5</v>
      </c>
      <c r="Z51" s="471">
        <v>5</v>
      </c>
      <c r="AA51" s="472">
        <v>10</v>
      </c>
      <c r="AB51" s="473">
        <v>0</v>
      </c>
      <c r="AC51" s="464">
        <f t="shared" si="9"/>
        <v>138</v>
      </c>
      <c r="AD51" s="474">
        <f t="shared" si="10"/>
        <v>16619.315789473683</v>
      </c>
      <c r="AE51" s="475">
        <v>7.2729999999999997</v>
      </c>
      <c r="AF51" s="507">
        <f t="shared" ref="AF51:AF58" si="13">AE51*S51</f>
        <v>334.55799999999999</v>
      </c>
      <c r="AG51"/>
      <c r="AH51"/>
      <c r="AI51"/>
    </row>
    <row r="52" spans="1:36" ht="12.75" customHeight="1">
      <c r="A52" s="214"/>
      <c r="B52" s="703" t="s">
        <v>2872</v>
      </c>
      <c r="C52" s="476" t="s">
        <v>1076</v>
      </c>
      <c r="D52" s="476" t="s">
        <v>1146</v>
      </c>
      <c r="E52" s="478">
        <v>2</v>
      </c>
      <c r="F52" s="476"/>
      <c r="G52" s="476"/>
      <c r="H52" s="476" t="s">
        <v>445</v>
      </c>
      <c r="I52" s="476" t="s">
        <v>493</v>
      </c>
      <c r="J52" s="478">
        <v>2</v>
      </c>
      <c r="K52" s="476"/>
      <c r="L52" s="476"/>
      <c r="M52" s="476" t="s">
        <v>493</v>
      </c>
      <c r="N52" s="476" t="s">
        <v>449</v>
      </c>
      <c r="O52" s="478">
        <v>2</v>
      </c>
      <c r="P52" s="478" t="s">
        <v>2873</v>
      </c>
      <c r="Q52" s="752">
        <f>R52*(1-Bolts!$E$1157)</f>
        <v>210.15789473684211</v>
      </c>
      <c r="R52" s="752">
        <v>210.15789473684211</v>
      </c>
      <c r="S52" s="464">
        <f t="shared" si="12"/>
        <v>62</v>
      </c>
      <c r="T52" s="465">
        <v>9</v>
      </c>
      <c r="U52" s="466">
        <v>0</v>
      </c>
      <c r="V52" s="467">
        <v>10</v>
      </c>
      <c r="W52" s="468">
        <v>10</v>
      </c>
      <c r="X52" s="469">
        <v>8</v>
      </c>
      <c r="Y52" s="470">
        <v>5</v>
      </c>
      <c r="Z52" s="471">
        <v>5</v>
      </c>
      <c r="AA52" s="472">
        <v>10</v>
      </c>
      <c r="AB52" s="473">
        <v>5</v>
      </c>
      <c r="AC52" s="464">
        <f t="shared" si="9"/>
        <v>124</v>
      </c>
      <c r="AD52" s="474">
        <f t="shared" si="10"/>
        <v>13029.78947368421</v>
      </c>
      <c r="AE52" s="475">
        <v>4.3744443436451048</v>
      </c>
      <c r="AF52" s="507">
        <f t="shared" si="13"/>
        <v>271.21554930599649</v>
      </c>
      <c r="AG52"/>
      <c r="AH52"/>
      <c r="AI52"/>
      <c r="AJ52"/>
    </row>
    <row r="53" spans="1:36" ht="12.75" customHeight="1">
      <c r="A53" s="214" t="s">
        <v>2612</v>
      </c>
      <c r="B53" s="704" t="s">
        <v>3081</v>
      </c>
      <c r="C53" s="644" t="s">
        <v>1076</v>
      </c>
      <c r="D53" s="644" t="s">
        <v>1146</v>
      </c>
      <c r="E53" s="645">
        <v>2</v>
      </c>
      <c r="F53" s="644"/>
      <c r="G53" s="644"/>
      <c r="H53" s="644" t="s">
        <v>445</v>
      </c>
      <c r="I53" s="644" t="s">
        <v>493</v>
      </c>
      <c r="J53" s="645">
        <v>2</v>
      </c>
      <c r="K53" s="644"/>
      <c r="L53" s="644"/>
      <c r="M53" s="644" t="s">
        <v>493</v>
      </c>
      <c r="N53" s="644" t="s">
        <v>449</v>
      </c>
      <c r="O53" s="645">
        <v>2</v>
      </c>
      <c r="P53" s="645" t="s">
        <v>3069</v>
      </c>
      <c r="Q53" s="752">
        <f>R53*(1-Bolts!$E$1157)</f>
        <v>213.63157894736844</v>
      </c>
      <c r="R53" s="752">
        <v>213.63157894736844</v>
      </c>
      <c r="S53" s="464">
        <f t="shared" si="12"/>
        <v>23</v>
      </c>
      <c r="T53" s="465">
        <v>0</v>
      </c>
      <c r="U53" s="466">
        <v>0</v>
      </c>
      <c r="V53" s="467">
        <v>5</v>
      </c>
      <c r="W53" s="468">
        <v>4</v>
      </c>
      <c r="X53" s="469">
        <v>5</v>
      </c>
      <c r="Y53" s="470">
        <v>4</v>
      </c>
      <c r="Z53" s="471">
        <v>0</v>
      </c>
      <c r="AA53" s="472">
        <v>5</v>
      </c>
      <c r="AB53" s="473">
        <v>0</v>
      </c>
      <c r="AC53" s="464">
        <f t="shared" si="9"/>
        <v>46</v>
      </c>
      <c r="AD53" s="474">
        <f t="shared" si="10"/>
        <v>4913.5263157894742</v>
      </c>
      <c r="AE53" s="475">
        <v>4.4526898303547116</v>
      </c>
      <c r="AF53" s="507">
        <f t="shared" si="13"/>
        <v>102.41186609815837</v>
      </c>
      <c r="AG53"/>
      <c r="AH53"/>
      <c r="AI53"/>
      <c r="AJ53"/>
    </row>
    <row r="54" spans="1:36" ht="12.75" customHeight="1">
      <c r="A54" s="214" t="s">
        <v>2612</v>
      </c>
      <c r="B54" s="741" t="s">
        <v>3106</v>
      </c>
      <c r="C54" s="742" t="s">
        <v>1076</v>
      </c>
      <c r="D54" s="742" t="s">
        <v>1146</v>
      </c>
      <c r="E54" s="743">
        <v>2</v>
      </c>
      <c r="F54" s="742"/>
      <c r="G54" s="742"/>
      <c r="H54" s="742" t="s">
        <v>445</v>
      </c>
      <c r="I54" s="742" t="s">
        <v>493</v>
      </c>
      <c r="J54" s="743">
        <v>2</v>
      </c>
      <c r="K54" s="742"/>
      <c r="L54" s="742"/>
      <c r="M54" s="742" t="s">
        <v>493</v>
      </c>
      <c r="N54" s="742" t="s">
        <v>449</v>
      </c>
      <c r="O54" s="743">
        <v>2</v>
      </c>
      <c r="P54" s="743" t="s">
        <v>3107</v>
      </c>
      <c r="Q54" s="752">
        <f>R54*(1-Bolts!$E$1157)</f>
        <v>257.81578947368422</v>
      </c>
      <c r="R54" s="752">
        <v>257.81578947368422</v>
      </c>
      <c r="S54" s="464">
        <f t="shared" ref="S54:S55" si="14">SUM(T54:AB54)</f>
        <v>11</v>
      </c>
      <c r="T54" s="465">
        <v>0</v>
      </c>
      <c r="U54" s="466">
        <v>0</v>
      </c>
      <c r="V54" s="467">
        <v>0</v>
      </c>
      <c r="W54" s="468">
        <v>3</v>
      </c>
      <c r="X54" s="469">
        <v>3</v>
      </c>
      <c r="Y54" s="470">
        <v>5</v>
      </c>
      <c r="Z54" s="471">
        <v>0</v>
      </c>
      <c r="AA54" s="472">
        <v>0</v>
      </c>
      <c r="AB54" s="473">
        <v>0</v>
      </c>
      <c r="AC54" s="464">
        <f t="shared" ref="AC54:AC55" si="15">S54*O54</f>
        <v>22</v>
      </c>
      <c r="AD54" s="474">
        <f t="shared" ref="AD54:AD55" si="16">S54*R54</f>
        <v>2835.9736842105262</v>
      </c>
      <c r="AE54" s="475">
        <v>5.4604916991744528</v>
      </c>
      <c r="AF54" s="507">
        <f t="shared" ref="AF54:AF55" si="17">AE54*S54</f>
        <v>60.065408690918979</v>
      </c>
      <c r="AG54"/>
      <c r="AH54"/>
      <c r="AI54"/>
      <c r="AJ54"/>
    </row>
    <row r="55" spans="1:36" ht="12.75" customHeight="1">
      <c r="A55" s="214" t="s">
        <v>2612</v>
      </c>
      <c r="B55" s="741" t="s">
        <v>3108</v>
      </c>
      <c r="C55" s="742" t="s">
        <v>1076</v>
      </c>
      <c r="D55" s="742" t="s">
        <v>1146</v>
      </c>
      <c r="E55" s="743">
        <v>2</v>
      </c>
      <c r="F55" s="742"/>
      <c r="G55" s="742"/>
      <c r="H55" s="742" t="s">
        <v>445</v>
      </c>
      <c r="I55" s="742" t="s">
        <v>493</v>
      </c>
      <c r="J55" s="743">
        <v>2</v>
      </c>
      <c r="K55" s="742"/>
      <c r="L55" s="742"/>
      <c r="M55" s="742" t="s">
        <v>493</v>
      </c>
      <c r="N55" s="742" t="s">
        <v>449</v>
      </c>
      <c r="O55" s="743">
        <v>2</v>
      </c>
      <c r="P55" s="743" t="s">
        <v>3109</v>
      </c>
      <c r="Q55" s="752">
        <f>R55*(1-Bolts!$E$1157)</f>
        <v>197.84210526315792</v>
      </c>
      <c r="R55" s="752">
        <v>197.84210526315792</v>
      </c>
      <c r="S55" s="464">
        <f t="shared" si="14"/>
        <v>7</v>
      </c>
      <c r="T55" s="465">
        <v>0</v>
      </c>
      <c r="U55" s="466">
        <v>0</v>
      </c>
      <c r="V55" s="467">
        <v>0</v>
      </c>
      <c r="W55" s="468">
        <v>4</v>
      </c>
      <c r="X55" s="469">
        <v>1</v>
      </c>
      <c r="Y55" s="470">
        <v>2</v>
      </c>
      <c r="Z55" s="471">
        <v>0</v>
      </c>
      <c r="AA55" s="472">
        <v>0</v>
      </c>
      <c r="AB55" s="473">
        <v>0</v>
      </c>
      <c r="AC55" s="464">
        <f t="shared" si="15"/>
        <v>14</v>
      </c>
      <c r="AD55" s="474">
        <f t="shared" si="16"/>
        <v>1384.8947368421054</v>
      </c>
      <c r="AE55" s="475">
        <v>4.0938038646466479</v>
      </c>
      <c r="AF55" s="507">
        <f t="shared" si="17"/>
        <v>28.656627052526535</v>
      </c>
      <c r="AG55"/>
      <c r="AH55"/>
      <c r="AI55"/>
      <c r="AJ55"/>
    </row>
    <row r="56" spans="1:36" ht="12.75" customHeight="1">
      <c r="A56" s="214" t="s">
        <v>2612</v>
      </c>
      <c r="B56" s="704" t="s">
        <v>3084</v>
      </c>
      <c r="C56" s="644" t="s">
        <v>1076</v>
      </c>
      <c r="D56" s="644" t="s">
        <v>1146</v>
      </c>
      <c r="E56" s="645">
        <v>2</v>
      </c>
      <c r="F56" s="644"/>
      <c r="G56" s="644"/>
      <c r="H56" s="644" t="s">
        <v>445</v>
      </c>
      <c r="I56" s="644" t="s">
        <v>493</v>
      </c>
      <c r="J56" s="645">
        <v>2</v>
      </c>
      <c r="K56" s="644"/>
      <c r="L56" s="644"/>
      <c r="M56" s="644" t="s">
        <v>493</v>
      </c>
      <c r="N56" s="644" t="s">
        <v>451</v>
      </c>
      <c r="O56" s="645">
        <v>2</v>
      </c>
      <c r="P56" s="645" t="s">
        <v>3082</v>
      </c>
      <c r="Q56" s="752">
        <f>R56*(1-Bolts!$E$1157)</f>
        <v>185.94736842105263</v>
      </c>
      <c r="R56" s="752">
        <v>185.94736842105263</v>
      </c>
      <c r="S56" s="464">
        <f t="shared" ref="S56" si="18">SUM(T56:AB56)</f>
        <v>24</v>
      </c>
      <c r="T56" s="465">
        <v>0</v>
      </c>
      <c r="U56" s="466">
        <v>0</v>
      </c>
      <c r="V56" s="467">
        <v>5</v>
      </c>
      <c r="W56" s="468">
        <v>4</v>
      </c>
      <c r="X56" s="469">
        <v>5</v>
      </c>
      <c r="Y56" s="470">
        <v>5</v>
      </c>
      <c r="Z56" s="471">
        <v>0</v>
      </c>
      <c r="AA56" s="472">
        <v>5</v>
      </c>
      <c r="AB56" s="473">
        <v>0</v>
      </c>
      <c r="AC56" s="464">
        <f t="shared" ref="AC56" si="19">S56*O56</f>
        <v>48</v>
      </c>
      <c r="AD56" s="474">
        <f t="shared" ref="AD56" si="20">S56*R56</f>
        <v>4462.7368421052633</v>
      </c>
      <c r="AE56" s="475">
        <v>3.8225528440533423</v>
      </c>
      <c r="AF56" s="507">
        <f t="shared" ref="AF56" si="21">AE56*S56</f>
        <v>91.741268257280211</v>
      </c>
      <c r="AG56"/>
      <c r="AH56"/>
      <c r="AI56"/>
      <c r="AJ56"/>
    </row>
    <row r="57" spans="1:36" ht="12.75" customHeight="1">
      <c r="A57" s="48"/>
      <c r="B57" s="707" t="s">
        <v>371</v>
      </c>
      <c r="C57" s="461" t="s">
        <v>1076</v>
      </c>
      <c r="D57" s="461" t="s">
        <v>1146</v>
      </c>
      <c r="E57" s="462">
        <v>2</v>
      </c>
      <c r="F57" s="461"/>
      <c r="G57" s="461"/>
      <c r="H57" s="461" t="s">
        <v>445</v>
      </c>
      <c r="I57" s="523" t="s">
        <v>493</v>
      </c>
      <c r="J57" s="462">
        <v>2</v>
      </c>
      <c r="K57" s="461"/>
      <c r="L57" s="461"/>
      <c r="M57" s="523" t="s">
        <v>493</v>
      </c>
      <c r="N57" s="523" t="s">
        <v>449</v>
      </c>
      <c r="O57" s="462">
        <v>2</v>
      </c>
      <c r="P57" s="462" t="s">
        <v>415</v>
      </c>
      <c r="Q57" s="752">
        <f>R57*(1-Bolts!$E$1157)</f>
        <v>250.89473684210526</v>
      </c>
      <c r="R57" s="752">
        <v>250.89473684210526</v>
      </c>
      <c r="S57" s="464">
        <f t="shared" si="12"/>
        <v>33</v>
      </c>
      <c r="T57" s="465">
        <v>4</v>
      </c>
      <c r="U57" s="466">
        <v>0</v>
      </c>
      <c r="V57" s="467">
        <v>5</v>
      </c>
      <c r="W57" s="468">
        <v>3</v>
      </c>
      <c r="X57" s="469">
        <v>2</v>
      </c>
      <c r="Y57" s="470">
        <v>6</v>
      </c>
      <c r="Z57" s="471">
        <v>0</v>
      </c>
      <c r="AA57" s="472">
        <v>13</v>
      </c>
      <c r="AB57" s="473">
        <v>0</v>
      </c>
      <c r="AC57" s="464">
        <f t="shared" si="9"/>
        <v>66</v>
      </c>
      <c r="AD57" s="474">
        <f t="shared" si="10"/>
        <v>8279.5263157894733</v>
      </c>
      <c r="AE57" s="475">
        <v>4.8319999999999999</v>
      </c>
      <c r="AF57" s="507">
        <f t="shared" si="13"/>
        <v>159.45599999999999</v>
      </c>
      <c r="AG57"/>
      <c r="AH57"/>
      <c r="AI57"/>
    </row>
    <row r="58" spans="1:36" ht="12.75" customHeight="1">
      <c r="A58" s="48"/>
      <c r="B58" s="707" t="s">
        <v>372</v>
      </c>
      <c r="C58" s="461" t="s">
        <v>1076</v>
      </c>
      <c r="D58" s="461" t="s">
        <v>1146</v>
      </c>
      <c r="E58" s="462">
        <v>2</v>
      </c>
      <c r="F58" s="461"/>
      <c r="G58" s="461"/>
      <c r="H58" s="461" t="s">
        <v>445</v>
      </c>
      <c r="I58" s="523" t="s">
        <v>493</v>
      </c>
      <c r="J58" s="462">
        <v>2</v>
      </c>
      <c r="K58" s="461"/>
      <c r="L58" s="461"/>
      <c r="M58" s="523" t="s">
        <v>493</v>
      </c>
      <c r="N58" s="523" t="s">
        <v>449</v>
      </c>
      <c r="O58" s="462">
        <v>2</v>
      </c>
      <c r="P58" s="462" t="s">
        <v>416</v>
      </c>
      <c r="Q58" s="752">
        <f>R58*(1-Bolts!$E$1157)</f>
        <v>317.15789473684208</v>
      </c>
      <c r="R58" s="752">
        <v>317.15789473684208</v>
      </c>
      <c r="S58" s="464">
        <f t="shared" si="12"/>
        <v>36</v>
      </c>
      <c r="T58" s="465">
        <v>7</v>
      </c>
      <c r="U58" s="466">
        <v>0</v>
      </c>
      <c r="V58" s="467">
        <v>5</v>
      </c>
      <c r="W58" s="468">
        <v>3</v>
      </c>
      <c r="X58" s="469">
        <v>5</v>
      </c>
      <c r="Y58" s="470">
        <v>5</v>
      </c>
      <c r="Z58" s="471">
        <v>0</v>
      </c>
      <c r="AA58" s="472">
        <v>11</v>
      </c>
      <c r="AB58" s="473">
        <v>0</v>
      </c>
      <c r="AC58" s="464">
        <f t="shared" si="9"/>
        <v>72</v>
      </c>
      <c r="AD58" s="474">
        <f t="shared" si="10"/>
        <v>11417.684210526315</v>
      </c>
      <c r="AE58" s="475">
        <v>4.7779999999999996</v>
      </c>
      <c r="AF58" s="507">
        <f t="shared" si="13"/>
        <v>172.00799999999998</v>
      </c>
      <c r="AG58"/>
      <c r="AH58"/>
      <c r="AI58"/>
    </row>
    <row r="59" spans="1:36" ht="12.75" customHeight="1">
      <c r="A59" s="48"/>
      <c r="B59" s="705"/>
      <c r="C59" s="476"/>
      <c r="D59" s="476"/>
      <c r="E59" s="478"/>
      <c r="F59" s="476"/>
      <c r="G59" s="476"/>
      <c r="H59" s="476"/>
      <c r="I59" s="477"/>
      <c r="J59" s="478"/>
      <c r="K59" s="476"/>
      <c r="L59" s="476"/>
      <c r="M59" s="477"/>
      <c r="N59" s="477"/>
      <c r="O59" s="478"/>
      <c r="P59" s="478"/>
      <c r="Q59" s="753"/>
      <c r="R59" s="752">
        <v>0</v>
      </c>
      <c r="S59" s="479"/>
      <c r="T59" s="465">
        <v>0</v>
      </c>
      <c r="U59" s="466">
        <v>0</v>
      </c>
      <c r="V59" s="467">
        <v>0</v>
      </c>
      <c r="W59" s="468">
        <v>0</v>
      </c>
      <c r="X59" s="469">
        <v>0</v>
      </c>
      <c r="Y59" s="470">
        <v>0</v>
      </c>
      <c r="Z59" s="471">
        <v>0</v>
      </c>
      <c r="AA59" s="472">
        <v>0</v>
      </c>
      <c r="AB59" s="473">
        <v>0</v>
      </c>
      <c r="AC59" s="479"/>
      <c r="AD59" s="488"/>
      <c r="AE59" s="489">
        <v>0</v>
      </c>
      <c r="AF59" s="508"/>
      <c r="AG59"/>
      <c r="AH59"/>
      <c r="AI59"/>
    </row>
    <row r="60" spans="1:36" ht="12.75" customHeight="1">
      <c r="A60" s="48"/>
      <c r="B60" s="707" t="s">
        <v>1813</v>
      </c>
      <c r="C60" s="461" t="s">
        <v>1076</v>
      </c>
      <c r="D60" s="461" t="s">
        <v>1150</v>
      </c>
      <c r="E60" s="462">
        <v>4</v>
      </c>
      <c r="F60" s="461"/>
      <c r="G60" s="461"/>
      <c r="H60" s="461" t="s">
        <v>445</v>
      </c>
      <c r="I60" s="461" t="s">
        <v>458</v>
      </c>
      <c r="J60" s="462">
        <v>4</v>
      </c>
      <c r="K60" s="461"/>
      <c r="L60" s="461"/>
      <c r="M60" s="461" t="s">
        <v>458</v>
      </c>
      <c r="N60" s="461" t="s">
        <v>452</v>
      </c>
      <c r="O60" s="462">
        <v>4</v>
      </c>
      <c r="P60" s="462" t="s">
        <v>1811</v>
      </c>
      <c r="Q60" s="752">
        <f>R60*(1-Bolts!$E$1157)</f>
        <v>226.55263157894737</v>
      </c>
      <c r="R60" s="752">
        <v>226.55263157894737</v>
      </c>
      <c r="S60" s="464">
        <f>SUM(T60:AB60)</f>
        <v>44</v>
      </c>
      <c r="T60" s="465">
        <v>5</v>
      </c>
      <c r="U60" s="466">
        <v>0</v>
      </c>
      <c r="V60" s="467">
        <v>4</v>
      </c>
      <c r="W60" s="468">
        <v>10</v>
      </c>
      <c r="X60" s="469">
        <v>9</v>
      </c>
      <c r="Y60" s="470">
        <v>4</v>
      </c>
      <c r="Z60" s="471">
        <v>2</v>
      </c>
      <c r="AA60" s="472">
        <v>10</v>
      </c>
      <c r="AB60" s="473">
        <v>0</v>
      </c>
      <c r="AC60" s="464">
        <f t="shared" ref="AC60:AC73" si="22">S60*O60</f>
        <v>176</v>
      </c>
      <c r="AD60" s="474">
        <f t="shared" ref="AD60:AD73" si="23">S60*R60</f>
        <v>9968.3157894736851</v>
      </c>
      <c r="AE60" s="475">
        <v>4.1141250113399259</v>
      </c>
      <c r="AF60" s="507">
        <f>AE60*S60</f>
        <v>181.02150049895675</v>
      </c>
      <c r="AG60"/>
      <c r="AH60"/>
      <c r="AI60"/>
    </row>
    <row r="61" spans="1:36" ht="12.75" customHeight="1">
      <c r="A61" s="48"/>
      <c r="B61" s="707" t="s">
        <v>1745</v>
      </c>
      <c r="C61" s="461" t="s">
        <v>1076</v>
      </c>
      <c r="D61" s="461" t="s">
        <v>1150</v>
      </c>
      <c r="E61" s="462">
        <v>5</v>
      </c>
      <c r="F61" s="461"/>
      <c r="G61" s="461"/>
      <c r="H61" s="461" t="s">
        <v>445</v>
      </c>
      <c r="I61" s="461" t="s">
        <v>457</v>
      </c>
      <c r="J61" s="462">
        <v>5</v>
      </c>
      <c r="K61" s="461"/>
      <c r="L61" s="461"/>
      <c r="M61" s="461" t="s">
        <v>457</v>
      </c>
      <c r="N61" s="461" t="s">
        <v>449</v>
      </c>
      <c r="O61" s="462">
        <v>5</v>
      </c>
      <c r="P61" s="462" t="s">
        <v>1732</v>
      </c>
      <c r="Q61" s="752">
        <f>R61*(1-Bolts!$E$1157)</f>
        <v>325.36842105263156</v>
      </c>
      <c r="R61" s="752">
        <v>325.36842105263156</v>
      </c>
      <c r="S61" s="464">
        <f>SUM(T61:AB61)</f>
        <v>51</v>
      </c>
      <c r="T61" s="465">
        <v>8</v>
      </c>
      <c r="U61" s="466">
        <v>0</v>
      </c>
      <c r="V61" s="467">
        <v>9</v>
      </c>
      <c r="W61" s="468">
        <v>9</v>
      </c>
      <c r="X61" s="469">
        <v>7</v>
      </c>
      <c r="Y61" s="470">
        <v>5</v>
      </c>
      <c r="Z61" s="471">
        <v>3</v>
      </c>
      <c r="AA61" s="472">
        <v>10</v>
      </c>
      <c r="AB61" s="473">
        <v>0</v>
      </c>
      <c r="AC61" s="464">
        <f t="shared" si="22"/>
        <v>255</v>
      </c>
      <c r="AD61" s="474">
        <f t="shared" si="23"/>
        <v>16593.78947368421</v>
      </c>
      <c r="AE61" s="475">
        <v>6.0509843055429551</v>
      </c>
      <c r="AF61" s="507">
        <f>AE61*S61</f>
        <v>308.60019958269072</v>
      </c>
      <c r="AG61"/>
      <c r="AH61"/>
      <c r="AI61"/>
    </row>
    <row r="62" spans="1:36" ht="12.75" customHeight="1">
      <c r="A62" s="214"/>
      <c r="B62" s="707" t="s">
        <v>2552</v>
      </c>
      <c r="C62" s="461" t="s">
        <v>1076</v>
      </c>
      <c r="D62" s="461" t="s">
        <v>1150</v>
      </c>
      <c r="E62" s="462">
        <v>6</v>
      </c>
      <c r="F62" s="461"/>
      <c r="G62" s="461"/>
      <c r="H62" s="461" t="s">
        <v>445</v>
      </c>
      <c r="I62" s="461" t="s">
        <v>458</v>
      </c>
      <c r="J62" s="462">
        <v>6</v>
      </c>
      <c r="K62" s="461"/>
      <c r="L62" s="461"/>
      <c r="M62" s="461" t="s">
        <v>458</v>
      </c>
      <c r="N62" s="461" t="s">
        <v>451</v>
      </c>
      <c r="O62" s="462">
        <v>6</v>
      </c>
      <c r="P62" s="462" t="s">
        <v>2553</v>
      </c>
      <c r="Q62" s="752">
        <f>R62*(1-Bolts!$E$1157)</f>
        <v>369.21052631578948</v>
      </c>
      <c r="R62" s="752">
        <v>369.21052631578948</v>
      </c>
      <c r="S62" s="464">
        <f t="shared" ref="S62" si="24">SUM(T62:AB62)</f>
        <v>49</v>
      </c>
      <c r="T62" s="465">
        <v>7</v>
      </c>
      <c r="U62" s="466">
        <v>4</v>
      </c>
      <c r="V62" s="467">
        <v>6</v>
      </c>
      <c r="W62" s="468">
        <v>9</v>
      </c>
      <c r="X62" s="469">
        <v>8</v>
      </c>
      <c r="Y62" s="470">
        <v>3</v>
      </c>
      <c r="Z62" s="471">
        <v>4</v>
      </c>
      <c r="AA62" s="472">
        <v>8</v>
      </c>
      <c r="AB62" s="473">
        <v>0</v>
      </c>
      <c r="AC62" s="464">
        <f t="shared" si="22"/>
        <v>294</v>
      </c>
      <c r="AD62" s="474">
        <f t="shared" si="23"/>
        <v>18091.315789473683</v>
      </c>
      <c r="AE62" s="475">
        <v>6.81</v>
      </c>
      <c r="AF62" s="507">
        <f t="shared" ref="AF62" si="25">AE62*S62</f>
        <v>333.69</v>
      </c>
      <c r="AG62"/>
      <c r="AH62"/>
      <c r="AI62"/>
    </row>
    <row r="63" spans="1:36" ht="12.75" customHeight="1">
      <c r="A63" s="214"/>
      <c r="B63" s="707" t="s">
        <v>2485</v>
      </c>
      <c r="C63" s="461" t="s">
        <v>1076</v>
      </c>
      <c r="D63" s="461" t="s">
        <v>1150</v>
      </c>
      <c r="E63" s="462">
        <v>4</v>
      </c>
      <c r="F63" s="461"/>
      <c r="G63" s="461"/>
      <c r="H63" s="461" t="s">
        <v>445</v>
      </c>
      <c r="I63" s="461" t="s">
        <v>455</v>
      </c>
      <c r="J63" s="462">
        <v>4</v>
      </c>
      <c r="K63" s="461"/>
      <c r="L63" s="461"/>
      <c r="M63" s="461" t="s">
        <v>455</v>
      </c>
      <c r="N63" s="461" t="s">
        <v>449</v>
      </c>
      <c r="O63" s="462">
        <v>4</v>
      </c>
      <c r="P63" s="462" t="s">
        <v>2481</v>
      </c>
      <c r="Q63" s="752">
        <f>R63*(1-Bolts!$E$1157)</f>
        <v>407.02631578947364</v>
      </c>
      <c r="R63" s="752">
        <v>407.02631578947364</v>
      </c>
      <c r="S63" s="464">
        <f t="shared" ref="S63" si="26">SUM(T63:AB63)</f>
        <v>49</v>
      </c>
      <c r="T63" s="465">
        <v>4</v>
      </c>
      <c r="U63" s="466">
        <v>0</v>
      </c>
      <c r="V63" s="467">
        <v>7</v>
      </c>
      <c r="W63" s="468">
        <v>8</v>
      </c>
      <c r="X63" s="469">
        <v>10</v>
      </c>
      <c r="Y63" s="470">
        <v>5</v>
      </c>
      <c r="Z63" s="471">
        <v>4</v>
      </c>
      <c r="AA63" s="472">
        <v>11</v>
      </c>
      <c r="AB63" s="473">
        <v>0</v>
      </c>
      <c r="AC63" s="464">
        <f t="shared" si="22"/>
        <v>196</v>
      </c>
      <c r="AD63" s="474">
        <f t="shared" si="23"/>
        <v>19944.28947368421</v>
      </c>
      <c r="AE63" s="475">
        <v>3.652363240497142</v>
      </c>
      <c r="AF63" s="507">
        <f t="shared" ref="AF63" si="27">AE63*S63</f>
        <v>178.96579878435995</v>
      </c>
      <c r="AG63"/>
      <c r="AH63"/>
      <c r="AI63"/>
    </row>
    <row r="64" spans="1:36" ht="12.75" customHeight="1">
      <c r="A64" s="214"/>
      <c r="B64" s="707" t="s">
        <v>2515</v>
      </c>
      <c r="C64" s="461" t="s">
        <v>1076</v>
      </c>
      <c r="D64" s="461" t="s">
        <v>1150</v>
      </c>
      <c r="E64" s="462">
        <v>3</v>
      </c>
      <c r="F64" s="461"/>
      <c r="G64" s="461"/>
      <c r="H64" s="461" t="s">
        <v>445</v>
      </c>
      <c r="I64" s="461" t="s">
        <v>455</v>
      </c>
      <c r="J64" s="462">
        <v>3</v>
      </c>
      <c r="K64" s="461"/>
      <c r="L64" s="461"/>
      <c r="M64" s="461" t="s">
        <v>455</v>
      </c>
      <c r="N64" s="461" t="s">
        <v>449</v>
      </c>
      <c r="O64" s="462">
        <v>3</v>
      </c>
      <c r="P64" s="462" t="s">
        <v>2512</v>
      </c>
      <c r="Q64" s="752">
        <f>R64*(1-Bolts!$E$1157)</f>
        <v>202.36842105263159</v>
      </c>
      <c r="R64" s="752">
        <v>202.36842105263159</v>
      </c>
      <c r="S64" s="464">
        <f t="shared" ref="S64:S66" si="28">SUM(T64:AB64)</f>
        <v>48</v>
      </c>
      <c r="T64" s="465">
        <v>5</v>
      </c>
      <c r="U64" s="466">
        <v>4</v>
      </c>
      <c r="V64" s="467">
        <v>6</v>
      </c>
      <c r="W64" s="468">
        <v>9</v>
      </c>
      <c r="X64" s="469">
        <v>8</v>
      </c>
      <c r="Y64" s="470">
        <v>3</v>
      </c>
      <c r="Z64" s="471">
        <v>4</v>
      </c>
      <c r="AA64" s="472">
        <v>9</v>
      </c>
      <c r="AB64" s="473">
        <v>0</v>
      </c>
      <c r="AC64" s="464">
        <f t="shared" si="22"/>
        <v>144</v>
      </c>
      <c r="AD64" s="474">
        <f t="shared" si="23"/>
        <v>9713.6842105263167</v>
      </c>
      <c r="AE64" s="475">
        <v>3.8039999999999994</v>
      </c>
      <c r="AF64" s="507">
        <f t="shared" ref="AF64:AF66" si="29">AE64*S64</f>
        <v>182.59199999999998</v>
      </c>
      <c r="AG64"/>
      <c r="AH64"/>
      <c r="AI64"/>
    </row>
    <row r="65" spans="1:36" ht="12.75" customHeight="1">
      <c r="A65" s="214"/>
      <c r="B65" s="745" t="s">
        <v>2978</v>
      </c>
      <c r="C65" s="742" t="s">
        <v>1076</v>
      </c>
      <c r="D65" s="742" t="s">
        <v>1150</v>
      </c>
      <c r="E65" s="743">
        <v>3</v>
      </c>
      <c r="F65" s="742"/>
      <c r="G65" s="742"/>
      <c r="H65" s="742" t="s">
        <v>445</v>
      </c>
      <c r="I65" s="742" t="s">
        <v>455</v>
      </c>
      <c r="J65" s="743">
        <v>3</v>
      </c>
      <c r="K65" s="742"/>
      <c r="L65" s="742"/>
      <c r="M65" s="742" t="s">
        <v>455</v>
      </c>
      <c r="N65" s="742" t="s">
        <v>449</v>
      </c>
      <c r="O65" s="743">
        <v>3</v>
      </c>
      <c r="P65" s="743" t="s">
        <v>2875</v>
      </c>
      <c r="Q65" s="752">
        <f>R65*(1-Bolts!$E$1157)</f>
        <v>260.68421052631578</v>
      </c>
      <c r="R65" s="752">
        <v>260.68421052631578</v>
      </c>
      <c r="S65" s="464">
        <f t="shared" ref="S65" si="30">SUM(T65:AB65)</f>
        <v>69</v>
      </c>
      <c r="T65" s="465">
        <v>8</v>
      </c>
      <c r="U65" s="466">
        <v>0</v>
      </c>
      <c r="V65" s="467">
        <v>14</v>
      </c>
      <c r="W65" s="468">
        <v>6</v>
      </c>
      <c r="X65" s="469">
        <v>14</v>
      </c>
      <c r="Y65" s="470">
        <v>11</v>
      </c>
      <c r="Z65" s="471">
        <v>5</v>
      </c>
      <c r="AA65" s="472">
        <v>7</v>
      </c>
      <c r="AB65" s="473">
        <v>4</v>
      </c>
      <c r="AC65" s="464">
        <f t="shared" si="22"/>
        <v>207</v>
      </c>
      <c r="AD65" s="474">
        <f t="shared" si="23"/>
        <v>17987.21052631579</v>
      </c>
      <c r="AE65" s="475">
        <v>3.5679941939580875</v>
      </c>
      <c r="AF65" s="507">
        <f t="shared" ref="AF65" si="31">AE65*S65</f>
        <v>246.19159938310804</v>
      </c>
      <c r="AG65"/>
      <c r="AH65"/>
      <c r="AI65"/>
      <c r="AJ65"/>
    </row>
    <row r="66" spans="1:36" ht="12.75" customHeight="1">
      <c r="A66" s="214" t="s">
        <v>2612</v>
      </c>
      <c r="B66" s="704" t="s">
        <v>2892</v>
      </c>
      <c r="C66" s="644" t="s">
        <v>1076</v>
      </c>
      <c r="D66" s="644" t="s">
        <v>1150</v>
      </c>
      <c r="E66" s="645">
        <v>4</v>
      </c>
      <c r="F66" s="644"/>
      <c r="G66" s="644"/>
      <c r="H66" s="644" t="s">
        <v>445</v>
      </c>
      <c r="I66" s="644" t="s">
        <v>453</v>
      </c>
      <c r="J66" s="645">
        <v>4</v>
      </c>
      <c r="K66" s="644"/>
      <c r="L66" s="644"/>
      <c r="M66" s="644" t="s">
        <v>453</v>
      </c>
      <c r="N66" s="644" t="s">
        <v>452</v>
      </c>
      <c r="O66" s="645">
        <v>4</v>
      </c>
      <c r="P66" s="645" t="s">
        <v>2877</v>
      </c>
      <c r="Q66" s="752">
        <f>R66*(1-Bolts!$E$1157)</f>
        <v>223.52631578947367</v>
      </c>
      <c r="R66" s="752">
        <v>223.52631578947367</v>
      </c>
      <c r="S66" s="464">
        <f t="shared" si="28"/>
        <v>41</v>
      </c>
      <c r="T66" s="465">
        <v>4</v>
      </c>
      <c r="U66" s="466">
        <v>0</v>
      </c>
      <c r="V66" s="467">
        <v>7</v>
      </c>
      <c r="W66" s="468">
        <v>2</v>
      </c>
      <c r="X66" s="469">
        <v>1</v>
      </c>
      <c r="Y66" s="470">
        <v>7</v>
      </c>
      <c r="Z66" s="471">
        <v>5</v>
      </c>
      <c r="AA66" s="472">
        <v>10</v>
      </c>
      <c r="AB66" s="473">
        <v>5</v>
      </c>
      <c r="AC66" s="464">
        <f t="shared" si="22"/>
        <v>164</v>
      </c>
      <c r="AD66" s="474">
        <f t="shared" si="23"/>
        <v>9164.5789473684199</v>
      </c>
      <c r="AE66" s="475">
        <v>4.2221264628504027</v>
      </c>
      <c r="AF66" s="507">
        <f t="shared" si="29"/>
        <v>173.10718497686651</v>
      </c>
      <c r="AG66"/>
      <c r="AH66"/>
      <c r="AI66"/>
      <c r="AJ66"/>
    </row>
    <row r="67" spans="1:36" ht="12.75" customHeight="1">
      <c r="A67" s="48"/>
      <c r="B67" s="707" t="s">
        <v>373</v>
      </c>
      <c r="C67" s="461" t="s">
        <v>1076</v>
      </c>
      <c r="D67" s="461" t="s">
        <v>1150</v>
      </c>
      <c r="E67" s="462">
        <v>4</v>
      </c>
      <c r="F67" s="461"/>
      <c r="G67" s="461"/>
      <c r="H67" s="461" t="s">
        <v>445</v>
      </c>
      <c r="I67" s="523" t="s">
        <v>457</v>
      </c>
      <c r="J67" s="462">
        <v>4</v>
      </c>
      <c r="K67" s="461"/>
      <c r="L67" s="461"/>
      <c r="M67" s="523" t="s">
        <v>457</v>
      </c>
      <c r="N67" s="523" t="s">
        <v>449</v>
      </c>
      <c r="O67" s="462">
        <v>4</v>
      </c>
      <c r="P67" s="462" t="s">
        <v>417</v>
      </c>
      <c r="Q67" s="752">
        <f>R67*(1-Bolts!$E$1157)</f>
        <v>376.31578947368422</v>
      </c>
      <c r="R67" s="752">
        <v>376.31578947368422</v>
      </c>
      <c r="S67" s="464">
        <f t="shared" ref="S67:S73" si="32">SUM(T67:AB67)</f>
        <v>34</v>
      </c>
      <c r="T67" s="465">
        <v>5</v>
      </c>
      <c r="U67" s="466">
        <v>0</v>
      </c>
      <c r="V67" s="467">
        <v>3</v>
      </c>
      <c r="W67" s="468">
        <v>6</v>
      </c>
      <c r="X67" s="469">
        <v>8</v>
      </c>
      <c r="Y67" s="470">
        <v>0</v>
      </c>
      <c r="Z67" s="471">
        <v>0</v>
      </c>
      <c r="AA67" s="472">
        <v>12</v>
      </c>
      <c r="AB67" s="473">
        <v>0</v>
      </c>
      <c r="AC67" s="464">
        <f t="shared" si="22"/>
        <v>136</v>
      </c>
      <c r="AD67" s="474">
        <f t="shared" si="23"/>
        <v>12794.736842105263</v>
      </c>
      <c r="AE67" s="475">
        <v>7.3509999999999991</v>
      </c>
      <c r="AF67" s="507">
        <f t="shared" ref="AF67:AF73" si="33">AE67*S67</f>
        <v>249.93399999999997</v>
      </c>
      <c r="AG67"/>
      <c r="AH67"/>
      <c r="AI67"/>
    </row>
    <row r="68" spans="1:36" ht="12.75" customHeight="1">
      <c r="A68" s="48"/>
      <c r="B68" s="707" t="s">
        <v>374</v>
      </c>
      <c r="C68" s="461" t="s">
        <v>1076</v>
      </c>
      <c r="D68" s="461" t="s">
        <v>1150</v>
      </c>
      <c r="E68" s="462">
        <v>3</v>
      </c>
      <c r="F68" s="461"/>
      <c r="G68" s="461"/>
      <c r="H68" s="461" t="s">
        <v>445</v>
      </c>
      <c r="I68" s="523" t="s">
        <v>457</v>
      </c>
      <c r="J68" s="462">
        <v>3</v>
      </c>
      <c r="K68" s="461"/>
      <c r="L68" s="461"/>
      <c r="M68" s="523" t="s">
        <v>457</v>
      </c>
      <c r="N68" s="523" t="s">
        <v>449</v>
      </c>
      <c r="O68" s="462">
        <v>3</v>
      </c>
      <c r="P68" s="462" t="s">
        <v>418</v>
      </c>
      <c r="Q68" s="752">
        <f>R68*(1-Bolts!$E$1157)</f>
        <v>341.65789473684214</v>
      </c>
      <c r="R68" s="752">
        <v>341.65789473684214</v>
      </c>
      <c r="S68" s="464">
        <f t="shared" si="32"/>
        <v>34</v>
      </c>
      <c r="T68" s="465">
        <v>3</v>
      </c>
      <c r="U68" s="466">
        <v>0</v>
      </c>
      <c r="V68" s="467">
        <v>6</v>
      </c>
      <c r="W68" s="468">
        <v>5</v>
      </c>
      <c r="X68" s="469">
        <v>7</v>
      </c>
      <c r="Y68" s="470">
        <v>2</v>
      </c>
      <c r="Z68" s="471">
        <v>0</v>
      </c>
      <c r="AA68" s="472">
        <v>11</v>
      </c>
      <c r="AB68" s="473">
        <v>0</v>
      </c>
      <c r="AC68" s="464">
        <f t="shared" si="22"/>
        <v>102</v>
      </c>
      <c r="AD68" s="474">
        <f t="shared" si="23"/>
        <v>11616.368421052633</v>
      </c>
      <c r="AE68" s="475">
        <v>6.3769999999999998</v>
      </c>
      <c r="AF68" s="507">
        <f t="shared" si="33"/>
        <v>216.81799999999998</v>
      </c>
      <c r="AG68"/>
      <c r="AH68"/>
      <c r="AI68"/>
    </row>
    <row r="69" spans="1:36" ht="12.75" customHeight="1">
      <c r="A69" s="48"/>
      <c r="B69" s="707" t="s">
        <v>375</v>
      </c>
      <c r="C69" s="461" t="s">
        <v>1076</v>
      </c>
      <c r="D69" s="461" t="s">
        <v>1150</v>
      </c>
      <c r="E69" s="462">
        <v>4</v>
      </c>
      <c r="F69" s="461"/>
      <c r="G69" s="461"/>
      <c r="H69" s="461" t="s">
        <v>445</v>
      </c>
      <c r="I69" s="523" t="s">
        <v>457</v>
      </c>
      <c r="J69" s="462">
        <v>4</v>
      </c>
      <c r="K69" s="461"/>
      <c r="L69" s="461"/>
      <c r="M69" s="523" t="s">
        <v>457</v>
      </c>
      <c r="N69" s="523" t="s">
        <v>449</v>
      </c>
      <c r="O69" s="462">
        <v>4</v>
      </c>
      <c r="P69" s="462" t="s">
        <v>419</v>
      </c>
      <c r="Q69" s="752">
        <f>R69*(1-Bolts!$E$1157)</f>
        <v>248.07894736842104</v>
      </c>
      <c r="R69" s="752">
        <v>248.07894736842104</v>
      </c>
      <c r="S69" s="464">
        <f t="shared" si="32"/>
        <v>40</v>
      </c>
      <c r="T69" s="465">
        <v>3</v>
      </c>
      <c r="U69" s="466">
        <v>0</v>
      </c>
      <c r="V69" s="467">
        <v>7</v>
      </c>
      <c r="W69" s="468">
        <v>4</v>
      </c>
      <c r="X69" s="469">
        <v>8</v>
      </c>
      <c r="Y69" s="470">
        <v>5</v>
      </c>
      <c r="Z69" s="471">
        <v>0</v>
      </c>
      <c r="AA69" s="472">
        <v>13</v>
      </c>
      <c r="AB69" s="473">
        <v>0</v>
      </c>
      <c r="AC69" s="464">
        <f t="shared" si="22"/>
        <v>160</v>
      </c>
      <c r="AD69" s="474">
        <f t="shared" si="23"/>
        <v>9923.1578947368416</v>
      </c>
      <c r="AE69" s="475">
        <v>4.5819999999999999</v>
      </c>
      <c r="AF69" s="507">
        <f t="shared" si="33"/>
        <v>183.28</v>
      </c>
      <c r="AG69"/>
      <c r="AH69"/>
      <c r="AI69"/>
    </row>
    <row r="70" spans="1:36" ht="12.75" customHeight="1">
      <c r="A70" s="48"/>
      <c r="B70" s="707" t="s">
        <v>376</v>
      </c>
      <c r="C70" s="461" t="s">
        <v>1076</v>
      </c>
      <c r="D70" s="461" t="s">
        <v>1150</v>
      </c>
      <c r="E70" s="462">
        <v>4</v>
      </c>
      <c r="F70" s="461"/>
      <c r="G70" s="461"/>
      <c r="H70" s="461" t="s">
        <v>445</v>
      </c>
      <c r="I70" s="523" t="s">
        <v>457</v>
      </c>
      <c r="J70" s="462">
        <v>4</v>
      </c>
      <c r="K70" s="461"/>
      <c r="L70" s="461"/>
      <c r="M70" s="523" t="s">
        <v>457</v>
      </c>
      <c r="N70" s="523" t="s">
        <v>449</v>
      </c>
      <c r="O70" s="462">
        <v>4</v>
      </c>
      <c r="P70" s="462" t="s">
        <v>420</v>
      </c>
      <c r="Q70" s="752">
        <f>R70*(1-Bolts!$E$1157)</f>
        <v>225.63157894736841</v>
      </c>
      <c r="R70" s="752">
        <v>225.63157894736841</v>
      </c>
      <c r="S70" s="464">
        <f t="shared" si="32"/>
        <v>37</v>
      </c>
      <c r="T70" s="465">
        <v>2</v>
      </c>
      <c r="U70" s="466">
        <v>0</v>
      </c>
      <c r="V70" s="467">
        <v>5</v>
      </c>
      <c r="W70" s="468">
        <v>9</v>
      </c>
      <c r="X70" s="469">
        <v>6</v>
      </c>
      <c r="Y70" s="470">
        <v>0</v>
      </c>
      <c r="Z70" s="471">
        <v>0</v>
      </c>
      <c r="AA70" s="472">
        <v>15</v>
      </c>
      <c r="AB70" s="473">
        <v>0</v>
      </c>
      <c r="AC70" s="464">
        <f t="shared" si="22"/>
        <v>148</v>
      </c>
      <c r="AD70" s="474">
        <f t="shared" si="23"/>
        <v>8348.3684210526317</v>
      </c>
      <c r="AE70" s="475">
        <v>4.0730000000000004</v>
      </c>
      <c r="AF70" s="507">
        <f t="shared" si="33"/>
        <v>150.70100000000002</v>
      </c>
      <c r="AG70"/>
      <c r="AH70"/>
      <c r="AI70"/>
    </row>
    <row r="71" spans="1:36" ht="12.75" customHeight="1">
      <c r="A71" s="48"/>
      <c r="B71" s="707" t="s">
        <v>377</v>
      </c>
      <c r="C71" s="461" t="s">
        <v>1076</v>
      </c>
      <c r="D71" s="461" t="s">
        <v>1150</v>
      </c>
      <c r="E71" s="462">
        <v>4</v>
      </c>
      <c r="F71" s="461"/>
      <c r="G71" s="461"/>
      <c r="H71" s="461" t="s">
        <v>445</v>
      </c>
      <c r="I71" s="523" t="s">
        <v>457</v>
      </c>
      <c r="J71" s="462">
        <v>4</v>
      </c>
      <c r="K71" s="461"/>
      <c r="L71" s="461"/>
      <c r="M71" s="523" t="s">
        <v>457</v>
      </c>
      <c r="N71" s="523" t="s">
        <v>449</v>
      </c>
      <c r="O71" s="462">
        <v>4</v>
      </c>
      <c r="P71" s="462" t="s">
        <v>421</v>
      </c>
      <c r="Q71" s="752">
        <f>R71*(1-Bolts!$E$1157)</f>
        <v>315.34210526315786</v>
      </c>
      <c r="R71" s="752">
        <v>315.34210526315786</v>
      </c>
      <c r="S71" s="464">
        <f t="shared" si="32"/>
        <v>37</v>
      </c>
      <c r="T71" s="465">
        <v>2</v>
      </c>
      <c r="U71" s="466">
        <v>0</v>
      </c>
      <c r="V71" s="467">
        <v>7</v>
      </c>
      <c r="W71" s="468">
        <v>9</v>
      </c>
      <c r="X71" s="469">
        <v>6</v>
      </c>
      <c r="Y71" s="470">
        <v>0</v>
      </c>
      <c r="Z71" s="471">
        <v>0</v>
      </c>
      <c r="AA71" s="472">
        <v>13</v>
      </c>
      <c r="AB71" s="473">
        <v>0</v>
      </c>
      <c r="AC71" s="464">
        <f t="shared" si="22"/>
        <v>148</v>
      </c>
      <c r="AD71" s="474">
        <f t="shared" si="23"/>
        <v>11667.657894736842</v>
      </c>
      <c r="AE71" s="475">
        <v>5.6950000000000003</v>
      </c>
      <c r="AF71" s="507">
        <f t="shared" si="33"/>
        <v>210.715</v>
      </c>
      <c r="AG71"/>
      <c r="AH71"/>
      <c r="AI71"/>
    </row>
    <row r="72" spans="1:36" ht="12.75" customHeight="1">
      <c r="A72" s="48"/>
      <c r="B72" s="707" t="s">
        <v>378</v>
      </c>
      <c r="C72" s="461" t="s">
        <v>1076</v>
      </c>
      <c r="D72" s="461" t="s">
        <v>1150</v>
      </c>
      <c r="E72" s="462">
        <v>4</v>
      </c>
      <c r="F72" s="461"/>
      <c r="G72" s="461"/>
      <c r="H72" s="461" t="s">
        <v>445</v>
      </c>
      <c r="I72" s="523" t="s">
        <v>457</v>
      </c>
      <c r="J72" s="462">
        <v>4</v>
      </c>
      <c r="K72" s="461"/>
      <c r="L72" s="461"/>
      <c r="M72" s="523" t="s">
        <v>457</v>
      </c>
      <c r="N72" s="523" t="s">
        <v>449</v>
      </c>
      <c r="O72" s="462">
        <v>4</v>
      </c>
      <c r="P72" s="462" t="s">
        <v>422</v>
      </c>
      <c r="Q72" s="752">
        <f>R72*(1-Bolts!$E$1157)</f>
        <v>295.31578947368422</v>
      </c>
      <c r="R72" s="752">
        <v>295.31578947368422</v>
      </c>
      <c r="S72" s="464">
        <f t="shared" si="32"/>
        <v>31</v>
      </c>
      <c r="T72" s="465">
        <v>4</v>
      </c>
      <c r="U72" s="466">
        <v>0</v>
      </c>
      <c r="V72" s="467">
        <v>4</v>
      </c>
      <c r="W72" s="468">
        <v>9</v>
      </c>
      <c r="X72" s="469">
        <v>1</v>
      </c>
      <c r="Y72" s="470">
        <v>0</v>
      </c>
      <c r="Z72" s="471">
        <v>0</v>
      </c>
      <c r="AA72" s="472">
        <v>13</v>
      </c>
      <c r="AB72" s="473">
        <v>0</v>
      </c>
      <c r="AC72" s="464">
        <f t="shared" si="22"/>
        <v>124</v>
      </c>
      <c r="AD72" s="474">
        <f t="shared" si="23"/>
        <v>9154.78947368421</v>
      </c>
      <c r="AE72" s="475">
        <v>5.2910000000000004</v>
      </c>
      <c r="AF72" s="507">
        <f t="shared" si="33"/>
        <v>164.02100000000002</v>
      </c>
      <c r="AG72"/>
      <c r="AH72"/>
      <c r="AI72"/>
    </row>
    <row r="73" spans="1:36" ht="12.75" customHeight="1">
      <c r="A73" s="214"/>
      <c r="B73" s="707" t="s">
        <v>2484</v>
      </c>
      <c r="C73" s="461" t="s">
        <v>1076</v>
      </c>
      <c r="D73" s="461" t="s">
        <v>1150</v>
      </c>
      <c r="E73" s="462">
        <v>1</v>
      </c>
      <c r="F73" s="461"/>
      <c r="G73" s="461"/>
      <c r="H73" s="461" t="s">
        <v>445</v>
      </c>
      <c r="I73" s="523" t="s">
        <v>457</v>
      </c>
      <c r="J73" s="462">
        <v>1</v>
      </c>
      <c r="K73" s="461"/>
      <c r="L73" s="461"/>
      <c r="M73" s="523" t="s">
        <v>457</v>
      </c>
      <c r="N73" s="523" t="s">
        <v>449</v>
      </c>
      <c r="O73" s="462">
        <v>1</v>
      </c>
      <c r="P73" s="462" t="s">
        <v>2479</v>
      </c>
      <c r="Q73" s="752">
        <f>R73*(1-Bolts!$E$1157)</f>
        <v>121.71052631578947</v>
      </c>
      <c r="R73" s="752">
        <v>121.71052631578947</v>
      </c>
      <c r="S73" s="464">
        <f t="shared" si="32"/>
        <v>46</v>
      </c>
      <c r="T73" s="465">
        <v>9</v>
      </c>
      <c r="U73" s="466">
        <v>0</v>
      </c>
      <c r="V73" s="467">
        <v>8</v>
      </c>
      <c r="W73" s="468">
        <v>5</v>
      </c>
      <c r="X73" s="469">
        <v>7</v>
      </c>
      <c r="Y73" s="470">
        <v>5</v>
      </c>
      <c r="Z73" s="471">
        <v>0</v>
      </c>
      <c r="AA73" s="472">
        <v>12</v>
      </c>
      <c r="AB73" s="473">
        <v>0</v>
      </c>
      <c r="AC73" s="464">
        <f t="shared" si="22"/>
        <v>46</v>
      </c>
      <c r="AD73" s="474">
        <f t="shared" si="23"/>
        <v>5598.6842105263158</v>
      </c>
      <c r="AE73" s="475">
        <v>2.2440000000000002</v>
      </c>
      <c r="AF73" s="507">
        <f t="shared" si="33"/>
        <v>103.224</v>
      </c>
      <c r="AG73"/>
      <c r="AH73"/>
      <c r="AI73"/>
    </row>
    <row r="74" spans="1:36" ht="12.75" customHeight="1">
      <c r="A74" s="48"/>
      <c r="B74" s="705"/>
      <c r="C74" s="476"/>
      <c r="D74" s="476"/>
      <c r="E74" s="478"/>
      <c r="F74" s="476"/>
      <c r="G74" s="476"/>
      <c r="H74" s="476"/>
      <c r="I74" s="477"/>
      <c r="J74" s="478"/>
      <c r="K74" s="476"/>
      <c r="L74" s="476"/>
      <c r="M74" s="477"/>
      <c r="N74" s="477"/>
      <c r="O74" s="478"/>
      <c r="P74" s="478"/>
      <c r="Q74" s="753"/>
      <c r="R74" s="752">
        <v>0</v>
      </c>
      <c r="S74" s="479"/>
      <c r="T74" s="465">
        <v>0</v>
      </c>
      <c r="U74" s="466">
        <v>0</v>
      </c>
      <c r="V74" s="467">
        <v>0</v>
      </c>
      <c r="W74" s="468">
        <v>0</v>
      </c>
      <c r="X74" s="469">
        <v>0</v>
      </c>
      <c r="Y74" s="470">
        <v>0</v>
      </c>
      <c r="Z74" s="471">
        <v>0</v>
      </c>
      <c r="AA74" s="472">
        <v>0</v>
      </c>
      <c r="AB74" s="473">
        <v>0</v>
      </c>
      <c r="AC74" s="479"/>
      <c r="AD74" s="488"/>
      <c r="AE74" s="489">
        <v>0</v>
      </c>
      <c r="AF74" s="508"/>
      <c r="AG74"/>
      <c r="AH74"/>
      <c r="AI74"/>
    </row>
    <row r="75" spans="1:36" ht="12.75" customHeight="1">
      <c r="A75" s="48"/>
      <c r="B75" s="707" t="s">
        <v>1055</v>
      </c>
      <c r="C75" s="461" t="s">
        <v>1076</v>
      </c>
      <c r="D75" s="461" t="s">
        <v>1151</v>
      </c>
      <c r="E75" s="462">
        <v>4</v>
      </c>
      <c r="F75" s="461"/>
      <c r="G75" s="461"/>
      <c r="H75" s="461" t="s">
        <v>445</v>
      </c>
      <c r="I75" s="461" t="s">
        <v>453</v>
      </c>
      <c r="J75" s="462">
        <v>4</v>
      </c>
      <c r="K75" s="461"/>
      <c r="L75" s="461"/>
      <c r="M75" s="461" t="s">
        <v>453</v>
      </c>
      <c r="N75" s="461" t="s">
        <v>452</v>
      </c>
      <c r="O75" s="462">
        <v>4</v>
      </c>
      <c r="P75" s="462" t="s">
        <v>1056</v>
      </c>
      <c r="Q75" s="752">
        <f>R75*(1-Bolts!$E$1157)</f>
        <v>185.05263157894734</v>
      </c>
      <c r="R75" s="752">
        <v>185.05263157894734</v>
      </c>
      <c r="S75" s="464">
        <f>SUM(T75:AB75)</f>
        <v>43</v>
      </c>
      <c r="T75" s="465">
        <v>4</v>
      </c>
      <c r="U75" s="466">
        <v>0</v>
      </c>
      <c r="V75" s="467">
        <v>4</v>
      </c>
      <c r="W75" s="468">
        <v>9</v>
      </c>
      <c r="X75" s="469">
        <v>5</v>
      </c>
      <c r="Y75" s="470">
        <v>5</v>
      </c>
      <c r="Z75" s="471">
        <v>4</v>
      </c>
      <c r="AA75" s="472">
        <v>12</v>
      </c>
      <c r="AB75" s="473">
        <v>0</v>
      </c>
      <c r="AC75" s="464">
        <f t="shared" ref="AC75:AC89" si="34">S75*O75</f>
        <v>172</v>
      </c>
      <c r="AD75" s="474">
        <f t="shared" ref="AD75:AD89" si="35">S75*R75</f>
        <v>7957.2631578947357</v>
      </c>
      <c r="AE75" s="475">
        <v>3.188787081556745</v>
      </c>
      <c r="AF75" s="507">
        <f>AE75*S75</f>
        <v>137.11784450694003</v>
      </c>
      <c r="AG75"/>
      <c r="AH75"/>
      <c r="AI75"/>
    </row>
    <row r="76" spans="1:36" ht="12.75" customHeight="1">
      <c r="A76" s="48"/>
      <c r="B76" s="707" t="s">
        <v>1830</v>
      </c>
      <c r="C76" s="461" t="s">
        <v>1076</v>
      </c>
      <c r="D76" s="461" t="s">
        <v>1151</v>
      </c>
      <c r="E76" s="462">
        <v>5</v>
      </c>
      <c r="F76" s="461"/>
      <c r="G76" s="461"/>
      <c r="H76" s="461" t="s">
        <v>445</v>
      </c>
      <c r="I76" s="461" t="s">
        <v>458</v>
      </c>
      <c r="J76" s="462">
        <v>5</v>
      </c>
      <c r="K76" s="461"/>
      <c r="L76" s="461"/>
      <c r="M76" s="461" t="s">
        <v>458</v>
      </c>
      <c r="N76" s="461" t="s">
        <v>452</v>
      </c>
      <c r="O76" s="462">
        <v>5</v>
      </c>
      <c r="P76" s="462" t="s">
        <v>1831</v>
      </c>
      <c r="Q76" s="752">
        <f>R76*(1-Bolts!$E$1157)</f>
        <v>179.49999999999997</v>
      </c>
      <c r="R76" s="752">
        <v>179.49999999999997</v>
      </c>
      <c r="S76" s="464">
        <f t="shared" ref="S76" si="36">SUM(T76:AB76)</f>
        <v>49</v>
      </c>
      <c r="T76" s="465">
        <v>7</v>
      </c>
      <c r="U76" s="466">
        <v>0</v>
      </c>
      <c r="V76" s="467">
        <v>9</v>
      </c>
      <c r="W76" s="468">
        <v>4</v>
      </c>
      <c r="X76" s="469">
        <v>9</v>
      </c>
      <c r="Y76" s="470">
        <v>5</v>
      </c>
      <c r="Z76" s="471">
        <v>3</v>
      </c>
      <c r="AA76" s="472">
        <v>12</v>
      </c>
      <c r="AB76" s="473">
        <v>0</v>
      </c>
      <c r="AC76" s="464">
        <f t="shared" si="34"/>
        <v>245</v>
      </c>
      <c r="AD76" s="474">
        <f t="shared" si="35"/>
        <v>8795.4999999999982</v>
      </c>
      <c r="AE76" s="475">
        <v>2.8485893132541049</v>
      </c>
      <c r="AF76" s="507">
        <f t="shared" ref="AF76" si="37">AE76*S76</f>
        <v>139.58087634945113</v>
      </c>
      <c r="AG76"/>
      <c r="AH76"/>
      <c r="AI76"/>
    </row>
    <row r="77" spans="1:36" ht="12.75" customHeight="1">
      <c r="A77" s="48"/>
      <c r="B77" s="707" t="s">
        <v>1683</v>
      </c>
      <c r="C77" s="461" t="s">
        <v>1076</v>
      </c>
      <c r="D77" s="461" t="s">
        <v>1151</v>
      </c>
      <c r="E77" s="462">
        <v>5</v>
      </c>
      <c r="F77" s="461"/>
      <c r="G77" s="461"/>
      <c r="H77" s="461" t="s">
        <v>445</v>
      </c>
      <c r="I77" s="461" t="s">
        <v>458</v>
      </c>
      <c r="J77" s="462">
        <v>5</v>
      </c>
      <c r="K77" s="461"/>
      <c r="L77" s="461"/>
      <c r="M77" s="461" t="s">
        <v>458</v>
      </c>
      <c r="N77" s="461" t="s">
        <v>452</v>
      </c>
      <c r="O77" s="462">
        <v>5</v>
      </c>
      <c r="P77" s="462" t="s">
        <v>1684</v>
      </c>
      <c r="Q77" s="752">
        <f>R77*(1-Bolts!$E$1157)</f>
        <v>187.42105263157893</v>
      </c>
      <c r="R77" s="752">
        <v>187.42105263157893</v>
      </c>
      <c r="S77" s="464">
        <f>SUM(T77:AB77)</f>
        <v>45</v>
      </c>
      <c r="T77" s="465">
        <v>6</v>
      </c>
      <c r="U77" s="466">
        <v>0</v>
      </c>
      <c r="V77" s="467">
        <v>4</v>
      </c>
      <c r="W77" s="468">
        <v>9</v>
      </c>
      <c r="X77" s="469">
        <v>6</v>
      </c>
      <c r="Y77" s="470">
        <v>5</v>
      </c>
      <c r="Z77" s="471">
        <v>4</v>
      </c>
      <c r="AA77" s="472">
        <v>11</v>
      </c>
      <c r="AB77" s="473">
        <v>0</v>
      </c>
      <c r="AC77" s="464">
        <f t="shared" si="34"/>
        <v>225</v>
      </c>
      <c r="AD77" s="474">
        <f t="shared" si="35"/>
        <v>8433.9473684210516</v>
      </c>
      <c r="AE77" s="475">
        <v>3.0409999999999999</v>
      </c>
      <c r="AF77" s="507">
        <f>AE77*S77</f>
        <v>136.845</v>
      </c>
      <c r="AG77"/>
      <c r="AH77"/>
      <c r="AI77"/>
    </row>
    <row r="78" spans="1:36" ht="12.75" customHeight="1">
      <c r="A78" s="48"/>
      <c r="B78" s="707" t="s">
        <v>1792</v>
      </c>
      <c r="C78" s="461" t="s">
        <v>1076</v>
      </c>
      <c r="D78" s="461" t="s">
        <v>1151</v>
      </c>
      <c r="E78" s="462">
        <v>5</v>
      </c>
      <c r="F78" s="461"/>
      <c r="G78" s="461"/>
      <c r="H78" s="461" t="s">
        <v>445</v>
      </c>
      <c r="I78" s="461" t="s">
        <v>459</v>
      </c>
      <c r="J78" s="462">
        <v>5</v>
      </c>
      <c r="K78" s="461"/>
      <c r="L78" s="461"/>
      <c r="M78" s="461" t="s">
        <v>459</v>
      </c>
      <c r="N78" s="461" t="s">
        <v>451</v>
      </c>
      <c r="O78" s="462">
        <v>5</v>
      </c>
      <c r="P78" s="462" t="s">
        <v>1793</v>
      </c>
      <c r="Q78" s="752">
        <f>R78*(1-Bolts!$E$1157)</f>
        <v>250.73684210526315</v>
      </c>
      <c r="R78" s="752">
        <v>250.73684210526315</v>
      </c>
      <c r="S78" s="464">
        <f>SUM(T78:AB78)</f>
        <v>40</v>
      </c>
      <c r="T78" s="465">
        <v>4</v>
      </c>
      <c r="U78" s="466">
        <v>0</v>
      </c>
      <c r="V78" s="467">
        <v>5</v>
      </c>
      <c r="W78" s="468">
        <v>10</v>
      </c>
      <c r="X78" s="469">
        <v>5</v>
      </c>
      <c r="Y78" s="470">
        <v>0</v>
      </c>
      <c r="Z78" s="471">
        <v>5</v>
      </c>
      <c r="AA78" s="472">
        <v>11</v>
      </c>
      <c r="AB78" s="473">
        <v>0</v>
      </c>
      <c r="AC78" s="464">
        <f t="shared" si="34"/>
        <v>200</v>
      </c>
      <c r="AD78" s="474">
        <f t="shared" si="35"/>
        <v>10029.473684210527</v>
      </c>
      <c r="AE78" s="475">
        <v>4.4225709879343187</v>
      </c>
      <c r="AF78" s="507">
        <f>AE78*S78</f>
        <v>176.90283951737274</v>
      </c>
      <c r="AG78"/>
      <c r="AH78"/>
      <c r="AI78"/>
    </row>
    <row r="79" spans="1:36" ht="12.75" customHeight="1">
      <c r="A79" s="214"/>
      <c r="B79" s="707" t="s">
        <v>2554</v>
      </c>
      <c r="C79" s="461" t="s">
        <v>1076</v>
      </c>
      <c r="D79" s="461" t="s">
        <v>1151</v>
      </c>
      <c r="E79" s="462">
        <v>7</v>
      </c>
      <c r="F79" s="461"/>
      <c r="G79" s="461"/>
      <c r="H79" s="461" t="s">
        <v>445</v>
      </c>
      <c r="I79" s="523" t="s">
        <v>455</v>
      </c>
      <c r="J79" s="462">
        <v>7</v>
      </c>
      <c r="K79" s="461"/>
      <c r="L79" s="461"/>
      <c r="M79" s="523" t="s">
        <v>455</v>
      </c>
      <c r="N79" s="523" t="s">
        <v>449</v>
      </c>
      <c r="O79" s="462">
        <v>7</v>
      </c>
      <c r="P79" s="462" t="s">
        <v>2555</v>
      </c>
      <c r="Q79" s="752">
        <f>R79*(1-Bolts!$E$1157)</f>
        <v>274.28947368421052</v>
      </c>
      <c r="R79" s="752">
        <v>274.28947368421052</v>
      </c>
      <c r="S79" s="464">
        <f t="shared" ref="S79:S81" si="38">SUM(T79:AB79)</f>
        <v>39</v>
      </c>
      <c r="T79" s="465">
        <v>6</v>
      </c>
      <c r="U79" s="466">
        <v>0</v>
      </c>
      <c r="V79" s="467">
        <v>6</v>
      </c>
      <c r="W79" s="468">
        <v>4</v>
      </c>
      <c r="X79" s="469">
        <v>3</v>
      </c>
      <c r="Y79" s="470">
        <v>3</v>
      </c>
      <c r="Z79" s="471">
        <v>5</v>
      </c>
      <c r="AA79" s="472">
        <v>10</v>
      </c>
      <c r="AB79" s="473">
        <v>2</v>
      </c>
      <c r="AC79" s="464">
        <f t="shared" si="34"/>
        <v>273</v>
      </c>
      <c r="AD79" s="474">
        <f t="shared" si="35"/>
        <v>10697.28947368421</v>
      </c>
      <c r="AE79" s="475">
        <v>3.7539999999999996</v>
      </c>
      <c r="AF79" s="507">
        <f t="shared" ref="AF79:AF81" si="39">AE79*S79</f>
        <v>146.40599999999998</v>
      </c>
      <c r="AG79"/>
      <c r="AH79"/>
      <c r="AI79"/>
    </row>
    <row r="80" spans="1:36" ht="12.75" customHeight="1">
      <c r="A80" s="214"/>
      <c r="B80" s="745" t="s">
        <v>2888</v>
      </c>
      <c r="C80" s="742" t="s">
        <v>1076</v>
      </c>
      <c r="D80" s="742" t="s">
        <v>1151</v>
      </c>
      <c r="E80" s="743">
        <v>4</v>
      </c>
      <c r="F80" s="742"/>
      <c r="G80" s="742"/>
      <c r="H80" s="742" t="s">
        <v>445</v>
      </c>
      <c r="I80" s="742" t="s">
        <v>457</v>
      </c>
      <c r="J80" s="743">
        <v>4</v>
      </c>
      <c r="K80" s="742"/>
      <c r="L80" s="742"/>
      <c r="M80" s="742" t="s">
        <v>457</v>
      </c>
      <c r="N80" s="742" t="s">
        <v>449</v>
      </c>
      <c r="O80" s="743">
        <v>4</v>
      </c>
      <c r="P80" s="743" t="s">
        <v>2884</v>
      </c>
      <c r="Q80" s="752">
        <f>R80*(1-Bolts!$E$1157)</f>
        <v>168.84210526315789</v>
      </c>
      <c r="R80" s="752">
        <v>168.84210526315789</v>
      </c>
      <c r="S80" s="464">
        <f t="shared" si="38"/>
        <v>41</v>
      </c>
      <c r="T80" s="465">
        <v>2</v>
      </c>
      <c r="U80" s="466">
        <v>0</v>
      </c>
      <c r="V80" s="467">
        <v>6</v>
      </c>
      <c r="W80" s="468">
        <v>6</v>
      </c>
      <c r="X80" s="469">
        <v>4</v>
      </c>
      <c r="Y80" s="470">
        <v>3</v>
      </c>
      <c r="Z80" s="471">
        <v>4</v>
      </c>
      <c r="AA80" s="472">
        <v>10</v>
      </c>
      <c r="AB80" s="473">
        <v>6</v>
      </c>
      <c r="AC80" s="464">
        <f t="shared" si="34"/>
        <v>164</v>
      </c>
      <c r="AD80" s="474">
        <f t="shared" si="35"/>
        <v>6922.5263157894733</v>
      </c>
      <c r="AE80" s="475">
        <v>2.1074117753787536</v>
      </c>
      <c r="AF80" s="507">
        <f t="shared" si="39"/>
        <v>86.403882790528897</v>
      </c>
      <c r="AG80"/>
      <c r="AH80"/>
      <c r="AI80"/>
      <c r="AJ80"/>
    </row>
    <row r="81" spans="1:36" ht="12.75" customHeight="1">
      <c r="A81" s="214" t="s">
        <v>2612</v>
      </c>
      <c r="B81" s="704" t="s">
        <v>3094</v>
      </c>
      <c r="C81" s="644" t="s">
        <v>1076</v>
      </c>
      <c r="D81" s="644" t="s">
        <v>1151</v>
      </c>
      <c r="E81" s="645">
        <v>5</v>
      </c>
      <c r="F81" s="644"/>
      <c r="G81" s="644"/>
      <c r="H81" s="644" t="s">
        <v>445</v>
      </c>
      <c r="I81" s="644" t="s">
        <v>455</v>
      </c>
      <c r="J81" s="645">
        <v>5</v>
      </c>
      <c r="K81" s="644"/>
      <c r="L81" s="644"/>
      <c r="M81" s="644" t="s">
        <v>455</v>
      </c>
      <c r="N81" s="644" t="s">
        <v>449</v>
      </c>
      <c r="O81" s="645">
        <v>5</v>
      </c>
      <c r="P81" s="645" t="s">
        <v>3095</v>
      </c>
      <c r="Q81" s="752">
        <f>R81*(1-Bolts!$E$1157)</f>
        <v>147.5</v>
      </c>
      <c r="R81" s="752">
        <v>147.5</v>
      </c>
      <c r="S81" s="464">
        <f t="shared" si="38"/>
        <v>17</v>
      </c>
      <c r="T81" s="465">
        <v>0</v>
      </c>
      <c r="U81" s="466">
        <v>0</v>
      </c>
      <c r="V81" s="467">
        <v>5</v>
      </c>
      <c r="W81" s="468">
        <v>4</v>
      </c>
      <c r="X81" s="469">
        <v>3</v>
      </c>
      <c r="Y81" s="470">
        <v>5</v>
      </c>
      <c r="Z81" s="471">
        <v>0</v>
      </c>
      <c r="AA81" s="472">
        <v>0</v>
      </c>
      <c r="AB81" s="473">
        <v>0</v>
      </c>
      <c r="AC81" s="464">
        <f t="shared" si="34"/>
        <v>85</v>
      </c>
      <c r="AD81" s="474">
        <f t="shared" si="35"/>
        <v>2507.5</v>
      </c>
      <c r="AE81" s="475">
        <v>2.2451238319876623</v>
      </c>
      <c r="AF81" s="507">
        <f t="shared" si="39"/>
        <v>38.167105143790259</v>
      </c>
      <c r="AG81"/>
      <c r="AH81"/>
      <c r="AI81"/>
      <c r="AJ81"/>
    </row>
    <row r="82" spans="1:36" ht="12.75" customHeight="1">
      <c r="A82" s="214" t="s">
        <v>2612</v>
      </c>
      <c r="B82" s="704" t="s">
        <v>3078</v>
      </c>
      <c r="C82" s="644" t="s">
        <v>1076</v>
      </c>
      <c r="D82" s="644" t="s">
        <v>1151</v>
      </c>
      <c r="E82" s="645">
        <v>4</v>
      </c>
      <c r="F82" s="644"/>
      <c r="G82" s="644"/>
      <c r="H82" s="644" t="s">
        <v>445</v>
      </c>
      <c r="I82" s="644" t="s">
        <v>459</v>
      </c>
      <c r="J82" s="645">
        <v>4</v>
      </c>
      <c r="K82" s="644"/>
      <c r="L82" s="644"/>
      <c r="M82" s="644" t="s">
        <v>459</v>
      </c>
      <c r="N82" s="644" t="s">
        <v>451</v>
      </c>
      <c r="O82" s="645">
        <v>4</v>
      </c>
      <c r="P82" s="645" t="s">
        <v>3063</v>
      </c>
      <c r="Q82" s="752">
        <f>R82*(1-Bolts!$E$1157)</f>
        <v>151.02631578947367</v>
      </c>
      <c r="R82" s="752">
        <v>151.02631578947367</v>
      </c>
      <c r="S82" s="464">
        <f t="shared" ref="S82" si="40">SUM(T82:AB82)</f>
        <v>19</v>
      </c>
      <c r="T82" s="465">
        <v>0</v>
      </c>
      <c r="U82" s="466">
        <v>0</v>
      </c>
      <c r="V82" s="467">
        <v>5</v>
      </c>
      <c r="W82" s="468">
        <v>4</v>
      </c>
      <c r="X82" s="469">
        <v>5</v>
      </c>
      <c r="Y82" s="470">
        <v>0</v>
      </c>
      <c r="Z82" s="471">
        <v>0</v>
      </c>
      <c r="AA82" s="472">
        <v>5</v>
      </c>
      <c r="AB82" s="473">
        <v>0</v>
      </c>
      <c r="AC82" s="464">
        <f t="shared" ref="AC82" si="41">S82*O82</f>
        <v>76</v>
      </c>
      <c r="AD82" s="474">
        <f t="shared" ref="AD82" si="42">S82*R82</f>
        <v>2869.4999999999995</v>
      </c>
      <c r="AE82" s="475">
        <v>2.5716683298557559</v>
      </c>
      <c r="AF82" s="507">
        <f t="shared" ref="AF82" si="43">AE82*S82</f>
        <v>48.861698267259364</v>
      </c>
      <c r="AG82"/>
      <c r="AH82"/>
      <c r="AI82"/>
      <c r="AJ82"/>
    </row>
    <row r="83" spans="1:36" ht="12.75" customHeight="1">
      <c r="A83" s="214" t="s">
        <v>2612</v>
      </c>
      <c r="B83" s="704" t="s">
        <v>3079</v>
      </c>
      <c r="C83" s="644" t="s">
        <v>1076</v>
      </c>
      <c r="D83" s="644" t="s">
        <v>1151</v>
      </c>
      <c r="E83" s="645">
        <v>5</v>
      </c>
      <c r="F83" s="644"/>
      <c r="G83" s="644"/>
      <c r="H83" s="644" t="s">
        <v>445</v>
      </c>
      <c r="I83" s="644" t="s">
        <v>458</v>
      </c>
      <c r="J83" s="645">
        <v>5</v>
      </c>
      <c r="K83" s="644"/>
      <c r="L83" s="644"/>
      <c r="M83" s="644" t="s">
        <v>458</v>
      </c>
      <c r="N83" s="644" t="s">
        <v>452</v>
      </c>
      <c r="O83" s="645">
        <v>5</v>
      </c>
      <c r="P83" s="645" t="s">
        <v>3065</v>
      </c>
      <c r="Q83" s="752">
        <f>R83*(1-Bolts!$E$1157)</f>
        <v>169.5</v>
      </c>
      <c r="R83" s="752">
        <v>169.5</v>
      </c>
      <c r="S83" s="464">
        <f t="shared" ref="S83" si="44">SUM(T83:AB83)</f>
        <v>23</v>
      </c>
      <c r="T83" s="465">
        <v>0</v>
      </c>
      <c r="U83" s="466">
        <v>0</v>
      </c>
      <c r="V83" s="467">
        <v>5</v>
      </c>
      <c r="W83" s="468">
        <v>4</v>
      </c>
      <c r="X83" s="469">
        <v>4</v>
      </c>
      <c r="Y83" s="470">
        <v>5</v>
      </c>
      <c r="Z83" s="471">
        <v>0</v>
      </c>
      <c r="AA83" s="472">
        <v>5</v>
      </c>
      <c r="AB83" s="473">
        <v>0</v>
      </c>
      <c r="AC83" s="464">
        <f t="shared" ref="AC83" si="45">S83*O83</f>
        <v>115</v>
      </c>
      <c r="AD83" s="474">
        <f t="shared" ref="AD83" si="46">S83*R83</f>
        <v>3898.5</v>
      </c>
      <c r="AE83" s="475">
        <v>2.7448516737730198</v>
      </c>
      <c r="AF83" s="507">
        <f t="shared" ref="AF83" si="47">AE83*S83</f>
        <v>63.131588496779457</v>
      </c>
      <c r="AG83"/>
      <c r="AH83"/>
      <c r="AI83"/>
      <c r="AJ83"/>
    </row>
    <row r="84" spans="1:36" ht="12.75" customHeight="1">
      <c r="A84" s="48"/>
      <c r="B84" s="707" t="s">
        <v>379</v>
      </c>
      <c r="C84" s="461" t="s">
        <v>1076</v>
      </c>
      <c r="D84" s="461" t="s">
        <v>1151</v>
      </c>
      <c r="E84" s="462">
        <v>5</v>
      </c>
      <c r="F84" s="461"/>
      <c r="G84" s="461"/>
      <c r="H84" s="461" t="s">
        <v>445</v>
      </c>
      <c r="I84" s="523" t="s">
        <v>461</v>
      </c>
      <c r="J84" s="462">
        <v>5</v>
      </c>
      <c r="K84" s="461"/>
      <c r="L84" s="461"/>
      <c r="M84" s="523" t="s">
        <v>461</v>
      </c>
      <c r="N84" s="523" t="s">
        <v>449</v>
      </c>
      <c r="O84" s="462">
        <v>5</v>
      </c>
      <c r="P84" s="462" t="s">
        <v>423</v>
      </c>
      <c r="Q84" s="752">
        <f>R84*(1-Bolts!$E$1157)</f>
        <v>249.84210526315789</v>
      </c>
      <c r="R84" s="752">
        <v>249.84210526315789</v>
      </c>
      <c r="S84" s="464">
        <f t="shared" ref="S84:S89" si="48">SUM(T84:AB84)</f>
        <v>28</v>
      </c>
      <c r="T84" s="465">
        <v>4</v>
      </c>
      <c r="U84" s="466">
        <v>0</v>
      </c>
      <c r="V84" s="467">
        <v>3</v>
      </c>
      <c r="W84" s="468">
        <v>5</v>
      </c>
      <c r="X84" s="469">
        <v>1</v>
      </c>
      <c r="Y84" s="470">
        <v>4</v>
      </c>
      <c r="Z84" s="471">
        <v>0</v>
      </c>
      <c r="AA84" s="472">
        <v>11</v>
      </c>
      <c r="AB84" s="473">
        <v>0</v>
      </c>
      <c r="AC84" s="464">
        <f t="shared" si="34"/>
        <v>140</v>
      </c>
      <c r="AD84" s="474">
        <f t="shared" si="35"/>
        <v>6995.5789473684208</v>
      </c>
      <c r="AE84" s="475">
        <v>4.1790000000000003</v>
      </c>
      <c r="AF84" s="507">
        <f t="shared" ref="AF84:AF89" si="49">AE84*S84</f>
        <v>117.012</v>
      </c>
      <c r="AG84"/>
      <c r="AH84"/>
      <c r="AI84"/>
    </row>
    <row r="85" spans="1:36" ht="12.75" customHeight="1">
      <c r="A85" s="48"/>
      <c r="B85" s="707" t="s">
        <v>380</v>
      </c>
      <c r="C85" s="461" t="s">
        <v>1076</v>
      </c>
      <c r="D85" s="461" t="s">
        <v>1151</v>
      </c>
      <c r="E85" s="462">
        <v>5</v>
      </c>
      <c r="F85" s="461"/>
      <c r="G85" s="461"/>
      <c r="H85" s="461" t="s">
        <v>445</v>
      </c>
      <c r="I85" s="523" t="s">
        <v>457</v>
      </c>
      <c r="J85" s="462">
        <v>5</v>
      </c>
      <c r="K85" s="461"/>
      <c r="L85" s="461"/>
      <c r="M85" s="523" t="s">
        <v>457</v>
      </c>
      <c r="N85" s="523" t="s">
        <v>449</v>
      </c>
      <c r="O85" s="462">
        <v>5</v>
      </c>
      <c r="P85" s="462" t="s">
        <v>424</v>
      </c>
      <c r="Q85" s="752">
        <f>R85*(1-Bolts!$E$1157)</f>
        <v>145.13157894736841</v>
      </c>
      <c r="R85" s="752">
        <v>145.13157894736841</v>
      </c>
      <c r="S85" s="464">
        <f t="shared" si="48"/>
        <v>36</v>
      </c>
      <c r="T85" s="465">
        <v>1</v>
      </c>
      <c r="U85" s="466">
        <v>0</v>
      </c>
      <c r="V85" s="467">
        <v>7</v>
      </c>
      <c r="W85" s="468">
        <v>4</v>
      </c>
      <c r="X85" s="469">
        <v>5</v>
      </c>
      <c r="Y85" s="470">
        <v>4</v>
      </c>
      <c r="Z85" s="471">
        <v>3</v>
      </c>
      <c r="AA85" s="472">
        <v>12</v>
      </c>
      <c r="AB85" s="473">
        <v>0</v>
      </c>
      <c r="AC85" s="464">
        <f t="shared" si="34"/>
        <v>180</v>
      </c>
      <c r="AD85" s="474">
        <f t="shared" si="35"/>
        <v>5224.7368421052624</v>
      </c>
      <c r="AE85" s="475">
        <v>3.431</v>
      </c>
      <c r="AF85" s="507">
        <f t="shared" si="49"/>
        <v>123.51600000000001</v>
      </c>
      <c r="AG85"/>
      <c r="AH85"/>
      <c r="AI85"/>
    </row>
    <row r="86" spans="1:36" ht="12.75" customHeight="1">
      <c r="A86" s="48"/>
      <c r="B86" s="707" t="s">
        <v>229</v>
      </c>
      <c r="C86" s="461" t="s">
        <v>1076</v>
      </c>
      <c r="D86" s="461" t="s">
        <v>1151</v>
      </c>
      <c r="E86" s="462">
        <v>5</v>
      </c>
      <c r="F86" s="461"/>
      <c r="G86" s="461"/>
      <c r="H86" s="461" t="s">
        <v>445</v>
      </c>
      <c r="I86" s="523" t="s">
        <v>457</v>
      </c>
      <c r="J86" s="462">
        <v>5</v>
      </c>
      <c r="K86" s="461"/>
      <c r="L86" s="461"/>
      <c r="M86" s="523" t="s">
        <v>457</v>
      </c>
      <c r="N86" s="523" t="s">
        <v>449</v>
      </c>
      <c r="O86" s="462">
        <v>5</v>
      </c>
      <c r="P86" s="462" t="s">
        <v>425</v>
      </c>
      <c r="Q86" s="752">
        <f>R86*(1-Bolts!$E$1157)</f>
        <v>233.28947368421055</v>
      </c>
      <c r="R86" s="752">
        <v>233.28947368421055</v>
      </c>
      <c r="S86" s="464">
        <f t="shared" si="48"/>
        <v>39</v>
      </c>
      <c r="T86" s="465">
        <v>2</v>
      </c>
      <c r="U86" s="466">
        <v>0</v>
      </c>
      <c r="V86" s="467">
        <v>5</v>
      </c>
      <c r="W86" s="468">
        <v>8</v>
      </c>
      <c r="X86" s="469">
        <v>6</v>
      </c>
      <c r="Y86" s="470">
        <v>0</v>
      </c>
      <c r="Z86" s="471">
        <v>5</v>
      </c>
      <c r="AA86" s="472">
        <v>13</v>
      </c>
      <c r="AB86" s="473">
        <v>0</v>
      </c>
      <c r="AC86" s="464">
        <f t="shared" si="34"/>
        <v>195</v>
      </c>
      <c r="AD86" s="474">
        <f t="shared" si="35"/>
        <v>9098.2894736842118</v>
      </c>
      <c r="AE86" s="475">
        <v>5.69</v>
      </c>
      <c r="AF86" s="507">
        <f t="shared" si="49"/>
        <v>221.91000000000003</v>
      </c>
      <c r="AG86"/>
      <c r="AH86"/>
      <c r="AI86"/>
    </row>
    <row r="87" spans="1:36" ht="12.75" customHeight="1">
      <c r="A87" s="48"/>
      <c r="B87" s="707" t="s">
        <v>231</v>
      </c>
      <c r="C87" s="461" t="s">
        <v>1076</v>
      </c>
      <c r="D87" s="461" t="s">
        <v>1151</v>
      </c>
      <c r="E87" s="462">
        <v>5</v>
      </c>
      <c r="F87" s="461"/>
      <c r="G87" s="461"/>
      <c r="H87" s="461" t="s">
        <v>445</v>
      </c>
      <c r="I87" s="523" t="s">
        <v>457</v>
      </c>
      <c r="J87" s="462">
        <v>5</v>
      </c>
      <c r="K87" s="461"/>
      <c r="L87" s="461"/>
      <c r="M87" s="523" t="s">
        <v>457</v>
      </c>
      <c r="N87" s="523" t="s">
        <v>449</v>
      </c>
      <c r="O87" s="462">
        <v>5</v>
      </c>
      <c r="P87" s="462" t="s">
        <v>426</v>
      </c>
      <c r="Q87" s="752">
        <f>R87*(1-Bolts!$E$1157)</f>
        <v>265.07894736842104</v>
      </c>
      <c r="R87" s="752">
        <v>265.07894736842104</v>
      </c>
      <c r="S87" s="464">
        <f t="shared" si="48"/>
        <v>28</v>
      </c>
      <c r="T87" s="465">
        <v>1</v>
      </c>
      <c r="U87" s="466">
        <v>0</v>
      </c>
      <c r="V87" s="467">
        <v>8</v>
      </c>
      <c r="W87" s="468">
        <v>1</v>
      </c>
      <c r="X87" s="469">
        <v>5</v>
      </c>
      <c r="Y87" s="470">
        <v>0</v>
      </c>
      <c r="Z87" s="471">
        <v>4</v>
      </c>
      <c r="AA87" s="472">
        <v>9</v>
      </c>
      <c r="AB87" s="473">
        <v>0</v>
      </c>
      <c r="AC87" s="464">
        <f t="shared" si="34"/>
        <v>140</v>
      </c>
      <c r="AD87" s="474">
        <f t="shared" si="35"/>
        <v>7422.2105263157891</v>
      </c>
      <c r="AE87" s="475">
        <v>6.4589999999999996</v>
      </c>
      <c r="AF87" s="507">
        <f t="shared" si="49"/>
        <v>180.85199999999998</v>
      </c>
      <c r="AG87"/>
      <c r="AH87"/>
      <c r="AI87"/>
    </row>
    <row r="88" spans="1:36" ht="12.75" customHeight="1">
      <c r="A88" s="48"/>
      <c r="B88" s="707" t="s">
        <v>1047</v>
      </c>
      <c r="C88" s="461" t="s">
        <v>1076</v>
      </c>
      <c r="D88" s="461" t="s">
        <v>1151</v>
      </c>
      <c r="E88" s="462">
        <v>5</v>
      </c>
      <c r="F88" s="461"/>
      <c r="G88" s="461"/>
      <c r="H88" s="461" t="s">
        <v>445</v>
      </c>
      <c r="I88" s="461" t="s">
        <v>457</v>
      </c>
      <c r="J88" s="462">
        <v>5</v>
      </c>
      <c r="K88" s="461"/>
      <c r="L88" s="461"/>
      <c r="M88" s="461" t="s">
        <v>457</v>
      </c>
      <c r="N88" s="461" t="s">
        <v>449</v>
      </c>
      <c r="O88" s="462">
        <v>5</v>
      </c>
      <c r="P88" s="462" t="s">
        <v>1049</v>
      </c>
      <c r="Q88" s="752">
        <f>R88*(1-Bolts!$E$1157)</f>
        <v>188.97368421052633</v>
      </c>
      <c r="R88" s="752">
        <v>188.97368421052633</v>
      </c>
      <c r="S88" s="464">
        <f t="shared" si="48"/>
        <v>37</v>
      </c>
      <c r="T88" s="465">
        <v>1</v>
      </c>
      <c r="U88" s="466">
        <v>0</v>
      </c>
      <c r="V88" s="467">
        <v>4</v>
      </c>
      <c r="W88" s="468">
        <v>6</v>
      </c>
      <c r="X88" s="469">
        <v>5</v>
      </c>
      <c r="Y88" s="470">
        <v>4</v>
      </c>
      <c r="Z88" s="471">
        <v>5</v>
      </c>
      <c r="AA88" s="472">
        <v>12</v>
      </c>
      <c r="AB88" s="473">
        <v>0</v>
      </c>
      <c r="AC88" s="464">
        <f t="shared" si="34"/>
        <v>185</v>
      </c>
      <c r="AD88" s="474">
        <f t="shared" si="35"/>
        <v>6992.0263157894742</v>
      </c>
      <c r="AE88" s="475">
        <v>4.5541141250113393</v>
      </c>
      <c r="AF88" s="507">
        <f t="shared" si="49"/>
        <v>168.50222262541956</v>
      </c>
      <c r="AG88"/>
      <c r="AH88"/>
      <c r="AI88"/>
    </row>
    <row r="89" spans="1:36" ht="12.75" customHeight="1">
      <c r="A89" s="48"/>
      <c r="B89" s="707" t="s">
        <v>1048</v>
      </c>
      <c r="C89" s="461" t="s">
        <v>1076</v>
      </c>
      <c r="D89" s="461" t="s">
        <v>1151</v>
      </c>
      <c r="E89" s="462">
        <v>5</v>
      </c>
      <c r="F89" s="461"/>
      <c r="G89" s="461"/>
      <c r="H89" s="461" t="s">
        <v>445</v>
      </c>
      <c r="I89" s="461" t="s">
        <v>457</v>
      </c>
      <c r="J89" s="462">
        <v>5</v>
      </c>
      <c r="K89" s="461"/>
      <c r="L89" s="461"/>
      <c r="M89" s="461" t="s">
        <v>457</v>
      </c>
      <c r="N89" s="461" t="s">
        <v>449</v>
      </c>
      <c r="O89" s="462">
        <v>5</v>
      </c>
      <c r="P89" s="462" t="s">
        <v>1050</v>
      </c>
      <c r="Q89" s="752">
        <f>R89*(1-Bolts!$E$1157)</f>
        <v>155.36842105263156</v>
      </c>
      <c r="R89" s="752">
        <v>155.36842105263156</v>
      </c>
      <c r="S89" s="464">
        <f t="shared" si="48"/>
        <v>37</v>
      </c>
      <c r="T89" s="465">
        <v>3</v>
      </c>
      <c r="U89" s="466">
        <v>0</v>
      </c>
      <c r="V89" s="467">
        <v>4</v>
      </c>
      <c r="W89" s="468">
        <v>5</v>
      </c>
      <c r="X89" s="469">
        <v>6</v>
      </c>
      <c r="Y89" s="470">
        <v>4</v>
      </c>
      <c r="Z89" s="471">
        <v>4</v>
      </c>
      <c r="AA89" s="472">
        <v>11</v>
      </c>
      <c r="AB89" s="473">
        <v>0</v>
      </c>
      <c r="AC89" s="464">
        <f t="shared" si="34"/>
        <v>185</v>
      </c>
      <c r="AD89" s="474">
        <f t="shared" si="35"/>
        <v>5748.6315789473674</v>
      </c>
      <c r="AE89" s="475">
        <v>3.692279778644652</v>
      </c>
      <c r="AF89" s="507">
        <f t="shared" si="49"/>
        <v>136.61435180985211</v>
      </c>
      <c r="AG89"/>
      <c r="AH89"/>
      <c r="AI89"/>
    </row>
    <row r="90" spans="1:36" ht="12.75" customHeight="1">
      <c r="A90" s="48"/>
      <c r="B90" s="705"/>
      <c r="C90" s="476"/>
      <c r="D90" s="476"/>
      <c r="E90" s="478"/>
      <c r="F90" s="476"/>
      <c r="G90" s="476"/>
      <c r="H90" s="476"/>
      <c r="I90" s="477"/>
      <c r="J90" s="478"/>
      <c r="K90" s="476"/>
      <c r="L90" s="476"/>
      <c r="M90" s="477"/>
      <c r="N90" s="477"/>
      <c r="O90" s="478"/>
      <c r="P90" s="478"/>
      <c r="Q90" s="753"/>
      <c r="R90" s="752">
        <v>0</v>
      </c>
      <c r="S90" s="479"/>
      <c r="T90" s="465">
        <v>0</v>
      </c>
      <c r="U90" s="466">
        <v>0</v>
      </c>
      <c r="V90" s="467">
        <v>0</v>
      </c>
      <c r="W90" s="468">
        <v>0</v>
      </c>
      <c r="X90" s="469">
        <v>0</v>
      </c>
      <c r="Y90" s="470">
        <v>0</v>
      </c>
      <c r="Z90" s="471">
        <v>0</v>
      </c>
      <c r="AA90" s="472">
        <v>0</v>
      </c>
      <c r="AB90" s="473">
        <v>0</v>
      </c>
      <c r="AC90" s="479"/>
      <c r="AD90" s="488"/>
      <c r="AE90" s="489">
        <v>0</v>
      </c>
      <c r="AF90" s="508"/>
      <c r="AG90"/>
      <c r="AH90"/>
      <c r="AI90"/>
    </row>
    <row r="91" spans="1:36" ht="12.75" customHeight="1">
      <c r="A91" s="48"/>
      <c r="B91" s="707" t="s">
        <v>1823</v>
      </c>
      <c r="C91" s="461" t="s">
        <v>1076</v>
      </c>
      <c r="D91" s="461" t="s">
        <v>1147</v>
      </c>
      <c r="E91" s="462">
        <v>5</v>
      </c>
      <c r="F91" s="461"/>
      <c r="G91" s="461"/>
      <c r="H91" s="461" t="s">
        <v>445</v>
      </c>
      <c r="I91" s="461" t="s">
        <v>455</v>
      </c>
      <c r="J91" s="462">
        <v>5</v>
      </c>
      <c r="K91" s="461"/>
      <c r="L91" s="461"/>
      <c r="M91" s="461" t="s">
        <v>455</v>
      </c>
      <c r="N91" s="461" t="s">
        <v>449</v>
      </c>
      <c r="O91" s="462">
        <v>5</v>
      </c>
      <c r="P91" s="462" t="s">
        <v>1824</v>
      </c>
      <c r="Q91" s="752">
        <f>R91*(1-Bolts!$E$1157)</f>
        <v>154.07894736842104</v>
      </c>
      <c r="R91" s="752">
        <v>154.07894736842104</v>
      </c>
      <c r="S91" s="464">
        <f t="shared" ref="S91" si="50">SUM(T91:AB91)</f>
        <v>47</v>
      </c>
      <c r="T91" s="465">
        <v>4</v>
      </c>
      <c r="U91" s="466">
        <v>0</v>
      </c>
      <c r="V91" s="467">
        <v>9</v>
      </c>
      <c r="W91" s="468">
        <v>9</v>
      </c>
      <c r="X91" s="469">
        <v>7</v>
      </c>
      <c r="Y91" s="470">
        <v>5</v>
      </c>
      <c r="Z91" s="471">
        <v>2</v>
      </c>
      <c r="AA91" s="472">
        <v>11</v>
      </c>
      <c r="AB91" s="473">
        <v>0</v>
      </c>
      <c r="AC91" s="464">
        <f t="shared" ref="AC91:AC103" si="51">S91*O91</f>
        <v>235</v>
      </c>
      <c r="AD91" s="474">
        <f t="shared" ref="AD91:AD103" si="52">S91*R91</f>
        <v>7241.7105263157891</v>
      </c>
      <c r="AE91" s="475">
        <v>2.2770570625056696</v>
      </c>
      <c r="AF91" s="507">
        <f t="shared" ref="AF91" si="53">AE91*S91</f>
        <v>107.02168193776647</v>
      </c>
      <c r="AG91"/>
      <c r="AH91"/>
      <c r="AI91"/>
    </row>
    <row r="92" spans="1:36" ht="12.75" customHeight="1">
      <c r="A92" s="48"/>
      <c r="B92" s="707" t="s">
        <v>1795</v>
      </c>
      <c r="C92" s="461" t="s">
        <v>1076</v>
      </c>
      <c r="D92" s="461" t="s">
        <v>1147</v>
      </c>
      <c r="E92" s="462">
        <v>5</v>
      </c>
      <c r="F92" s="461"/>
      <c r="G92" s="461"/>
      <c r="H92" s="461" t="s">
        <v>445</v>
      </c>
      <c r="I92" s="461" t="s">
        <v>459</v>
      </c>
      <c r="J92" s="462">
        <v>5</v>
      </c>
      <c r="K92" s="461"/>
      <c r="L92" s="461"/>
      <c r="M92" s="461" t="s">
        <v>459</v>
      </c>
      <c r="N92" s="461" t="s">
        <v>451</v>
      </c>
      <c r="O92" s="462">
        <v>5</v>
      </c>
      <c r="P92" s="462" t="s">
        <v>1796</v>
      </c>
      <c r="Q92" s="752">
        <f>R92*(1-Bolts!$E$1157)</f>
        <v>138.63157894736841</v>
      </c>
      <c r="R92" s="752">
        <v>138.63157894736841</v>
      </c>
      <c r="S92" s="464">
        <f>SUM(T92:AB92)</f>
        <v>42</v>
      </c>
      <c r="T92" s="465">
        <v>4</v>
      </c>
      <c r="U92" s="466">
        <v>2</v>
      </c>
      <c r="V92" s="467">
        <v>3</v>
      </c>
      <c r="W92" s="468">
        <v>9</v>
      </c>
      <c r="X92" s="469">
        <v>7</v>
      </c>
      <c r="Y92" s="470">
        <v>2</v>
      </c>
      <c r="Z92" s="471">
        <v>4</v>
      </c>
      <c r="AA92" s="472">
        <v>10</v>
      </c>
      <c r="AB92" s="473">
        <v>1</v>
      </c>
      <c r="AC92" s="464">
        <f t="shared" si="51"/>
        <v>210</v>
      </c>
      <c r="AD92" s="474">
        <f t="shared" si="52"/>
        <v>5822.5263157894733</v>
      </c>
      <c r="AE92" s="475">
        <v>1.9595391454232061</v>
      </c>
      <c r="AF92" s="507">
        <f>AE92*S92</f>
        <v>82.300644107774659</v>
      </c>
      <c r="AG92"/>
      <c r="AH92"/>
      <c r="AI92"/>
    </row>
    <row r="93" spans="1:36" ht="13.5" hidden="1">
      <c r="A93" s="48" t="s">
        <v>1713</v>
      </c>
      <c r="B93" s="705" t="s">
        <v>1676</v>
      </c>
      <c r="C93" s="476" t="s">
        <v>1076</v>
      </c>
      <c r="D93" s="476" t="s">
        <v>1147</v>
      </c>
      <c r="E93" s="478">
        <v>5</v>
      </c>
      <c r="F93" s="476"/>
      <c r="G93" s="476"/>
      <c r="H93" s="476" t="s">
        <v>445</v>
      </c>
      <c r="I93" s="476" t="s">
        <v>455</v>
      </c>
      <c r="J93" s="478">
        <v>5</v>
      </c>
      <c r="K93" s="476"/>
      <c r="L93" s="476"/>
      <c r="M93" s="476" t="s">
        <v>455</v>
      </c>
      <c r="N93" s="476" t="s">
        <v>452</v>
      </c>
      <c r="O93" s="478">
        <v>5</v>
      </c>
      <c r="P93" s="478" t="s">
        <v>1677</v>
      </c>
      <c r="Q93" s="752">
        <f>R93*(1-Bolts!$E$1157)</f>
        <v>145.42105263157893</v>
      </c>
      <c r="R93" s="752">
        <v>145.42105263157893</v>
      </c>
      <c r="S93" s="464">
        <f>SUM(T93:AB93)</f>
        <v>29</v>
      </c>
      <c r="T93" s="465">
        <v>5</v>
      </c>
      <c r="U93" s="466">
        <v>0</v>
      </c>
      <c r="V93" s="467">
        <v>4</v>
      </c>
      <c r="W93" s="468">
        <v>5</v>
      </c>
      <c r="X93" s="469">
        <v>5</v>
      </c>
      <c r="Y93" s="470">
        <v>0</v>
      </c>
      <c r="Z93" s="471">
        <v>5</v>
      </c>
      <c r="AA93" s="472">
        <v>5</v>
      </c>
      <c r="AB93" s="473">
        <v>0</v>
      </c>
      <c r="AC93" s="464">
        <f t="shared" si="51"/>
        <v>145</v>
      </c>
      <c r="AD93" s="474">
        <f t="shared" si="52"/>
        <v>4217.2105263157891</v>
      </c>
      <c r="AE93" s="475">
        <v>1.6970000000000001</v>
      </c>
      <c r="AF93" s="507">
        <f>AE93*S93</f>
        <v>49.213000000000001</v>
      </c>
      <c r="AG93"/>
      <c r="AH93"/>
      <c r="AI93"/>
    </row>
    <row r="94" spans="1:36" ht="12.75" customHeight="1">
      <c r="A94" s="214"/>
      <c r="B94" s="707" t="s">
        <v>2483</v>
      </c>
      <c r="C94" s="461" t="s">
        <v>1076</v>
      </c>
      <c r="D94" s="461" t="s">
        <v>1147</v>
      </c>
      <c r="E94" s="462">
        <v>8</v>
      </c>
      <c r="F94" s="461"/>
      <c r="G94" s="461"/>
      <c r="H94" s="461" t="s">
        <v>445</v>
      </c>
      <c r="I94" s="523" t="s">
        <v>455</v>
      </c>
      <c r="J94" s="462">
        <v>8</v>
      </c>
      <c r="K94" s="461"/>
      <c r="L94" s="461"/>
      <c r="M94" s="523" t="s">
        <v>455</v>
      </c>
      <c r="N94" s="523" t="s">
        <v>449</v>
      </c>
      <c r="O94" s="462">
        <v>8</v>
      </c>
      <c r="P94" s="462" t="s">
        <v>2477</v>
      </c>
      <c r="Q94" s="752">
        <f>R94*(1-Bolts!$E$1157)</f>
        <v>224.13157894736841</v>
      </c>
      <c r="R94" s="752">
        <v>224.13157894736841</v>
      </c>
      <c r="S94" s="464">
        <f t="shared" ref="S94:S95" si="54">SUM(T94:AB94)</f>
        <v>32</v>
      </c>
      <c r="T94" s="465">
        <v>4</v>
      </c>
      <c r="U94" s="466">
        <v>0</v>
      </c>
      <c r="V94" s="467">
        <v>7</v>
      </c>
      <c r="W94" s="468">
        <v>3</v>
      </c>
      <c r="X94" s="469">
        <v>2</v>
      </c>
      <c r="Y94" s="470">
        <v>5</v>
      </c>
      <c r="Z94" s="471">
        <v>2</v>
      </c>
      <c r="AA94" s="472">
        <v>9</v>
      </c>
      <c r="AB94" s="473">
        <v>0</v>
      </c>
      <c r="AC94" s="464">
        <f t="shared" si="51"/>
        <v>256</v>
      </c>
      <c r="AD94" s="474">
        <f t="shared" si="52"/>
        <v>7172.2105263157891</v>
      </c>
      <c r="AE94" s="475">
        <v>3.169</v>
      </c>
      <c r="AF94" s="507">
        <f t="shared" ref="AF94:AF95" si="55">AE94*S94</f>
        <v>101.408</v>
      </c>
      <c r="AG94"/>
      <c r="AH94"/>
      <c r="AI94"/>
    </row>
    <row r="95" spans="1:36" ht="12.75" customHeight="1">
      <c r="A95" s="214"/>
      <c r="B95" s="707" t="s">
        <v>2870</v>
      </c>
      <c r="C95" s="461" t="s">
        <v>1076</v>
      </c>
      <c r="D95" s="461" t="s">
        <v>1147</v>
      </c>
      <c r="E95" s="462">
        <v>5</v>
      </c>
      <c r="F95" s="461"/>
      <c r="G95" s="461"/>
      <c r="H95" s="461" t="s">
        <v>445</v>
      </c>
      <c r="I95" s="523" t="s">
        <v>458</v>
      </c>
      <c r="J95" s="462">
        <v>5</v>
      </c>
      <c r="K95" s="461"/>
      <c r="L95" s="461"/>
      <c r="M95" s="523" t="s">
        <v>458</v>
      </c>
      <c r="N95" s="523" t="s">
        <v>452</v>
      </c>
      <c r="O95" s="462">
        <v>5</v>
      </c>
      <c r="P95" s="462" t="s">
        <v>2871</v>
      </c>
      <c r="Q95" s="752">
        <f>R95*(1-Bolts!$E$1157)</f>
        <v>154.5</v>
      </c>
      <c r="R95" s="752">
        <v>154.5</v>
      </c>
      <c r="S95" s="464">
        <f t="shared" si="54"/>
        <v>84</v>
      </c>
      <c r="T95" s="465">
        <v>7</v>
      </c>
      <c r="U95" s="466">
        <v>0</v>
      </c>
      <c r="V95" s="467">
        <v>14</v>
      </c>
      <c r="W95" s="468">
        <v>15</v>
      </c>
      <c r="X95" s="469">
        <v>13</v>
      </c>
      <c r="Y95" s="470">
        <v>8</v>
      </c>
      <c r="Z95" s="471">
        <v>5</v>
      </c>
      <c r="AA95" s="472">
        <v>17</v>
      </c>
      <c r="AB95" s="473">
        <v>5</v>
      </c>
      <c r="AC95" s="464">
        <f t="shared" si="51"/>
        <v>420</v>
      </c>
      <c r="AD95" s="474">
        <f t="shared" si="52"/>
        <v>12978</v>
      </c>
      <c r="AE95" s="475">
        <v>2.4245668148416941</v>
      </c>
      <c r="AF95" s="507">
        <f t="shared" si="55"/>
        <v>203.6636124467023</v>
      </c>
      <c r="AG95"/>
      <c r="AH95"/>
      <c r="AI95"/>
      <c r="AJ95"/>
    </row>
    <row r="96" spans="1:36" ht="12.75" customHeight="1">
      <c r="A96" s="214" t="s">
        <v>2612</v>
      </c>
      <c r="B96" s="704" t="s">
        <v>2977</v>
      </c>
      <c r="C96" s="644" t="s">
        <v>1076</v>
      </c>
      <c r="D96" s="644" t="s">
        <v>1147</v>
      </c>
      <c r="E96" s="645">
        <v>4</v>
      </c>
      <c r="F96" s="644"/>
      <c r="G96" s="644"/>
      <c r="H96" s="644" t="s">
        <v>445</v>
      </c>
      <c r="I96" s="644" t="s">
        <v>455</v>
      </c>
      <c r="J96" s="645">
        <v>4</v>
      </c>
      <c r="K96" s="644"/>
      <c r="L96" s="644"/>
      <c r="M96" s="644" t="s">
        <v>455</v>
      </c>
      <c r="N96" s="644" t="s">
        <v>449</v>
      </c>
      <c r="O96" s="645">
        <v>4</v>
      </c>
      <c r="P96" s="645" t="s">
        <v>2880</v>
      </c>
      <c r="Q96" s="752">
        <f>R96*(1-Bolts!$E$1157)</f>
        <v>124.6578947368421</v>
      </c>
      <c r="R96" s="752">
        <v>124.6578947368421</v>
      </c>
      <c r="S96" s="464">
        <f t="shared" ref="S96:S98" si="56">SUM(T96:AB96)</f>
        <v>54</v>
      </c>
      <c r="T96" s="465">
        <v>9</v>
      </c>
      <c r="U96" s="466">
        <v>0</v>
      </c>
      <c r="V96" s="467">
        <v>9</v>
      </c>
      <c r="W96" s="468">
        <v>9</v>
      </c>
      <c r="X96" s="469">
        <v>6</v>
      </c>
      <c r="Y96" s="470">
        <v>5</v>
      </c>
      <c r="Z96" s="471">
        <v>4</v>
      </c>
      <c r="AA96" s="472">
        <v>9</v>
      </c>
      <c r="AB96" s="473">
        <v>3</v>
      </c>
      <c r="AC96" s="464">
        <f t="shared" si="51"/>
        <v>216</v>
      </c>
      <c r="AD96" s="474">
        <f t="shared" si="52"/>
        <v>6731.5263157894733</v>
      </c>
      <c r="AE96" s="475">
        <v>1.9519640751156668</v>
      </c>
      <c r="AF96" s="507">
        <f t="shared" ref="AF96:AF98" si="57">AE96*S96</f>
        <v>105.40606005624601</v>
      </c>
      <c r="AG96"/>
      <c r="AH96"/>
      <c r="AI96"/>
      <c r="AJ96"/>
    </row>
    <row r="97" spans="1:36" ht="12.75" customHeight="1">
      <c r="A97" s="214" t="s">
        <v>2612</v>
      </c>
      <c r="B97" s="741" t="s">
        <v>3170</v>
      </c>
      <c r="C97" s="742" t="s">
        <v>1076</v>
      </c>
      <c r="D97" s="742" t="s">
        <v>1147</v>
      </c>
      <c r="E97" s="743">
        <v>5</v>
      </c>
      <c r="F97" s="742"/>
      <c r="G97" s="742"/>
      <c r="H97" s="742" t="s">
        <v>445</v>
      </c>
      <c r="I97" s="742" t="s">
        <v>453</v>
      </c>
      <c r="J97" s="743">
        <v>5</v>
      </c>
      <c r="K97" s="742"/>
      <c r="L97" s="742"/>
      <c r="M97" s="742" t="s">
        <v>453</v>
      </c>
      <c r="N97" s="742" t="s">
        <v>452</v>
      </c>
      <c r="O97" s="743">
        <v>5</v>
      </c>
      <c r="P97" s="743" t="s">
        <v>3151</v>
      </c>
      <c r="Q97" s="752">
        <f>R97*(1-Bolts!$E$1157)</f>
        <v>146</v>
      </c>
      <c r="R97" s="752">
        <v>146</v>
      </c>
      <c r="S97" s="464">
        <f t="shared" si="56"/>
        <v>0</v>
      </c>
      <c r="T97" s="465">
        <v>0</v>
      </c>
      <c r="U97" s="466">
        <v>0</v>
      </c>
      <c r="V97" s="467">
        <v>0</v>
      </c>
      <c r="W97" s="468">
        <v>0</v>
      </c>
      <c r="X97" s="469">
        <v>0</v>
      </c>
      <c r="Y97" s="470">
        <v>0</v>
      </c>
      <c r="Z97" s="471">
        <v>0</v>
      </c>
      <c r="AA97" s="472">
        <v>0</v>
      </c>
      <c r="AB97" s="473">
        <v>0</v>
      </c>
      <c r="AC97" s="464">
        <f t="shared" si="51"/>
        <v>0</v>
      </c>
      <c r="AD97" s="474">
        <f t="shared" si="52"/>
        <v>0</v>
      </c>
      <c r="AE97" s="475">
        <v>2.2106958178354352</v>
      </c>
      <c r="AF97" s="507">
        <f t="shared" si="57"/>
        <v>0</v>
      </c>
      <c r="AG97"/>
      <c r="AH97"/>
      <c r="AI97"/>
      <c r="AJ97"/>
    </row>
    <row r="98" spans="1:36" ht="12.75" customHeight="1">
      <c r="A98" s="214" t="s">
        <v>2612</v>
      </c>
      <c r="B98" s="741" t="s">
        <v>3171</v>
      </c>
      <c r="C98" s="742" t="s">
        <v>1076</v>
      </c>
      <c r="D98" s="742" t="s">
        <v>1147</v>
      </c>
      <c r="E98" s="743">
        <v>5</v>
      </c>
      <c r="F98" s="742"/>
      <c r="G98" s="742"/>
      <c r="H98" s="742" t="s">
        <v>445</v>
      </c>
      <c r="I98" s="742" t="s">
        <v>455</v>
      </c>
      <c r="J98" s="743">
        <v>5</v>
      </c>
      <c r="K98" s="742"/>
      <c r="L98" s="742"/>
      <c r="M98" s="742" t="s">
        <v>455</v>
      </c>
      <c r="N98" s="742" t="s">
        <v>449</v>
      </c>
      <c r="O98" s="743">
        <v>5</v>
      </c>
      <c r="P98" s="743" t="s">
        <v>3149</v>
      </c>
      <c r="Q98" s="752">
        <f>R98*(1-Bolts!$E$1157)</f>
        <v>129.63157894736841</v>
      </c>
      <c r="R98" s="752">
        <v>129.63157894736841</v>
      </c>
      <c r="S98" s="464">
        <f t="shared" si="56"/>
        <v>0</v>
      </c>
      <c r="T98" s="465">
        <v>0</v>
      </c>
      <c r="U98" s="466">
        <v>0</v>
      </c>
      <c r="V98" s="467">
        <v>0</v>
      </c>
      <c r="W98" s="468">
        <v>0</v>
      </c>
      <c r="X98" s="469">
        <v>0</v>
      </c>
      <c r="Y98" s="470">
        <v>0</v>
      </c>
      <c r="Z98" s="471">
        <v>0</v>
      </c>
      <c r="AA98" s="472">
        <v>0</v>
      </c>
      <c r="AB98" s="473">
        <v>0</v>
      </c>
      <c r="AC98" s="464">
        <f t="shared" si="51"/>
        <v>0</v>
      </c>
      <c r="AD98" s="474">
        <f t="shared" si="52"/>
        <v>0</v>
      </c>
      <c r="AE98" s="475">
        <v>1.8392905742538324</v>
      </c>
      <c r="AF98" s="507">
        <f t="shared" si="57"/>
        <v>0</v>
      </c>
      <c r="AG98"/>
      <c r="AH98"/>
      <c r="AI98"/>
      <c r="AJ98"/>
    </row>
    <row r="99" spans="1:36" ht="12.75" customHeight="1">
      <c r="A99" s="48"/>
      <c r="B99" s="707" t="s">
        <v>381</v>
      </c>
      <c r="C99" s="461" t="s">
        <v>1076</v>
      </c>
      <c r="D99" s="461" t="s">
        <v>1147</v>
      </c>
      <c r="E99" s="462">
        <v>10</v>
      </c>
      <c r="F99" s="461"/>
      <c r="G99" s="461"/>
      <c r="H99" s="461" t="s">
        <v>445</v>
      </c>
      <c r="I99" s="523" t="s">
        <v>457</v>
      </c>
      <c r="J99" s="462">
        <v>10</v>
      </c>
      <c r="K99" s="461"/>
      <c r="L99" s="461"/>
      <c r="M99" s="523" t="s">
        <v>457</v>
      </c>
      <c r="N99" s="523" t="s">
        <v>449</v>
      </c>
      <c r="O99" s="462">
        <v>10</v>
      </c>
      <c r="P99" s="462" t="s">
        <v>427</v>
      </c>
      <c r="Q99" s="752">
        <f>R99*(1-Bolts!$E$1157)</f>
        <v>261.0526315789474</v>
      </c>
      <c r="R99" s="752">
        <v>261.0526315789474</v>
      </c>
      <c r="S99" s="464">
        <f t="shared" ref="S99:S103" si="58">SUM(T99:AB99)</f>
        <v>31</v>
      </c>
      <c r="T99" s="465">
        <v>4</v>
      </c>
      <c r="U99" s="466">
        <v>0</v>
      </c>
      <c r="V99" s="467">
        <v>5</v>
      </c>
      <c r="W99" s="468">
        <v>4</v>
      </c>
      <c r="X99" s="469">
        <v>6</v>
      </c>
      <c r="Y99" s="470">
        <v>4</v>
      </c>
      <c r="Z99" s="471">
        <v>1</v>
      </c>
      <c r="AA99" s="472">
        <v>7</v>
      </c>
      <c r="AB99" s="473">
        <v>0</v>
      </c>
      <c r="AC99" s="464">
        <f t="shared" si="51"/>
        <v>310</v>
      </c>
      <c r="AD99" s="474">
        <f t="shared" si="52"/>
        <v>8092.6315789473692</v>
      </c>
      <c r="AE99" s="475">
        <v>6.0910000000000002</v>
      </c>
      <c r="AF99" s="507">
        <f t="shared" ref="AF99:AF103" si="59">AE99*S99</f>
        <v>188.821</v>
      </c>
      <c r="AG99"/>
      <c r="AH99"/>
      <c r="AI99"/>
    </row>
    <row r="100" spans="1:36" ht="12.75" customHeight="1">
      <c r="A100" s="48"/>
      <c r="B100" s="707" t="s">
        <v>382</v>
      </c>
      <c r="C100" s="461" t="s">
        <v>1076</v>
      </c>
      <c r="D100" s="461" t="s">
        <v>1147</v>
      </c>
      <c r="E100" s="462">
        <v>5</v>
      </c>
      <c r="F100" s="461"/>
      <c r="G100" s="461"/>
      <c r="H100" s="461" t="s">
        <v>445</v>
      </c>
      <c r="I100" s="523" t="s">
        <v>461</v>
      </c>
      <c r="J100" s="462">
        <v>5</v>
      </c>
      <c r="K100" s="461"/>
      <c r="L100" s="461"/>
      <c r="M100" s="523" t="s">
        <v>461</v>
      </c>
      <c r="N100" s="523" t="s">
        <v>449</v>
      </c>
      <c r="O100" s="462">
        <v>5</v>
      </c>
      <c r="P100" s="462" t="s">
        <v>428</v>
      </c>
      <c r="Q100" s="752">
        <f>R100*(1-Bolts!$E$1157)</f>
        <v>86.55263157894737</v>
      </c>
      <c r="R100" s="752">
        <v>86.55263157894737</v>
      </c>
      <c r="S100" s="464">
        <f t="shared" si="58"/>
        <v>37</v>
      </c>
      <c r="T100" s="465">
        <v>3</v>
      </c>
      <c r="U100" s="466">
        <v>0</v>
      </c>
      <c r="V100" s="467">
        <v>3</v>
      </c>
      <c r="W100" s="468">
        <v>5</v>
      </c>
      <c r="X100" s="469">
        <v>6</v>
      </c>
      <c r="Y100" s="470">
        <v>4</v>
      </c>
      <c r="Z100" s="471">
        <v>4</v>
      </c>
      <c r="AA100" s="472">
        <v>7</v>
      </c>
      <c r="AB100" s="473">
        <v>5</v>
      </c>
      <c r="AC100" s="464">
        <f t="shared" si="51"/>
        <v>185</v>
      </c>
      <c r="AD100" s="474">
        <f t="shared" si="52"/>
        <v>3202.4473684210525</v>
      </c>
      <c r="AE100" s="475">
        <v>1.9299999999999997</v>
      </c>
      <c r="AF100" s="507">
        <f t="shared" si="59"/>
        <v>71.41</v>
      </c>
      <c r="AG100"/>
      <c r="AH100"/>
      <c r="AI100"/>
    </row>
    <row r="101" spans="1:36" ht="12.75" customHeight="1">
      <c r="A101" s="48"/>
      <c r="B101" s="707" t="s">
        <v>1034</v>
      </c>
      <c r="C101" s="461" t="s">
        <v>1076</v>
      </c>
      <c r="D101" s="461" t="s">
        <v>1147</v>
      </c>
      <c r="E101" s="462">
        <v>10</v>
      </c>
      <c r="F101" s="461"/>
      <c r="G101" s="461"/>
      <c r="H101" s="461" t="s">
        <v>445</v>
      </c>
      <c r="I101" s="461" t="s">
        <v>457</v>
      </c>
      <c r="J101" s="462">
        <v>10</v>
      </c>
      <c r="K101" s="461"/>
      <c r="L101" s="461"/>
      <c r="M101" s="461" t="s">
        <v>457</v>
      </c>
      <c r="N101" s="461" t="s">
        <v>449</v>
      </c>
      <c r="O101" s="462">
        <v>10</v>
      </c>
      <c r="P101" s="462" t="s">
        <v>1035</v>
      </c>
      <c r="Q101" s="752">
        <f>R101*(1-Bolts!$E$1157)</f>
        <v>179.52631578947367</v>
      </c>
      <c r="R101" s="752">
        <v>179.52631578947367</v>
      </c>
      <c r="S101" s="464">
        <f t="shared" si="58"/>
        <v>37</v>
      </c>
      <c r="T101" s="465">
        <v>5</v>
      </c>
      <c r="U101" s="466">
        <v>0</v>
      </c>
      <c r="V101" s="467">
        <v>4</v>
      </c>
      <c r="W101" s="468">
        <v>5</v>
      </c>
      <c r="X101" s="469">
        <v>5</v>
      </c>
      <c r="Y101" s="470">
        <v>5</v>
      </c>
      <c r="Z101" s="471">
        <v>5</v>
      </c>
      <c r="AA101" s="472">
        <v>8</v>
      </c>
      <c r="AB101" s="473">
        <v>0</v>
      </c>
      <c r="AC101" s="464">
        <f t="shared" si="51"/>
        <v>370</v>
      </c>
      <c r="AD101" s="474">
        <f t="shared" si="52"/>
        <v>6642.4736842105258</v>
      </c>
      <c r="AE101" s="475">
        <v>4.0007257552390456</v>
      </c>
      <c r="AF101" s="507">
        <f t="shared" si="59"/>
        <v>148.02685294384469</v>
      </c>
      <c r="AG101"/>
      <c r="AH101"/>
      <c r="AI101"/>
    </row>
    <row r="102" spans="1:36" ht="12.75" customHeight="1">
      <c r="A102" s="214"/>
      <c r="B102" s="707" t="s">
        <v>2205</v>
      </c>
      <c r="C102" s="461" t="s">
        <v>1076</v>
      </c>
      <c r="D102" s="461" t="s">
        <v>1147</v>
      </c>
      <c r="E102" s="462">
        <v>5</v>
      </c>
      <c r="F102" s="461"/>
      <c r="G102" s="461"/>
      <c r="H102" s="461" t="s">
        <v>445</v>
      </c>
      <c r="I102" s="523" t="s">
        <v>453</v>
      </c>
      <c r="J102" s="462">
        <v>5</v>
      </c>
      <c r="K102" s="461"/>
      <c r="L102" s="461"/>
      <c r="M102" s="523" t="s">
        <v>453</v>
      </c>
      <c r="N102" s="523" t="s">
        <v>452</v>
      </c>
      <c r="O102" s="462">
        <v>5</v>
      </c>
      <c r="P102" s="462" t="s">
        <v>2200</v>
      </c>
      <c r="Q102" s="752">
        <f>R102*(1-Bolts!$E$1157)</f>
        <v>163.31578947368422</v>
      </c>
      <c r="R102" s="752">
        <v>163.31578947368422</v>
      </c>
      <c r="S102" s="464">
        <f t="shared" si="58"/>
        <v>37</v>
      </c>
      <c r="T102" s="465">
        <v>3</v>
      </c>
      <c r="U102" s="466">
        <v>0</v>
      </c>
      <c r="V102" s="467">
        <v>10</v>
      </c>
      <c r="W102" s="468">
        <v>3</v>
      </c>
      <c r="X102" s="469">
        <v>8</v>
      </c>
      <c r="Y102" s="470">
        <v>0</v>
      </c>
      <c r="Z102" s="471">
        <v>0</v>
      </c>
      <c r="AA102" s="472">
        <v>13</v>
      </c>
      <c r="AB102" s="473">
        <v>0</v>
      </c>
      <c r="AC102" s="464">
        <f t="shared" si="51"/>
        <v>185</v>
      </c>
      <c r="AD102" s="474">
        <f t="shared" si="52"/>
        <v>6042.6842105263158</v>
      </c>
      <c r="AE102" s="475">
        <v>2.4969999999999999</v>
      </c>
      <c r="AF102" s="507">
        <f t="shared" si="59"/>
        <v>92.388999999999996</v>
      </c>
      <c r="AG102"/>
      <c r="AH102"/>
      <c r="AI102"/>
    </row>
    <row r="103" spans="1:36" ht="12.75" customHeight="1">
      <c r="A103" s="214" t="s">
        <v>2612</v>
      </c>
      <c r="B103" s="741" t="s">
        <v>3165</v>
      </c>
      <c r="C103" s="742" t="s">
        <v>1076</v>
      </c>
      <c r="D103" s="742" t="s">
        <v>1147</v>
      </c>
      <c r="E103" s="743">
        <v>5</v>
      </c>
      <c r="F103" s="742"/>
      <c r="G103" s="742"/>
      <c r="H103" s="742" t="s">
        <v>445</v>
      </c>
      <c r="I103" s="742" t="s">
        <v>457</v>
      </c>
      <c r="J103" s="743">
        <v>5</v>
      </c>
      <c r="K103" s="742"/>
      <c r="L103" s="742"/>
      <c r="M103" s="742" t="s">
        <v>457</v>
      </c>
      <c r="N103" s="742" t="s">
        <v>449</v>
      </c>
      <c r="O103" s="743">
        <v>5</v>
      </c>
      <c r="P103" s="743" t="s">
        <v>3154</v>
      </c>
      <c r="Q103" s="752">
        <f>R103*(1-Bolts!$E$1157)</f>
        <v>142.63157894736844</v>
      </c>
      <c r="R103" s="752">
        <v>142.63157894736844</v>
      </c>
      <c r="S103" s="464">
        <f t="shared" si="58"/>
        <v>0</v>
      </c>
      <c r="T103" s="465">
        <v>0</v>
      </c>
      <c r="U103" s="466">
        <v>0</v>
      </c>
      <c r="V103" s="467">
        <v>0</v>
      </c>
      <c r="W103" s="468">
        <v>0</v>
      </c>
      <c r="X103" s="469">
        <v>0</v>
      </c>
      <c r="Y103" s="470">
        <v>0</v>
      </c>
      <c r="Z103" s="471">
        <v>0</v>
      </c>
      <c r="AA103" s="472">
        <v>0</v>
      </c>
      <c r="AB103" s="473">
        <v>0</v>
      </c>
      <c r="AC103" s="464">
        <f t="shared" si="51"/>
        <v>0</v>
      </c>
      <c r="AD103" s="474">
        <f t="shared" si="52"/>
        <v>0</v>
      </c>
      <c r="AE103" s="475">
        <v>2.1345368774380833</v>
      </c>
      <c r="AF103" s="507">
        <f t="shared" si="59"/>
        <v>0</v>
      </c>
      <c r="AG103"/>
      <c r="AH103"/>
      <c r="AI103"/>
      <c r="AJ103"/>
    </row>
    <row r="104" spans="1:36" ht="12.75" customHeight="1">
      <c r="A104" s="48"/>
      <c r="B104" s="705"/>
      <c r="C104" s="476"/>
      <c r="D104" s="476"/>
      <c r="E104" s="478"/>
      <c r="F104" s="476"/>
      <c r="G104" s="476"/>
      <c r="H104" s="476"/>
      <c r="I104" s="477"/>
      <c r="J104" s="478"/>
      <c r="K104" s="476"/>
      <c r="L104" s="476"/>
      <c r="M104" s="477"/>
      <c r="N104" s="477"/>
      <c r="O104" s="478"/>
      <c r="P104" s="478"/>
      <c r="Q104" s="753"/>
      <c r="R104" s="752">
        <v>0</v>
      </c>
      <c r="S104" s="479"/>
      <c r="T104" s="465">
        <v>0</v>
      </c>
      <c r="U104" s="466">
        <v>0</v>
      </c>
      <c r="V104" s="467">
        <v>0</v>
      </c>
      <c r="W104" s="468">
        <v>0</v>
      </c>
      <c r="X104" s="469">
        <v>0</v>
      </c>
      <c r="Y104" s="470">
        <v>0</v>
      </c>
      <c r="Z104" s="471">
        <v>0</v>
      </c>
      <c r="AA104" s="472">
        <v>0</v>
      </c>
      <c r="AB104" s="473">
        <v>0</v>
      </c>
      <c r="AC104" s="479"/>
      <c r="AD104" s="488"/>
      <c r="AE104" s="489">
        <v>0</v>
      </c>
      <c r="AF104" s="508"/>
      <c r="AG104"/>
      <c r="AH104"/>
      <c r="AI104"/>
    </row>
    <row r="105" spans="1:36" ht="12.75" customHeight="1">
      <c r="A105" s="48"/>
      <c r="B105" s="707" t="s">
        <v>1025</v>
      </c>
      <c r="C105" s="461" t="s">
        <v>1076</v>
      </c>
      <c r="D105" s="461" t="s">
        <v>452</v>
      </c>
      <c r="E105" s="462">
        <v>10</v>
      </c>
      <c r="F105" s="461"/>
      <c r="G105" s="461"/>
      <c r="H105" s="461" t="s">
        <v>445</v>
      </c>
      <c r="I105" s="461" t="s">
        <v>459</v>
      </c>
      <c r="J105" s="462">
        <v>10</v>
      </c>
      <c r="K105" s="461"/>
      <c r="L105" s="461"/>
      <c r="M105" s="461" t="s">
        <v>459</v>
      </c>
      <c r="N105" s="461" t="s">
        <v>451</v>
      </c>
      <c r="O105" s="462">
        <v>10</v>
      </c>
      <c r="P105" s="462" t="s">
        <v>1026</v>
      </c>
      <c r="Q105" s="752">
        <f>R105*(1-Bolts!$E$1157)</f>
        <v>119.78947368421053</v>
      </c>
      <c r="R105" s="752">
        <v>119.78947368421053</v>
      </c>
      <c r="S105" s="464">
        <f>SUM(T105:AB105)</f>
        <v>32</v>
      </c>
      <c r="T105" s="465">
        <v>2</v>
      </c>
      <c r="U105" s="466">
        <v>0</v>
      </c>
      <c r="V105" s="467">
        <v>7</v>
      </c>
      <c r="W105" s="468">
        <v>3</v>
      </c>
      <c r="X105" s="469">
        <v>4</v>
      </c>
      <c r="Y105" s="470">
        <v>0</v>
      </c>
      <c r="Z105" s="471">
        <v>5</v>
      </c>
      <c r="AA105" s="472">
        <v>11</v>
      </c>
      <c r="AB105" s="473">
        <v>0</v>
      </c>
      <c r="AC105" s="464">
        <f>S105*O105</f>
        <v>320</v>
      </c>
      <c r="AD105" s="474">
        <f>S105*R105</f>
        <v>3833.2631578947371</v>
      </c>
      <c r="AE105" s="475">
        <v>2.4539599020230427</v>
      </c>
      <c r="AF105" s="507">
        <f>AE105*S105</f>
        <v>78.526716864737367</v>
      </c>
      <c r="AG105"/>
      <c r="AH105"/>
      <c r="AI105"/>
    </row>
    <row r="106" spans="1:36" ht="12.75" customHeight="1">
      <c r="A106" s="48"/>
      <c r="B106" s="707" t="s">
        <v>1678</v>
      </c>
      <c r="C106" s="461" t="s">
        <v>1076</v>
      </c>
      <c r="D106" s="461" t="s">
        <v>452</v>
      </c>
      <c r="E106" s="462">
        <v>10</v>
      </c>
      <c r="F106" s="461"/>
      <c r="G106" s="461"/>
      <c r="H106" s="461" t="s">
        <v>445</v>
      </c>
      <c r="I106" s="461" t="s">
        <v>453</v>
      </c>
      <c r="J106" s="462">
        <v>10</v>
      </c>
      <c r="K106" s="461"/>
      <c r="L106" s="461"/>
      <c r="M106" s="461" t="s">
        <v>453</v>
      </c>
      <c r="N106" s="461" t="s">
        <v>452</v>
      </c>
      <c r="O106" s="462">
        <v>10</v>
      </c>
      <c r="P106" s="462" t="s">
        <v>1679</v>
      </c>
      <c r="Q106" s="752">
        <f>R106*(1-Bolts!$E$1157)</f>
        <v>107.89473684210526</v>
      </c>
      <c r="R106" s="752">
        <v>107.89473684210526</v>
      </c>
      <c r="S106" s="464">
        <f>SUM(T106:AB106)</f>
        <v>29</v>
      </c>
      <c r="T106" s="465">
        <v>1</v>
      </c>
      <c r="U106" s="466">
        <v>0</v>
      </c>
      <c r="V106" s="467">
        <v>2</v>
      </c>
      <c r="W106" s="468">
        <v>4</v>
      </c>
      <c r="X106" s="469">
        <v>6</v>
      </c>
      <c r="Y106" s="470">
        <v>5</v>
      </c>
      <c r="Z106" s="471">
        <v>0</v>
      </c>
      <c r="AA106" s="472">
        <v>11</v>
      </c>
      <c r="AB106" s="473">
        <v>0</v>
      </c>
      <c r="AC106" s="464">
        <f>S106*O106</f>
        <v>290</v>
      </c>
      <c r="AD106" s="474">
        <f>S106*R106</f>
        <v>3128.9473684210525</v>
      </c>
      <c r="AE106" s="475">
        <v>2.1509999999999998</v>
      </c>
      <c r="AF106" s="507">
        <f>AE106*S106</f>
        <v>62.378999999999991</v>
      </c>
      <c r="AG106"/>
      <c r="AH106"/>
      <c r="AI106"/>
    </row>
    <row r="107" spans="1:36" ht="12.75" customHeight="1">
      <c r="A107" s="214"/>
      <c r="B107" s="745" t="s">
        <v>3035</v>
      </c>
      <c r="C107" s="742" t="s">
        <v>1076</v>
      </c>
      <c r="D107" s="742" t="s">
        <v>452</v>
      </c>
      <c r="E107" s="743">
        <v>8</v>
      </c>
      <c r="F107" s="742"/>
      <c r="G107" s="742"/>
      <c r="H107" s="742" t="s">
        <v>445</v>
      </c>
      <c r="I107" s="742" t="s">
        <v>461</v>
      </c>
      <c r="J107" s="743">
        <v>8</v>
      </c>
      <c r="K107" s="742"/>
      <c r="L107" s="742"/>
      <c r="M107" s="742" t="s">
        <v>461</v>
      </c>
      <c r="N107" s="742" t="s">
        <v>449</v>
      </c>
      <c r="O107" s="743">
        <v>8</v>
      </c>
      <c r="P107" s="743" t="s">
        <v>2847</v>
      </c>
      <c r="Q107" s="752">
        <f>R107*(1-Bolts!$E$1157)</f>
        <v>132</v>
      </c>
      <c r="R107" s="752">
        <v>132</v>
      </c>
      <c r="S107" s="464">
        <f t="shared" ref="S107" si="60">SUM(T107:AB107)</f>
        <v>44</v>
      </c>
      <c r="T107" s="465">
        <v>4</v>
      </c>
      <c r="U107" s="466">
        <v>0</v>
      </c>
      <c r="V107" s="467">
        <v>7</v>
      </c>
      <c r="W107" s="468">
        <v>5</v>
      </c>
      <c r="X107" s="469">
        <v>8</v>
      </c>
      <c r="Y107" s="470">
        <v>2</v>
      </c>
      <c r="Z107" s="471">
        <v>5</v>
      </c>
      <c r="AA107" s="472">
        <v>9</v>
      </c>
      <c r="AB107" s="473">
        <v>4</v>
      </c>
      <c r="AC107" s="464">
        <f t="shared" ref="AC107" si="61">S107*O107</f>
        <v>352</v>
      </c>
      <c r="AD107" s="474">
        <f t="shared" ref="AD107" si="62">S107*R107</f>
        <v>5808</v>
      </c>
      <c r="AE107" s="475">
        <v>2.4172639027487981</v>
      </c>
      <c r="AF107" s="507">
        <f t="shared" ref="AF107" si="63">AE107*S107</f>
        <v>106.35961172094711</v>
      </c>
      <c r="AG107"/>
      <c r="AH107"/>
      <c r="AI107"/>
      <c r="AJ107"/>
    </row>
    <row r="108" spans="1:36" ht="12.75" customHeight="1">
      <c r="A108" s="214" t="s">
        <v>2612</v>
      </c>
      <c r="B108" s="704" t="s">
        <v>3037</v>
      </c>
      <c r="C108" s="644" t="s">
        <v>1076</v>
      </c>
      <c r="D108" s="644" t="s">
        <v>452</v>
      </c>
      <c r="E108" s="645">
        <v>10</v>
      </c>
      <c r="F108" s="644"/>
      <c r="G108" s="644"/>
      <c r="H108" s="644" t="s">
        <v>445</v>
      </c>
      <c r="I108" s="644" t="s">
        <v>453</v>
      </c>
      <c r="J108" s="645">
        <v>5</v>
      </c>
      <c r="K108" s="644" t="s">
        <v>458</v>
      </c>
      <c r="L108" s="644">
        <v>5</v>
      </c>
      <c r="M108" s="644" t="s">
        <v>453</v>
      </c>
      <c r="N108" s="644" t="s">
        <v>452</v>
      </c>
      <c r="O108" s="645">
        <v>10</v>
      </c>
      <c r="P108" s="645" t="s">
        <v>2858</v>
      </c>
      <c r="Q108" s="752">
        <f>R108*(1-Bolts!$E$1157)</f>
        <v>136.34210526315789</v>
      </c>
      <c r="R108" s="752">
        <v>136.34210526315789</v>
      </c>
      <c r="S108" s="464">
        <f t="shared" ref="S108:S109" si="64">SUM(T108:AB108)</f>
        <v>14</v>
      </c>
      <c r="T108" s="465">
        <v>0</v>
      </c>
      <c r="U108" s="466">
        <v>0</v>
      </c>
      <c r="V108" s="467">
        <v>5</v>
      </c>
      <c r="W108" s="468">
        <v>0</v>
      </c>
      <c r="X108" s="469">
        <v>4</v>
      </c>
      <c r="Y108" s="470">
        <v>5</v>
      </c>
      <c r="Z108" s="471">
        <v>0</v>
      </c>
      <c r="AA108" s="472">
        <v>0</v>
      </c>
      <c r="AB108" s="473">
        <v>0</v>
      </c>
      <c r="AC108" s="464">
        <f t="shared" ref="AC108:AC109" si="65">S108*O108</f>
        <v>140</v>
      </c>
      <c r="AD108" s="474">
        <f t="shared" ref="AD108:AD109" si="66">S108*R108</f>
        <v>1908.7894736842104</v>
      </c>
      <c r="AE108" s="475">
        <v>3.0213190601469648</v>
      </c>
      <c r="AF108" s="507">
        <f t="shared" ref="AF108:AF109" si="67">AE108*S108</f>
        <v>42.298466842057508</v>
      </c>
      <c r="AG108"/>
      <c r="AH108"/>
      <c r="AI108"/>
      <c r="AJ108"/>
    </row>
    <row r="109" spans="1:36" ht="12.75" customHeight="1">
      <c r="A109" s="214" t="s">
        <v>2612</v>
      </c>
      <c r="B109" s="741" t="s">
        <v>3161</v>
      </c>
      <c r="C109" s="742" t="s">
        <v>1076</v>
      </c>
      <c r="D109" s="742" t="s">
        <v>452</v>
      </c>
      <c r="E109" s="743">
        <v>5</v>
      </c>
      <c r="F109" s="742"/>
      <c r="G109" s="742"/>
      <c r="H109" s="742" t="s">
        <v>445</v>
      </c>
      <c r="I109" s="742" t="s">
        <v>453</v>
      </c>
      <c r="J109" s="743">
        <v>5</v>
      </c>
      <c r="K109" s="742"/>
      <c r="L109" s="742"/>
      <c r="M109" s="742" t="s">
        <v>453</v>
      </c>
      <c r="N109" s="742" t="s">
        <v>452</v>
      </c>
      <c r="O109" s="743">
        <v>5</v>
      </c>
      <c r="P109" s="743" t="s">
        <v>3152</v>
      </c>
      <c r="Q109" s="752">
        <f>R109*(1-Bolts!$E$1157)</f>
        <v>124.31578947368422</v>
      </c>
      <c r="R109" s="752">
        <v>124.31578947368422</v>
      </c>
      <c r="S109" s="464">
        <f t="shared" si="64"/>
        <v>0</v>
      </c>
      <c r="T109" s="465">
        <v>0</v>
      </c>
      <c r="U109" s="466">
        <v>0</v>
      </c>
      <c r="V109" s="467">
        <v>0</v>
      </c>
      <c r="W109" s="468">
        <v>0</v>
      </c>
      <c r="X109" s="469">
        <v>0</v>
      </c>
      <c r="Y109" s="470">
        <v>0</v>
      </c>
      <c r="Z109" s="471">
        <v>0</v>
      </c>
      <c r="AA109" s="472">
        <v>0</v>
      </c>
      <c r="AB109" s="473">
        <v>0</v>
      </c>
      <c r="AC109" s="464">
        <f t="shared" si="65"/>
        <v>0</v>
      </c>
      <c r="AD109" s="474">
        <f t="shared" si="66"/>
        <v>0</v>
      </c>
      <c r="AE109" s="475">
        <v>1.7182708881429736</v>
      </c>
      <c r="AF109" s="507">
        <f t="shared" si="67"/>
        <v>0</v>
      </c>
      <c r="AG109"/>
      <c r="AH109"/>
      <c r="AI109"/>
      <c r="AJ109"/>
    </row>
    <row r="110" spans="1:36" ht="12.75" customHeight="1">
      <c r="A110" s="214" t="s">
        <v>2612</v>
      </c>
      <c r="B110" s="741" t="s">
        <v>3162</v>
      </c>
      <c r="C110" s="742" t="s">
        <v>1076</v>
      </c>
      <c r="D110" s="742" t="s">
        <v>452</v>
      </c>
      <c r="E110" s="743">
        <v>10</v>
      </c>
      <c r="F110" s="742"/>
      <c r="G110" s="742"/>
      <c r="H110" s="742" t="s">
        <v>445</v>
      </c>
      <c r="I110" s="742" t="s">
        <v>457</v>
      </c>
      <c r="J110" s="743">
        <v>10</v>
      </c>
      <c r="K110" s="742"/>
      <c r="L110" s="742"/>
      <c r="M110" s="742" t="s">
        <v>457</v>
      </c>
      <c r="N110" s="742" t="s">
        <v>449</v>
      </c>
      <c r="O110" s="743">
        <v>10</v>
      </c>
      <c r="P110" s="743" t="s">
        <v>3153</v>
      </c>
      <c r="Q110" s="752">
        <f>R110*(1-Bolts!$E$1157)</f>
        <v>151.55263157894737</v>
      </c>
      <c r="R110" s="752">
        <v>151.55263157894737</v>
      </c>
      <c r="S110" s="464">
        <f t="shared" ref="S110" si="68">SUM(T110:AB110)</f>
        <v>0</v>
      </c>
      <c r="T110" s="465">
        <v>0</v>
      </c>
      <c r="U110" s="466">
        <v>0</v>
      </c>
      <c r="V110" s="467">
        <v>0</v>
      </c>
      <c r="W110" s="468">
        <v>0</v>
      </c>
      <c r="X110" s="469">
        <v>0</v>
      </c>
      <c r="Y110" s="470">
        <v>0</v>
      </c>
      <c r="Z110" s="471">
        <v>0</v>
      </c>
      <c r="AA110" s="472">
        <v>0</v>
      </c>
      <c r="AB110" s="473">
        <v>0</v>
      </c>
      <c r="AC110" s="464">
        <f t="shared" ref="AC110" si="69">S110*O110</f>
        <v>0</v>
      </c>
      <c r="AD110" s="474">
        <f t="shared" ref="AD110" si="70">S110*R110</f>
        <v>0</v>
      </c>
      <c r="AE110" s="475">
        <v>3.4271523178807941</v>
      </c>
      <c r="AF110" s="507">
        <f t="shared" ref="AF110" si="71">AE110*S110</f>
        <v>0</v>
      </c>
      <c r="AG110"/>
      <c r="AH110"/>
      <c r="AI110"/>
      <c r="AJ110"/>
    </row>
    <row r="111" spans="1:36" ht="12.75" customHeight="1">
      <c r="A111" s="214" t="s">
        <v>2612</v>
      </c>
      <c r="B111" s="741" t="s">
        <v>3174</v>
      </c>
      <c r="C111" s="742" t="s">
        <v>1076</v>
      </c>
      <c r="D111" s="742" t="s">
        <v>452</v>
      </c>
      <c r="E111" s="743">
        <v>10</v>
      </c>
      <c r="F111" s="742"/>
      <c r="G111" s="742"/>
      <c r="H111" s="742" t="s">
        <v>445</v>
      </c>
      <c r="I111" s="742" t="s">
        <v>457</v>
      </c>
      <c r="J111" s="743">
        <v>10</v>
      </c>
      <c r="K111" s="742"/>
      <c r="L111" s="742"/>
      <c r="M111" s="742" t="s">
        <v>457</v>
      </c>
      <c r="N111" s="742" t="s">
        <v>449</v>
      </c>
      <c r="O111" s="743">
        <v>10</v>
      </c>
      <c r="P111" s="743" t="s">
        <v>3150</v>
      </c>
      <c r="Q111" s="752">
        <f>R111*(1-Bolts!$E$1157)</f>
        <v>122.44736842105263</v>
      </c>
      <c r="R111" s="752">
        <v>122.44736842105263</v>
      </c>
      <c r="S111" s="464">
        <f t="shared" ref="S111" si="72">SUM(T111:AB111)</f>
        <v>0</v>
      </c>
      <c r="T111" s="465">
        <v>0</v>
      </c>
      <c r="U111" s="466">
        <v>0</v>
      </c>
      <c r="V111" s="467">
        <v>0</v>
      </c>
      <c r="W111" s="468">
        <v>0</v>
      </c>
      <c r="X111" s="469">
        <v>0</v>
      </c>
      <c r="Y111" s="470">
        <v>0</v>
      </c>
      <c r="Z111" s="471">
        <v>0</v>
      </c>
      <c r="AA111" s="472">
        <v>0</v>
      </c>
      <c r="AB111" s="473">
        <v>0</v>
      </c>
      <c r="AC111" s="464">
        <f t="shared" ref="AC111" si="73">S111*O111</f>
        <v>0</v>
      </c>
      <c r="AD111" s="474">
        <f t="shared" ref="AD111" si="74">S111*R111</f>
        <v>0</v>
      </c>
      <c r="AE111" s="475">
        <v>2.648870543409235</v>
      </c>
      <c r="AF111" s="507">
        <f t="shared" ref="AF111" si="75">AE111*S111</f>
        <v>0</v>
      </c>
      <c r="AG111"/>
      <c r="AH111"/>
      <c r="AI111"/>
      <c r="AJ111"/>
    </row>
    <row r="112" spans="1:36" ht="12.75" customHeight="1">
      <c r="A112" s="48"/>
      <c r="B112" s="707" t="s">
        <v>1042</v>
      </c>
      <c r="C112" s="461" t="s">
        <v>1076</v>
      </c>
      <c r="D112" s="461" t="s">
        <v>452</v>
      </c>
      <c r="E112" s="462">
        <v>10</v>
      </c>
      <c r="F112" s="461"/>
      <c r="G112" s="461"/>
      <c r="H112" s="461" t="s">
        <v>445</v>
      </c>
      <c r="I112" s="461" t="s">
        <v>450</v>
      </c>
      <c r="J112" s="462">
        <v>10</v>
      </c>
      <c r="K112" s="461"/>
      <c r="L112" s="461"/>
      <c r="M112" s="461" t="s">
        <v>450</v>
      </c>
      <c r="N112" s="461" t="s">
        <v>452</v>
      </c>
      <c r="O112" s="462">
        <v>10</v>
      </c>
      <c r="P112" s="462" t="s">
        <v>1023</v>
      </c>
      <c r="Q112" s="752">
        <f>R112*(1-Bolts!$E$1157)</f>
        <v>89.39473684210526</v>
      </c>
      <c r="R112" s="752">
        <v>89.39473684210526</v>
      </c>
      <c r="S112" s="464">
        <f t="shared" ref="S112:S113" si="76">SUM(T112:AB112)</f>
        <v>31</v>
      </c>
      <c r="T112" s="465">
        <v>3</v>
      </c>
      <c r="U112" s="466">
        <v>1</v>
      </c>
      <c r="V112" s="467">
        <v>3</v>
      </c>
      <c r="W112" s="468">
        <v>3</v>
      </c>
      <c r="X112" s="469">
        <v>4</v>
      </c>
      <c r="Y112" s="470">
        <v>3</v>
      </c>
      <c r="Z112" s="471">
        <v>0</v>
      </c>
      <c r="AA112" s="472">
        <v>11</v>
      </c>
      <c r="AB112" s="473">
        <v>3</v>
      </c>
      <c r="AC112" s="464">
        <f>S112*O112</f>
        <v>310</v>
      </c>
      <c r="AD112" s="474">
        <f>S112*R112</f>
        <v>2771.2368421052629</v>
      </c>
      <c r="AE112" s="475">
        <v>1.6783089902930237</v>
      </c>
      <c r="AF112" s="507">
        <f t="shared" ref="AF112:AF113" si="77">AE112*S112</f>
        <v>52.027578699083733</v>
      </c>
      <c r="AG112"/>
      <c r="AH112"/>
      <c r="AI112"/>
    </row>
    <row r="113" spans="1:36" ht="12.75" customHeight="1">
      <c r="A113" s="48"/>
      <c r="B113" s="707" t="s">
        <v>1043</v>
      </c>
      <c r="C113" s="461" t="s">
        <v>1076</v>
      </c>
      <c r="D113" s="461" t="s">
        <v>452</v>
      </c>
      <c r="E113" s="462">
        <v>10</v>
      </c>
      <c r="F113" s="461"/>
      <c r="G113" s="461"/>
      <c r="H113" s="461" t="s">
        <v>445</v>
      </c>
      <c r="I113" s="461" t="s">
        <v>450</v>
      </c>
      <c r="J113" s="462">
        <v>10</v>
      </c>
      <c r="K113" s="461"/>
      <c r="L113" s="461"/>
      <c r="M113" s="461" t="s">
        <v>450</v>
      </c>
      <c r="N113" s="461" t="s">
        <v>451</v>
      </c>
      <c r="O113" s="462">
        <v>10</v>
      </c>
      <c r="P113" s="462" t="s">
        <v>1024</v>
      </c>
      <c r="Q113" s="752">
        <f>R113*(1-Bolts!$E$1157)</f>
        <v>101.36842105263159</v>
      </c>
      <c r="R113" s="752">
        <v>101.36842105263159</v>
      </c>
      <c r="S113" s="464">
        <f t="shared" si="76"/>
        <v>39</v>
      </c>
      <c r="T113" s="465">
        <v>6</v>
      </c>
      <c r="U113" s="466">
        <v>0</v>
      </c>
      <c r="V113" s="467">
        <v>4</v>
      </c>
      <c r="W113" s="468">
        <v>5</v>
      </c>
      <c r="X113" s="469">
        <v>5</v>
      </c>
      <c r="Y113" s="470">
        <v>3</v>
      </c>
      <c r="Z113" s="471">
        <v>1</v>
      </c>
      <c r="AA113" s="472">
        <v>12</v>
      </c>
      <c r="AB113" s="473">
        <v>3</v>
      </c>
      <c r="AC113" s="464">
        <f>S113*O113</f>
        <v>390</v>
      </c>
      <c r="AD113" s="474">
        <f>S113*R113</f>
        <v>3953.3684210526321</v>
      </c>
      <c r="AE113" s="475">
        <v>1.9822189966433819</v>
      </c>
      <c r="AF113" s="507">
        <f t="shared" si="77"/>
        <v>77.30654086909189</v>
      </c>
      <c r="AG113"/>
      <c r="AH113"/>
      <c r="AI113"/>
    </row>
    <row r="114" spans="1:36" ht="12.75" customHeight="1">
      <c r="A114" s="48"/>
      <c r="B114" s="705"/>
      <c r="C114" s="476"/>
      <c r="D114" s="476"/>
      <c r="E114" s="478"/>
      <c r="F114" s="476"/>
      <c r="G114" s="476"/>
      <c r="H114" s="476"/>
      <c r="I114" s="477"/>
      <c r="J114" s="478"/>
      <c r="K114" s="476"/>
      <c r="L114" s="476"/>
      <c r="M114" s="477"/>
      <c r="N114" s="477"/>
      <c r="O114" s="478"/>
      <c r="P114" s="478"/>
      <c r="Q114" s="753"/>
      <c r="R114" s="752">
        <v>0</v>
      </c>
      <c r="S114" s="479"/>
      <c r="T114" s="465">
        <v>0</v>
      </c>
      <c r="U114" s="466">
        <v>0</v>
      </c>
      <c r="V114" s="467">
        <v>0</v>
      </c>
      <c r="W114" s="468">
        <v>0</v>
      </c>
      <c r="X114" s="469">
        <v>0</v>
      </c>
      <c r="Y114" s="470">
        <v>0</v>
      </c>
      <c r="Z114" s="471">
        <v>0</v>
      </c>
      <c r="AA114" s="472">
        <v>0</v>
      </c>
      <c r="AB114" s="473">
        <v>0</v>
      </c>
      <c r="AC114" s="479"/>
      <c r="AD114" s="488"/>
      <c r="AE114" s="489">
        <v>0</v>
      </c>
      <c r="AF114" s="508"/>
      <c r="AG114"/>
      <c r="AH114"/>
      <c r="AI114"/>
    </row>
    <row r="115" spans="1:36" ht="12.75" customHeight="1">
      <c r="A115" s="48"/>
      <c r="B115" s="707" t="s">
        <v>1827</v>
      </c>
      <c r="C115" s="461" t="s">
        <v>1076</v>
      </c>
      <c r="D115" s="461" t="s">
        <v>1148</v>
      </c>
      <c r="E115" s="462">
        <v>10</v>
      </c>
      <c r="F115" s="461"/>
      <c r="G115" s="461"/>
      <c r="H115" s="461" t="s">
        <v>445</v>
      </c>
      <c r="I115" s="461" t="s">
        <v>453</v>
      </c>
      <c r="J115" s="462">
        <v>10</v>
      </c>
      <c r="K115" s="461"/>
      <c r="L115" s="461"/>
      <c r="M115" s="461" t="s">
        <v>453</v>
      </c>
      <c r="N115" s="461" t="s">
        <v>451</v>
      </c>
      <c r="O115" s="462">
        <v>10</v>
      </c>
      <c r="P115" s="462" t="s">
        <v>1828</v>
      </c>
      <c r="Q115" s="752">
        <f>R115*(1-Bolts!$E$1157)</f>
        <v>99.789473684210535</v>
      </c>
      <c r="R115" s="752">
        <v>99.789473684210535</v>
      </c>
      <c r="S115" s="464">
        <f t="shared" ref="S115:S116" si="78">SUM(T115:AB115)</f>
        <v>32</v>
      </c>
      <c r="T115" s="465">
        <v>7</v>
      </c>
      <c r="U115" s="466">
        <v>0</v>
      </c>
      <c r="V115" s="467">
        <v>4</v>
      </c>
      <c r="W115" s="468">
        <v>5</v>
      </c>
      <c r="X115" s="469">
        <v>0</v>
      </c>
      <c r="Y115" s="470">
        <v>5</v>
      </c>
      <c r="Z115" s="471">
        <v>0</v>
      </c>
      <c r="AA115" s="472">
        <v>11</v>
      </c>
      <c r="AB115" s="473">
        <v>0</v>
      </c>
      <c r="AC115" s="464">
        <f t="shared" ref="AC115:AC122" si="79">S115*O115</f>
        <v>320</v>
      </c>
      <c r="AD115" s="474">
        <f t="shared" ref="AD115:AD122" si="80">S115*R115</f>
        <v>3193.2631578947371</v>
      </c>
      <c r="AE115" s="475">
        <v>1.9413952644470653</v>
      </c>
      <c r="AF115" s="507">
        <f t="shared" ref="AF115:AF116" si="81">AE115*S115</f>
        <v>62.124648462306091</v>
      </c>
      <c r="AG115"/>
      <c r="AH115"/>
      <c r="AI115"/>
    </row>
    <row r="116" spans="1:36" ht="12.75" customHeight="1">
      <c r="A116" s="214"/>
      <c r="B116" s="745" t="s">
        <v>2866</v>
      </c>
      <c r="C116" s="742" t="s">
        <v>1076</v>
      </c>
      <c r="D116" s="742" t="s">
        <v>1148</v>
      </c>
      <c r="E116" s="743">
        <v>10</v>
      </c>
      <c r="F116" s="742"/>
      <c r="G116" s="742"/>
      <c r="H116" s="742" t="s">
        <v>445</v>
      </c>
      <c r="I116" s="742" t="s">
        <v>453</v>
      </c>
      <c r="J116" s="743">
        <v>10</v>
      </c>
      <c r="K116" s="742"/>
      <c r="L116" s="742"/>
      <c r="M116" s="742" t="s">
        <v>453</v>
      </c>
      <c r="N116" s="742" t="s">
        <v>452</v>
      </c>
      <c r="O116" s="743">
        <v>10</v>
      </c>
      <c r="P116" s="743" t="s">
        <v>2849</v>
      </c>
      <c r="Q116" s="752">
        <f>R116*(1-Bolts!$E$1157)</f>
        <v>112.68421052631579</v>
      </c>
      <c r="R116" s="752">
        <v>112.68421052631579</v>
      </c>
      <c r="S116" s="464">
        <f t="shared" si="78"/>
        <v>33</v>
      </c>
      <c r="T116" s="465">
        <v>4</v>
      </c>
      <c r="U116" s="466">
        <v>0</v>
      </c>
      <c r="V116" s="467">
        <v>6</v>
      </c>
      <c r="W116" s="468">
        <v>3</v>
      </c>
      <c r="X116" s="469">
        <v>1</v>
      </c>
      <c r="Y116" s="470">
        <v>3</v>
      </c>
      <c r="Z116" s="471">
        <v>3</v>
      </c>
      <c r="AA116" s="472">
        <v>9</v>
      </c>
      <c r="AB116" s="473">
        <v>4</v>
      </c>
      <c r="AC116" s="464">
        <f t="shared" si="79"/>
        <v>330</v>
      </c>
      <c r="AD116" s="474">
        <f t="shared" si="80"/>
        <v>3718.5789473684213</v>
      </c>
      <c r="AE116" s="475">
        <v>2.1168012337839062</v>
      </c>
      <c r="AF116" s="507">
        <f t="shared" si="81"/>
        <v>69.8544407148689</v>
      </c>
      <c r="AG116"/>
      <c r="AH116"/>
      <c r="AI116"/>
      <c r="AJ116"/>
    </row>
    <row r="117" spans="1:36" ht="12.75" customHeight="1">
      <c r="A117" s="214" t="s">
        <v>2612</v>
      </c>
      <c r="B117" s="704" t="s">
        <v>3036</v>
      </c>
      <c r="C117" s="644" t="s">
        <v>1076</v>
      </c>
      <c r="D117" s="644" t="s">
        <v>1148</v>
      </c>
      <c r="E117" s="645">
        <v>11</v>
      </c>
      <c r="F117" s="644"/>
      <c r="G117" s="644"/>
      <c r="H117" s="644" t="s">
        <v>445</v>
      </c>
      <c r="I117" s="644" t="s">
        <v>455</v>
      </c>
      <c r="J117" s="645">
        <v>11</v>
      </c>
      <c r="K117" s="644"/>
      <c r="L117" s="644"/>
      <c r="M117" s="644" t="s">
        <v>455</v>
      </c>
      <c r="N117" s="644" t="s">
        <v>449</v>
      </c>
      <c r="O117" s="645">
        <v>11</v>
      </c>
      <c r="P117" s="645" t="s">
        <v>2851</v>
      </c>
      <c r="Q117" s="752">
        <f>R117*(1-Bolts!$E$1157)</f>
        <v>93.44736842105263</v>
      </c>
      <c r="R117" s="752">
        <v>93.44736842105263</v>
      </c>
      <c r="S117" s="464">
        <f t="shared" ref="S117" si="82">SUM(T117:AB117)</f>
        <v>43</v>
      </c>
      <c r="T117" s="465">
        <v>5</v>
      </c>
      <c r="U117" s="466">
        <v>0</v>
      </c>
      <c r="V117" s="467">
        <v>10</v>
      </c>
      <c r="W117" s="468">
        <v>4</v>
      </c>
      <c r="X117" s="469">
        <v>8</v>
      </c>
      <c r="Y117" s="470">
        <v>4</v>
      </c>
      <c r="Z117" s="471">
        <v>5</v>
      </c>
      <c r="AA117" s="472">
        <v>3</v>
      </c>
      <c r="AB117" s="473">
        <v>4</v>
      </c>
      <c r="AC117" s="464">
        <f t="shared" si="79"/>
        <v>473</v>
      </c>
      <c r="AD117" s="474">
        <f t="shared" si="80"/>
        <v>4018.2368421052629</v>
      </c>
      <c r="AE117" s="475">
        <v>1.8090356527261178</v>
      </c>
      <c r="AF117" s="507">
        <f t="shared" ref="AF117" si="83">AE117*S117</f>
        <v>77.788533067223071</v>
      </c>
      <c r="AG117"/>
      <c r="AH117"/>
      <c r="AI117"/>
      <c r="AJ117"/>
    </row>
    <row r="118" spans="1:36" ht="12.75" customHeight="1">
      <c r="A118" s="214" t="s">
        <v>2612</v>
      </c>
      <c r="B118" s="741" t="s">
        <v>3099</v>
      </c>
      <c r="C118" s="742" t="s">
        <v>1076</v>
      </c>
      <c r="D118" s="742" t="s">
        <v>1148</v>
      </c>
      <c r="E118" s="743">
        <v>10</v>
      </c>
      <c r="F118" s="742"/>
      <c r="G118" s="742"/>
      <c r="H118" s="742" t="s">
        <v>445</v>
      </c>
      <c r="I118" s="742" t="s">
        <v>453</v>
      </c>
      <c r="J118" s="743">
        <v>10</v>
      </c>
      <c r="K118" s="742"/>
      <c r="L118" s="742"/>
      <c r="M118" s="742" t="s">
        <v>453</v>
      </c>
      <c r="N118" s="742" t="s">
        <v>451</v>
      </c>
      <c r="O118" s="743">
        <v>10</v>
      </c>
      <c r="P118" s="743" t="s">
        <v>3048</v>
      </c>
      <c r="Q118" s="752">
        <f>R118*(1-Bolts!$E$1157)</f>
        <v>88</v>
      </c>
      <c r="R118" s="752">
        <v>88</v>
      </c>
      <c r="S118" s="464">
        <f t="shared" ref="S118:S122" si="84">SUM(T118:AB118)</f>
        <v>9</v>
      </c>
      <c r="T118" s="465">
        <v>0</v>
      </c>
      <c r="U118" s="466">
        <v>0</v>
      </c>
      <c r="V118" s="467">
        <v>0</v>
      </c>
      <c r="W118" s="468">
        <v>0</v>
      </c>
      <c r="X118" s="469">
        <v>4</v>
      </c>
      <c r="Y118" s="470">
        <v>5</v>
      </c>
      <c r="Z118" s="471">
        <v>0</v>
      </c>
      <c r="AA118" s="472">
        <v>0</v>
      </c>
      <c r="AB118" s="473">
        <v>0</v>
      </c>
      <c r="AC118" s="464">
        <f t="shared" si="79"/>
        <v>90</v>
      </c>
      <c r="AD118" s="474">
        <f t="shared" si="80"/>
        <v>792</v>
      </c>
      <c r="AE118" s="475">
        <v>1.7287036197042545</v>
      </c>
      <c r="AF118" s="507">
        <f t="shared" ref="AF118:AF122" si="85">AE118*S118</f>
        <v>15.558332577338291</v>
      </c>
      <c r="AG118"/>
      <c r="AH118"/>
      <c r="AI118"/>
      <c r="AJ118"/>
    </row>
    <row r="119" spans="1:36" ht="12.75" customHeight="1">
      <c r="A119" s="214" t="s">
        <v>2612</v>
      </c>
      <c r="B119" s="741" t="s">
        <v>3100</v>
      </c>
      <c r="C119" s="742" t="s">
        <v>1076</v>
      </c>
      <c r="D119" s="742" t="s">
        <v>1148</v>
      </c>
      <c r="E119" s="743">
        <v>10</v>
      </c>
      <c r="F119" s="742"/>
      <c r="G119" s="742"/>
      <c r="H119" s="742" t="s">
        <v>445</v>
      </c>
      <c r="I119" s="742" t="s">
        <v>453</v>
      </c>
      <c r="J119" s="743">
        <v>10</v>
      </c>
      <c r="K119" s="742"/>
      <c r="L119" s="742"/>
      <c r="M119" s="742" t="s">
        <v>453</v>
      </c>
      <c r="N119" s="742" t="s">
        <v>452</v>
      </c>
      <c r="O119" s="743">
        <v>10</v>
      </c>
      <c r="P119" s="743" t="s">
        <v>3046</v>
      </c>
      <c r="Q119" s="752">
        <f>R119*(1-Bolts!$E$1157)</f>
        <v>86.78947368421052</v>
      </c>
      <c r="R119" s="752">
        <v>86.78947368421052</v>
      </c>
      <c r="S119" s="464">
        <f t="shared" si="84"/>
        <v>10</v>
      </c>
      <c r="T119" s="465">
        <v>0</v>
      </c>
      <c r="U119" s="466">
        <v>0</v>
      </c>
      <c r="V119" s="467">
        <v>0</v>
      </c>
      <c r="W119" s="468">
        <v>0</v>
      </c>
      <c r="X119" s="469">
        <v>5</v>
      </c>
      <c r="Y119" s="470">
        <v>5</v>
      </c>
      <c r="Z119" s="471">
        <v>0</v>
      </c>
      <c r="AA119" s="472">
        <v>0</v>
      </c>
      <c r="AB119" s="473">
        <v>0</v>
      </c>
      <c r="AC119" s="464">
        <f t="shared" si="79"/>
        <v>100</v>
      </c>
      <c r="AD119" s="474">
        <f t="shared" si="80"/>
        <v>867.8947368421052</v>
      </c>
      <c r="AE119" s="475">
        <v>1.4021591218361606</v>
      </c>
      <c r="AF119" s="507">
        <f t="shared" si="85"/>
        <v>14.021591218361607</v>
      </c>
      <c r="AG119"/>
      <c r="AH119"/>
      <c r="AI119"/>
      <c r="AJ119"/>
    </row>
    <row r="120" spans="1:36" ht="12.75" customHeight="1">
      <c r="A120" s="214" t="s">
        <v>2612</v>
      </c>
      <c r="B120" s="741" t="s">
        <v>3159</v>
      </c>
      <c r="C120" s="742" t="s">
        <v>1076</v>
      </c>
      <c r="D120" s="742" t="s">
        <v>1148</v>
      </c>
      <c r="E120" s="743">
        <v>10</v>
      </c>
      <c r="F120" s="742"/>
      <c r="G120" s="742"/>
      <c r="H120" s="742" t="s">
        <v>445</v>
      </c>
      <c r="I120" s="742" t="s">
        <v>453</v>
      </c>
      <c r="J120" s="743">
        <v>10</v>
      </c>
      <c r="K120" s="742"/>
      <c r="L120" s="742"/>
      <c r="M120" s="742" t="s">
        <v>453</v>
      </c>
      <c r="N120" s="742" t="s">
        <v>452</v>
      </c>
      <c r="O120" s="743">
        <v>10</v>
      </c>
      <c r="P120" s="743" t="s">
        <v>3061</v>
      </c>
      <c r="Q120" s="752">
        <f>R120*(1-Bolts!$E$1157)</f>
        <v>106.39473684210526</v>
      </c>
      <c r="R120" s="752">
        <v>106.39473684210526</v>
      </c>
      <c r="S120" s="464">
        <f t="shared" ref="S120" si="86">SUM(T120:AB120)</f>
        <v>0</v>
      </c>
      <c r="T120" s="465">
        <v>0</v>
      </c>
      <c r="U120" s="466">
        <v>0</v>
      </c>
      <c r="V120" s="467">
        <v>0</v>
      </c>
      <c r="W120" s="468">
        <v>0</v>
      </c>
      <c r="X120" s="469">
        <v>0</v>
      </c>
      <c r="Y120" s="470">
        <v>0</v>
      </c>
      <c r="Z120" s="471">
        <v>0</v>
      </c>
      <c r="AA120" s="472">
        <v>0</v>
      </c>
      <c r="AB120" s="473">
        <v>0</v>
      </c>
      <c r="AC120" s="464">
        <f t="shared" ref="AC120" si="87">S120*O120</f>
        <v>0</v>
      </c>
      <c r="AD120" s="474">
        <f t="shared" ref="AD120" si="88">S120*R120</f>
        <v>0</v>
      </c>
      <c r="AE120" s="475">
        <v>2.2211285493967159</v>
      </c>
      <c r="AF120" s="507">
        <f t="shared" ref="AF120" si="89">AE120*S120</f>
        <v>0</v>
      </c>
      <c r="AG120"/>
      <c r="AH120"/>
      <c r="AI120"/>
      <c r="AJ120"/>
    </row>
    <row r="121" spans="1:36" ht="12.75" customHeight="1">
      <c r="A121" s="214" t="s">
        <v>2612</v>
      </c>
      <c r="B121" s="741" t="s">
        <v>3098</v>
      </c>
      <c r="C121" s="742" t="s">
        <v>1076</v>
      </c>
      <c r="D121" s="742" t="s">
        <v>1148</v>
      </c>
      <c r="E121" s="743">
        <v>10</v>
      </c>
      <c r="F121" s="742"/>
      <c r="G121" s="742"/>
      <c r="H121" s="742" t="s">
        <v>445</v>
      </c>
      <c r="I121" s="742" t="s">
        <v>461</v>
      </c>
      <c r="J121" s="743">
        <v>10</v>
      </c>
      <c r="K121" s="742"/>
      <c r="L121" s="742"/>
      <c r="M121" s="742" t="s">
        <v>461</v>
      </c>
      <c r="N121" s="742" t="s">
        <v>449</v>
      </c>
      <c r="O121" s="743">
        <v>10</v>
      </c>
      <c r="P121" s="743" t="s">
        <v>3101</v>
      </c>
      <c r="Q121" s="752">
        <f>R121*(1-Bolts!$E$1157)</f>
        <v>123.44736842105262</v>
      </c>
      <c r="R121" s="752">
        <v>123.44736842105262</v>
      </c>
      <c r="S121" s="464">
        <f t="shared" si="84"/>
        <v>0</v>
      </c>
      <c r="T121" s="465">
        <v>0</v>
      </c>
      <c r="U121" s="466">
        <v>0</v>
      </c>
      <c r="V121" s="467">
        <v>0</v>
      </c>
      <c r="W121" s="468">
        <v>0</v>
      </c>
      <c r="X121" s="469">
        <v>0</v>
      </c>
      <c r="Y121" s="470">
        <v>0</v>
      </c>
      <c r="Z121" s="471">
        <v>0</v>
      </c>
      <c r="AA121" s="472">
        <v>0</v>
      </c>
      <c r="AB121" s="473">
        <v>0</v>
      </c>
      <c r="AC121" s="464">
        <f t="shared" si="79"/>
        <v>0</v>
      </c>
      <c r="AD121" s="474">
        <f t="shared" si="80"/>
        <v>0</v>
      </c>
      <c r="AE121" s="475">
        <v>2.6759956454685656</v>
      </c>
      <c r="AF121" s="507">
        <f t="shared" si="85"/>
        <v>0</v>
      </c>
      <c r="AG121"/>
      <c r="AH121"/>
      <c r="AI121"/>
      <c r="AJ121"/>
    </row>
    <row r="122" spans="1:36" ht="12.75" customHeight="1">
      <c r="A122" s="214" t="s">
        <v>2612</v>
      </c>
      <c r="B122" s="741" t="s">
        <v>3102</v>
      </c>
      <c r="C122" s="742" t="s">
        <v>1076</v>
      </c>
      <c r="D122" s="742" t="s">
        <v>1148</v>
      </c>
      <c r="E122" s="743">
        <v>10</v>
      </c>
      <c r="F122" s="742"/>
      <c r="G122" s="742"/>
      <c r="H122" s="742" t="s">
        <v>445</v>
      </c>
      <c r="I122" s="742" t="s">
        <v>453</v>
      </c>
      <c r="J122" s="743">
        <v>8</v>
      </c>
      <c r="K122" s="742" t="s">
        <v>458</v>
      </c>
      <c r="L122" s="742">
        <v>2</v>
      </c>
      <c r="M122" s="742" t="s">
        <v>453</v>
      </c>
      <c r="N122" s="742" t="s">
        <v>452</v>
      </c>
      <c r="O122" s="743">
        <v>10</v>
      </c>
      <c r="P122" s="743" t="s">
        <v>3103</v>
      </c>
      <c r="Q122" s="752">
        <f>R122*(1-Bolts!$E$1157)</f>
        <v>124.28947368421052</v>
      </c>
      <c r="R122" s="752">
        <v>124.28947368421052</v>
      </c>
      <c r="S122" s="464">
        <f t="shared" si="84"/>
        <v>0</v>
      </c>
      <c r="T122" s="465">
        <v>0</v>
      </c>
      <c r="U122" s="466">
        <v>0</v>
      </c>
      <c r="V122" s="467">
        <v>0</v>
      </c>
      <c r="W122" s="468">
        <v>0</v>
      </c>
      <c r="X122" s="469">
        <v>0</v>
      </c>
      <c r="Y122" s="470">
        <v>0</v>
      </c>
      <c r="Z122" s="471">
        <v>0</v>
      </c>
      <c r="AA122" s="472">
        <v>0</v>
      </c>
      <c r="AB122" s="473">
        <v>0</v>
      </c>
      <c r="AC122" s="464">
        <f t="shared" si="79"/>
        <v>0</v>
      </c>
      <c r="AD122" s="474">
        <f t="shared" si="80"/>
        <v>0</v>
      </c>
      <c r="AE122" s="475">
        <v>2.697904381747255</v>
      </c>
      <c r="AF122" s="507">
        <f t="shared" si="85"/>
        <v>0</v>
      </c>
      <c r="AG122"/>
      <c r="AH122"/>
      <c r="AI122"/>
      <c r="AJ122"/>
    </row>
    <row r="123" spans="1:36" ht="12.75" customHeight="1">
      <c r="A123" s="48"/>
      <c r="B123" s="705"/>
      <c r="C123" s="476"/>
      <c r="D123" s="476"/>
      <c r="E123" s="478"/>
      <c r="F123" s="476"/>
      <c r="G123" s="476"/>
      <c r="H123" s="476"/>
      <c r="I123" s="477"/>
      <c r="J123" s="478"/>
      <c r="K123" s="476"/>
      <c r="L123" s="476"/>
      <c r="M123" s="477"/>
      <c r="N123" s="477"/>
      <c r="O123" s="478"/>
      <c r="P123" s="478"/>
      <c r="Q123" s="753"/>
      <c r="R123" s="752">
        <v>0</v>
      </c>
      <c r="S123" s="479"/>
      <c r="T123" s="465">
        <v>0</v>
      </c>
      <c r="U123" s="466">
        <v>0</v>
      </c>
      <c r="V123" s="467">
        <v>0</v>
      </c>
      <c r="W123" s="468">
        <v>0</v>
      </c>
      <c r="X123" s="469">
        <v>0</v>
      </c>
      <c r="Y123" s="470">
        <v>0</v>
      </c>
      <c r="Z123" s="471">
        <v>0</v>
      </c>
      <c r="AA123" s="472">
        <v>0</v>
      </c>
      <c r="AB123" s="473">
        <v>0</v>
      </c>
      <c r="AC123" s="479"/>
      <c r="AD123" s="488"/>
      <c r="AE123" s="489">
        <v>0</v>
      </c>
      <c r="AF123" s="508"/>
      <c r="AG123"/>
      <c r="AH123"/>
      <c r="AI123"/>
    </row>
    <row r="124" spans="1:36" ht="12.75" customHeight="1">
      <c r="A124" s="214"/>
      <c r="B124" s="707" t="s">
        <v>2833</v>
      </c>
      <c r="C124" s="461" t="s">
        <v>1076</v>
      </c>
      <c r="D124" s="461" t="s">
        <v>1152</v>
      </c>
      <c r="E124" s="462">
        <v>11</v>
      </c>
      <c r="F124" s="461"/>
      <c r="G124" s="461"/>
      <c r="H124" s="461" t="s">
        <v>445</v>
      </c>
      <c r="I124" s="461" t="s">
        <v>453</v>
      </c>
      <c r="J124" s="462">
        <v>11</v>
      </c>
      <c r="K124" s="461"/>
      <c r="L124" s="461"/>
      <c r="M124" s="461" t="s">
        <v>453</v>
      </c>
      <c r="N124" s="461" t="s">
        <v>452</v>
      </c>
      <c r="O124" s="462">
        <v>11</v>
      </c>
      <c r="P124" s="462" t="s">
        <v>2834</v>
      </c>
      <c r="Q124" s="752">
        <f>R124*(1-Bolts!$E$1157)</f>
        <v>69.421052631578945</v>
      </c>
      <c r="R124" s="752">
        <v>69.421052631578945</v>
      </c>
      <c r="S124" s="464">
        <f t="shared" ref="S124" si="90">SUM(T124:AB124)</f>
        <v>35</v>
      </c>
      <c r="T124" s="465">
        <v>4</v>
      </c>
      <c r="U124" s="466">
        <v>0</v>
      </c>
      <c r="V124" s="467">
        <v>4</v>
      </c>
      <c r="W124" s="468">
        <v>6</v>
      </c>
      <c r="X124" s="469">
        <v>2</v>
      </c>
      <c r="Y124" s="470">
        <v>6</v>
      </c>
      <c r="Z124" s="471">
        <v>4</v>
      </c>
      <c r="AA124" s="472">
        <v>6</v>
      </c>
      <c r="AB124" s="473">
        <v>3</v>
      </c>
      <c r="AC124" s="464">
        <f>S124*O124</f>
        <v>385</v>
      </c>
      <c r="AD124" s="474">
        <f>S124*R124</f>
        <v>2429.7368421052629</v>
      </c>
      <c r="AE124" s="475">
        <v>1.1006985394175814</v>
      </c>
      <c r="AF124" s="507">
        <f t="shared" ref="AF124" si="91">AE124*S124</f>
        <v>38.524448879615349</v>
      </c>
      <c r="AG124"/>
      <c r="AH124"/>
      <c r="AI124"/>
      <c r="AJ124"/>
    </row>
    <row r="125" spans="1:36" ht="12.75" customHeight="1">
      <c r="A125" s="214"/>
      <c r="B125" s="707" t="s">
        <v>2867</v>
      </c>
      <c r="C125" s="461" t="s">
        <v>1076</v>
      </c>
      <c r="D125" s="461" t="s">
        <v>1152</v>
      </c>
      <c r="E125" s="462">
        <v>10</v>
      </c>
      <c r="F125" s="461"/>
      <c r="G125" s="461"/>
      <c r="H125" s="461" t="s">
        <v>445</v>
      </c>
      <c r="I125" s="461" t="s">
        <v>454</v>
      </c>
      <c r="J125" s="462">
        <v>10</v>
      </c>
      <c r="K125" s="461"/>
      <c r="L125" s="461"/>
      <c r="M125" s="461" t="s">
        <v>454</v>
      </c>
      <c r="N125" s="461" t="s">
        <v>451</v>
      </c>
      <c r="O125" s="462">
        <v>10</v>
      </c>
      <c r="P125" s="462" t="s">
        <v>2854</v>
      </c>
      <c r="Q125" s="752">
        <f>R125*(1-Bolts!$E$1157)</f>
        <v>72.131578947368425</v>
      </c>
      <c r="R125" s="752">
        <v>72.131578947368425</v>
      </c>
      <c r="S125" s="464">
        <f t="shared" ref="S125" si="92">SUM(T125:AB125)</f>
        <v>40</v>
      </c>
      <c r="T125" s="465">
        <v>4</v>
      </c>
      <c r="U125" s="466">
        <v>0</v>
      </c>
      <c r="V125" s="467">
        <v>6</v>
      </c>
      <c r="W125" s="468">
        <v>2</v>
      </c>
      <c r="X125" s="469">
        <v>2</v>
      </c>
      <c r="Y125" s="470">
        <v>8</v>
      </c>
      <c r="Z125" s="471">
        <v>5</v>
      </c>
      <c r="AA125" s="472">
        <v>10</v>
      </c>
      <c r="AB125" s="473">
        <v>3</v>
      </c>
      <c r="AC125" s="464">
        <f>S125*O125</f>
        <v>400</v>
      </c>
      <c r="AD125" s="474">
        <f>S125*R125</f>
        <v>2885.2631578947371</v>
      </c>
      <c r="AE125" s="475">
        <v>1.3051347183162476</v>
      </c>
      <c r="AF125" s="507">
        <f t="shared" ref="AF125" si="93">AE125*S125</f>
        <v>52.205388732649908</v>
      </c>
      <c r="AG125"/>
      <c r="AH125"/>
      <c r="AI125"/>
      <c r="AJ125"/>
    </row>
    <row r="126" spans="1:36" ht="12.75" customHeight="1">
      <c r="A126" s="214"/>
      <c r="B126" s="707" t="s">
        <v>2891</v>
      </c>
      <c r="C126" s="461" t="s">
        <v>1076</v>
      </c>
      <c r="D126" s="461" t="s">
        <v>1152</v>
      </c>
      <c r="E126" s="462">
        <v>10</v>
      </c>
      <c r="F126" s="461"/>
      <c r="G126" s="461"/>
      <c r="H126" s="461" t="s">
        <v>445</v>
      </c>
      <c r="I126" s="461" t="s">
        <v>454</v>
      </c>
      <c r="J126" s="462">
        <v>10</v>
      </c>
      <c r="K126" s="461"/>
      <c r="L126" s="461"/>
      <c r="M126" s="461" t="s">
        <v>454</v>
      </c>
      <c r="N126" s="461" t="s">
        <v>452</v>
      </c>
      <c r="O126" s="462">
        <v>10</v>
      </c>
      <c r="P126" s="462" t="s">
        <v>2856</v>
      </c>
      <c r="Q126" s="752">
        <f>R126*(1-Bolts!$E$1157)</f>
        <v>91.210526315789465</v>
      </c>
      <c r="R126" s="752">
        <v>91.210526315789465</v>
      </c>
      <c r="S126" s="464">
        <f t="shared" ref="S126:S127" si="94">SUM(T126:AB126)</f>
        <v>44</v>
      </c>
      <c r="T126" s="465">
        <v>3</v>
      </c>
      <c r="U126" s="466">
        <v>0</v>
      </c>
      <c r="V126" s="467">
        <v>4</v>
      </c>
      <c r="W126" s="468">
        <v>4</v>
      </c>
      <c r="X126" s="469">
        <v>9</v>
      </c>
      <c r="Y126" s="470">
        <v>5</v>
      </c>
      <c r="Z126" s="471">
        <v>5</v>
      </c>
      <c r="AA126" s="472">
        <v>9</v>
      </c>
      <c r="AB126" s="473">
        <v>5</v>
      </c>
      <c r="AC126" s="464">
        <f>S126*O126</f>
        <v>440</v>
      </c>
      <c r="AD126" s="474">
        <f>S126*R126</f>
        <v>4013.2631578947367</v>
      </c>
      <c r="AE126" s="475">
        <v>1.8142520185067583</v>
      </c>
      <c r="AF126" s="507">
        <f t="shared" ref="AF126:AF127" si="95">AE126*S126</f>
        <v>79.827088814297369</v>
      </c>
      <c r="AG126"/>
      <c r="AH126"/>
      <c r="AI126"/>
      <c r="AJ126"/>
    </row>
    <row r="127" spans="1:36" ht="12.75" customHeight="1">
      <c r="A127" s="214" t="s">
        <v>2612</v>
      </c>
      <c r="B127" s="704" t="s">
        <v>3077</v>
      </c>
      <c r="C127" s="644" t="s">
        <v>1076</v>
      </c>
      <c r="D127" s="644" t="s">
        <v>1152</v>
      </c>
      <c r="E127" s="645">
        <v>10</v>
      </c>
      <c r="F127" s="644"/>
      <c r="G127" s="644"/>
      <c r="H127" s="644" t="s">
        <v>445</v>
      </c>
      <c r="I127" s="644" t="s">
        <v>454</v>
      </c>
      <c r="J127" s="645">
        <v>10</v>
      </c>
      <c r="K127" s="644"/>
      <c r="L127" s="644"/>
      <c r="M127" s="644" t="s">
        <v>454</v>
      </c>
      <c r="N127" s="644" t="s">
        <v>451</v>
      </c>
      <c r="O127" s="645">
        <v>10</v>
      </c>
      <c r="P127" s="645" t="s">
        <v>3059</v>
      </c>
      <c r="Q127" s="752">
        <f>R127*(1-Bolts!$E$1157)</f>
        <v>55.684210526315788</v>
      </c>
      <c r="R127" s="752">
        <v>55.684210526315788</v>
      </c>
      <c r="S127" s="464">
        <f t="shared" si="94"/>
        <v>9</v>
      </c>
      <c r="T127" s="465">
        <v>0</v>
      </c>
      <c r="U127" s="466">
        <v>0</v>
      </c>
      <c r="V127" s="467">
        <v>5</v>
      </c>
      <c r="W127" s="468">
        <v>0</v>
      </c>
      <c r="X127" s="469">
        <v>4</v>
      </c>
      <c r="Y127" s="470">
        <v>0</v>
      </c>
      <c r="Z127" s="471">
        <v>0</v>
      </c>
      <c r="AA127" s="472">
        <v>0</v>
      </c>
      <c r="AB127" s="473">
        <v>0</v>
      </c>
      <c r="AC127" s="464">
        <f>S127*O127</f>
        <v>90</v>
      </c>
      <c r="AD127" s="474">
        <f>S127*R127</f>
        <v>501.15789473684208</v>
      </c>
      <c r="AE127" s="475">
        <v>0.84818107593214165</v>
      </c>
      <c r="AF127" s="507">
        <f t="shared" si="95"/>
        <v>7.6336296833892749</v>
      </c>
      <c r="AG127"/>
      <c r="AH127"/>
      <c r="AI127"/>
      <c r="AJ127"/>
    </row>
    <row r="128" spans="1:36" ht="12.75" customHeight="1">
      <c r="A128" s="48"/>
      <c r="B128" s="705"/>
      <c r="C128" s="476"/>
      <c r="D128" s="476"/>
      <c r="E128" s="478"/>
      <c r="F128" s="476"/>
      <c r="G128" s="476"/>
      <c r="H128" s="476"/>
      <c r="I128" s="477"/>
      <c r="J128" s="478"/>
      <c r="K128" s="476"/>
      <c r="L128" s="476"/>
      <c r="M128" s="477"/>
      <c r="N128" s="477"/>
      <c r="O128" s="478"/>
      <c r="P128" s="478"/>
      <c r="Q128" s="753"/>
      <c r="R128" s="752">
        <v>0</v>
      </c>
      <c r="S128" s="479"/>
      <c r="T128" s="465">
        <v>0</v>
      </c>
      <c r="U128" s="466">
        <v>0</v>
      </c>
      <c r="V128" s="467">
        <v>0</v>
      </c>
      <c r="W128" s="468">
        <v>0</v>
      </c>
      <c r="X128" s="469">
        <v>0</v>
      </c>
      <c r="Y128" s="470">
        <v>0</v>
      </c>
      <c r="Z128" s="471">
        <v>0</v>
      </c>
      <c r="AA128" s="472">
        <v>0</v>
      </c>
      <c r="AB128" s="473">
        <v>0</v>
      </c>
      <c r="AC128" s="479"/>
      <c r="AD128" s="488"/>
      <c r="AE128" s="489">
        <v>0</v>
      </c>
      <c r="AF128" s="508"/>
      <c r="AG128"/>
      <c r="AH128"/>
      <c r="AI128"/>
    </row>
    <row r="129" spans="1:36" ht="12.75" customHeight="1">
      <c r="A129" s="48"/>
      <c r="B129" s="707" t="s">
        <v>1826</v>
      </c>
      <c r="C129" s="461" t="s">
        <v>1076</v>
      </c>
      <c r="D129" s="461" t="s">
        <v>456</v>
      </c>
      <c r="E129" s="462">
        <v>4</v>
      </c>
      <c r="F129" s="461"/>
      <c r="G129" s="461"/>
      <c r="H129" s="461" t="s">
        <v>445</v>
      </c>
      <c r="I129" s="461" t="s">
        <v>456</v>
      </c>
      <c r="J129" s="462">
        <v>4</v>
      </c>
      <c r="K129" s="461"/>
      <c r="L129" s="461"/>
      <c r="M129" s="461" t="s">
        <v>456</v>
      </c>
      <c r="N129" s="461" t="s">
        <v>451</v>
      </c>
      <c r="O129" s="462">
        <v>4</v>
      </c>
      <c r="P129" s="462" t="s">
        <v>1789</v>
      </c>
      <c r="Q129" s="752">
        <f>R129*(1-Bolts!$E$1157)</f>
        <v>176.73684210526315</v>
      </c>
      <c r="R129" s="752">
        <v>176.73684210526315</v>
      </c>
      <c r="S129" s="464">
        <f t="shared" ref="S129:S145" si="96">SUM(T129:AB129)</f>
        <v>35</v>
      </c>
      <c r="T129" s="465">
        <v>3</v>
      </c>
      <c r="U129" s="466">
        <v>0</v>
      </c>
      <c r="V129" s="467">
        <v>5</v>
      </c>
      <c r="W129" s="468">
        <v>5</v>
      </c>
      <c r="X129" s="469">
        <v>4</v>
      </c>
      <c r="Y129" s="470">
        <v>4</v>
      </c>
      <c r="Z129" s="471">
        <v>2</v>
      </c>
      <c r="AA129" s="472">
        <v>11</v>
      </c>
      <c r="AB129" s="473">
        <v>1</v>
      </c>
      <c r="AC129" s="464">
        <f>S129*O129</f>
        <v>140</v>
      </c>
      <c r="AD129" s="474">
        <f>S129*R129</f>
        <v>6185.78947368421</v>
      </c>
      <c r="AE129" s="475">
        <v>3.0209561825274425</v>
      </c>
      <c r="AF129" s="507">
        <f t="shared" ref="AF129:AF145" si="97">AE129*S129</f>
        <v>105.73346638846049</v>
      </c>
      <c r="AG129"/>
      <c r="AH129"/>
      <c r="AI129"/>
    </row>
    <row r="130" spans="1:36" ht="12.75" customHeight="1">
      <c r="A130" s="48"/>
      <c r="B130" s="707" t="s">
        <v>383</v>
      </c>
      <c r="C130" s="461" t="s">
        <v>1076</v>
      </c>
      <c r="D130" s="461" t="s">
        <v>456</v>
      </c>
      <c r="E130" s="462">
        <v>2</v>
      </c>
      <c r="F130" s="461"/>
      <c r="G130" s="461"/>
      <c r="H130" s="461" t="s">
        <v>445</v>
      </c>
      <c r="I130" s="523" t="s">
        <v>456</v>
      </c>
      <c r="J130" s="462">
        <v>2</v>
      </c>
      <c r="K130" s="461"/>
      <c r="L130" s="461"/>
      <c r="M130" s="523" t="s">
        <v>456</v>
      </c>
      <c r="N130" s="523" t="s">
        <v>452</v>
      </c>
      <c r="O130" s="462">
        <v>2</v>
      </c>
      <c r="P130" s="462" t="s">
        <v>429</v>
      </c>
      <c r="Q130" s="752">
        <f>R130*(1-Bolts!$E$1157)</f>
        <v>96.34210526315789</v>
      </c>
      <c r="R130" s="752">
        <v>96.34210526315789</v>
      </c>
      <c r="S130" s="464">
        <f t="shared" si="96"/>
        <v>39</v>
      </c>
      <c r="T130" s="465">
        <v>3</v>
      </c>
      <c r="U130" s="466">
        <v>0</v>
      </c>
      <c r="V130" s="467">
        <v>3</v>
      </c>
      <c r="W130" s="468">
        <v>5</v>
      </c>
      <c r="X130" s="469">
        <v>10</v>
      </c>
      <c r="Y130" s="470">
        <v>5</v>
      </c>
      <c r="Z130" s="471">
        <v>0</v>
      </c>
      <c r="AA130" s="472">
        <v>13</v>
      </c>
      <c r="AB130" s="473">
        <v>0</v>
      </c>
      <c r="AC130" s="464">
        <f>S130*O130</f>
        <v>78</v>
      </c>
      <c r="AD130" s="474">
        <f>S130*R130</f>
        <v>3757.3421052631579</v>
      </c>
      <c r="AE130" s="475">
        <v>1.6970000000000001</v>
      </c>
      <c r="AF130" s="507">
        <f t="shared" si="97"/>
        <v>66.183000000000007</v>
      </c>
      <c r="AG130"/>
      <c r="AH130"/>
      <c r="AI130"/>
    </row>
    <row r="131" spans="1:36" ht="12.75" customHeight="1">
      <c r="A131" s="214"/>
      <c r="B131" s="707" t="s">
        <v>2510</v>
      </c>
      <c r="C131" s="461" t="s">
        <v>1076</v>
      </c>
      <c r="D131" s="461" t="s">
        <v>456</v>
      </c>
      <c r="E131" s="462">
        <v>10</v>
      </c>
      <c r="F131" s="461"/>
      <c r="G131" s="461"/>
      <c r="H131" s="461" t="s">
        <v>445</v>
      </c>
      <c r="I131" s="523" t="s">
        <v>456</v>
      </c>
      <c r="J131" s="462">
        <v>10</v>
      </c>
      <c r="K131" s="461"/>
      <c r="L131" s="461"/>
      <c r="M131" s="523" t="s">
        <v>456</v>
      </c>
      <c r="N131" s="523" t="s">
        <v>451</v>
      </c>
      <c r="O131" s="462">
        <v>10</v>
      </c>
      <c r="P131" s="462" t="s">
        <v>2511</v>
      </c>
      <c r="Q131" s="752">
        <f>R131*(1-Bolts!$E$1157)</f>
        <v>272.5</v>
      </c>
      <c r="R131" s="752">
        <v>272.5</v>
      </c>
      <c r="S131" s="464">
        <f t="shared" si="96"/>
        <v>53</v>
      </c>
      <c r="T131" s="465">
        <v>6</v>
      </c>
      <c r="U131" s="466">
        <v>5</v>
      </c>
      <c r="V131" s="467">
        <v>7</v>
      </c>
      <c r="W131" s="468">
        <v>6</v>
      </c>
      <c r="X131" s="469">
        <v>6</v>
      </c>
      <c r="Y131" s="470">
        <v>5</v>
      </c>
      <c r="Z131" s="471">
        <v>4</v>
      </c>
      <c r="AA131" s="472">
        <v>11</v>
      </c>
      <c r="AB131" s="473">
        <v>3</v>
      </c>
      <c r="AC131" s="464">
        <f>S131*O131</f>
        <v>530</v>
      </c>
      <c r="AD131" s="474">
        <f>S131*R131</f>
        <v>14442.5</v>
      </c>
      <c r="AE131" s="475">
        <v>3.8229999999999995</v>
      </c>
      <c r="AF131" s="507">
        <f t="shared" si="97"/>
        <v>202.61899999999997</v>
      </c>
      <c r="AG131"/>
      <c r="AH131"/>
      <c r="AI131"/>
    </row>
    <row r="132" spans="1:36" ht="12.75" customHeight="1">
      <c r="A132" s="214" t="s">
        <v>2612</v>
      </c>
      <c r="B132" s="704" t="s">
        <v>3096</v>
      </c>
      <c r="C132" s="644" t="s">
        <v>1076</v>
      </c>
      <c r="D132" s="644" t="s">
        <v>456</v>
      </c>
      <c r="E132" s="645">
        <v>5</v>
      </c>
      <c r="F132" s="644"/>
      <c r="G132" s="644"/>
      <c r="H132" s="644" t="s">
        <v>445</v>
      </c>
      <c r="I132" s="644" t="s">
        <v>456</v>
      </c>
      <c r="J132" s="645">
        <v>5</v>
      </c>
      <c r="K132" s="644"/>
      <c r="L132" s="644"/>
      <c r="M132" s="644" t="s">
        <v>456</v>
      </c>
      <c r="N132" s="644" t="s">
        <v>451</v>
      </c>
      <c r="O132" s="645">
        <v>5</v>
      </c>
      <c r="P132" s="645" t="s">
        <v>3071</v>
      </c>
      <c r="Q132" s="752">
        <f>R132*(1-Bolts!$E$1157)</f>
        <v>145.92105263157896</v>
      </c>
      <c r="R132" s="752">
        <v>145.92105263157896</v>
      </c>
      <c r="S132" s="464">
        <f t="shared" si="96"/>
        <v>13</v>
      </c>
      <c r="T132" s="465">
        <v>1</v>
      </c>
      <c r="U132" s="466">
        <v>0</v>
      </c>
      <c r="V132" s="467">
        <v>5</v>
      </c>
      <c r="W132" s="468">
        <v>4</v>
      </c>
      <c r="X132" s="469">
        <v>3</v>
      </c>
      <c r="Y132" s="470">
        <v>0</v>
      </c>
      <c r="Z132" s="471">
        <v>0</v>
      </c>
      <c r="AA132" s="472">
        <v>0</v>
      </c>
      <c r="AB132" s="473">
        <v>0</v>
      </c>
      <c r="AC132" s="464">
        <f>S132*O132</f>
        <v>65</v>
      </c>
      <c r="AD132" s="474">
        <f>S132*R132</f>
        <v>1896.9736842105265</v>
      </c>
      <c r="AE132" s="475">
        <v>2.247210378299918</v>
      </c>
      <c r="AF132" s="507">
        <f t="shared" si="97"/>
        <v>29.213734917898933</v>
      </c>
      <c r="AG132"/>
      <c r="AH132"/>
      <c r="AI132"/>
      <c r="AJ132"/>
    </row>
    <row r="133" spans="1:36" ht="12.75" customHeight="1">
      <c r="A133" s="48"/>
      <c r="B133" s="707"/>
      <c r="C133" s="461"/>
      <c r="D133" s="461"/>
      <c r="E133" s="462"/>
      <c r="F133" s="461"/>
      <c r="G133" s="461"/>
      <c r="H133" s="461"/>
      <c r="I133" s="461"/>
      <c r="J133" s="462"/>
      <c r="K133" s="461"/>
      <c r="L133" s="461"/>
      <c r="M133" s="461"/>
      <c r="N133" s="461"/>
      <c r="O133" s="462"/>
      <c r="P133" s="462"/>
      <c r="Q133" s="752"/>
      <c r="R133" s="752">
        <v>0</v>
      </c>
      <c r="S133" s="464"/>
      <c r="T133" s="465">
        <v>0</v>
      </c>
      <c r="U133" s="466">
        <v>0</v>
      </c>
      <c r="V133" s="467">
        <v>0</v>
      </c>
      <c r="W133" s="468">
        <v>0</v>
      </c>
      <c r="X133" s="469">
        <v>0</v>
      </c>
      <c r="Y133" s="470">
        <v>0</v>
      </c>
      <c r="Z133" s="471">
        <v>0</v>
      </c>
      <c r="AA133" s="472">
        <v>0</v>
      </c>
      <c r="AB133" s="473">
        <v>0</v>
      </c>
      <c r="AC133" s="464"/>
      <c r="AD133" s="474"/>
      <c r="AE133" s="475">
        <v>0</v>
      </c>
      <c r="AF133" s="507"/>
      <c r="AG133"/>
      <c r="AH133"/>
      <c r="AI133"/>
    </row>
    <row r="134" spans="1:36" ht="12.75" customHeight="1">
      <c r="A134" s="48"/>
      <c r="B134" s="707" t="s">
        <v>353</v>
      </c>
      <c r="C134" s="461" t="s">
        <v>1076</v>
      </c>
      <c r="D134" s="461" t="s">
        <v>456</v>
      </c>
      <c r="E134" s="462">
        <v>10</v>
      </c>
      <c r="F134" s="461"/>
      <c r="G134" s="461"/>
      <c r="H134" s="461" t="s">
        <v>445</v>
      </c>
      <c r="I134" s="461" t="s">
        <v>456</v>
      </c>
      <c r="J134" s="462">
        <v>10</v>
      </c>
      <c r="K134" s="461"/>
      <c r="L134" s="461"/>
      <c r="M134" s="461" t="s">
        <v>456</v>
      </c>
      <c r="N134" s="461" t="s">
        <v>451</v>
      </c>
      <c r="O134" s="462">
        <v>10</v>
      </c>
      <c r="P134" s="462" t="s">
        <v>395</v>
      </c>
      <c r="Q134" s="752">
        <f>R134*(1-Bolts!$E$1157)</f>
        <v>113.89473684210526</v>
      </c>
      <c r="R134" s="752">
        <v>113.89473684210526</v>
      </c>
      <c r="S134" s="464">
        <f t="shared" si="96"/>
        <v>31</v>
      </c>
      <c r="T134" s="465">
        <v>10</v>
      </c>
      <c r="U134" s="466">
        <v>0</v>
      </c>
      <c r="V134" s="467">
        <v>3</v>
      </c>
      <c r="W134" s="468">
        <v>5</v>
      </c>
      <c r="X134" s="469">
        <v>3</v>
      </c>
      <c r="Y134" s="470">
        <v>0</v>
      </c>
      <c r="Z134" s="471">
        <v>5</v>
      </c>
      <c r="AA134" s="472">
        <v>5</v>
      </c>
      <c r="AB134" s="473">
        <v>0</v>
      </c>
      <c r="AC134" s="464">
        <f t="shared" ref="AC134:AC148" si="98">S134*O134</f>
        <v>310</v>
      </c>
      <c r="AD134" s="474">
        <f t="shared" ref="AD134:AD148" si="99">S134*R134</f>
        <v>3530.7368421052629</v>
      </c>
      <c r="AE134" s="475">
        <v>2.3650000000000002</v>
      </c>
      <c r="AF134" s="507">
        <f t="shared" si="97"/>
        <v>73.315000000000012</v>
      </c>
      <c r="AG134"/>
      <c r="AH134"/>
      <c r="AI134"/>
    </row>
    <row r="135" spans="1:36" ht="12.75" customHeight="1">
      <c r="A135" s="48"/>
      <c r="B135" s="707" t="s">
        <v>538</v>
      </c>
      <c r="C135" s="461" t="s">
        <v>1076</v>
      </c>
      <c r="D135" s="461" t="s">
        <v>456</v>
      </c>
      <c r="E135" s="462">
        <v>10</v>
      </c>
      <c r="F135" s="461"/>
      <c r="G135" s="461"/>
      <c r="H135" s="461" t="s">
        <v>445</v>
      </c>
      <c r="I135" s="461" t="s">
        <v>456</v>
      </c>
      <c r="J135" s="462">
        <v>10</v>
      </c>
      <c r="K135" s="461"/>
      <c r="L135" s="461"/>
      <c r="M135" s="461" t="s">
        <v>456</v>
      </c>
      <c r="N135" s="461" t="s">
        <v>451</v>
      </c>
      <c r="O135" s="462">
        <v>10</v>
      </c>
      <c r="P135" s="462" t="s">
        <v>539</v>
      </c>
      <c r="Q135" s="752">
        <f>R135*(1-Bolts!$E$1157)</f>
        <v>72.078947368421055</v>
      </c>
      <c r="R135" s="752">
        <v>72.078947368421055</v>
      </c>
      <c r="S135" s="464">
        <f t="shared" si="96"/>
        <v>27</v>
      </c>
      <c r="T135" s="465">
        <v>3</v>
      </c>
      <c r="U135" s="466">
        <v>0</v>
      </c>
      <c r="V135" s="467">
        <v>6</v>
      </c>
      <c r="W135" s="468">
        <v>5</v>
      </c>
      <c r="X135" s="469">
        <v>4</v>
      </c>
      <c r="Y135" s="470">
        <v>0</v>
      </c>
      <c r="Z135" s="471">
        <v>4</v>
      </c>
      <c r="AA135" s="472">
        <v>5</v>
      </c>
      <c r="AB135" s="473">
        <v>0</v>
      </c>
      <c r="AC135" s="464">
        <f t="shared" si="98"/>
        <v>270</v>
      </c>
      <c r="AD135" s="474">
        <f t="shared" si="99"/>
        <v>1946.1315789473686</v>
      </c>
      <c r="AE135" s="475">
        <v>1.2927515195500316</v>
      </c>
      <c r="AF135" s="507">
        <f t="shared" si="97"/>
        <v>34.904291027850853</v>
      </c>
      <c r="AG135"/>
      <c r="AH135"/>
      <c r="AI135"/>
    </row>
    <row r="136" spans="1:36" ht="12.75" customHeight="1">
      <c r="A136" s="48"/>
      <c r="B136" s="707" t="s">
        <v>354</v>
      </c>
      <c r="C136" s="461" t="s">
        <v>1076</v>
      </c>
      <c r="D136" s="461" t="s">
        <v>456</v>
      </c>
      <c r="E136" s="462">
        <v>10</v>
      </c>
      <c r="F136" s="461"/>
      <c r="G136" s="461"/>
      <c r="H136" s="461" t="s">
        <v>445</v>
      </c>
      <c r="I136" s="461" t="s">
        <v>456</v>
      </c>
      <c r="J136" s="462">
        <v>10</v>
      </c>
      <c r="K136" s="461"/>
      <c r="L136" s="461"/>
      <c r="M136" s="461" t="s">
        <v>456</v>
      </c>
      <c r="N136" s="461" t="s">
        <v>451</v>
      </c>
      <c r="O136" s="462">
        <v>10</v>
      </c>
      <c r="P136" s="462" t="s">
        <v>396</v>
      </c>
      <c r="Q136" s="752">
        <f>R136*(1-Bolts!$E$1157)</f>
        <v>112.86842105263158</v>
      </c>
      <c r="R136" s="752">
        <v>112.86842105263158</v>
      </c>
      <c r="S136" s="464">
        <f t="shared" si="96"/>
        <v>20</v>
      </c>
      <c r="T136" s="465">
        <v>0</v>
      </c>
      <c r="U136" s="466">
        <v>0</v>
      </c>
      <c r="V136" s="467">
        <v>5</v>
      </c>
      <c r="W136" s="468">
        <v>4</v>
      </c>
      <c r="X136" s="469">
        <v>4</v>
      </c>
      <c r="Y136" s="470">
        <v>0</v>
      </c>
      <c r="Z136" s="471">
        <v>2</v>
      </c>
      <c r="AA136" s="472">
        <v>5</v>
      </c>
      <c r="AB136" s="473">
        <v>0</v>
      </c>
      <c r="AC136" s="464">
        <f t="shared" si="98"/>
        <v>200</v>
      </c>
      <c r="AD136" s="474">
        <f t="shared" si="99"/>
        <v>2257.3684210526317</v>
      </c>
      <c r="AE136" s="475">
        <v>2.339</v>
      </c>
      <c r="AF136" s="507">
        <f t="shared" si="97"/>
        <v>46.78</v>
      </c>
      <c r="AG136"/>
      <c r="AH136"/>
      <c r="AI136"/>
    </row>
    <row r="137" spans="1:36" ht="12.75" customHeight="1">
      <c r="A137" s="48"/>
      <c r="B137" s="707" t="s">
        <v>540</v>
      </c>
      <c r="C137" s="461" t="s">
        <v>1076</v>
      </c>
      <c r="D137" s="461" t="s">
        <v>456</v>
      </c>
      <c r="E137" s="462">
        <v>10</v>
      </c>
      <c r="F137" s="461"/>
      <c r="G137" s="461"/>
      <c r="H137" s="461" t="s">
        <v>445</v>
      </c>
      <c r="I137" s="461" t="s">
        <v>456</v>
      </c>
      <c r="J137" s="462">
        <v>10</v>
      </c>
      <c r="K137" s="461"/>
      <c r="L137" s="461"/>
      <c r="M137" s="461" t="s">
        <v>456</v>
      </c>
      <c r="N137" s="461" t="s">
        <v>451</v>
      </c>
      <c r="O137" s="462">
        <v>10</v>
      </c>
      <c r="P137" s="462" t="s">
        <v>541</v>
      </c>
      <c r="Q137" s="752">
        <f>R137*(1-Bolts!$E$1157)</f>
        <v>102.10526315789473</v>
      </c>
      <c r="R137" s="752">
        <v>102.10526315789473</v>
      </c>
      <c r="S137" s="464">
        <f t="shared" si="96"/>
        <v>26</v>
      </c>
      <c r="T137" s="465">
        <v>0</v>
      </c>
      <c r="U137" s="466">
        <v>0</v>
      </c>
      <c r="V137" s="467">
        <v>5</v>
      </c>
      <c r="W137" s="468">
        <v>0</v>
      </c>
      <c r="X137" s="469">
        <v>5</v>
      </c>
      <c r="Y137" s="470">
        <v>7</v>
      </c>
      <c r="Z137" s="471">
        <v>4</v>
      </c>
      <c r="AA137" s="472">
        <v>5</v>
      </c>
      <c r="AB137" s="473">
        <v>0</v>
      </c>
      <c r="AC137" s="464">
        <f t="shared" si="98"/>
        <v>260</v>
      </c>
      <c r="AD137" s="474">
        <f t="shared" si="99"/>
        <v>2654.7368421052629</v>
      </c>
      <c r="AE137" s="475">
        <v>2.0638664610360156</v>
      </c>
      <c r="AF137" s="507">
        <f t="shared" si="97"/>
        <v>53.660527986936401</v>
      </c>
      <c r="AG137"/>
      <c r="AH137"/>
      <c r="AI137"/>
    </row>
    <row r="138" spans="1:36" ht="12.75" customHeight="1">
      <c r="A138" s="48"/>
      <c r="B138" s="707" t="s">
        <v>548</v>
      </c>
      <c r="C138" s="461" t="s">
        <v>1076</v>
      </c>
      <c r="D138" s="461" t="s">
        <v>456</v>
      </c>
      <c r="E138" s="462">
        <v>10</v>
      </c>
      <c r="F138" s="461"/>
      <c r="G138" s="461"/>
      <c r="H138" s="461" t="s">
        <v>445</v>
      </c>
      <c r="I138" s="461" t="s">
        <v>456</v>
      </c>
      <c r="J138" s="462">
        <v>10</v>
      </c>
      <c r="K138" s="461"/>
      <c r="L138" s="461"/>
      <c r="M138" s="461" t="s">
        <v>456</v>
      </c>
      <c r="N138" s="461" t="s">
        <v>451</v>
      </c>
      <c r="O138" s="462">
        <v>10</v>
      </c>
      <c r="P138" s="462" t="s">
        <v>544</v>
      </c>
      <c r="Q138" s="752">
        <f>R138*(1-Bolts!$E$1157)</f>
        <v>78.60526315789474</v>
      </c>
      <c r="R138" s="752">
        <v>78.60526315789474</v>
      </c>
      <c r="S138" s="464">
        <f t="shared" si="96"/>
        <v>26</v>
      </c>
      <c r="T138" s="465">
        <v>4</v>
      </c>
      <c r="U138" s="466">
        <v>0</v>
      </c>
      <c r="V138" s="467">
        <v>5</v>
      </c>
      <c r="W138" s="468">
        <v>5</v>
      </c>
      <c r="X138" s="469">
        <v>5</v>
      </c>
      <c r="Y138" s="470">
        <v>0</v>
      </c>
      <c r="Z138" s="471">
        <v>2</v>
      </c>
      <c r="AA138" s="472">
        <v>5</v>
      </c>
      <c r="AB138" s="473">
        <v>0</v>
      </c>
      <c r="AC138" s="464">
        <f t="shared" si="98"/>
        <v>260</v>
      </c>
      <c r="AD138" s="474">
        <f t="shared" si="99"/>
        <v>2043.7368421052633</v>
      </c>
      <c r="AE138" s="475">
        <v>1.4424385376031934</v>
      </c>
      <c r="AF138" s="507">
        <f t="shared" si="97"/>
        <v>37.503401977683026</v>
      </c>
      <c r="AG138"/>
      <c r="AH138"/>
      <c r="AI138"/>
    </row>
    <row r="139" spans="1:36" ht="12.75" customHeight="1">
      <c r="A139" s="48"/>
      <c r="B139" s="707" t="s">
        <v>355</v>
      </c>
      <c r="C139" s="461" t="s">
        <v>1076</v>
      </c>
      <c r="D139" s="461" t="s">
        <v>456</v>
      </c>
      <c r="E139" s="462">
        <v>10</v>
      </c>
      <c r="F139" s="461"/>
      <c r="G139" s="461"/>
      <c r="H139" s="461" t="s">
        <v>445</v>
      </c>
      <c r="I139" s="461" t="s">
        <v>456</v>
      </c>
      <c r="J139" s="462">
        <v>10</v>
      </c>
      <c r="K139" s="461"/>
      <c r="L139" s="461"/>
      <c r="M139" s="461" t="s">
        <v>456</v>
      </c>
      <c r="N139" s="461" t="s">
        <v>451</v>
      </c>
      <c r="O139" s="462">
        <v>10</v>
      </c>
      <c r="P139" s="462" t="s">
        <v>397</v>
      </c>
      <c r="Q139" s="752">
        <f>R139*(1-Bolts!$E$1157)</f>
        <v>53.368421052631582</v>
      </c>
      <c r="R139" s="752">
        <v>53.368421052631582</v>
      </c>
      <c r="S139" s="464">
        <f t="shared" si="96"/>
        <v>29</v>
      </c>
      <c r="T139" s="465">
        <v>4</v>
      </c>
      <c r="U139" s="466">
        <v>0</v>
      </c>
      <c r="V139" s="467">
        <v>5</v>
      </c>
      <c r="W139" s="468">
        <v>5</v>
      </c>
      <c r="X139" s="469">
        <v>4</v>
      </c>
      <c r="Y139" s="470">
        <v>5</v>
      </c>
      <c r="Z139" s="471">
        <v>0</v>
      </c>
      <c r="AA139" s="472">
        <v>6</v>
      </c>
      <c r="AB139" s="473">
        <v>0</v>
      </c>
      <c r="AC139" s="464">
        <f t="shared" si="98"/>
        <v>290</v>
      </c>
      <c r="AD139" s="474">
        <f t="shared" si="99"/>
        <v>1547.6842105263158</v>
      </c>
      <c r="AE139" s="475">
        <v>0.79400000000000004</v>
      </c>
      <c r="AF139" s="507">
        <f t="shared" si="97"/>
        <v>23.026</v>
      </c>
      <c r="AG139"/>
      <c r="AH139"/>
      <c r="AI139"/>
    </row>
    <row r="140" spans="1:36" ht="12.75" customHeight="1">
      <c r="A140" s="48"/>
      <c r="B140" s="707" t="s">
        <v>356</v>
      </c>
      <c r="C140" s="461" t="s">
        <v>1076</v>
      </c>
      <c r="D140" s="461" t="s">
        <v>456</v>
      </c>
      <c r="E140" s="462">
        <v>10</v>
      </c>
      <c r="F140" s="461"/>
      <c r="G140" s="461"/>
      <c r="H140" s="461" t="s">
        <v>445</v>
      </c>
      <c r="I140" s="461" t="s">
        <v>456</v>
      </c>
      <c r="J140" s="462">
        <v>10</v>
      </c>
      <c r="K140" s="461"/>
      <c r="L140" s="461"/>
      <c r="M140" s="461" t="s">
        <v>456</v>
      </c>
      <c r="N140" s="461" t="s">
        <v>451</v>
      </c>
      <c r="O140" s="462">
        <v>10</v>
      </c>
      <c r="P140" s="462" t="s">
        <v>398</v>
      </c>
      <c r="Q140" s="752">
        <f>R140*(1-Bolts!$E$1157)</f>
        <v>61.473684210526315</v>
      </c>
      <c r="R140" s="752">
        <v>61.473684210526315</v>
      </c>
      <c r="S140" s="464">
        <f t="shared" si="96"/>
        <v>34</v>
      </c>
      <c r="T140" s="465">
        <v>5</v>
      </c>
      <c r="U140" s="466">
        <v>0</v>
      </c>
      <c r="V140" s="467">
        <v>5</v>
      </c>
      <c r="W140" s="468">
        <v>5</v>
      </c>
      <c r="X140" s="469">
        <v>3</v>
      </c>
      <c r="Y140" s="470">
        <v>5</v>
      </c>
      <c r="Z140" s="471">
        <v>4</v>
      </c>
      <c r="AA140" s="472">
        <v>6</v>
      </c>
      <c r="AB140" s="473">
        <v>1</v>
      </c>
      <c r="AC140" s="464">
        <f t="shared" si="98"/>
        <v>340</v>
      </c>
      <c r="AD140" s="474">
        <f t="shared" si="99"/>
        <v>2090.1052631578946</v>
      </c>
      <c r="AE140" s="475">
        <v>1.002</v>
      </c>
      <c r="AF140" s="507">
        <f t="shared" si="97"/>
        <v>34.067999999999998</v>
      </c>
      <c r="AG140"/>
      <c r="AH140"/>
      <c r="AI140"/>
    </row>
    <row r="141" spans="1:36" ht="12.75" customHeight="1">
      <c r="A141" s="48"/>
      <c r="B141" s="707" t="s">
        <v>357</v>
      </c>
      <c r="C141" s="461" t="s">
        <v>1076</v>
      </c>
      <c r="D141" s="461" t="s">
        <v>456</v>
      </c>
      <c r="E141" s="462">
        <v>10</v>
      </c>
      <c r="F141" s="461"/>
      <c r="G141" s="461"/>
      <c r="H141" s="461" t="s">
        <v>445</v>
      </c>
      <c r="I141" s="461" t="s">
        <v>456</v>
      </c>
      <c r="J141" s="462">
        <v>10</v>
      </c>
      <c r="K141" s="461"/>
      <c r="L141" s="461"/>
      <c r="M141" s="461" t="s">
        <v>456</v>
      </c>
      <c r="N141" s="461" t="s">
        <v>451</v>
      </c>
      <c r="O141" s="462">
        <v>10</v>
      </c>
      <c r="P141" s="462" t="s">
        <v>399</v>
      </c>
      <c r="Q141" s="752">
        <f>R141*(1-Bolts!$E$1157)</f>
        <v>45.078947368421048</v>
      </c>
      <c r="R141" s="752">
        <v>45.078947368421048</v>
      </c>
      <c r="S141" s="464">
        <f t="shared" si="96"/>
        <v>31</v>
      </c>
      <c r="T141" s="465">
        <v>4</v>
      </c>
      <c r="U141" s="466">
        <v>0</v>
      </c>
      <c r="V141" s="467">
        <v>5</v>
      </c>
      <c r="W141" s="468">
        <v>5</v>
      </c>
      <c r="X141" s="469">
        <v>5</v>
      </c>
      <c r="Y141" s="470">
        <v>3</v>
      </c>
      <c r="Z141" s="471">
        <v>5</v>
      </c>
      <c r="AA141" s="472">
        <v>4</v>
      </c>
      <c r="AB141" s="473">
        <v>0</v>
      </c>
      <c r="AC141" s="464">
        <f t="shared" si="98"/>
        <v>310</v>
      </c>
      <c r="AD141" s="474">
        <f t="shared" si="99"/>
        <v>1397.4473684210525</v>
      </c>
      <c r="AE141" s="475">
        <v>0.58199999999999996</v>
      </c>
      <c r="AF141" s="507">
        <f t="shared" si="97"/>
        <v>18.041999999999998</v>
      </c>
      <c r="AG141"/>
      <c r="AH141"/>
      <c r="AI141"/>
    </row>
    <row r="142" spans="1:36" ht="12.75" customHeight="1">
      <c r="A142" s="48"/>
      <c r="B142" s="707" t="s">
        <v>358</v>
      </c>
      <c r="C142" s="461" t="s">
        <v>1076</v>
      </c>
      <c r="D142" s="461" t="s">
        <v>456</v>
      </c>
      <c r="E142" s="462">
        <v>10</v>
      </c>
      <c r="F142" s="461"/>
      <c r="G142" s="461"/>
      <c r="H142" s="461" t="s">
        <v>445</v>
      </c>
      <c r="I142" s="461" t="s">
        <v>456</v>
      </c>
      <c r="J142" s="462">
        <v>10</v>
      </c>
      <c r="K142" s="461"/>
      <c r="L142" s="461"/>
      <c r="M142" s="461" t="s">
        <v>456</v>
      </c>
      <c r="N142" s="461" t="s">
        <v>451</v>
      </c>
      <c r="O142" s="462">
        <v>10</v>
      </c>
      <c r="P142" s="462" t="s">
        <v>400</v>
      </c>
      <c r="Q142" s="752">
        <f>R142*(1-Bolts!$E$1157)</f>
        <v>79.526315789473685</v>
      </c>
      <c r="R142" s="752">
        <v>79.526315789473685</v>
      </c>
      <c r="S142" s="464">
        <f t="shared" si="96"/>
        <v>25</v>
      </c>
      <c r="T142" s="465">
        <v>5</v>
      </c>
      <c r="U142" s="466">
        <v>2</v>
      </c>
      <c r="V142" s="467">
        <v>5</v>
      </c>
      <c r="W142" s="468">
        <v>0</v>
      </c>
      <c r="X142" s="469">
        <v>5</v>
      </c>
      <c r="Y142" s="470">
        <v>0</v>
      </c>
      <c r="Z142" s="471">
        <v>5</v>
      </c>
      <c r="AA142" s="472">
        <v>3</v>
      </c>
      <c r="AB142" s="473">
        <v>0</v>
      </c>
      <c r="AC142" s="464">
        <f t="shared" si="98"/>
        <v>250</v>
      </c>
      <c r="AD142" s="474">
        <f t="shared" si="99"/>
        <v>1988.1578947368421</v>
      </c>
      <c r="AE142" s="475">
        <v>1.464</v>
      </c>
      <c r="AF142" s="507">
        <f t="shared" si="97"/>
        <v>36.6</v>
      </c>
      <c r="AG142"/>
      <c r="AH142"/>
      <c r="AI142"/>
    </row>
    <row r="143" spans="1:36" ht="12.75" customHeight="1">
      <c r="A143" s="48"/>
      <c r="B143" s="707" t="s">
        <v>359</v>
      </c>
      <c r="C143" s="461" t="s">
        <v>1076</v>
      </c>
      <c r="D143" s="461" t="s">
        <v>456</v>
      </c>
      <c r="E143" s="462">
        <v>10</v>
      </c>
      <c r="F143" s="461"/>
      <c r="G143" s="461"/>
      <c r="H143" s="461" t="s">
        <v>445</v>
      </c>
      <c r="I143" s="461" t="s">
        <v>456</v>
      </c>
      <c r="J143" s="462">
        <v>10</v>
      </c>
      <c r="K143" s="461"/>
      <c r="L143" s="461"/>
      <c r="M143" s="461" t="s">
        <v>456</v>
      </c>
      <c r="N143" s="461" t="s">
        <v>451</v>
      </c>
      <c r="O143" s="462">
        <v>10</v>
      </c>
      <c r="P143" s="462" t="s">
        <v>401</v>
      </c>
      <c r="Q143" s="752">
        <f>R143*(1-Bolts!$E$1157)</f>
        <v>49.05263157894737</v>
      </c>
      <c r="R143" s="752">
        <v>49.05263157894737</v>
      </c>
      <c r="S143" s="464">
        <f t="shared" si="96"/>
        <v>40</v>
      </c>
      <c r="T143" s="465">
        <v>5</v>
      </c>
      <c r="U143" s="466">
        <v>0</v>
      </c>
      <c r="V143" s="467">
        <v>8</v>
      </c>
      <c r="W143" s="468">
        <v>5</v>
      </c>
      <c r="X143" s="469">
        <v>8</v>
      </c>
      <c r="Y143" s="470">
        <v>5</v>
      </c>
      <c r="Z143" s="471">
        <v>5</v>
      </c>
      <c r="AA143" s="472">
        <v>4</v>
      </c>
      <c r="AB143" s="473">
        <v>0</v>
      </c>
      <c r="AC143" s="464">
        <f t="shared" si="98"/>
        <v>400</v>
      </c>
      <c r="AD143" s="474">
        <f t="shared" si="99"/>
        <v>1962.1052631578948</v>
      </c>
      <c r="AE143" s="475">
        <v>0.67800000000000005</v>
      </c>
      <c r="AF143" s="507">
        <f t="shared" si="97"/>
        <v>27.12</v>
      </c>
      <c r="AG143"/>
      <c r="AH143"/>
      <c r="AI143"/>
    </row>
    <row r="144" spans="1:36" ht="12.75" customHeight="1">
      <c r="A144" s="214"/>
      <c r="B144" s="703" t="s">
        <v>1717</v>
      </c>
      <c r="C144" s="476" t="s">
        <v>1076</v>
      </c>
      <c r="D144" s="476" t="s">
        <v>456</v>
      </c>
      <c r="E144" s="478">
        <v>10</v>
      </c>
      <c r="F144" s="476"/>
      <c r="G144" s="476"/>
      <c r="H144" s="476" t="s">
        <v>445</v>
      </c>
      <c r="I144" s="476" t="s">
        <v>456</v>
      </c>
      <c r="J144" s="478">
        <v>10</v>
      </c>
      <c r="K144" s="476"/>
      <c r="L144" s="476"/>
      <c r="M144" s="476" t="s">
        <v>456</v>
      </c>
      <c r="N144" s="476" t="s">
        <v>451</v>
      </c>
      <c r="O144" s="478">
        <v>10</v>
      </c>
      <c r="P144" s="478" t="s">
        <v>1718</v>
      </c>
      <c r="Q144" s="752">
        <f>R144*(1-Bolts!$E$1157)</f>
        <v>111.86842105263158</v>
      </c>
      <c r="R144" s="752">
        <v>111.86842105263158</v>
      </c>
      <c r="S144" s="464">
        <f t="shared" si="96"/>
        <v>26</v>
      </c>
      <c r="T144" s="465">
        <v>0</v>
      </c>
      <c r="U144" s="466">
        <v>1</v>
      </c>
      <c r="V144" s="467">
        <v>3</v>
      </c>
      <c r="W144" s="468">
        <v>4</v>
      </c>
      <c r="X144" s="469">
        <v>4</v>
      </c>
      <c r="Y144" s="470">
        <v>5</v>
      </c>
      <c r="Z144" s="471">
        <v>4</v>
      </c>
      <c r="AA144" s="472">
        <v>5</v>
      </c>
      <c r="AB144" s="473">
        <v>0</v>
      </c>
      <c r="AC144" s="464">
        <f t="shared" si="98"/>
        <v>260</v>
      </c>
      <c r="AD144" s="474">
        <f t="shared" si="99"/>
        <v>2908.5789473684208</v>
      </c>
      <c r="AE144" s="475">
        <v>2.2952009434818104</v>
      </c>
      <c r="AF144" s="507">
        <f t="shared" si="97"/>
        <v>59.675224530527068</v>
      </c>
      <c r="AG144"/>
      <c r="AH144"/>
      <c r="AI144"/>
    </row>
    <row r="145" spans="1:36" ht="12.75" customHeight="1">
      <c r="A145" s="214" t="s">
        <v>2612</v>
      </c>
      <c r="B145" s="704" t="s">
        <v>3033</v>
      </c>
      <c r="C145" s="644" t="s">
        <v>1076</v>
      </c>
      <c r="D145" s="644" t="s">
        <v>456</v>
      </c>
      <c r="E145" s="645">
        <v>10</v>
      </c>
      <c r="F145" s="644"/>
      <c r="G145" s="644"/>
      <c r="H145" s="644" t="s">
        <v>445</v>
      </c>
      <c r="I145" s="644" t="s">
        <v>456</v>
      </c>
      <c r="J145" s="645">
        <v>10</v>
      </c>
      <c r="K145" s="644"/>
      <c r="L145" s="644"/>
      <c r="M145" s="644" t="s">
        <v>456</v>
      </c>
      <c r="N145" s="644" t="s">
        <v>451</v>
      </c>
      <c r="O145" s="645">
        <v>10</v>
      </c>
      <c r="P145" s="645" t="s">
        <v>2890</v>
      </c>
      <c r="Q145" s="752">
        <f>R145*(1-Bolts!$E$1157)</f>
        <v>182.39</v>
      </c>
      <c r="R145" s="752">
        <v>182.39</v>
      </c>
      <c r="S145" s="464">
        <f t="shared" si="96"/>
        <v>0</v>
      </c>
      <c r="T145" s="465">
        <v>0</v>
      </c>
      <c r="U145" s="466">
        <v>0</v>
      </c>
      <c r="V145" s="467">
        <v>0</v>
      </c>
      <c r="W145" s="468">
        <v>0</v>
      </c>
      <c r="X145" s="469">
        <v>0</v>
      </c>
      <c r="Y145" s="470">
        <v>0</v>
      </c>
      <c r="Z145" s="471">
        <v>0</v>
      </c>
      <c r="AA145" s="472">
        <v>0</v>
      </c>
      <c r="AB145" s="473">
        <v>0</v>
      </c>
      <c r="AC145" s="464">
        <f t="shared" si="98"/>
        <v>0</v>
      </c>
      <c r="AD145" s="474">
        <f t="shared" si="99"/>
        <v>0</v>
      </c>
      <c r="AE145" s="475">
        <v>3.1298194683842868</v>
      </c>
      <c r="AF145" s="507">
        <f t="shared" si="97"/>
        <v>0</v>
      </c>
      <c r="AG145"/>
      <c r="AH145"/>
      <c r="AI145"/>
      <c r="AJ145"/>
    </row>
    <row r="146" spans="1:36" ht="12.75" customHeight="1">
      <c r="A146" s="214" t="s">
        <v>2612</v>
      </c>
      <c r="B146" s="704" t="s">
        <v>2889</v>
      </c>
      <c r="C146" s="644" t="s">
        <v>1076</v>
      </c>
      <c r="D146" s="644" t="s">
        <v>456</v>
      </c>
      <c r="E146" s="645">
        <v>5</v>
      </c>
      <c r="F146" s="644"/>
      <c r="G146" s="644"/>
      <c r="H146" s="644" t="s">
        <v>445</v>
      </c>
      <c r="I146" s="644" t="s">
        <v>456</v>
      </c>
      <c r="J146" s="645">
        <v>5</v>
      </c>
      <c r="K146" s="644"/>
      <c r="L146" s="644"/>
      <c r="M146" s="644" t="s">
        <v>456</v>
      </c>
      <c r="N146" s="644" t="s">
        <v>451</v>
      </c>
      <c r="O146" s="645">
        <v>5</v>
      </c>
      <c r="P146" s="645" t="s">
        <v>2835</v>
      </c>
      <c r="Q146" s="752">
        <f>R146*(1-Bolts!$E$1157)</f>
        <v>111.81578947368422</v>
      </c>
      <c r="R146" s="752">
        <v>111.81578947368422</v>
      </c>
      <c r="S146" s="464">
        <f t="shared" ref="S146:S147" si="100">SUM(T146:AB146)</f>
        <v>34</v>
      </c>
      <c r="T146" s="465">
        <v>4</v>
      </c>
      <c r="U146" s="466">
        <v>0</v>
      </c>
      <c r="V146" s="467">
        <v>6</v>
      </c>
      <c r="W146" s="468">
        <v>3</v>
      </c>
      <c r="X146" s="469">
        <v>1</v>
      </c>
      <c r="Y146" s="470">
        <v>5</v>
      </c>
      <c r="Z146" s="471">
        <v>5</v>
      </c>
      <c r="AA146" s="472">
        <v>5</v>
      </c>
      <c r="AB146" s="473">
        <v>5</v>
      </c>
      <c r="AC146" s="464">
        <f t="shared" ref="AC146:AC147" si="101">S146*O146</f>
        <v>170</v>
      </c>
      <c r="AD146" s="474">
        <f t="shared" ref="AD146:AD147" si="102">S146*R146</f>
        <v>3801.7368421052633</v>
      </c>
      <c r="AE146" s="475">
        <v>1.4522362333303092</v>
      </c>
      <c r="AF146" s="507">
        <f t="shared" ref="AF146:AF147" si="103">AE146*S146</f>
        <v>49.376031933230514</v>
      </c>
      <c r="AG146"/>
      <c r="AH146"/>
      <c r="AI146"/>
      <c r="AJ146"/>
    </row>
    <row r="147" spans="1:36" ht="12.75" customHeight="1">
      <c r="A147" s="214" t="s">
        <v>2612</v>
      </c>
      <c r="B147" s="704" t="s">
        <v>2889</v>
      </c>
      <c r="C147" s="644" t="s">
        <v>1076</v>
      </c>
      <c r="D147" s="644" t="s">
        <v>456</v>
      </c>
      <c r="E147" s="645">
        <v>5</v>
      </c>
      <c r="F147" s="644"/>
      <c r="G147" s="644"/>
      <c r="H147" s="644" t="s">
        <v>445</v>
      </c>
      <c r="I147" s="644" t="s">
        <v>456</v>
      </c>
      <c r="J147" s="645">
        <v>5</v>
      </c>
      <c r="K147" s="644"/>
      <c r="L147" s="644"/>
      <c r="M147" s="644" t="s">
        <v>456</v>
      </c>
      <c r="N147" s="644" t="s">
        <v>451</v>
      </c>
      <c r="O147" s="645">
        <v>5</v>
      </c>
      <c r="P147" s="645" t="s">
        <v>2837</v>
      </c>
      <c r="Q147" s="752">
        <f>R147*(1-Bolts!$E$1157)</f>
        <v>70.578947368421055</v>
      </c>
      <c r="R147" s="752">
        <v>70.578947368421055</v>
      </c>
      <c r="S147" s="464">
        <f t="shared" si="100"/>
        <v>54</v>
      </c>
      <c r="T147" s="465">
        <v>8</v>
      </c>
      <c r="U147" s="466">
        <v>0</v>
      </c>
      <c r="V147" s="467">
        <v>7</v>
      </c>
      <c r="W147" s="468">
        <v>8</v>
      </c>
      <c r="X147" s="469">
        <v>6</v>
      </c>
      <c r="Y147" s="470">
        <v>5</v>
      </c>
      <c r="Z147" s="471">
        <v>5</v>
      </c>
      <c r="AA147" s="472">
        <v>10</v>
      </c>
      <c r="AB147" s="473">
        <v>5</v>
      </c>
      <c r="AC147" s="464">
        <f t="shared" si="101"/>
        <v>270</v>
      </c>
      <c r="AD147" s="474">
        <f t="shared" si="102"/>
        <v>3811.2631578947371</v>
      </c>
      <c r="AE147" s="475">
        <v>1.6076839335933952</v>
      </c>
      <c r="AF147" s="507">
        <f t="shared" si="103"/>
        <v>86.814932414043341</v>
      </c>
      <c r="AG147"/>
      <c r="AH147"/>
      <c r="AI147"/>
      <c r="AJ147"/>
    </row>
    <row r="148" spans="1:36" ht="12.75" customHeight="1">
      <c r="A148" s="48"/>
      <c r="B148" s="707" t="s">
        <v>384</v>
      </c>
      <c r="C148" s="461" t="s">
        <v>1076</v>
      </c>
      <c r="D148" s="461" t="s">
        <v>456</v>
      </c>
      <c r="E148" s="462">
        <v>10</v>
      </c>
      <c r="F148" s="461"/>
      <c r="G148" s="461"/>
      <c r="H148" s="461" t="s">
        <v>445</v>
      </c>
      <c r="I148" s="523" t="s">
        <v>450</v>
      </c>
      <c r="J148" s="462">
        <v>10</v>
      </c>
      <c r="K148" s="461"/>
      <c r="L148" s="461"/>
      <c r="M148" s="523" t="s">
        <v>450</v>
      </c>
      <c r="N148" s="523" t="s">
        <v>451</v>
      </c>
      <c r="O148" s="462">
        <v>10</v>
      </c>
      <c r="P148" s="462" t="s">
        <v>430</v>
      </c>
      <c r="Q148" s="752">
        <f>R148*(1-Bolts!$E$1157)</f>
        <v>67</v>
      </c>
      <c r="R148" s="752">
        <v>67</v>
      </c>
      <c r="S148" s="464">
        <f t="shared" ref="S148" si="104">SUM(T148:AB148)</f>
        <v>36</v>
      </c>
      <c r="T148" s="465">
        <v>3</v>
      </c>
      <c r="U148" s="466">
        <v>0</v>
      </c>
      <c r="V148" s="467">
        <v>3</v>
      </c>
      <c r="W148" s="468">
        <v>5</v>
      </c>
      <c r="X148" s="469">
        <v>5</v>
      </c>
      <c r="Y148" s="470">
        <v>4</v>
      </c>
      <c r="Z148" s="471">
        <v>5</v>
      </c>
      <c r="AA148" s="472">
        <v>11</v>
      </c>
      <c r="AB148" s="473">
        <v>0</v>
      </c>
      <c r="AC148" s="464">
        <f t="shared" si="98"/>
        <v>360</v>
      </c>
      <c r="AD148" s="474">
        <f t="shared" si="99"/>
        <v>2412</v>
      </c>
      <c r="AE148" s="475">
        <v>1.143</v>
      </c>
      <c r="AF148" s="507">
        <f t="shared" ref="AF148" si="105">AE148*S148</f>
        <v>41.148000000000003</v>
      </c>
      <c r="AG148"/>
      <c r="AH148"/>
      <c r="AI148"/>
    </row>
    <row r="149" spans="1:36" ht="12.75" customHeight="1">
      <c r="A149" s="212" t="s">
        <v>2018</v>
      </c>
      <c r="B149" s="710" t="s">
        <v>2024</v>
      </c>
      <c r="C149" s="491" t="str">
        <f>B149</f>
        <v>Font Sandstone</v>
      </c>
      <c r="D149" s="491"/>
      <c r="E149" s="491"/>
      <c r="F149" s="491"/>
      <c r="G149" s="491"/>
      <c r="H149" s="491" t="s">
        <v>445</v>
      </c>
      <c r="I149" s="491" t="s">
        <v>1016</v>
      </c>
      <c r="J149" s="491"/>
      <c r="K149" s="491"/>
      <c r="L149" s="491"/>
      <c r="M149" s="491"/>
      <c r="N149" s="491"/>
      <c r="O149" s="491"/>
      <c r="P149" s="491"/>
      <c r="Q149" s="754"/>
      <c r="R149" s="752">
        <v>0</v>
      </c>
      <c r="S149" s="493"/>
      <c r="T149" s="465">
        <v>0</v>
      </c>
      <c r="U149" s="466">
        <v>0</v>
      </c>
      <c r="V149" s="467">
        <v>0</v>
      </c>
      <c r="W149" s="468">
        <v>0</v>
      </c>
      <c r="X149" s="469">
        <v>0</v>
      </c>
      <c r="Y149" s="470">
        <v>0</v>
      </c>
      <c r="Z149" s="471">
        <v>0</v>
      </c>
      <c r="AA149" s="472">
        <v>0</v>
      </c>
      <c r="AB149" s="473">
        <v>0</v>
      </c>
      <c r="AC149" s="493"/>
      <c r="AD149" s="493"/>
      <c r="AE149" s="493">
        <v>0</v>
      </c>
      <c r="AF149" s="509"/>
      <c r="AG149"/>
      <c r="AH149"/>
      <c r="AI149"/>
    </row>
    <row r="150" spans="1:36" ht="12.75" customHeight="1">
      <c r="A150" s="214"/>
      <c r="B150" s="713" t="s">
        <v>2198</v>
      </c>
      <c r="C150" s="461" t="s">
        <v>1076</v>
      </c>
      <c r="D150" s="461" t="s">
        <v>1151</v>
      </c>
      <c r="E150" s="462">
        <v>4</v>
      </c>
      <c r="F150" s="461"/>
      <c r="G150" s="461"/>
      <c r="H150" s="461" t="s">
        <v>445</v>
      </c>
      <c r="I150" s="461" t="s">
        <v>459</v>
      </c>
      <c r="J150" s="462">
        <v>4</v>
      </c>
      <c r="K150" s="461"/>
      <c r="L150" s="461"/>
      <c r="M150" s="461" t="s">
        <v>459</v>
      </c>
      <c r="N150" s="461" t="s">
        <v>452</v>
      </c>
      <c r="O150" s="462">
        <v>4</v>
      </c>
      <c r="P150" s="462" t="s">
        <v>2199</v>
      </c>
      <c r="Q150" s="752">
        <f>R150*(1-Bolts!$E$1157)</f>
        <v>269.9210526315789</v>
      </c>
      <c r="R150" s="752">
        <v>269.9210526315789</v>
      </c>
      <c r="S150" s="464">
        <f t="shared" ref="S150:S151" si="106">SUM(T150:AB150)</f>
        <v>20</v>
      </c>
      <c r="T150" s="465">
        <v>3</v>
      </c>
      <c r="U150" s="466">
        <v>3</v>
      </c>
      <c r="V150" s="467">
        <v>2</v>
      </c>
      <c r="W150" s="468">
        <v>0</v>
      </c>
      <c r="X150" s="469">
        <v>0</v>
      </c>
      <c r="Y150" s="470">
        <v>3</v>
      </c>
      <c r="Z150" s="471">
        <v>0</v>
      </c>
      <c r="AA150" s="472">
        <v>6</v>
      </c>
      <c r="AB150" s="473">
        <v>3</v>
      </c>
      <c r="AC150" s="464">
        <f>S150*O150</f>
        <v>80</v>
      </c>
      <c r="AD150" s="474">
        <f>S150*R150</f>
        <v>5398.4210526315783</v>
      </c>
      <c r="AE150" s="475">
        <v>4.524</v>
      </c>
      <c r="AF150" s="507">
        <f t="shared" ref="AF150:AF151" si="107">AE150*S150</f>
        <v>90.48</v>
      </c>
      <c r="AG150"/>
      <c r="AH150"/>
      <c r="AI150"/>
    </row>
    <row r="151" spans="1:36" ht="12.75" customHeight="1">
      <c r="A151" s="214" t="s">
        <v>2612</v>
      </c>
      <c r="B151" s="704" t="s">
        <v>2893</v>
      </c>
      <c r="C151" s="644" t="s">
        <v>1076</v>
      </c>
      <c r="D151" s="644" t="s">
        <v>1151</v>
      </c>
      <c r="E151" s="645">
        <v>5</v>
      </c>
      <c r="F151" s="644"/>
      <c r="G151" s="644"/>
      <c r="H151" s="644" t="s">
        <v>445</v>
      </c>
      <c r="I151" s="644" t="s">
        <v>459</v>
      </c>
      <c r="J151" s="645">
        <v>5</v>
      </c>
      <c r="K151" s="644"/>
      <c r="L151" s="644"/>
      <c r="M151" s="644" t="s">
        <v>459</v>
      </c>
      <c r="N151" s="644" t="s">
        <v>451</v>
      </c>
      <c r="O151" s="645">
        <v>5</v>
      </c>
      <c r="P151" s="645" t="s">
        <v>2894</v>
      </c>
      <c r="Q151" s="752">
        <f>R151*(1-Bolts!$E$1157)</f>
        <v>515.42105263157896</v>
      </c>
      <c r="R151" s="752">
        <v>515.42105263157896</v>
      </c>
      <c r="S151" s="464">
        <f t="shared" si="106"/>
        <v>22</v>
      </c>
      <c r="T151" s="465">
        <v>4</v>
      </c>
      <c r="U151" s="466">
        <v>0</v>
      </c>
      <c r="V151" s="467">
        <v>5</v>
      </c>
      <c r="W151" s="468">
        <v>4</v>
      </c>
      <c r="X151" s="469">
        <v>4</v>
      </c>
      <c r="Y151" s="470">
        <v>0</v>
      </c>
      <c r="Z151" s="471">
        <v>0</v>
      </c>
      <c r="AA151" s="472">
        <v>5</v>
      </c>
      <c r="AB151" s="473">
        <v>0</v>
      </c>
      <c r="AC151" s="464">
        <f>S151*O151</f>
        <v>110</v>
      </c>
      <c r="AD151" s="474">
        <f>S151*R151</f>
        <v>11339.263157894737</v>
      </c>
      <c r="AE151" s="475">
        <v>10.658078563004624</v>
      </c>
      <c r="AF151" s="507">
        <f t="shared" si="107"/>
        <v>234.47772838610172</v>
      </c>
      <c r="AG151"/>
      <c r="AH151"/>
      <c r="AI151"/>
      <c r="AJ151"/>
    </row>
    <row r="152" spans="1:36" ht="12.75" customHeight="1">
      <c r="A152" s="48"/>
      <c r="B152" s="713" t="s">
        <v>546</v>
      </c>
      <c r="C152" s="461" t="s">
        <v>1076</v>
      </c>
      <c r="D152" s="461" t="s">
        <v>456</v>
      </c>
      <c r="E152" s="462">
        <v>7</v>
      </c>
      <c r="F152" s="461"/>
      <c r="G152" s="461"/>
      <c r="H152" s="461" t="s">
        <v>445</v>
      </c>
      <c r="I152" s="461" t="s">
        <v>456</v>
      </c>
      <c r="J152" s="462">
        <v>7</v>
      </c>
      <c r="K152" s="461"/>
      <c r="L152" s="461"/>
      <c r="M152" s="461" t="s">
        <v>456</v>
      </c>
      <c r="N152" s="461" t="s">
        <v>451</v>
      </c>
      <c r="O152" s="462">
        <v>7</v>
      </c>
      <c r="P152" s="462" t="s">
        <v>542</v>
      </c>
      <c r="Q152" s="752">
        <f>R152*(1-Bolts!$E$1157)</f>
        <v>225.26315789473682</v>
      </c>
      <c r="R152" s="752">
        <v>225.26315789473682</v>
      </c>
      <c r="S152" s="464">
        <f>SUM(T152:AB152)</f>
        <v>24</v>
      </c>
      <c r="T152" s="465">
        <v>1</v>
      </c>
      <c r="U152" s="466">
        <v>1</v>
      </c>
      <c r="V152" s="467">
        <v>5</v>
      </c>
      <c r="W152" s="468">
        <v>0</v>
      </c>
      <c r="X152" s="469">
        <v>5</v>
      </c>
      <c r="Y152" s="470">
        <v>0</v>
      </c>
      <c r="Z152" s="471">
        <v>0</v>
      </c>
      <c r="AA152" s="472">
        <v>9</v>
      </c>
      <c r="AB152" s="473">
        <v>3</v>
      </c>
      <c r="AC152" s="464">
        <f>S152*O152</f>
        <v>168</v>
      </c>
      <c r="AD152" s="474">
        <f>S152*R152</f>
        <v>5406.3157894736833</v>
      </c>
      <c r="AE152" s="475">
        <v>3.4366234237503401</v>
      </c>
      <c r="AF152" s="507">
        <f>AE152*S152</f>
        <v>82.47896217000816</v>
      </c>
      <c r="AG152"/>
      <c r="AH152"/>
      <c r="AI152"/>
    </row>
    <row r="153" spans="1:36" ht="12.75" customHeight="1">
      <c r="A153" s="48"/>
      <c r="B153" s="707" t="s">
        <v>547</v>
      </c>
      <c r="C153" s="461" t="s">
        <v>1076</v>
      </c>
      <c r="D153" s="461" t="s">
        <v>456</v>
      </c>
      <c r="E153" s="462">
        <v>5</v>
      </c>
      <c r="F153" s="461"/>
      <c r="G153" s="461"/>
      <c r="H153" s="461" t="s">
        <v>445</v>
      </c>
      <c r="I153" s="461" t="s">
        <v>456</v>
      </c>
      <c r="J153" s="462">
        <v>5</v>
      </c>
      <c r="K153" s="461"/>
      <c r="L153" s="461"/>
      <c r="M153" s="461" t="s">
        <v>456</v>
      </c>
      <c r="N153" s="461" t="s">
        <v>451</v>
      </c>
      <c r="O153" s="462">
        <v>5</v>
      </c>
      <c r="P153" s="462" t="s">
        <v>543</v>
      </c>
      <c r="Q153" s="752">
        <f>R153*(1-Bolts!$E$1157)</f>
        <v>93.526315789473685</v>
      </c>
      <c r="R153" s="752">
        <v>93.526315789473685</v>
      </c>
      <c r="S153" s="464">
        <f>SUM(T153:AB153)</f>
        <v>20</v>
      </c>
      <c r="T153" s="465">
        <v>5</v>
      </c>
      <c r="U153" s="466">
        <v>1</v>
      </c>
      <c r="V153" s="467">
        <v>5</v>
      </c>
      <c r="W153" s="468">
        <v>0</v>
      </c>
      <c r="X153" s="469">
        <v>0</v>
      </c>
      <c r="Y153" s="470">
        <v>0</v>
      </c>
      <c r="Z153" s="471">
        <v>0</v>
      </c>
      <c r="AA153" s="472">
        <v>6</v>
      </c>
      <c r="AB153" s="473">
        <v>3</v>
      </c>
      <c r="AC153" s="464">
        <f>S153*O153</f>
        <v>100</v>
      </c>
      <c r="AD153" s="474">
        <f>S153*R153</f>
        <v>1870.5263157894738</v>
      </c>
      <c r="AE153" s="475">
        <v>2.129386283225982</v>
      </c>
      <c r="AF153" s="507">
        <f>AE153*S153</f>
        <v>42.587725664519638</v>
      </c>
      <c r="AG153"/>
      <c r="AH153"/>
      <c r="AI153"/>
    </row>
    <row r="154" spans="1:36" ht="12.75" customHeight="1">
      <c r="A154" s="212" t="s">
        <v>2017</v>
      </c>
      <c r="B154" s="710" t="s">
        <v>2025</v>
      </c>
      <c r="C154" s="491" t="str">
        <f>B154</f>
        <v>Moses Plated Sandstone</v>
      </c>
      <c r="D154" s="491"/>
      <c r="E154" s="491"/>
      <c r="F154" s="491"/>
      <c r="G154" s="491"/>
      <c r="H154" s="491" t="s">
        <v>445</v>
      </c>
      <c r="I154" s="491" t="s">
        <v>1328</v>
      </c>
      <c r="J154" s="491"/>
      <c r="K154" s="491"/>
      <c r="L154" s="491"/>
      <c r="M154" s="491"/>
      <c r="N154" s="491"/>
      <c r="O154" s="491"/>
      <c r="P154" s="491"/>
      <c r="Q154" s="754"/>
      <c r="R154" s="752">
        <v>0</v>
      </c>
      <c r="S154" s="493"/>
      <c r="T154" s="465">
        <v>0</v>
      </c>
      <c r="U154" s="466">
        <v>0</v>
      </c>
      <c r="V154" s="467">
        <v>0</v>
      </c>
      <c r="W154" s="468">
        <v>0</v>
      </c>
      <c r="X154" s="469">
        <v>0</v>
      </c>
      <c r="Y154" s="470">
        <v>0</v>
      </c>
      <c r="Z154" s="471">
        <v>0</v>
      </c>
      <c r="AA154" s="472">
        <v>0</v>
      </c>
      <c r="AB154" s="473">
        <v>0</v>
      </c>
      <c r="AC154" s="493"/>
      <c r="AD154" s="493"/>
      <c r="AE154" s="493">
        <v>0</v>
      </c>
      <c r="AF154" s="509"/>
      <c r="AG154"/>
      <c r="AH154"/>
      <c r="AI154"/>
    </row>
    <row r="155" spans="1:36" ht="12.75" customHeight="1">
      <c r="A155" s="214"/>
      <c r="B155" s="707" t="s">
        <v>1053</v>
      </c>
      <c r="C155" s="461" t="s">
        <v>1076</v>
      </c>
      <c r="D155" s="461" t="s">
        <v>1151</v>
      </c>
      <c r="E155" s="462">
        <v>5</v>
      </c>
      <c r="F155" s="461"/>
      <c r="G155" s="461"/>
      <c r="H155" s="461" t="s">
        <v>445</v>
      </c>
      <c r="I155" s="461" t="s">
        <v>457</v>
      </c>
      <c r="J155" s="462">
        <v>5</v>
      </c>
      <c r="K155" s="461"/>
      <c r="L155" s="461"/>
      <c r="M155" s="461" t="s">
        <v>457</v>
      </c>
      <c r="N155" s="461" t="s">
        <v>449</v>
      </c>
      <c r="O155" s="462">
        <v>5</v>
      </c>
      <c r="P155" s="462" t="s">
        <v>1054</v>
      </c>
      <c r="Q155" s="752">
        <f>R155*(1-Bolts!$E$1157)</f>
        <v>301.39473684210526</v>
      </c>
      <c r="R155" s="752">
        <v>301.39473684210526</v>
      </c>
      <c r="S155" s="464">
        <f t="shared" ref="S155:S156" si="108">SUM(T155:AB155)</f>
        <v>33</v>
      </c>
      <c r="T155" s="465">
        <v>4</v>
      </c>
      <c r="U155" s="466">
        <v>0</v>
      </c>
      <c r="V155" s="467">
        <v>4</v>
      </c>
      <c r="W155" s="468">
        <v>5</v>
      </c>
      <c r="X155" s="469">
        <v>5</v>
      </c>
      <c r="Y155" s="470">
        <v>5</v>
      </c>
      <c r="Z155" s="471">
        <v>5</v>
      </c>
      <c r="AA155" s="472">
        <v>5</v>
      </c>
      <c r="AB155" s="473">
        <v>0</v>
      </c>
      <c r="AC155" s="464">
        <f>S155*O155</f>
        <v>165</v>
      </c>
      <c r="AD155" s="474">
        <f>S155*R155</f>
        <v>9946.0263157894733</v>
      </c>
      <c r="AE155" s="475">
        <v>5.5066678762587316</v>
      </c>
      <c r="AF155" s="507">
        <f t="shared" ref="AF155:AF156" si="109">AE155*S155</f>
        <v>181.72003991653816</v>
      </c>
      <c r="AG155"/>
      <c r="AH155"/>
      <c r="AI155"/>
    </row>
    <row r="156" spans="1:36" ht="12.75" customHeight="1">
      <c r="A156" s="214" t="s">
        <v>2612</v>
      </c>
      <c r="B156" s="741" t="s">
        <v>3157</v>
      </c>
      <c r="C156" s="742" t="s">
        <v>1076</v>
      </c>
      <c r="D156" s="742" t="s">
        <v>1147</v>
      </c>
      <c r="E156" s="743">
        <v>4</v>
      </c>
      <c r="F156" s="742"/>
      <c r="G156" s="742"/>
      <c r="H156" s="742" t="s">
        <v>445</v>
      </c>
      <c r="I156" s="742" t="s">
        <v>457</v>
      </c>
      <c r="J156" s="743">
        <v>4</v>
      </c>
      <c r="K156" s="742"/>
      <c r="L156" s="742"/>
      <c r="M156" s="742" t="s">
        <v>457</v>
      </c>
      <c r="N156" s="742" t="s">
        <v>449</v>
      </c>
      <c r="O156" s="743">
        <v>4</v>
      </c>
      <c r="P156" s="743" t="s">
        <v>3144</v>
      </c>
      <c r="Q156" s="752">
        <f>R156*(1-Bolts!$E$1157)</f>
        <v>122.15789473684211</v>
      </c>
      <c r="R156" s="752">
        <v>122.15789473684211</v>
      </c>
      <c r="S156" s="464">
        <f t="shared" si="108"/>
        <v>0</v>
      </c>
      <c r="T156" s="465">
        <v>0</v>
      </c>
      <c r="U156" s="466">
        <v>0</v>
      </c>
      <c r="V156" s="467">
        <v>0</v>
      </c>
      <c r="W156" s="468">
        <v>0</v>
      </c>
      <c r="X156" s="469">
        <v>0</v>
      </c>
      <c r="Y156" s="470">
        <v>0</v>
      </c>
      <c r="Z156" s="471">
        <v>0</v>
      </c>
      <c r="AA156" s="472">
        <v>0</v>
      </c>
      <c r="AB156" s="473">
        <v>0</v>
      </c>
      <c r="AC156" s="464">
        <f>S156*O156</f>
        <v>0</v>
      </c>
      <c r="AD156" s="474">
        <f>S156*R156</f>
        <v>0</v>
      </c>
      <c r="AE156" s="475">
        <v>1.8956273246847495</v>
      </c>
      <c r="AF156" s="507">
        <f t="shared" si="109"/>
        <v>0</v>
      </c>
      <c r="AG156"/>
      <c r="AH156"/>
      <c r="AI156"/>
      <c r="AJ156"/>
    </row>
    <row r="157" spans="1:36" ht="12.75" customHeight="1">
      <c r="A157" s="211" t="s">
        <v>2018</v>
      </c>
      <c r="B157" s="710" t="s">
        <v>2020</v>
      </c>
      <c r="C157" s="491" t="str">
        <f>B157</f>
        <v>Granite</v>
      </c>
      <c r="D157" s="491"/>
      <c r="E157" s="491"/>
      <c r="F157" s="491"/>
      <c r="G157" s="491"/>
      <c r="H157" s="491" t="s">
        <v>445</v>
      </c>
      <c r="I157" s="491" t="s">
        <v>1328</v>
      </c>
      <c r="J157" s="491"/>
      <c r="K157" s="491"/>
      <c r="L157" s="491"/>
      <c r="M157" s="491"/>
      <c r="N157" s="491"/>
      <c r="O157" s="491"/>
      <c r="P157" s="491"/>
      <c r="Q157" s="754"/>
      <c r="R157" s="752">
        <v>0</v>
      </c>
      <c r="S157" s="493"/>
      <c r="T157" s="465">
        <v>0</v>
      </c>
      <c r="U157" s="466">
        <v>0</v>
      </c>
      <c r="V157" s="467">
        <v>0</v>
      </c>
      <c r="W157" s="468">
        <v>0</v>
      </c>
      <c r="X157" s="469">
        <v>0</v>
      </c>
      <c r="Y157" s="470">
        <v>0</v>
      </c>
      <c r="Z157" s="471">
        <v>0</v>
      </c>
      <c r="AA157" s="472">
        <v>0</v>
      </c>
      <c r="AB157" s="473">
        <v>0</v>
      </c>
      <c r="AC157" s="493"/>
      <c r="AD157" s="493"/>
      <c r="AE157" s="493">
        <v>0</v>
      </c>
      <c r="AF157" s="509"/>
      <c r="AG157"/>
      <c r="AH157"/>
      <c r="AI157"/>
    </row>
    <row r="158" spans="1:36" ht="12.75" customHeight="1">
      <c r="A158" s="48"/>
      <c r="B158" s="707" t="s">
        <v>385</v>
      </c>
      <c r="C158" s="461" t="s">
        <v>1077</v>
      </c>
      <c r="D158" s="461" t="s">
        <v>1146</v>
      </c>
      <c r="E158" s="462">
        <v>3</v>
      </c>
      <c r="F158" s="461"/>
      <c r="G158" s="461"/>
      <c r="H158" s="461" t="s">
        <v>445</v>
      </c>
      <c r="I158" s="461" t="s">
        <v>493</v>
      </c>
      <c r="J158" s="462">
        <v>3</v>
      </c>
      <c r="K158" s="461"/>
      <c r="L158" s="461"/>
      <c r="M158" s="461" t="s">
        <v>493</v>
      </c>
      <c r="N158" s="461" t="s">
        <v>452</v>
      </c>
      <c r="O158" s="462">
        <v>3</v>
      </c>
      <c r="P158" s="462" t="s">
        <v>431</v>
      </c>
      <c r="Q158" s="752">
        <f>R158*(1-Bolts!$E$1157)</f>
        <v>282.15789473684208</v>
      </c>
      <c r="R158" s="752">
        <v>282.15789473684208</v>
      </c>
      <c r="S158" s="464">
        <f>SUM(T158:AB158)</f>
        <v>42</v>
      </c>
      <c r="T158" s="465">
        <v>4</v>
      </c>
      <c r="U158" s="466">
        <v>0</v>
      </c>
      <c r="V158" s="467">
        <v>7</v>
      </c>
      <c r="W158" s="468">
        <v>10</v>
      </c>
      <c r="X158" s="469">
        <v>9</v>
      </c>
      <c r="Y158" s="470">
        <v>5</v>
      </c>
      <c r="Z158" s="471">
        <v>0</v>
      </c>
      <c r="AA158" s="472">
        <v>7</v>
      </c>
      <c r="AB158" s="473">
        <v>0</v>
      </c>
      <c r="AC158" s="464">
        <f>S158*O158</f>
        <v>126</v>
      </c>
      <c r="AD158" s="474">
        <f>S158*R158</f>
        <v>11850.631578947367</v>
      </c>
      <c r="AE158" s="475">
        <v>5.5449999999999999</v>
      </c>
      <c r="AF158" s="507">
        <f>AE158*S158</f>
        <v>232.89</v>
      </c>
      <c r="AG158"/>
      <c r="AH158"/>
      <c r="AI158"/>
    </row>
    <row r="159" spans="1:36" ht="12.75" customHeight="1">
      <c r="A159" s="48"/>
      <c r="B159" s="703" t="s">
        <v>1991</v>
      </c>
      <c r="C159" s="476" t="s">
        <v>1077</v>
      </c>
      <c r="D159" s="476" t="s">
        <v>1146</v>
      </c>
      <c r="E159" s="478">
        <v>3</v>
      </c>
      <c r="F159" s="476"/>
      <c r="G159" s="476"/>
      <c r="H159" s="476" t="s">
        <v>445</v>
      </c>
      <c r="I159" s="476" t="s">
        <v>493</v>
      </c>
      <c r="J159" s="478">
        <v>3</v>
      </c>
      <c r="K159" s="476"/>
      <c r="L159" s="476"/>
      <c r="M159" s="476" t="s">
        <v>493</v>
      </c>
      <c r="N159" s="476" t="s">
        <v>449</v>
      </c>
      <c r="O159" s="478">
        <v>3</v>
      </c>
      <c r="P159" s="478" t="s">
        <v>1084</v>
      </c>
      <c r="Q159" s="752">
        <f>R159*(1-Bolts!$E$1157)</f>
        <v>596.97368421052624</v>
      </c>
      <c r="R159" s="752">
        <v>596.97368421052624</v>
      </c>
      <c r="S159" s="464">
        <f t="shared" ref="S159" si="110">SUM(T159:AB159)</f>
        <v>43</v>
      </c>
      <c r="T159" s="465">
        <v>10</v>
      </c>
      <c r="U159" s="466">
        <v>0</v>
      </c>
      <c r="V159" s="467">
        <v>5</v>
      </c>
      <c r="W159" s="468">
        <v>10</v>
      </c>
      <c r="X159" s="469">
        <v>5</v>
      </c>
      <c r="Y159" s="470">
        <v>5</v>
      </c>
      <c r="Z159" s="471">
        <v>0</v>
      </c>
      <c r="AA159" s="472">
        <v>8</v>
      </c>
      <c r="AB159" s="473">
        <v>0</v>
      </c>
      <c r="AC159" s="464">
        <f>S159*O159</f>
        <v>129</v>
      </c>
      <c r="AD159" s="474">
        <f>S159*R159</f>
        <v>25669.86842105263</v>
      </c>
      <c r="AE159" s="475">
        <v>11.242000000000001</v>
      </c>
      <c r="AF159" s="507">
        <f t="shared" ref="AF159" si="111">AE159*S159</f>
        <v>483.40600000000006</v>
      </c>
      <c r="AG159"/>
      <c r="AH159"/>
      <c r="AI159"/>
    </row>
    <row r="160" spans="1:36" ht="12.75" customHeight="1">
      <c r="A160" s="48"/>
      <c r="B160" s="705"/>
      <c r="C160" s="476"/>
      <c r="D160" s="476"/>
      <c r="E160" s="478"/>
      <c r="F160" s="476"/>
      <c r="G160" s="476"/>
      <c r="H160" s="476"/>
      <c r="I160" s="477"/>
      <c r="J160" s="478"/>
      <c r="K160" s="476"/>
      <c r="L160" s="476"/>
      <c r="M160" s="477"/>
      <c r="N160" s="477"/>
      <c r="O160" s="478"/>
      <c r="P160" s="478"/>
      <c r="Q160" s="753"/>
      <c r="R160" s="752">
        <v>0</v>
      </c>
      <c r="S160" s="479"/>
      <c r="T160" s="465">
        <v>0</v>
      </c>
      <c r="U160" s="466">
        <v>0</v>
      </c>
      <c r="V160" s="467">
        <v>0</v>
      </c>
      <c r="W160" s="468">
        <v>0</v>
      </c>
      <c r="X160" s="469">
        <v>0</v>
      </c>
      <c r="Y160" s="470">
        <v>0</v>
      </c>
      <c r="Z160" s="471">
        <v>0</v>
      </c>
      <c r="AA160" s="472">
        <v>0</v>
      </c>
      <c r="AB160" s="473">
        <v>0</v>
      </c>
      <c r="AC160" s="479"/>
      <c r="AD160" s="488"/>
      <c r="AE160" s="489">
        <v>0</v>
      </c>
      <c r="AF160" s="508"/>
      <c r="AG160"/>
      <c r="AH160"/>
      <c r="AI160"/>
    </row>
    <row r="161" spans="1:36" ht="12.75" customHeight="1">
      <c r="A161" s="48"/>
      <c r="B161" s="707" t="s">
        <v>386</v>
      </c>
      <c r="C161" s="461" t="s">
        <v>1077</v>
      </c>
      <c r="D161" s="461" t="s">
        <v>1150</v>
      </c>
      <c r="E161" s="462">
        <v>5</v>
      </c>
      <c r="F161" s="461"/>
      <c r="G161" s="461"/>
      <c r="H161" s="461" t="s">
        <v>445</v>
      </c>
      <c r="I161" s="461" t="s">
        <v>457</v>
      </c>
      <c r="J161" s="462">
        <v>5</v>
      </c>
      <c r="K161" s="461"/>
      <c r="L161" s="461"/>
      <c r="M161" s="461" t="s">
        <v>457</v>
      </c>
      <c r="N161" s="461" t="s">
        <v>449</v>
      </c>
      <c r="O161" s="462">
        <v>5</v>
      </c>
      <c r="P161" s="462" t="s">
        <v>432</v>
      </c>
      <c r="Q161" s="752">
        <f>R161*(1-Bolts!$E$1157)</f>
        <v>329.5263157894737</v>
      </c>
      <c r="R161" s="752">
        <v>329.5263157894737</v>
      </c>
      <c r="S161" s="464">
        <f>SUM(T161:AB161)</f>
        <v>22</v>
      </c>
      <c r="T161" s="465">
        <v>3</v>
      </c>
      <c r="U161" s="466">
        <v>0</v>
      </c>
      <c r="V161" s="467">
        <v>1</v>
      </c>
      <c r="W161" s="468">
        <v>0</v>
      </c>
      <c r="X161" s="469">
        <v>4</v>
      </c>
      <c r="Y161" s="470">
        <v>4</v>
      </c>
      <c r="Z161" s="471">
        <v>0</v>
      </c>
      <c r="AA161" s="472">
        <v>10</v>
      </c>
      <c r="AB161" s="473">
        <v>0</v>
      </c>
      <c r="AC161" s="464">
        <f>S161*O161</f>
        <v>110</v>
      </c>
      <c r="AD161" s="474">
        <f>S161*R161</f>
        <v>7249.5789473684217</v>
      </c>
      <c r="AE161" s="475">
        <v>6.1219999999999999</v>
      </c>
      <c r="AF161" s="507">
        <f>AE161*S161</f>
        <v>134.684</v>
      </c>
      <c r="AG161"/>
      <c r="AH161"/>
      <c r="AI161"/>
    </row>
    <row r="162" spans="1:36" ht="12.75" customHeight="1">
      <c r="A162" s="48"/>
      <c r="B162" s="707" t="s">
        <v>1700</v>
      </c>
      <c r="C162" s="461" t="s">
        <v>1077</v>
      </c>
      <c r="D162" s="461" t="s">
        <v>1150</v>
      </c>
      <c r="E162" s="462">
        <v>3</v>
      </c>
      <c r="F162" s="461"/>
      <c r="G162" s="461"/>
      <c r="H162" s="461" t="s">
        <v>445</v>
      </c>
      <c r="I162" s="461" t="s">
        <v>457</v>
      </c>
      <c r="J162" s="462">
        <v>3</v>
      </c>
      <c r="K162" s="461"/>
      <c r="L162" s="461"/>
      <c r="M162" s="461" t="s">
        <v>457</v>
      </c>
      <c r="N162" s="461" t="s">
        <v>449</v>
      </c>
      <c r="O162" s="462">
        <v>3</v>
      </c>
      <c r="P162" s="462" t="s">
        <v>1701</v>
      </c>
      <c r="Q162" s="752">
        <f>R162*(1-Bolts!$E$1157)</f>
        <v>275.9473684210526</v>
      </c>
      <c r="R162" s="752">
        <v>275.9473684210526</v>
      </c>
      <c r="S162" s="464">
        <f>SUM(T162:AB162)</f>
        <v>42</v>
      </c>
      <c r="T162" s="465">
        <v>4</v>
      </c>
      <c r="U162" s="466">
        <v>0</v>
      </c>
      <c r="V162" s="467">
        <v>10</v>
      </c>
      <c r="W162" s="468">
        <v>5</v>
      </c>
      <c r="X162" s="469">
        <v>10</v>
      </c>
      <c r="Y162" s="470">
        <v>3</v>
      </c>
      <c r="Z162" s="471">
        <v>0</v>
      </c>
      <c r="AA162" s="472">
        <v>10</v>
      </c>
      <c r="AB162" s="473">
        <v>0</v>
      </c>
      <c r="AC162" s="464">
        <f>S162*O162</f>
        <v>126</v>
      </c>
      <c r="AD162" s="474">
        <f>S162*R162</f>
        <v>11589.78947368421</v>
      </c>
      <c r="AE162" s="475">
        <v>4.8489521908736277</v>
      </c>
      <c r="AF162" s="507">
        <f>AE162*S162</f>
        <v>203.65599201669235</v>
      </c>
      <c r="AG162"/>
      <c r="AH162"/>
      <c r="AI162"/>
    </row>
    <row r="163" spans="1:36" ht="12.75" customHeight="1">
      <c r="A163" s="48"/>
      <c r="B163" s="707" t="s">
        <v>387</v>
      </c>
      <c r="C163" s="461" t="s">
        <v>1077</v>
      </c>
      <c r="D163" s="461" t="s">
        <v>1150</v>
      </c>
      <c r="E163" s="462">
        <v>3</v>
      </c>
      <c r="F163" s="461"/>
      <c r="G163" s="461"/>
      <c r="H163" s="461" t="s">
        <v>445</v>
      </c>
      <c r="I163" s="461" t="s">
        <v>459</v>
      </c>
      <c r="J163" s="462">
        <v>3</v>
      </c>
      <c r="K163" s="461"/>
      <c r="L163" s="461"/>
      <c r="M163" s="461" t="s">
        <v>459</v>
      </c>
      <c r="N163" s="523" t="s">
        <v>452</v>
      </c>
      <c r="O163" s="462">
        <v>3</v>
      </c>
      <c r="P163" s="462" t="s">
        <v>434</v>
      </c>
      <c r="Q163" s="752">
        <f>R163*(1-Bolts!$E$1157)</f>
        <v>296.86842105263156</v>
      </c>
      <c r="R163" s="752">
        <v>296.86842105263156</v>
      </c>
      <c r="S163" s="464">
        <f>SUM(T163:AB163)</f>
        <v>39</v>
      </c>
      <c r="T163" s="465">
        <v>4</v>
      </c>
      <c r="U163" s="466">
        <v>0</v>
      </c>
      <c r="V163" s="467">
        <v>9</v>
      </c>
      <c r="W163" s="468">
        <v>9</v>
      </c>
      <c r="X163" s="469">
        <v>4</v>
      </c>
      <c r="Y163" s="470">
        <v>5</v>
      </c>
      <c r="Z163" s="471">
        <v>0</v>
      </c>
      <c r="AA163" s="472">
        <v>8</v>
      </c>
      <c r="AB163" s="473">
        <v>0</v>
      </c>
      <c r="AC163" s="464">
        <f>S163*O163</f>
        <v>117</v>
      </c>
      <c r="AD163" s="474">
        <f>S163*R163</f>
        <v>11577.868421052632</v>
      </c>
      <c r="AE163" s="475">
        <v>5.69</v>
      </c>
      <c r="AF163" s="507">
        <f>AE163*S163</f>
        <v>221.91000000000003</v>
      </c>
      <c r="AG163"/>
      <c r="AH163"/>
      <c r="AI163"/>
    </row>
    <row r="164" spans="1:36" ht="12.75" customHeight="1">
      <c r="A164" s="48"/>
      <c r="B164" s="705"/>
      <c r="C164" s="476"/>
      <c r="D164" s="476"/>
      <c r="E164" s="478"/>
      <c r="F164" s="476"/>
      <c r="G164" s="476"/>
      <c r="H164" s="476"/>
      <c r="I164" s="477"/>
      <c r="J164" s="478"/>
      <c r="K164" s="476"/>
      <c r="L164" s="476"/>
      <c r="M164" s="477"/>
      <c r="N164" s="477"/>
      <c r="O164" s="478"/>
      <c r="P164" s="478"/>
      <c r="Q164" s="753"/>
      <c r="R164" s="752">
        <v>0</v>
      </c>
      <c r="S164" s="479"/>
      <c r="T164" s="465">
        <v>0</v>
      </c>
      <c r="U164" s="466">
        <v>0</v>
      </c>
      <c r="V164" s="467">
        <v>0</v>
      </c>
      <c r="W164" s="468">
        <v>0</v>
      </c>
      <c r="X164" s="469">
        <v>0</v>
      </c>
      <c r="Y164" s="470">
        <v>0</v>
      </c>
      <c r="Z164" s="471">
        <v>0</v>
      </c>
      <c r="AA164" s="472">
        <v>0</v>
      </c>
      <c r="AB164" s="473">
        <v>0</v>
      </c>
      <c r="AC164" s="479"/>
      <c r="AD164" s="488"/>
      <c r="AE164" s="489">
        <v>0</v>
      </c>
      <c r="AF164" s="508"/>
      <c r="AG164"/>
      <c r="AH164"/>
      <c r="AI164"/>
    </row>
    <row r="165" spans="1:36" ht="12.75" customHeight="1">
      <c r="A165" s="48"/>
      <c r="B165" s="707" t="s">
        <v>1057</v>
      </c>
      <c r="C165" s="461" t="s">
        <v>1077</v>
      </c>
      <c r="D165" s="461" t="s">
        <v>1151</v>
      </c>
      <c r="E165" s="462">
        <v>5</v>
      </c>
      <c r="F165" s="461"/>
      <c r="G165" s="461"/>
      <c r="H165" s="461" t="s">
        <v>445</v>
      </c>
      <c r="I165" s="461" t="s">
        <v>457</v>
      </c>
      <c r="J165" s="462">
        <v>5</v>
      </c>
      <c r="K165" s="461"/>
      <c r="L165" s="461"/>
      <c r="M165" s="461" t="s">
        <v>457</v>
      </c>
      <c r="N165" s="461" t="s">
        <v>449</v>
      </c>
      <c r="O165" s="462">
        <v>5</v>
      </c>
      <c r="P165" s="462" t="s">
        <v>1058</v>
      </c>
      <c r="Q165" s="752">
        <f>R165*(1-Bolts!$E$1157)</f>
        <v>175.89473684210526</v>
      </c>
      <c r="R165" s="752">
        <v>175.89473684210526</v>
      </c>
      <c r="S165" s="464">
        <f t="shared" ref="S165" si="112">SUM(T165:AB165)</f>
        <v>22</v>
      </c>
      <c r="T165" s="465">
        <v>1</v>
      </c>
      <c r="U165" s="466">
        <v>0</v>
      </c>
      <c r="V165" s="467">
        <v>4</v>
      </c>
      <c r="W165" s="468">
        <v>3</v>
      </c>
      <c r="X165" s="469">
        <v>6</v>
      </c>
      <c r="Y165" s="470">
        <v>0</v>
      </c>
      <c r="Z165" s="471">
        <v>3</v>
      </c>
      <c r="AA165" s="472">
        <v>5</v>
      </c>
      <c r="AB165" s="473">
        <v>0</v>
      </c>
      <c r="AC165" s="464">
        <f>S165*O165</f>
        <v>110</v>
      </c>
      <c r="AD165" s="474">
        <f>S165*R165</f>
        <v>3869.6842105263158</v>
      </c>
      <c r="AE165" s="475">
        <v>4.2184523269527352</v>
      </c>
      <c r="AF165" s="507">
        <f t="shared" ref="AF165" si="113">AE165*S165</f>
        <v>92.80595119296018</v>
      </c>
      <c r="AG165"/>
      <c r="AH165"/>
      <c r="AI165"/>
    </row>
    <row r="166" spans="1:36" ht="12.75" customHeight="1">
      <c r="A166" s="48"/>
      <c r="B166" s="707" t="s">
        <v>1837</v>
      </c>
      <c r="C166" s="461" t="s">
        <v>1077</v>
      </c>
      <c r="D166" s="461" t="s">
        <v>1151</v>
      </c>
      <c r="E166" s="462">
        <v>5</v>
      </c>
      <c r="F166" s="461"/>
      <c r="G166" s="461"/>
      <c r="H166" s="461" t="s">
        <v>445</v>
      </c>
      <c r="I166" s="461" t="s">
        <v>457</v>
      </c>
      <c r="J166" s="462">
        <v>5</v>
      </c>
      <c r="K166" s="461"/>
      <c r="L166" s="461"/>
      <c r="M166" s="461" t="s">
        <v>457</v>
      </c>
      <c r="N166" s="461" t="s">
        <v>449</v>
      </c>
      <c r="O166" s="462">
        <v>5</v>
      </c>
      <c r="P166" s="462" t="s">
        <v>1838</v>
      </c>
      <c r="Q166" s="752">
        <f>R166*(1-Bolts!$E$1157)</f>
        <v>162.10526315789474</v>
      </c>
      <c r="R166" s="752">
        <v>162.10526315789474</v>
      </c>
      <c r="S166" s="464">
        <f>SUM(T166:AB166)</f>
        <v>34</v>
      </c>
      <c r="T166" s="465">
        <v>5</v>
      </c>
      <c r="U166" s="466">
        <v>0</v>
      </c>
      <c r="V166" s="467">
        <v>7</v>
      </c>
      <c r="W166" s="468">
        <v>5</v>
      </c>
      <c r="X166" s="469">
        <v>1</v>
      </c>
      <c r="Y166" s="470">
        <v>5</v>
      </c>
      <c r="Z166" s="471">
        <v>4</v>
      </c>
      <c r="AA166" s="472">
        <v>7</v>
      </c>
      <c r="AB166" s="473">
        <v>0</v>
      </c>
      <c r="AC166" s="464">
        <f>S166*O166</f>
        <v>170</v>
      </c>
      <c r="AD166" s="474">
        <f>S166*R166</f>
        <v>5511.5789473684208</v>
      </c>
      <c r="AE166" s="475">
        <v>3.8510387371858839</v>
      </c>
      <c r="AF166" s="507">
        <f>AE166*S166</f>
        <v>130.93531706432006</v>
      </c>
      <c r="AG166"/>
      <c r="AH166"/>
      <c r="AI166"/>
    </row>
    <row r="167" spans="1:36" ht="12.75" customHeight="1">
      <c r="A167" s="48"/>
      <c r="B167" s="707" t="s">
        <v>388</v>
      </c>
      <c r="C167" s="461" t="s">
        <v>1077</v>
      </c>
      <c r="D167" s="461" t="s">
        <v>1151</v>
      </c>
      <c r="E167" s="462">
        <v>4</v>
      </c>
      <c r="F167" s="461"/>
      <c r="G167" s="461"/>
      <c r="H167" s="461" t="s">
        <v>445</v>
      </c>
      <c r="I167" s="461" t="s">
        <v>459</v>
      </c>
      <c r="J167" s="462">
        <v>4</v>
      </c>
      <c r="K167" s="461"/>
      <c r="L167" s="461"/>
      <c r="M167" s="461" t="s">
        <v>459</v>
      </c>
      <c r="N167" s="523" t="s">
        <v>452</v>
      </c>
      <c r="O167" s="462">
        <v>4</v>
      </c>
      <c r="P167" s="462" t="s">
        <v>435</v>
      </c>
      <c r="Q167" s="752">
        <f>R167*(1-Bolts!$E$1157)</f>
        <v>223.10526315789474</v>
      </c>
      <c r="R167" s="752">
        <v>223.10526315789474</v>
      </c>
      <c r="S167" s="464">
        <f>SUM(T167:AB167)</f>
        <v>35</v>
      </c>
      <c r="T167" s="465">
        <v>4</v>
      </c>
      <c r="U167" s="466">
        <v>0</v>
      </c>
      <c r="V167" s="467">
        <v>4</v>
      </c>
      <c r="W167" s="468">
        <v>10</v>
      </c>
      <c r="X167" s="469">
        <v>6</v>
      </c>
      <c r="Y167" s="470">
        <v>4</v>
      </c>
      <c r="Z167" s="471">
        <v>0</v>
      </c>
      <c r="AA167" s="472">
        <v>7</v>
      </c>
      <c r="AB167" s="473">
        <v>0</v>
      </c>
      <c r="AC167" s="464">
        <f>S167*O167</f>
        <v>140</v>
      </c>
      <c r="AD167" s="474">
        <f>S167*R167</f>
        <v>7808.6842105263158</v>
      </c>
      <c r="AE167" s="475">
        <v>4.0369999999999999</v>
      </c>
      <c r="AF167" s="507">
        <f>AE167*S167</f>
        <v>141.29499999999999</v>
      </c>
      <c r="AG167"/>
      <c r="AH167"/>
      <c r="AI167"/>
    </row>
    <row r="168" spans="1:36" ht="12.75" customHeight="1">
      <c r="A168" s="48"/>
      <c r="B168" s="705"/>
      <c r="C168" s="476"/>
      <c r="D168" s="476"/>
      <c r="E168" s="478"/>
      <c r="F168" s="476"/>
      <c r="G168" s="476"/>
      <c r="H168" s="476"/>
      <c r="I168" s="477"/>
      <c r="J168" s="478"/>
      <c r="K168" s="476"/>
      <c r="L168" s="476"/>
      <c r="M168" s="477"/>
      <c r="N168" s="477"/>
      <c r="O168" s="478"/>
      <c r="P168" s="478"/>
      <c r="Q168" s="753"/>
      <c r="R168" s="752">
        <v>0</v>
      </c>
      <c r="S168" s="479"/>
      <c r="T168" s="465">
        <v>0</v>
      </c>
      <c r="U168" s="466">
        <v>0</v>
      </c>
      <c r="V168" s="467">
        <v>0</v>
      </c>
      <c r="W168" s="468">
        <v>0</v>
      </c>
      <c r="X168" s="469">
        <v>0</v>
      </c>
      <c r="Y168" s="470">
        <v>0</v>
      </c>
      <c r="Z168" s="471">
        <v>0</v>
      </c>
      <c r="AA168" s="472">
        <v>0</v>
      </c>
      <c r="AB168" s="473">
        <v>0</v>
      </c>
      <c r="AC168" s="479"/>
      <c r="AD168" s="488"/>
      <c r="AE168" s="489">
        <v>0</v>
      </c>
      <c r="AF168" s="508"/>
      <c r="AG168"/>
      <c r="AH168"/>
      <c r="AI168"/>
    </row>
    <row r="169" spans="1:36" ht="12.75" customHeight="1">
      <c r="A169" s="214" t="s">
        <v>2612</v>
      </c>
      <c r="B169" s="741" t="s">
        <v>3110</v>
      </c>
      <c r="C169" s="742" t="s">
        <v>1077</v>
      </c>
      <c r="D169" s="742" t="s">
        <v>452</v>
      </c>
      <c r="E169" s="743">
        <v>5</v>
      </c>
      <c r="F169" s="742"/>
      <c r="G169" s="742"/>
      <c r="H169" s="742" t="s">
        <v>445</v>
      </c>
      <c r="I169" s="742" t="s">
        <v>457</v>
      </c>
      <c r="J169" s="743">
        <v>5</v>
      </c>
      <c r="K169" s="742"/>
      <c r="L169" s="742"/>
      <c r="M169" s="742" t="s">
        <v>457</v>
      </c>
      <c r="N169" s="742" t="s">
        <v>449</v>
      </c>
      <c r="O169" s="743">
        <v>5</v>
      </c>
      <c r="P169" s="743" t="s">
        <v>3111</v>
      </c>
      <c r="Q169" s="752">
        <f>R169*(1-Bolts!$E$1157)</f>
        <v>78.60526315789474</v>
      </c>
      <c r="R169" s="752">
        <v>78.60526315789474</v>
      </c>
      <c r="S169" s="464">
        <f t="shared" ref="S169" si="114">SUM(T169:AB169)</f>
        <v>5</v>
      </c>
      <c r="T169" s="465">
        <v>0</v>
      </c>
      <c r="U169" s="466">
        <v>0</v>
      </c>
      <c r="V169" s="467">
        <v>0</v>
      </c>
      <c r="W169" s="468">
        <v>0</v>
      </c>
      <c r="X169" s="469">
        <v>5</v>
      </c>
      <c r="Y169" s="470">
        <v>0</v>
      </c>
      <c r="Z169" s="471">
        <v>0</v>
      </c>
      <c r="AA169" s="472">
        <v>0</v>
      </c>
      <c r="AB169" s="473">
        <v>0</v>
      </c>
      <c r="AC169" s="464">
        <f>S169*O169</f>
        <v>25</v>
      </c>
      <c r="AD169" s="474">
        <f>S169*R169</f>
        <v>393.0263157894737</v>
      </c>
      <c r="AE169" s="475">
        <v>1.821554930599655</v>
      </c>
      <c r="AF169" s="507">
        <f t="shared" ref="AF169" si="115">AE169*S169</f>
        <v>9.107774652998275</v>
      </c>
      <c r="AG169"/>
      <c r="AH169"/>
      <c r="AI169"/>
      <c r="AJ169"/>
    </row>
    <row r="170" spans="1:36" ht="12.75" customHeight="1">
      <c r="A170" s="214" t="s">
        <v>2612</v>
      </c>
      <c r="B170" s="741" t="s">
        <v>3156</v>
      </c>
      <c r="C170" s="742" t="s">
        <v>1077</v>
      </c>
      <c r="D170" s="742" t="s">
        <v>452</v>
      </c>
      <c r="E170" s="743">
        <v>10</v>
      </c>
      <c r="F170" s="742"/>
      <c r="G170" s="742"/>
      <c r="H170" s="742" t="s">
        <v>445</v>
      </c>
      <c r="I170" s="742" t="s">
        <v>457</v>
      </c>
      <c r="J170" s="743">
        <v>10</v>
      </c>
      <c r="K170" s="742"/>
      <c r="L170" s="742"/>
      <c r="M170" s="742" t="s">
        <v>457</v>
      </c>
      <c r="N170" s="742" t="s">
        <v>449</v>
      </c>
      <c r="O170" s="743">
        <v>10</v>
      </c>
      <c r="P170" s="743" t="s">
        <v>3143</v>
      </c>
      <c r="Q170" s="752">
        <f>R170*(1-Bolts!$E$1157)</f>
        <v>233.86842105263159</v>
      </c>
      <c r="R170" s="752">
        <v>233.86842105263159</v>
      </c>
      <c r="S170" s="464">
        <f t="shared" ref="S170" si="116">SUM(T170:AB170)</f>
        <v>1</v>
      </c>
      <c r="T170" s="465">
        <v>0</v>
      </c>
      <c r="U170" s="466">
        <v>0</v>
      </c>
      <c r="V170" s="467">
        <v>0</v>
      </c>
      <c r="W170" s="468">
        <v>0</v>
      </c>
      <c r="X170" s="469">
        <v>1</v>
      </c>
      <c r="Y170" s="470">
        <v>0</v>
      </c>
      <c r="Z170" s="471">
        <v>0</v>
      </c>
      <c r="AA170" s="472">
        <v>0</v>
      </c>
      <c r="AB170" s="473">
        <v>0</v>
      </c>
      <c r="AC170" s="464">
        <f>S170*O170</f>
        <v>10</v>
      </c>
      <c r="AD170" s="474">
        <f>S170*R170</f>
        <v>233.86842105263159</v>
      </c>
      <c r="AE170" s="475">
        <v>3.075569264265626</v>
      </c>
      <c r="AF170" s="507">
        <f t="shared" ref="AF170" si="117">AE170*S170</f>
        <v>3.075569264265626</v>
      </c>
      <c r="AG170"/>
      <c r="AH170"/>
      <c r="AI170"/>
      <c r="AJ170"/>
    </row>
    <row r="171" spans="1:36" ht="12.75" customHeight="1">
      <c r="A171" s="48"/>
      <c r="B171" s="705"/>
      <c r="C171" s="476"/>
      <c r="D171" s="476"/>
      <c r="E171" s="478"/>
      <c r="F171" s="476"/>
      <c r="G171" s="476"/>
      <c r="H171" s="476"/>
      <c r="I171" s="477"/>
      <c r="J171" s="478"/>
      <c r="K171" s="476"/>
      <c r="L171" s="476"/>
      <c r="M171" s="477"/>
      <c r="N171" s="477"/>
      <c r="O171" s="478"/>
      <c r="P171" s="478"/>
      <c r="Q171" s="753"/>
      <c r="R171" s="752">
        <v>0</v>
      </c>
      <c r="S171" s="479"/>
      <c r="T171" s="465">
        <v>0</v>
      </c>
      <c r="U171" s="466">
        <v>0</v>
      </c>
      <c r="V171" s="467">
        <v>0</v>
      </c>
      <c r="W171" s="468">
        <v>0</v>
      </c>
      <c r="X171" s="469">
        <v>0</v>
      </c>
      <c r="Y171" s="470">
        <v>0</v>
      </c>
      <c r="Z171" s="471">
        <v>0</v>
      </c>
      <c r="AA171" s="472">
        <v>0</v>
      </c>
      <c r="AB171" s="473">
        <v>0</v>
      </c>
      <c r="AC171" s="479"/>
      <c r="AD171" s="488"/>
      <c r="AE171" s="489">
        <v>0</v>
      </c>
      <c r="AF171" s="508"/>
      <c r="AG171"/>
      <c r="AH171"/>
      <c r="AI171"/>
    </row>
    <row r="172" spans="1:36" ht="12.75" customHeight="1">
      <c r="A172" s="48"/>
      <c r="B172" s="707" t="s">
        <v>1038</v>
      </c>
      <c r="C172" s="461" t="s">
        <v>1077</v>
      </c>
      <c r="D172" s="461" t="s">
        <v>1147</v>
      </c>
      <c r="E172" s="462">
        <v>5</v>
      </c>
      <c r="F172" s="461"/>
      <c r="G172" s="461"/>
      <c r="H172" s="461" t="s">
        <v>445</v>
      </c>
      <c r="I172" s="461" t="s">
        <v>458</v>
      </c>
      <c r="J172" s="462">
        <v>5</v>
      </c>
      <c r="K172" s="461"/>
      <c r="L172" s="461"/>
      <c r="M172" s="461" t="s">
        <v>458</v>
      </c>
      <c r="N172" s="461" t="s">
        <v>452</v>
      </c>
      <c r="O172" s="462">
        <v>5</v>
      </c>
      <c r="P172" s="462" t="s">
        <v>1041</v>
      </c>
      <c r="Q172" s="752">
        <f>R172*(1-Bolts!$E$1157)</f>
        <v>191.55263157894737</v>
      </c>
      <c r="R172" s="752">
        <v>191.55263157894737</v>
      </c>
      <c r="S172" s="464">
        <f t="shared" ref="S172" si="118">SUM(T172:AB172)</f>
        <v>26</v>
      </c>
      <c r="T172" s="465">
        <v>5</v>
      </c>
      <c r="U172" s="466">
        <v>0</v>
      </c>
      <c r="V172" s="467">
        <v>3</v>
      </c>
      <c r="W172" s="468">
        <v>4</v>
      </c>
      <c r="X172" s="469">
        <v>7</v>
      </c>
      <c r="Y172" s="470">
        <v>2</v>
      </c>
      <c r="Z172" s="471">
        <v>0</v>
      </c>
      <c r="AA172" s="472">
        <v>5</v>
      </c>
      <c r="AB172" s="473">
        <v>0</v>
      </c>
      <c r="AC172" s="464">
        <f>S172*O172</f>
        <v>130</v>
      </c>
      <c r="AD172" s="474">
        <f>S172*R172</f>
        <v>4980.3684210526317</v>
      </c>
      <c r="AE172" s="475">
        <v>3.1298194683842873</v>
      </c>
      <c r="AF172" s="507">
        <f t="shared" ref="AF172" si="119">AE172*S172</f>
        <v>81.375306177991462</v>
      </c>
      <c r="AG172"/>
      <c r="AH172"/>
      <c r="AI172"/>
    </row>
    <row r="173" spans="1:36" ht="12.75" customHeight="1">
      <c r="A173" s="48"/>
      <c r="B173" s="705"/>
      <c r="C173" s="476"/>
      <c r="D173" s="476"/>
      <c r="E173" s="478"/>
      <c r="F173" s="476"/>
      <c r="G173" s="476"/>
      <c r="H173" s="476"/>
      <c r="I173" s="477"/>
      <c r="J173" s="478"/>
      <c r="K173" s="476"/>
      <c r="L173" s="476"/>
      <c r="M173" s="477"/>
      <c r="N173" s="477"/>
      <c r="O173" s="478"/>
      <c r="P173" s="478"/>
      <c r="Q173" s="753"/>
      <c r="R173" s="752">
        <v>0</v>
      </c>
      <c r="S173" s="479"/>
      <c r="T173" s="465">
        <v>0</v>
      </c>
      <c r="U173" s="466">
        <v>0</v>
      </c>
      <c r="V173" s="467">
        <v>0</v>
      </c>
      <c r="W173" s="468">
        <v>0</v>
      </c>
      <c r="X173" s="469">
        <v>0</v>
      </c>
      <c r="Y173" s="470">
        <v>0</v>
      </c>
      <c r="Z173" s="471">
        <v>0</v>
      </c>
      <c r="AA173" s="472">
        <v>0</v>
      </c>
      <c r="AB173" s="473">
        <v>0</v>
      </c>
      <c r="AC173" s="479"/>
      <c r="AD173" s="488"/>
      <c r="AE173" s="489">
        <v>0</v>
      </c>
      <c r="AF173" s="508"/>
      <c r="AG173"/>
      <c r="AH173"/>
      <c r="AI173"/>
    </row>
    <row r="174" spans="1:36" ht="12.75" customHeight="1">
      <c r="A174" s="48"/>
      <c r="B174" s="707" t="s">
        <v>2026</v>
      </c>
      <c r="C174" s="461" t="s">
        <v>1077</v>
      </c>
      <c r="D174" s="461" t="s">
        <v>456</v>
      </c>
      <c r="E174" s="462">
        <v>4</v>
      </c>
      <c r="F174" s="461"/>
      <c r="G174" s="461"/>
      <c r="H174" s="461" t="s">
        <v>445</v>
      </c>
      <c r="I174" s="461" t="s">
        <v>456</v>
      </c>
      <c r="J174" s="462">
        <v>4</v>
      </c>
      <c r="K174" s="461"/>
      <c r="L174" s="461"/>
      <c r="M174" s="461" t="s">
        <v>456</v>
      </c>
      <c r="N174" s="461" t="s">
        <v>451</v>
      </c>
      <c r="O174" s="462">
        <v>4</v>
      </c>
      <c r="P174" s="462" t="s">
        <v>433</v>
      </c>
      <c r="Q174" s="752">
        <f>R174*(1-Bolts!$E$1157)</f>
        <v>173.15789473684211</v>
      </c>
      <c r="R174" s="752">
        <v>173.15789473684211</v>
      </c>
      <c r="S174" s="464">
        <f>SUM(T174:AB174)</f>
        <v>12</v>
      </c>
      <c r="T174" s="465">
        <v>0</v>
      </c>
      <c r="U174" s="466">
        <v>2</v>
      </c>
      <c r="V174" s="467">
        <v>0</v>
      </c>
      <c r="W174" s="468">
        <v>1</v>
      </c>
      <c r="X174" s="469">
        <v>0</v>
      </c>
      <c r="Y174" s="470">
        <v>0</v>
      </c>
      <c r="Z174" s="471">
        <v>0</v>
      </c>
      <c r="AA174" s="472">
        <v>7</v>
      </c>
      <c r="AB174" s="473">
        <v>2</v>
      </c>
      <c r="AC174" s="464">
        <f>S174*O174</f>
        <v>48</v>
      </c>
      <c r="AD174" s="474">
        <f>S174*R174</f>
        <v>2077.8947368421054</v>
      </c>
      <c r="AE174" s="475">
        <v>2.9430000000000001</v>
      </c>
      <c r="AF174" s="507">
        <f>AE174*S174</f>
        <v>35.316000000000003</v>
      </c>
      <c r="AG174"/>
      <c r="AH174"/>
      <c r="AI174"/>
    </row>
    <row r="175" spans="1:36" ht="12.75" hidden="1" customHeight="1">
      <c r="A175" s="48" t="s">
        <v>1713</v>
      </c>
      <c r="B175" s="708" t="s">
        <v>1051</v>
      </c>
      <c r="C175" s="461" t="s">
        <v>1077</v>
      </c>
      <c r="D175" s="461" t="s">
        <v>456</v>
      </c>
      <c r="E175" s="462">
        <v>3</v>
      </c>
      <c r="F175" s="461"/>
      <c r="G175" s="461"/>
      <c r="H175" s="461" t="s">
        <v>445</v>
      </c>
      <c r="I175" s="461" t="s">
        <v>456</v>
      </c>
      <c r="J175" s="462">
        <v>3</v>
      </c>
      <c r="K175" s="461"/>
      <c r="L175" s="461"/>
      <c r="M175" s="461" t="s">
        <v>456</v>
      </c>
      <c r="N175" s="461" t="s">
        <v>451</v>
      </c>
      <c r="O175" s="462">
        <v>3</v>
      </c>
      <c r="P175" s="462" t="s">
        <v>1052</v>
      </c>
      <c r="Q175" s="752">
        <f>R175*(1-Bolts!$E$1157)</f>
        <v>147.94736842105263</v>
      </c>
      <c r="R175" s="752">
        <v>147.94736842105263</v>
      </c>
      <c r="S175" s="464">
        <f t="shared" ref="S175" si="120">SUM(T175:AB175)</f>
        <v>5</v>
      </c>
      <c r="T175" s="465">
        <v>0</v>
      </c>
      <c r="U175" s="466">
        <v>0</v>
      </c>
      <c r="V175" s="467">
        <v>0</v>
      </c>
      <c r="W175" s="468">
        <v>0</v>
      </c>
      <c r="X175" s="469">
        <v>0</v>
      </c>
      <c r="Y175" s="470">
        <v>0</v>
      </c>
      <c r="Z175" s="471">
        <v>0</v>
      </c>
      <c r="AA175" s="472">
        <v>5</v>
      </c>
      <c r="AB175" s="473">
        <v>0</v>
      </c>
      <c r="AC175" s="464">
        <f>S175*O175</f>
        <v>15</v>
      </c>
      <c r="AD175" s="474">
        <f>S175*R175</f>
        <v>739.73684210526312</v>
      </c>
      <c r="AE175" s="475">
        <v>2.6081828903202395</v>
      </c>
      <c r="AF175" s="507">
        <f t="shared" ref="AF175" si="121">AE175*S175</f>
        <v>13.040914451601198</v>
      </c>
      <c r="AG175"/>
      <c r="AH175"/>
      <c r="AI175"/>
    </row>
    <row r="176" spans="1:36" ht="12.75" hidden="1" customHeight="1">
      <c r="A176" s="48" t="s">
        <v>1713</v>
      </c>
      <c r="B176" s="703" t="s">
        <v>1697</v>
      </c>
      <c r="C176" s="476" t="s">
        <v>1077</v>
      </c>
      <c r="D176" s="476" t="s">
        <v>456</v>
      </c>
      <c r="E176" s="478">
        <v>3</v>
      </c>
      <c r="F176" s="476"/>
      <c r="G176" s="476"/>
      <c r="H176" s="476" t="s">
        <v>445</v>
      </c>
      <c r="I176" s="476" t="s">
        <v>456</v>
      </c>
      <c r="J176" s="478">
        <v>3</v>
      </c>
      <c r="K176" s="476"/>
      <c r="L176" s="476"/>
      <c r="M176" s="476" t="s">
        <v>456</v>
      </c>
      <c r="N176" s="476" t="s">
        <v>451</v>
      </c>
      <c r="O176" s="478">
        <v>3</v>
      </c>
      <c r="P176" s="478" t="s">
        <v>1691</v>
      </c>
      <c r="Q176" s="752">
        <f>R176*(1-Bolts!$E$1157)</f>
        <v>199.18421052631578</v>
      </c>
      <c r="R176" s="752">
        <v>199.18421052631578</v>
      </c>
      <c r="S176" s="464">
        <f>SUM(T176:AB176)</f>
        <v>5</v>
      </c>
      <c r="T176" s="465">
        <v>0</v>
      </c>
      <c r="U176" s="466">
        <v>0</v>
      </c>
      <c r="V176" s="467">
        <v>0</v>
      </c>
      <c r="W176" s="468">
        <v>0</v>
      </c>
      <c r="X176" s="469">
        <v>0</v>
      </c>
      <c r="Y176" s="470">
        <v>0</v>
      </c>
      <c r="Z176" s="471">
        <v>0</v>
      </c>
      <c r="AA176" s="472">
        <v>5</v>
      </c>
      <c r="AB176" s="473">
        <v>0</v>
      </c>
      <c r="AC176" s="464">
        <f>S176*O176</f>
        <v>15</v>
      </c>
      <c r="AD176" s="474">
        <f>S176*R176</f>
        <v>995.92105263157896</v>
      </c>
      <c r="AE176" s="475">
        <v>3.7450000000000001</v>
      </c>
      <c r="AF176" s="507">
        <f>AE176*S176</f>
        <v>18.725000000000001</v>
      </c>
      <c r="AG176"/>
      <c r="AH176"/>
      <c r="AI176"/>
    </row>
    <row r="177" spans="1:35" ht="12.75" customHeight="1">
      <c r="A177" s="48"/>
      <c r="B177" s="707" t="s">
        <v>549</v>
      </c>
      <c r="C177" s="461" t="s">
        <v>1077</v>
      </c>
      <c r="D177" s="461" t="s">
        <v>456</v>
      </c>
      <c r="E177" s="462">
        <v>10</v>
      </c>
      <c r="F177" s="461"/>
      <c r="G177" s="461"/>
      <c r="H177" s="461" t="s">
        <v>445</v>
      </c>
      <c r="I177" s="461" t="s">
        <v>456</v>
      </c>
      <c r="J177" s="462">
        <v>10</v>
      </c>
      <c r="K177" s="461"/>
      <c r="L177" s="461"/>
      <c r="M177" s="461" t="s">
        <v>456</v>
      </c>
      <c r="N177" s="461" t="s">
        <v>451</v>
      </c>
      <c r="O177" s="462">
        <v>10</v>
      </c>
      <c r="P177" s="462" t="s">
        <v>545</v>
      </c>
      <c r="Q177" s="752">
        <f>R177*(1-Bolts!$E$1157)</f>
        <v>77.236842105263165</v>
      </c>
      <c r="R177" s="752">
        <v>77.236842105263165</v>
      </c>
      <c r="S177" s="464">
        <f>SUM(T177:AB177)</f>
        <v>28</v>
      </c>
      <c r="T177" s="465">
        <v>5</v>
      </c>
      <c r="U177" s="466">
        <v>0</v>
      </c>
      <c r="V177" s="467">
        <v>1</v>
      </c>
      <c r="W177" s="468">
        <v>5</v>
      </c>
      <c r="X177" s="469">
        <v>4</v>
      </c>
      <c r="Y177" s="470">
        <v>5</v>
      </c>
      <c r="Z177" s="471">
        <v>0</v>
      </c>
      <c r="AA177" s="472">
        <v>8</v>
      </c>
      <c r="AB177" s="473">
        <v>0</v>
      </c>
      <c r="AC177" s="464">
        <f>S177*O177</f>
        <v>280</v>
      </c>
      <c r="AD177" s="474">
        <f>S177*R177</f>
        <v>2162.6315789473688</v>
      </c>
      <c r="AE177" s="475">
        <v>1.4061507756509117</v>
      </c>
      <c r="AF177" s="507">
        <f>AE177*S177</f>
        <v>39.372221718225532</v>
      </c>
      <c r="AG177"/>
      <c r="AH177"/>
      <c r="AI177"/>
    </row>
    <row r="178" spans="1:35" ht="12.75" customHeight="1">
      <c r="A178" s="212" t="s">
        <v>2017</v>
      </c>
      <c r="B178" s="710" t="s">
        <v>2027</v>
      </c>
      <c r="C178" s="491" t="str">
        <f>B178</f>
        <v>Jeremy Ho - Lo Riders</v>
      </c>
      <c r="D178" s="491"/>
      <c r="E178" s="491"/>
      <c r="F178" s="491"/>
      <c r="G178" s="491"/>
      <c r="H178" s="491" t="s">
        <v>445</v>
      </c>
      <c r="I178" s="491" t="s">
        <v>1328</v>
      </c>
      <c r="J178" s="491"/>
      <c r="K178" s="491"/>
      <c r="L178" s="491"/>
      <c r="M178" s="491"/>
      <c r="N178" s="491"/>
      <c r="O178" s="491"/>
      <c r="P178" s="491"/>
      <c r="Q178" s="754"/>
      <c r="R178" s="752">
        <v>0</v>
      </c>
      <c r="S178" s="493"/>
      <c r="T178" s="465">
        <v>0</v>
      </c>
      <c r="U178" s="466">
        <v>0</v>
      </c>
      <c r="V178" s="467">
        <v>0</v>
      </c>
      <c r="W178" s="468">
        <v>0</v>
      </c>
      <c r="X178" s="469">
        <v>0</v>
      </c>
      <c r="Y178" s="470">
        <v>0</v>
      </c>
      <c r="Z178" s="471">
        <v>0</v>
      </c>
      <c r="AA178" s="472">
        <v>0</v>
      </c>
      <c r="AB178" s="473">
        <v>0</v>
      </c>
      <c r="AC178" s="493"/>
      <c r="AD178" s="493"/>
      <c r="AE178" s="493">
        <v>0</v>
      </c>
      <c r="AF178" s="509"/>
      <c r="AG178"/>
      <c r="AH178"/>
      <c r="AI178"/>
    </row>
    <row r="179" spans="1:35" ht="12.75" customHeight="1">
      <c r="A179" s="48"/>
      <c r="B179" s="707" t="s">
        <v>536</v>
      </c>
      <c r="C179" s="461" t="s">
        <v>1080</v>
      </c>
      <c r="D179" s="461" t="s">
        <v>1146</v>
      </c>
      <c r="E179" s="462">
        <v>3</v>
      </c>
      <c r="F179" s="461"/>
      <c r="G179" s="461"/>
      <c r="H179" s="461" t="s">
        <v>445</v>
      </c>
      <c r="I179" s="461" t="s">
        <v>493</v>
      </c>
      <c r="J179" s="462">
        <v>3</v>
      </c>
      <c r="K179" s="461"/>
      <c r="L179" s="461"/>
      <c r="M179" s="461" t="s">
        <v>493</v>
      </c>
      <c r="N179" s="461" t="s">
        <v>452</v>
      </c>
      <c r="O179" s="462">
        <v>3</v>
      </c>
      <c r="P179" s="462" t="s">
        <v>535</v>
      </c>
      <c r="Q179" s="752">
        <f>R179*(1-Bolts!$E$1157)</f>
        <v>498.9473684210526</v>
      </c>
      <c r="R179" s="752">
        <v>498.9473684210526</v>
      </c>
      <c r="S179" s="464">
        <f t="shared" ref="S179:S181" si="122">SUM(T179:AB179)</f>
        <v>42</v>
      </c>
      <c r="T179" s="465">
        <v>7</v>
      </c>
      <c r="U179" s="466">
        <v>0</v>
      </c>
      <c r="V179" s="467">
        <v>3</v>
      </c>
      <c r="W179" s="468">
        <v>10</v>
      </c>
      <c r="X179" s="469">
        <v>2</v>
      </c>
      <c r="Y179" s="470">
        <v>5</v>
      </c>
      <c r="Z179" s="471">
        <v>3</v>
      </c>
      <c r="AA179" s="472">
        <v>12</v>
      </c>
      <c r="AB179" s="473">
        <v>0</v>
      </c>
      <c r="AC179" s="464">
        <f>S179*O179</f>
        <v>126</v>
      </c>
      <c r="AD179" s="474">
        <f>S179*R179</f>
        <v>20955.78947368421</v>
      </c>
      <c r="AE179" s="475">
        <v>9.2942030300281218</v>
      </c>
      <c r="AF179" s="507">
        <f t="shared" ref="AF179:AF181" si="123">AE179*S179</f>
        <v>390.3565272611811</v>
      </c>
      <c r="AG179"/>
      <c r="AH179"/>
      <c r="AI179"/>
    </row>
    <row r="180" spans="1:35" ht="12.75" customHeight="1">
      <c r="A180" s="48"/>
      <c r="B180" s="707" t="s">
        <v>389</v>
      </c>
      <c r="C180" s="461" t="s">
        <v>1080</v>
      </c>
      <c r="D180" s="461" t="s">
        <v>1146</v>
      </c>
      <c r="E180" s="462">
        <v>3</v>
      </c>
      <c r="F180" s="461"/>
      <c r="G180" s="461"/>
      <c r="H180" s="461" t="s">
        <v>445</v>
      </c>
      <c r="I180" s="461" t="s">
        <v>493</v>
      </c>
      <c r="J180" s="462">
        <v>3</v>
      </c>
      <c r="K180" s="461"/>
      <c r="L180" s="461"/>
      <c r="M180" s="461" t="s">
        <v>493</v>
      </c>
      <c r="N180" s="461" t="s">
        <v>452</v>
      </c>
      <c r="O180" s="462">
        <v>3</v>
      </c>
      <c r="P180" s="462" t="s">
        <v>436</v>
      </c>
      <c r="Q180" s="752">
        <f>R180*(1-Bolts!$E$1157)</f>
        <v>493.73684210526318</v>
      </c>
      <c r="R180" s="752">
        <v>493.73684210526318</v>
      </c>
      <c r="S180" s="464">
        <f t="shared" si="122"/>
        <v>35</v>
      </c>
      <c r="T180" s="465">
        <v>2</v>
      </c>
      <c r="U180" s="466">
        <v>0</v>
      </c>
      <c r="V180" s="467">
        <v>4</v>
      </c>
      <c r="W180" s="468">
        <v>4</v>
      </c>
      <c r="X180" s="469">
        <v>6</v>
      </c>
      <c r="Y180" s="470">
        <v>5</v>
      </c>
      <c r="Z180" s="471">
        <v>3</v>
      </c>
      <c r="AA180" s="472">
        <v>11</v>
      </c>
      <c r="AB180" s="473">
        <v>0</v>
      </c>
      <c r="AC180" s="464">
        <f>S180*O180</f>
        <v>105</v>
      </c>
      <c r="AD180" s="474">
        <f>S180*R180</f>
        <v>17280.78947368421</v>
      </c>
      <c r="AE180" s="475">
        <v>7.4329999999999998</v>
      </c>
      <c r="AF180" s="507">
        <f t="shared" si="123"/>
        <v>260.15499999999997</v>
      </c>
      <c r="AG180"/>
      <c r="AH180"/>
      <c r="AI180"/>
    </row>
    <row r="181" spans="1:35" ht="12.75" customHeight="1">
      <c r="A181" s="48"/>
      <c r="B181" s="707" t="s">
        <v>390</v>
      </c>
      <c r="C181" s="461" t="s">
        <v>1080</v>
      </c>
      <c r="D181" s="461" t="s">
        <v>1146</v>
      </c>
      <c r="E181" s="462">
        <v>2</v>
      </c>
      <c r="F181" s="461"/>
      <c r="G181" s="461"/>
      <c r="H181" s="461" t="s">
        <v>445</v>
      </c>
      <c r="I181" s="461" t="s">
        <v>493</v>
      </c>
      <c r="J181" s="462">
        <v>2</v>
      </c>
      <c r="K181" s="461"/>
      <c r="L181" s="461"/>
      <c r="M181" s="461" t="s">
        <v>493</v>
      </c>
      <c r="N181" s="461" t="s">
        <v>452</v>
      </c>
      <c r="O181" s="462">
        <v>2</v>
      </c>
      <c r="P181" s="462" t="s">
        <v>437</v>
      </c>
      <c r="Q181" s="752">
        <f>R181*(1-Bolts!$E$1157)</f>
        <v>239.63157894736841</v>
      </c>
      <c r="R181" s="752">
        <v>239.63157894736841</v>
      </c>
      <c r="S181" s="464">
        <f t="shared" si="122"/>
        <v>45</v>
      </c>
      <c r="T181" s="465">
        <v>7</v>
      </c>
      <c r="U181" s="466">
        <v>0</v>
      </c>
      <c r="V181" s="467">
        <v>4</v>
      </c>
      <c r="W181" s="468">
        <v>9</v>
      </c>
      <c r="X181" s="469">
        <v>5</v>
      </c>
      <c r="Y181" s="470">
        <v>7</v>
      </c>
      <c r="Z181" s="471">
        <v>2</v>
      </c>
      <c r="AA181" s="472">
        <v>11</v>
      </c>
      <c r="AB181" s="473">
        <v>0</v>
      </c>
      <c r="AC181" s="464">
        <f>S181*O181</f>
        <v>90</v>
      </c>
      <c r="AD181" s="474">
        <f>S181*R181</f>
        <v>10783.421052631578</v>
      </c>
      <c r="AE181" s="475">
        <v>4.077</v>
      </c>
      <c r="AF181" s="507">
        <f t="shared" si="123"/>
        <v>183.465</v>
      </c>
      <c r="AG181"/>
      <c r="AH181"/>
      <c r="AI181"/>
    </row>
    <row r="182" spans="1:35" ht="12.75" customHeight="1">
      <c r="A182" s="48"/>
      <c r="B182" s="705"/>
      <c r="C182" s="476"/>
      <c r="D182" s="476"/>
      <c r="E182" s="478"/>
      <c r="F182" s="476"/>
      <c r="G182" s="476"/>
      <c r="H182" s="476"/>
      <c r="I182" s="477"/>
      <c r="J182" s="478"/>
      <c r="K182" s="476"/>
      <c r="L182" s="476"/>
      <c r="M182" s="477"/>
      <c r="N182" s="477"/>
      <c r="O182" s="478"/>
      <c r="P182" s="478"/>
      <c r="Q182" s="753"/>
      <c r="R182" s="752">
        <v>0</v>
      </c>
      <c r="S182" s="479"/>
      <c r="T182" s="465">
        <v>0</v>
      </c>
      <c r="U182" s="466">
        <v>0</v>
      </c>
      <c r="V182" s="467">
        <v>0</v>
      </c>
      <c r="W182" s="468">
        <v>0</v>
      </c>
      <c r="X182" s="469">
        <v>0</v>
      </c>
      <c r="Y182" s="470">
        <v>0</v>
      </c>
      <c r="Z182" s="471">
        <v>0</v>
      </c>
      <c r="AA182" s="472">
        <v>0</v>
      </c>
      <c r="AB182" s="473">
        <v>0</v>
      </c>
      <c r="AC182" s="479"/>
      <c r="AD182" s="488"/>
      <c r="AE182" s="489">
        <v>0</v>
      </c>
      <c r="AF182" s="508"/>
      <c r="AG182"/>
      <c r="AH182"/>
      <c r="AI182"/>
    </row>
    <row r="183" spans="1:35" ht="12.75" customHeight="1">
      <c r="A183" s="48"/>
      <c r="B183" s="707" t="s">
        <v>391</v>
      </c>
      <c r="C183" s="461" t="s">
        <v>1080</v>
      </c>
      <c r="D183" s="461" t="s">
        <v>1151</v>
      </c>
      <c r="E183" s="462">
        <v>5</v>
      </c>
      <c r="F183" s="461"/>
      <c r="G183" s="461"/>
      <c r="H183" s="461" t="s">
        <v>445</v>
      </c>
      <c r="I183" s="461" t="s">
        <v>459</v>
      </c>
      <c r="J183" s="462">
        <v>5</v>
      </c>
      <c r="K183" s="461"/>
      <c r="L183" s="461"/>
      <c r="M183" s="461" t="s">
        <v>459</v>
      </c>
      <c r="N183" s="461" t="s">
        <v>452</v>
      </c>
      <c r="O183" s="462">
        <v>5</v>
      </c>
      <c r="P183" s="462" t="s">
        <v>438</v>
      </c>
      <c r="Q183" s="752">
        <f>R183*(1-Bolts!$E$1157)</f>
        <v>225.0263157894737</v>
      </c>
      <c r="R183" s="752">
        <v>225.0263157894737</v>
      </c>
      <c r="S183" s="464">
        <f t="shared" ref="S183:S186" si="124">SUM(T183:AB183)</f>
        <v>37</v>
      </c>
      <c r="T183" s="465">
        <v>3</v>
      </c>
      <c r="U183" s="466">
        <v>0</v>
      </c>
      <c r="V183" s="467">
        <v>4</v>
      </c>
      <c r="W183" s="468">
        <v>4</v>
      </c>
      <c r="X183" s="469">
        <v>7</v>
      </c>
      <c r="Y183" s="470">
        <v>5</v>
      </c>
      <c r="Z183" s="471">
        <v>2</v>
      </c>
      <c r="AA183" s="472">
        <v>12</v>
      </c>
      <c r="AB183" s="473">
        <v>0</v>
      </c>
      <c r="AC183" s="464">
        <f>S183*O183</f>
        <v>185</v>
      </c>
      <c r="AD183" s="474">
        <f>S183*R183</f>
        <v>8325.9736842105267</v>
      </c>
      <c r="AE183" s="475">
        <v>3.8099999999999996</v>
      </c>
      <c r="AF183" s="507">
        <f t="shared" ref="AF183:AF186" si="125">AE183*S183</f>
        <v>140.97</v>
      </c>
      <c r="AG183"/>
      <c r="AH183"/>
      <c r="AI183"/>
    </row>
    <row r="184" spans="1:35" ht="12.75" customHeight="1">
      <c r="A184" s="48"/>
      <c r="B184" s="707" t="s">
        <v>392</v>
      </c>
      <c r="C184" s="461" t="s">
        <v>1080</v>
      </c>
      <c r="D184" s="461" t="s">
        <v>1151</v>
      </c>
      <c r="E184" s="462">
        <v>5</v>
      </c>
      <c r="F184" s="461"/>
      <c r="G184" s="461"/>
      <c r="H184" s="461" t="s">
        <v>445</v>
      </c>
      <c r="I184" s="461" t="s">
        <v>459</v>
      </c>
      <c r="J184" s="462">
        <v>5</v>
      </c>
      <c r="K184" s="461"/>
      <c r="L184" s="461"/>
      <c r="M184" s="461" t="s">
        <v>459</v>
      </c>
      <c r="N184" s="461" t="s">
        <v>452</v>
      </c>
      <c r="O184" s="462">
        <v>5</v>
      </c>
      <c r="P184" s="462" t="s">
        <v>439</v>
      </c>
      <c r="Q184" s="752">
        <f>R184*(1-Bolts!$E$1157)</f>
        <v>197.31578947368422</v>
      </c>
      <c r="R184" s="752">
        <v>197.31578947368422</v>
      </c>
      <c r="S184" s="464">
        <f t="shared" si="124"/>
        <v>41</v>
      </c>
      <c r="T184" s="465">
        <v>3</v>
      </c>
      <c r="U184" s="466">
        <v>0</v>
      </c>
      <c r="V184" s="467">
        <v>7</v>
      </c>
      <c r="W184" s="468">
        <v>9</v>
      </c>
      <c r="X184" s="469">
        <v>6</v>
      </c>
      <c r="Y184" s="470">
        <v>5</v>
      </c>
      <c r="Z184" s="471">
        <v>0</v>
      </c>
      <c r="AA184" s="472">
        <v>11</v>
      </c>
      <c r="AB184" s="473">
        <v>0</v>
      </c>
      <c r="AC184" s="464">
        <f>S184*O184</f>
        <v>205</v>
      </c>
      <c r="AD184" s="474">
        <f>S184*R184</f>
        <v>8089.9473684210534</v>
      </c>
      <c r="AE184" s="475">
        <v>3.238</v>
      </c>
      <c r="AF184" s="507">
        <f t="shared" si="125"/>
        <v>132.75800000000001</v>
      </c>
      <c r="AG184"/>
      <c r="AH184"/>
      <c r="AI184"/>
    </row>
    <row r="185" spans="1:35" ht="12.75" customHeight="1">
      <c r="A185" s="48"/>
      <c r="B185" s="707" t="s">
        <v>393</v>
      </c>
      <c r="C185" s="461" t="s">
        <v>1080</v>
      </c>
      <c r="D185" s="461" t="s">
        <v>1151</v>
      </c>
      <c r="E185" s="462">
        <v>5</v>
      </c>
      <c r="F185" s="461"/>
      <c r="G185" s="461"/>
      <c r="H185" s="461" t="s">
        <v>445</v>
      </c>
      <c r="I185" s="461" t="s">
        <v>458</v>
      </c>
      <c r="J185" s="462">
        <v>5</v>
      </c>
      <c r="K185" s="461"/>
      <c r="L185" s="461"/>
      <c r="M185" s="461" t="s">
        <v>458</v>
      </c>
      <c r="N185" s="461" t="s">
        <v>451</v>
      </c>
      <c r="O185" s="462">
        <v>5</v>
      </c>
      <c r="P185" s="462" t="s">
        <v>440</v>
      </c>
      <c r="Q185" s="752">
        <f>R185*(1-Bolts!$E$1157)</f>
        <v>192.76315789473685</v>
      </c>
      <c r="R185" s="752">
        <v>192.76315789473685</v>
      </c>
      <c r="S185" s="464">
        <f t="shared" si="124"/>
        <v>44</v>
      </c>
      <c r="T185" s="465">
        <v>4</v>
      </c>
      <c r="U185" s="466">
        <v>0</v>
      </c>
      <c r="V185" s="467">
        <v>8</v>
      </c>
      <c r="W185" s="468">
        <v>9</v>
      </c>
      <c r="X185" s="469">
        <v>9</v>
      </c>
      <c r="Y185" s="470">
        <v>5</v>
      </c>
      <c r="Z185" s="471">
        <v>0</v>
      </c>
      <c r="AA185" s="472">
        <v>9</v>
      </c>
      <c r="AB185" s="473">
        <v>0</v>
      </c>
      <c r="AC185" s="464">
        <f>S185*O185</f>
        <v>220</v>
      </c>
      <c r="AD185" s="474">
        <f>S185*R185</f>
        <v>8481.5789473684217</v>
      </c>
      <c r="AE185" s="475">
        <v>3.1389999999999998</v>
      </c>
      <c r="AF185" s="507">
        <f t="shared" si="125"/>
        <v>138.11599999999999</v>
      </c>
      <c r="AG185"/>
      <c r="AH185"/>
      <c r="AI185"/>
    </row>
    <row r="186" spans="1:35" ht="12.75" customHeight="1">
      <c r="A186" s="48"/>
      <c r="B186" s="707" t="s">
        <v>394</v>
      </c>
      <c r="C186" s="461" t="s">
        <v>1080</v>
      </c>
      <c r="D186" s="461" t="s">
        <v>1151</v>
      </c>
      <c r="E186" s="462">
        <v>5</v>
      </c>
      <c r="F186" s="461"/>
      <c r="G186" s="461"/>
      <c r="H186" s="461" t="s">
        <v>445</v>
      </c>
      <c r="I186" s="461" t="s">
        <v>458</v>
      </c>
      <c r="J186" s="462">
        <v>5</v>
      </c>
      <c r="K186" s="461"/>
      <c r="L186" s="461"/>
      <c r="M186" s="461" t="s">
        <v>458</v>
      </c>
      <c r="N186" s="461" t="s">
        <v>451</v>
      </c>
      <c r="O186" s="462">
        <v>5</v>
      </c>
      <c r="P186" s="462" t="s">
        <v>441</v>
      </c>
      <c r="Q186" s="752">
        <f>R186*(1-Bolts!$E$1157)</f>
        <v>190.60526315789474</v>
      </c>
      <c r="R186" s="752">
        <v>190.60526315789474</v>
      </c>
      <c r="S186" s="464">
        <f t="shared" si="124"/>
        <v>42</v>
      </c>
      <c r="T186" s="465">
        <v>5</v>
      </c>
      <c r="U186" s="466">
        <v>0</v>
      </c>
      <c r="V186" s="467">
        <v>7</v>
      </c>
      <c r="W186" s="468">
        <v>9</v>
      </c>
      <c r="X186" s="469">
        <v>5</v>
      </c>
      <c r="Y186" s="470">
        <v>5</v>
      </c>
      <c r="Z186" s="471">
        <v>0</v>
      </c>
      <c r="AA186" s="472">
        <v>11</v>
      </c>
      <c r="AB186" s="473">
        <v>0</v>
      </c>
      <c r="AC186" s="464">
        <f>S186*O186</f>
        <v>210</v>
      </c>
      <c r="AD186" s="474">
        <f>S186*R186</f>
        <v>8005.4210526315792</v>
      </c>
      <c r="AE186" s="475">
        <v>3.0659999999999998</v>
      </c>
      <c r="AF186" s="507">
        <f t="shared" si="125"/>
        <v>128.77199999999999</v>
      </c>
      <c r="AG186"/>
      <c r="AH186"/>
      <c r="AI186"/>
    </row>
    <row r="187" spans="1:35" ht="12.75" customHeight="1">
      <c r="A187" s="48"/>
      <c r="B187" s="705"/>
      <c r="C187" s="476"/>
      <c r="D187" s="476"/>
      <c r="E187" s="478"/>
      <c r="F187" s="476"/>
      <c r="G187" s="476"/>
      <c r="H187" s="476"/>
      <c r="I187" s="477"/>
      <c r="J187" s="478"/>
      <c r="K187" s="476"/>
      <c r="L187" s="476"/>
      <c r="M187" s="477"/>
      <c r="N187" s="477"/>
      <c r="O187" s="478"/>
      <c r="P187" s="478"/>
      <c r="Q187" s="753"/>
      <c r="R187" s="752">
        <v>0</v>
      </c>
      <c r="S187" s="479"/>
      <c r="T187" s="465">
        <v>0</v>
      </c>
      <c r="U187" s="466">
        <v>0</v>
      </c>
      <c r="V187" s="467">
        <v>0</v>
      </c>
      <c r="W187" s="468">
        <v>0</v>
      </c>
      <c r="X187" s="469">
        <v>0</v>
      </c>
      <c r="Y187" s="470">
        <v>0</v>
      </c>
      <c r="Z187" s="471">
        <v>0</v>
      </c>
      <c r="AA187" s="472">
        <v>0</v>
      </c>
      <c r="AB187" s="473">
        <v>0</v>
      </c>
      <c r="AC187" s="479"/>
      <c r="AD187" s="488"/>
      <c r="AE187" s="489">
        <v>0</v>
      </c>
      <c r="AF187" s="508"/>
      <c r="AG187"/>
      <c r="AH187"/>
      <c r="AI187"/>
    </row>
    <row r="188" spans="1:35" ht="12.75" customHeight="1">
      <c r="A188" s="48"/>
      <c r="B188" s="707" t="s">
        <v>1036</v>
      </c>
      <c r="C188" s="461" t="s">
        <v>1080</v>
      </c>
      <c r="D188" s="461" t="s">
        <v>1147</v>
      </c>
      <c r="E188" s="462">
        <v>5</v>
      </c>
      <c r="F188" s="461"/>
      <c r="G188" s="461"/>
      <c r="H188" s="461" t="s">
        <v>445</v>
      </c>
      <c r="I188" s="461" t="s">
        <v>459</v>
      </c>
      <c r="J188" s="462">
        <v>5</v>
      </c>
      <c r="K188" s="461"/>
      <c r="L188" s="461"/>
      <c r="M188" s="461" t="s">
        <v>459</v>
      </c>
      <c r="N188" s="461" t="s">
        <v>452</v>
      </c>
      <c r="O188" s="462">
        <v>5</v>
      </c>
      <c r="P188" s="462" t="s">
        <v>442</v>
      </c>
      <c r="Q188" s="752">
        <f>R188*(1-Bolts!$E$1157)</f>
        <v>150.84210526315789</v>
      </c>
      <c r="R188" s="752">
        <v>150.84210526315789</v>
      </c>
      <c r="S188" s="464">
        <f t="shared" ref="S188:S189" si="126">SUM(T188:AB188)</f>
        <v>36</v>
      </c>
      <c r="T188" s="465">
        <v>7</v>
      </c>
      <c r="U188" s="466">
        <v>0</v>
      </c>
      <c r="V188" s="467">
        <v>5</v>
      </c>
      <c r="W188" s="468">
        <v>7</v>
      </c>
      <c r="X188" s="469">
        <v>2</v>
      </c>
      <c r="Y188" s="470">
        <v>5</v>
      </c>
      <c r="Z188" s="471">
        <v>1</v>
      </c>
      <c r="AA188" s="472">
        <v>9</v>
      </c>
      <c r="AB188" s="473">
        <v>0</v>
      </c>
      <c r="AC188" s="464">
        <f>S188*O188</f>
        <v>180</v>
      </c>
      <c r="AD188" s="474">
        <f>S188*R188</f>
        <v>5430.3157894736842</v>
      </c>
      <c r="AE188" s="475">
        <v>3.5779999999999998</v>
      </c>
      <c r="AF188" s="507">
        <f t="shared" ref="AF188:AF189" si="127">AE188*S188</f>
        <v>128.80799999999999</v>
      </c>
      <c r="AG188"/>
      <c r="AH188"/>
      <c r="AI188"/>
    </row>
    <row r="189" spans="1:35" ht="12.75" customHeight="1">
      <c r="A189" s="48"/>
      <c r="B189" s="707" t="s">
        <v>1037</v>
      </c>
      <c r="C189" s="461" t="s">
        <v>1080</v>
      </c>
      <c r="D189" s="461" t="s">
        <v>1147</v>
      </c>
      <c r="E189" s="462">
        <v>5</v>
      </c>
      <c r="F189" s="461"/>
      <c r="G189" s="461"/>
      <c r="H189" s="461" t="s">
        <v>445</v>
      </c>
      <c r="I189" s="461" t="s">
        <v>459</v>
      </c>
      <c r="J189" s="462">
        <v>5</v>
      </c>
      <c r="K189" s="461"/>
      <c r="L189" s="461"/>
      <c r="M189" s="461" t="s">
        <v>459</v>
      </c>
      <c r="N189" s="461" t="s">
        <v>452</v>
      </c>
      <c r="O189" s="462">
        <v>5</v>
      </c>
      <c r="P189" s="462" t="s">
        <v>443</v>
      </c>
      <c r="Q189" s="752">
        <f>R189*(1-Bolts!$E$1157)</f>
        <v>98.999999999999986</v>
      </c>
      <c r="R189" s="752">
        <v>98.999999999999986</v>
      </c>
      <c r="S189" s="464">
        <f t="shared" si="126"/>
        <v>35</v>
      </c>
      <c r="T189" s="465">
        <v>3</v>
      </c>
      <c r="U189" s="466">
        <v>0</v>
      </c>
      <c r="V189" s="467">
        <v>6</v>
      </c>
      <c r="W189" s="468">
        <v>7</v>
      </c>
      <c r="X189" s="469">
        <v>5</v>
      </c>
      <c r="Y189" s="470">
        <v>5</v>
      </c>
      <c r="Z189" s="471">
        <v>1</v>
      </c>
      <c r="AA189" s="472">
        <v>8</v>
      </c>
      <c r="AB189" s="473">
        <v>0</v>
      </c>
      <c r="AC189" s="464">
        <f>S189*O189</f>
        <v>175</v>
      </c>
      <c r="AD189" s="474">
        <f>S189*R189</f>
        <v>3464.9999999999995</v>
      </c>
      <c r="AE189" s="475">
        <v>2.2490000000000001</v>
      </c>
      <c r="AF189" s="507">
        <f t="shared" si="127"/>
        <v>78.715000000000003</v>
      </c>
      <c r="AG189"/>
      <c r="AH189"/>
      <c r="AI189"/>
    </row>
    <row r="190" spans="1:35" ht="12.75" customHeight="1">
      <c r="A190" s="211" t="s">
        <v>2017</v>
      </c>
      <c r="B190" s="710" t="s">
        <v>2028</v>
      </c>
      <c r="C190" s="491" t="str">
        <f>B190</f>
        <v>Peter Juhl - Flo</v>
      </c>
      <c r="D190" s="491"/>
      <c r="E190" s="491"/>
      <c r="F190" s="491"/>
      <c r="G190" s="491"/>
      <c r="H190" s="491" t="s">
        <v>445</v>
      </c>
      <c r="I190" s="491" t="s">
        <v>1328</v>
      </c>
      <c r="J190" s="491"/>
      <c r="K190" s="491"/>
      <c r="L190" s="491"/>
      <c r="M190" s="491"/>
      <c r="N190" s="491"/>
      <c r="O190" s="491"/>
      <c r="P190" s="491"/>
      <c r="Q190" s="754"/>
      <c r="R190" s="752">
        <v>0</v>
      </c>
      <c r="S190" s="493"/>
      <c r="T190" s="465">
        <v>0</v>
      </c>
      <c r="U190" s="466">
        <v>0</v>
      </c>
      <c r="V190" s="467">
        <v>0</v>
      </c>
      <c r="W190" s="468">
        <v>0</v>
      </c>
      <c r="X190" s="469">
        <v>0</v>
      </c>
      <c r="Y190" s="470">
        <v>0</v>
      </c>
      <c r="Z190" s="471">
        <v>0</v>
      </c>
      <c r="AA190" s="472">
        <v>0</v>
      </c>
      <c r="AB190" s="473">
        <v>0</v>
      </c>
      <c r="AC190" s="493"/>
      <c r="AD190" s="493"/>
      <c r="AE190" s="493">
        <v>0</v>
      </c>
      <c r="AF190" s="509"/>
      <c r="AG190"/>
      <c r="AH190"/>
      <c r="AI190"/>
    </row>
    <row r="191" spans="1:35" ht="12.75" customHeight="1">
      <c r="A191" s="214"/>
      <c r="B191" s="703" t="s">
        <v>2486</v>
      </c>
      <c r="C191" s="476" t="s">
        <v>1080</v>
      </c>
      <c r="D191" s="476" t="s">
        <v>1146</v>
      </c>
      <c r="E191" s="478">
        <v>3</v>
      </c>
      <c r="F191" s="476"/>
      <c r="G191" s="476"/>
      <c r="H191" s="476" t="s">
        <v>445</v>
      </c>
      <c r="I191" s="476" t="s">
        <v>493</v>
      </c>
      <c r="J191" s="478">
        <v>3</v>
      </c>
      <c r="K191" s="476"/>
      <c r="L191" s="476"/>
      <c r="M191" s="476" t="s">
        <v>493</v>
      </c>
      <c r="N191" s="476" t="s">
        <v>449</v>
      </c>
      <c r="O191" s="478">
        <v>3</v>
      </c>
      <c r="P191" s="478" t="s">
        <v>2487</v>
      </c>
      <c r="Q191" s="752">
        <f>R191*(1-Bolts!$E$1157)</f>
        <v>400.21052631578948</v>
      </c>
      <c r="R191" s="752">
        <v>400.21052631578948</v>
      </c>
      <c r="S191" s="464">
        <f t="shared" ref="S191:S193" si="128">SUM(T191:AB191)</f>
        <v>32</v>
      </c>
      <c r="T191" s="465">
        <v>5</v>
      </c>
      <c r="U191" s="466">
        <v>0</v>
      </c>
      <c r="V191" s="467">
        <v>4</v>
      </c>
      <c r="W191" s="468">
        <v>5</v>
      </c>
      <c r="X191" s="469">
        <v>5</v>
      </c>
      <c r="Y191" s="470">
        <v>5</v>
      </c>
      <c r="Z191" s="471">
        <v>4</v>
      </c>
      <c r="AA191" s="472">
        <v>4</v>
      </c>
      <c r="AB191" s="473">
        <v>0</v>
      </c>
      <c r="AC191" s="464">
        <f t="shared" ref="AC191:AC198" si="129">S191*O191</f>
        <v>96</v>
      </c>
      <c r="AD191" s="474">
        <f t="shared" ref="AD191:AD198" si="130">S191*R191</f>
        <v>12806.736842105263</v>
      </c>
      <c r="AE191" s="475">
        <v>7.3339999999999996</v>
      </c>
      <c r="AF191" s="507">
        <f t="shared" ref="AF191:AF193" si="131">AE191*S191</f>
        <v>234.68799999999999</v>
      </c>
      <c r="AG191"/>
      <c r="AH191"/>
      <c r="AI191"/>
    </row>
    <row r="192" spans="1:35" ht="12.75" customHeight="1">
      <c r="A192" s="214"/>
      <c r="B192" s="703" t="s">
        <v>1865</v>
      </c>
      <c r="C192" s="476" t="s">
        <v>1080</v>
      </c>
      <c r="D192" s="476" t="s">
        <v>1151</v>
      </c>
      <c r="E192" s="478">
        <v>5</v>
      </c>
      <c r="F192" s="476"/>
      <c r="G192" s="476"/>
      <c r="H192" s="476" t="s">
        <v>445</v>
      </c>
      <c r="I192" s="476" t="s">
        <v>458</v>
      </c>
      <c r="J192" s="478">
        <v>5</v>
      </c>
      <c r="K192" s="476"/>
      <c r="L192" s="476"/>
      <c r="M192" s="476" t="s">
        <v>458</v>
      </c>
      <c r="N192" s="476" t="s">
        <v>452</v>
      </c>
      <c r="O192" s="478">
        <v>5</v>
      </c>
      <c r="P192" s="478" t="s">
        <v>1866</v>
      </c>
      <c r="Q192" s="752">
        <f>R192*(1-Bolts!$E$1157)</f>
        <v>234.0263157894737</v>
      </c>
      <c r="R192" s="752">
        <v>234.0263157894737</v>
      </c>
      <c r="S192" s="464">
        <f t="shared" si="128"/>
        <v>31</v>
      </c>
      <c r="T192" s="465">
        <v>5</v>
      </c>
      <c r="U192" s="466">
        <v>0</v>
      </c>
      <c r="V192" s="467">
        <v>5</v>
      </c>
      <c r="W192" s="468">
        <v>3</v>
      </c>
      <c r="X192" s="469">
        <v>5</v>
      </c>
      <c r="Y192" s="470">
        <v>0</v>
      </c>
      <c r="Z192" s="471">
        <v>4</v>
      </c>
      <c r="AA192" s="472">
        <v>9</v>
      </c>
      <c r="AB192" s="473">
        <v>0</v>
      </c>
      <c r="AC192" s="464">
        <f t="shared" si="129"/>
        <v>155</v>
      </c>
      <c r="AD192" s="474">
        <f t="shared" si="130"/>
        <v>7254.8157894736851</v>
      </c>
      <c r="AE192" s="475">
        <v>9.5164655719858473</v>
      </c>
      <c r="AF192" s="507">
        <f t="shared" si="131"/>
        <v>295.01043273156125</v>
      </c>
      <c r="AG192"/>
      <c r="AH192"/>
      <c r="AI192"/>
    </row>
    <row r="193" spans="1:36" ht="12.75" customHeight="1">
      <c r="A193" s="214"/>
      <c r="B193" s="703" t="s">
        <v>2569</v>
      </c>
      <c r="C193" s="476" t="s">
        <v>1080</v>
      </c>
      <c r="D193" s="476" t="s">
        <v>1152</v>
      </c>
      <c r="E193" s="478">
        <v>10</v>
      </c>
      <c r="F193" s="476"/>
      <c r="G193" s="476"/>
      <c r="H193" s="476" t="s">
        <v>445</v>
      </c>
      <c r="I193" s="476" t="s">
        <v>454</v>
      </c>
      <c r="J193" s="478">
        <v>10</v>
      </c>
      <c r="K193" s="476"/>
      <c r="L193" s="476"/>
      <c r="M193" s="476" t="s">
        <v>454</v>
      </c>
      <c r="N193" s="476" t="s">
        <v>449</v>
      </c>
      <c r="O193" s="478">
        <v>10</v>
      </c>
      <c r="P193" s="478" t="s">
        <v>2561</v>
      </c>
      <c r="Q193" s="752">
        <f>R193*(1-Bolts!$E$1157)</f>
        <v>78.789473684210535</v>
      </c>
      <c r="R193" s="752">
        <v>78.789473684210535</v>
      </c>
      <c r="S193" s="464">
        <f t="shared" si="128"/>
        <v>50</v>
      </c>
      <c r="T193" s="465">
        <v>10</v>
      </c>
      <c r="U193" s="466">
        <v>3</v>
      </c>
      <c r="V193" s="467">
        <v>11</v>
      </c>
      <c r="W193" s="468">
        <v>5</v>
      </c>
      <c r="X193" s="469">
        <v>5</v>
      </c>
      <c r="Y193" s="470">
        <v>4</v>
      </c>
      <c r="Z193" s="471">
        <v>1</v>
      </c>
      <c r="AA193" s="472">
        <v>10</v>
      </c>
      <c r="AB193" s="473">
        <v>1</v>
      </c>
      <c r="AC193" s="464">
        <f t="shared" si="129"/>
        <v>500</v>
      </c>
      <c r="AD193" s="474">
        <f t="shared" si="130"/>
        <v>3939.4736842105267</v>
      </c>
      <c r="AE193" s="475">
        <v>1.1739999999999999</v>
      </c>
      <c r="AF193" s="507">
        <f t="shared" si="131"/>
        <v>58.699999999999996</v>
      </c>
      <c r="AG193"/>
      <c r="AH193"/>
      <c r="AI193"/>
    </row>
    <row r="194" spans="1:36" ht="12.75" customHeight="1">
      <c r="A194" s="214"/>
      <c r="B194" s="703" t="s">
        <v>2570</v>
      </c>
      <c r="C194" s="476" t="s">
        <v>1080</v>
      </c>
      <c r="D194" s="476" t="s">
        <v>1152</v>
      </c>
      <c r="E194" s="478">
        <v>10</v>
      </c>
      <c r="F194" s="476"/>
      <c r="G194" s="476"/>
      <c r="H194" s="476" t="s">
        <v>445</v>
      </c>
      <c r="I194" s="476" t="s">
        <v>454</v>
      </c>
      <c r="J194" s="478">
        <v>10</v>
      </c>
      <c r="K194" s="476"/>
      <c r="L194" s="476"/>
      <c r="M194" s="476" t="s">
        <v>454</v>
      </c>
      <c r="N194" s="476" t="s">
        <v>451</v>
      </c>
      <c r="O194" s="478">
        <v>10</v>
      </c>
      <c r="P194" s="478" t="s">
        <v>2563</v>
      </c>
      <c r="Q194" s="752">
        <f>R194*(1-Bolts!$E$1157)</f>
        <v>57.710526315789473</v>
      </c>
      <c r="R194" s="752">
        <v>57.710526315789473</v>
      </c>
      <c r="S194" s="464">
        <f t="shared" ref="S194:S196" si="132">SUM(T194:AB194)</f>
        <v>78</v>
      </c>
      <c r="T194" s="465">
        <v>13</v>
      </c>
      <c r="U194" s="466">
        <v>4</v>
      </c>
      <c r="V194" s="467">
        <v>7</v>
      </c>
      <c r="W194" s="468">
        <v>9</v>
      </c>
      <c r="X194" s="469">
        <v>14</v>
      </c>
      <c r="Y194" s="470">
        <v>6</v>
      </c>
      <c r="Z194" s="471">
        <v>4</v>
      </c>
      <c r="AA194" s="472">
        <v>17</v>
      </c>
      <c r="AB194" s="473">
        <v>4</v>
      </c>
      <c r="AC194" s="464">
        <f t="shared" si="129"/>
        <v>780</v>
      </c>
      <c r="AD194" s="474">
        <f t="shared" si="130"/>
        <v>4501.4210526315792</v>
      </c>
      <c r="AE194" s="475">
        <v>0.71599999999999997</v>
      </c>
      <c r="AF194" s="507">
        <f t="shared" ref="AF194:AF196" si="133">AE194*S194</f>
        <v>55.847999999999999</v>
      </c>
      <c r="AG194"/>
      <c r="AH194"/>
      <c r="AI194"/>
    </row>
    <row r="195" spans="1:36" ht="12.75" customHeight="1">
      <c r="A195" s="214"/>
      <c r="B195" s="703" t="s">
        <v>2571</v>
      </c>
      <c r="C195" s="476" t="s">
        <v>1080</v>
      </c>
      <c r="D195" s="476" t="s">
        <v>1152</v>
      </c>
      <c r="E195" s="478">
        <v>10</v>
      </c>
      <c r="F195" s="476"/>
      <c r="G195" s="476"/>
      <c r="H195" s="476" t="s">
        <v>445</v>
      </c>
      <c r="I195" s="476" t="s">
        <v>454</v>
      </c>
      <c r="J195" s="478">
        <v>10</v>
      </c>
      <c r="K195" s="476"/>
      <c r="L195" s="476"/>
      <c r="M195" s="476" t="s">
        <v>454</v>
      </c>
      <c r="N195" s="476" t="s">
        <v>452</v>
      </c>
      <c r="O195" s="478">
        <v>10</v>
      </c>
      <c r="P195" s="478" t="s">
        <v>2565</v>
      </c>
      <c r="Q195" s="752">
        <f>R195*(1-Bolts!$E$1157)</f>
        <v>54.94736842105263</v>
      </c>
      <c r="R195" s="752">
        <v>54.94736842105263</v>
      </c>
      <c r="S195" s="464">
        <f t="shared" si="132"/>
        <v>42</v>
      </c>
      <c r="T195" s="465">
        <v>10</v>
      </c>
      <c r="U195" s="466">
        <v>0</v>
      </c>
      <c r="V195" s="467">
        <v>1</v>
      </c>
      <c r="W195" s="468">
        <v>11</v>
      </c>
      <c r="X195" s="469">
        <v>8</v>
      </c>
      <c r="Y195" s="470">
        <v>1</v>
      </c>
      <c r="Z195" s="471">
        <v>3</v>
      </c>
      <c r="AA195" s="472">
        <v>8</v>
      </c>
      <c r="AB195" s="473">
        <v>0</v>
      </c>
      <c r="AC195" s="464">
        <f t="shared" si="129"/>
        <v>420</v>
      </c>
      <c r="AD195" s="474">
        <f t="shared" si="130"/>
        <v>2307.7894736842104</v>
      </c>
      <c r="AE195" s="475">
        <v>0.65600000000000003</v>
      </c>
      <c r="AF195" s="507">
        <f t="shared" si="133"/>
        <v>27.552</v>
      </c>
      <c r="AG195"/>
      <c r="AH195"/>
      <c r="AI195"/>
    </row>
    <row r="196" spans="1:36" ht="12.75" customHeight="1">
      <c r="A196" s="214"/>
      <c r="B196" s="703" t="s">
        <v>2572</v>
      </c>
      <c r="C196" s="476" t="s">
        <v>1080</v>
      </c>
      <c r="D196" s="476" t="s">
        <v>1152</v>
      </c>
      <c r="E196" s="478">
        <v>10</v>
      </c>
      <c r="F196" s="476"/>
      <c r="G196" s="476"/>
      <c r="H196" s="476" t="s">
        <v>445</v>
      </c>
      <c r="I196" s="476" t="s">
        <v>454</v>
      </c>
      <c r="J196" s="478">
        <v>10</v>
      </c>
      <c r="K196" s="476"/>
      <c r="L196" s="476"/>
      <c r="M196" s="476" t="s">
        <v>454</v>
      </c>
      <c r="N196" s="476" t="s">
        <v>451</v>
      </c>
      <c r="O196" s="478">
        <v>10</v>
      </c>
      <c r="P196" s="478" t="s">
        <v>2567</v>
      </c>
      <c r="Q196" s="752">
        <f>R196*(1-Bolts!$E$1157)</f>
        <v>79.421052631578945</v>
      </c>
      <c r="R196" s="752">
        <v>79.421052631578945</v>
      </c>
      <c r="S196" s="464">
        <f t="shared" si="132"/>
        <v>76</v>
      </c>
      <c r="T196" s="465">
        <v>12</v>
      </c>
      <c r="U196" s="466">
        <v>3</v>
      </c>
      <c r="V196" s="467">
        <v>12</v>
      </c>
      <c r="W196" s="468">
        <v>7</v>
      </c>
      <c r="X196" s="469">
        <v>11</v>
      </c>
      <c r="Y196" s="470">
        <v>5</v>
      </c>
      <c r="Z196" s="471">
        <v>6</v>
      </c>
      <c r="AA196" s="472">
        <v>17</v>
      </c>
      <c r="AB196" s="473">
        <v>3</v>
      </c>
      <c r="AC196" s="464">
        <f t="shared" si="129"/>
        <v>760</v>
      </c>
      <c r="AD196" s="474">
        <f t="shared" si="130"/>
        <v>6036</v>
      </c>
      <c r="AE196" s="475">
        <v>1.1839999999999999</v>
      </c>
      <c r="AF196" s="507">
        <f t="shared" si="133"/>
        <v>89.983999999999995</v>
      </c>
      <c r="AG196"/>
      <c r="AH196"/>
      <c r="AI196"/>
    </row>
    <row r="197" spans="1:36" ht="12.75" customHeight="1">
      <c r="A197" s="214"/>
      <c r="B197" s="703" t="s">
        <v>1833</v>
      </c>
      <c r="C197" s="476" t="s">
        <v>1080</v>
      </c>
      <c r="D197" s="476" t="s">
        <v>456</v>
      </c>
      <c r="E197" s="478">
        <v>5</v>
      </c>
      <c r="F197" s="476"/>
      <c r="G197" s="476"/>
      <c r="H197" s="476" t="s">
        <v>445</v>
      </c>
      <c r="I197" s="476" t="s">
        <v>456</v>
      </c>
      <c r="J197" s="478">
        <v>5</v>
      </c>
      <c r="K197" s="476"/>
      <c r="L197" s="476"/>
      <c r="M197" s="476" t="s">
        <v>456</v>
      </c>
      <c r="N197" s="476" t="s">
        <v>451</v>
      </c>
      <c r="O197" s="478">
        <v>5</v>
      </c>
      <c r="P197" s="478" t="s">
        <v>1834</v>
      </c>
      <c r="Q197" s="752">
        <f>R197*(1-Bolts!$E$1157)</f>
        <v>238.94736842105263</v>
      </c>
      <c r="R197" s="752">
        <v>238.94736842105263</v>
      </c>
      <c r="S197" s="464">
        <f t="shared" ref="S197" si="134">SUM(T197:AB197)</f>
        <v>43</v>
      </c>
      <c r="T197" s="465">
        <v>4</v>
      </c>
      <c r="U197" s="466">
        <v>2</v>
      </c>
      <c r="V197" s="467">
        <v>6</v>
      </c>
      <c r="W197" s="468">
        <v>5</v>
      </c>
      <c r="X197" s="469">
        <v>9</v>
      </c>
      <c r="Y197" s="470">
        <v>5</v>
      </c>
      <c r="Z197" s="471">
        <v>3</v>
      </c>
      <c r="AA197" s="472">
        <v>9</v>
      </c>
      <c r="AB197" s="473">
        <v>0</v>
      </c>
      <c r="AC197" s="464">
        <f t="shared" si="129"/>
        <v>215</v>
      </c>
      <c r="AD197" s="474">
        <f t="shared" si="130"/>
        <v>10274.736842105263</v>
      </c>
      <c r="AE197" s="475">
        <v>4.1640206840243126</v>
      </c>
      <c r="AF197" s="507">
        <f t="shared" ref="AF197" si="135">AE197*S197</f>
        <v>179.05288941304545</v>
      </c>
      <c r="AG197"/>
      <c r="AH197"/>
      <c r="AI197"/>
    </row>
    <row r="198" spans="1:36" ht="12.75" customHeight="1">
      <c r="A198" s="214"/>
      <c r="B198" s="703" t="s">
        <v>1835</v>
      </c>
      <c r="C198" s="476" t="s">
        <v>1080</v>
      </c>
      <c r="D198" s="476" t="s">
        <v>456</v>
      </c>
      <c r="E198" s="478">
        <v>5</v>
      </c>
      <c r="F198" s="476"/>
      <c r="G198" s="476"/>
      <c r="H198" s="476" t="s">
        <v>445</v>
      </c>
      <c r="I198" s="476" t="s">
        <v>456</v>
      </c>
      <c r="J198" s="478">
        <v>5</v>
      </c>
      <c r="K198" s="476"/>
      <c r="L198" s="476"/>
      <c r="M198" s="476" t="s">
        <v>456</v>
      </c>
      <c r="N198" s="476" t="s">
        <v>451</v>
      </c>
      <c r="O198" s="478">
        <v>5</v>
      </c>
      <c r="P198" s="478" t="s">
        <v>1836</v>
      </c>
      <c r="Q198" s="752">
        <f>R198*(1-Bolts!$E$1157)</f>
        <v>197.5</v>
      </c>
      <c r="R198" s="752">
        <v>197.5</v>
      </c>
      <c r="S198" s="464">
        <f t="shared" ref="S198" si="136">SUM(T198:AB198)</f>
        <v>45</v>
      </c>
      <c r="T198" s="465">
        <v>4</v>
      </c>
      <c r="U198" s="466">
        <v>1</v>
      </c>
      <c r="V198" s="467">
        <v>9</v>
      </c>
      <c r="W198" s="468">
        <v>6</v>
      </c>
      <c r="X198" s="469">
        <v>3</v>
      </c>
      <c r="Y198" s="470">
        <v>5</v>
      </c>
      <c r="Z198" s="471">
        <v>4</v>
      </c>
      <c r="AA198" s="472">
        <v>13</v>
      </c>
      <c r="AB198" s="473">
        <v>0</v>
      </c>
      <c r="AC198" s="464">
        <f t="shared" si="129"/>
        <v>225</v>
      </c>
      <c r="AD198" s="474">
        <f t="shared" si="130"/>
        <v>8887.5</v>
      </c>
      <c r="AE198" s="475">
        <v>3.2568266352172728</v>
      </c>
      <c r="AF198" s="507">
        <f t="shared" ref="AF198" si="137">AE198*S198</f>
        <v>146.55719858477727</v>
      </c>
      <c r="AG198"/>
      <c r="AH198"/>
      <c r="AI198"/>
    </row>
    <row r="199" spans="1:36" ht="12.75" customHeight="1">
      <c r="A199" s="211" t="s">
        <v>2017</v>
      </c>
      <c r="B199" s="714" t="s">
        <v>2516</v>
      </c>
      <c r="C199" s="491" t="str">
        <f>B199</f>
        <v>Peter Juhl - Rok</v>
      </c>
      <c r="D199" s="491"/>
      <c r="E199" s="491"/>
      <c r="F199" s="491"/>
      <c r="G199" s="491"/>
      <c r="H199" s="491" t="s">
        <v>445</v>
      </c>
      <c r="I199" s="491" t="s">
        <v>1328</v>
      </c>
      <c r="J199" s="491"/>
      <c r="K199" s="491"/>
      <c r="L199" s="491"/>
      <c r="M199" s="491"/>
      <c r="N199" s="491"/>
      <c r="O199" s="491"/>
      <c r="P199" s="491"/>
      <c r="Q199" s="754"/>
      <c r="R199" s="752">
        <v>0</v>
      </c>
      <c r="S199" s="493"/>
      <c r="T199" s="465">
        <v>0</v>
      </c>
      <c r="U199" s="466">
        <v>0</v>
      </c>
      <c r="V199" s="467">
        <v>0</v>
      </c>
      <c r="W199" s="468">
        <v>0</v>
      </c>
      <c r="X199" s="469">
        <v>0</v>
      </c>
      <c r="Y199" s="470">
        <v>0</v>
      </c>
      <c r="Z199" s="471">
        <v>0</v>
      </c>
      <c r="AA199" s="472">
        <v>0</v>
      </c>
      <c r="AB199" s="473">
        <v>0</v>
      </c>
      <c r="AC199" s="493"/>
      <c r="AD199" s="493"/>
      <c r="AE199" s="493">
        <v>0</v>
      </c>
      <c r="AF199" s="509"/>
      <c r="AG199"/>
      <c r="AH199"/>
      <c r="AI199"/>
    </row>
    <row r="200" spans="1:36" ht="12.75" customHeight="1">
      <c r="A200" s="214"/>
      <c r="B200" s="703" t="s">
        <v>2517</v>
      </c>
      <c r="C200" s="476" t="s">
        <v>1077</v>
      </c>
      <c r="D200" s="476" t="s">
        <v>456</v>
      </c>
      <c r="E200" s="478">
        <v>5</v>
      </c>
      <c r="F200" s="476"/>
      <c r="G200" s="476"/>
      <c r="H200" s="476" t="s">
        <v>445</v>
      </c>
      <c r="I200" s="476" t="s">
        <v>456</v>
      </c>
      <c r="J200" s="478">
        <v>5</v>
      </c>
      <c r="K200" s="476"/>
      <c r="L200" s="476"/>
      <c r="M200" s="476" t="s">
        <v>456</v>
      </c>
      <c r="N200" s="476" t="s">
        <v>451</v>
      </c>
      <c r="O200" s="478">
        <v>5</v>
      </c>
      <c r="P200" s="478" t="s">
        <v>2518</v>
      </c>
      <c r="Q200" s="752">
        <f>R200*(1-Bolts!$E$1157)</f>
        <v>201.26315789473685</v>
      </c>
      <c r="R200" s="752">
        <v>201.26315789473685</v>
      </c>
      <c r="S200" s="464">
        <f t="shared" ref="S200" si="138">SUM(T200:AB200)</f>
        <v>30</v>
      </c>
      <c r="T200" s="465">
        <v>5</v>
      </c>
      <c r="U200" s="466">
        <v>0</v>
      </c>
      <c r="V200" s="467">
        <v>5</v>
      </c>
      <c r="W200" s="468">
        <v>5</v>
      </c>
      <c r="X200" s="469">
        <v>5</v>
      </c>
      <c r="Y200" s="470">
        <v>0</v>
      </c>
      <c r="Z200" s="471">
        <v>0</v>
      </c>
      <c r="AA200" s="472">
        <v>10</v>
      </c>
      <c r="AB200" s="473">
        <v>0</v>
      </c>
      <c r="AC200" s="464">
        <f>S200*O200</f>
        <v>150</v>
      </c>
      <c r="AD200" s="474">
        <f>S200*R200</f>
        <v>6037.8947368421059</v>
      </c>
      <c r="AE200" s="475">
        <v>3.36</v>
      </c>
      <c r="AF200" s="507">
        <f t="shared" ref="AF200" si="139">AE200*S200</f>
        <v>100.8</v>
      </c>
      <c r="AG200"/>
      <c r="AH200"/>
      <c r="AI200"/>
    </row>
    <row r="201" spans="1:36" ht="12.75" customHeight="1">
      <c r="A201" s="211" t="s">
        <v>2017</v>
      </c>
      <c r="B201" s="714" t="s">
        <v>2898</v>
      </c>
      <c r="C201" s="491" t="str">
        <f>B201</f>
        <v>Peter Juhl - Geo Complex</v>
      </c>
      <c r="D201" s="491"/>
      <c r="E201" s="491"/>
      <c r="F201" s="491"/>
      <c r="G201" s="491"/>
      <c r="H201" s="491" t="s">
        <v>445</v>
      </c>
      <c r="I201" s="491" t="s">
        <v>1328</v>
      </c>
      <c r="J201" s="491"/>
      <c r="K201" s="491"/>
      <c r="L201" s="491"/>
      <c r="M201" s="491"/>
      <c r="N201" s="491"/>
      <c r="O201" s="491"/>
      <c r="P201" s="491"/>
      <c r="Q201" s="754"/>
      <c r="R201" s="752">
        <v>0</v>
      </c>
      <c r="S201" s="493"/>
      <c r="T201" s="465">
        <v>0</v>
      </c>
      <c r="U201" s="466">
        <v>0</v>
      </c>
      <c r="V201" s="467">
        <v>0</v>
      </c>
      <c r="W201" s="468">
        <v>0</v>
      </c>
      <c r="X201" s="469">
        <v>0</v>
      </c>
      <c r="Y201" s="470">
        <v>0</v>
      </c>
      <c r="Z201" s="471">
        <v>0</v>
      </c>
      <c r="AA201" s="472">
        <v>0</v>
      </c>
      <c r="AB201" s="473">
        <v>0</v>
      </c>
      <c r="AC201" s="493"/>
      <c r="AD201" s="493"/>
      <c r="AE201" s="493">
        <v>0</v>
      </c>
      <c r="AF201" s="509"/>
      <c r="AG201"/>
      <c r="AH201"/>
      <c r="AI201"/>
    </row>
    <row r="202" spans="1:36" ht="12.75" customHeight="1">
      <c r="A202" s="214" t="s">
        <v>2612</v>
      </c>
      <c r="B202" s="704" t="s">
        <v>2899</v>
      </c>
      <c r="C202" s="644" t="s">
        <v>1079</v>
      </c>
      <c r="D202" s="644" t="s">
        <v>1147</v>
      </c>
      <c r="E202" s="645">
        <v>5</v>
      </c>
      <c r="F202" s="644"/>
      <c r="G202" s="644"/>
      <c r="H202" s="644" t="s">
        <v>445</v>
      </c>
      <c r="I202" s="644" t="s">
        <v>457</v>
      </c>
      <c r="J202" s="645">
        <v>5</v>
      </c>
      <c r="K202" s="644"/>
      <c r="L202" s="644"/>
      <c r="M202" s="644" t="s">
        <v>457</v>
      </c>
      <c r="N202" s="644" t="s">
        <v>449</v>
      </c>
      <c r="O202" s="645">
        <v>5</v>
      </c>
      <c r="P202" s="645" t="s">
        <v>2896</v>
      </c>
      <c r="Q202" s="752">
        <f>R202*(1-Bolts!$E$1157)</f>
        <v>136.76315789473685</v>
      </c>
      <c r="R202" s="752">
        <v>136.76315789473685</v>
      </c>
      <c r="S202" s="464">
        <f t="shared" ref="S202" si="140">SUM(T202:AB202)</f>
        <v>60</v>
      </c>
      <c r="T202" s="465">
        <v>9</v>
      </c>
      <c r="U202" s="466">
        <v>0</v>
      </c>
      <c r="V202" s="467">
        <v>9</v>
      </c>
      <c r="W202" s="468">
        <v>10</v>
      </c>
      <c r="X202" s="469">
        <v>10</v>
      </c>
      <c r="Y202" s="470">
        <v>5</v>
      </c>
      <c r="Z202" s="471">
        <v>3</v>
      </c>
      <c r="AA202" s="472">
        <v>9</v>
      </c>
      <c r="AB202" s="473">
        <v>5</v>
      </c>
      <c r="AC202" s="464">
        <f>S202*O202</f>
        <v>300</v>
      </c>
      <c r="AD202" s="474">
        <f>S202*R202</f>
        <v>8205.7894736842118</v>
      </c>
      <c r="AE202" s="475">
        <v>3.3562097432640838</v>
      </c>
      <c r="AF202" s="507">
        <f t="shared" ref="AF202" si="141">AE202*S202</f>
        <v>201.37258459584504</v>
      </c>
      <c r="AG202"/>
      <c r="AH202"/>
      <c r="AI202"/>
      <c r="AJ202"/>
    </row>
    <row r="203" spans="1:36" ht="12.75" customHeight="1">
      <c r="A203" s="211" t="s">
        <v>2017</v>
      </c>
      <c r="B203" s="714" t="s">
        <v>2021</v>
      </c>
      <c r="C203" s="491" t="str">
        <f>B203</f>
        <v>Jimmy Webb - Southern Sandstone Slopers</v>
      </c>
      <c r="D203" s="491"/>
      <c r="E203" s="491"/>
      <c r="F203" s="491"/>
      <c r="G203" s="491"/>
      <c r="H203" s="491" t="s">
        <v>445</v>
      </c>
      <c r="I203" s="491" t="s">
        <v>1328</v>
      </c>
      <c r="J203" s="491"/>
      <c r="K203" s="491"/>
      <c r="L203" s="491"/>
      <c r="M203" s="491"/>
      <c r="N203" s="491"/>
      <c r="O203" s="491"/>
      <c r="P203" s="491"/>
      <c r="Q203" s="754"/>
      <c r="R203" s="752">
        <v>0</v>
      </c>
      <c r="S203" s="493"/>
      <c r="T203" s="465">
        <v>0</v>
      </c>
      <c r="U203" s="466">
        <v>0</v>
      </c>
      <c r="V203" s="467">
        <v>0</v>
      </c>
      <c r="W203" s="468">
        <v>0</v>
      </c>
      <c r="X203" s="469">
        <v>0</v>
      </c>
      <c r="Y203" s="470">
        <v>0</v>
      </c>
      <c r="Z203" s="471">
        <v>0</v>
      </c>
      <c r="AA203" s="472">
        <v>0</v>
      </c>
      <c r="AB203" s="473">
        <v>0</v>
      </c>
      <c r="AC203" s="493"/>
      <c r="AD203" s="493"/>
      <c r="AE203" s="493">
        <v>0</v>
      </c>
      <c r="AF203" s="509"/>
      <c r="AG203"/>
      <c r="AH203"/>
      <c r="AI203"/>
    </row>
    <row r="204" spans="1:36" ht="12.75" customHeight="1">
      <c r="A204" s="214"/>
      <c r="B204" s="703" t="s">
        <v>2296</v>
      </c>
      <c r="C204" s="476" t="s">
        <v>1076</v>
      </c>
      <c r="D204" s="476" t="s">
        <v>1146</v>
      </c>
      <c r="E204" s="478">
        <v>3</v>
      </c>
      <c r="F204" s="476"/>
      <c r="G204" s="476"/>
      <c r="H204" s="476" t="s">
        <v>445</v>
      </c>
      <c r="I204" s="476" t="s">
        <v>493</v>
      </c>
      <c r="J204" s="478">
        <v>3</v>
      </c>
      <c r="K204" s="476"/>
      <c r="L204" s="476"/>
      <c r="M204" s="476" t="s">
        <v>493</v>
      </c>
      <c r="N204" s="476" t="s">
        <v>452</v>
      </c>
      <c r="O204" s="478">
        <v>3</v>
      </c>
      <c r="P204" s="478" t="s">
        <v>2292</v>
      </c>
      <c r="Q204" s="752">
        <f>R204*(1-Bolts!$E$1157)</f>
        <v>342.26315789473682</v>
      </c>
      <c r="R204" s="752">
        <v>342.26315789473682</v>
      </c>
      <c r="S204" s="464">
        <f t="shared" ref="S204" si="142">SUM(T204:AB204)</f>
        <v>37</v>
      </c>
      <c r="T204" s="465">
        <v>5</v>
      </c>
      <c r="U204" s="466">
        <v>2</v>
      </c>
      <c r="V204" s="467">
        <v>3</v>
      </c>
      <c r="W204" s="468">
        <v>7</v>
      </c>
      <c r="X204" s="469">
        <v>4</v>
      </c>
      <c r="Y204" s="470">
        <v>5</v>
      </c>
      <c r="Z204" s="471">
        <v>5</v>
      </c>
      <c r="AA204" s="472">
        <v>6</v>
      </c>
      <c r="AB204" s="473">
        <v>0</v>
      </c>
      <c r="AC204" s="464">
        <f>S204*O204</f>
        <v>111</v>
      </c>
      <c r="AD204" s="474">
        <f>S204*R204</f>
        <v>12663.736842105262</v>
      </c>
      <c r="AE204" s="475">
        <v>6.8570000000000002</v>
      </c>
      <c r="AF204" s="507">
        <f t="shared" ref="AF204" si="143">AE204*S204</f>
        <v>253.709</v>
      </c>
      <c r="AG204"/>
      <c r="AH204"/>
      <c r="AI204"/>
    </row>
    <row r="205" spans="1:36" ht="12.75" customHeight="1">
      <c r="A205" s="211" t="s">
        <v>2018</v>
      </c>
      <c r="B205" s="710" t="s">
        <v>2022</v>
      </c>
      <c r="C205" s="491" t="str">
        <f>B205</f>
        <v>Noah</v>
      </c>
      <c r="D205" s="491"/>
      <c r="E205" s="491"/>
      <c r="F205" s="491"/>
      <c r="G205" s="491"/>
      <c r="H205" s="491" t="s">
        <v>445</v>
      </c>
      <c r="I205" s="491" t="s">
        <v>1328</v>
      </c>
      <c r="J205" s="491"/>
      <c r="K205" s="491"/>
      <c r="L205" s="491"/>
      <c r="M205" s="491"/>
      <c r="N205" s="491"/>
      <c r="O205" s="491"/>
      <c r="P205" s="491"/>
      <c r="Q205" s="754"/>
      <c r="R205" s="752">
        <v>0</v>
      </c>
      <c r="S205" s="493"/>
      <c r="T205" s="465">
        <v>0</v>
      </c>
      <c r="U205" s="466">
        <v>0</v>
      </c>
      <c r="V205" s="467">
        <v>0</v>
      </c>
      <c r="W205" s="468">
        <v>0</v>
      </c>
      <c r="X205" s="469">
        <v>0</v>
      </c>
      <c r="Y205" s="470">
        <v>0</v>
      </c>
      <c r="Z205" s="471">
        <v>0</v>
      </c>
      <c r="AA205" s="472">
        <v>0</v>
      </c>
      <c r="AB205" s="473">
        <v>0</v>
      </c>
      <c r="AC205" s="493"/>
      <c r="AD205" s="493"/>
      <c r="AE205" s="493">
        <v>0</v>
      </c>
      <c r="AF205" s="509"/>
      <c r="AG205"/>
      <c r="AH205"/>
      <c r="AI205"/>
    </row>
    <row r="206" spans="1:36" ht="12.75" customHeight="1">
      <c r="A206" s="48"/>
      <c r="B206" s="703" t="s">
        <v>1897</v>
      </c>
      <c r="C206" s="476" t="s">
        <v>1080</v>
      </c>
      <c r="D206" s="476" t="s">
        <v>1146</v>
      </c>
      <c r="E206" s="478">
        <v>3</v>
      </c>
      <c r="F206" s="476"/>
      <c r="G206" s="476"/>
      <c r="H206" s="476" t="s">
        <v>445</v>
      </c>
      <c r="I206" s="476" t="s">
        <v>493</v>
      </c>
      <c r="J206" s="478">
        <v>3</v>
      </c>
      <c r="K206" s="476"/>
      <c r="L206" s="476"/>
      <c r="M206" s="476" t="s">
        <v>493</v>
      </c>
      <c r="N206" s="476" t="s">
        <v>449</v>
      </c>
      <c r="O206" s="478">
        <v>3</v>
      </c>
      <c r="P206" s="478" t="s">
        <v>1898</v>
      </c>
      <c r="Q206" s="752">
        <f>R206*(1-Bolts!$E$1157)</f>
        <v>463.4210526315789</v>
      </c>
      <c r="R206" s="752">
        <v>463.4210526315789</v>
      </c>
      <c r="S206" s="464">
        <f t="shared" ref="S206" si="144">SUM(T206:AB206)</f>
        <v>55</v>
      </c>
      <c r="T206" s="465">
        <v>10</v>
      </c>
      <c r="U206" s="466">
        <v>0</v>
      </c>
      <c r="V206" s="467">
        <v>9</v>
      </c>
      <c r="W206" s="468">
        <v>9</v>
      </c>
      <c r="X206" s="469">
        <v>4</v>
      </c>
      <c r="Y206" s="470">
        <v>7</v>
      </c>
      <c r="Z206" s="471">
        <v>5</v>
      </c>
      <c r="AA206" s="472">
        <v>11</v>
      </c>
      <c r="AB206" s="473">
        <v>0</v>
      </c>
      <c r="AC206" s="464">
        <f>S206*O206</f>
        <v>165</v>
      </c>
      <c r="AD206" s="474">
        <f>S206*R206</f>
        <v>25488.15789473684</v>
      </c>
      <c r="AE206" s="475">
        <v>9.5028576612537421</v>
      </c>
      <c r="AF206" s="507">
        <f t="shared" ref="AF206" si="145">AE206*S206</f>
        <v>522.6571713689558</v>
      </c>
      <c r="AG206"/>
      <c r="AH206"/>
      <c r="AI206"/>
    </row>
    <row r="207" spans="1:36" ht="12.75" customHeight="1">
      <c r="A207" s="48"/>
      <c r="B207" s="705"/>
      <c r="C207" s="476"/>
      <c r="D207" s="476"/>
      <c r="E207" s="478"/>
      <c r="F207" s="476"/>
      <c r="G207" s="476"/>
      <c r="H207" s="476"/>
      <c r="I207" s="477"/>
      <c r="J207" s="478"/>
      <c r="K207" s="476"/>
      <c r="L207" s="476"/>
      <c r="M207" s="477"/>
      <c r="N207" s="477"/>
      <c r="O207" s="478"/>
      <c r="P207" s="478"/>
      <c r="Q207" s="753"/>
      <c r="R207" s="752">
        <v>0</v>
      </c>
      <c r="S207" s="479"/>
      <c r="T207" s="465">
        <v>0</v>
      </c>
      <c r="U207" s="466">
        <v>0</v>
      </c>
      <c r="V207" s="467">
        <v>0</v>
      </c>
      <c r="W207" s="468">
        <v>0</v>
      </c>
      <c r="X207" s="469">
        <v>0</v>
      </c>
      <c r="Y207" s="470">
        <v>0</v>
      </c>
      <c r="Z207" s="471">
        <v>0</v>
      </c>
      <c r="AA207" s="472">
        <v>0</v>
      </c>
      <c r="AB207" s="473">
        <v>0</v>
      </c>
      <c r="AC207" s="479"/>
      <c r="AD207" s="488"/>
      <c r="AE207" s="489">
        <v>0</v>
      </c>
      <c r="AF207" s="508"/>
      <c r="AG207"/>
      <c r="AH207"/>
      <c r="AI207"/>
    </row>
    <row r="208" spans="1:36" ht="12.75" customHeight="1">
      <c r="A208" s="48"/>
      <c r="B208" s="707" t="s">
        <v>360</v>
      </c>
      <c r="C208" s="461" t="s">
        <v>1080</v>
      </c>
      <c r="D208" s="461" t="s">
        <v>1150</v>
      </c>
      <c r="E208" s="462">
        <v>5</v>
      </c>
      <c r="F208" s="461"/>
      <c r="G208" s="461"/>
      <c r="H208" s="461" t="s">
        <v>445</v>
      </c>
      <c r="I208" s="523" t="s">
        <v>457</v>
      </c>
      <c r="J208" s="462">
        <v>5</v>
      </c>
      <c r="K208" s="461"/>
      <c r="L208" s="461"/>
      <c r="M208" s="523" t="s">
        <v>457</v>
      </c>
      <c r="N208" s="523" t="s">
        <v>449</v>
      </c>
      <c r="O208" s="462">
        <v>5</v>
      </c>
      <c r="P208" s="462" t="s">
        <v>402</v>
      </c>
      <c r="Q208" s="752">
        <f>R208*(1-Bolts!$E$1157)</f>
        <v>405.39473684210526</v>
      </c>
      <c r="R208" s="752">
        <v>405.39473684210526</v>
      </c>
      <c r="S208" s="464">
        <f t="shared" ref="S208:S212" si="146">SUM(T208:AB208)</f>
        <v>46</v>
      </c>
      <c r="T208" s="465">
        <v>7</v>
      </c>
      <c r="U208" s="466">
        <v>0</v>
      </c>
      <c r="V208" s="467">
        <v>8</v>
      </c>
      <c r="W208" s="468">
        <v>9</v>
      </c>
      <c r="X208" s="469">
        <v>5</v>
      </c>
      <c r="Y208" s="470">
        <v>5</v>
      </c>
      <c r="Z208" s="471">
        <v>4</v>
      </c>
      <c r="AA208" s="472">
        <v>8</v>
      </c>
      <c r="AB208" s="473">
        <v>0</v>
      </c>
      <c r="AC208" s="464">
        <f t="shared" ref="AC208:AC213" si="147">S208*O208</f>
        <v>230</v>
      </c>
      <c r="AD208" s="474">
        <f t="shared" ref="AD208:AD213" si="148">S208*R208</f>
        <v>18648.157894736843</v>
      </c>
      <c r="AE208" s="475">
        <v>7.7969999999999988</v>
      </c>
      <c r="AF208" s="507">
        <f t="shared" ref="AF208:AF212" si="149">AE208*S208</f>
        <v>358.66199999999992</v>
      </c>
      <c r="AG208"/>
      <c r="AH208"/>
      <c r="AI208"/>
    </row>
    <row r="209" spans="1:36" ht="12.75" customHeight="1">
      <c r="A209" s="48"/>
      <c r="B209" s="707" t="s">
        <v>361</v>
      </c>
      <c r="C209" s="461" t="s">
        <v>1080</v>
      </c>
      <c r="D209" s="461" t="s">
        <v>1150</v>
      </c>
      <c r="E209" s="462">
        <v>5</v>
      </c>
      <c r="F209" s="461"/>
      <c r="G209" s="461"/>
      <c r="H209" s="461" t="s">
        <v>445</v>
      </c>
      <c r="I209" s="523" t="s">
        <v>457</v>
      </c>
      <c r="J209" s="462">
        <v>5</v>
      </c>
      <c r="K209" s="461"/>
      <c r="L209" s="461"/>
      <c r="M209" s="523" t="s">
        <v>457</v>
      </c>
      <c r="N209" s="523" t="s">
        <v>449</v>
      </c>
      <c r="O209" s="462">
        <v>5</v>
      </c>
      <c r="P209" s="462" t="s">
        <v>403</v>
      </c>
      <c r="Q209" s="752">
        <f>R209*(1-Bolts!$E$1157)</f>
        <v>342.26315789473682</v>
      </c>
      <c r="R209" s="752">
        <v>342.26315789473682</v>
      </c>
      <c r="S209" s="464">
        <f t="shared" si="146"/>
        <v>29</v>
      </c>
      <c r="T209" s="465">
        <v>2</v>
      </c>
      <c r="U209" s="466">
        <v>0</v>
      </c>
      <c r="V209" s="467">
        <v>5</v>
      </c>
      <c r="W209" s="468">
        <v>6</v>
      </c>
      <c r="X209" s="469">
        <v>1</v>
      </c>
      <c r="Y209" s="470">
        <v>5</v>
      </c>
      <c r="Z209" s="471">
        <v>5</v>
      </c>
      <c r="AA209" s="472">
        <v>5</v>
      </c>
      <c r="AB209" s="473">
        <v>0</v>
      </c>
      <c r="AC209" s="464">
        <f t="shared" si="147"/>
        <v>145</v>
      </c>
      <c r="AD209" s="474">
        <f t="shared" si="148"/>
        <v>9925.6315789473683</v>
      </c>
      <c r="AE209" s="475">
        <v>6.4180000000000001</v>
      </c>
      <c r="AF209" s="507">
        <f t="shared" si="149"/>
        <v>186.12200000000001</v>
      </c>
      <c r="AG209"/>
      <c r="AH209"/>
      <c r="AI209"/>
    </row>
    <row r="210" spans="1:36" ht="12.75" customHeight="1">
      <c r="A210" s="48"/>
      <c r="B210" s="707" t="s">
        <v>362</v>
      </c>
      <c r="C210" s="461" t="s">
        <v>1080</v>
      </c>
      <c r="D210" s="461" t="s">
        <v>1150</v>
      </c>
      <c r="E210" s="462">
        <v>5</v>
      </c>
      <c r="F210" s="461"/>
      <c r="G210" s="461"/>
      <c r="H210" s="461" t="s">
        <v>445</v>
      </c>
      <c r="I210" s="523" t="s">
        <v>457</v>
      </c>
      <c r="J210" s="462">
        <v>5</v>
      </c>
      <c r="K210" s="461"/>
      <c r="L210" s="461"/>
      <c r="M210" s="523" t="s">
        <v>457</v>
      </c>
      <c r="N210" s="523" t="s">
        <v>449</v>
      </c>
      <c r="O210" s="462">
        <v>5</v>
      </c>
      <c r="P210" s="462" t="s">
        <v>404</v>
      </c>
      <c r="Q210" s="752">
        <f>R210*(1-Bolts!$E$1157)</f>
        <v>323.26315789473682</v>
      </c>
      <c r="R210" s="752">
        <v>323.26315789473682</v>
      </c>
      <c r="S210" s="464">
        <f t="shared" si="146"/>
        <v>38</v>
      </c>
      <c r="T210" s="465">
        <v>3</v>
      </c>
      <c r="U210" s="466">
        <v>0</v>
      </c>
      <c r="V210" s="467">
        <v>5</v>
      </c>
      <c r="W210" s="468">
        <v>8</v>
      </c>
      <c r="X210" s="469">
        <v>4</v>
      </c>
      <c r="Y210" s="470">
        <v>5</v>
      </c>
      <c r="Z210" s="471">
        <v>4</v>
      </c>
      <c r="AA210" s="472">
        <v>9</v>
      </c>
      <c r="AB210" s="473">
        <v>0</v>
      </c>
      <c r="AC210" s="464">
        <f t="shared" si="147"/>
        <v>190</v>
      </c>
      <c r="AD210" s="474">
        <f t="shared" si="148"/>
        <v>12284</v>
      </c>
      <c r="AE210" s="475">
        <v>5.9850000000000003</v>
      </c>
      <c r="AF210" s="507">
        <f t="shared" si="149"/>
        <v>227.43</v>
      </c>
      <c r="AG210"/>
      <c r="AH210"/>
      <c r="AI210"/>
    </row>
    <row r="211" spans="1:36" ht="12.75" customHeight="1">
      <c r="A211" s="48"/>
      <c r="B211" s="707" t="s">
        <v>1787</v>
      </c>
      <c r="C211" s="461" t="s">
        <v>1080</v>
      </c>
      <c r="D211" s="461" t="s">
        <v>1150</v>
      </c>
      <c r="E211" s="462">
        <v>4</v>
      </c>
      <c r="F211" s="461"/>
      <c r="G211" s="461"/>
      <c r="H211" s="461" t="s">
        <v>445</v>
      </c>
      <c r="I211" s="523" t="s">
        <v>458</v>
      </c>
      <c r="J211" s="462">
        <v>4</v>
      </c>
      <c r="K211" s="461"/>
      <c r="L211" s="461"/>
      <c r="M211" s="523" t="s">
        <v>458</v>
      </c>
      <c r="N211" s="523" t="s">
        <v>451</v>
      </c>
      <c r="O211" s="462">
        <v>4</v>
      </c>
      <c r="P211" s="462" t="s">
        <v>1788</v>
      </c>
      <c r="Q211" s="752">
        <f>R211*(1-Bolts!$E$1157)</f>
        <v>191.71052631578945</v>
      </c>
      <c r="R211" s="752">
        <v>191.71052631578945</v>
      </c>
      <c r="S211" s="464">
        <f t="shared" si="146"/>
        <v>55</v>
      </c>
      <c r="T211" s="465">
        <v>5</v>
      </c>
      <c r="U211" s="466">
        <v>0</v>
      </c>
      <c r="V211" s="467">
        <v>8</v>
      </c>
      <c r="W211" s="468">
        <v>10</v>
      </c>
      <c r="X211" s="469">
        <v>9</v>
      </c>
      <c r="Y211" s="470">
        <v>5</v>
      </c>
      <c r="Z211" s="471">
        <v>5</v>
      </c>
      <c r="AA211" s="472">
        <v>13</v>
      </c>
      <c r="AB211" s="473">
        <v>0</v>
      </c>
      <c r="AC211" s="464">
        <f t="shared" si="147"/>
        <v>220</v>
      </c>
      <c r="AD211" s="474">
        <f t="shared" si="148"/>
        <v>10544.07894736842</v>
      </c>
      <c r="AE211" s="475">
        <v>3.3520820103420119</v>
      </c>
      <c r="AF211" s="507">
        <f t="shared" si="149"/>
        <v>184.36451056881066</v>
      </c>
      <c r="AG211"/>
      <c r="AH211"/>
      <c r="AI211"/>
    </row>
    <row r="212" spans="1:36" ht="12.75" customHeight="1">
      <c r="A212" s="214"/>
      <c r="B212" s="703" t="s">
        <v>2103</v>
      </c>
      <c r="C212" s="476" t="s">
        <v>1080</v>
      </c>
      <c r="D212" s="476" t="s">
        <v>1150</v>
      </c>
      <c r="E212" s="478">
        <v>4</v>
      </c>
      <c r="F212" s="476"/>
      <c r="G212" s="476"/>
      <c r="H212" s="476" t="s">
        <v>445</v>
      </c>
      <c r="I212" s="476" t="s">
        <v>457</v>
      </c>
      <c r="J212" s="478">
        <v>4</v>
      </c>
      <c r="K212" s="476"/>
      <c r="L212" s="476"/>
      <c r="M212" s="476" t="s">
        <v>457</v>
      </c>
      <c r="N212" s="476" t="s">
        <v>449</v>
      </c>
      <c r="O212" s="478">
        <v>4</v>
      </c>
      <c r="P212" s="478" t="s">
        <v>2104</v>
      </c>
      <c r="Q212" s="752">
        <f>R212*(1-Bolts!$E$1157)</f>
        <v>414.36842105263162</v>
      </c>
      <c r="R212" s="752">
        <v>414.36842105263162</v>
      </c>
      <c r="S212" s="464">
        <f t="shared" si="146"/>
        <v>51</v>
      </c>
      <c r="T212" s="465">
        <v>5</v>
      </c>
      <c r="U212" s="466">
        <v>0</v>
      </c>
      <c r="V212" s="467">
        <v>9</v>
      </c>
      <c r="W212" s="468">
        <v>8</v>
      </c>
      <c r="X212" s="469">
        <v>10</v>
      </c>
      <c r="Y212" s="470">
        <v>5</v>
      </c>
      <c r="Z212" s="471">
        <v>4</v>
      </c>
      <c r="AA212" s="472">
        <v>10</v>
      </c>
      <c r="AB212" s="473">
        <v>0</v>
      </c>
      <c r="AC212" s="464">
        <f t="shared" si="147"/>
        <v>204</v>
      </c>
      <c r="AD212" s="474">
        <f t="shared" si="148"/>
        <v>21132.789473684214</v>
      </c>
      <c r="AE212" s="475">
        <v>8.2119999999999997</v>
      </c>
      <c r="AF212" s="507">
        <f t="shared" si="149"/>
        <v>418.81200000000001</v>
      </c>
      <c r="AG212"/>
      <c r="AH212"/>
      <c r="AI212"/>
    </row>
    <row r="213" spans="1:36" ht="12.75" customHeight="1">
      <c r="A213" s="214"/>
      <c r="B213" s="703" t="s">
        <v>2126</v>
      </c>
      <c r="C213" s="476" t="s">
        <v>1080</v>
      </c>
      <c r="D213" s="476" t="s">
        <v>1150</v>
      </c>
      <c r="E213" s="478">
        <v>4</v>
      </c>
      <c r="F213" s="476"/>
      <c r="G213" s="476"/>
      <c r="H213" s="476" t="s">
        <v>445</v>
      </c>
      <c r="I213" s="476" t="s">
        <v>457</v>
      </c>
      <c r="J213" s="478">
        <v>4</v>
      </c>
      <c r="K213" s="476"/>
      <c r="L213" s="476"/>
      <c r="M213" s="476" t="s">
        <v>457</v>
      </c>
      <c r="N213" s="476" t="s">
        <v>449</v>
      </c>
      <c r="O213" s="478">
        <v>4</v>
      </c>
      <c r="P213" s="478" t="s">
        <v>2127</v>
      </c>
      <c r="Q213" s="752">
        <f>R213*(1-Bolts!$E$1157)</f>
        <v>400.42105263157896</v>
      </c>
      <c r="R213" s="752">
        <v>400.42105263157896</v>
      </c>
      <c r="S213" s="464">
        <f t="shared" ref="S213" si="150">SUM(T213:AB213)</f>
        <v>51</v>
      </c>
      <c r="T213" s="465">
        <v>10</v>
      </c>
      <c r="U213" s="466">
        <v>0</v>
      </c>
      <c r="V213" s="467">
        <v>4</v>
      </c>
      <c r="W213" s="468">
        <v>5</v>
      </c>
      <c r="X213" s="469">
        <v>10</v>
      </c>
      <c r="Y213" s="470">
        <v>5</v>
      </c>
      <c r="Z213" s="471">
        <v>5</v>
      </c>
      <c r="AA213" s="472">
        <v>12</v>
      </c>
      <c r="AB213" s="473">
        <v>0</v>
      </c>
      <c r="AC213" s="464">
        <f t="shared" si="147"/>
        <v>204</v>
      </c>
      <c r="AD213" s="474">
        <f t="shared" si="148"/>
        <v>20421.473684210527</v>
      </c>
      <c r="AE213" s="475">
        <v>7.9079999999999995</v>
      </c>
      <c r="AF213" s="507">
        <f t="shared" ref="AF213" si="151">AE213*S213</f>
        <v>403.30799999999999</v>
      </c>
      <c r="AG213"/>
      <c r="AH213"/>
      <c r="AI213"/>
    </row>
    <row r="214" spans="1:36" ht="12.75" customHeight="1">
      <c r="A214" s="48"/>
      <c r="B214" s="705"/>
      <c r="C214" s="476"/>
      <c r="D214" s="476"/>
      <c r="E214" s="478"/>
      <c r="F214" s="476"/>
      <c r="G214" s="476"/>
      <c r="H214" s="476"/>
      <c r="I214" s="477"/>
      <c r="J214" s="478"/>
      <c r="K214" s="476"/>
      <c r="L214" s="476"/>
      <c r="M214" s="477"/>
      <c r="N214" s="477"/>
      <c r="O214" s="478"/>
      <c r="P214" s="478"/>
      <c r="Q214" s="753"/>
      <c r="R214" s="752">
        <v>0</v>
      </c>
      <c r="S214" s="479"/>
      <c r="T214" s="465">
        <v>0</v>
      </c>
      <c r="U214" s="466">
        <v>0</v>
      </c>
      <c r="V214" s="467">
        <v>0</v>
      </c>
      <c r="W214" s="468">
        <v>0</v>
      </c>
      <c r="X214" s="469">
        <v>0</v>
      </c>
      <c r="Y214" s="470">
        <v>0</v>
      </c>
      <c r="Z214" s="471">
        <v>0</v>
      </c>
      <c r="AA214" s="472">
        <v>0</v>
      </c>
      <c r="AB214" s="473">
        <v>0</v>
      </c>
      <c r="AC214" s="479"/>
      <c r="AD214" s="488"/>
      <c r="AE214" s="489">
        <v>0</v>
      </c>
      <c r="AF214" s="508"/>
      <c r="AG214"/>
      <c r="AH214"/>
      <c r="AI214"/>
    </row>
    <row r="215" spans="1:36" ht="12.75" customHeight="1">
      <c r="A215" s="48"/>
      <c r="B215" s="707" t="s">
        <v>363</v>
      </c>
      <c r="C215" s="461" t="s">
        <v>1080</v>
      </c>
      <c r="D215" s="461" t="s">
        <v>1151</v>
      </c>
      <c r="E215" s="462">
        <v>5</v>
      </c>
      <c r="F215" s="461"/>
      <c r="G215" s="461"/>
      <c r="H215" s="461" t="s">
        <v>445</v>
      </c>
      <c r="I215" s="523" t="s">
        <v>453</v>
      </c>
      <c r="J215" s="462">
        <v>5</v>
      </c>
      <c r="K215" s="461"/>
      <c r="L215" s="461"/>
      <c r="M215" s="523" t="s">
        <v>453</v>
      </c>
      <c r="N215" s="523" t="s">
        <v>452</v>
      </c>
      <c r="O215" s="462">
        <v>5</v>
      </c>
      <c r="P215" s="462" t="s">
        <v>405</v>
      </c>
      <c r="Q215" s="752">
        <f>R215*(1-Bolts!$E$1157)</f>
        <v>230.10526315789474</v>
      </c>
      <c r="R215" s="752">
        <v>230.10526315789474</v>
      </c>
      <c r="S215" s="464">
        <f t="shared" ref="S215:S225" si="152">SUM(T215:AB215)</f>
        <v>42</v>
      </c>
      <c r="T215" s="465">
        <v>6</v>
      </c>
      <c r="U215" s="466">
        <v>0</v>
      </c>
      <c r="V215" s="467">
        <v>7</v>
      </c>
      <c r="W215" s="468">
        <v>4</v>
      </c>
      <c r="X215" s="469">
        <v>5</v>
      </c>
      <c r="Y215" s="470">
        <v>5</v>
      </c>
      <c r="Z215" s="471">
        <v>5</v>
      </c>
      <c r="AA215" s="472">
        <v>10</v>
      </c>
      <c r="AB215" s="473">
        <v>0</v>
      </c>
      <c r="AC215" s="464">
        <f t="shared" ref="AC215:AC225" si="153">S215*O215</f>
        <v>210</v>
      </c>
      <c r="AD215" s="474">
        <f t="shared" ref="AD215:AD225" si="154">S215*R215</f>
        <v>9664.4210526315783</v>
      </c>
      <c r="AE215" s="475">
        <v>3.9529999999999994</v>
      </c>
      <c r="AF215" s="507">
        <f t="shared" ref="AF215:AF225" si="155">AE215*S215</f>
        <v>166.02599999999998</v>
      </c>
      <c r="AG215"/>
      <c r="AH215"/>
      <c r="AI215"/>
    </row>
    <row r="216" spans="1:36" ht="12.75" customHeight="1">
      <c r="A216" s="48"/>
      <c r="B216" s="707" t="s">
        <v>364</v>
      </c>
      <c r="C216" s="461" t="s">
        <v>1080</v>
      </c>
      <c r="D216" s="461" t="s">
        <v>1151</v>
      </c>
      <c r="E216" s="462">
        <v>5</v>
      </c>
      <c r="F216" s="461"/>
      <c r="G216" s="461"/>
      <c r="H216" s="461" t="s">
        <v>445</v>
      </c>
      <c r="I216" s="523" t="s">
        <v>453</v>
      </c>
      <c r="J216" s="462">
        <v>5</v>
      </c>
      <c r="K216" s="461"/>
      <c r="L216" s="461"/>
      <c r="M216" s="523" t="s">
        <v>453</v>
      </c>
      <c r="N216" s="523" t="s">
        <v>452</v>
      </c>
      <c r="O216" s="462">
        <v>5</v>
      </c>
      <c r="P216" s="462" t="s">
        <v>406</v>
      </c>
      <c r="Q216" s="752">
        <f>R216*(1-Bolts!$E$1157)</f>
        <v>251.10526315789474</v>
      </c>
      <c r="R216" s="752">
        <v>251.10526315789474</v>
      </c>
      <c r="S216" s="464">
        <f t="shared" si="152"/>
        <v>41</v>
      </c>
      <c r="T216" s="465">
        <v>7</v>
      </c>
      <c r="U216" s="466">
        <v>0</v>
      </c>
      <c r="V216" s="467">
        <v>6</v>
      </c>
      <c r="W216" s="468">
        <v>9</v>
      </c>
      <c r="X216" s="469">
        <v>4</v>
      </c>
      <c r="Y216" s="470">
        <v>5</v>
      </c>
      <c r="Z216" s="471">
        <v>4</v>
      </c>
      <c r="AA216" s="472">
        <v>6</v>
      </c>
      <c r="AB216" s="473">
        <v>0</v>
      </c>
      <c r="AC216" s="464">
        <f t="shared" si="153"/>
        <v>205</v>
      </c>
      <c r="AD216" s="474">
        <f t="shared" si="154"/>
        <v>10295.315789473685</v>
      </c>
      <c r="AE216" s="475">
        <v>3.6059999999999999</v>
      </c>
      <c r="AF216" s="507">
        <f t="shared" si="155"/>
        <v>147.846</v>
      </c>
      <c r="AG216"/>
      <c r="AH216"/>
      <c r="AI216"/>
    </row>
    <row r="217" spans="1:36" ht="12.75" customHeight="1">
      <c r="A217" s="48"/>
      <c r="B217" s="707" t="s">
        <v>365</v>
      </c>
      <c r="C217" s="461" t="s">
        <v>1080</v>
      </c>
      <c r="D217" s="461" t="s">
        <v>1151</v>
      </c>
      <c r="E217" s="462">
        <v>5</v>
      </c>
      <c r="F217" s="461"/>
      <c r="G217" s="461"/>
      <c r="H217" s="461" t="s">
        <v>445</v>
      </c>
      <c r="I217" s="523" t="s">
        <v>453</v>
      </c>
      <c r="J217" s="462">
        <v>5</v>
      </c>
      <c r="K217" s="461"/>
      <c r="L217" s="461"/>
      <c r="M217" s="523" t="s">
        <v>453</v>
      </c>
      <c r="N217" s="523" t="s">
        <v>452</v>
      </c>
      <c r="O217" s="462">
        <v>5</v>
      </c>
      <c r="P217" s="462" t="s">
        <v>407</v>
      </c>
      <c r="Q217" s="752">
        <f>R217*(1-Bolts!$E$1157)</f>
        <v>255</v>
      </c>
      <c r="R217" s="752">
        <v>255</v>
      </c>
      <c r="S217" s="464">
        <f t="shared" si="152"/>
        <v>36</v>
      </c>
      <c r="T217" s="465">
        <v>2</v>
      </c>
      <c r="U217" s="466">
        <v>0</v>
      </c>
      <c r="V217" s="467">
        <v>8</v>
      </c>
      <c r="W217" s="468">
        <v>3</v>
      </c>
      <c r="X217" s="469">
        <v>4</v>
      </c>
      <c r="Y217" s="470">
        <v>5</v>
      </c>
      <c r="Z217" s="471">
        <v>4</v>
      </c>
      <c r="AA217" s="472">
        <v>10</v>
      </c>
      <c r="AB217" s="473">
        <v>0</v>
      </c>
      <c r="AC217" s="464">
        <f t="shared" si="153"/>
        <v>180</v>
      </c>
      <c r="AD217" s="474">
        <f t="shared" si="154"/>
        <v>9180</v>
      </c>
      <c r="AE217" s="475">
        <v>4.4960000000000004</v>
      </c>
      <c r="AF217" s="507">
        <f t="shared" si="155"/>
        <v>161.85600000000002</v>
      </c>
      <c r="AG217"/>
      <c r="AH217"/>
      <c r="AI217"/>
    </row>
    <row r="218" spans="1:36" ht="12.75" customHeight="1">
      <c r="A218" s="48"/>
      <c r="B218" s="707" t="s">
        <v>366</v>
      </c>
      <c r="C218" s="461" t="s">
        <v>1080</v>
      </c>
      <c r="D218" s="461" t="s">
        <v>1151</v>
      </c>
      <c r="E218" s="462">
        <v>5</v>
      </c>
      <c r="F218" s="461"/>
      <c r="G218" s="461"/>
      <c r="H218" s="461" t="s">
        <v>445</v>
      </c>
      <c r="I218" s="523" t="s">
        <v>457</v>
      </c>
      <c r="J218" s="462">
        <v>5</v>
      </c>
      <c r="K218" s="461"/>
      <c r="L218" s="461"/>
      <c r="M218" s="523" t="s">
        <v>457</v>
      </c>
      <c r="N218" s="523" t="s">
        <v>449</v>
      </c>
      <c r="O218" s="462">
        <v>5</v>
      </c>
      <c r="P218" s="462" t="s">
        <v>408</v>
      </c>
      <c r="Q218" s="752">
        <f>R218*(1-Bolts!$E$1157)</f>
        <v>301.89473684210526</v>
      </c>
      <c r="R218" s="752">
        <v>301.89473684210526</v>
      </c>
      <c r="S218" s="464">
        <f t="shared" si="152"/>
        <v>37</v>
      </c>
      <c r="T218" s="465">
        <v>6</v>
      </c>
      <c r="U218" s="466">
        <v>0</v>
      </c>
      <c r="V218" s="467">
        <v>4</v>
      </c>
      <c r="W218" s="468">
        <v>5</v>
      </c>
      <c r="X218" s="469">
        <v>9</v>
      </c>
      <c r="Y218" s="470">
        <v>4</v>
      </c>
      <c r="Z218" s="471">
        <v>4</v>
      </c>
      <c r="AA218" s="472">
        <v>5</v>
      </c>
      <c r="AB218" s="473">
        <v>0</v>
      </c>
      <c r="AC218" s="464">
        <f t="shared" si="153"/>
        <v>185</v>
      </c>
      <c r="AD218" s="474">
        <f t="shared" si="154"/>
        <v>11170.105263157895</v>
      </c>
      <c r="AE218" s="475">
        <v>7.4480000000000004</v>
      </c>
      <c r="AF218" s="507">
        <f t="shared" si="155"/>
        <v>275.57600000000002</v>
      </c>
      <c r="AG218"/>
      <c r="AH218"/>
      <c r="AI218"/>
    </row>
    <row r="219" spans="1:36" ht="12.75" customHeight="1">
      <c r="A219" s="48"/>
      <c r="B219" s="707" t="s">
        <v>367</v>
      </c>
      <c r="C219" s="461" t="s">
        <v>1080</v>
      </c>
      <c r="D219" s="461" t="s">
        <v>1151</v>
      </c>
      <c r="E219" s="462">
        <v>5</v>
      </c>
      <c r="F219" s="461"/>
      <c r="G219" s="461"/>
      <c r="H219" s="461" t="s">
        <v>445</v>
      </c>
      <c r="I219" s="523" t="s">
        <v>457</v>
      </c>
      <c r="J219" s="462">
        <v>5</v>
      </c>
      <c r="K219" s="461"/>
      <c r="L219" s="461"/>
      <c r="M219" s="523" t="s">
        <v>457</v>
      </c>
      <c r="N219" s="523" t="s">
        <v>449</v>
      </c>
      <c r="O219" s="462">
        <v>5</v>
      </c>
      <c r="P219" s="462" t="s">
        <v>409</v>
      </c>
      <c r="Q219" s="752">
        <f>R219*(1-Bolts!$E$1157)</f>
        <v>195.05263157894737</v>
      </c>
      <c r="R219" s="752">
        <v>195.05263157894737</v>
      </c>
      <c r="S219" s="464">
        <f t="shared" si="152"/>
        <v>40</v>
      </c>
      <c r="T219" s="465">
        <v>8</v>
      </c>
      <c r="U219" s="466">
        <v>0</v>
      </c>
      <c r="V219" s="467">
        <v>6</v>
      </c>
      <c r="W219" s="468">
        <v>6</v>
      </c>
      <c r="X219" s="469">
        <v>6</v>
      </c>
      <c r="Y219" s="470">
        <v>5</v>
      </c>
      <c r="Z219" s="471">
        <v>4</v>
      </c>
      <c r="AA219" s="472">
        <v>5</v>
      </c>
      <c r="AB219" s="473">
        <v>0</v>
      </c>
      <c r="AC219" s="464">
        <f t="shared" si="153"/>
        <v>200</v>
      </c>
      <c r="AD219" s="474">
        <f t="shared" si="154"/>
        <v>7802.105263157895</v>
      </c>
      <c r="AE219" s="475">
        <v>4.71</v>
      </c>
      <c r="AF219" s="507">
        <f t="shared" si="155"/>
        <v>188.4</v>
      </c>
      <c r="AG219"/>
      <c r="AH219"/>
      <c r="AI219"/>
    </row>
    <row r="220" spans="1:36" ht="12.75" customHeight="1">
      <c r="A220" s="48"/>
      <c r="B220" s="707" t="s">
        <v>368</v>
      </c>
      <c r="C220" s="461" t="s">
        <v>1080</v>
      </c>
      <c r="D220" s="461" t="s">
        <v>1151</v>
      </c>
      <c r="E220" s="462">
        <v>5</v>
      </c>
      <c r="F220" s="461"/>
      <c r="G220" s="461"/>
      <c r="H220" s="461" t="s">
        <v>445</v>
      </c>
      <c r="I220" s="523" t="s">
        <v>457</v>
      </c>
      <c r="J220" s="462">
        <v>5</v>
      </c>
      <c r="K220" s="461"/>
      <c r="L220" s="461"/>
      <c r="M220" s="523" t="s">
        <v>457</v>
      </c>
      <c r="N220" s="523" t="s">
        <v>449</v>
      </c>
      <c r="O220" s="462">
        <v>5</v>
      </c>
      <c r="P220" s="462" t="s">
        <v>410</v>
      </c>
      <c r="Q220" s="752">
        <f>R220*(1-Bolts!$E$1157)</f>
        <v>203.81578947368422</v>
      </c>
      <c r="R220" s="752">
        <v>203.81578947368422</v>
      </c>
      <c r="S220" s="464">
        <f t="shared" si="152"/>
        <v>32</v>
      </c>
      <c r="T220" s="465">
        <v>3</v>
      </c>
      <c r="U220" s="466">
        <v>0</v>
      </c>
      <c r="V220" s="467">
        <v>6</v>
      </c>
      <c r="W220" s="468">
        <v>7</v>
      </c>
      <c r="X220" s="469">
        <v>2</v>
      </c>
      <c r="Y220" s="470">
        <v>3</v>
      </c>
      <c r="Z220" s="471">
        <v>4</v>
      </c>
      <c r="AA220" s="472">
        <v>7</v>
      </c>
      <c r="AB220" s="473">
        <v>0</v>
      </c>
      <c r="AC220" s="464">
        <f t="shared" si="153"/>
        <v>160</v>
      </c>
      <c r="AD220" s="474">
        <f t="shared" si="154"/>
        <v>6522.105263157895</v>
      </c>
      <c r="AE220" s="475">
        <v>4.9349999999999996</v>
      </c>
      <c r="AF220" s="507">
        <f t="shared" si="155"/>
        <v>157.91999999999999</v>
      </c>
      <c r="AG220"/>
      <c r="AH220"/>
      <c r="AI220"/>
    </row>
    <row r="221" spans="1:36" ht="12.75" customHeight="1">
      <c r="A221" s="48"/>
      <c r="B221" s="707" t="s">
        <v>369</v>
      </c>
      <c r="C221" s="461" t="s">
        <v>1080</v>
      </c>
      <c r="D221" s="461" t="s">
        <v>1151</v>
      </c>
      <c r="E221" s="462">
        <v>5</v>
      </c>
      <c r="F221" s="461"/>
      <c r="G221" s="461"/>
      <c r="H221" s="461" t="s">
        <v>445</v>
      </c>
      <c r="I221" s="523" t="s">
        <v>457</v>
      </c>
      <c r="J221" s="462">
        <v>5</v>
      </c>
      <c r="K221" s="461"/>
      <c r="L221" s="461"/>
      <c r="M221" s="523" t="s">
        <v>457</v>
      </c>
      <c r="N221" s="523" t="s">
        <v>449</v>
      </c>
      <c r="O221" s="462">
        <v>5</v>
      </c>
      <c r="P221" s="462" t="s">
        <v>411</v>
      </c>
      <c r="Q221" s="752">
        <f>R221*(1-Bolts!$E$1157)</f>
        <v>185.28947368421052</v>
      </c>
      <c r="R221" s="752">
        <v>185.28947368421052</v>
      </c>
      <c r="S221" s="464">
        <f t="shared" si="152"/>
        <v>37</v>
      </c>
      <c r="T221" s="465">
        <v>5</v>
      </c>
      <c r="U221" s="466">
        <v>0</v>
      </c>
      <c r="V221" s="467">
        <v>5</v>
      </c>
      <c r="W221" s="468">
        <v>4</v>
      </c>
      <c r="X221" s="469">
        <v>6</v>
      </c>
      <c r="Y221" s="470">
        <v>4</v>
      </c>
      <c r="Z221" s="471">
        <v>5</v>
      </c>
      <c r="AA221" s="472">
        <v>8</v>
      </c>
      <c r="AB221" s="473">
        <v>0</v>
      </c>
      <c r="AC221" s="464">
        <f t="shared" si="153"/>
        <v>185</v>
      </c>
      <c r="AD221" s="474">
        <f t="shared" si="154"/>
        <v>6855.7105263157891</v>
      </c>
      <c r="AE221" s="475">
        <v>4.46</v>
      </c>
      <c r="AF221" s="507">
        <f t="shared" si="155"/>
        <v>165.02</v>
      </c>
      <c r="AG221"/>
      <c r="AH221"/>
      <c r="AI221"/>
    </row>
    <row r="222" spans="1:36" ht="12.75" customHeight="1">
      <c r="A222" s="48"/>
      <c r="B222" s="707" t="s">
        <v>370</v>
      </c>
      <c r="C222" s="461" t="s">
        <v>1080</v>
      </c>
      <c r="D222" s="461" t="s">
        <v>1151</v>
      </c>
      <c r="E222" s="462">
        <v>5</v>
      </c>
      <c r="F222" s="461"/>
      <c r="G222" s="461"/>
      <c r="H222" s="461" t="s">
        <v>445</v>
      </c>
      <c r="I222" s="523" t="s">
        <v>457</v>
      </c>
      <c r="J222" s="462">
        <v>5</v>
      </c>
      <c r="K222" s="461"/>
      <c r="L222" s="461"/>
      <c r="M222" s="523" t="s">
        <v>457</v>
      </c>
      <c r="N222" s="523" t="s">
        <v>449</v>
      </c>
      <c r="O222" s="462">
        <v>5</v>
      </c>
      <c r="P222" s="462" t="s">
        <v>412</v>
      </c>
      <c r="Q222" s="752">
        <f>R222*(1-Bolts!$E$1157)</f>
        <v>261.71052631578948</v>
      </c>
      <c r="R222" s="752">
        <v>261.71052631578948</v>
      </c>
      <c r="S222" s="464">
        <f t="shared" si="152"/>
        <v>35</v>
      </c>
      <c r="T222" s="465">
        <v>5</v>
      </c>
      <c r="U222" s="466">
        <v>0</v>
      </c>
      <c r="V222" s="467">
        <v>3</v>
      </c>
      <c r="W222" s="468">
        <v>8</v>
      </c>
      <c r="X222" s="469">
        <v>3</v>
      </c>
      <c r="Y222" s="470">
        <v>4</v>
      </c>
      <c r="Z222" s="471">
        <v>5</v>
      </c>
      <c r="AA222" s="472">
        <v>7</v>
      </c>
      <c r="AB222" s="473">
        <v>0</v>
      </c>
      <c r="AC222" s="464">
        <f t="shared" si="153"/>
        <v>175</v>
      </c>
      <c r="AD222" s="474">
        <f t="shared" si="154"/>
        <v>9159.8684210526317</v>
      </c>
      <c r="AE222" s="475">
        <v>4.6420000000000003</v>
      </c>
      <c r="AF222" s="507">
        <f t="shared" si="155"/>
        <v>162.47</v>
      </c>
      <c r="AG222"/>
      <c r="AH222"/>
      <c r="AI222"/>
    </row>
    <row r="223" spans="1:36" ht="12.75" customHeight="1">
      <c r="A223" s="48"/>
      <c r="B223" s="707" t="s">
        <v>1842</v>
      </c>
      <c r="C223" s="461" t="s">
        <v>1080</v>
      </c>
      <c r="D223" s="461" t="s">
        <v>1151</v>
      </c>
      <c r="E223" s="462">
        <v>5</v>
      </c>
      <c r="F223" s="461"/>
      <c r="G223" s="461"/>
      <c r="H223" s="461" t="s">
        <v>445</v>
      </c>
      <c r="I223" s="523" t="s">
        <v>458</v>
      </c>
      <c r="J223" s="462">
        <v>5</v>
      </c>
      <c r="K223" s="461"/>
      <c r="L223" s="461"/>
      <c r="M223" s="523" t="s">
        <v>458</v>
      </c>
      <c r="N223" s="523" t="s">
        <v>452</v>
      </c>
      <c r="O223" s="462">
        <v>5</v>
      </c>
      <c r="P223" s="462" t="s">
        <v>1839</v>
      </c>
      <c r="Q223" s="752">
        <f>R223*(1-Bolts!$E$1157)</f>
        <v>217.07894736842104</v>
      </c>
      <c r="R223" s="752">
        <v>217.07894736842104</v>
      </c>
      <c r="S223" s="464">
        <f t="shared" si="152"/>
        <v>50</v>
      </c>
      <c r="T223" s="465">
        <v>9</v>
      </c>
      <c r="U223" s="466">
        <v>0</v>
      </c>
      <c r="V223" s="467">
        <v>3</v>
      </c>
      <c r="W223" s="468">
        <v>10</v>
      </c>
      <c r="X223" s="469">
        <v>9</v>
      </c>
      <c r="Y223" s="470">
        <v>6</v>
      </c>
      <c r="Z223" s="471">
        <v>5</v>
      </c>
      <c r="AA223" s="472">
        <v>8</v>
      </c>
      <c r="AB223" s="473">
        <v>0</v>
      </c>
      <c r="AC223" s="464">
        <f t="shared" si="153"/>
        <v>250</v>
      </c>
      <c r="AD223" s="474">
        <f t="shared" si="154"/>
        <v>10853.947368421052</v>
      </c>
      <c r="AE223" s="475">
        <v>3.6877438084006169</v>
      </c>
      <c r="AF223" s="507">
        <f t="shared" si="155"/>
        <v>184.38719042003083</v>
      </c>
      <c r="AG223"/>
      <c r="AH223"/>
      <c r="AI223"/>
    </row>
    <row r="224" spans="1:36" ht="12.75" customHeight="1">
      <c r="A224" s="214"/>
      <c r="B224" s="706" t="s">
        <v>2869</v>
      </c>
      <c r="C224" s="644" t="s">
        <v>1080</v>
      </c>
      <c r="D224" s="644" t="s">
        <v>1151</v>
      </c>
      <c r="E224" s="645">
        <v>4</v>
      </c>
      <c r="F224" s="644"/>
      <c r="G224" s="644"/>
      <c r="H224" s="644" t="s">
        <v>445</v>
      </c>
      <c r="I224" s="644" t="s">
        <v>458</v>
      </c>
      <c r="J224" s="645">
        <v>4</v>
      </c>
      <c r="K224" s="644"/>
      <c r="L224" s="644"/>
      <c r="M224" s="644" t="s">
        <v>458</v>
      </c>
      <c r="N224" s="644" t="s">
        <v>451</v>
      </c>
      <c r="O224" s="645">
        <v>4</v>
      </c>
      <c r="P224" s="645" t="s">
        <v>2862</v>
      </c>
      <c r="Q224" s="752">
        <f>R224*(1-Bolts!$E$1157)</f>
        <v>147.13157894736841</v>
      </c>
      <c r="R224" s="752">
        <v>147.13157894736841</v>
      </c>
      <c r="S224" s="464">
        <f t="shared" si="152"/>
        <v>39</v>
      </c>
      <c r="T224" s="465">
        <v>5</v>
      </c>
      <c r="U224" s="466">
        <v>0</v>
      </c>
      <c r="V224" s="467">
        <v>3</v>
      </c>
      <c r="W224" s="468">
        <v>5</v>
      </c>
      <c r="X224" s="469">
        <v>5</v>
      </c>
      <c r="Y224" s="470">
        <v>6</v>
      </c>
      <c r="Z224" s="471">
        <v>5</v>
      </c>
      <c r="AA224" s="472">
        <v>5</v>
      </c>
      <c r="AB224" s="473">
        <v>5</v>
      </c>
      <c r="AC224" s="464">
        <f t="shared" si="153"/>
        <v>156</v>
      </c>
      <c r="AD224" s="474">
        <f t="shared" si="154"/>
        <v>5738.1315789473683</v>
      </c>
      <c r="AE224" s="475">
        <v>2.4829901115848676</v>
      </c>
      <c r="AF224" s="507">
        <f t="shared" si="155"/>
        <v>96.836614351809843</v>
      </c>
      <c r="AG224"/>
      <c r="AH224"/>
      <c r="AI224"/>
      <c r="AJ224"/>
    </row>
    <row r="225" spans="1:36" ht="12.75" customHeight="1">
      <c r="A225" s="214"/>
      <c r="B225" s="706" t="s">
        <v>2810</v>
      </c>
      <c r="C225" s="644" t="s">
        <v>1080</v>
      </c>
      <c r="D225" s="644" t="s">
        <v>1151</v>
      </c>
      <c r="E225" s="645">
        <v>5</v>
      </c>
      <c r="F225" s="644"/>
      <c r="G225" s="644"/>
      <c r="H225" s="644" t="s">
        <v>445</v>
      </c>
      <c r="I225" s="644" t="s">
        <v>458</v>
      </c>
      <c r="J225" s="645">
        <v>5</v>
      </c>
      <c r="K225" s="644"/>
      <c r="L225" s="644"/>
      <c r="M225" s="644" t="s">
        <v>458</v>
      </c>
      <c r="N225" s="644" t="s">
        <v>451</v>
      </c>
      <c r="O225" s="645">
        <v>5</v>
      </c>
      <c r="P225" s="645" t="s">
        <v>2809</v>
      </c>
      <c r="Q225" s="752">
        <f>R225*(1-Bolts!$E$1157)</f>
        <v>229.10526315789474</v>
      </c>
      <c r="R225" s="752">
        <v>229.10526315789474</v>
      </c>
      <c r="S225" s="464">
        <f t="shared" si="152"/>
        <v>51</v>
      </c>
      <c r="T225" s="465">
        <v>9</v>
      </c>
      <c r="U225" s="466">
        <v>0</v>
      </c>
      <c r="V225" s="467">
        <v>7</v>
      </c>
      <c r="W225" s="468">
        <v>9</v>
      </c>
      <c r="X225" s="469">
        <v>8</v>
      </c>
      <c r="Y225" s="470">
        <v>7</v>
      </c>
      <c r="Z225" s="471">
        <v>0</v>
      </c>
      <c r="AA225" s="472">
        <v>10</v>
      </c>
      <c r="AB225" s="473">
        <v>1</v>
      </c>
      <c r="AC225" s="464">
        <f t="shared" si="153"/>
        <v>255</v>
      </c>
      <c r="AD225" s="474">
        <f t="shared" si="154"/>
        <v>11684.368421052632</v>
      </c>
      <c r="AE225" s="475">
        <v>3.9417581420665884</v>
      </c>
      <c r="AF225" s="507">
        <f t="shared" si="155"/>
        <v>201.02966524539602</v>
      </c>
      <c r="AG225"/>
      <c r="AH225"/>
      <c r="AI225"/>
      <c r="AJ225"/>
    </row>
    <row r="226" spans="1:36" ht="12.75" customHeight="1">
      <c r="A226" s="48"/>
      <c r="B226" s="705"/>
      <c r="C226" s="476"/>
      <c r="D226" s="476"/>
      <c r="E226" s="478"/>
      <c r="F226" s="476"/>
      <c r="G226" s="476"/>
      <c r="H226" s="476"/>
      <c r="I226" s="477"/>
      <c r="J226" s="478"/>
      <c r="K226" s="476"/>
      <c r="L226" s="476"/>
      <c r="M226" s="477"/>
      <c r="N226" s="477"/>
      <c r="O226" s="478"/>
      <c r="P226" s="478"/>
      <c r="Q226" s="753"/>
      <c r="R226" s="752">
        <v>0</v>
      </c>
      <c r="S226" s="479"/>
      <c r="T226" s="465">
        <v>0</v>
      </c>
      <c r="U226" s="466">
        <v>0</v>
      </c>
      <c r="V226" s="467">
        <v>0</v>
      </c>
      <c r="W226" s="468">
        <v>0</v>
      </c>
      <c r="X226" s="469">
        <v>0</v>
      </c>
      <c r="Y226" s="470">
        <v>0</v>
      </c>
      <c r="Z226" s="471">
        <v>0</v>
      </c>
      <c r="AA226" s="472">
        <v>0</v>
      </c>
      <c r="AB226" s="473">
        <v>0</v>
      </c>
      <c r="AC226" s="479"/>
      <c r="AD226" s="488"/>
      <c r="AE226" s="489">
        <v>0</v>
      </c>
      <c r="AF226" s="508"/>
      <c r="AG226"/>
      <c r="AH226"/>
      <c r="AI226"/>
    </row>
    <row r="227" spans="1:36" ht="12.75" customHeight="1">
      <c r="A227" s="48"/>
      <c r="B227" s="707" t="s">
        <v>1039</v>
      </c>
      <c r="C227" s="461" t="s">
        <v>1080</v>
      </c>
      <c r="D227" s="461" t="s">
        <v>1147</v>
      </c>
      <c r="E227" s="462">
        <v>5</v>
      </c>
      <c r="F227" s="461"/>
      <c r="G227" s="461"/>
      <c r="H227" s="461" t="s">
        <v>445</v>
      </c>
      <c r="I227" s="523" t="s">
        <v>453</v>
      </c>
      <c r="J227" s="462">
        <v>5</v>
      </c>
      <c r="K227" s="461"/>
      <c r="L227" s="461"/>
      <c r="M227" s="523" t="s">
        <v>453</v>
      </c>
      <c r="N227" s="523" t="s">
        <v>452</v>
      </c>
      <c r="O227" s="462">
        <v>5</v>
      </c>
      <c r="P227" s="462" t="s">
        <v>413</v>
      </c>
      <c r="Q227" s="752">
        <f>R227*(1-Bolts!$E$1157)</f>
        <v>185.52631578947367</v>
      </c>
      <c r="R227" s="752">
        <v>185.52631578947367</v>
      </c>
      <c r="S227" s="464">
        <f t="shared" ref="S227:S229" si="156">SUM(T227:AB227)</f>
        <v>35</v>
      </c>
      <c r="T227" s="465">
        <v>3</v>
      </c>
      <c r="U227" s="466">
        <v>0</v>
      </c>
      <c r="V227" s="467">
        <v>6</v>
      </c>
      <c r="W227" s="468">
        <v>2</v>
      </c>
      <c r="X227" s="469">
        <v>3</v>
      </c>
      <c r="Y227" s="470">
        <v>7</v>
      </c>
      <c r="Z227" s="471">
        <v>4</v>
      </c>
      <c r="AA227" s="472">
        <v>10</v>
      </c>
      <c r="AB227" s="473">
        <v>0</v>
      </c>
      <c r="AC227" s="464">
        <f t="shared" ref="AC227:AC232" si="157">S227*O227</f>
        <v>175</v>
      </c>
      <c r="AD227" s="474">
        <f t="shared" ref="AD227:AD232" si="158">S227*R227</f>
        <v>6493.4210526315783</v>
      </c>
      <c r="AE227" s="475">
        <v>2.9809999999999999</v>
      </c>
      <c r="AF227" s="507">
        <f t="shared" ref="AF227:AF229" si="159">AE227*S227</f>
        <v>104.33499999999999</v>
      </c>
      <c r="AG227"/>
      <c r="AH227"/>
      <c r="AI227"/>
    </row>
    <row r="228" spans="1:36" ht="12.75" customHeight="1">
      <c r="A228" s="48"/>
      <c r="B228" s="707" t="s">
        <v>1040</v>
      </c>
      <c r="C228" s="461" t="s">
        <v>1080</v>
      </c>
      <c r="D228" s="461" t="s">
        <v>1147</v>
      </c>
      <c r="E228" s="462">
        <v>5</v>
      </c>
      <c r="F228" s="461"/>
      <c r="G228" s="461"/>
      <c r="H228" s="461" t="s">
        <v>445</v>
      </c>
      <c r="I228" s="523" t="s">
        <v>453</v>
      </c>
      <c r="J228" s="462">
        <v>5</v>
      </c>
      <c r="K228" s="461"/>
      <c r="L228" s="461"/>
      <c r="M228" s="523" t="s">
        <v>453</v>
      </c>
      <c r="N228" s="523" t="s">
        <v>452</v>
      </c>
      <c r="O228" s="462">
        <v>5</v>
      </c>
      <c r="P228" s="462" t="s">
        <v>414</v>
      </c>
      <c r="Q228" s="752">
        <f>R228*(1-Bolts!$E$1157)</f>
        <v>156.81578947368422</v>
      </c>
      <c r="R228" s="752">
        <v>156.81578947368422</v>
      </c>
      <c r="S228" s="464">
        <f t="shared" si="156"/>
        <v>53</v>
      </c>
      <c r="T228" s="465">
        <v>5</v>
      </c>
      <c r="U228" s="466">
        <v>0</v>
      </c>
      <c r="V228" s="467">
        <v>10</v>
      </c>
      <c r="W228" s="468">
        <v>8</v>
      </c>
      <c r="X228" s="469">
        <v>8</v>
      </c>
      <c r="Y228" s="470">
        <v>7</v>
      </c>
      <c r="Z228" s="471">
        <v>5</v>
      </c>
      <c r="AA228" s="472">
        <v>10</v>
      </c>
      <c r="AB228" s="473">
        <v>0</v>
      </c>
      <c r="AC228" s="464">
        <f t="shared" si="157"/>
        <v>265</v>
      </c>
      <c r="AD228" s="474">
        <f t="shared" si="158"/>
        <v>8311.2368421052633</v>
      </c>
      <c r="AE228" s="475">
        <v>2.355</v>
      </c>
      <c r="AF228" s="507">
        <f t="shared" si="159"/>
        <v>124.815</v>
      </c>
      <c r="AG228"/>
      <c r="AH228"/>
      <c r="AI228"/>
    </row>
    <row r="229" spans="1:36" ht="12.75" customHeight="1">
      <c r="A229" s="214" t="s">
        <v>2612</v>
      </c>
      <c r="B229" s="704" t="s">
        <v>2864</v>
      </c>
      <c r="C229" s="644" t="s">
        <v>1080</v>
      </c>
      <c r="D229" s="644" t="s">
        <v>1147</v>
      </c>
      <c r="E229" s="645">
        <v>5</v>
      </c>
      <c r="F229" s="644"/>
      <c r="G229" s="644"/>
      <c r="H229" s="644" t="s">
        <v>445</v>
      </c>
      <c r="I229" s="644" t="s">
        <v>457</v>
      </c>
      <c r="J229" s="645">
        <v>5</v>
      </c>
      <c r="K229" s="644"/>
      <c r="L229" s="644"/>
      <c r="M229" s="644" t="s">
        <v>457</v>
      </c>
      <c r="N229" s="644" t="s">
        <v>449</v>
      </c>
      <c r="O229" s="645">
        <v>5</v>
      </c>
      <c r="P229" s="645" t="s">
        <v>2839</v>
      </c>
      <c r="Q229" s="752">
        <f>R229*(1-Bolts!$E$1157)</f>
        <v>93.552631578947356</v>
      </c>
      <c r="R229" s="752">
        <v>93.552631578947356</v>
      </c>
      <c r="S229" s="464">
        <f t="shared" si="156"/>
        <v>27</v>
      </c>
      <c r="T229" s="465">
        <v>7</v>
      </c>
      <c r="U229" s="466">
        <v>0</v>
      </c>
      <c r="V229" s="467">
        <v>7</v>
      </c>
      <c r="W229" s="468">
        <v>4</v>
      </c>
      <c r="X229" s="469">
        <v>3</v>
      </c>
      <c r="Y229" s="470">
        <v>4</v>
      </c>
      <c r="Z229" s="471">
        <v>0</v>
      </c>
      <c r="AA229" s="472">
        <v>2</v>
      </c>
      <c r="AB229" s="473">
        <v>0</v>
      </c>
      <c r="AC229" s="464">
        <f t="shared" si="157"/>
        <v>135</v>
      </c>
      <c r="AD229" s="474">
        <f t="shared" si="158"/>
        <v>2525.9210526315787</v>
      </c>
      <c r="AE229" s="475">
        <v>2.2013063594302817</v>
      </c>
      <c r="AF229" s="507">
        <f t="shared" si="159"/>
        <v>59.435271704617605</v>
      </c>
      <c r="AG229"/>
      <c r="AH229"/>
      <c r="AI229"/>
      <c r="AJ229"/>
    </row>
    <row r="230" spans="1:36" ht="12.75" customHeight="1">
      <c r="A230" s="214"/>
      <c r="B230" s="706" t="s">
        <v>2868</v>
      </c>
      <c r="C230" s="644" t="s">
        <v>1080</v>
      </c>
      <c r="D230" s="644" t="s">
        <v>1147</v>
      </c>
      <c r="E230" s="645">
        <v>6</v>
      </c>
      <c r="F230" s="644"/>
      <c r="G230" s="644"/>
      <c r="H230" s="644" t="s">
        <v>445</v>
      </c>
      <c r="I230" s="644" t="s">
        <v>458</v>
      </c>
      <c r="J230" s="645">
        <v>6</v>
      </c>
      <c r="K230" s="644"/>
      <c r="L230" s="644"/>
      <c r="M230" s="644" t="s">
        <v>458</v>
      </c>
      <c r="N230" s="644" t="s">
        <v>451</v>
      </c>
      <c r="O230" s="645">
        <v>6</v>
      </c>
      <c r="P230" s="645" t="s">
        <v>2860</v>
      </c>
      <c r="Q230" s="752">
        <f>R230*(1-Bolts!$E$1157)</f>
        <v>167.65789473684211</v>
      </c>
      <c r="R230" s="752">
        <v>167.65789473684211</v>
      </c>
      <c r="S230" s="464">
        <f t="shared" ref="S230:S232" si="160">SUM(T230:AB230)</f>
        <v>37</v>
      </c>
      <c r="T230" s="465">
        <v>2</v>
      </c>
      <c r="U230" s="466">
        <v>0</v>
      </c>
      <c r="V230" s="467">
        <v>3</v>
      </c>
      <c r="W230" s="468">
        <v>4</v>
      </c>
      <c r="X230" s="469">
        <v>5</v>
      </c>
      <c r="Y230" s="470">
        <v>8</v>
      </c>
      <c r="Z230" s="471">
        <v>6</v>
      </c>
      <c r="AA230" s="472">
        <v>4</v>
      </c>
      <c r="AB230" s="473">
        <v>5</v>
      </c>
      <c r="AC230" s="464">
        <f t="shared" si="157"/>
        <v>222</v>
      </c>
      <c r="AD230" s="474">
        <f t="shared" si="158"/>
        <v>6203.3421052631584</v>
      </c>
      <c r="AE230" s="475">
        <v>2.4767304726480992</v>
      </c>
      <c r="AF230" s="507">
        <f t="shared" ref="AF230:AF232" si="161">AE230*S230</f>
        <v>91.639027487979675</v>
      </c>
      <c r="AG230"/>
      <c r="AH230"/>
      <c r="AI230"/>
      <c r="AJ230"/>
    </row>
    <row r="231" spans="1:36" ht="12.75" customHeight="1">
      <c r="A231" s="214" t="s">
        <v>2612</v>
      </c>
      <c r="B231" s="741" t="s">
        <v>3179</v>
      </c>
      <c r="C231" s="742" t="s">
        <v>1080</v>
      </c>
      <c r="D231" s="742" t="s">
        <v>1147</v>
      </c>
      <c r="E231" s="743">
        <v>5</v>
      </c>
      <c r="F231" s="742"/>
      <c r="G231" s="742"/>
      <c r="H231" s="742" t="s">
        <v>445</v>
      </c>
      <c r="I231" s="742" t="s">
        <v>457</v>
      </c>
      <c r="J231" s="743">
        <v>5</v>
      </c>
      <c r="K231" s="742"/>
      <c r="L231" s="742"/>
      <c r="M231" s="742" t="s">
        <v>457</v>
      </c>
      <c r="N231" s="742" t="s">
        <v>449</v>
      </c>
      <c r="O231" s="743">
        <v>5</v>
      </c>
      <c r="P231" s="743" t="s">
        <v>3145</v>
      </c>
      <c r="Q231" s="752">
        <f>R231*(1-Bolts!$E$1157)</f>
        <v>130.05263157894737</v>
      </c>
      <c r="R231" s="752">
        <v>130.05263157894737</v>
      </c>
      <c r="S231" s="464">
        <f t="shared" si="160"/>
        <v>0</v>
      </c>
      <c r="T231" s="465">
        <v>0</v>
      </c>
      <c r="U231" s="466">
        <v>0</v>
      </c>
      <c r="V231" s="467">
        <v>0</v>
      </c>
      <c r="W231" s="468">
        <v>0</v>
      </c>
      <c r="X231" s="469">
        <v>0</v>
      </c>
      <c r="Y231" s="470">
        <v>0</v>
      </c>
      <c r="Z231" s="471">
        <v>0</v>
      </c>
      <c r="AA231" s="472">
        <v>0</v>
      </c>
      <c r="AB231" s="473">
        <v>0</v>
      </c>
      <c r="AC231" s="464">
        <f t="shared" si="157"/>
        <v>0</v>
      </c>
      <c r="AD231" s="474">
        <f t="shared" si="158"/>
        <v>0</v>
      </c>
      <c r="AE231" s="475">
        <v>1.8486800326589856</v>
      </c>
      <c r="AF231" s="507">
        <f t="shared" si="161"/>
        <v>0</v>
      </c>
      <c r="AG231"/>
      <c r="AH231"/>
      <c r="AI231"/>
      <c r="AJ231"/>
    </row>
    <row r="232" spans="1:36" ht="12.75" customHeight="1">
      <c r="A232" s="214"/>
      <c r="B232" s="745" t="s">
        <v>173</v>
      </c>
      <c r="C232" s="742" t="s">
        <v>1080</v>
      </c>
      <c r="D232" s="742" t="s">
        <v>1147</v>
      </c>
      <c r="E232" s="743">
        <v>10</v>
      </c>
      <c r="F232" s="742"/>
      <c r="G232" s="742"/>
      <c r="H232" s="742" t="s">
        <v>445</v>
      </c>
      <c r="I232" s="742" t="s">
        <v>457</v>
      </c>
      <c r="J232" s="743">
        <v>10</v>
      </c>
      <c r="K232" s="742"/>
      <c r="L232" s="742"/>
      <c r="M232" s="742" t="s">
        <v>457</v>
      </c>
      <c r="N232" s="742" t="s">
        <v>449</v>
      </c>
      <c r="O232" s="743">
        <v>10</v>
      </c>
      <c r="P232" s="743" t="s">
        <v>3122</v>
      </c>
      <c r="Q232" s="752">
        <f>R232*(1-Bolts!$E$1157)</f>
        <v>254.13157894736841</v>
      </c>
      <c r="R232" s="752">
        <v>254.13157894736841</v>
      </c>
      <c r="S232" s="464">
        <f t="shared" si="160"/>
        <v>0</v>
      </c>
      <c r="T232" s="465">
        <v>0</v>
      </c>
      <c r="U232" s="466">
        <v>0</v>
      </c>
      <c r="V232" s="467">
        <v>0</v>
      </c>
      <c r="W232" s="468">
        <v>0</v>
      </c>
      <c r="X232" s="469">
        <v>0</v>
      </c>
      <c r="Y232" s="470">
        <v>0</v>
      </c>
      <c r="Z232" s="471">
        <v>0</v>
      </c>
      <c r="AA232" s="472">
        <v>0</v>
      </c>
      <c r="AB232" s="473">
        <v>0</v>
      </c>
      <c r="AC232" s="464">
        <f t="shared" si="157"/>
        <v>0</v>
      </c>
      <c r="AD232" s="474">
        <f t="shared" si="158"/>
        <v>0</v>
      </c>
      <c r="AE232" s="475">
        <v>3.5356527261181161</v>
      </c>
      <c r="AF232" s="507">
        <f t="shared" si="161"/>
        <v>0</v>
      </c>
      <c r="AG232"/>
      <c r="AH232"/>
      <c r="AI232"/>
      <c r="AJ232"/>
    </row>
    <row r="233" spans="1:36" ht="12.75" customHeight="1">
      <c r="A233" s="48"/>
      <c r="B233" s="705"/>
      <c r="C233" s="476"/>
      <c r="D233" s="476"/>
      <c r="E233" s="478"/>
      <c r="F233" s="476"/>
      <c r="G233" s="476"/>
      <c r="H233" s="476"/>
      <c r="I233" s="477"/>
      <c r="J233" s="478"/>
      <c r="K233" s="476"/>
      <c r="L233" s="476"/>
      <c r="M233" s="477"/>
      <c r="N233" s="477"/>
      <c r="O233" s="478"/>
      <c r="P233" s="478"/>
      <c r="Q233" s="753"/>
      <c r="R233" s="752">
        <v>0</v>
      </c>
      <c r="S233" s="479"/>
      <c r="T233" s="465">
        <v>0</v>
      </c>
      <c r="U233" s="466">
        <v>0</v>
      </c>
      <c r="V233" s="467">
        <v>0</v>
      </c>
      <c r="W233" s="468">
        <v>0</v>
      </c>
      <c r="X233" s="469">
        <v>0</v>
      </c>
      <c r="Y233" s="470">
        <v>0</v>
      </c>
      <c r="Z233" s="471">
        <v>0</v>
      </c>
      <c r="AA233" s="472">
        <v>0</v>
      </c>
      <c r="AB233" s="473">
        <v>0</v>
      </c>
      <c r="AC233" s="479"/>
      <c r="AD233" s="488"/>
      <c r="AE233" s="489">
        <v>0</v>
      </c>
      <c r="AF233" s="508"/>
      <c r="AG233"/>
      <c r="AH233"/>
      <c r="AI233"/>
    </row>
    <row r="234" spans="1:36" ht="12.75" customHeight="1">
      <c r="A234" s="48"/>
      <c r="B234" s="707" t="s">
        <v>1698</v>
      </c>
      <c r="C234" s="461" t="s">
        <v>1080</v>
      </c>
      <c r="D234" s="461" t="s">
        <v>452</v>
      </c>
      <c r="E234" s="462">
        <v>11</v>
      </c>
      <c r="F234" s="461"/>
      <c r="G234" s="461"/>
      <c r="H234" s="461" t="s">
        <v>445</v>
      </c>
      <c r="I234" s="523" t="s">
        <v>455</v>
      </c>
      <c r="J234" s="462">
        <v>11</v>
      </c>
      <c r="K234" s="461"/>
      <c r="L234" s="461"/>
      <c r="M234" s="523" t="s">
        <v>455</v>
      </c>
      <c r="N234" s="523" t="s">
        <v>452</v>
      </c>
      <c r="O234" s="462">
        <v>11</v>
      </c>
      <c r="P234" s="462" t="s">
        <v>1693</v>
      </c>
      <c r="Q234" s="752">
        <f>R234*(1-Bolts!$E$1157)</f>
        <v>115.47368421052632</v>
      </c>
      <c r="R234" s="752">
        <v>115.47368421052632</v>
      </c>
      <c r="S234" s="464">
        <f t="shared" ref="S234:S236" si="162">SUM(T234:AB234)</f>
        <v>41</v>
      </c>
      <c r="T234" s="465">
        <v>7</v>
      </c>
      <c r="U234" s="466">
        <v>0</v>
      </c>
      <c r="V234" s="467">
        <v>7</v>
      </c>
      <c r="W234" s="468">
        <v>5</v>
      </c>
      <c r="X234" s="469">
        <v>5</v>
      </c>
      <c r="Y234" s="470">
        <v>5</v>
      </c>
      <c r="Z234" s="471">
        <v>0</v>
      </c>
      <c r="AA234" s="472">
        <v>10</v>
      </c>
      <c r="AB234" s="473">
        <v>2</v>
      </c>
      <c r="AC234" s="464">
        <f>S234*O234</f>
        <v>451</v>
      </c>
      <c r="AD234" s="474">
        <f>S234*R234</f>
        <v>4734.4210526315792</v>
      </c>
      <c r="AE234" s="475">
        <v>2.2829999999999999</v>
      </c>
      <c r="AF234" s="507">
        <f t="shared" ref="AF234:AF236" si="163">AE234*S234</f>
        <v>93.602999999999994</v>
      </c>
      <c r="AG234"/>
      <c r="AH234"/>
      <c r="AI234"/>
    </row>
    <row r="235" spans="1:36" ht="12.75" customHeight="1">
      <c r="A235" s="214" t="s">
        <v>2612</v>
      </c>
      <c r="B235" s="704" t="s">
        <v>3034</v>
      </c>
      <c r="C235" s="644" t="s">
        <v>1080</v>
      </c>
      <c r="D235" s="644" t="s">
        <v>452</v>
      </c>
      <c r="E235" s="645">
        <v>10</v>
      </c>
      <c r="F235" s="644"/>
      <c r="G235" s="644"/>
      <c r="H235" s="644" t="s">
        <v>445</v>
      </c>
      <c r="I235" s="644" t="s">
        <v>457</v>
      </c>
      <c r="J235" s="645">
        <v>10</v>
      </c>
      <c r="K235" s="644"/>
      <c r="L235" s="644"/>
      <c r="M235" s="644" t="s">
        <v>457</v>
      </c>
      <c r="N235" s="644" t="s">
        <v>449</v>
      </c>
      <c r="O235" s="645">
        <v>10</v>
      </c>
      <c r="P235" s="645" t="s">
        <v>2841</v>
      </c>
      <c r="Q235" s="752">
        <f>R235*(1-Bolts!$E$1157)</f>
        <v>120.21052631578947</v>
      </c>
      <c r="R235" s="752">
        <v>120.21052631578947</v>
      </c>
      <c r="S235" s="464">
        <f t="shared" si="162"/>
        <v>40</v>
      </c>
      <c r="T235" s="465">
        <v>6</v>
      </c>
      <c r="U235" s="466">
        <v>0</v>
      </c>
      <c r="V235" s="467">
        <v>5</v>
      </c>
      <c r="W235" s="468">
        <v>4</v>
      </c>
      <c r="X235" s="469">
        <v>5</v>
      </c>
      <c r="Y235" s="470">
        <v>5</v>
      </c>
      <c r="Z235" s="471">
        <v>5</v>
      </c>
      <c r="AA235" s="472">
        <v>5</v>
      </c>
      <c r="AB235" s="473">
        <v>5</v>
      </c>
      <c r="AC235" s="464">
        <f>S235*O235</f>
        <v>400</v>
      </c>
      <c r="AD235" s="474">
        <f>S235*R235</f>
        <v>4808.4210526315783</v>
      </c>
      <c r="AE235" s="475">
        <v>2.5904472466660615</v>
      </c>
      <c r="AF235" s="507">
        <f t="shared" si="163"/>
        <v>103.61788986664246</v>
      </c>
      <c r="AG235"/>
      <c r="AH235"/>
      <c r="AI235"/>
      <c r="AJ235"/>
    </row>
    <row r="236" spans="1:36" ht="12.75" customHeight="1">
      <c r="A236" s="214"/>
      <c r="B236" s="706" t="s">
        <v>2865</v>
      </c>
      <c r="C236" s="644" t="s">
        <v>1080</v>
      </c>
      <c r="D236" s="644" t="s">
        <v>452</v>
      </c>
      <c r="E236" s="645">
        <v>10</v>
      </c>
      <c r="F236" s="644"/>
      <c r="G236" s="644"/>
      <c r="H236" s="644" t="s">
        <v>445</v>
      </c>
      <c r="I236" s="644" t="s">
        <v>457</v>
      </c>
      <c r="J236" s="645">
        <v>10</v>
      </c>
      <c r="K236" s="644"/>
      <c r="L236" s="644"/>
      <c r="M236" s="644" t="s">
        <v>457</v>
      </c>
      <c r="N236" s="644" t="s">
        <v>449</v>
      </c>
      <c r="O236" s="645">
        <v>10</v>
      </c>
      <c r="P236" s="645" t="s">
        <v>2845</v>
      </c>
      <c r="Q236" s="752">
        <f>R236*(1-Bolts!$E$1157)</f>
        <v>116.63157894736842</v>
      </c>
      <c r="R236" s="752">
        <v>116.63157894736842</v>
      </c>
      <c r="S236" s="464">
        <f t="shared" si="162"/>
        <v>36</v>
      </c>
      <c r="T236" s="465">
        <v>5</v>
      </c>
      <c r="U236" s="466">
        <v>0</v>
      </c>
      <c r="V236" s="467">
        <v>3</v>
      </c>
      <c r="W236" s="468">
        <v>7</v>
      </c>
      <c r="X236" s="469">
        <v>3</v>
      </c>
      <c r="Y236" s="470">
        <v>4</v>
      </c>
      <c r="Z236" s="471">
        <v>4</v>
      </c>
      <c r="AA236" s="472">
        <v>6</v>
      </c>
      <c r="AB236" s="473">
        <v>4</v>
      </c>
      <c r="AC236" s="464">
        <f>S236*O236</f>
        <v>360</v>
      </c>
      <c r="AD236" s="474">
        <f>S236*R236</f>
        <v>4198.7368421052633</v>
      </c>
      <c r="AE236" s="475">
        <v>2.4944661163022768</v>
      </c>
      <c r="AF236" s="507">
        <f t="shared" si="163"/>
        <v>89.800780186881966</v>
      </c>
      <c r="AG236"/>
      <c r="AH236"/>
      <c r="AI236"/>
      <c r="AJ236"/>
    </row>
    <row r="237" spans="1:36" ht="12.75" customHeight="1">
      <c r="A237" s="214" t="s">
        <v>2612</v>
      </c>
      <c r="B237" s="704" t="s">
        <v>3080</v>
      </c>
      <c r="C237" s="644" t="s">
        <v>1080</v>
      </c>
      <c r="D237" s="644" t="s">
        <v>452</v>
      </c>
      <c r="E237" s="645">
        <v>5</v>
      </c>
      <c r="F237" s="644"/>
      <c r="G237" s="644"/>
      <c r="H237" s="644" t="s">
        <v>445</v>
      </c>
      <c r="I237" s="644" t="s">
        <v>457</v>
      </c>
      <c r="J237" s="645">
        <v>5</v>
      </c>
      <c r="K237" s="644"/>
      <c r="L237" s="644"/>
      <c r="M237" s="644" t="s">
        <v>457</v>
      </c>
      <c r="N237" s="644" t="s">
        <v>449</v>
      </c>
      <c r="O237" s="645">
        <v>5</v>
      </c>
      <c r="P237" s="645" t="s">
        <v>3067</v>
      </c>
      <c r="Q237" s="752">
        <f>R237*(1-Bolts!$E$1157)</f>
        <v>98.184210526315795</v>
      </c>
      <c r="R237" s="752">
        <v>98.184210526315795</v>
      </c>
      <c r="S237" s="464">
        <f t="shared" ref="S237" si="164">SUM(T237:AB237)</f>
        <v>23</v>
      </c>
      <c r="T237" s="465">
        <v>5</v>
      </c>
      <c r="U237" s="466">
        <v>0</v>
      </c>
      <c r="V237" s="467">
        <v>5</v>
      </c>
      <c r="W237" s="468">
        <v>4</v>
      </c>
      <c r="X237" s="469">
        <v>5</v>
      </c>
      <c r="Y237" s="470">
        <v>0</v>
      </c>
      <c r="Z237" s="471">
        <v>0</v>
      </c>
      <c r="AA237" s="472">
        <v>4</v>
      </c>
      <c r="AB237" s="473">
        <v>0</v>
      </c>
      <c r="AC237" s="464">
        <f>S237*O237</f>
        <v>115</v>
      </c>
      <c r="AD237" s="474">
        <f>S237*R237</f>
        <v>2258.2368421052633</v>
      </c>
      <c r="AE237" s="475">
        <v>1.1246484623060873</v>
      </c>
      <c r="AF237" s="507">
        <f t="shared" ref="AF237" si="165">AE237*S237</f>
        <v>25.866914633040007</v>
      </c>
      <c r="AG237"/>
      <c r="AH237"/>
      <c r="AI237"/>
      <c r="AJ237"/>
    </row>
    <row r="238" spans="1:36" ht="12.75" customHeight="1">
      <c r="A238" s="48"/>
      <c r="B238" s="705"/>
      <c r="C238" s="476"/>
      <c r="D238" s="476"/>
      <c r="E238" s="478"/>
      <c r="F238" s="476"/>
      <c r="G238" s="476"/>
      <c r="H238" s="476"/>
      <c r="I238" s="477"/>
      <c r="J238" s="478"/>
      <c r="K238" s="476"/>
      <c r="L238" s="476"/>
      <c r="M238" s="477"/>
      <c r="N238" s="477"/>
      <c r="O238" s="478"/>
      <c r="P238" s="478"/>
      <c r="Q238" s="753"/>
      <c r="R238" s="752">
        <v>0</v>
      </c>
      <c r="S238" s="479"/>
      <c r="T238" s="465">
        <v>0</v>
      </c>
      <c r="U238" s="466">
        <v>0</v>
      </c>
      <c r="V238" s="467">
        <v>0</v>
      </c>
      <c r="W238" s="468">
        <v>0</v>
      </c>
      <c r="X238" s="469">
        <v>0</v>
      </c>
      <c r="Y238" s="470">
        <v>0</v>
      </c>
      <c r="Z238" s="471">
        <v>0</v>
      </c>
      <c r="AA238" s="472">
        <v>0</v>
      </c>
      <c r="AB238" s="473">
        <v>0</v>
      </c>
      <c r="AC238" s="479"/>
      <c r="AD238" s="488"/>
      <c r="AE238" s="489">
        <v>0</v>
      </c>
      <c r="AF238" s="508"/>
      <c r="AG238"/>
      <c r="AH238"/>
      <c r="AI238"/>
    </row>
    <row r="239" spans="1:36" ht="12.75" customHeight="1">
      <c r="A239" s="48"/>
      <c r="B239" s="707" t="s">
        <v>1699</v>
      </c>
      <c r="C239" s="461" t="s">
        <v>1080</v>
      </c>
      <c r="D239" s="461" t="s">
        <v>1148</v>
      </c>
      <c r="E239" s="462">
        <v>10</v>
      </c>
      <c r="F239" s="461"/>
      <c r="G239" s="461"/>
      <c r="H239" s="461" t="s">
        <v>445</v>
      </c>
      <c r="I239" s="523" t="s">
        <v>455</v>
      </c>
      <c r="J239" s="462">
        <v>10</v>
      </c>
      <c r="K239" s="461"/>
      <c r="L239" s="461"/>
      <c r="M239" s="523" t="s">
        <v>455</v>
      </c>
      <c r="N239" s="523" t="s">
        <v>452</v>
      </c>
      <c r="O239" s="462">
        <v>10</v>
      </c>
      <c r="P239" s="462" t="s">
        <v>1695</v>
      </c>
      <c r="Q239" s="752">
        <f>R239*(1-Bolts!$E$1157)</f>
        <v>86.342105263157904</v>
      </c>
      <c r="R239" s="752">
        <v>86.342105263157904</v>
      </c>
      <c r="S239" s="464">
        <f t="shared" ref="S239:S243" si="166">SUM(T239:AB239)</f>
        <v>35</v>
      </c>
      <c r="T239" s="465">
        <v>6</v>
      </c>
      <c r="U239" s="466">
        <v>0</v>
      </c>
      <c r="V239" s="467">
        <v>5</v>
      </c>
      <c r="W239" s="468">
        <v>0</v>
      </c>
      <c r="X239" s="469">
        <v>8</v>
      </c>
      <c r="Y239" s="470">
        <v>5</v>
      </c>
      <c r="Z239" s="471">
        <v>0</v>
      </c>
      <c r="AA239" s="472">
        <v>9</v>
      </c>
      <c r="AB239" s="473">
        <v>2</v>
      </c>
      <c r="AC239" s="464">
        <f t="shared" ref="AC239:AC245" si="167">S239*O239</f>
        <v>350</v>
      </c>
      <c r="AD239" s="474">
        <f t="shared" ref="AD239:AD245" si="168">S239*R239</f>
        <v>3021.9736842105267</v>
      </c>
      <c r="AE239" s="475">
        <v>1.599</v>
      </c>
      <c r="AF239" s="507">
        <f t="shared" ref="AF239:AF243" si="169">AE239*S239</f>
        <v>55.964999999999996</v>
      </c>
      <c r="AG239"/>
      <c r="AH239"/>
      <c r="AI239"/>
    </row>
    <row r="240" spans="1:36" ht="12.75" customHeight="1">
      <c r="A240" s="48"/>
      <c r="B240" s="707" t="s">
        <v>1027</v>
      </c>
      <c r="C240" s="461" t="s">
        <v>1080</v>
      </c>
      <c r="D240" s="461" t="s">
        <v>1148</v>
      </c>
      <c r="E240" s="462">
        <v>10</v>
      </c>
      <c r="F240" s="461"/>
      <c r="G240" s="461"/>
      <c r="H240" s="461" t="s">
        <v>445</v>
      </c>
      <c r="I240" s="461" t="s">
        <v>455</v>
      </c>
      <c r="J240" s="462">
        <v>10</v>
      </c>
      <c r="K240" s="461"/>
      <c r="L240" s="461"/>
      <c r="M240" s="461" t="s">
        <v>455</v>
      </c>
      <c r="N240" s="461" t="s">
        <v>452</v>
      </c>
      <c r="O240" s="462">
        <v>10</v>
      </c>
      <c r="P240" s="462" t="s">
        <v>1030</v>
      </c>
      <c r="Q240" s="752">
        <f>R240*(1-Bolts!$E$1157)</f>
        <v>95.184210526315795</v>
      </c>
      <c r="R240" s="752">
        <v>95.184210526315795</v>
      </c>
      <c r="S240" s="464">
        <f t="shared" si="166"/>
        <v>52</v>
      </c>
      <c r="T240" s="465">
        <v>7</v>
      </c>
      <c r="U240" s="466">
        <v>5</v>
      </c>
      <c r="V240" s="467">
        <v>5</v>
      </c>
      <c r="W240" s="468">
        <v>5</v>
      </c>
      <c r="X240" s="469">
        <v>8</v>
      </c>
      <c r="Y240" s="470">
        <v>5</v>
      </c>
      <c r="Z240" s="471">
        <v>4</v>
      </c>
      <c r="AA240" s="472">
        <v>10</v>
      </c>
      <c r="AB240" s="473">
        <v>3</v>
      </c>
      <c r="AC240" s="464">
        <f t="shared" si="167"/>
        <v>520</v>
      </c>
      <c r="AD240" s="474">
        <f t="shared" si="168"/>
        <v>4949.5789473684217</v>
      </c>
      <c r="AE240" s="475">
        <v>1.8234600381021497</v>
      </c>
      <c r="AF240" s="507">
        <f t="shared" si="169"/>
        <v>94.819921981311779</v>
      </c>
      <c r="AG240"/>
      <c r="AH240"/>
      <c r="AI240"/>
    </row>
    <row r="241" spans="1:36" ht="12.75" customHeight="1">
      <c r="A241" s="48"/>
      <c r="B241" s="707" t="s">
        <v>1028</v>
      </c>
      <c r="C241" s="461" t="s">
        <v>1080</v>
      </c>
      <c r="D241" s="461" t="s">
        <v>1148</v>
      </c>
      <c r="E241" s="462">
        <v>10</v>
      </c>
      <c r="F241" s="461"/>
      <c r="G241" s="461"/>
      <c r="H241" s="461" t="s">
        <v>445</v>
      </c>
      <c r="I241" s="461" t="s">
        <v>455</v>
      </c>
      <c r="J241" s="462">
        <v>10</v>
      </c>
      <c r="K241" s="461"/>
      <c r="L241" s="461"/>
      <c r="M241" s="461" t="s">
        <v>455</v>
      </c>
      <c r="N241" s="461" t="s">
        <v>451</v>
      </c>
      <c r="O241" s="462">
        <v>10</v>
      </c>
      <c r="P241" s="462" t="s">
        <v>1031</v>
      </c>
      <c r="Q241" s="752">
        <f>R241*(1-Bolts!$E$1157)</f>
        <v>77.78947368421052</v>
      </c>
      <c r="R241" s="752">
        <v>77.78947368421052</v>
      </c>
      <c r="S241" s="464">
        <f t="shared" si="166"/>
        <v>29</v>
      </c>
      <c r="T241" s="465">
        <v>4</v>
      </c>
      <c r="U241" s="466">
        <v>1</v>
      </c>
      <c r="V241" s="467">
        <v>0</v>
      </c>
      <c r="W241" s="468">
        <v>5</v>
      </c>
      <c r="X241" s="469">
        <v>7</v>
      </c>
      <c r="Y241" s="470">
        <v>5</v>
      </c>
      <c r="Z241" s="471">
        <v>0</v>
      </c>
      <c r="AA241" s="472">
        <v>6</v>
      </c>
      <c r="AB241" s="473">
        <v>1</v>
      </c>
      <c r="AC241" s="464">
        <f t="shared" si="167"/>
        <v>290</v>
      </c>
      <c r="AD241" s="474">
        <f t="shared" si="168"/>
        <v>2255.894736842105</v>
      </c>
      <c r="AE241" s="475">
        <v>1.3789349541867004</v>
      </c>
      <c r="AF241" s="507">
        <f t="shared" si="169"/>
        <v>39.989113671414316</v>
      </c>
      <c r="AG241"/>
      <c r="AH241"/>
      <c r="AI241"/>
    </row>
    <row r="242" spans="1:36" ht="12.75" customHeight="1">
      <c r="A242" s="48"/>
      <c r="B242" s="707" t="s">
        <v>1029</v>
      </c>
      <c r="C242" s="461" t="s">
        <v>1080</v>
      </c>
      <c r="D242" s="461" t="s">
        <v>1148</v>
      </c>
      <c r="E242" s="462">
        <v>10</v>
      </c>
      <c r="F242" s="461"/>
      <c r="G242" s="461"/>
      <c r="H242" s="461" t="s">
        <v>445</v>
      </c>
      <c r="I242" s="461" t="s">
        <v>459</v>
      </c>
      <c r="J242" s="462">
        <v>10</v>
      </c>
      <c r="K242" s="461"/>
      <c r="L242" s="461"/>
      <c r="M242" s="461" t="s">
        <v>459</v>
      </c>
      <c r="N242" s="461" t="s">
        <v>451</v>
      </c>
      <c r="O242" s="462">
        <v>10</v>
      </c>
      <c r="P242" s="462" t="s">
        <v>1032</v>
      </c>
      <c r="Q242" s="752">
        <f>R242*(1-Bolts!$E$1157)</f>
        <v>103.28947368421052</v>
      </c>
      <c r="R242" s="752">
        <v>103.28947368421052</v>
      </c>
      <c r="S242" s="464">
        <f t="shared" si="166"/>
        <v>41</v>
      </c>
      <c r="T242" s="465">
        <v>5</v>
      </c>
      <c r="U242" s="466">
        <v>3</v>
      </c>
      <c r="V242" s="467">
        <v>1</v>
      </c>
      <c r="W242" s="468">
        <v>7</v>
      </c>
      <c r="X242" s="469">
        <v>6</v>
      </c>
      <c r="Y242" s="470">
        <v>5</v>
      </c>
      <c r="Z242" s="471">
        <v>5</v>
      </c>
      <c r="AA242" s="472">
        <v>5</v>
      </c>
      <c r="AB242" s="473">
        <v>4</v>
      </c>
      <c r="AC242" s="464">
        <f t="shared" si="167"/>
        <v>410</v>
      </c>
      <c r="AD242" s="474">
        <f t="shared" si="168"/>
        <v>4234.8684210526317</v>
      </c>
      <c r="AE242" s="475">
        <v>2.0321146693277692</v>
      </c>
      <c r="AF242" s="507">
        <f t="shared" si="169"/>
        <v>83.316701442438543</v>
      </c>
      <c r="AG242"/>
      <c r="AH242"/>
      <c r="AI242"/>
    </row>
    <row r="243" spans="1:36" ht="12.75" customHeight="1">
      <c r="A243" s="214"/>
      <c r="B243" s="706" t="s">
        <v>3073</v>
      </c>
      <c r="C243" s="644" t="s">
        <v>1080</v>
      </c>
      <c r="D243" s="644" t="s">
        <v>1148</v>
      </c>
      <c r="E243" s="645">
        <v>10</v>
      </c>
      <c r="F243" s="644"/>
      <c r="G243" s="644"/>
      <c r="H243" s="644" t="s">
        <v>445</v>
      </c>
      <c r="I243" s="644" t="s">
        <v>455</v>
      </c>
      <c r="J243" s="645">
        <v>10</v>
      </c>
      <c r="K243" s="644"/>
      <c r="L243" s="644"/>
      <c r="M243" s="644" t="s">
        <v>455</v>
      </c>
      <c r="N243" s="644" t="s">
        <v>449</v>
      </c>
      <c r="O243" s="645">
        <v>10</v>
      </c>
      <c r="P243" s="645" t="s">
        <v>3051</v>
      </c>
      <c r="Q243" s="752">
        <f>R243*(1-Bolts!$E$1157)</f>
        <v>79.421052631578945</v>
      </c>
      <c r="R243" s="752">
        <v>79.421052631578945</v>
      </c>
      <c r="S243" s="464">
        <f t="shared" si="166"/>
        <v>10</v>
      </c>
      <c r="T243" s="465">
        <v>0</v>
      </c>
      <c r="U243" s="466">
        <v>0</v>
      </c>
      <c r="V243" s="467">
        <v>0</v>
      </c>
      <c r="W243" s="468">
        <v>5</v>
      </c>
      <c r="X243" s="469">
        <v>5</v>
      </c>
      <c r="Y243" s="470">
        <v>0</v>
      </c>
      <c r="Z243" s="471">
        <v>0</v>
      </c>
      <c r="AA243" s="472">
        <v>0</v>
      </c>
      <c r="AB243" s="473">
        <v>0</v>
      </c>
      <c r="AC243" s="464">
        <f t="shared" si="167"/>
        <v>100</v>
      </c>
      <c r="AD243" s="474">
        <f t="shared" si="168"/>
        <v>794.21052631578948</v>
      </c>
      <c r="AE243" s="475">
        <v>1.4991835253560735</v>
      </c>
      <c r="AF243" s="507">
        <f t="shared" si="169"/>
        <v>14.991835253560735</v>
      </c>
      <c r="AG243"/>
      <c r="AH243"/>
      <c r="AI243"/>
      <c r="AJ243"/>
    </row>
    <row r="244" spans="1:36" ht="12.5" customHeight="1">
      <c r="A244" s="214"/>
      <c r="B244" s="706" t="s">
        <v>3074</v>
      </c>
      <c r="C244" s="644" t="s">
        <v>1080</v>
      </c>
      <c r="D244" s="644" t="s">
        <v>1148</v>
      </c>
      <c r="E244" s="645">
        <v>10</v>
      </c>
      <c r="F244" s="644"/>
      <c r="G244" s="644"/>
      <c r="H244" s="644" t="s">
        <v>445</v>
      </c>
      <c r="I244" s="644" t="s">
        <v>455</v>
      </c>
      <c r="J244" s="645">
        <v>10</v>
      </c>
      <c r="K244" s="644"/>
      <c r="L244" s="644"/>
      <c r="M244" s="644" t="s">
        <v>455</v>
      </c>
      <c r="N244" s="644" t="s">
        <v>449</v>
      </c>
      <c r="O244" s="645">
        <v>10</v>
      </c>
      <c r="P244" s="645" t="s">
        <v>3053</v>
      </c>
      <c r="Q244" s="752">
        <f>R244*(1-Bolts!$E$1157)</f>
        <v>78.026315789473685</v>
      </c>
      <c r="R244" s="752">
        <v>78.026315789473685</v>
      </c>
      <c r="S244" s="464">
        <f t="shared" ref="S244" si="170">SUM(T244:AB244)</f>
        <v>15</v>
      </c>
      <c r="T244" s="465">
        <v>0</v>
      </c>
      <c r="U244" s="466">
        <v>0</v>
      </c>
      <c r="V244" s="467">
        <v>5</v>
      </c>
      <c r="W244" s="468">
        <v>5</v>
      </c>
      <c r="X244" s="469">
        <v>5</v>
      </c>
      <c r="Y244" s="470">
        <v>0</v>
      </c>
      <c r="Z244" s="471">
        <v>0</v>
      </c>
      <c r="AA244" s="472">
        <v>0</v>
      </c>
      <c r="AB244" s="473">
        <v>0</v>
      </c>
      <c r="AC244" s="464">
        <f t="shared" si="167"/>
        <v>150</v>
      </c>
      <c r="AD244" s="474">
        <f t="shared" si="168"/>
        <v>1170.3947368421052</v>
      </c>
      <c r="AE244" s="475">
        <v>1.46266896489159</v>
      </c>
      <c r="AF244" s="507">
        <f t="shared" ref="AF244" si="171">AE244*S244</f>
        <v>21.940034473373849</v>
      </c>
      <c r="AG244"/>
      <c r="AH244"/>
      <c r="AI244"/>
      <c r="AJ244"/>
    </row>
    <row r="245" spans="1:36" ht="12.5" customHeight="1">
      <c r="A245" s="214"/>
      <c r="B245" s="706" t="s">
        <v>3075</v>
      </c>
      <c r="C245" s="644" t="s">
        <v>1080</v>
      </c>
      <c r="D245" s="644" t="s">
        <v>1148</v>
      </c>
      <c r="E245" s="645">
        <v>10</v>
      </c>
      <c r="F245" s="644"/>
      <c r="G245" s="644"/>
      <c r="H245" s="644" t="s">
        <v>445</v>
      </c>
      <c r="I245" s="644" t="s">
        <v>455</v>
      </c>
      <c r="J245" s="645">
        <v>10</v>
      </c>
      <c r="K245" s="644"/>
      <c r="L245" s="644"/>
      <c r="M245" s="644" t="s">
        <v>455</v>
      </c>
      <c r="N245" s="644" t="s">
        <v>449</v>
      </c>
      <c r="O245" s="645">
        <v>10</v>
      </c>
      <c r="P245" s="645" t="s">
        <v>3055</v>
      </c>
      <c r="Q245" s="752">
        <f>R245*(1-Bolts!$E$1157)</f>
        <v>95.34210526315789</v>
      </c>
      <c r="R245" s="752">
        <v>95.34210526315789</v>
      </c>
      <c r="S245" s="464">
        <f t="shared" ref="S245:S246" si="172">SUM(T245:AB245)</f>
        <v>9</v>
      </c>
      <c r="T245" s="465">
        <v>0</v>
      </c>
      <c r="U245" s="466">
        <v>0</v>
      </c>
      <c r="V245" s="467">
        <v>0</v>
      </c>
      <c r="W245" s="468">
        <v>5</v>
      </c>
      <c r="X245" s="469">
        <v>4</v>
      </c>
      <c r="Y245" s="470">
        <v>0</v>
      </c>
      <c r="Z245" s="471">
        <v>0</v>
      </c>
      <c r="AA245" s="472">
        <v>0</v>
      </c>
      <c r="AB245" s="473">
        <v>0</v>
      </c>
      <c r="AC245" s="464">
        <f t="shared" si="167"/>
        <v>90</v>
      </c>
      <c r="AD245" s="474">
        <f t="shared" si="168"/>
        <v>858.07894736842104</v>
      </c>
      <c r="AE245" s="475">
        <v>1.9248389730563367</v>
      </c>
      <c r="AF245" s="507">
        <f t="shared" ref="AF245:AF246" si="173">AE245*S245</f>
        <v>17.323550757507029</v>
      </c>
      <c r="AG245"/>
      <c r="AH245"/>
      <c r="AI245"/>
      <c r="AJ245"/>
    </row>
    <row r="246" spans="1:36" ht="12.75" customHeight="1">
      <c r="A246" s="214" t="s">
        <v>2612</v>
      </c>
      <c r="B246" s="741" t="s">
        <v>3168</v>
      </c>
      <c r="C246" s="742" t="s">
        <v>1080</v>
      </c>
      <c r="D246" s="742" t="s">
        <v>1148</v>
      </c>
      <c r="E246" s="743">
        <v>10</v>
      </c>
      <c r="F246" s="742"/>
      <c r="G246" s="742"/>
      <c r="H246" s="742" t="s">
        <v>445</v>
      </c>
      <c r="I246" s="742" t="s">
        <v>455</v>
      </c>
      <c r="J246" s="743">
        <v>10</v>
      </c>
      <c r="K246" s="742"/>
      <c r="L246" s="742"/>
      <c r="M246" s="742" t="s">
        <v>455</v>
      </c>
      <c r="N246" s="742" t="s">
        <v>449</v>
      </c>
      <c r="O246" s="743">
        <v>10</v>
      </c>
      <c r="P246" s="743" t="s">
        <v>3147</v>
      </c>
      <c r="Q246" s="752">
        <f>R246*(1-Bolts!$E$1157)</f>
        <v>96.921052631578945</v>
      </c>
      <c r="R246" s="752">
        <v>96.921052631578945</v>
      </c>
      <c r="S246" s="464">
        <f t="shared" si="172"/>
        <v>0</v>
      </c>
      <c r="T246" s="465">
        <v>0</v>
      </c>
      <c r="U246" s="466">
        <v>0</v>
      </c>
      <c r="V246" s="467">
        <v>0</v>
      </c>
      <c r="W246" s="468">
        <v>0</v>
      </c>
      <c r="X246" s="469">
        <v>0</v>
      </c>
      <c r="Y246" s="470">
        <v>0</v>
      </c>
      <c r="Z246" s="471">
        <v>0</v>
      </c>
      <c r="AA246" s="472">
        <v>0</v>
      </c>
      <c r="AB246" s="473">
        <v>0</v>
      </c>
      <c r="AC246" s="464">
        <f>S246*O246</f>
        <v>0</v>
      </c>
      <c r="AD246" s="474">
        <f>S246*R246</f>
        <v>0</v>
      </c>
      <c r="AE246" s="475">
        <v>1.9676131724575885</v>
      </c>
      <c r="AF246" s="507">
        <f t="shared" si="173"/>
        <v>0</v>
      </c>
      <c r="AG246"/>
      <c r="AH246"/>
      <c r="AI246"/>
      <c r="AJ246"/>
    </row>
    <row r="247" spans="1:36" ht="12.75" customHeight="1">
      <c r="A247" s="214" t="s">
        <v>2612</v>
      </c>
      <c r="B247" s="741" t="s">
        <v>3169</v>
      </c>
      <c r="C247" s="742" t="s">
        <v>1080</v>
      </c>
      <c r="D247" s="742" t="s">
        <v>1148</v>
      </c>
      <c r="E247" s="743">
        <v>10</v>
      </c>
      <c r="F247" s="742"/>
      <c r="G247" s="742"/>
      <c r="H247" s="742" t="s">
        <v>445</v>
      </c>
      <c r="I247" s="742" t="s">
        <v>455</v>
      </c>
      <c r="J247" s="743">
        <v>10</v>
      </c>
      <c r="K247" s="742"/>
      <c r="L247" s="742"/>
      <c r="M247" s="742" t="s">
        <v>455</v>
      </c>
      <c r="N247" s="742" t="s">
        <v>449</v>
      </c>
      <c r="O247" s="743">
        <v>10</v>
      </c>
      <c r="P247" s="743" t="s">
        <v>3148</v>
      </c>
      <c r="Q247" s="752">
        <f>R247*(1-Bolts!$E$1157)</f>
        <v>125.28947368421052</v>
      </c>
      <c r="R247" s="752">
        <v>125.28947368421052</v>
      </c>
      <c r="S247" s="464">
        <f t="shared" ref="S247:S248" si="174">SUM(T247:AB247)</f>
        <v>0</v>
      </c>
      <c r="T247" s="465">
        <v>0</v>
      </c>
      <c r="U247" s="466">
        <v>0</v>
      </c>
      <c r="V247" s="467">
        <v>0</v>
      </c>
      <c r="W247" s="468">
        <v>0</v>
      </c>
      <c r="X247" s="469">
        <v>0</v>
      </c>
      <c r="Y247" s="470">
        <v>0</v>
      </c>
      <c r="Z247" s="471">
        <v>0</v>
      </c>
      <c r="AA247" s="472">
        <v>0</v>
      </c>
      <c r="AB247" s="473">
        <v>0</v>
      </c>
      <c r="AC247" s="464">
        <f>S247*O247</f>
        <v>0</v>
      </c>
      <c r="AD247" s="474">
        <f>S247*R247</f>
        <v>0</v>
      </c>
      <c r="AE247" s="475">
        <v>2.7250294838065861</v>
      </c>
      <c r="AF247" s="507">
        <f t="shared" ref="AF247:AF248" si="175">AE247*S247</f>
        <v>0</v>
      </c>
      <c r="AG247"/>
      <c r="AH247"/>
      <c r="AI247"/>
      <c r="AJ247"/>
    </row>
    <row r="248" spans="1:36" ht="12.75" customHeight="1">
      <c r="A248" s="214" t="s">
        <v>2612</v>
      </c>
      <c r="B248" s="741" t="s">
        <v>3177</v>
      </c>
      <c r="C248" s="742" t="s">
        <v>1080</v>
      </c>
      <c r="D248" s="742" t="s">
        <v>1148</v>
      </c>
      <c r="E248" s="743">
        <v>10</v>
      </c>
      <c r="F248" s="742"/>
      <c r="G248" s="742"/>
      <c r="H248" s="742" t="s">
        <v>445</v>
      </c>
      <c r="I248" s="742" t="s">
        <v>455</v>
      </c>
      <c r="J248" s="743">
        <v>10</v>
      </c>
      <c r="K248" s="742"/>
      <c r="L248" s="742"/>
      <c r="M248" s="742" t="s">
        <v>455</v>
      </c>
      <c r="N248" s="742" t="s">
        <v>449</v>
      </c>
      <c r="O248" s="743">
        <v>10</v>
      </c>
      <c r="P248" s="743" t="s">
        <v>3146</v>
      </c>
      <c r="Q248" s="752">
        <f>R248*(1-Bolts!$E$1157)</f>
        <v>105.50000000000001</v>
      </c>
      <c r="R248" s="752">
        <v>105.50000000000001</v>
      </c>
      <c r="S248" s="464">
        <f t="shared" si="174"/>
        <v>0</v>
      </c>
      <c r="T248" s="465">
        <v>0</v>
      </c>
      <c r="U248" s="466">
        <v>0</v>
      </c>
      <c r="V248" s="467">
        <v>0</v>
      </c>
      <c r="W248" s="468">
        <v>0</v>
      </c>
      <c r="X248" s="469">
        <v>0</v>
      </c>
      <c r="Y248" s="470">
        <v>0</v>
      </c>
      <c r="Z248" s="471">
        <v>0</v>
      </c>
      <c r="AA248" s="472">
        <v>0</v>
      </c>
      <c r="AB248" s="473">
        <v>0</v>
      </c>
      <c r="AC248" s="464">
        <f>S248*O248</f>
        <v>0</v>
      </c>
      <c r="AD248" s="474">
        <f>S248*R248</f>
        <v>0</v>
      </c>
      <c r="AE248" s="475">
        <v>2.1960899936496414</v>
      </c>
      <c r="AF248" s="507">
        <f t="shared" si="175"/>
        <v>0</v>
      </c>
      <c r="AG248"/>
      <c r="AH248"/>
      <c r="AI248"/>
      <c r="AJ248"/>
    </row>
    <row r="249" spans="1:36" ht="12.75" customHeight="1">
      <c r="A249" s="48"/>
      <c r="B249" s="707"/>
      <c r="C249" s="461"/>
      <c r="D249" s="461"/>
      <c r="E249" s="462"/>
      <c r="F249" s="461"/>
      <c r="G249" s="461"/>
      <c r="H249" s="461"/>
      <c r="I249" s="461"/>
      <c r="J249" s="462"/>
      <c r="K249" s="461"/>
      <c r="L249" s="461"/>
      <c r="M249" s="461"/>
      <c r="N249" s="461"/>
      <c r="O249" s="462"/>
      <c r="P249" s="462"/>
      <c r="Q249" s="752"/>
      <c r="R249" s="752">
        <v>0</v>
      </c>
      <c r="S249" s="464"/>
      <c r="T249" s="465">
        <v>0</v>
      </c>
      <c r="U249" s="466">
        <v>0</v>
      </c>
      <c r="V249" s="467">
        <v>0</v>
      </c>
      <c r="W249" s="468">
        <v>0</v>
      </c>
      <c r="X249" s="469">
        <v>0</v>
      </c>
      <c r="Y249" s="470">
        <v>0</v>
      </c>
      <c r="Z249" s="471">
        <v>0</v>
      </c>
      <c r="AA249" s="472">
        <v>0</v>
      </c>
      <c r="AB249" s="473">
        <v>0</v>
      </c>
      <c r="AC249" s="464"/>
      <c r="AD249" s="474"/>
      <c r="AE249" s="475">
        <v>0</v>
      </c>
      <c r="AF249" s="507"/>
      <c r="AG249"/>
      <c r="AH249"/>
      <c r="AI249"/>
    </row>
    <row r="250" spans="1:36" ht="12.75" customHeight="1">
      <c r="A250" s="214"/>
      <c r="B250" s="745" t="s">
        <v>3129</v>
      </c>
      <c r="C250" s="742" t="s">
        <v>1080</v>
      </c>
      <c r="D250" s="742" t="s">
        <v>1152</v>
      </c>
      <c r="E250" s="743">
        <v>5</v>
      </c>
      <c r="F250" s="742"/>
      <c r="G250" s="742"/>
      <c r="H250" s="742" t="s">
        <v>445</v>
      </c>
      <c r="I250" s="742" t="s">
        <v>454</v>
      </c>
      <c r="J250" s="743">
        <v>10</v>
      </c>
      <c r="K250" s="742"/>
      <c r="L250" s="742"/>
      <c r="M250" s="742" t="s">
        <v>454</v>
      </c>
      <c r="N250" s="742" t="s">
        <v>449</v>
      </c>
      <c r="O250" s="743">
        <v>10</v>
      </c>
      <c r="P250" s="743" t="s">
        <v>3042</v>
      </c>
      <c r="Q250" s="752">
        <f>R250*(1-Bolts!$E$1157)</f>
        <v>72.60526315789474</v>
      </c>
      <c r="R250" s="752">
        <v>72.60526315789474</v>
      </c>
      <c r="S250" s="464">
        <f t="shared" ref="S250" si="176">SUM(T250:AB250)</f>
        <v>0</v>
      </c>
      <c r="T250" s="465">
        <v>0</v>
      </c>
      <c r="U250" s="466">
        <v>0</v>
      </c>
      <c r="V250" s="467">
        <v>0</v>
      </c>
      <c r="W250" s="468">
        <v>0</v>
      </c>
      <c r="X250" s="469">
        <v>0</v>
      </c>
      <c r="Y250" s="470">
        <v>0</v>
      </c>
      <c r="Z250" s="471">
        <v>0</v>
      </c>
      <c r="AA250" s="472">
        <v>0</v>
      </c>
      <c r="AB250" s="473">
        <v>0</v>
      </c>
      <c r="AC250" s="464">
        <f>S250*O250</f>
        <v>0</v>
      </c>
      <c r="AD250" s="474">
        <f>S250*R250</f>
        <v>0</v>
      </c>
      <c r="AE250" s="475">
        <v>1.3166107230336566</v>
      </c>
      <c r="AF250" s="507">
        <f t="shared" ref="AF250" si="177">AE250*S250</f>
        <v>0</v>
      </c>
      <c r="AG250"/>
      <c r="AH250"/>
      <c r="AI250"/>
      <c r="AJ250"/>
    </row>
    <row r="251" spans="1:36" ht="12.75" customHeight="1">
      <c r="A251" s="214"/>
      <c r="B251" s="745" t="s">
        <v>3130</v>
      </c>
      <c r="C251" s="742" t="s">
        <v>1080</v>
      </c>
      <c r="D251" s="742" t="s">
        <v>1152</v>
      </c>
      <c r="E251" s="743">
        <v>5</v>
      </c>
      <c r="F251" s="742"/>
      <c r="G251" s="742"/>
      <c r="H251" s="742" t="s">
        <v>445</v>
      </c>
      <c r="I251" s="742" t="s">
        <v>454</v>
      </c>
      <c r="J251" s="743">
        <v>10</v>
      </c>
      <c r="K251" s="742"/>
      <c r="L251" s="742"/>
      <c r="M251" s="742" t="s">
        <v>454</v>
      </c>
      <c r="N251" s="742" t="s">
        <v>449</v>
      </c>
      <c r="O251" s="743">
        <v>10</v>
      </c>
      <c r="P251" s="743" t="s">
        <v>3044</v>
      </c>
      <c r="Q251" s="752">
        <f>R251*(1-Bolts!$E$1157)</f>
        <v>65.60526315789474</v>
      </c>
      <c r="R251" s="752">
        <v>65.60526315789474</v>
      </c>
      <c r="S251" s="464">
        <f t="shared" ref="S251" si="178">SUM(T251:AB251)</f>
        <v>0</v>
      </c>
      <c r="T251" s="465">
        <v>0</v>
      </c>
      <c r="U251" s="466">
        <v>0</v>
      </c>
      <c r="V251" s="467">
        <v>0</v>
      </c>
      <c r="W251" s="468">
        <v>0</v>
      </c>
      <c r="X251" s="469">
        <v>0</v>
      </c>
      <c r="Y251" s="470">
        <v>0</v>
      </c>
      <c r="Z251" s="471">
        <v>0</v>
      </c>
      <c r="AA251" s="472">
        <v>0</v>
      </c>
      <c r="AB251" s="473">
        <v>0</v>
      </c>
      <c r="AC251" s="464">
        <f>S251*O251</f>
        <v>0</v>
      </c>
      <c r="AD251" s="474">
        <f>S251*R251</f>
        <v>0</v>
      </c>
      <c r="AE251" s="475">
        <v>1.023450966161662</v>
      </c>
      <c r="AF251" s="507">
        <f t="shared" ref="AF251" si="179">AE251*S251</f>
        <v>0</v>
      </c>
      <c r="AG251"/>
      <c r="AH251"/>
      <c r="AI251"/>
      <c r="AJ251"/>
    </row>
    <row r="252" spans="1:36" ht="12.75" customHeight="1">
      <c r="A252" s="214" t="s">
        <v>2612</v>
      </c>
      <c r="B252" s="704" t="s">
        <v>3038</v>
      </c>
      <c r="C252" s="644" t="s">
        <v>1080</v>
      </c>
      <c r="D252" s="644" t="s">
        <v>1152</v>
      </c>
      <c r="E252" s="645">
        <v>10</v>
      </c>
      <c r="F252" s="644"/>
      <c r="G252" s="644"/>
      <c r="H252" s="644" t="s">
        <v>445</v>
      </c>
      <c r="I252" s="644" t="s">
        <v>454</v>
      </c>
      <c r="J252" s="645">
        <v>10</v>
      </c>
      <c r="K252" s="644"/>
      <c r="L252" s="644"/>
      <c r="M252" s="644" t="s">
        <v>454</v>
      </c>
      <c r="N252" s="644" t="s">
        <v>449</v>
      </c>
      <c r="O252" s="645">
        <v>10</v>
      </c>
      <c r="P252" s="645" t="s">
        <v>3039</v>
      </c>
      <c r="Q252" s="752">
        <f>R252*(1-Bolts!$E$1157)</f>
        <v>63.236842105263158</v>
      </c>
      <c r="R252" s="752">
        <v>63.236842105263158</v>
      </c>
      <c r="S252" s="464">
        <f t="shared" ref="S252" si="180">SUM(T252:AB252)</f>
        <v>14</v>
      </c>
      <c r="T252" s="465">
        <v>0</v>
      </c>
      <c r="U252" s="466">
        <v>0</v>
      </c>
      <c r="V252" s="467">
        <v>5</v>
      </c>
      <c r="W252" s="468">
        <v>4</v>
      </c>
      <c r="X252" s="469">
        <v>4</v>
      </c>
      <c r="Y252" s="470">
        <v>0</v>
      </c>
      <c r="Z252" s="471">
        <v>0</v>
      </c>
      <c r="AA252" s="472">
        <v>1</v>
      </c>
      <c r="AB252" s="473">
        <v>0</v>
      </c>
      <c r="AC252" s="464">
        <f>S252*O252</f>
        <v>140</v>
      </c>
      <c r="AD252" s="474">
        <f>S252*R252</f>
        <v>885.31578947368416</v>
      </c>
      <c r="AE252" s="475">
        <v>1.0495327950648641</v>
      </c>
      <c r="AF252" s="507">
        <f t="shared" ref="AF252" si="181">AE252*S252</f>
        <v>14.693459130908098</v>
      </c>
      <c r="AG252"/>
      <c r="AH252"/>
      <c r="AI252"/>
      <c r="AJ252"/>
    </row>
    <row r="253" spans="1:36" ht="12.75" customHeight="1">
      <c r="A253" s="211" t="s">
        <v>2018</v>
      </c>
      <c r="B253" s="710" t="s">
        <v>2023</v>
      </c>
      <c r="C253" s="491" t="str">
        <f>B253</f>
        <v>Winter</v>
      </c>
      <c r="D253" s="491"/>
      <c r="E253" s="491"/>
      <c r="F253" s="491"/>
      <c r="G253" s="491"/>
      <c r="H253" s="491" t="s">
        <v>445</v>
      </c>
      <c r="I253" s="491" t="s">
        <v>1328</v>
      </c>
      <c r="J253" s="491"/>
      <c r="K253" s="491"/>
      <c r="L253" s="491"/>
      <c r="M253" s="491"/>
      <c r="N253" s="491"/>
      <c r="O253" s="491"/>
      <c r="P253" s="491"/>
      <c r="Q253" s="754"/>
      <c r="R253" s="752">
        <v>0</v>
      </c>
      <c r="S253" s="493"/>
      <c r="T253" s="465">
        <v>0</v>
      </c>
      <c r="U253" s="466">
        <v>0</v>
      </c>
      <c r="V253" s="467">
        <v>0</v>
      </c>
      <c r="W253" s="468">
        <v>0</v>
      </c>
      <c r="X253" s="469">
        <v>0</v>
      </c>
      <c r="Y253" s="470">
        <v>0</v>
      </c>
      <c r="Z253" s="471">
        <v>0</v>
      </c>
      <c r="AA253" s="472">
        <v>0</v>
      </c>
      <c r="AB253" s="473">
        <v>0</v>
      </c>
      <c r="AC253" s="493"/>
      <c r="AD253" s="493"/>
      <c r="AE253" s="493">
        <v>0</v>
      </c>
      <c r="AF253" s="509"/>
      <c r="AG253"/>
      <c r="AH253"/>
      <c r="AI253"/>
    </row>
    <row r="254" spans="1:36" ht="12.75" customHeight="1">
      <c r="A254" s="214"/>
      <c r="B254" s="707" t="s">
        <v>1867</v>
      </c>
      <c r="C254" s="461" t="s">
        <v>1080</v>
      </c>
      <c r="D254" s="461" t="s">
        <v>1146</v>
      </c>
      <c r="E254" s="462">
        <v>4</v>
      </c>
      <c r="F254" s="461"/>
      <c r="G254" s="461"/>
      <c r="H254" s="461" t="s">
        <v>445</v>
      </c>
      <c r="I254" s="523" t="s">
        <v>493</v>
      </c>
      <c r="J254" s="462">
        <v>4</v>
      </c>
      <c r="K254" s="461"/>
      <c r="L254" s="461"/>
      <c r="M254" s="523" t="s">
        <v>493</v>
      </c>
      <c r="N254" s="523" t="s">
        <v>452</v>
      </c>
      <c r="O254" s="462">
        <v>4</v>
      </c>
      <c r="P254" s="462" t="s">
        <v>1868</v>
      </c>
      <c r="Q254" s="752">
        <f>R254*(1-Bolts!$E$1157)</f>
        <v>632.47368421052636</v>
      </c>
      <c r="R254" s="752">
        <v>632.47368421052636</v>
      </c>
      <c r="S254" s="464">
        <f t="shared" ref="S254:S264" si="182">SUM(T254:AB254)</f>
        <v>37</v>
      </c>
      <c r="T254" s="465">
        <v>4</v>
      </c>
      <c r="U254" s="466">
        <v>0</v>
      </c>
      <c r="V254" s="467">
        <v>4</v>
      </c>
      <c r="W254" s="468">
        <v>8</v>
      </c>
      <c r="X254" s="469">
        <v>8</v>
      </c>
      <c r="Y254" s="470">
        <v>5</v>
      </c>
      <c r="Z254" s="471">
        <v>0</v>
      </c>
      <c r="AA254" s="472">
        <v>8</v>
      </c>
      <c r="AB254" s="473">
        <v>0</v>
      </c>
      <c r="AC254" s="464">
        <f>S254*O254</f>
        <v>148</v>
      </c>
      <c r="AD254" s="474">
        <f>S254*R254</f>
        <v>23401.526315789477</v>
      </c>
      <c r="AE254" s="475">
        <v>11.72548308083099</v>
      </c>
      <c r="AF254" s="507">
        <f t="shared" ref="AF254:AF264" si="183">AE254*S254</f>
        <v>433.84287399074663</v>
      </c>
      <c r="AG254"/>
      <c r="AH254"/>
      <c r="AI254"/>
    </row>
    <row r="255" spans="1:36" ht="12.75" customHeight="1">
      <c r="A255" s="48"/>
      <c r="B255" s="705"/>
      <c r="C255" s="476"/>
      <c r="D255" s="476"/>
      <c r="E255" s="478"/>
      <c r="F255" s="476"/>
      <c r="G255" s="476"/>
      <c r="H255" s="476"/>
      <c r="I255" s="477"/>
      <c r="J255" s="478"/>
      <c r="K255" s="476"/>
      <c r="L255" s="476"/>
      <c r="M255" s="477"/>
      <c r="N255" s="477"/>
      <c r="O255" s="478"/>
      <c r="P255" s="478"/>
      <c r="Q255" s="753"/>
      <c r="R255" s="752">
        <v>0</v>
      </c>
      <c r="S255" s="479"/>
      <c r="T255" s="465">
        <v>0</v>
      </c>
      <c r="U255" s="466">
        <v>0</v>
      </c>
      <c r="V255" s="467">
        <v>0</v>
      </c>
      <c r="W255" s="468">
        <v>0</v>
      </c>
      <c r="X255" s="469">
        <v>0</v>
      </c>
      <c r="Y255" s="470">
        <v>0</v>
      </c>
      <c r="Z255" s="471">
        <v>0</v>
      </c>
      <c r="AA255" s="472">
        <v>0</v>
      </c>
      <c r="AB255" s="473">
        <v>0</v>
      </c>
      <c r="AC255" s="479"/>
      <c r="AD255" s="488"/>
      <c r="AE255" s="489">
        <v>0</v>
      </c>
      <c r="AF255" s="508"/>
      <c r="AG255"/>
      <c r="AH255"/>
      <c r="AI255"/>
    </row>
    <row r="256" spans="1:36" ht="12.75" customHeight="1">
      <c r="A256" s="214"/>
      <c r="B256" s="707" t="s">
        <v>2618</v>
      </c>
      <c r="C256" s="461" t="s">
        <v>1080</v>
      </c>
      <c r="D256" s="461" t="s">
        <v>1150</v>
      </c>
      <c r="E256" s="462">
        <v>8</v>
      </c>
      <c r="F256" s="461"/>
      <c r="G256" s="461"/>
      <c r="H256" s="461" t="s">
        <v>445</v>
      </c>
      <c r="I256" s="523" t="s">
        <v>457</v>
      </c>
      <c r="J256" s="462">
        <v>4</v>
      </c>
      <c r="K256" s="461" t="s">
        <v>453</v>
      </c>
      <c r="L256" s="461">
        <v>4</v>
      </c>
      <c r="M256" s="523" t="s">
        <v>457</v>
      </c>
      <c r="N256" s="523" t="s">
        <v>449</v>
      </c>
      <c r="O256" s="462">
        <v>8</v>
      </c>
      <c r="P256" s="462" t="s">
        <v>2619</v>
      </c>
      <c r="Q256" s="752">
        <f>R256*(1-Bolts!$E$1157)</f>
        <v>416.34</v>
      </c>
      <c r="R256" s="752">
        <v>416.34</v>
      </c>
      <c r="S256" s="464">
        <f t="shared" ref="S256" si="184">SUM(T256:AB256)</f>
        <v>0</v>
      </c>
      <c r="T256" s="465">
        <v>0</v>
      </c>
      <c r="U256" s="466">
        <v>0</v>
      </c>
      <c r="V256" s="467">
        <v>0</v>
      </c>
      <c r="W256" s="468">
        <v>0</v>
      </c>
      <c r="X256" s="469">
        <v>0</v>
      </c>
      <c r="Y256" s="470">
        <v>0</v>
      </c>
      <c r="Z256" s="471">
        <v>0</v>
      </c>
      <c r="AA256" s="472">
        <v>0</v>
      </c>
      <c r="AB256" s="473">
        <v>0</v>
      </c>
      <c r="AC256" s="464">
        <f>S256*O256</f>
        <v>0</v>
      </c>
      <c r="AD256" s="474">
        <f>S256*R256</f>
        <v>0</v>
      </c>
      <c r="AE256" s="475">
        <v>7.389095527533339</v>
      </c>
      <c r="AF256" s="507">
        <f t="shared" ref="AF256" si="185">AE256*S256</f>
        <v>0</v>
      </c>
      <c r="AG256"/>
      <c r="AH256"/>
      <c r="AI256"/>
    </row>
    <row r="257" spans="1:36" ht="12.75" customHeight="1">
      <c r="A257" s="214"/>
      <c r="B257" s="707" t="s">
        <v>2617</v>
      </c>
      <c r="C257" s="461" t="s">
        <v>1080</v>
      </c>
      <c r="D257" s="461" t="s">
        <v>1150</v>
      </c>
      <c r="E257" s="462">
        <v>4</v>
      </c>
      <c r="F257" s="461"/>
      <c r="G257" s="461"/>
      <c r="H257" s="461" t="s">
        <v>445</v>
      </c>
      <c r="I257" s="523" t="s">
        <v>457</v>
      </c>
      <c r="J257" s="462">
        <v>4</v>
      </c>
      <c r="K257" s="461"/>
      <c r="L257" s="461"/>
      <c r="M257" s="523" t="s">
        <v>457</v>
      </c>
      <c r="N257" s="523" t="s">
        <v>449</v>
      </c>
      <c r="O257" s="462">
        <v>4</v>
      </c>
      <c r="P257" s="462" t="s">
        <v>2616</v>
      </c>
      <c r="Q257" s="752">
        <f>R257*(1-Bolts!$E$1157)</f>
        <v>136.34210526315789</v>
      </c>
      <c r="R257" s="752">
        <v>136.34210526315789</v>
      </c>
      <c r="S257" s="464">
        <f t="shared" si="182"/>
        <v>39</v>
      </c>
      <c r="T257" s="465">
        <v>8</v>
      </c>
      <c r="U257" s="466">
        <v>0</v>
      </c>
      <c r="V257" s="467">
        <v>6</v>
      </c>
      <c r="W257" s="468">
        <v>7</v>
      </c>
      <c r="X257" s="469">
        <v>8</v>
      </c>
      <c r="Y257" s="470">
        <v>5</v>
      </c>
      <c r="Z257" s="471">
        <v>0</v>
      </c>
      <c r="AA257" s="472">
        <v>5</v>
      </c>
      <c r="AB257" s="473">
        <v>0</v>
      </c>
      <c r="AC257" s="464">
        <f>S257*O257</f>
        <v>156</v>
      </c>
      <c r="AD257" s="474">
        <f>S257*R257</f>
        <v>5317.3421052631575</v>
      </c>
      <c r="AE257" s="475">
        <v>2.1215640025401434</v>
      </c>
      <c r="AF257" s="507">
        <f t="shared" si="183"/>
        <v>82.740996099065597</v>
      </c>
      <c r="AG257"/>
      <c r="AH257"/>
      <c r="AI257"/>
    </row>
    <row r="258" spans="1:36" ht="12.75" customHeight="1">
      <c r="A258" s="214"/>
      <c r="B258" s="707" t="s">
        <v>2350</v>
      </c>
      <c r="C258" s="461" t="s">
        <v>1080</v>
      </c>
      <c r="D258" s="461" t="s">
        <v>1150</v>
      </c>
      <c r="E258" s="462">
        <v>4</v>
      </c>
      <c r="F258" s="461"/>
      <c r="G258" s="461"/>
      <c r="H258" s="461" t="s">
        <v>445</v>
      </c>
      <c r="I258" s="523" t="s">
        <v>453</v>
      </c>
      <c r="J258" s="462">
        <v>4</v>
      </c>
      <c r="K258" s="461"/>
      <c r="L258" s="461"/>
      <c r="M258" s="523" t="s">
        <v>453</v>
      </c>
      <c r="N258" s="523" t="s">
        <v>452</v>
      </c>
      <c r="O258" s="462">
        <v>4</v>
      </c>
      <c r="P258" s="462" t="s">
        <v>2615</v>
      </c>
      <c r="Q258" s="752">
        <f>R258*(1-Bolts!$E$1157)</f>
        <v>280</v>
      </c>
      <c r="R258" s="752">
        <v>280</v>
      </c>
      <c r="S258" s="464">
        <f t="shared" ref="S258" si="186">SUM(T258:AB258)</f>
        <v>26</v>
      </c>
      <c r="T258" s="465">
        <v>3</v>
      </c>
      <c r="U258" s="466">
        <v>0</v>
      </c>
      <c r="V258" s="467">
        <v>2</v>
      </c>
      <c r="W258" s="468">
        <v>3</v>
      </c>
      <c r="X258" s="469">
        <v>8</v>
      </c>
      <c r="Y258" s="470">
        <v>5</v>
      </c>
      <c r="Z258" s="471">
        <v>0</v>
      </c>
      <c r="AA258" s="472">
        <v>5</v>
      </c>
      <c r="AB258" s="473">
        <v>0</v>
      </c>
      <c r="AC258" s="464">
        <f>S258*O258</f>
        <v>104</v>
      </c>
      <c r="AD258" s="474">
        <f>S258*R258</f>
        <v>7280</v>
      </c>
      <c r="AE258" s="475">
        <v>5.2679851220175999</v>
      </c>
      <c r="AF258" s="507">
        <f t="shared" ref="AF258" si="187">AE258*S258</f>
        <v>136.96761317245759</v>
      </c>
      <c r="AG258"/>
      <c r="AH258"/>
      <c r="AI258"/>
    </row>
    <row r="259" spans="1:36" ht="12.75" customHeight="1">
      <c r="A259" s="48"/>
      <c r="B259" s="707"/>
      <c r="C259" s="461"/>
      <c r="D259" s="461"/>
      <c r="E259" s="462"/>
      <c r="F259" s="461"/>
      <c r="G259" s="461"/>
      <c r="H259" s="461"/>
      <c r="I259" s="523"/>
      <c r="J259" s="462"/>
      <c r="K259" s="461"/>
      <c r="L259" s="461"/>
      <c r="M259" s="523"/>
      <c r="N259" s="523"/>
      <c r="O259" s="462"/>
      <c r="P259" s="462"/>
      <c r="Q259" s="752"/>
      <c r="R259" s="752">
        <v>0</v>
      </c>
      <c r="S259" s="479"/>
      <c r="T259" s="465">
        <v>0</v>
      </c>
      <c r="U259" s="466">
        <v>0</v>
      </c>
      <c r="V259" s="467">
        <v>0</v>
      </c>
      <c r="W259" s="468">
        <v>0</v>
      </c>
      <c r="X259" s="469">
        <v>0</v>
      </c>
      <c r="Y259" s="470">
        <v>0</v>
      </c>
      <c r="Z259" s="471">
        <v>0</v>
      </c>
      <c r="AA259" s="472">
        <v>0</v>
      </c>
      <c r="AB259" s="473">
        <v>0</v>
      </c>
      <c r="AC259" s="479"/>
      <c r="AD259" s="488"/>
      <c r="AE259" s="489">
        <v>0</v>
      </c>
      <c r="AF259" s="508"/>
      <c r="AG259"/>
      <c r="AH259"/>
      <c r="AI259"/>
    </row>
    <row r="260" spans="1:36" ht="12.75" customHeight="1">
      <c r="A260" s="214"/>
      <c r="B260" s="707" t="s">
        <v>2283</v>
      </c>
      <c r="C260" s="461" t="s">
        <v>1080</v>
      </c>
      <c r="D260" s="461" t="s">
        <v>1151</v>
      </c>
      <c r="E260" s="462">
        <v>6</v>
      </c>
      <c r="F260" s="461"/>
      <c r="G260" s="461"/>
      <c r="H260" s="461" t="s">
        <v>445</v>
      </c>
      <c r="I260" s="523" t="s">
        <v>453</v>
      </c>
      <c r="J260" s="462">
        <v>6</v>
      </c>
      <c r="K260" s="461"/>
      <c r="L260" s="461"/>
      <c r="M260" s="523" t="s">
        <v>453</v>
      </c>
      <c r="N260" s="523" t="s">
        <v>452</v>
      </c>
      <c r="O260" s="462">
        <v>6</v>
      </c>
      <c r="P260" s="462" t="s">
        <v>2284</v>
      </c>
      <c r="Q260" s="752">
        <f>R260*(1-Bolts!$E$1157)</f>
        <v>272.21052631578948</v>
      </c>
      <c r="R260" s="752">
        <v>272.21052631578948</v>
      </c>
      <c r="S260" s="464">
        <f t="shared" si="182"/>
        <v>38</v>
      </c>
      <c r="T260" s="465">
        <v>5</v>
      </c>
      <c r="U260" s="466">
        <v>0</v>
      </c>
      <c r="V260" s="467">
        <v>9</v>
      </c>
      <c r="W260" s="468">
        <v>5</v>
      </c>
      <c r="X260" s="469">
        <v>4</v>
      </c>
      <c r="Y260" s="470">
        <v>5</v>
      </c>
      <c r="Z260" s="471">
        <v>0</v>
      </c>
      <c r="AA260" s="472">
        <v>10</v>
      </c>
      <c r="AB260" s="473">
        <v>0</v>
      </c>
      <c r="AC260" s="464">
        <f>S260*O260</f>
        <v>228</v>
      </c>
      <c r="AD260" s="474">
        <f>S260*R260</f>
        <v>10344</v>
      </c>
      <c r="AE260" s="475">
        <v>4.6719999999999997</v>
      </c>
      <c r="AF260" s="507">
        <f t="shared" si="183"/>
        <v>177.536</v>
      </c>
      <c r="AG260"/>
      <c r="AH260"/>
      <c r="AI260"/>
    </row>
    <row r="261" spans="1:36" ht="12.75" customHeight="1">
      <c r="A261" s="214"/>
      <c r="B261" s="707" t="s">
        <v>2285</v>
      </c>
      <c r="C261" s="461" t="s">
        <v>1080</v>
      </c>
      <c r="D261" s="461" t="s">
        <v>1151</v>
      </c>
      <c r="E261" s="462">
        <v>8</v>
      </c>
      <c r="F261" s="461"/>
      <c r="G261" s="461"/>
      <c r="H261" s="461" t="s">
        <v>445</v>
      </c>
      <c r="I261" s="523" t="s">
        <v>453</v>
      </c>
      <c r="J261" s="462">
        <v>8</v>
      </c>
      <c r="K261" s="461"/>
      <c r="L261" s="461"/>
      <c r="M261" s="523" t="s">
        <v>453</v>
      </c>
      <c r="N261" s="523" t="s">
        <v>452</v>
      </c>
      <c r="O261" s="462">
        <v>8</v>
      </c>
      <c r="P261" s="462" t="s">
        <v>2286</v>
      </c>
      <c r="Q261" s="752">
        <f>R261*(1-Bolts!$E$1157)</f>
        <v>427.57894736842104</v>
      </c>
      <c r="R261" s="752">
        <v>427.57894736842104</v>
      </c>
      <c r="S261" s="464">
        <f t="shared" si="182"/>
        <v>40</v>
      </c>
      <c r="T261" s="465">
        <v>4</v>
      </c>
      <c r="U261" s="466">
        <v>0</v>
      </c>
      <c r="V261" s="467">
        <v>8</v>
      </c>
      <c r="W261" s="468">
        <v>9</v>
      </c>
      <c r="X261" s="469">
        <v>4</v>
      </c>
      <c r="Y261" s="470">
        <v>5</v>
      </c>
      <c r="Z261" s="471">
        <v>0</v>
      </c>
      <c r="AA261" s="472">
        <v>10</v>
      </c>
      <c r="AB261" s="473">
        <v>0</v>
      </c>
      <c r="AC261" s="464">
        <f>S261*O261</f>
        <v>320</v>
      </c>
      <c r="AD261" s="474">
        <f>S261*R261</f>
        <v>17103.15789473684</v>
      </c>
      <c r="AE261" s="475">
        <v>7.6239999999999988</v>
      </c>
      <c r="AF261" s="507">
        <f t="shared" si="183"/>
        <v>304.95999999999992</v>
      </c>
      <c r="AG261"/>
      <c r="AH261"/>
      <c r="AI261"/>
    </row>
    <row r="262" spans="1:36" ht="12.75" customHeight="1">
      <c r="A262" s="48"/>
      <c r="B262" s="707"/>
      <c r="C262" s="461"/>
      <c r="D262" s="461"/>
      <c r="E262" s="462"/>
      <c r="F262" s="461"/>
      <c r="G262" s="461"/>
      <c r="H262" s="461"/>
      <c r="I262" s="523"/>
      <c r="J262" s="462"/>
      <c r="K262" s="461"/>
      <c r="L262" s="461"/>
      <c r="M262" s="523"/>
      <c r="N262" s="523"/>
      <c r="O262" s="462"/>
      <c r="P262" s="462"/>
      <c r="Q262" s="752"/>
      <c r="R262" s="752">
        <v>0</v>
      </c>
      <c r="S262" s="479"/>
      <c r="T262" s="465">
        <v>0</v>
      </c>
      <c r="U262" s="466">
        <v>0</v>
      </c>
      <c r="V262" s="467">
        <v>0</v>
      </c>
      <c r="W262" s="468">
        <v>0</v>
      </c>
      <c r="X262" s="469">
        <v>0</v>
      </c>
      <c r="Y262" s="470">
        <v>0</v>
      </c>
      <c r="Z262" s="471">
        <v>0</v>
      </c>
      <c r="AA262" s="472">
        <v>0</v>
      </c>
      <c r="AB262" s="473">
        <v>0</v>
      </c>
      <c r="AC262" s="479"/>
      <c r="AD262" s="488"/>
      <c r="AE262" s="489">
        <v>0</v>
      </c>
      <c r="AF262" s="508"/>
      <c r="AG262"/>
      <c r="AH262"/>
      <c r="AI262"/>
    </row>
    <row r="263" spans="1:36" ht="12.75" customHeight="1">
      <c r="A263" s="214"/>
      <c r="B263" s="707" t="s">
        <v>2287</v>
      </c>
      <c r="C263" s="461" t="s">
        <v>1080</v>
      </c>
      <c r="D263" s="461" t="s">
        <v>1147</v>
      </c>
      <c r="E263" s="462">
        <v>10</v>
      </c>
      <c r="F263" s="461"/>
      <c r="G263" s="461"/>
      <c r="H263" s="461" t="s">
        <v>445</v>
      </c>
      <c r="I263" s="523" t="s">
        <v>453</v>
      </c>
      <c r="J263" s="462">
        <v>10</v>
      </c>
      <c r="K263" s="461"/>
      <c r="L263" s="461"/>
      <c r="M263" s="523" t="s">
        <v>453</v>
      </c>
      <c r="N263" s="523" t="s">
        <v>452</v>
      </c>
      <c r="O263" s="462">
        <v>10</v>
      </c>
      <c r="P263" s="462" t="s">
        <v>2288</v>
      </c>
      <c r="Q263" s="752">
        <f>R263*(1-Bolts!$E$1157)</f>
        <v>427.9736842105263</v>
      </c>
      <c r="R263" s="752">
        <v>427.9736842105263</v>
      </c>
      <c r="S263" s="464">
        <f t="shared" si="182"/>
        <v>34</v>
      </c>
      <c r="T263" s="465">
        <v>5</v>
      </c>
      <c r="U263" s="466">
        <v>0</v>
      </c>
      <c r="V263" s="467">
        <v>3</v>
      </c>
      <c r="W263" s="468">
        <v>5</v>
      </c>
      <c r="X263" s="469">
        <v>10</v>
      </c>
      <c r="Y263" s="470">
        <v>5</v>
      </c>
      <c r="Z263" s="471">
        <v>0</v>
      </c>
      <c r="AA263" s="472">
        <v>6</v>
      </c>
      <c r="AB263" s="473">
        <v>0</v>
      </c>
      <c r="AC263" s="464">
        <f>S263*O263</f>
        <v>340</v>
      </c>
      <c r="AD263" s="474">
        <f>S263*R263</f>
        <v>14551.105263157895</v>
      </c>
      <c r="AE263" s="475">
        <v>7.1970000000000001</v>
      </c>
      <c r="AF263" s="507">
        <f t="shared" si="183"/>
        <v>244.69800000000001</v>
      </c>
      <c r="AG263"/>
      <c r="AH263"/>
      <c r="AI263"/>
    </row>
    <row r="264" spans="1:36" ht="12.75" customHeight="1">
      <c r="A264" s="214"/>
      <c r="B264" s="707" t="s">
        <v>2816</v>
      </c>
      <c r="C264" s="461" t="s">
        <v>1080</v>
      </c>
      <c r="D264" s="461" t="s">
        <v>1147</v>
      </c>
      <c r="E264" s="462">
        <v>11</v>
      </c>
      <c r="F264" s="461"/>
      <c r="G264" s="461"/>
      <c r="H264" s="461" t="s">
        <v>445</v>
      </c>
      <c r="I264" s="523" t="s">
        <v>453</v>
      </c>
      <c r="J264" s="462">
        <v>11</v>
      </c>
      <c r="K264" s="461"/>
      <c r="L264" s="461"/>
      <c r="M264" s="523" t="s">
        <v>453</v>
      </c>
      <c r="N264" s="523" t="s">
        <v>452</v>
      </c>
      <c r="O264" s="462">
        <v>11</v>
      </c>
      <c r="P264" s="462" t="s">
        <v>2812</v>
      </c>
      <c r="Q264" s="752">
        <f>R264*(1-Bolts!$E$1157)</f>
        <v>388.4210526315789</v>
      </c>
      <c r="R264" s="752">
        <v>388.4210526315789</v>
      </c>
      <c r="S264" s="464">
        <f t="shared" si="182"/>
        <v>0</v>
      </c>
      <c r="T264" s="465">
        <v>0</v>
      </c>
      <c r="U264" s="466">
        <v>0</v>
      </c>
      <c r="V264" s="467">
        <v>0</v>
      </c>
      <c r="W264" s="468">
        <v>0</v>
      </c>
      <c r="X264" s="469">
        <v>0</v>
      </c>
      <c r="Y264" s="470">
        <v>0</v>
      </c>
      <c r="Z264" s="471">
        <v>0</v>
      </c>
      <c r="AA264" s="472">
        <v>0</v>
      </c>
      <c r="AB264" s="473">
        <v>0</v>
      </c>
      <c r="AC264" s="464">
        <f>S264*O264</f>
        <v>0</v>
      </c>
      <c r="AD264" s="474">
        <f>S264*R264</f>
        <v>0</v>
      </c>
      <c r="AE264" s="475">
        <v>5.1133085366959987</v>
      </c>
      <c r="AF264" s="507">
        <f t="shared" si="183"/>
        <v>0</v>
      </c>
      <c r="AG264"/>
      <c r="AH264"/>
      <c r="AI264"/>
      <c r="AJ264"/>
    </row>
    <row r="265" spans="1:36" ht="12.75" customHeight="1">
      <c r="A265" s="214"/>
      <c r="B265" s="707" t="s">
        <v>2817</v>
      </c>
      <c r="C265" s="461" t="s">
        <v>1080</v>
      </c>
      <c r="D265" s="461" t="s">
        <v>1147</v>
      </c>
      <c r="E265" s="462">
        <v>10</v>
      </c>
      <c r="F265" s="461"/>
      <c r="G265" s="461"/>
      <c r="H265" s="461" t="s">
        <v>445</v>
      </c>
      <c r="I265" s="523" t="s">
        <v>459</v>
      </c>
      <c r="J265" s="462">
        <v>10</v>
      </c>
      <c r="K265" s="461"/>
      <c r="L265" s="461"/>
      <c r="M265" s="523" t="s">
        <v>459</v>
      </c>
      <c r="N265" s="523" t="s">
        <v>451</v>
      </c>
      <c r="O265" s="462">
        <v>10</v>
      </c>
      <c r="P265" s="462" t="s">
        <v>2814</v>
      </c>
      <c r="Q265" s="752">
        <f>R265*(1-Bolts!$E$1157)</f>
        <v>326.89473684210526</v>
      </c>
      <c r="R265" s="752">
        <v>326.89473684210526</v>
      </c>
      <c r="S265" s="464">
        <f t="shared" ref="S265:S266" si="188">SUM(T265:AB265)</f>
        <v>65</v>
      </c>
      <c r="T265" s="465">
        <v>9</v>
      </c>
      <c r="U265" s="466">
        <v>0</v>
      </c>
      <c r="V265" s="467">
        <v>9</v>
      </c>
      <c r="W265" s="468">
        <v>10</v>
      </c>
      <c r="X265" s="469">
        <v>10</v>
      </c>
      <c r="Y265" s="470">
        <v>8</v>
      </c>
      <c r="Z265" s="471">
        <v>5</v>
      </c>
      <c r="AA265" s="472">
        <v>8</v>
      </c>
      <c r="AB265" s="473">
        <v>6</v>
      </c>
      <c r="AC265" s="464">
        <f>S265*O265</f>
        <v>650</v>
      </c>
      <c r="AD265" s="474">
        <f>S265*R265</f>
        <v>21248.157894736843</v>
      </c>
      <c r="AE265" s="475">
        <v>4.163294928785267</v>
      </c>
      <c r="AF265" s="507">
        <f t="shared" ref="AF265:AF266" si="189">AE265*S265</f>
        <v>270.61417037104235</v>
      </c>
      <c r="AG265"/>
      <c r="AH265"/>
      <c r="AI265"/>
      <c r="AJ265"/>
    </row>
    <row r="266" spans="1:36" ht="12.75" customHeight="1">
      <c r="A266" s="214"/>
      <c r="B266" s="707" t="s">
        <v>2887</v>
      </c>
      <c r="C266" s="461" t="s">
        <v>1080</v>
      </c>
      <c r="D266" s="461" t="s">
        <v>1147</v>
      </c>
      <c r="E266" s="462">
        <v>10</v>
      </c>
      <c r="F266" s="461"/>
      <c r="G266" s="461"/>
      <c r="H266" s="461" t="s">
        <v>445</v>
      </c>
      <c r="I266" s="523" t="s">
        <v>459</v>
      </c>
      <c r="J266" s="462">
        <v>10</v>
      </c>
      <c r="K266" s="461"/>
      <c r="L266" s="461"/>
      <c r="M266" s="523" t="s">
        <v>459</v>
      </c>
      <c r="N266" s="523" t="s">
        <v>451</v>
      </c>
      <c r="O266" s="462">
        <v>10</v>
      </c>
      <c r="P266" s="462" t="s">
        <v>2882</v>
      </c>
      <c r="Q266" s="752">
        <f>R266*(1-Bolts!$E$1157)</f>
        <v>339.44736842105266</v>
      </c>
      <c r="R266" s="752">
        <v>339.44736842105266</v>
      </c>
      <c r="S266" s="464">
        <f t="shared" si="188"/>
        <v>35</v>
      </c>
      <c r="T266" s="465">
        <v>5</v>
      </c>
      <c r="U266" s="466">
        <v>0</v>
      </c>
      <c r="V266" s="467">
        <v>4</v>
      </c>
      <c r="W266" s="468">
        <v>3</v>
      </c>
      <c r="X266" s="469">
        <v>5</v>
      </c>
      <c r="Y266" s="470">
        <v>4</v>
      </c>
      <c r="Z266" s="471">
        <v>4</v>
      </c>
      <c r="AA266" s="472">
        <v>5</v>
      </c>
      <c r="AB266" s="473">
        <v>5</v>
      </c>
      <c r="AC266" s="464">
        <f>S266*O266</f>
        <v>350</v>
      </c>
      <c r="AD266" s="474">
        <f>S266*R266</f>
        <v>11880.657894736843</v>
      </c>
      <c r="AE266" s="475">
        <v>5.4949197133266807</v>
      </c>
      <c r="AF266" s="507">
        <f t="shared" si="189"/>
        <v>192.32218996643383</v>
      </c>
      <c r="AG266"/>
      <c r="AH266"/>
      <c r="AI266"/>
      <c r="AJ266"/>
    </row>
    <row r="267" spans="1:36" ht="12.75" customHeight="1">
      <c r="A267" s="48"/>
      <c r="B267" s="707"/>
      <c r="C267" s="461"/>
      <c r="D267" s="461"/>
      <c r="E267" s="462"/>
      <c r="F267" s="461"/>
      <c r="G267" s="461"/>
      <c r="H267" s="461"/>
      <c r="I267" s="523"/>
      <c r="J267" s="462"/>
      <c r="K267" s="461"/>
      <c r="L267" s="461"/>
      <c r="M267" s="523"/>
      <c r="N267" s="523"/>
      <c r="O267" s="462"/>
      <c r="P267" s="462"/>
      <c r="Q267" s="752"/>
      <c r="R267" s="752">
        <v>0</v>
      </c>
      <c r="S267" s="479"/>
      <c r="T267" s="465">
        <v>0</v>
      </c>
      <c r="U267" s="466">
        <v>0</v>
      </c>
      <c r="V267" s="467">
        <v>0</v>
      </c>
      <c r="W267" s="468">
        <v>0</v>
      </c>
      <c r="X267" s="469">
        <v>0</v>
      </c>
      <c r="Y267" s="470">
        <v>0</v>
      </c>
      <c r="Z267" s="471">
        <v>0</v>
      </c>
      <c r="AA267" s="472">
        <v>0</v>
      </c>
      <c r="AB267" s="473">
        <v>0</v>
      </c>
      <c r="AC267" s="479"/>
      <c r="AD267" s="488"/>
      <c r="AE267" s="489">
        <v>0</v>
      </c>
      <c r="AF267" s="508"/>
      <c r="AG267"/>
      <c r="AH267"/>
      <c r="AI267"/>
    </row>
    <row r="268" spans="1:36" ht="12.75" customHeight="1">
      <c r="A268" s="214"/>
      <c r="B268" s="707" t="s">
        <v>2621</v>
      </c>
      <c r="C268" s="461" t="s">
        <v>1080</v>
      </c>
      <c r="D268" s="461" t="s">
        <v>452</v>
      </c>
      <c r="E268" s="462">
        <v>20</v>
      </c>
      <c r="F268" s="461"/>
      <c r="G268" s="461"/>
      <c r="H268" s="461" t="s">
        <v>445</v>
      </c>
      <c r="I268" s="523" t="s">
        <v>455</v>
      </c>
      <c r="J268" s="462">
        <v>20</v>
      </c>
      <c r="K268" s="461"/>
      <c r="L268" s="461"/>
      <c r="M268" s="523" t="s">
        <v>455</v>
      </c>
      <c r="N268" s="523" t="s">
        <v>449</v>
      </c>
      <c r="O268" s="462">
        <v>20</v>
      </c>
      <c r="P268" s="462" t="s">
        <v>2623</v>
      </c>
      <c r="Q268" s="752">
        <f>R268*(1-Bolts!$E$1157)</f>
        <v>426.24</v>
      </c>
      <c r="R268" s="752">
        <v>426.24</v>
      </c>
      <c r="S268" s="464">
        <f t="shared" ref="S268" si="190">SUM(T268:AB268)</f>
        <v>0</v>
      </c>
      <c r="T268" s="465">
        <v>0</v>
      </c>
      <c r="U268" s="466">
        <v>0</v>
      </c>
      <c r="V268" s="467">
        <v>0</v>
      </c>
      <c r="W268" s="468">
        <v>0</v>
      </c>
      <c r="X268" s="469">
        <v>0</v>
      </c>
      <c r="Y268" s="470">
        <v>0</v>
      </c>
      <c r="Z268" s="471">
        <v>0</v>
      </c>
      <c r="AA268" s="472">
        <v>0</v>
      </c>
      <c r="AB268" s="473">
        <v>0</v>
      </c>
      <c r="AC268" s="464">
        <f>S268*O268</f>
        <v>0</v>
      </c>
      <c r="AD268" s="474">
        <f>S268*R268</f>
        <v>0</v>
      </c>
      <c r="AE268" s="475">
        <v>7.1441531343554381</v>
      </c>
      <c r="AF268" s="507">
        <f t="shared" ref="AF268" si="191">AE268*S268</f>
        <v>0</v>
      </c>
      <c r="AG268"/>
      <c r="AH268"/>
      <c r="AI268"/>
    </row>
    <row r="269" spans="1:36" ht="12.75" customHeight="1">
      <c r="A269" s="214"/>
      <c r="B269" s="707" t="s">
        <v>2622</v>
      </c>
      <c r="C269" s="461" t="s">
        <v>1080</v>
      </c>
      <c r="D269" s="461" t="s">
        <v>452</v>
      </c>
      <c r="E269" s="462">
        <v>10</v>
      </c>
      <c r="F269" s="461"/>
      <c r="G269" s="461"/>
      <c r="H269" s="461" t="s">
        <v>445</v>
      </c>
      <c r="I269" s="523" t="s">
        <v>455</v>
      </c>
      <c r="J269" s="462">
        <v>10</v>
      </c>
      <c r="K269" s="461"/>
      <c r="L269" s="461"/>
      <c r="M269" s="523" t="s">
        <v>455</v>
      </c>
      <c r="N269" s="523" t="s">
        <v>449</v>
      </c>
      <c r="O269" s="462">
        <v>10</v>
      </c>
      <c r="P269" s="462" t="s">
        <v>2624</v>
      </c>
      <c r="Q269" s="752">
        <f>R269*(1-Bolts!$E$1157)</f>
        <v>260.5263157894737</v>
      </c>
      <c r="R269" s="752">
        <v>260.5263157894737</v>
      </c>
      <c r="S269" s="464">
        <f t="shared" ref="S269:S272" si="192">SUM(T269:AB269)</f>
        <v>27</v>
      </c>
      <c r="T269" s="465">
        <v>4</v>
      </c>
      <c r="U269" s="466">
        <v>0</v>
      </c>
      <c r="V269" s="467">
        <v>2</v>
      </c>
      <c r="W269" s="468">
        <v>5</v>
      </c>
      <c r="X269" s="469">
        <v>5</v>
      </c>
      <c r="Y269" s="470">
        <v>2</v>
      </c>
      <c r="Z269" s="471">
        <v>0</v>
      </c>
      <c r="AA269" s="472">
        <v>9</v>
      </c>
      <c r="AB269" s="473">
        <v>0</v>
      </c>
      <c r="AC269" s="464">
        <f>S269*O269</f>
        <v>270</v>
      </c>
      <c r="AD269" s="474">
        <f>S269*R269</f>
        <v>7034.21052631579</v>
      </c>
      <c r="AE269" s="475">
        <v>3.52063866461036</v>
      </c>
      <c r="AF269" s="507">
        <f t="shared" ref="AF269:AF272" si="193">AE269*S269</f>
        <v>95.057243944479723</v>
      </c>
      <c r="AG269"/>
      <c r="AH269"/>
      <c r="AI269"/>
    </row>
    <row r="270" spans="1:36" ht="12.75" customHeight="1">
      <c r="A270" s="214"/>
      <c r="B270" s="707" t="s">
        <v>2620</v>
      </c>
      <c r="C270" s="461" t="s">
        <v>1080</v>
      </c>
      <c r="D270" s="461" t="s">
        <v>452</v>
      </c>
      <c r="E270" s="462">
        <v>10</v>
      </c>
      <c r="F270" s="461"/>
      <c r="G270" s="461"/>
      <c r="H270" s="461" t="s">
        <v>445</v>
      </c>
      <c r="I270" s="523" t="s">
        <v>456</v>
      </c>
      <c r="J270" s="462">
        <v>10</v>
      </c>
      <c r="K270" s="461"/>
      <c r="L270" s="461"/>
      <c r="M270" s="523" t="s">
        <v>456</v>
      </c>
      <c r="N270" s="523" t="s">
        <v>451</v>
      </c>
      <c r="O270" s="462">
        <v>10</v>
      </c>
      <c r="P270" s="462" t="s">
        <v>2625</v>
      </c>
      <c r="Q270" s="752">
        <f>R270*(1-Bolts!$E$1157)</f>
        <v>165.71052631578948</v>
      </c>
      <c r="R270" s="752">
        <v>165.71052631578948</v>
      </c>
      <c r="S270" s="464">
        <f t="shared" si="192"/>
        <v>50</v>
      </c>
      <c r="T270" s="465">
        <v>9</v>
      </c>
      <c r="U270" s="466">
        <v>0</v>
      </c>
      <c r="V270" s="467">
        <v>8</v>
      </c>
      <c r="W270" s="468">
        <v>10</v>
      </c>
      <c r="X270" s="469">
        <v>8</v>
      </c>
      <c r="Y270" s="470">
        <v>7</v>
      </c>
      <c r="Z270" s="471">
        <v>0</v>
      </c>
      <c r="AA270" s="472">
        <v>7</v>
      </c>
      <c r="AB270" s="473">
        <v>1</v>
      </c>
      <c r="AC270" s="464">
        <f>S270*O270</f>
        <v>500</v>
      </c>
      <c r="AD270" s="474">
        <f>S270*R270</f>
        <v>8285.5263157894733</v>
      </c>
      <c r="AE270" s="475">
        <v>3.624421663793886</v>
      </c>
      <c r="AF270" s="507">
        <f t="shared" si="193"/>
        <v>181.2210831896943</v>
      </c>
      <c r="AG270"/>
      <c r="AH270"/>
      <c r="AI270"/>
    </row>
    <row r="271" spans="1:36" ht="12.5" customHeight="1">
      <c r="A271" s="214"/>
      <c r="B271" s="745" t="s">
        <v>2886</v>
      </c>
      <c r="C271" s="742" t="s">
        <v>1080</v>
      </c>
      <c r="D271" s="742" t="s">
        <v>452</v>
      </c>
      <c r="E271" s="743">
        <v>9</v>
      </c>
      <c r="F271" s="742"/>
      <c r="G271" s="742"/>
      <c r="H271" s="742" t="s">
        <v>445</v>
      </c>
      <c r="I271" s="746" t="s">
        <v>457</v>
      </c>
      <c r="J271" s="743">
        <v>9</v>
      </c>
      <c r="K271" s="742"/>
      <c r="L271" s="742"/>
      <c r="M271" s="746" t="s">
        <v>457</v>
      </c>
      <c r="N271" s="746" t="s">
        <v>449</v>
      </c>
      <c r="O271" s="743">
        <v>9</v>
      </c>
      <c r="P271" s="743" t="s">
        <v>2843</v>
      </c>
      <c r="Q271" s="752">
        <f>R271*(1-Bolts!$E$1157)</f>
        <v>146</v>
      </c>
      <c r="R271" s="752">
        <v>146</v>
      </c>
      <c r="S271" s="464">
        <f t="shared" si="192"/>
        <v>26</v>
      </c>
      <c r="T271" s="465">
        <v>5</v>
      </c>
      <c r="U271" s="466">
        <v>0</v>
      </c>
      <c r="V271" s="467">
        <v>5</v>
      </c>
      <c r="W271" s="468">
        <v>5</v>
      </c>
      <c r="X271" s="469">
        <v>6</v>
      </c>
      <c r="Y271" s="470">
        <v>2</v>
      </c>
      <c r="Z271" s="471">
        <v>0</v>
      </c>
      <c r="AA271" s="472">
        <v>3</v>
      </c>
      <c r="AB271" s="473">
        <v>0</v>
      </c>
      <c r="AC271" s="464">
        <f>S271*O271</f>
        <v>234</v>
      </c>
      <c r="AD271" s="474">
        <f>S271*R271</f>
        <v>3796</v>
      </c>
      <c r="AE271" s="475">
        <v>2.9868910459947378</v>
      </c>
      <c r="AF271" s="507">
        <f t="shared" si="193"/>
        <v>77.659167195863176</v>
      </c>
      <c r="AG271"/>
      <c r="AH271"/>
      <c r="AI271"/>
      <c r="AJ271"/>
    </row>
    <row r="272" spans="1:36" ht="12.75" customHeight="1">
      <c r="A272" s="214" t="s">
        <v>2612</v>
      </c>
      <c r="B272" s="741" t="s">
        <v>3124</v>
      </c>
      <c r="C272" s="742" t="s">
        <v>1080</v>
      </c>
      <c r="D272" s="742" t="s">
        <v>452</v>
      </c>
      <c r="E272" s="743">
        <v>5</v>
      </c>
      <c r="F272" s="742"/>
      <c r="G272" s="742"/>
      <c r="H272" s="742" t="s">
        <v>445</v>
      </c>
      <c r="I272" s="742" t="s">
        <v>457</v>
      </c>
      <c r="J272" s="743">
        <v>5</v>
      </c>
      <c r="K272" s="742"/>
      <c r="L272" s="742"/>
      <c r="M272" s="742" t="s">
        <v>457</v>
      </c>
      <c r="N272" s="742" t="s">
        <v>449</v>
      </c>
      <c r="O272" s="743">
        <v>5</v>
      </c>
      <c r="P272" s="743" t="s">
        <v>3125</v>
      </c>
      <c r="Q272" s="752">
        <f>R272*(1-Bolts!$E$1157)</f>
        <v>96.868421052631589</v>
      </c>
      <c r="R272" s="752">
        <v>96.868421052631589</v>
      </c>
      <c r="S272" s="464">
        <f t="shared" si="192"/>
        <v>0</v>
      </c>
      <c r="T272" s="465">
        <v>0</v>
      </c>
      <c r="U272" s="466">
        <v>0</v>
      </c>
      <c r="V272" s="467">
        <v>0</v>
      </c>
      <c r="W272" s="468">
        <v>0</v>
      </c>
      <c r="X272" s="469">
        <v>0</v>
      </c>
      <c r="Y272" s="470">
        <v>0</v>
      </c>
      <c r="Z272" s="471">
        <v>0</v>
      </c>
      <c r="AA272" s="472">
        <v>0</v>
      </c>
      <c r="AB272" s="473">
        <v>0</v>
      </c>
      <c r="AC272" s="464">
        <f>S272*O272</f>
        <v>0</v>
      </c>
      <c r="AD272" s="474">
        <f>S272*R272</f>
        <v>0</v>
      </c>
      <c r="AE272" s="475">
        <v>1.0954368139345005</v>
      </c>
      <c r="AF272" s="507">
        <f t="shared" si="193"/>
        <v>0</v>
      </c>
      <c r="AG272"/>
      <c r="AH272"/>
      <c r="AI272"/>
      <c r="AJ272"/>
    </row>
    <row r="273" spans="1:36" ht="12.75" customHeight="1">
      <c r="A273" s="214"/>
      <c r="B273" s="707"/>
      <c r="C273" s="461"/>
      <c r="D273" s="461"/>
      <c r="E273" s="462"/>
      <c r="F273" s="461"/>
      <c r="G273" s="461"/>
      <c r="H273" s="461"/>
      <c r="I273" s="523"/>
      <c r="J273" s="462"/>
      <c r="K273" s="461"/>
      <c r="L273" s="461"/>
      <c r="M273" s="523"/>
      <c r="N273" s="523"/>
      <c r="O273" s="462"/>
      <c r="P273" s="462"/>
      <c r="Q273" s="752"/>
      <c r="R273" s="752">
        <v>0</v>
      </c>
      <c r="S273" s="464"/>
      <c r="T273" s="465">
        <v>0</v>
      </c>
      <c r="U273" s="466">
        <v>0</v>
      </c>
      <c r="V273" s="467">
        <v>0</v>
      </c>
      <c r="W273" s="468">
        <v>0</v>
      </c>
      <c r="X273" s="469">
        <v>0</v>
      </c>
      <c r="Y273" s="470">
        <v>0</v>
      </c>
      <c r="Z273" s="471">
        <v>0</v>
      </c>
      <c r="AA273" s="472">
        <v>0</v>
      </c>
      <c r="AB273" s="473">
        <v>0</v>
      </c>
      <c r="AC273" s="464"/>
      <c r="AD273" s="474"/>
      <c r="AE273" s="475">
        <v>0</v>
      </c>
      <c r="AF273" s="507"/>
      <c r="AG273"/>
      <c r="AH273"/>
      <c r="AI273"/>
      <c r="AJ273"/>
    </row>
    <row r="274" spans="1:36" ht="12.75" customHeight="1">
      <c r="A274" s="214" t="s">
        <v>2612</v>
      </c>
      <c r="B274" s="704" t="s">
        <v>3076</v>
      </c>
      <c r="C274" s="644" t="s">
        <v>1080</v>
      </c>
      <c r="D274" s="644" t="s">
        <v>1148</v>
      </c>
      <c r="E274" s="645">
        <v>10</v>
      </c>
      <c r="F274" s="644"/>
      <c r="G274" s="644"/>
      <c r="H274" s="644" t="s">
        <v>445</v>
      </c>
      <c r="I274" s="644" t="s">
        <v>457</v>
      </c>
      <c r="J274" s="645">
        <v>10</v>
      </c>
      <c r="K274" s="644"/>
      <c r="L274" s="644"/>
      <c r="M274" s="644" t="s">
        <v>457</v>
      </c>
      <c r="N274" s="644" t="s">
        <v>449</v>
      </c>
      <c r="O274" s="645">
        <v>10</v>
      </c>
      <c r="P274" s="645" t="s">
        <v>3057</v>
      </c>
      <c r="Q274" s="752">
        <f>R274*(1-Bolts!$E$1157)</f>
        <v>101.89473684210526</v>
      </c>
      <c r="R274" s="752">
        <v>101.89473684210526</v>
      </c>
      <c r="S274" s="464">
        <f t="shared" ref="S274" si="194">SUM(T274:AB274)</f>
        <v>22</v>
      </c>
      <c r="T274" s="465">
        <v>5</v>
      </c>
      <c r="U274" s="466">
        <v>0</v>
      </c>
      <c r="V274" s="467">
        <v>5</v>
      </c>
      <c r="W274" s="468">
        <v>4</v>
      </c>
      <c r="X274" s="469">
        <v>4</v>
      </c>
      <c r="Y274" s="470">
        <v>4</v>
      </c>
      <c r="Z274" s="471">
        <v>0</v>
      </c>
      <c r="AA274" s="472">
        <v>0</v>
      </c>
      <c r="AB274" s="473">
        <v>0</v>
      </c>
      <c r="AC274" s="464">
        <f>S274*O274</f>
        <v>220</v>
      </c>
      <c r="AD274" s="474">
        <f>S274*R274</f>
        <v>2241.6842105263158</v>
      </c>
      <c r="AE274" s="475">
        <v>2.1001088632858562</v>
      </c>
      <c r="AF274" s="507">
        <f t="shared" ref="AF274" si="195">AE274*S274</f>
        <v>46.202394992288838</v>
      </c>
      <c r="AG274"/>
      <c r="AH274"/>
      <c r="AI274"/>
      <c r="AJ274"/>
    </row>
    <row r="275" spans="1:36" ht="12.75" customHeight="1">
      <c r="A275" s="211" t="s">
        <v>2018</v>
      </c>
      <c r="B275" s="710" t="s">
        <v>2029</v>
      </c>
      <c r="C275" s="491" t="str">
        <f>B275</f>
        <v>Smooth Tufa System</v>
      </c>
      <c r="D275" s="491"/>
      <c r="E275" s="491"/>
      <c r="F275" s="491"/>
      <c r="G275" s="491"/>
      <c r="H275" s="491" t="s">
        <v>445</v>
      </c>
      <c r="I275" s="491" t="s">
        <v>1328</v>
      </c>
      <c r="J275" s="491"/>
      <c r="K275" s="491"/>
      <c r="L275" s="491"/>
      <c r="M275" s="491"/>
      <c r="N275" s="491"/>
      <c r="O275" s="491"/>
      <c r="P275" s="491"/>
      <c r="Q275" s="754"/>
      <c r="R275" s="752">
        <v>0</v>
      </c>
      <c r="S275" s="493"/>
      <c r="T275" s="465">
        <v>0</v>
      </c>
      <c r="U275" s="466">
        <v>0</v>
      </c>
      <c r="V275" s="467">
        <v>0</v>
      </c>
      <c r="W275" s="468">
        <v>0</v>
      </c>
      <c r="X275" s="469">
        <v>0</v>
      </c>
      <c r="Y275" s="470">
        <v>0</v>
      </c>
      <c r="Z275" s="471">
        <v>0</v>
      </c>
      <c r="AA275" s="472">
        <v>0</v>
      </c>
      <c r="AB275" s="473">
        <v>0</v>
      </c>
      <c r="AC275" s="493"/>
      <c r="AD275" s="493"/>
      <c r="AE275" s="493">
        <v>0</v>
      </c>
      <c r="AF275" s="509"/>
      <c r="AG275"/>
      <c r="AH275"/>
      <c r="AI275"/>
    </row>
    <row r="276" spans="1:36" ht="12.75" customHeight="1">
      <c r="A276" s="211"/>
      <c r="B276" s="714" t="s">
        <v>2030</v>
      </c>
      <c r="C276" s="491" t="str">
        <f>B276</f>
        <v>Smooth Tufas - Centers  (2-4 connection points)</v>
      </c>
      <c r="D276" s="491"/>
      <c r="E276" s="491"/>
      <c r="F276" s="491"/>
      <c r="G276" s="491"/>
      <c r="H276" s="491"/>
      <c r="I276" s="491"/>
      <c r="J276" s="491"/>
      <c r="K276" s="491"/>
      <c r="L276" s="491"/>
      <c r="M276" s="491"/>
      <c r="N276" s="491"/>
      <c r="O276" s="491"/>
      <c r="P276" s="491"/>
      <c r="Q276" s="754"/>
      <c r="R276" s="752">
        <v>0</v>
      </c>
      <c r="S276" s="493"/>
      <c r="T276" s="465">
        <v>0</v>
      </c>
      <c r="U276" s="466">
        <v>0</v>
      </c>
      <c r="V276" s="467">
        <v>0</v>
      </c>
      <c r="W276" s="468">
        <v>0</v>
      </c>
      <c r="X276" s="469">
        <v>0</v>
      </c>
      <c r="Y276" s="470">
        <v>0</v>
      </c>
      <c r="Z276" s="471">
        <v>0</v>
      </c>
      <c r="AA276" s="472">
        <v>0</v>
      </c>
      <c r="AB276" s="473">
        <v>0</v>
      </c>
      <c r="AC276" s="493"/>
      <c r="AD276" s="493"/>
      <c r="AE276" s="493">
        <v>0</v>
      </c>
      <c r="AF276" s="509"/>
      <c r="AG276"/>
      <c r="AH276"/>
      <c r="AI276"/>
    </row>
    <row r="277" spans="1:36" ht="12.75" customHeight="1">
      <c r="A277" s="214"/>
      <c r="B277" s="707" t="s">
        <v>1664</v>
      </c>
      <c r="C277" s="461" t="s">
        <v>1080</v>
      </c>
      <c r="D277" s="461" t="s">
        <v>1151</v>
      </c>
      <c r="E277" s="462">
        <v>1</v>
      </c>
      <c r="F277" s="461"/>
      <c r="G277" s="461"/>
      <c r="H277" s="461" t="s">
        <v>445</v>
      </c>
      <c r="I277" s="523" t="s">
        <v>459</v>
      </c>
      <c r="J277" s="462">
        <v>1</v>
      </c>
      <c r="K277" s="461"/>
      <c r="L277" s="461"/>
      <c r="M277" s="523" t="s">
        <v>459</v>
      </c>
      <c r="N277" s="523" t="s">
        <v>451</v>
      </c>
      <c r="O277" s="462">
        <v>1</v>
      </c>
      <c r="P277" s="462" t="s">
        <v>1843</v>
      </c>
      <c r="Q277" s="752">
        <f>R277*(1-Bolts!$E$1157)</f>
        <v>79.39473684210526</v>
      </c>
      <c r="R277" s="752">
        <v>79.39473684210526</v>
      </c>
      <c r="S277" s="464">
        <f t="shared" ref="S277" si="196">SUM(T277:AB277)</f>
        <v>25</v>
      </c>
      <c r="T277" s="465">
        <v>6</v>
      </c>
      <c r="U277" s="466">
        <v>0</v>
      </c>
      <c r="V277" s="467">
        <v>5</v>
      </c>
      <c r="W277" s="468">
        <v>0</v>
      </c>
      <c r="X277" s="469">
        <v>5</v>
      </c>
      <c r="Y277" s="470">
        <v>0</v>
      </c>
      <c r="Z277" s="471">
        <v>0</v>
      </c>
      <c r="AA277" s="472">
        <v>8</v>
      </c>
      <c r="AB277" s="473">
        <v>1</v>
      </c>
      <c r="AC277" s="464">
        <f t="shared" ref="AC277:AC302" si="197">S277*O277</f>
        <v>25</v>
      </c>
      <c r="AD277" s="474">
        <f t="shared" ref="AD277:AD302" si="198">S277*R277</f>
        <v>1984.8684210526314</v>
      </c>
      <c r="AE277" s="475">
        <v>1.3698630136986301</v>
      </c>
      <c r="AF277" s="507">
        <f t="shared" ref="AF277" si="199">AE277*S277</f>
        <v>34.246575342465754</v>
      </c>
      <c r="AG277"/>
      <c r="AH277"/>
      <c r="AI277"/>
    </row>
    <row r="278" spans="1:36" ht="12.75" customHeight="1">
      <c r="A278" s="214"/>
      <c r="B278" s="707" t="s">
        <v>1802</v>
      </c>
      <c r="C278" s="461" t="s">
        <v>1080</v>
      </c>
      <c r="D278" s="461" t="s">
        <v>1151</v>
      </c>
      <c r="E278" s="462">
        <v>1</v>
      </c>
      <c r="F278" s="461"/>
      <c r="G278" s="461"/>
      <c r="H278" s="461" t="s">
        <v>445</v>
      </c>
      <c r="I278" s="523" t="s">
        <v>459</v>
      </c>
      <c r="J278" s="462">
        <v>1</v>
      </c>
      <c r="K278" s="461"/>
      <c r="L278" s="461"/>
      <c r="M278" s="523" t="s">
        <v>459</v>
      </c>
      <c r="N278" s="523" t="s">
        <v>451</v>
      </c>
      <c r="O278" s="462">
        <v>1</v>
      </c>
      <c r="P278" s="462" t="s">
        <v>1803</v>
      </c>
      <c r="Q278" s="752">
        <f>R278*(1-Bolts!$E$1157)</f>
        <v>92.631578947368425</v>
      </c>
      <c r="R278" s="752">
        <v>92.631578947368425</v>
      </c>
      <c r="S278" s="464">
        <f t="shared" ref="S278" si="200">SUM(T278:AB278)</f>
        <v>25</v>
      </c>
      <c r="T278" s="465">
        <v>6</v>
      </c>
      <c r="U278" s="466">
        <v>0</v>
      </c>
      <c r="V278" s="467">
        <v>5</v>
      </c>
      <c r="W278" s="468">
        <v>0</v>
      </c>
      <c r="X278" s="469">
        <v>6</v>
      </c>
      <c r="Y278" s="470">
        <v>0</v>
      </c>
      <c r="Z278" s="471">
        <v>0</v>
      </c>
      <c r="AA278" s="472">
        <v>7</v>
      </c>
      <c r="AB278" s="473">
        <v>1</v>
      </c>
      <c r="AC278" s="464">
        <f t="shared" si="197"/>
        <v>25</v>
      </c>
      <c r="AD278" s="474">
        <f t="shared" si="198"/>
        <v>2315.7894736842104</v>
      </c>
      <c r="AE278" s="475">
        <v>1.6510931688288124</v>
      </c>
      <c r="AF278" s="507">
        <f t="shared" ref="AF278" si="201">AE278*S278</f>
        <v>41.277329220720311</v>
      </c>
      <c r="AG278"/>
      <c r="AH278"/>
      <c r="AI278"/>
    </row>
    <row r="279" spans="1:36" ht="12.75" customHeight="1">
      <c r="A279" s="214"/>
      <c r="B279" s="707" t="s">
        <v>1660</v>
      </c>
      <c r="C279" s="461" t="s">
        <v>1080</v>
      </c>
      <c r="D279" s="461" t="s">
        <v>1151</v>
      </c>
      <c r="E279" s="462">
        <v>1</v>
      </c>
      <c r="F279" s="461"/>
      <c r="G279" s="461"/>
      <c r="H279" s="461" t="s">
        <v>445</v>
      </c>
      <c r="I279" s="523" t="s">
        <v>458</v>
      </c>
      <c r="J279" s="462">
        <v>1</v>
      </c>
      <c r="K279" s="461"/>
      <c r="L279" s="461"/>
      <c r="M279" s="523" t="s">
        <v>458</v>
      </c>
      <c r="N279" s="523" t="s">
        <v>451</v>
      </c>
      <c r="O279" s="462">
        <v>1</v>
      </c>
      <c r="P279" s="462" t="s">
        <v>1654</v>
      </c>
      <c r="Q279" s="752">
        <f>R279*(1-Bolts!$E$1157)</f>
        <v>63.65789473684211</v>
      </c>
      <c r="R279" s="752">
        <v>63.65789473684211</v>
      </c>
      <c r="S279" s="464">
        <f t="shared" ref="S279:S287" si="202">SUM(T279:AB279)</f>
        <v>24</v>
      </c>
      <c r="T279" s="465">
        <v>4</v>
      </c>
      <c r="U279" s="466">
        <v>0</v>
      </c>
      <c r="V279" s="467">
        <v>3</v>
      </c>
      <c r="W279" s="468">
        <v>0</v>
      </c>
      <c r="X279" s="469">
        <v>6</v>
      </c>
      <c r="Y279" s="470">
        <v>0</v>
      </c>
      <c r="Z279" s="471">
        <v>0</v>
      </c>
      <c r="AA279" s="472">
        <v>11</v>
      </c>
      <c r="AB279" s="473">
        <v>0</v>
      </c>
      <c r="AC279" s="464">
        <f t="shared" si="197"/>
        <v>24</v>
      </c>
      <c r="AD279" s="474">
        <f t="shared" si="198"/>
        <v>1527.7894736842106</v>
      </c>
      <c r="AE279" s="475">
        <v>1.1990000000000001</v>
      </c>
      <c r="AF279" s="507">
        <f t="shared" ref="AF279:AF287" si="203">AE279*S279</f>
        <v>28.776000000000003</v>
      </c>
      <c r="AG279"/>
      <c r="AH279"/>
      <c r="AI279"/>
    </row>
    <row r="280" spans="1:36" ht="12.75" customHeight="1">
      <c r="A280" s="214"/>
      <c r="B280" s="707" t="s">
        <v>1664</v>
      </c>
      <c r="C280" s="461" t="s">
        <v>1080</v>
      </c>
      <c r="D280" s="461" t="s">
        <v>1151</v>
      </c>
      <c r="E280" s="462">
        <v>1</v>
      </c>
      <c r="F280" s="461"/>
      <c r="G280" s="461"/>
      <c r="H280" s="461" t="s">
        <v>445</v>
      </c>
      <c r="I280" s="523" t="s">
        <v>458</v>
      </c>
      <c r="J280" s="462">
        <v>1</v>
      </c>
      <c r="K280" s="461"/>
      <c r="L280" s="461"/>
      <c r="M280" s="523" t="s">
        <v>459</v>
      </c>
      <c r="N280" s="523" t="s">
        <v>451</v>
      </c>
      <c r="O280" s="462">
        <v>1</v>
      </c>
      <c r="P280" s="462" t="s">
        <v>1861</v>
      </c>
      <c r="Q280" s="752">
        <f>R280*(1-Bolts!$E$1157)</f>
        <v>78.34210526315789</v>
      </c>
      <c r="R280" s="752">
        <v>78.34210526315789</v>
      </c>
      <c r="S280" s="464">
        <f t="shared" ref="S280" si="204">SUM(T280:AB280)</f>
        <v>26</v>
      </c>
      <c r="T280" s="465">
        <v>5</v>
      </c>
      <c r="U280" s="466">
        <v>0</v>
      </c>
      <c r="V280" s="467">
        <v>5</v>
      </c>
      <c r="W280" s="468">
        <v>0</v>
      </c>
      <c r="X280" s="469">
        <v>4</v>
      </c>
      <c r="Y280" s="470">
        <v>1</v>
      </c>
      <c r="Z280" s="471">
        <v>0</v>
      </c>
      <c r="AA280" s="472">
        <v>11</v>
      </c>
      <c r="AB280" s="473">
        <v>0</v>
      </c>
      <c r="AC280" s="464">
        <f t="shared" si="197"/>
        <v>26</v>
      </c>
      <c r="AD280" s="474">
        <f t="shared" si="198"/>
        <v>2036.8947368421052</v>
      </c>
      <c r="AE280" s="475">
        <v>1.3653270434545948</v>
      </c>
      <c r="AF280" s="507">
        <f t="shared" ref="AF280" si="205">AE280*S280</f>
        <v>35.498503129819461</v>
      </c>
      <c r="AG280"/>
      <c r="AH280"/>
      <c r="AI280"/>
    </row>
    <row r="281" spans="1:36" ht="12.75" customHeight="1">
      <c r="A281" s="214"/>
      <c r="B281" s="707" t="s">
        <v>1802</v>
      </c>
      <c r="C281" s="461" t="s">
        <v>1080</v>
      </c>
      <c r="D281" s="461" t="s">
        <v>1151</v>
      </c>
      <c r="E281" s="462">
        <v>1</v>
      </c>
      <c r="F281" s="461"/>
      <c r="G281" s="461"/>
      <c r="H281" s="461" t="s">
        <v>445</v>
      </c>
      <c r="I281" s="523" t="s">
        <v>459</v>
      </c>
      <c r="J281" s="462">
        <v>1</v>
      </c>
      <c r="K281" s="461"/>
      <c r="L281" s="461"/>
      <c r="M281" s="523" t="s">
        <v>459</v>
      </c>
      <c r="N281" s="523" t="s">
        <v>451</v>
      </c>
      <c r="O281" s="462">
        <v>1</v>
      </c>
      <c r="P281" s="462" t="s">
        <v>1805</v>
      </c>
      <c r="Q281" s="752">
        <f>R281*(1-Bolts!$E$1157)</f>
        <v>77.71052631578948</v>
      </c>
      <c r="R281" s="752">
        <v>77.71052631578948</v>
      </c>
      <c r="S281" s="464">
        <f t="shared" si="202"/>
        <v>20</v>
      </c>
      <c r="T281" s="465">
        <v>5</v>
      </c>
      <c r="U281" s="466">
        <v>0</v>
      </c>
      <c r="V281" s="467">
        <v>5</v>
      </c>
      <c r="W281" s="468">
        <v>0</v>
      </c>
      <c r="X281" s="469">
        <v>4</v>
      </c>
      <c r="Y281" s="470">
        <v>0</v>
      </c>
      <c r="Z281" s="471">
        <v>0</v>
      </c>
      <c r="AA281" s="472">
        <v>6</v>
      </c>
      <c r="AB281" s="473">
        <v>0</v>
      </c>
      <c r="AC281" s="464">
        <f t="shared" si="197"/>
        <v>20</v>
      </c>
      <c r="AD281" s="474">
        <f t="shared" si="198"/>
        <v>1554.2105263157896</v>
      </c>
      <c r="AE281" s="475">
        <v>1.5059421210196859</v>
      </c>
      <c r="AF281" s="507">
        <f t="shared" si="203"/>
        <v>30.118842420393719</v>
      </c>
      <c r="AG281"/>
      <c r="AH281"/>
      <c r="AI281"/>
    </row>
    <row r="282" spans="1:36" ht="12.75" customHeight="1">
      <c r="A282" s="214"/>
      <c r="B282" s="707" t="s">
        <v>1664</v>
      </c>
      <c r="C282" s="461" t="s">
        <v>1080</v>
      </c>
      <c r="D282" s="461" t="s">
        <v>1151</v>
      </c>
      <c r="E282" s="462">
        <v>1</v>
      </c>
      <c r="F282" s="461"/>
      <c r="G282" s="461"/>
      <c r="H282" s="461" t="s">
        <v>445</v>
      </c>
      <c r="I282" s="523" t="s">
        <v>459</v>
      </c>
      <c r="J282" s="462">
        <v>1</v>
      </c>
      <c r="K282" s="461"/>
      <c r="L282" s="461"/>
      <c r="M282" s="523" t="s">
        <v>459</v>
      </c>
      <c r="N282" s="523" t="s">
        <v>451</v>
      </c>
      <c r="O282" s="462">
        <v>1</v>
      </c>
      <c r="P282" s="462" t="s">
        <v>1657</v>
      </c>
      <c r="Q282" s="752">
        <f>R282*(1-Bolts!$E$1157)</f>
        <v>75.368421052631575</v>
      </c>
      <c r="R282" s="752">
        <v>75.368421052631575</v>
      </c>
      <c r="S282" s="464">
        <f t="shared" si="202"/>
        <v>24</v>
      </c>
      <c r="T282" s="465">
        <v>6</v>
      </c>
      <c r="U282" s="466">
        <v>0</v>
      </c>
      <c r="V282" s="467">
        <v>6</v>
      </c>
      <c r="W282" s="468">
        <v>0</v>
      </c>
      <c r="X282" s="469">
        <v>5</v>
      </c>
      <c r="Y282" s="470">
        <v>0</v>
      </c>
      <c r="Z282" s="471">
        <v>0</v>
      </c>
      <c r="AA282" s="472">
        <v>7</v>
      </c>
      <c r="AB282" s="473">
        <v>0</v>
      </c>
      <c r="AC282" s="464">
        <f t="shared" si="197"/>
        <v>24</v>
      </c>
      <c r="AD282" s="474">
        <f t="shared" si="198"/>
        <v>1808.8421052631579</v>
      </c>
      <c r="AE282" s="475">
        <v>1.3069999999999999</v>
      </c>
      <c r="AF282" s="507">
        <f t="shared" si="203"/>
        <v>31.367999999999999</v>
      </c>
      <c r="AG282"/>
      <c r="AH282"/>
      <c r="AI282"/>
    </row>
    <row r="283" spans="1:36" ht="12.75" customHeight="1">
      <c r="A283" s="214"/>
      <c r="B283" s="707" t="s">
        <v>1802</v>
      </c>
      <c r="C283" s="461" t="s">
        <v>1080</v>
      </c>
      <c r="D283" s="461" t="s">
        <v>1151</v>
      </c>
      <c r="E283" s="462">
        <v>1</v>
      </c>
      <c r="F283" s="461"/>
      <c r="G283" s="461"/>
      <c r="H283" s="461" t="s">
        <v>445</v>
      </c>
      <c r="I283" s="523" t="s">
        <v>459</v>
      </c>
      <c r="J283" s="462">
        <v>1</v>
      </c>
      <c r="K283" s="461"/>
      <c r="L283" s="461"/>
      <c r="M283" s="523" t="s">
        <v>459</v>
      </c>
      <c r="N283" s="523" t="s">
        <v>451</v>
      </c>
      <c r="O283" s="462">
        <v>1</v>
      </c>
      <c r="P283" s="462" t="s">
        <v>1846</v>
      </c>
      <c r="Q283" s="752">
        <f>R283*(1-Bolts!$E$1157)</f>
        <v>82.65789473684211</v>
      </c>
      <c r="R283" s="752">
        <v>82.65789473684211</v>
      </c>
      <c r="S283" s="464">
        <f t="shared" ref="S283" si="206">SUM(T283:AB283)</f>
        <v>23</v>
      </c>
      <c r="T283" s="465">
        <v>5</v>
      </c>
      <c r="U283" s="466">
        <v>0</v>
      </c>
      <c r="V283" s="467">
        <v>4</v>
      </c>
      <c r="W283" s="468">
        <v>0</v>
      </c>
      <c r="X283" s="469">
        <v>5</v>
      </c>
      <c r="Y283" s="470">
        <v>0</v>
      </c>
      <c r="Z283" s="471">
        <v>0</v>
      </c>
      <c r="AA283" s="472">
        <v>9</v>
      </c>
      <c r="AB283" s="473">
        <v>0</v>
      </c>
      <c r="AC283" s="464">
        <f t="shared" si="197"/>
        <v>23</v>
      </c>
      <c r="AD283" s="474">
        <f t="shared" si="198"/>
        <v>1901.1315789473686</v>
      </c>
      <c r="AE283" s="475">
        <v>1.4741903293114396</v>
      </c>
      <c r="AF283" s="507">
        <f t="shared" ref="AF283" si="207">AE283*S283</f>
        <v>33.906377574163109</v>
      </c>
      <c r="AG283"/>
      <c r="AH283"/>
      <c r="AI283"/>
    </row>
    <row r="284" spans="1:36" ht="12.75" customHeight="1">
      <c r="A284" s="214"/>
      <c r="B284" s="707" t="s">
        <v>1661</v>
      </c>
      <c r="C284" s="461" t="s">
        <v>1080</v>
      </c>
      <c r="D284" s="461" t="s">
        <v>1151</v>
      </c>
      <c r="E284" s="462">
        <v>1</v>
      </c>
      <c r="F284" s="461"/>
      <c r="G284" s="461"/>
      <c r="H284" s="461" t="s">
        <v>445</v>
      </c>
      <c r="I284" s="523" t="s">
        <v>459</v>
      </c>
      <c r="J284" s="462">
        <v>1</v>
      </c>
      <c r="K284" s="461"/>
      <c r="L284" s="461"/>
      <c r="M284" s="523" t="s">
        <v>455</v>
      </c>
      <c r="N284" s="523" t="s">
        <v>449</v>
      </c>
      <c r="O284" s="462">
        <v>1</v>
      </c>
      <c r="P284" s="462" t="s">
        <v>1845</v>
      </c>
      <c r="Q284" s="752">
        <f>R284*(1-Bolts!$E$1157)</f>
        <v>88.60526315789474</v>
      </c>
      <c r="R284" s="752">
        <v>88.60526315789474</v>
      </c>
      <c r="S284" s="464">
        <f t="shared" ref="S284" si="208">SUM(T284:AB284)</f>
        <v>24</v>
      </c>
      <c r="T284" s="465">
        <v>4</v>
      </c>
      <c r="U284" s="466">
        <v>0</v>
      </c>
      <c r="V284" s="467">
        <v>4</v>
      </c>
      <c r="W284" s="468">
        <v>0</v>
      </c>
      <c r="X284" s="469">
        <v>4</v>
      </c>
      <c r="Y284" s="470">
        <v>0</v>
      </c>
      <c r="Z284" s="471">
        <v>0</v>
      </c>
      <c r="AA284" s="472">
        <v>12</v>
      </c>
      <c r="AB284" s="473">
        <v>0</v>
      </c>
      <c r="AC284" s="464">
        <f t="shared" si="197"/>
        <v>24</v>
      </c>
      <c r="AD284" s="474">
        <f t="shared" si="198"/>
        <v>2126.5263157894738</v>
      </c>
      <c r="AE284" s="475">
        <v>1.5921255556563547</v>
      </c>
      <c r="AF284" s="507">
        <f t="shared" ref="AF284" si="209">AE284*S284</f>
        <v>38.211013335752511</v>
      </c>
      <c r="AG284"/>
      <c r="AH284"/>
      <c r="AI284"/>
    </row>
    <row r="285" spans="1:36" ht="12.75" customHeight="1">
      <c r="A285" s="214"/>
      <c r="B285" s="707" t="s">
        <v>1661</v>
      </c>
      <c r="C285" s="461" t="s">
        <v>1080</v>
      </c>
      <c r="D285" s="461" t="s">
        <v>1151</v>
      </c>
      <c r="E285" s="462">
        <v>1</v>
      </c>
      <c r="F285" s="461"/>
      <c r="G285" s="461"/>
      <c r="H285" s="461" t="s">
        <v>445</v>
      </c>
      <c r="I285" s="523" t="s">
        <v>459</v>
      </c>
      <c r="J285" s="462">
        <v>1</v>
      </c>
      <c r="K285" s="461"/>
      <c r="L285" s="461"/>
      <c r="M285" s="523" t="s">
        <v>459</v>
      </c>
      <c r="N285" s="523" t="s">
        <v>449</v>
      </c>
      <c r="O285" s="462">
        <v>1</v>
      </c>
      <c r="P285" s="462" t="s">
        <v>1653</v>
      </c>
      <c r="Q285" s="752">
        <f>R285*(1-Bolts!$E$1157)</f>
        <v>90.473684210526315</v>
      </c>
      <c r="R285" s="752">
        <v>90.473684210526315</v>
      </c>
      <c r="S285" s="464">
        <f t="shared" si="202"/>
        <v>26</v>
      </c>
      <c r="T285" s="465">
        <v>6</v>
      </c>
      <c r="U285" s="466">
        <v>0</v>
      </c>
      <c r="V285" s="467">
        <v>4</v>
      </c>
      <c r="W285" s="468">
        <v>0</v>
      </c>
      <c r="X285" s="469">
        <v>4</v>
      </c>
      <c r="Y285" s="470">
        <v>0</v>
      </c>
      <c r="Z285" s="471">
        <v>0</v>
      </c>
      <c r="AA285" s="472">
        <v>12</v>
      </c>
      <c r="AB285" s="473">
        <v>0</v>
      </c>
      <c r="AC285" s="464">
        <f t="shared" si="197"/>
        <v>26</v>
      </c>
      <c r="AD285" s="474">
        <f t="shared" si="198"/>
        <v>2352.3157894736842</v>
      </c>
      <c r="AE285" s="475">
        <v>1.5875895854123196</v>
      </c>
      <c r="AF285" s="507">
        <f t="shared" si="203"/>
        <v>41.277329220720311</v>
      </c>
      <c r="AG285"/>
      <c r="AH285"/>
      <c r="AI285"/>
    </row>
    <row r="286" spans="1:36" ht="12.75" customHeight="1">
      <c r="A286" s="214"/>
      <c r="B286" s="707" t="s">
        <v>1722</v>
      </c>
      <c r="C286" s="461" t="s">
        <v>1080</v>
      </c>
      <c r="D286" s="461" t="s">
        <v>1151</v>
      </c>
      <c r="E286" s="462">
        <v>1</v>
      </c>
      <c r="F286" s="461"/>
      <c r="G286" s="461"/>
      <c r="H286" s="461" t="s">
        <v>445</v>
      </c>
      <c r="I286" s="523" t="s">
        <v>459</v>
      </c>
      <c r="J286" s="462">
        <v>1</v>
      </c>
      <c r="K286" s="461"/>
      <c r="L286" s="461"/>
      <c r="M286" s="523" t="s">
        <v>459</v>
      </c>
      <c r="N286" s="523" t="s">
        <v>451</v>
      </c>
      <c r="O286" s="462">
        <v>1</v>
      </c>
      <c r="P286" s="462" t="s">
        <v>1703</v>
      </c>
      <c r="Q286" s="752">
        <f>R286*(1-Bolts!$E$1157)</f>
        <v>130.07894736842104</v>
      </c>
      <c r="R286" s="752">
        <v>130.07894736842104</v>
      </c>
      <c r="S286" s="464">
        <f t="shared" si="202"/>
        <v>23</v>
      </c>
      <c r="T286" s="465">
        <v>5</v>
      </c>
      <c r="U286" s="466">
        <v>0</v>
      </c>
      <c r="V286" s="467">
        <v>4</v>
      </c>
      <c r="W286" s="468">
        <v>0</v>
      </c>
      <c r="X286" s="469">
        <v>4</v>
      </c>
      <c r="Y286" s="470">
        <v>0</v>
      </c>
      <c r="Z286" s="471">
        <v>0</v>
      </c>
      <c r="AA286" s="472">
        <v>9</v>
      </c>
      <c r="AB286" s="473">
        <v>1</v>
      </c>
      <c r="AC286" s="464">
        <f t="shared" si="197"/>
        <v>23</v>
      </c>
      <c r="AD286" s="474">
        <f t="shared" si="198"/>
        <v>2991.8157894736842</v>
      </c>
      <c r="AE286" s="475">
        <v>2.3929999999999998</v>
      </c>
      <c r="AF286" s="507">
        <f t="shared" si="203"/>
        <v>55.038999999999994</v>
      </c>
      <c r="AG286"/>
      <c r="AH286"/>
      <c r="AI286"/>
    </row>
    <row r="287" spans="1:36" ht="12.75" customHeight="1">
      <c r="A287" s="214"/>
      <c r="B287" s="707" t="s">
        <v>1849</v>
      </c>
      <c r="C287" s="461" t="s">
        <v>1080</v>
      </c>
      <c r="D287" s="461" t="s">
        <v>1151</v>
      </c>
      <c r="E287" s="462">
        <v>1</v>
      </c>
      <c r="F287" s="461"/>
      <c r="G287" s="461"/>
      <c r="H287" s="461" t="s">
        <v>445</v>
      </c>
      <c r="I287" s="523" t="s">
        <v>459</v>
      </c>
      <c r="J287" s="462">
        <v>1</v>
      </c>
      <c r="K287" s="461"/>
      <c r="L287" s="461"/>
      <c r="M287" s="523" t="s">
        <v>459</v>
      </c>
      <c r="N287" s="523" t="s">
        <v>451</v>
      </c>
      <c r="O287" s="462">
        <v>1</v>
      </c>
      <c r="P287" s="462" t="s">
        <v>1850</v>
      </c>
      <c r="Q287" s="752">
        <f>R287*(1-Bolts!$E$1157)</f>
        <v>89.763157894736835</v>
      </c>
      <c r="R287" s="752">
        <v>89.763157894736835</v>
      </c>
      <c r="S287" s="464">
        <f t="shared" si="202"/>
        <v>23</v>
      </c>
      <c r="T287" s="465">
        <v>6</v>
      </c>
      <c r="U287" s="466">
        <v>0</v>
      </c>
      <c r="V287" s="467">
        <v>5</v>
      </c>
      <c r="W287" s="468">
        <v>0</v>
      </c>
      <c r="X287" s="469">
        <v>4</v>
      </c>
      <c r="Y287" s="470">
        <v>0</v>
      </c>
      <c r="Z287" s="471">
        <v>0</v>
      </c>
      <c r="AA287" s="472">
        <v>8</v>
      </c>
      <c r="AB287" s="473">
        <v>0</v>
      </c>
      <c r="AC287" s="464">
        <f t="shared" si="197"/>
        <v>23</v>
      </c>
      <c r="AD287" s="474">
        <f t="shared" si="198"/>
        <v>2064.5526315789471</v>
      </c>
      <c r="AE287" s="475">
        <v>1.5921255556563547</v>
      </c>
      <c r="AF287" s="507">
        <f t="shared" si="203"/>
        <v>36.618887780096159</v>
      </c>
      <c r="AG287"/>
      <c r="AH287"/>
      <c r="AI287"/>
    </row>
    <row r="288" spans="1:36" ht="12.75" customHeight="1">
      <c r="A288" s="214"/>
      <c r="B288" s="707" t="s">
        <v>1849</v>
      </c>
      <c r="C288" s="461" t="s">
        <v>1080</v>
      </c>
      <c r="D288" s="461" t="s">
        <v>1151</v>
      </c>
      <c r="E288" s="462">
        <v>1</v>
      </c>
      <c r="F288" s="461"/>
      <c r="G288" s="461"/>
      <c r="H288" s="461" t="s">
        <v>445</v>
      </c>
      <c r="I288" s="523" t="s">
        <v>459</v>
      </c>
      <c r="J288" s="462">
        <v>1</v>
      </c>
      <c r="K288" s="461"/>
      <c r="L288" s="461"/>
      <c r="M288" s="523" t="s">
        <v>459</v>
      </c>
      <c r="N288" s="523" t="s">
        <v>451</v>
      </c>
      <c r="O288" s="462">
        <v>1</v>
      </c>
      <c r="P288" s="462" t="s">
        <v>1899</v>
      </c>
      <c r="Q288" s="752">
        <f>R288*(1-Bolts!$E$1157)</f>
        <v>97.973684210526301</v>
      </c>
      <c r="R288" s="752">
        <v>97.973684210526301</v>
      </c>
      <c r="S288" s="464">
        <f t="shared" ref="S288" si="210">SUM(T288:AB288)</f>
        <v>22</v>
      </c>
      <c r="T288" s="465">
        <v>5</v>
      </c>
      <c r="U288" s="466">
        <v>0</v>
      </c>
      <c r="V288" s="467">
        <v>4</v>
      </c>
      <c r="W288" s="468">
        <v>0</v>
      </c>
      <c r="X288" s="469">
        <v>4</v>
      </c>
      <c r="Y288" s="470">
        <v>0</v>
      </c>
      <c r="Z288" s="471">
        <v>0</v>
      </c>
      <c r="AA288" s="472">
        <v>9</v>
      </c>
      <c r="AB288" s="473">
        <v>0</v>
      </c>
      <c r="AC288" s="464">
        <f t="shared" si="197"/>
        <v>22</v>
      </c>
      <c r="AD288" s="474">
        <f t="shared" si="198"/>
        <v>2155.4210526315787</v>
      </c>
      <c r="AE288" s="475">
        <v>1.7554204844416219</v>
      </c>
      <c r="AF288" s="507">
        <f t="shared" ref="AF288" si="211">AE288*S288</f>
        <v>38.619250657715682</v>
      </c>
      <c r="AG288"/>
      <c r="AH288"/>
      <c r="AI288"/>
    </row>
    <row r="289" spans="1:35" ht="12.75" customHeight="1">
      <c r="A289" s="214"/>
      <c r="B289" s="707" t="s">
        <v>1855</v>
      </c>
      <c r="C289" s="461" t="s">
        <v>1080</v>
      </c>
      <c r="D289" s="461" t="s">
        <v>1151</v>
      </c>
      <c r="E289" s="462">
        <v>1</v>
      </c>
      <c r="F289" s="461"/>
      <c r="G289" s="461"/>
      <c r="H289" s="461" t="s">
        <v>445</v>
      </c>
      <c r="I289" s="523" t="s">
        <v>459</v>
      </c>
      <c r="J289" s="462">
        <v>1</v>
      </c>
      <c r="K289" s="461"/>
      <c r="L289" s="461"/>
      <c r="M289" s="523" t="s">
        <v>455</v>
      </c>
      <c r="N289" s="523" t="s">
        <v>449</v>
      </c>
      <c r="O289" s="462">
        <v>1</v>
      </c>
      <c r="P289" s="462" t="s">
        <v>1856</v>
      </c>
      <c r="Q289" s="752">
        <f>R289*(1-Bolts!$E$1157)</f>
        <v>210.36842105263156</v>
      </c>
      <c r="R289" s="752">
        <v>210.36842105263156</v>
      </c>
      <c r="S289" s="464">
        <f t="shared" ref="S289" si="212">SUM(T289:AB289)</f>
        <v>21</v>
      </c>
      <c r="T289" s="465">
        <v>4</v>
      </c>
      <c r="U289" s="466">
        <v>0</v>
      </c>
      <c r="V289" s="467">
        <v>4</v>
      </c>
      <c r="W289" s="468">
        <v>0</v>
      </c>
      <c r="X289" s="469">
        <v>5</v>
      </c>
      <c r="Y289" s="470">
        <v>0</v>
      </c>
      <c r="Z289" s="471">
        <v>0</v>
      </c>
      <c r="AA289" s="472">
        <v>7</v>
      </c>
      <c r="AB289" s="473">
        <v>1</v>
      </c>
      <c r="AC289" s="464">
        <f t="shared" si="197"/>
        <v>21</v>
      </c>
      <c r="AD289" s="474">
        <f t="shared" si="198"/>
        <v>4417.7368421052624</v>
      </c>
      <c r="AE289" s="475">
        <v>4.0052617254830807</v>
      </c>
      <c r="AF289" s="507">
        <f t="shared" ref="AF289" si="213">AE289*S289</f>
        <v>84.110496235144694</v>
      </c>
      <c r="AG289"/>
      <c r="AH289"/>
      <c r="AI289"/>
    </row>
    <row r="290" spans="1:35" ht="12.75" customHeight="1">
      <c r="A290" s="214"/>
      <c r="B290" s="707" t="s">
        <v>1858</v>
      </c>
      <c r="C290" s="461" t="s">
        <v>1080</v>
      </c>
      <c r="D290" s="461" t="s">
        <v>1151</v>
      </c>
      <c r="E290" s="462">
        <v>1</v>
      </c>
      <c r="F290" s="461"/>
      <c r="G290" s="461"/>
      <c r="H290" s="461" t="s">
        <v>445</v>
      </c>
      <c r="I290" s="523" t="s">
        <v>459</v>
      </c>
      <c r="J290" s="462">
        <v>1</v>
      </c>
      <c r="K290" s="461"/>
      <c r="L290" s="461"/>
      <c r="M290" s="523" t="s">
        <v>459</v>
      </c>
      <c r="N290" s="523" t="s">
        <v>451</v>
      </c>
      <c r="O290" s="462">
        <v>1</v>
      </c>
      <c r="P290" s="462" t="s">
        <v>1859</v>
      </c>
      <c r="Q290" s="752">
        <f>R290*(1-Bolts!$E$1157)</f>
        <v>118.68421052631579</v>
      </c>
      <c r="R290" s="752">
        <v>118.68421052631579</v>
      </c>
      <c r="S290" s="464">
        <f t="shared" ref="S290" si="214">SUM(T290:AB290)</f>
        <v>23</v>
      </c>
      <c r="T290" s="465">
        <v>5</v>
      </c>
      <c r="U290" s="466">
        <v>0</v>
      </c>
      <c r="V290" s="467">
        <v>7</v>
      </c>
      <c r="W290" s="468">
        <v>0</v>
      </c>
      <c r="X290" s="469">
        <v>4</v>
      </c>
      <c r="Y290" s="470">
        <v>0</v>
      </c>
      <c r="Z290" s="471">
        <v>0</v>
      </c>
      <c r="AA290" s="472">
        <v>6</v>
      </c>
      <c r="AB290" s="473">
        <v>1</v>
      </c>
      <c r="AC290" s="464">
        <f t="shared" si="197"/>
        <v>23</v>
      </c>
      <c r="AD290" s="474">
        <f t="shared" si="198"/>
        <v>2729.7368421052633</v>
      </c>
      <c r="AE290" s="475">
        <v>2.186337657624966</v>
      </c>
      <c r="AF290" s="507">
        <f t="shared" ref="AF290" si="215">AE290*S290</f>
        <v>50.285766125374217</v>
      </c>
      <c r="AG290"/>
      <c r="AH290"/>
      <c r="AI290"/>
    </row>
    <row r="291" spans="1:35" ht="12.75" customHeight="1">
      <c r="A291" s="214"/>
      <c r="B291" s="707" t="s">
        <v>1722</v>
      </c>
      <c r="C291" s="461" t="s">
        <v>1080</v>
      </c>
      <c r="D291" s="461" t="s">
        <v>1151</v>
      </c>
      <c r="E291" s="462">
        <v>1</v>
      </c>
      <c r="F291" s="461"/>
      <c r="G291" s="461"/>
      <c r="H291" s="461" t="s">
        <v>445</v>
      </c>
      <c r="I291" s="523" t="s">
        <v>459</v>
      </c>
      <c r="J291" s="462">
        <v>1</v>
      </c>
      <c r="K291" s="461"/>
      <c r="L291" s="461"/>
      <c r="M291" s="523" t="s">
        <v>459</v>
      </c>
      <c r="N291" s="523" t="s">
        <v>451</v>
      </c>
      <c r="O291" s="462">
        <v>1</v>
      </c>
      <c r="P291" s="462" t="s">
        <v>1723</v>
      </c>
      <c r="Q291" s="752">
        <f>R291*(1-Bolts!$E$1157)</f>
        <v>80.263157894736835</v>
      </c>
      <c r="R291" s="752">
        <v>80.263157894736835</v>
      </c>
      <c r="S291" s="464">
        <f t="shared" ref="S291" si="216">SUM(T291:AB291)</f>
        <v>20</v>
      </c>
      <c r="T291" s="465">
        <v>6</v>
      </c>
      <c r="U291" s="466">
        <v>0</v>
      </c>
      <c r="V291" s="467">
        <v>4</v>
      </c>
      <c r="W291" s="468">
        <v>0</v>
      </c>
      <c r="X291" s="469">
        <v>4</v>
      </c>
      <c r="Y291" s="470">
        <v>0</v>
      </c>
      <c r="Z291" s="471">
        <v>0</v>
      </c>
      <c r="AA291" s="472">
        <v>6</v>
      </c>
      <c r="AB291" s="473">
        <v>0</v>
      </c>
      <c r="AC291" s="464">
        <f t="shared" si="197"/>
        <v>20</v>
      </c>
      <c r="AD291" s="474">
        <f t="shared" si="198"/>
        <v>1605.2631578947367</v>
      </c>
      <c r="AE291" s="475">
        <v>1.4061507756509117</v>
      </c>
      <c r="AF291" s="507">
        <f t="shared" ref="AF291" si="217">AE291*S291</f>
        <v>28.123015513018235</v>
      </c>
      <c r="AG291"/>
      <c r="AH291"/>
      <c r="AI291"/>
    </row>
    <row r="292" spans="1:35" ht="12.75" customHeight="1">
      <c r="A292" s="214"/>
      <c r="B292" s="707" t="s">
        <v>1747</v>
      </c>
      <c r="C292" s="461" t="s">
        <v>1080</v>
      </c>
      <c r="D292" s="461" t="s">
        <v>1151</v>
      </c>
      <c r="E292" s="462">
        <v>1</v>
      </c>
      <c r="F292" s="461"/>
      <c r="G292" s="461"/>
      <c r="H292" s="461" t="s">
        <v>445</v>
      </c>
      <c r="I292" s="523" t="s">
        <v>459</v>
      </c>
      <c r="J292" s="462">
        <v>1</v>
      </c>
      <c r="K292" s="461"/>
      <c r="L292" s="461"/>
      <c r="M292" s="523" t="s">
        <v>459</v>
      </c>
      <c r="N292" s="523" t="s">
        <v>451</v>
      </c>
      <c r="O292" s="462">
        <v>1</v>
      </c>
      <c r="P292" s="462" t="s">
        <v>1736</v>
      </c>
      <c r="Q292" s="752">
        <f>R292*(1-Bolts!$E$1157)</f>
        <v>92.736842105263165</v>
      </c>
      <c r="R292" s="752">
        <v>92.736842105263165</v>
      </c>
      <c r="S292" s="464">
        <f t="shared" ref="S292:S302" si="218">SUM(T292:AB292)</f>
        <v>22</v>
      </c>
      <c r="T292" s="465">
        <v>5</v>
      </c>
      <c r="U292" s="466">
        <v>0</v>
      </c>
      <c r="V292" s="467">
        <v>5</v>
      </c>
      <c r="W292" s="468">
        <v>0</v>
      </c>
      <c r="X292" s="469">
        <v>4</v>
      </c>
      <c r="Y292" s="470">
        <v>0</v>
      </c>
      <c r="Z292" s="471">
        <v>0</v>
      </c>
      <c r="AA292" s="472">
        <v>8</v>
      </c>
      <c r="AB292" s="473">
        <v>0</v>
      </c>
      <c r="AC292" s="464">
        <f t="shared" si="197"/>
        <v>22</v>
      </c>
      <c r="AD292" s="474">
        <f t="shared" si="198"/>
        <v>2040.2105263157896</v>
      </c>
      <c r="AE292" s="475">
        <v>1.6510931688288124</v>
      </c>
      <c r="AF292" s="507">
        <f t="shared" ref="AF292:AF302" si="219">AE292*S292</f>
        <v>36.324049714233873</v>
      </c>
      <c r="AG292"/>
      <c r="AH292"/>
      <c r="AI292"/>
    </row>
    <row r="293" spans="1:35" ht="12.75" customHeight="1">
      <c r="A293" s="214"/>
      <c r="B293" s="707" t="s">
        <v>1909</v>
      </c>
      <c r="C293" s="461" t="s">
        <v>1080</v>
      </c>
      <c r="D293" s="461" t="s">
        <v>1151</v>
      </c>
      <c r="E293" s="462">
        <v>1</v>
      </c>
      <c r="F293" s="461"/>
      <c r="G293" s="461"/>
      <c r="H293" s="461" t="s">
        <v>445</v>
      </c>
      <c r="I293" s="523" t="s">
        <v>457</v>
      </c>
      <c r="J293" s="462">
        <v>1</v>
      </c>
      <c r="K293" s="461"/>
      <c r="L293" s="461"/>
      <c r="M293" s="523" t="s">
        <v>457</v>
      </c>
      <c r="N293" s="523" t="s">
        <v>449</v>
      </c>
      <c r="O293" s="462">
        <v>1</v>
      </c>
      <c r="P293" s="462" t="s">
        <v>1901</v>
      </c>
      <c r="Q293" s="752">
        <f>R293*(1-Bolts!$E$1157)</f>
        <v>158.55263157894737</v>
      </c>
      <c r="R293" s="752">
        <v>158.55263157894737</v>
      </c>
      <c r="S293" s="464">
        <f t="shared" si="218"/>
        <v>17</v>
      </c>
      <c r="T293" s="465">
        <v>4</v>
      </c>
      <c r="U293" s="466">
        <v>0</v>
      </c>
      <c r="V293" s="467">
        <v>3</v>
      </c>
      <c r="W293" s="468">
        <v>1</v>
      </c>
      <c r="X293" s="469">
        <v>4</v>
      </c>
      <c r="Y293" s="470">
        <v>0</v>
      </c>
      <c r="Z293" s="471">
        <v>0</v>
      </c>
      <c r="AA293" s="472">
        <v>5</v>
      </c>
      <c r="AB293" s="473">
        <v>0</v>
      </c>
      <c r="AC293" s="464">
        <f t="shared" si="197"/>
        <v>17</v>
      </c>
      <c r="AD293" s="474">
        <f t="shared" si="198"/>
        <v>2695.3947368421054</v>
      </c>
      <c r="AE293" s="475">
        <v>2.9755964800870904</v>
      </c>
      <c r="AF293" s="507">
        <f t="shared" si="219"/>
        <v>50.585140161480538</v>
      </c>
      <c r="AG293"/>
      <c r="AH293"/>
      <c r="AI293"/>
    </row>
    <row r="294" spans="1:35" ht="12.75" customHeight="1">
      <c r="A294" s="214"/>
      <c r="B294" s="703" t="s">
        <v>1909</v>
      </c>
      <c r="C294" s="476" t="s">
        <v>1080</v>
      </c>
      <c r="D294" s="476" t="s">
        <v>1151</v>
      </c>
      <c r="E294" s="478">
        <v>1</v>
      </c>
      <c r="F294" s="476"/>
      <c r="G294" s="476"/>
      <c r="H294" s="476" t="s">
        <v>445</v>
      </c>
      <c r="I294" s="476" t="s">
        <v>457</v>
      </c>
      <c r="J294" s="478">
        <v>1</v>
      </c>
      <c r="K294" s="476"/>
      <c r="L294" s="476"/>
      <c r="M294" s="476" t="s">
        <v>457</v>
      </c>
      <c r="N294" s="476" t="s">
        <v>449</v>
      </c>
      <c r="O294" s="478">
        <v>1</v>
      </c>
      <c r="P294" s="478" t="s">
        <v>2130</v>
      </c>
      <c r="Q294" s="752">
        <f>R294*(1-Bolts!$E$1157)</f>
        <v>158.68421052631578</v>
      </c>
      <c r="R294" s="752">
        <v>158.68421052631578</v>
      </c>
      <c r="S294" s="464">
        <f t="shared" si="218"/>
        <v>24</v>
      </c>
      <c r="T294" s="465">
        <v>5</v>
      </c>
      <c r="U294" s="466">
        <v>0</v>
      </c>
      <c r="V294" s="467">
        <v>4</v>
      </c>
      <c r="W294" s="468">
        <v>0</v>
      </c>
      <c r="X294" s="469">
        <v>5</v>
      </c>
      <c r="Y294" s="470">
        <v>0</v>
      </c>
      <c r="Z294" s="471">
        <v>0</v>
      </c>
      <c r="AA294" s="472">
        <v>10</v>
      </c>
      <c r="AB294" s="473">
        <v>0</v>
      </c>
      <c r="AC294" s="464">
        <f t="shared" si="197"/>
        <v>24</v>
      </c>
      <c r="AD294" s="474">
        <f t="shared" si="198"/>
        <v>3808.4210526315787</v>
      </c>
      <c r="AE294" s="475">
        <v>2.9780000000000002</v>
      </c>
      <c r="AF294" s="507">
        <f t="shared" si="219"/>
        <v>71.472000000000008</v>
      </c>
      <c r="AG294"/>
      <c r="AH294"/>
      <c r="AI294"/>
    </row>
    <row r="295" spans="1:35" ht="12.75" customHeight="1">
      <c r="A295" s="214"/>
      <c r="B295" s="703" t="s">
        <v>1712</v>
      </c>
      <c r="C295" s="476" t="s">
        <v>1080</v>
      </c>
      <c r="D295" s="476" t="s">
        <v>1151</v>
      </c>
      <c r="E295" s="478">
        <v>1</v>
      </c>
      <c r="F295" s="476"/>
      <c r="G295" s="476"/>
      <c r="H295" s="476" t="s">
        <v>445</v>
      </c>
      <c r="I295" s="477" t="s">
        <v>459</v>
      </c>
      <c r="J295" s="478">
        <v>1</v>
      </c>
      <c r="K295" s="476"/>
      <c r="L295" s="476"/>
      <c r="M295" s="477" t="s">
        <v>459</v>
      </c>
      <c r="N295" s="477" t="s">
        <v>451</v>
      </c>
      <c r="O295" s="478">
        <v>1</v>
      </c>
      <c r="P295" s="478" t="s">
        <v>1709</v>
      </c>
      <c r="Q295" s="752">
        <f>R295*(1-Bolts!$E$1157)</f>
        <v>128.5</v>
      </c>
      <c r="R295" s="752">
        <v>128.5</v>
      </c>
      <c r="S295" s="464">
        <f t="shared" si="218"/>
        <v>23</v>
      </c>
      <c r="T295" s="465">
        <v>5</v>
      </c>
      <c r="U295" s="466">
        <v>0</v>
      </c>
      <c r="V295" s="467">
        <v>4</v>
      </c>
      <c r="W295" s="468">
        <v>0</v>
      </c>
      <c r="X295" s="469">
        <v>4</v>
      </c>
      <c r="Y295" s="470">
        <v>0</v>
      </c>
      <c r="Z295" s="471">
        <v>0</v>
      </c>
      <c r="AA295" s="472">
        <v>10</v>
      </c>
      <c r="AB295" s="473">
        <v>0</v>
      </c>
      <c r="AC295" s="464">
        <f t="shared" si="197"/>
        <v>23</v>
      </c>
      <c r="AD295" s="474">
        <f t="shared" si="198"/>
        <v>2955.5</v>
      </c>
      <c r="AE295" s="475">
        <v>2.3620000000000001</v>
      </c>
      <c r="AF295" s="507">
        <f t="shared" si="219"/>
        <v>54.326000000000001</v>
      </c>
      <c r="AG295"/>
      <c r="AH295"/>
      <c r="AI295"/>
    </row>
    <row r="296" spans="1:35" ht="12.75" customHeight="1">
      <c r="A296" s="214"/>
      <c r="B296" s="703" t="s">
        <v>1724</v>
      </c>
      <c r="C296" s="476" t="s">
        <v>1080</v>
      </c>
      <c r="D296" s="476" t="s">
        <v>1151</v>
      </c>
      <c r="E296" s="478">
        <v>1</v>
      </c>
      <c r="F296" s="476"/>
      <c r="G296" s="476"/>
      <c r="H296" s="476" t="s">
        <v>445</v>
      </c>
      <c r="I296" s="477" t="s">
        <v>458</v>
      </c>
      <c r="J296" s="478">
        <v>1</v>
      </c>
      <c r="K296" s="476"/>
      <c r="L296" s="476"/>
      <c r="M296" s="477" t="s">
        <v>458</v>
      </c>
      <c r="N296" s="477" t="s">
        <v>451</v>
      </c>
      <c r="O296" s="478">
        <v>1</v>
      </c>
      <c r="P296" s="478" t="s">
        <v>1725</v>
      </c>
      <c r="Q296" s="752">
        <f>R296*(1-Bolts!$E$1157)</f>
        <v>81.631578947368425</v>
      </c>
      <c r="R296" s="752">
        <v>81.631578947368425</v>
      </c>
      <c r="S296" s="464">
        <f t="shared" si="218"/>
        <v>23</v>
      </c>
      <c r="T296" s="465">
        <v>5</v>
      </c>
      <c r="U296" s="466">
        <v>0</v>
      </c>
      <c r="V296" s="467">
        <v>5</v>
      </c>
      <c r="W296" s="468">
        <v>0</v>
      </c>
      <c r="X296" s="469">
        <v>4</v>
      </c>
      <c r="Y296" s="470">
        <v>0</v>
      </c>
      <c r="Z296" s="471">
        <v>0</v>
      </c>
      <c r="AA296" s="472">
        <v>9</v>
      </c>
      <c r="AB296" s="473">
        <v>0</v>
      </c>
      <c r="AC296" s="464">
        <f t="shared" si="197"/>
        <v>23</v>
      </c>
      <c r="AD296" s="474">
        <f t="shared" si="198"/>
        <v>1877.5263157894738</v>
      </c>
      <c r="AE296" s="475">
        <v>1.4288306268710875</v>
      </c>
      <c r="AF296" s="507">
        <f t="shared" si="219"/>
        <v>32.863104418035014</v>
      </c>
      <c r="AG296"/>
      <c r="AH296"/>
      <c r="AI296"/>
    </row>
    <row r="297" spans="1:35" ht="12.75" customHeight="1">
      <c r="A297" s="214"/>
      <c r="B297" s="703" t="s">
        <v>1980</v>
      </c>
      <c r="C297" s="476" t="s">
        <v>1080</v>
      </c>
      <c r="D297" s="476" t="s">
        <v>1151</v>
      </c>
      <c r="E297" s="478">
        <v>1</v>
      </c>
      <c r="F297" s="476"/>
      <c r="G297" s="476"/>
      <c r="H297" s="476" t="s">
        <v>445</v>
      </c>
      <c r="I297" s="476" t="s">
        <v>459</v>
      </c>
      <c r="J297" s="478">
        <v>1</v>
      </c>
      <c r="K297" s="476"/>
      <c r="L297" s="476"/>
      <c r="M297" s="476" t="s">
        <v>459</v>
      </c>
      <c r="N297" s="476" t="s">
        <v>451</v>
      </c>
      <c r="O297" s="478">
        <v>1</v>
      </c>
      <c r="P297" s="478" t="s">
        <v>1969</v>
      </c>
      <c r="Q297" s="752">
        <f>R297*(1-Bolts!$E$1157)</f>
        <v>77.71052631578948</v>
      </c>
      <c r="R297" s="752">
        <v>77.71052631578948</v>
      </c>
      <c r="S297" s="464">
        <f t="shared" si="218"/>
        <v>27</v>
      </c>
      <c r="T297" s="465">
        <v>5</v>
      </c>
      <c r="U297" s="466">
        <v>0</v>
      </c>
      <c r="V297" s="467">
        <v>7</v>
      </c>
      <c r="W297" s="468">
        <v>0</v>
      </c>
      <c r="X297" s="469">
        <v>4</v>
      </c>
      <c r="Y297" s="470">
        <v>0</v>
      </c>
      <c r="Z297" s="471">
        <v>0</v>
      </c>
      <c r="AA297" s="472">
        <v>11</v>
      </c>
      <c r="AB297" s="473">
        <v>0</v>
      </c>
      <c r="AC297" s="464">
        <f t="shared" si="197"/>
        <v>27</v>
      </c>
      <c r="AD297" s="474">
        <f t="shared" si="198"/>
        <v>2098.1842105263158</v>
      </c>
      <c r="AE297" s="475">
        <v>1.506</v>
      </c>
      <c r="AF297" s="507">
        <f t="shared" si="219"/>
        <v>40.661999999999999</v>
      </c>
      <c r="AG297"/>
      <c r="AH297"/>
      <c r="AI297"/>
    </row>
    <row r="298" spans="1:35" ht="12.75" customHeight="1">
      <c r="A298" s="214"/>
      <c r="B298" s="703" t="s">
        <v>1661</v>
      </c>
      <c r="C298" s="476" t="s">
        <v>1080</v>
      </c>
      <c r="D298" s="476" t="s">
        <v>1151</v>
      </c>
      <c r="E298" s="478">
        <v>1</v>
      </c>
      <c r="F298" s="476"/>
      <c r="G298" s="476"/>
      <c r="H298" s="476" t="s">
        <v>445</v>
      </c>
      <c r="I298" s="476" t="s">
        <v>455</v>
      </c>
      <c r="J298" s="478">
        <v>1</v>
      </c>
      <c r="K298" s="476"/>
      <c r="L298" s="476"/>
      <c r="M298" s="476" t="s">
        <v>455</v>
      </c>
      <c r="N298" s="476" t="s">
        <v>449</v>
      </c>
      <c r="O298" s="478">
        <v>1</v>
      </c>
      <c r="P298" s="478" t="s">
        <v>2489</v>
      </c>
      <c r="Q298" s="752">
        <f>R298*(1-Bolts!$E$1157)</f>
        <v>169.92105263157893</v>
      </c>
      <c r="R298" s="752">
        <v>169.92105263157893</v>
      </c>
      <c r="S298" s="464">
        <f t="shared" ref="S298" si="220">SUM(T298:AB298)</f>
        <v>24</v>
      </c>
      <c r="T298" s="465">
        <v>4</v>
      </c>
      <c r="U298" s="466">
        <v>0</v>
      </c>
      <c r="V298" s="467">
        <v>4</v>
      </c>
      <c r="W298" s="468">
        <v>0</v>
      </c>
      <c r="X298" s="469">
        <v>5</v>
      </c>
      <c r="Y298" s="470">
        <v>0</v>
      </c>
      <c r="Z298" s="471">
        <v>0</v>
      </c>
      <c r="AA298" s="472">
        <v>11</v>
      </c>
      <c r="AB298" s="473">
        <v>0</v>
      </c>
      <c r="AC298" s="464">
        <f t="shared" si="197"/>
        <v>24</v>
      </c>
      <c r="AD298" s="474">
        <f t="shared" si="198"/>
        <v>4078.1052631578941</v>
      </c>
      <c r="AE298" s="475">
        <v>3.181</v>
      </c>
      <c r="AF298" s="507">
        <f t="shared" ref="AF298" si="221">AE298*S298</f>
        <v>76.343999999999994</v>
      </c>
      <c r="AG298"/>
      <c r="AH298"/>
      <c r="AI298"/>
    </row>
    <row r="299" spans="1:35" ht="12.75" customHeight="1">
      <c r="A299" s="214"/>
      <c r="B299" s="707" t="s">
        <v>1912</v>
      </c>
      <c r="C299" s="461" t="s">
        <v>1080</v>
      </c>
      <c r="D299" s="461" t="s">
        <v>1151</v>
      </c>
      <c r="E299" s="462">
        <v>1</v>
      </c>
      <c r="F299" s="461"/>
      <c r="G299" s="461"/>
      <c r="H299" s="461" t="s">
        <v>445</v>
      </c>
      <c r="I299" s="523" t="s">
        <v>459</v>
      </c>
      <c r="J299" s="462">
        <v>1</v>
      </c>
      <c r="K299" s="461"/>
      <c r="L299" s="461"/>
      <c r="M299" s="523" t="s">
        <v>459</v>
      </c>
      <c r="N299" s="523" t="s">
        <v>452</v>
      </c>
      <c r="O299" s="462">
        <v>1</v>
      </c>
      <c r="P299" s="462" t="s">
        <v>1907</v>
      </c>
      <c r="Q299" s="752">
        <f>R299*(1-Bolts!$E$1157)</f>
        <v>55.973684210526315</v>
      </c>
      <c r="R299" s="752">
        <v>55.973684210526315</v>
      </c>
      <c r="S299" s="464">
        <f t="shared" si="218"/>
        <v>23</v>
      </c>
      <c r="T299" s="465">
        <v>5</v>
      </c>
      <c r="U299" s="466">
        <v>0</v>
      </c>
      <c r="V299" s="467">
        <v>4</v>
      </c>
      <c r="W299" s="468">
        <v>0</v>
      </c>
      <c r="X299" s="469">
        <v>4</v>
      </c>
      <c r="Y299" s="470">
        <v>0</v>
      </c>
      <c r="Z299" s="471">
        <v>0</v>
      </c>
      <c r="AA299" s="472">
        <v>10</v>
      </c>
      <c r="AB299" s="473">
        <v>0</v>
      </c>
      <c r="AC299" s="464">
        <f t="shared" si="197"/>
        <v>23</v>
      </c>
      <c r="AD299" s="474">
        <f t="shared" si="198"/>
        <v>1287.3947368421052</v>
      </c>
      <c r="AE299" s="475">
        <v>1.0296652453959902</v>
      </c>
      <c r="AF299" s="507">
        <f t="shared" si="219"/>
        <v>23.682300644107777</v>
      </c>
      <c r="AG299"/>
      <c r="AH299"/>
      <c r="AI299"/>
    </row>
    <row r="300" spans="1:35" ht="12.75" customHeight="1">
      <c r="A300" s="214"/>
      <c r="B300" s="707" t="s">
        <v>2105</v>
      </c>
      <c r="C300" s="461" t="s">
        <v>1080</v>
      </c>
      <c r="D300" s="461" t="s">
        <v>1151</v>
      </c>
      <c r="E300" s="462">
        <v>1</v>
      </c>
      <c r="F300" s="461"/>
      <c r="G300" s="461"/>
      <c r="H300" s="461" t="s">
        <v>445</v>
      </c>
      <c r="I300" s="523" t="s">
        <v>458</v>
      </c>
      <c r="J300" s="462">
        <v>1</v>
      </c>
      <c r="K300" s="461"/>
      <c r="L300" s="461"/>
      <c r="M300" s="523" t="s">
        <v>458</v>
      </c>
      <c r="N300" s="523" t="s">
        <v>451</v>
      </c>
      <c r="O300" s="462">
        <v>1</v>
      </c>
      <c r="P300" s="462" t="s">
        <v>2106</v>
      </c>
      <c r="Q300" s="752">
        <f>R300*(1-Bolts!$E$1157)</f>
        <v>148.73684210526315</v>
      </c>
      <c r="R300" s="752">
        <v>148.73684210526315</v>
      </c>
      <c r="S300" s="464">
        <f t="shared" si="218"/>
        <v>24</v>
      </c>
      <c r="T300" s="465">
        <v>5</v>
      </c>
      <c r="U300" s="466">
        <v>0</v>
      </c>
      <c r="V300" s="467">
        <v>5</v>
      </c>
      <c r="W300" s="468">
        <v>0</v>
      </c>
      <c r="X300" s="469">
        <v>4</v>
      </c>
      <c r="Y300" s="470">
        <v>0</v>
      </c>
      <c r="Z300" s="471">
        <v>0</v>
      </c>
      <c r="AA300" s="472">
        <v>10</v>
      </c>
      <c r="AB300" s="473">
        <v>0</v>
      </c>
      <c r="AC300" s="464">
        <f t="shared" si="197"/>
        <v>24</v>
      </c>
      <c r="AD300" s="474">
        <f t="shared" si="198"/>
        <v>3569.6842105263158</v>
      </c>
      <c r="AE300" s="475">
        <v>3.056</v>
      </c>
      <c r="AF300" s="507">
        <f t="shared" si="219"/>
        <v>73.343999999999994</v>
      </c>
      <c r="AG300"/>
      <c r="AH300"/>
      <c r="AI300"/>
    </row>
    <row r="301" spans="1:35" ht="12.75" customHeight="1">
      <c r="A301" s="214"/>
      <c r="B301" s="703" t="s">
        <v>2295</v>
      </c>
      <c r="C301" s="476" t="s">
        <v>1080</v>
      </c>
      <c r="D301" s="476" t="s">
        <v>1151</v>
      </c>
      <c r="E301" s="478">
        <v>1</v>
      </c>
      <c r="F301" s="476"/>
      <c r="G301" s="476"/>
      <c r="H301" s="476" t="s">
        <v>445</v>
      </c>
      <c r="I301" s="476" t="s">
        <v>458</v>
      </c>
      <c r="J301" s="478">
        <v>1</v>
      </c>
      <c r="K301" s="476"/>
      <c r="L301" s="476"/>
      <c r="M301" s="476" t="s">
        <v>458</v>
      </c>
      <c r="N301" s="476" t="s">
        <v>451</v>
      </c>
      <c r="O301" s="478">
        <v>1</v>
      </c>
      <c r="P301" s="478" t="s">
        <v>2293</v>
      </c>
      <c r="Q301" s="752">
        <f>R301*(1-Bolts!$E$1157)</f>
        <v>51.710526315789473</v>
      </c>
      <c r="R301" s="752">
        <v>51.710526315789473</v>
      </c>
      <c r="S301" s="464">
        <f t="shared" ref="S301" si="222">SUM(T301:AB301)</f>
        <v>21</v>
      </c>
      <c r="T301" s="465">
        <v>5</v>
      </c>
      <c r="U301" s="466">
        <v>0</v>
      </c>
      <c r="V301" s="467">
        <v>3</v>
      </c>
      <c r="W301" s="468">
        <v>0</v>
      </c>
      <c r="X301" s="469">
        <v>4</v>
      </c>
      <c r="Y301" s="470">
        <v>0</v>
      </c>
      <c r="Z301" s="471">
        <v>0</v>
      </c>
      <c r="AA301" s="472">
        <v>9</v>
      </c>
      <c r="AB301" s="473">
        <v>0</v>
      </c>
      <c r="AC301" s="464">
        <f t="shared" si="197"/>
        <v>21</v>
      </c>
      <c r="AD301" s="474">
        <f t="shared" si="198"/>
        <v>1085.921052631579</v>
      </c>
      <c r="AE301" s="475">
        <v>0.83799999999999997</v>
      </c>
      <c r="AF301" s="507">
        <f t="shared" ref="AF301" si="223">AE301*S301</f>
        <v>17.597999999999999</v>
      </c>
      <c r="AG301"/>
      <c r="AH301"/>
      <c r="AI301"/>
    </row>
    <row r="302" spans="1:35" ht="12.75" customHeight="1">
      <c r="A302" s="214"/>
      <c r="B302" s="707" t="s">
        <v>1858</v>
      </c>
      <c r="C302" s="461" t="s">
        <v>1080</v>
      </c>
      <c r="D302" s="461" t="s">
        <v>1151</v>
      </c>
      <c r="E302" s="462">
        <v>1</v>
      </c>
      <c r="F302" s="461"/>
      <c r="G302" s="461"/>
      <c r="H302" s="461" t="s">
        <v>445</v>
      </c>
      <c r="I302" s="523" t="s">
        <v>455</v>
      </c>
      <c r="J302" s="462">
        <v>1</v>
      </c>
      <c r="K302" s="461"/>
      <c r="L302" s="461"/>
      <c r="M302" s="523" t="s">
        <v>455</v>
      </c>
      <c r="N302" s="523" t="s">
        <v>452</v>
      </c>
      <c r="O302" s="462">
        <v>1</v>
      </c>
      <c r="P302" s="462" t="s">
        <v>2107</v>
      </c>
      <c r="Q302" s="752">
        <f>R302*(1-Bolts!$E$1157)</f>
        <v>82.631578947368411</v>
      </c>
      <c r="R302" s="752">
        <v>82.631578947368411</v>
      </c>
      <c r="S302" s="464">
        <f t="shared" si="218"/>
        <v>22</v>
      </c>
      <c r="T302" s="465">
        <v>4</v>
      </c>
      <c r="U302" s="466">
        <v>0</v>
      </c>
      <c r="V302" s="467">
        <v>5</v>
      </c>
      <c r="W302" s="468">
        <v>0</v>
      </c>
      <c r="X302" s="469">
        <v>4</v>
      </c>
      <c r="Y302" s="470">
        <v>0</v>
      </c>
      <c r="Z302" s="471">
        <v>0</v>
      </c>
      <c r="AA302" s="472">
        <v>9</v>
      </c>
      <c r="AB302" s="473">
        <v>0</v>
      </c>
      <c r="AC302" s="464">
        <f t="shared" si="197"/>
        <v>22</v>
      </c>
      <c r="AD302" s="474">
        <f t="shared" si="198"/>
        <v>1817.894736842105</v>
      </c>
      <c r="AE302" s="475">
        <v>1.4510000000000001</v>
      </c>
      <c r="AF302" s="507">
        <f t="shared" si="219"/>
        <v>31.922000000000001</v>
      </c>
      <c r="AG302"/>
      <c r="AH302"/>
      <c r="AI302"/>
    </row>
    <row r="303" spans="1:35" ht="12.75" customHeight="1">
      <c r="A303" s="211"/>
      <c r="B303" s="714" t="s">
        <v>2031</v>
      </c>
      <c r="C303" s="491" t="str">
        <f>B303</f>
        <v>Smooth Tufa - End Features  (1 connection point)</v>
      </c>
      <c r="D303" s="491"/>
      <c r="E303" s="491"/>
      <c r="F303" s="491"/>
      <c r="G303" s="491"/>
      <c r="H303" s="491"/>
      <c r="I303" s="491"/>
      <c r="J303" s="491"/>
      <c r="K303" s="491"/>
      <c r="L303" s="491"/>
      <c r="M303" s="491"/>
      <c r="N303" s="491"/>
      <c r="O303" s="491"/>
      <c r="P303" s="491"/>
      <c r="Q303" s="754"/>
      <c r="R303" s="752">
        <v>0</v>
      </c>
      <c r="S303" s="493"/>
      <c r="T303" s="465">
        <v>0</v>
      </c>
      <c r="U303" s="466">
        <v>0</v>
      </c>
      <c r="V303" s="467">
        <v>0</v>
      </c>
      <c r="W303" s="468">
        <v>0</v>
      </c>
      <c r="X303" s="469">
        <v>0</v>
      </c>
      <c r="Y303" s="470">
        <v>0</v>
      </c>
      <c r="Z303" s="471">
        <v>0</v>
      </c>
      <c r="AA303" s="472">
        <v>0</v>
      </c>
      <c r="AB303" s="473">
        <v>0</v>
      </c>
      <c r="AC303" s="493"/>
      <c r="AD303" s="493"/>
      <c r="AE303" s="493">
        <v>0</v>
      </c>
      <c r="AF303" s="509"/>
      <c r="AG303"/>
      <c r="AH303"/>
      <c r="AI303"/>
    </row>
    <row r="304" spans="1:35" ht="12.75" customHeight="1">
      <c r="A304" s="214"/>
      <c r="B304" s="707" t="s">
        <v>1665</v>
      </c>
      <c r="C304" s="461" t="s">
        <v>1080</v>
      </c>
      <c r="D304" s="461" t="s">
        <v>1151</v>
      </c>
      <c r="E304" s="462">
        <v>1</v>
      </c>
      <c r="F304" s="461"/>
      <c r="G304" s="461"/>
      <c r="H304" s="461" t="s">
        <v>445</v>
      </c>
      <c r="I304" s="523" t="s">
        <v>458</v>
      </c>
      <c r="J304" s="462">
        <v>1</v>
      </c>
      <c r="K304" s="461"/>
      <c r="L304" s="461"/>
      <c r="M304" s="523" t="s">
        <v>458</v>
      </c>
      <c r="N304" s="523" t="s">
        <v>452</v>
      </c>
      <c r="O304" s="462">
        <v>1</v>
      </c>
      <c r="P304" s="462" t="s">
        <v>1658</v>
      </c>
      <c r="Q304" s="752">
        <f>R304*(1-Bolts!$E$1157)</f>
        <v>58.94736842105263</v>
      </c>
      <c r="R304" s="752">
        <v>58.94736842105263</v>
      </c>
      <c r="S304" s="464">
        <f t="shared" ref="S304:S329" si="224">SUM(T304:AB304)</f>
        <v>24</v>
      </c>
      <c r="T304" s="465">
        <v>5</v>
      </c>
      <c r="U304" s="466">
        <v>0</v>
      </c>
      <c r="V304" s="467">
        <v>4</v>
      </c>
      <c r="W304" s="468">
        <v>0</v>
      </c>
      <c r="X304" s="469">
        <v>4</v>
      </c>
      <c r="Y304" s="470">
        <v>1</v>
      </c>
      <c r="Z304" s="471">
        <v>0</v>
      </c>
      <c r="AA304" s="472">
        <v>10</v>
      </c>
      <c r="AB304" s="473">
        <v>0</v>
      </c>
      <c r="AC304" s="464">
        <f t="shared" ref="AC304:AC329" si="225">S304*O304</f>
        <v>24</v>
      </c>
      <c r="AD304" s="474">
        <f t="shared" ref="AD304:AD329" si="226">S304*R304</f>
        <v>1414.7368421052631</v>
      </c>
      <c r="AE304" s="475">
        <v>1.093</v>
      </c>
      <c r="AF304" s="507">
        <f t="shared" ref="AF304:AF329" si="227">AE304*S304</f>
        <v>26.231999999999999</v>
      </c>
      <c r="AG304"/>
      <c r="AH304"/>
      <c r="AI304"/>
    </row>
    <row r="305" spans="1:36" ht="12.75" customHeight="1">
      <c r="A305" s="214"/>
      <c r="B305" s="707" t="s">
        <v>1665</v>
      </c>
      <c r="C305" s="461" t="s">
        <v>1080</v>
      </c>
      <c r="D305" s="461" t="s">
        <v>1151</v>
      </c>
      <c r="E305" s="462">
        <v>1</v>
      </c>
      <c r="F305" s="461"/>
      <c r="G305" s="461"/>
      <c r="H305" s="461" t="s">
        <v>445</v>
      </c>
      <c r="I305" s="523" t="s">
        <v>458</v>
      </c>
      <c r="J305" s="462">
        <v>1</v>
      </c>
      <c r="K305" s="461"/>
      <c r="L305" s="461"/>
      <c r="M305" s="523" t="s">
        <v>458</v>
      </c>
      <c r="N305" s="523" t="s">
        <v>452</v>
      </c>
      <c r="O305" s="462">
        <v>1</v>
      </c>
      <c r="P305" s="462" t="s">
        <v>1719</v>
      </c>
      <c r="Q305" s="752">
        <f>R305*(1-Bolts!$E$1157)</f>
        <v>60.34210526315789</v>
      </c>
      <c r="R305" s="752">
        <v>60.34210526315789</v>
      </c>
      <c r="S305" s="464">
        <f t="shared" si="224"/>
        <v>22</v>
      </c>
      <c r="T305" s="465">
        <v>5</v>
      </c>
      <c r="U305" s="466">
        <v>0</v>
      </c>
      <c r="V305" s="467">
        <v>4</v>
      </c>
      <c r="W305" s="468">
        <v>0</v>
      </c>
      <c r="X305" s="469">
        <v>3</v>
      </c>
      <c r="Y305" s="470">
        <v>0</v>
      </c>
      <c r="Z305" s="471">
        <v>0</v>
      </c>
      <c r="AA305" s="472">
        <v>10</v>
      </c>
      <c r="AB305" s="473">
        <v>0</v>
      </c>
      <c r="AC305" s="464">
        <f t="shared" si="225"/>
        <v>22</v>
      </c>
      <c r="AD305" s="474">
        <f t="shared" si="226"/>
        <v>1327.5263157894735</v>
      </c>
      <c r="AE305" s="475">
        <v>1.1249206205207294</v>
      </c>
      <c r="AF305" s="507">
        <f t="shared" si="227"/>
        <v>24.748253651456046</v>
      </c>
      <c r="AG305"/>
      <c r="AH305"/>
      <c r="AI305"/>
    </row>
    <row r="306" spans="1:36" ht="12.75" customHeight="1">
      <c r="A306" s="214"/>
      <c r="B306" s="707" t="s">
        <v>1854</v>
      </c>
      <c r="C306" s="461" t="s">
        <v>1080</v>
      </c>
      <c r="D306" s="461" t="s">
        <v>1151</v>
      </c>
      <c r="E306" s="462">
        <v>1</v>
      </c>
      <c r="F306" s="461"/>
      <c r="G306" s="461"/>
      <c r="H306" s="461" t="s">
        <v>445</v>
      </c>
      <c r="I306" s="523" t="s">
        <v>459</v>
      </c>
      <c r="J306" s="462">
        <v>1</v>
      </c>
      <c r="K306" s="461"/>
      <c r="L306" s="461"/>
      <c r="M306" s="523" t="s">
        <v>455</v>
      </c>
      <c r="N306" s="523" t="s">
        <v>452</v>
      </c>
      <c r="O306" s="462">
        <v>1</v>
      </c>
      <c r="P306" s="462" t="s">
        <v>1852</v>
      </c>
      <c r="Q306" s="752">
        <f>R306*(1-Bolts!$E$1157)</f>
        <v>192.31578947368419</v>
      </c>
      <c r="R306" s="752">
        <v>192.31578947368419</v>
      </c>
      <c r="S306" s="464">
        <f t="shared" si="224"/>
        <v>21</v>
      </c>
      <c r="T306" s="465">
        <v>5</v>
      </c>
      <c r="U306" s="466">
        <v>0</v>
      </c>
      <c r="V306" s="467">
        <v>4</v>
      </c>
      <c r="W306" s="468">
        <v>1</v>
      </c>
      <c r="X306" s="469">
        <v>4</v>
      </c>
      <c r="Y306" s="470">
        <v>0</v>
      </c>
      <c r="Z306" s="471">
        <v>0</v>
      </c>
      <c r="AA306" s="472">
        <v>6</v>
      </c>
      <c r="AB306" s="473">
        <v>1</v>
      </c>
      <c r="AC306" s="464">
        <f t="shared" si="225"/>
        <v>21</v>
      </c>
      <c r="AD306" s="474">
        <f t="shared" si="226"/>
        <v>4038.6315789473679</v>
      </c>
      <c r="AE306" s="475">
        <v>3.6469200762042995</v>
      </c>
      <c r="AF306" s="507">
        <f t="shared" si="227"/>
        <v>76.585321600290285</v>
      </c>
      <c r="AG306"/>
      <c r="AH306"/>
      <c r="AI306"/>
    </row>
    <row r="307" spans="1:36" ht="12.75" customHeight="1">
      <c r="A307" s="214"/>
      <c r="B307" s="707" t="s">
        <v>1746</v>
      </c>
      <c r="C307" s="461" t="s">
        <v>1080</v>
      </c>
      <c r="D307" s="461" t="s">
        <v>1151</v>
      </c>
      <c r="E307" s="462">
        <v>1</v>
      </c>
      <c r="F307" s="461"/>
      <c r="G307" s="461"/>
      <c r="H307" s="461" t="s">
        <v>445</v>
      </c>
      <c r="I307" s="523" t="s">
        <v>455</v>
      </c>
      <c r="J307" s="462">
        <v>1</v>
      </c>
      <c r="K307" s="461"/>
      <c r="L307" s="461"/>
      <c r="M307" s="523" t="s">
        <v>455</v>
      </c>
      <c r="N307" s="523" t="s">
        <v>449</v>
      </c>
      <c r="O307" s="462">
        <v>1</v>
      </c>
      <c r="P307" s="462" t="s">
        <v>1734</v>
      </c>
      <c r="Q307" s="752">
        <f>R307*(1-Bolts!$E$1157)</f>
        <v>106.94736842105263</v>
      </c>
      <c r="R307" s="752">
        <v>106.94736842105263</v>
      </c>
      <c r="S307" s="464">
        <f t="shared" si="224"/>
        <v>22</v>
      </c>
      <c r="T307" s="465">
        <v>5</v>
      </c>
      <c r="U307" s="466">
        <v>0</v>
      </c>
      <c r="V307" s="467">
        <v>5</v>
      </c>
      <c r="W307" s="468">
        <v>0</v>
      </c>
      <c r="X307" s="469">
        <v>5</v>
      </c>
      <c r="Y307" s="470">
        <v>0</v>
      </c>
      <c r="Z307" s="471">
        <v>0</v>
      </c>
      <c r="AA307" s="472">
        <v>7</v>
      </c>
      <c r="AB307" s="473">
        <v>0</v>
      </c>
      <c r="AC307" s="464">
        <f t="shared" si="225"/>
        <v>22</v>
      </c>
      <c r="AD307" s="474">
        <f t="shared" si="226"/>
        <v>2352.8421052631579</v>
      </c>
      <c r="AE307" s="475">
        <v>1.9277873537149595</v>
      </c>
      <c r="AF307" s="507">
        <f t="shared" si="227"/>
        <v>42.411321781729107</v>
      </c>
      <c r="AG307"/>
      <c r="AH307"/>
      <c r="AI307"/>
    </row>
    <row r="308" spans="1:36" ht="12.75" customHeight="1">
      <c r="A308" s="214"/>
      <c r="B308" s="707" t="s">
        <v>1662</v>
      </c>
      <c r="C308" s="461" t="s">
        <v>1080</v>
      </c>
      <c r="D308" s="461" t="s">
        <v>1151</v>
      </c>
      <c r="E308" s="462">
        <v>1</v>
      </c>
      <c r="F308" s="461"/>
      <c r="G308" s="461"/>
      <c r="H308" s="461" t="s">
        <v>445</v>
      </c>
      <c r="I308" s="523" t="s">
        <v>450</v>
      </c>
      <c r="J308" s="462">
        <v>1</v>
      </c>
      <c r="K308" s="461"/>
      <c r="L308" s="461"/>
      <c r="M308" s="523" t="s">
        <v>450</v>
      </c>
      <c r="N308" s="523" t="s">
        <v>452</v>
      </c>
      <c r="O308" s="462">
        <v>1</v>
      </c>
      <c r="P308" s="462" t="s">
        <v>1705</v>
      </c>
      <c r="Q308" s="752">
        <f>R308*(1-Bolts!$E$1157)</f>
        <v>61.39473684210526</v>
      </c>
      <c r="R308" s="752">
        <v>61.39473684210526</v>
      </c>
      <c r="S308" s="464">
        <f t="shared" si="224"/>
        <v>21</v>
      </c>
      <c r="T308" s="465">
        <v>5</v>
      </c>
      <c r="U308" s="466">
        <v>0</v>
      </c>
      <c r="V308" s="467">
        <v>6</v>
      </c>
      <c r="W308" s="468">
        <v>0</v>
      </c>
      <c r="X308" s="469">
        <v>3</v>
      </c>
      <c r="Y308" s="470">
        <v>0</v>
      </c>
      <c r="Z308" s="471">
        <v>0</v>
      </c>
      <c r="AA308" s="472">
        <v>7</v>
      </c>
      <c r="AB308" s="473">
        <v>0</v>
      </c>
      <c r="AC308" s="464">
        <f t="shared" si="225"/>
        <v>21</v>
      </c>
      <c r="AD308" s="474">
        <f t="shared" si="226"/>
        <v>1289.2894736842104</v>
      </c>
      <c r="AE308" s="475">
        <v>1.149</v>
      </c>
      <c r="AF308" s="507">
        <f t="shared" si="227"/>
        <v>24.129000000000001</v>
      </c>
      <c r="AG308"/>
      <c r="AH308"/>
      <c r="AI308"/>
    </row>
    <row r="309" spans="1:36" ht="12.75" customHeight="1">
      <c r="A309" s="214"/>
      <c r="B309" s="707" t="s">
        <v>1662</v>
      </c>
      <c r="C309" s="461" t="s">
        <v>1080</v>
      </c>
      <c r="D309" s="461" t="s">
        <v>1151</v>
      </c>
      <c r="E309" s="462">
        <v>1</v>
      </c>
      <c r="F309" s="461"/>
      <c r="G309" s="461"/>
      <c r="H309" s="461" t="s">
        <v>445</v>
      </c>
      <c r="I309" s="523" t="s">
        <v>453</v>
      </c>
      <c r="J309" s="462">
        <v>1</v>
      </c>
      <c r="K309" s="461"/>
      <c r="L309" s="461"/>
      <c r="M309" s="523" t="s">
        <v>453</v>
      </c>
      <c r="N309" s="523" t="s">
        <v>452</v>
      </c>
      <c r="O309" s="462">
        <v>1</v>
      </c>
      <c r="P309" s="462" t="s">
        <v>1798</v>
      </c>
      <c r="Q309" s="752">
        <f>R309*(1-Bolts!$E$1157)</f>
        <v>115.73684210526315</v>
      </c>
      <c r="R309" s="752">
        <v>115.73684210526315</v>
      </c>
      <c r="S309" s="464">
        <f t="shared" si="224"/>
        <v>25</v>
      </c>
      <c r="T309" s="465">
        <v>5</v>
      </c>
      <c r="U309" s="466">
        <v>0</v>
      </c>
      <c r="V309" s="467">
        <v>5</v>
      </c>
      <c r="W309" s="468">
        <v>0</v>
      </c>
      <c r="X309" s="469">
        <v>5</v>
      </c>
      <c r="Y309" s="470">
        <v>0</v>
      </c>
      <c r="Z309" s="471">
        <v>0</v>
      </c>
      <c r="AA309" s="472">
        <v>9</v>
      </c>
      <c r="AB309" s="473">
        <v>1</v>
      </c>
      <c r="AC309" s="464">
        <f t="shared" si="225"/>
        <v>25</v>
      </c>
      <c r="AD309" s="474">
        <f t="shared" si="226"/>
        <v>2893.4210526315787</v>
      </c>
      <c r="AE309" s="475">
        <v>2.3541685566542685</v>
      </c>
      <c r="AF309" s="507">
        <f t="shared" si="227"/>
        <v>58.854213916356713</v>
      </c>
      <c r="AG309"/>
      <c r="AH309"/>
      <c r="AI309"/>
    </row>
    <row r="310" spans="1:36" ht="12.75" customHeight="1">
      <c r="A310" s="214"/>
      <c r="B310" s="703" t="s">
        <v>1977</v>
      </c>
      <c r="C310" s="476" t="s">
        <v>1080</v>
      </c>
      <c r="D310" s="476" t="s">
        <v>1151</v>
      </c>
      <c r="E310" s="478">
        <v>1</v>
      </c>
      <c r="F310" s="476"/>
      <c r="G310" s="476"/>
      <c r="H310" s="476" t="s">
        <v>445</v>
      </c>
      <c r="I310" s="476" t="s">
        <v>457</v>
      </c>
      <c r="J310" s="478">
        <v>1</v>
      </c>
      <c r="K310" s="476"/>
      <c r="L310" s="476"/>
      <c r="M310" s="476" t="s">
        <v>457</v>
      </c>
      <c r="N310" s="476" t="s">
        <v>449</v>
      </c>
      <c r="O310" s="478">
        <v>1</v>
      </c>
      <c r="P310" s="478" t="s">
        <v>1963</v>
      </c>
      <c r="Q310" s="752">
        <f>R310*(1-Bolts!$E$1157)</f>
        <v>173.36842105263156</v>
      </c>
      <c r="R310" s="752">
        <v>173.36842105263156</v>
      </c>
      <c r="S310" s="464">
        <f t="shared" si="224"/>
        <v>28</v>
      </c>
      <c r="T310" s="465">
        <v>6</v>
      </c>
      <c r="U310" s="466">
        <v>0</v>
      </c>
      <c r="V310" s="467">
        <v>8</v>
      </c>
      <c r="W310" s="468">
        <v>0</v>
      </c>
      <c r="X310" s="469">
        <v>5</v>
      </c>
      <c r="Y310" s="470">
        <v>0</v>
      </c>
      <c r="Z310" s="471">
        <v>0</v>
      </c>
      <c r="AA310" s="472">
        <v>9</v>
      </c>
      <c r="AB310" s="473">
        <v>0</v>
      </c>
      <c r="AC310" s="464">
        <f t="shared" si="225"/>
        <v>28</v>
      </c>
      <c r="AD310" s="474">
        <f t="shared" si="226"/>
        <v>4854.3157894736833</v>
      </c>
      <c r="AE310" s="475">
        <v>3.61</v>
      </c>
      <c r="AF310" s="507">
        <f t="shared" si="227"/>
        <v>101.08</v>
      </c>
      <c r="AG310"/>
      <c r="AH310"/>
      <c r="AI310"/>
    </row>
    <row r="311" spans="1:36" ht="12.75" customHeight="1">
      <c r="A311" s="214"/>
      <c r="B311" s="703" t="s">
        <v>1977</v>
      </c>
      <c r="C311" s="476" t="s">
        <v>1080</v>
      </c>
      <c r="D311" s="476" t="s">
        <v>1151</v>
      </c>
      <c r="E311" s="478">
        <v>1</v>
      </c>
      <c r="F311" s="476"/>
      <c r="G311" s="476"/>
      <c r="H311" s="476" t="s">
        <v>445</v>
      </c>
      <c r="I311" s="476" t="s">
        <v>457</v>
      </c>
      <c r="J311" s="478">
        <v>1</v>
      </c>
      <c r="K311" s="476"/>
      <c r="L311" s="476"/>
      <c r="M311" s="476" t="s">
        <v>457</v>
      </c>
      <c r="N311" s="476" t="s">
        <v>449</v>
      </c>
      <c r="O311" s="478">
        <v>1</v>
      </c>
      <c r="P311" s="478" t="s">
        <v>2129</v>
      </c>
      <c r="Q311" s="752">
        <f>R311*(1-Bolts!$E$1157)</f>
        <v>202.02631578947367</v>
      </c>
      <c r="R311" s="752">
        <v>202.02631578947367</v>
      </c>
      <c r="S311" s="464">
        <f t="shared" ref="S311:S312" si="228">SUM(T311:AB311)</f>
        <v>22</v>
      </c>
      <c r="T311" s="465">
        <v>5</v>
      </c>
      <c r="U311" s="466">
        <v>0</v>
      </c>
      <c r="V311" s="467">
        <v>5</v>
      </c>
      <c r="W311" s="468">
        <v>0</v>
      </c>
      <c r="X311" s="469">
        <v>5</v>
      </c>
      <c r="Y311" s="470">
        <v>0</v>
      </c>
      <c r="Z311" s="471">
        <v>0</v>
      </c>
      <c r="AA311" s="472">
        <v>7</v>
      </c>
      <c r="AB311" s="473">
        <v>0</v>
      </c>
      <c r="AC311" s="464">
        <f t="shared" si="225"/>
        <v>22</v>
      </c>
      <c r="AD311" s="474">
        <f t="shared" si="226"/>
        <v>4444.5789473684208</v>
      </c>
      <c r="AE311" s="475">
        <v>3.8179999999999996</v>
      </c>
      <c r="AF311" s="507">
        <f t="shared" ref="AF311:AF312" si="229">AE311*S311</f>
        <v>83.995999999999995</v>
      </c>
      <c r="AG311"/>
      <c r="AH311"/>
      <c r="AI311"/>
    </row>
    <row r="312" spans="1:36" ht="12.75" customHeight="1">
      <c r="A312" s="214" t="s">
        <v>2612</v>
      </c>
      <c r="B312" s="704" t="s">
        <v>3085</v>
      </c>
      <c r="C312" s="644" t="s">
        <v>1080</v>
      </c>
      <c r="D312" s="644" t="s">
        <v>1151</v>
      </c>
      <c r="E312" s="645">
        <v>1</v>
      </c>
      <c r="F312" s="644"/>
      <c r="G312" s="644"/>
      <c r="H312" s="644" t="s">
        <v>445</v>
      </c>
      <c r="I312" s="644" t="s">
        <v>455</v>
      </c>
      <c r="J312" s="645">
        <v>1</v>
      </c>
      <c r="K312" s="644"/>
      <c r="L312" s="644"/>
      <c r="M312" s="644" t="s">
        <v>455</v>
      </c>
      <c r="N312" s="644" t="s">
        <v>449</v>
      </c>
      <c r="O312" s="645">
        <v>1</v>
      </c>
      <c r="P312" s="645" t="s">
        <v>3086</v>
      </c>
      <c r="Q312" s="752">
        <f>R312*(1-Bolts!$E$1157)</f>
        <v>243.60526315789471</v>
      </c>
      <c r="R312" s="752">
        <v>243.60526315789471</v>
      </c>
      <c r="S312" s="464">
        <f t="shared" si="228"/>
        <v>0</v>
      </c>
      <c r="T312" s="465">
        <v>0</v>
      </c>
      <c r="U312" s="466">
        <v>0</v>
      </c>
      <c r="V312" s="467">
        <v>0</v>
      </c>
      <c r="W312" s="468">
        <v>0</v>
      </c>
      <c r="X312" s="469">
        <v>0</v>
      </c>
      <c r="Y312" s="470">
        <v>0</v>
      </c>
      <c r="Z312" s="471">
        <v>0</v>
      </c>
      <c r="AA312" s="472">
        <v>0</v>
      </c>
      <c r="AB312" s="473">
        <v>0</v>
      </c>
      <c r="AC312" s="464">
        <f>S312*O312</f>
        <v>0</v>
      </c>
      <c r="AD312" s="474">
        <f>S312*R312</f>
        <v>0</v>
      </c>
      <c r="AE312" s="475">
        <v>5.3665971151229241</v>
      </c>
      <c r="AF312" s="507">
        <f t="shared" si="229"/>
        <v>0</v>
      </c>
      <c r="AG312"/>
      <c r="AH312"/>
      <c r="AI312"/>
      <c r="AJ312"/>
    </row>
    <row r="313" spans="1:36" ht="12.75" customHeight="1">
      <c r="A313" s="214"/>
      <c r="B313" s="703" t="s">
        <v>1711</v>
      </c>
      <c r="C313" s="476" t="s">
        <v>1079</v>
      </c>
      <c r="D313" s="476" t="s">
        <v>1151</v>
      </c>
      <c r="E313" s="478">
        <v>1</v>
      </c>
      <c r="F313" s="476"/>
      <c r="G313" s="476"/>
      <c r="H313" s="476" t="s">
        <v>445</v>
      </c>
      <c r="I313" s="477" t="s">
        <v>459</v>
      </c>
      <c r="J313" s="478">
        <v>1</v>
      </c>
      <c r="K313" s="476"/>
      <c r="L313" s="476"/>
      <c r="M313" s="477" t="s">
        <v>459</v>
      </c>
      <c r="N313" s="477" t="s">
        <v>452</v>
      </c>
      <c r="O313" s="478">
        <v>1</v>
      </c>
      <c r="P313" s="478" t="s">
        <v>1707</v>
      </c>
      <c r="Q313" s="752">
        <f>R313*(1-Bolts!$E$1157)</f>
        <v>155.44736842105263</v>
      </c>
      <c r="R313" s="752">
        <v>155.44736842105263</v>
      </c>
      <c r="S313" s="464">
        <f t="shared" si="224"/>
        <v>27</v>
      </c>
      <c r="T313" s="465">
        <v>6</v>
      </c>
      <c r="U313" s="466">
        <v>0</v>
      </c>
      <c r="V313" s="467">
        <v>5</v>
      </c>
      <c r="W313" s="468">
        <v>0</v>
      </c>
      <c r="X313" s="469">
        <v>5</v>
      </c>
      <c r="Y313" s="470">
        <v>0</v>
      </c>
      <c r="Z313" s="471">
        <v>0</v>
      </c>
      <c r="AA313" s="472">
        <v>10</v>
      </c>
      <c r="AB313" s="473">
        <v>1</v>
      </c>
      <c r="AC313" s="464">
        <f t="shared" si="225"/>
        <v>27</v>
      </c>
      <c r="AD313" s="474">
        <f t="shared" si="226"/>
        <v>4197.0789473684208</v>
      </c>
      <c r="AE313" s="475">
        <v>3.218</v>
      </c>
      <c r="AF313" s="507">
        <f t="shared" si="227"/>
        <v>86.885999999999996</v>
      </c>
      <c r="AG313"/>
      <c r="AH313"/>
      <c r="AI313"/>
    </row>
    <row r="314" spans="1:36" ht="12.75" customHeight="1">
      <c r="A314" s="214"/>
      <c r="B314" s="703" t="s">
        <v>1720</v>
      </c>
      <c r="C314" s="476" t="s">
        <v>1080</v>
      </c>
      <c r="D314" s="476" t="s">
        <v>1151</v>
      </c>
      <c r="E314" s="478">
        <v>1</v>
      </c>
      <c r="F314" s="476"/>
      <c r="G314" s="476"/>
      <c r="H314" s="476" t="s">
        <v>445</v>
      </c>
      <c r="I314" s="477" t="s">
        <v>459</v>
      </c>
      <c r="J314" s="478">
        <v>1</v>
      </c>
      <c r="K314" s="476"/>
      <c r="L314" s="476"/>
      <c r="M314" s="477" t="s">
        <v>459</v>
      </c>
      <c r="N314" s="477" t="s">
        <v>451</v>
      </c>
      <c r="O314" s="478">
        <v>1</v>
      </c>
      <c r="P314" s="478" t="s">
        <v>1721</v>
      </c>
      <c r="Q314" s="752">
        <f>R314*(1-Bolts!$E$1157)</f>
        <v>76.578947368421055</v>
      </c>
      <c r="R314" s="752">
        <v>76.578947368421055</v>
      </c>
      <c r="S314" s="464">
        <f t="shared" si="224"/>
        <v>29</v>
      </c>
      <c r="T314" s="465">
        <v>6</v>
      </c>
      <c r="U314" s="466">
        <v>0</v>
      </c>
      <c r="V314" s="467">
        <v>6</v>
      </c>
      <c r="W314" s="468">
        <v>0</v>
      </c>
      <c r="X314" s="469">
        <v>4</v>
      </c>
      <c r="Y314" s="470">
        <v>0</v>
      </c>
      <c r="Z314" s="471">
        <v>0</v>
      </c>
      <c r="AA314" s="472">
        <v>13</v>
      </c>
      <c r="AB314" s="473">
        <v>0</v>
      </c>
      <c r="AC314" s="464">
        <f t="shared" si="225"/>
        <v>29</v>
      </c>
      <c r="AD314" s="474">
        <f t="shared" si="226"/>
        <v>2220.7894736842104</v>
      </c>
      <c r="AE314" s="475">
        <v>1.4787262995554746</v>
      </c>
      <c r="AF314" s="507">
        <f t="shared" si="227"/>
        <v>42.883062687108762</v>
      </c>
      <c r="AG314"/>
      <c r="AH314"/>
      <c r="AI314"/>
    </row>
    <row r="315" spans="1:36" ht="12.75" customHeight="1">
      <c r="A315" s="214"/>
      <c r="B315" s="703" t="s">
        <v>1662</v>
      </c>
      <c r="C315" s="476" t="s">
        <v>1080</v>
      </c>
      <c r="D315" s="476" t="s">
        <v>1151</v>
      </c>
      <c r="E315" s="478">
        <v>1</v>
      </c>
      <c r="F315" s="476"/>
      <c r="G315" s="476"/>
      <c r="H315" s="476" t="s">
        <v>445</v>
      </c>
      <c r="I315" s="477" t="s">
        <v>455</v>
      </c>
      <c r="J315" s="478">
        <v>1</v>
      </c>
      <c r="K315" s="476"/>
      <c r="L315" s="476"/>
      <c r="M315" s="477" t="s">
        <v>455</v>
      </c>
      <c r="N315" s="477" t="s">
        <v>452</v>
      </c>
      <c r="O315" s="478">
        <v>1</v>
      </c>
      <c r="P315" s="478" t="s">
        <v>1568</v>
      </c>
      <c r="Q315" s="752">
        <f>R315*(1-Bolts!$E$1157)</f>
        <v>111.76315789473684</v>
      </c>
      <c r="R315" s="752">
        <v>111.76315789473684</v>
      </c>
      <c r="S315" s="464">
        <f t="shared" si="224"/>
        <v>22</v>
      </c>
      <c r="T315" s="465">
        <v>5</v>
      </c>
      <c r="U315" s="466">
        <v>0</v>
      </c>
      <c r="V315" s="467">
        <v>5</v>
      </c>
      <c r="W315" s="468">
        <v>0</v>
      </c>
      <c r="X315" s="469">
        <v>2</v>
      </c>
      <c r="Y315" s="470">
        <v>0</v>
      </c>
      <c r="Z315" s="471">
        <v>0</v>
      </c>
      <c r="AA315" s="472">
        <v>10</v>
      </c>
      <c r="AB315" s="473">
        <v>0</v>
      </c>
      <c r="AC315" s="464">
        <f t="shared" si="225"/>
        <v>22</v>
      </c>
      <c r="AD315" s="474">
        <f t="shared" si="226"/>
        <v>2458.7894736842104</v>
      </c>
      <c r="AE315" s="475">
        <v>2.0295000000000001</v>
      </c>
      <c r="AF315" s="507">
        <f t="shared" si="227"/>
        <v>44.649000000000001</v>
      </c>
      <c r="AG315"/>
      <c r="AH315"/>
      <c r="AI315"/>
    </row>
    <row r="316" spans="1:36" ht="12.75" customHeight="1">
      <c r="A316" s="214"/>
      <c r="B316" s="703" t="s">
        <v>1807</v>
      </c>
      <c r="C316" s="476" t="s">
        <v>1080</v>
      </c>
      <c r="D316" s="476" t="s">
        <v>1151</v>
      </c>
      <c r="E316" s="478">
        <v>1</v>
      </c>
      <c r="F316" s="476"/>
      <c r="G316" s="476"/>
      <c r="H316" s="476" t="s">
        <v>445</v>
      </c>
      <c r="I316" s="477" t="s">
        <v>455</v>
      </c>
      <c r="J316" s="478">
        <v>1</v>
      </c>
      <c r="K316" s="476"/>
      <c r="L316" s="476"/>
      <c r="M316" s="477" t="s">
        <v>455</v>
      </c>
      <c r="N316" s="477" t="s">
        <v>452</v>
      </c>
      <c r="O316" s="478">
        <v>1</v>
      </c>
      <c r="P316" s="478" t="s">
        <v>1800</v>
      </c>
      <c r="Q316" s="752">
        <f>R316*(1-Bolts!$E$1157)</f>
        <v>59.552631578947363</v>
      </c>
      <c r="R316" s="752">
        <v>59.552631578947363</v>
      </c>
      <c r="S316" s="464">
        <f t="shared" si="224"/>
        <v>25</v>
      </c>
      <c r="T316" s="465">
        <v>5</v>
      </c>
      <c r="U316" s="466">
        <v>0</v>
      </c>
      <c r="V316" s="467">
        <v>5</v>
      </c>
      <c r="W316" s="468">
        <v>0</v>
      </c>
      <c r="X316" s="469">
        <v>4</v>
      </c>
      <c r="Y316" s="470">
        <v>0</v>
      </c>
      <c r="Z316" s="471">
        <v>0</v>
      </c>
      <c r="AA316" s="472">
        <v>11</v>
      </c>
      <c r="AB316" s="473">
        <v>0</v>
      </c>
      <c r="AC316" s="464">
        <f t="shared" si="225"/>
        <v>25</v>
      </c>
      <c r="AD316" s="474">
        <f t="shared" si="226"/>
        <v>1488.8157894736842</v>
      </c>
      <c r="AE316" s="475">
        <v>1.1067767395445884</v>
      </c>
      <c r="AF316" s="507">
        <f t="shared" si="227"/>
        <v>27.66941848861471</v>
      </c>
      <c r="AG316"/>
      <c r="AH316"/>
      <c r="AI316"/>
    </row>
    <row r="317" spans="1:36" ht="12.75" customHeight="1">
      <c r="A317" s="214"/>
      <c r="B317" s="703" t="s">
        <v>1870</v>
      </c>
      <c r="C317" s="476" t="s">
        <v>1080</v>
      </c>
      <c r="D317" s="476" t="s">
        <v>1151</v>
      </c>
      <c r="E317" s="478">
        <v>1</v>
      </c>
      <c r="F317" s="476"/>
      <c r="G317" s="476"/>
      <c r="H317" s="476" t="s">
        <v>445</v>
      </c>
      <c r="I317" s="477" t="s">
        <v>455</v>
      </c>
      <c r="J317" s="478">
        <v>1</v>
      </c>
      <c r="K317" s="476"/>
      <c r="L317" s="476"/>
      <c r="M317" s="477" t="s">
        <v>455</v>
      </c>
      <c r="N317" s="477" t="s">
        <v>449</v>
      </c>
      <c r="O317" s="478">
        <v>1</v>
      </c>
      <c r="P317" s="478" t="s">
        <v>1871</v>
      </c>
      <c r="Q317" s="752">
        <f>R317*(1-Bolts!$E$1157)</f>
        <v>174.13157894736841</v>
      </c>
      <c r="R317" s="752">
        <v>174.13157894736841</v>
      </c>
      <c r="S317" s="464">
        <f t="shared" si="224"/>
        <v>23</v>
      </c>
      <c r="T317" s="465">
        <v>5</v>
      </c>
      <c r="U317" s="466">
        <v>0</v>
      </c>
      <c r="V317" s="467">
        <v>4</v>
      </c>
      <c r="W317" s="468">
        <v>0</v>
      </c>
      <c r="X317" s="469">
        <v>5</v>
      </c>
      <c r="Y317" s="470">
        <v>0</v>
      </c>
      <c r="Z317" s="471">
        <v>0</v>
      </c>
      <c r="AA317" s="472">
        <v>9</v>
      </c>
      <c r="AB317" s="473">
        <v>0</v>
      </c>
      <c r="AC317" s="464">
        <f t="shared" si="225"/>
        <v>23</v>
      </c>
      <c r="AD317" s="474">
        <f t="shared" si="226"/>
        <v>4005.0263157894733</v>
      </c>
      <c r="AE317" s="475">
        <v>3.2840424566814841</v>
      </c>
      <c r="AF317" s="507">
        <f t="shared" si="227"/>
        <v>75.532976503674135</v>
      </c>
      <c r="AG317"/>
      <c r="AH317"/>
      <c r="AI317"/>
    </row>
    <row r="318" spans="1:36" ht="12.75" customHeight="1">
      <c r="A318" s="214"/>
      <c r="B318" s="703" t="s">
        <v>1910</v>
      </c>
      <c r="C318" s="476" t="s">
        <v>1080</v>
      </c>
      <c r="D318" s="476" t="s">
        <v>1151</v>
      </c>
      <c r="E318" s="478">
        <v>1</v>
      </c>
      <c r="F318" s="476"/>
      <c r="G318" s="476"/>
      <c r="H318" s="476" t="s">
        <v>445</v>
      </c>
      <c r="I318" s="477" t="s">
        <v>457</v>
      </c>
      <c r="J318" s="478">
        <v>1</v>
      </c>
      <c r="K318" s="476"/>
      <c r="L318" s="476"/>
      <c r="M318" s="477" t="s">
        <v>457</v>
      </c>
      <c r="N318" s="477" t="s">
        <v>449</v>
      </c>
      <c r="O318" s="478">
        <v>1</v>
      </c>
      <c r="P318" s="478" t="s">
        <v>1903</v>
      </c>
      <c r="Q318" s="752">
        <f>R318*(1-Bolts!$E$1157)</f>
        <v>117.3421052631579</v>
      </c>
      <c r="R318" s="752">
        <v>117.3421052631579</v>
      </c>
      <c r="S318" s="464">
        <f t="shared" si="224"/>
        <v>26</v>
      </c>
      <c r="T318" s="465">
        <v>5</v>
      </c>
      <c r="U318" s="466">
        <v>0</v>
      </c>
      <c r="V318" s="467">
        <v>5</v>
      </c>
      <c r="W318" s="468">
        <v>0</v>
      </c>
      <c r="X318" s="469">
        <v>5</v>
      </c>
      <c r="Y318" s="470">
        <v>0</v>
      </c>
      <c r="Z318" s="471">
        <v>0</v>
      </c>
      <c r="AA318" s="472">
        <v>11</v>
      </c>
      <c r="AB318" s="473">
        <v>0</v>
      </c>
      <c r="AC318" s="464">
        <f t="shared" si="225"/>
        <v>26</v>
      </c>
      <c r="AD318" s="474">
        <f t="shared" si="226"/>
        <v>3050.8947368421054</v>
      </c>
      <c r="AE318" s="475">
        <v>2.3677764673863737</v>
      </c>
      <c r="AF318" s="507">
        <f t="shared" si="227"/>
        <v>61.562188152045714</v>
      </c>
      <c r="AG318"/>
      <c r="AH318"/>
      <c r="AI318"/>
    </row>
    <row r="319" spans="1:36" ht="12.75" customHeight="1">
      <c r="A319" s="214"/>
      <c r="B319" s="703" t="s">
        <v>1979</v>
      </c>
      <c r="C319" s="476" t="s">
        <v>1080</v>
      </c>
      <c r="D319" s="476" t="s">
        <v>1151</v>
      </c>
      <c r="E319" s="478">
        <v>1</v>
      </c>
      <c r="F319" s="476"/>
      <c r="G319" s="476"/>
      <c r="H319" s="476" t="s">
        <v>445</v>
      </c>
      <c r="I319" s="476" t="s">
        <v>457</v>
      </c>
      <c r="J319" s="478">
        <v>1</v>
      </c>
      <c r="K319" s="476"/>
      <c r="L319" s="476"/>
      <c r="M319" s="476" t="s">
        <v>457</v>
      </c>
      <c r="N319" s="476" t="s">
        <v>449</v>
      </c>
      <c r="O319" s="478">
        <v>1</v>
      </c>
      <c r="P319" s="478" t="s">
        <v>1967</v>
      </c>
      <c r="Q319" s="752">
        <f>R319*(1-Bolts!$E$1157)</f>
        <v>144.89473684210526</v>
      </c>
      <c r="R319" s="752">
        <v>144.89473684210526</v>
      </c>
      <c r="S319" s="464">
        <f t="shared" si="224"/>
        <v>27</v>
      </c>
      <c r="T319" s="465">
        <v>4</v>
      </c>
      <c r="U319" s="466">
        <v>0</v>
      </c>
      <c r="V319" s="467">
        <v>7</v>
      </c>
      <c r="W319" s="468">
        <v>0</v>
      </c>
      <c r="X319" s="469">
        <v>5</v>
      </c>
      <c r="Y319" s="470">
        <v>0</v>
      </c>
      <c r="Z319" s="471">
        <v>0</v>
      </c>
      <c r="AA319" s="472">
        <v>11</v>
      </c>
      <c r="AB319" s="473">
        <v>0</v>
      </c>
      <c r="AC319" s="464">
        <f t="shared" si="225"/>
        <v>27</v>
      </c>
      <c r="AD319" s="474">
        <f t="shared" si="226"/>
        <v>3912.1578947368421</v>
      </c>
      <c r="AE319" s="475">
        <v>2.9689999999999999</v>
      </c>
      <c r="AF319" s="507">
        <f t="shared" si="227"/>
        <v>80.162999999999997</v>
      </c>
      <c r="AG319"/>
      <c r="AH319"/>
      <c r="AI319"/>
    </row>
    <row r="320" spans="1:36" ht="12.75" customHeight="1">
      <c r="A320" s="214"/>
      <c r="B320" s="703" t="s">
        <v>1659</v>
      </c>
      <c r="C320" s="476" t="s">
        <v>1080</v>
      </c>
      <c r="D320" s="476" t="s">
        <v>1151</v>
      </c>
      <c r="E320" s="478">
        <v>1</v>
      </c>
      <c r="F320" s="476"/>
      <c r="G320" s="476"/>
      <c r="H320" s="476" t="s">
        <v>445</v>
      </c>
      <c r="I320" s="477" t="s">
        <v>458</v>
      </c>
      <c r="J320" s="478">
        <v>1</v>
      </c>
      <c r="K320" s="476"/>
      <c r="L320" s="476"/>
      <c r="M320" s="477" t="s">
        <v>458</v>
      </c>
      <c r="N320" s="477" t="s">
        <v>451</v>
      </c>
      <c r="O320" s="478">
        <v>1</v>
      </c>
      <c r="P320" s="478" t="s">
        <v>1655</v>
      </c>
      <c r="Q320" s="752">
        <f>R320*(1-Bolts!$E$1157)</f>
        <v>76.73684210526315</v>
      </c>
      <c r="R320" s="752">
        <v>76.73684210526315</v>
      </c>
      <c r="S320" s="464">
        <f t="shared" si="224"/>
        <v>24</v>
      </c>
      <c r="T320" s="465">
        <v>5</v>
      </c>
      <c r="U320" s="466">
        <v>0</v>
      </c>
      <c r="V320" s="467">
        <v>5</v>
      </c>
      <c r="W320" s="468">
        <v>0</v>
      </c>
      <c r="X320" s="469">
        <v>4</v>
      </c>
      <c r="Y320" s="470">
        <v>0</v>
      </c>
      <c r="Z320" s="471">
        <v>0</v>
      </c>
      <c r="AA320" s="472">
        <v>10</v>
      </c>
      <c r="AB320" s="473">
        <v>0</v>
      </c>
      <c r="AC320" s="464">
        <f t="shared" si="225"/>
        <v>24</v>
      </c>
      <c r="AD320" s="474">
        <f t="shared" si="226"/>
        <v>1841.6842105263156</v>
      </c>
      <c r="AE320" s="475">
        <v>1.2270000000000001</v>
      </c>
      <c r="AF320" s="507">
        <f t="shared" si="227"/>
        <v>29.448</v>
      </c>
      <c r="AG320"/>
      <c r="AH320"/>
      <c r="AI320"/>
    </row>
    <row r="321" spans="1:35" ht="12.75" customHeight="1">
      <c r="A321" s="214"/>
      <c r="B321" s="703" t="s">
        <v>1911</v>
      </c>
      <c r="C321" s="476" t="s">
        <v>1080</v>
      </c>
      <c r="D321" s="476" t="s">
        <v>1151</v>
      </c>
      <c r="E321" s="478">
        <v>1</v>
      </c>
      <c r="F321" s="476"/>
      <c r="G321" s="476"/>
      <c r="H321" s="476" t="s">
        <v>445</v>
      </c>
      <c r="I321" s="477" t="s">
        <v>459</v>
      </c>
      <c r="J321" s="478">
        <v>1</v>
      </c>
      <c r="K321" s="476"/>
      <c r="L321" s="476"/>
      <c r="M321" s="477" t="s">
        <v>459</v>
      </c>
      <c r="N321" s="477" t="s">
        <v>451</v>
      </c>
      <c r="O321" s="478">
        <v>1</v>
      </c>
      <c r="P321" s="478" t="s">
        <v>1905</v>
      </c>
      <c r="Q321" s="752">
        <f>R321*(1-Bolts!$E$1157)</f>
        <v>63</v>
      </c>
      <c r="R321" s="752">
        <v>63</v>
      </c>
      <c r="S321" s="464">
        <f t="shared" si="224"/>
        <v>26</v>
      </c>
      <c r="T321" s="465">
        <v>5</v>
      </c>
      <c r="U321" s="466">
        <v>0</v>
      </c>
      <c r="V321" s="467">
        <v>6</v>
      </c>
      <c r="W321" s="468">
        <v>0</v>
      </c>
      <c r="X321" s="469">
        <v>4</v>
      </c>
      <c r="Y321" s="470">
        <v>0</v>
      </c>
      <c r="Z321" s="471">
        <v>0</v>
      </c>
      <c r="AA321" s="472">
        <v>11</v>
      </c>
      <c r="AB321" s="473">
        <v>0</v>
      </c>
      <c r="AC321" s="464">
        <f t="shared" si="225"/>
        <v>26</v>
      </c>
      <c r="AD321" s="474">
        <f t="shared" si="226"/>
        <v>1638</v>
      </c>
      <c r="AE321" s="475">
        <v>1.1838882336931869</v>
      </c>
      <c r="AF321" s="507">
        <f t="shared" si="227"/>
        <v>30.781094076022857</v>
      </c>
      <c r="AG321"/>
      <c r="AH321"/>
      <c r="AI321"/>
    </row>
    <row r="322" spans="1:35" ht="12.75" customHeight="1">
      <c r="A322" s="214"/>
      <c r="B322" s="703" t="s">
        <v>1911</v>
      </c>
      <c r="C322" s="476" t="s">
        <v>1080</v>
      </c>
      <c r="D322" s="476" t="s">
        <v>1151</v>
      </c>
      <c r="E322" s="478">
        <v>1</v>
      </c>
      <c r="F322" s="476"/>
      <c r="G322" s="476"/>
      <c r="H322" s="476" t="s">
        <v>445</v>
      </c>
      <c r="I322" s="476" t="s">
        <v>459</v>
      </c>
      <c r="J322" s="478">
        <v>1</v>
      </c>
      <c r="K322" s="476"/>
      <c r="L322" s="476"/>
      <c r="M322" s="476" t="s">
        <v>459</v>
      </c>
      <c r="N322" s="476" t="s">
        <v>451</v>
      </c>
      <c r="O322" s="478">
        <v>1</v>
      </c>
      <c r="P322" s="478" t="s">
        <v>1997</v>
      </c>
      <c r="Q322" s="752">
        <f>R322*(1-Bolts!$E$1157)</f>
        <v>90.131578947368425</v>
      </c>
      <c r="R322" s="752">
        <v>90.131578947368425</v>
      </c>
      <c r="S322" s="464">
        <f t="shared" si="224"/>
        <v>26</v>
      </c>
      <c r="T322" s="465">
        <v>6</v>
      </c>
      <c r="U322" s="466">
        <v>0</v>
      </c>
      <c r="V322" s="467">
        <v>5</v>
      </c>
      <c r="W322" s="468">
        <v>0</v>
      </c>
      <c r="X322" s="469">
        <v>3</v>
      </c>
      <c r="Y322" s="470">
        <v>0</v>
      </c>
      <c r="Z322" s="471">
        <v>1</v>
      </c>
      <c r="AA322" s="472">
        <v>11</v>
      </c>
      <c r="AB322" s="473">
        <v>0</v>
      </c>
      <c r="AC322" s="464">
        <f t="shared" si="225"/>
        <v>26</v>
      </c>
      <c r="AD322" s="474">
        <f t="shared" si="226"/>
        <v>2343.4210526315792</v>
      </c>
      <c r="AE322" s="475">
        <v>1.6011974961444251</v>
      </c>
      <c r="AF322" s="507">
        <f t="shared" si="227"/>
        <v>41.631134899755054</v>
      </c>
      <c r="AG322"/>
      <c r="AH322"/>
      <c r="AI322"/>
    </row>
    <row r="323" spans="1:35" ht="12.75" customHeight="1">
      <c r="A323" s="214"/>
      <c r="B323" s="703" t="s">
        <v>1870</v>
      </c>
      <c r="C323" s="476" t="s">
        <v>1080</v>
      </c>
      <c r="D323" s="476" t="s">
        <v>1151</v>
      </c>
      <c r="E323" s="478">
        <v>1</v>
      </c>
      <c r="F323" s="476"/>
      <c r="G323" s="476"/>
      <c r="H323" s="476" t="s">
        <v>445</v>
      </c>
      <c r="I323" s="476" t="s">
        <v>455</v>
      </c>
      <c r="J323" s="478">
        <v>1</v>
      </c>
      <c r="K323" s="476"/>
      <c r="L323" s="476"/>
      <c r="M323" s="476" t="s">
        <v>455</v>
      </c>
      <c r="N323" s="476" t="s">
        <v>449</v>
      </c>
      <c r="O323" s="478">
        <v>1</v>
      </c>
      <c r="P323" s="478" t="s">
        <v>2503</v>
      </c>
      <c r="Q323" s="752">
        <f>R323*(1-Bolts!$E$1157)</f>
        <v>149.05263157894737</v>
      </c>
      <c r="R323" s="752">
        <v>149.05263157894737</v>
      </c>
      <c r="S323" s="464">
        <f t="shared" ref="S323:S325" si="230">SUM(T323:AB323)</f>
        <v>20</v>
      </c>
      <c r="T323" s="465">
        <v>4</v>
      </c>
      <c r="U323" s="466">
        <v>0</v>
      </c>
      <c r="V323" s="467">
        <v>4</v>
      </c>
      <c r="W323" s="468">
        <v>0</v>
      </c>
      <c r="X323" s="469">
        <v>4</v>
      </c>
      <c r="Y323" s="470">
        <v>0</v>
      </c>
      <c r="Z323" s="471">
        <v>0</v>
      </c>
      <c r="AA323" s="472">
        <v>8</v>
      </c>
      <c r="AB323" s="473">
        <v>0</v>
      </c>
      <c r="AC323" s="464">
        <f t="shared" si="225"/>
        <v>20</v>
      </c>
      <c r="AD323" s="474">
        <f t="shared" si="226"/>
        <v>2981.0526315789475</v>
      </c>
      <c r="AE323" s="475">
        <v>2.786</v>
      </c>
      <c r="AF323" s="507">
        <f t="shared" ref="AF323:AF325" si="231">AE323*S323</f>
        <v>55.72</v>
      </c>
      <c r="AG323"/>
      <c r="AH323"/>
      <c r="AI323"/>
    </row>
    <row r="324" spans="1:35" ht="12.75" customHeight="1">
      <c r="A324" s="214"/>
      <c r="B324" s="703" t="s">
        <v>2504</v>
      </c>
      <c r="C324" s="476" t="s">
        <v>1080</v>
      </c>
      <c r="D324" s="476" t="s">
        <v>1151</v>
      </c>
      <c r="E324" s="478">
        <v>1</v>
      </c>
      <c r="F324" s="476"/>
      <c r="G324" s="476"/>
      <c r="H324" s="476" t="s">
        <v>445</v>
      </c>
      <c r="I324" s="476" t="s">
        <v>455</v>
      </c>
      <c r="J324" s="478">
        <v>1</v>
      </c>
      <c r="K324" s="476"/>
      <c r="L324" s="476"/>
      <c r="M324" s="476" t="s">
        <v>455</v>
      </c>
      <c r="N324" s="476" t="s">
        <v>452</v>
      </c>
      <c r="O324" s="478">
        <v>1</v>
      </c>
      <c r="P324" s="478" t="s">
        <v>2505</v>
      </c>
      <c r="Q324" s="752">
        <f>R324*(1-Bolts!$E$1157)</f>
        <v>169.84210526315792</v>
      </c>
      <c r="R324" s="752">
        <v>169.84210526315792</v>
      </c>
      <c r="S324" s="464">
        <f t="shared" si="230"/>
        <v>28</v>
      </c>
      <c r="T324" s="465">
        <v>5</v>
      </c>
      <c r="U324" s="466">
        <v>0</v>
      </c>
      <c r="V324" s="467">
        <v>5</v>
      </c>
      <c r="W324" s="468">
        <v>0</v>
      </c>
      <c r="X324" s="469">
        <v>6</v>
      </c>
      <c r="Y324" s="470">
        <v>0</v>
      </c>
      <c r="Z324" s="471">
        <v>0</v>
      </c>
      <c r="AA324" s="472">
        <v>12</v>
      </c>
      <c r="AB324" s="473">
        <v>0</v>
      </c>
      <c r="AC324" s="464">
        <f t="shared" si="225"/>
        <v>28</v>
      </c>
      <c r="AD324" s="474">
        <f t="shared" si="226"/>
        <v>4755.5789473684217</v>
      </c>
      <c r="AE324" s="475">
        <v>3.1989999999999998</v>
      </c>
      <c r="AF324" s="507">
        <f t="shared" si="231"/>
        <v>89.572000000000003</v>
      </c>
      <c r="AG324"/>
      <c r="AH324"/>
      <c r="AI324"/>
    </row>
    <row r="325" spans="1:35" ht="12.75" customHeight="1">
      <c r="A325" s="214"/>
      <c r="B325" s="703" t="s">
        <v>1911</v>
      </c>
      <c r="C325" s="476" t="s">
        <v>1080</v>
      </c>
      <c r="D325" s="476" t="s">
        <v>1151</v>
      </c>
      <c r="E325" s="478">
        <v>1</v>
      </c>
      <c r="F325" s="476"/>
      <c r="G325" s="476"/>
      <c r="H325" s="476" t="s">
        <v>445</v>
      </c>
      <c r="I325" s="477" t="s">
        <v>459</v>
      </c>
      <c r="J325" s="478">
        <v>1</v>
      </c>
      <c r="K325" s="476"/>
      <c r="L325" s="476"/>
      <c r="M325" s="477" t="s">
        <v>459</v>
      </c>
      <c r="N325" s="477" t="s">
        <v>451</v>
      </c>
      <c r="O325" s="478">
        <v>1</v>
      </c>
      <c r="P325" s="478" t="s">
        <v>1973</v>
      </c>
      <c r="Q325" s="752">
        <f>R325*(1-Bolts!$E$1157)</f>
        <v>185.65789473684211</v>
      </c>
      <c r="R325" s="752">
        <v>185.65789473684211</v>
      </c>
      <c r="S325" s="464">
        <f t="shared" si="230"/>
        <v>20</v>
      </c>
      <c r="T325" s="465">
        <v>5</v>
      </c>
      <c r="U325" s="466">
        <v>0</v>
      </c>
      <c r="V325" s="467">
        <v>3</v>
      </c>
      <c r="W325" s="468">
        <v>0</v>
      </c>
      <c r="X325" s="469">
        <v>4</v>
      </c>
      <c r="Y325" s="470">
        <v>0</v>
      </c>
      <c r="Z325" s="471">
        <v>0</v>
      </c>
      <c r="AA325" s="472">
        <v>8</v>
      </c>
      <c r="AB325" s="473">
        <v>0</v>
      </c>
      <c r="AC325" s="464">
        <f t="shared" si="225"/>
        <v>20</v>
      </c>
      <c r="AD325" s="474">
        <f t="shared" si="226"/>
        <v>3713.1578947368421</v>
      </c>
      <c r="AE325" s="475">
        <v>3.5129999999999999</v>
      </c>
      <c r="AF325" s="507">
        <f t="shared" si="231"/>
        <v>70.259999999999991</v>
      </c>
      <c r="AG325"/>
      <c r="AH325"/>
      <c r="AI325"/>
    </row>
    <row r="326" spans="1:35" ht="12.75" customHeight="1">
      <c r="A326" s="214"/>
      <c r="B326" s="703" t="s">
        <v>1911</v>
      </c>
      <c r="C326" s="476" t="s">
        <v>1080</v>
      </c>
      <c r="D326" s="476" t="s">
        <v>1151</v>
      </c>
      <c r="E326" s="478">
        <v>1</v>
      </c>
      <c r="F326" s="476"/>
      <c r="G326" s="476"/>
      <c r="H326" s="476" t="s">
        <v>445</v>
      </c>
      <c r="I326" s="476" t="s">
        <v>459</v>
      </c>
      <c r="J326" s="478">
        <v>1</v>
      </c>
      <c r="K326" s="476"/>
      <c r="L326" s="476"/>
      <c r="M326" s="476" t="s">
        <v>459</v>
      </c>
      <c r="N326" s="476" t="s">
        <v>451</v>
      </c>
      <c r="O326" s="478">
        <v>1</v>
      </c>
      <c r="P326" s="478" t="s">
        <v>1998</v>
      </c>
      <c r="Q326" s="752">
        <f>R326*(1-Bolts!$E$1157)</f>
        <v>189.81578947368419</v>
      </c>
      <c r="R326" s="752">
        <v>189.81578947368419</v>
      </c>
      <c r="S326" s="464">
        <f t="shared" si="224"/>
        <v>24</v>
      </c>
      <c r="T326" s="465">
        <v>7</v>
      </c>
      <c r="U326" s="466">
        <v>0</v>
      </c>
      <c r="V326" s="467">
        <v>7</v>
      </c>
      <c r="W326" s="468">
        <v>0</v>
      </c>
      <c r="X326" s="469">
        <v>4</v>
      </c>
      <c r="Y326" s="470">
        <v>0</v>
      </c>
      <c r="Z326" s="471">
        <v>0</v>
      </c>
      <c r="AA326" s="472">
        <v>6</v>
      </c>
      <c r="AB326" s="473">
        <v>0</v>
      </c>
      <c r="AC326" s="464">
        <f t="shared" si="225"/>
        <v>24</v>
      </c>
      <c r="AD326" s="474">
        <f t="shared" si="226"/>
        <v>4555.5789473684208</v>
      </c>
      <c r="AE326" s="475">
        <v>3.5970244035199124</v>
      </c>
      <c r="AF326" s="507">
        <f t="shared" si="227"/>
        <v>86.3285856844779</v>
      </c>
      <c r="AG326"/>
      <c r="AH326"/>
      <c r="AI326"/>
    </row>
    <row r="327" spans="1:35" ht="12.75" customHeight="1">
      <c r="A327" s="214"/>
      <c r="B327" s="703" t="s">
        <v>2135</v>
      </c>
      <c r="C327" s="476" t="s">
        <v>1080</v>
      </c>
      <c r="D327" s="476" t="s">
        <v>1151</v>
      </c>
      <c r="E327" s="478">
        <v>1</v>
      </c>
      <c r="F327" s="476"/>
      <c r="G327" s="476"/>
      <c r="H327" s="476" t="s">
        <v>445</v>
      </c>
      <c r="I327" s="476" t="s">
        <v>459</v>
      </c>
      <c r="J327" s="478">
        <v>1</v>
      </c>
      <c r="K327" s="476"/>
      <c r="L327" s="476"/>
      <c r="M327" s="476" t="s">
        <v>459</v>
      </c>
      <c r="N327" s="476" t="s">
        <v>452</v>
      </c>
      <c r="O327" s="478">
        <v>1</v>
      </c>
      <c r="P327" s="478" t="s">
        <v>2133</v>
      </c>
      <c r="Q327" s="752">
        <f>R327*(1-Bolts!$E$1157)</f>
        <v>279.0526315789474</v>
      </c>
      <c r="R327" s="752">
        <v>279.0526315789474</v>
      </c>
      <c r="S327" s="464">
        <f t="shared" si="224"/>
        <v>28</v>
      </c>
      <c r="T327" s="465">
        <v>5</v>
      </c>
      <c r="U327" s="466">
        <v>0</v>
      </c>
      <c r="V327" s="467">
        <v>5</v>
      </c>
      <c r="W327" s="468">
        <v>0</v>
      </c>
      <c r="X327" s="469">
        <v>5</v>
      </c>
      <c r="Y327" s="470">
        <v>0</v>
      </c>
      <c r="Z327" s="471">
        <v>0</v>
      </c>
      <c r="AA327" s="472">
        <v>12</v>
      </c>
      <c r="AB327" s="473">
        <v>1</v>
      </c>
      <c r="AC327" s="464">
        <f t="shared" si="225"/>
        <v>28</v>
      </c>
      <c r="AD327" s="474">
        <f t="shared" si="226"/>
        <v>7813.4736842105267</v>
      </c>
      <c r="AE327" s="475">
        <v>5.3680000000000003</v>
      </c>
      <c r="AF327" s="507">
        <f t="shared" si="227"/>
        <v>150.304</v>
      </c>
      <c r="AG327"/>
      <c r="AH327"/>
      <c r="AI327"/>
    </row>
    <row r="328" spans="1:35" ht="12.75" customHeight="1">
      <c r="A328" s="214"/>
      <c r="B328" s="703" t="s">
        <v>1870</v>
      </c>
      <c r="C328" s="476" t="s">
        <v>1080</v>
      </c>
      <c r="D328" s="476" t="s">
        <v>1151</v>
      </c>
      <c r="E328" s="478">
        <v>1</v>
      </c>
      <c r="F328" s="476"/>
      <c r="G328" s="476"/>
      <c r="H328" s="476" t="s">
        <v>445</v>
      </c>
      <c r="I328" s="476" t="s">
        <v>455</v>
      </c>
      <c r="J328" s="478">
        <v>1</v>
      </c>
      <c r="K328" s="476"/>
      <c r="L328" s="476"/>
      <c r="M328" s="476" t="s">
        <v>455</v>
      </c>
      <c r="N328" s="476" t="s">
        <v>449</v>
      </c>
      <c r="O328" s="478">
        <v>1</v>
      </c>
      <c r="P328" s="478" t="s">
        <v>2506</v>
      </c>
      <c r="Q328" s="752">
        <f>R328*(1-Bolts!$E$1157)</f>
        <v>204.65789473684208</v>
      </c>
      <c r="R328" s="752">
        <v>204.65789473684208</v>
      </c>
      <c r="S328" s="464">
        <f t="shared" ref="S328" si="232">SUM(T328:AB328)</f>
        <v>23</v>
      </c>
      <c r="T328" s="465">
        <v>4</v>
      </c>
      <c r="U328" s="466">
        <v>0</v>
      </c>
      <c r="V328" s="467">
        <v>4</v>
      </c>
      <c r="W328" s="468">
        <v>0</v>
      </c>
      <c r="X328" s="469">
        <v>5</v>
      </c>
      <c r="Y328" s="470">
        <v>0</v>
      </c>
      <c r="Z328" s="471">
        <v>0</v>
      </c>
      <c r="AA328" s="472">
        <v>10</v>
      </c>
      <c r="AB328" s="473">
        <v>0</v>
      </c>
      <c r="AC328" s="464">
        <f t="shared" si="225"/>
        <v>23</v>
      </c>
      <c r="AD328" s="474">
        <f t="shared" si="226"/>
        <v>4707.1315789473683</v>
      </c>
      <c r="AE328" s="475">
        <v>3.891</v>
      </c>
      <c r="AF328" s="507">
        <f t="shared" ref="AF328" si="233">AE328*S328</f>
        <v>89.492999999999995</v>
      </c>
      <c r="AG328"/>
      <c r="AH328"/>
      <c r="AI328"/>
    </row>
    <row r="329" spans="1:35" ht="12.75" customHeight="1">
      <c r="A329" s="214"/>
      <c r="B329" s="703" t="s">
        <v>1870</v>
      </c>
      <c r="C329" s="476" t="s">
        <v>1080</v>
      </c>
      <c r="D329" s="476" t="s">
        <v>1151</v>
      </c>
      <c r="E329" s="478">
        <v>1</v>
      </c>
      <c r="F329" s="476"/>
      <c r="G329" s="476"/>
      <c r="H329" s="476" t="s">
        <v>445</v>
      </c>
      <c r="I329" s="476" t="s">
        <v>455</v>
      </c>
      <c r="J329" s="478">
        <v>1</v>
      </c>
      <c r="K329" s="476"/>
      <c r="L329" s="476"/>
      <c r="M329" s="476" t="s">
        <v>455</v>
      </c>
      <c r="N329" s="476" t="s">
        <v>449</v>
      </c>
      <c r="O329" s="478">
        <v>1</v>
      </c>
      <c r="P329" s="478" t="s">
        <v>2491</v>
      </c>
      <c r="Q329" s="752">
        <f>R329*(1-Bolts!$E$1157)</f>
        <v>180.89473684210526</v>
      </c>
      <c r="R329" s="752">
        <v>180.89473684210526</v>
      </c>
      <c r="S329" s="464">
        <f t="shared" si="224"/>
        <v>25</v>
      </c>
      <c r="T329" s="465">
        <v>6</v>
      </c>
      <c r="U329" s="466">
        <v>0</v>
      </c>
      <c r="V329" s="467">
        <v>4</v>
      </c>
      <c r="W329" s="468">
        <v>0</v>
      </c>
      <c r="X329" s="469">
        <v>5</v>
      </c>
      <c r="Y329" s="470">
        <v>0</v>
      </c>
      <c r="Z329" s="471">
        <v>0</v>
      </c>
      <c r="AA329" s="472">
        <v>10</v>
      </c>
      <c r="AB329" s="473">
        <v>0</v>
      </c>
      <c r="AC329" s="464">
        <f t="shared" si="225"/>
        <v>25</v>
      </c>
      <c r="AD329" s="474">
        <f t="shared" si="226"/>
        <v>4522.3684210526317</v>
      </c>
      <c r="AE329" s="475">
        <v>3.419</v>
      </c>
      <c r="AF329" s="507">
        <f t="shared" si="227"/>
        <v>85.474999999999994</v>
      </c>
      <c r="AG329"/>
      <c r="AH329"/>
      <c r="AI329"/>
    </row>
    <row r="330" spans="1:35" ht="12.75" customHeight="1">
      <c r="A330" s="211"/>
      <c r="B330" s="714" t="s">
        <v>2032</v>
      </c>
      <c r="C330" s="491" t="str">
        <f>B330</f>
        <v>Smooth Tufas - End Caps and Angled Spacers  (1-2 connection points)</v>
      </c>
      <c r="D330" s="491"/>
      <c r="E330" s="491"/>
      <c r="F330" s="491"/>
      <c r="G330" s="491"/>
      <c r="H330" s="491"/>
      <c r="I330" s="491"/>
      <c r="J330" s="491"/>
      <c r="K330" s="491"/>
      <c r="L330" s="491"/>
      <c r="M330" s="491"/>
      <c r="N330" s="491"/>
      <c r="O330" s="491"/>
      <c r="P330" s="491"/>
      <c r="Q330" s="754"/>
      <c r="R330" s="752">
        <v>0</v>
      </c>
      <c r="S330" s="493"/>
      <c r="T330" s="465">
        <v>0</v>
      </c>
      <c r="U330" s="466">
        <v>0</v>
      </c>
      <c r="V330" s="467">
        <v>0</v>
      </c>
      <c r="W330" s="468">
        <v>0</v>
      </c>
      <c r="X330" s="469">
        <v>0</v>
      </c>
      <c r="Y330" s="470">
        <v>0</v>
      </c>
      <c r="Z330" s="471">
        <v>0</v>
      </c>
      <c r="AA330" s="472">
        <v>0</v>
      </c>
      <c r="AB330" s="473">
        <v>0</v>
      </c>
      <c r="AC330" s="493"/>
      <c r="AD330" s="493"/>
      <c r="AE330" s="493">
        <v>0</v>
      </c>
      <c r="AF330" s="509"/>
      <c r="AG330"/>
      <c r="AH330"/>
      <c r="AI330"/>
    </row>
    <row r="331" spans="1:35" ht="12.75" customHeight="1">
      <c r="A331" s="214"/>
      <c r="B331" s="707" t="s">
        <v>2033</v>
      </c>
      <c r="C331" s="461" t="s">
        <v>1080</v>
      </c>
      <c r="D331" s="461" t="s">
        <v>1152</v>
      </c>
      <c r="E331" s="462">
        <v>5</v>
      </c>
      <c r="F331" s="461"/>
      <c r="G331" s="461"/>
      <c r="H331" s="461" t="s">
        <v>445</v>
      </c>
      <c r="I331" s="523" t="s">
        <v>456</v>
      </c>
      <c r="J331" s="462">
        <v>5</v>
      </c>
      <c r="K331" s="461"/>
      <c r="L331" s="461"/>
      <c r="M331" s="523" t="s">
        <v>456</v>
      </c>
      <c r="N331" s="523" t="s">
        <v>451</v>
      </c>
      <c r="O331" s="462">
        <v>5</v>
      </c>
      <c r="P331" s="462" t="s">
        <v>1742</v>
      </c>
      <c r="Q331" s="752">
        <f>R331*(1-Bolts!$E$1157)</f>
        <v>28.894736842105264</v>
      </c>
      <c r="R331" s="752">
        <v>28.894736842105264</v>
      </c>
      <c r="S331" s="464">
        <f t="shared" ref="S331:S339" si="234">SUM(T331:AB331)</f>
        <v>23</v>
      </c>
      <c r="T331" s="465">
        <v>5</v>
      </c>
      <c r="U331" s="466">
        <v>0</v>
      </c>
      <c r="V331" s="467">
        <v>6</v>
      </c>
      <c r="W331" s="468">
        <v>0</v>
      </c>
      <c r="X331" s="469">
        <v>7</v>
      </c>
      <c r="Y331" s="470">
        <v>0</v>
      </c>
      <c r="Z331" s="471">
        <v>0</v>
      </c>
      <c r="AA331" s="472">
        <v>5</v>
      </c>
      <c r="AB331" s="473">
        <v>0</v>
      </c>
      <c r="AC331" s="464">
        <f t="shared" ref="AC331:AC339" si="235">S331*O331</f>
        <v>115</v>
      </c>
      <c r="AD331" s="474">
        <f t="shared" ref="AD331:AD339" si="236">S331*R331</f>
        <v>664.57894736842104</v>
      </c>
      <c r="AE331" s="475">
        <v>0.45813299464755508</v>
      </c>
      <c r="AF331" s="507">
        <f t="shared" ref="AF331:AF339" si="237">AE331*S331</f>
        <v>10.537058876893767</v>
      </c>
      <c r="AG331"/>
      <c r="AH331"/>
      <c r="AI331"/>
    </row>
    <row r="332" spans="1:35" ht="12.75" customHeight="1">
      <c r="A332" s="214"/>
      <c r="B332" s="707" t="s">
        <v>1810</v>
      </c>
      <c r="C332" s="461" t="s">
        <v>1079</v>
      </c>
      <c r="D332" s="461" t="s">
        <v>1152</v>
      </c>
      <c r="E332" s="462">
        <v>10</v>
      </c>
      <c r="F332" s="461"/>
      <c r="G332" s="461"/>
      <c r="H332" s="461" t="s">
        <v>445</v>
      </c>
      <c r="I332" s="523" t="s">
        <v>456</v>
      </c>
      <c r="J332" s="462">
        <v>10</v>
      </c>
      <c r="K332" s="461"/>
      <c r="L332" s="461"/>
      <c r="M332" s="523" t="s">
        <v>456</v>
      </c>
      <c r="N332" s="523" t="s">
        <v>451</v>
      </c>
      <c r="O332" s="462">
        <v>10</v>
      </c>
      <c r="P332" s="462" t="s">
        <v>1808</v>
      </c>
      <c r="Q332" s="752">
        <f>R332*(1-Bolts!$E$1157)</f>
        <v>129.44736842105263</v>
      </c>
      <c r="R332" s="752">
        <v>129.44736842105263</v>
      </c>
      <c r="S332" s="464">
        <f t="shared" si="234"/>
        <v>18</v>
      </c>
      <c r="T332" s="465">
        <v>4</v>
      </c>
      <c r="U332" s="466">
        <v>0</v>
      </c>
      <c r="V332" s="467">
        <v>3</v>
      </c>
      <c r="W332" s="468">
        <v>0</v>
      </c>
      <c r="X332" s="469">
        <v>6</v>
      </c>
      <c r="Y332" s="470">
        <v>0</v>
      </c>
      <c r="Z332" s="471">
        <v>0</v>
      </c>
      <c r="AA332" s="472">
        <v>5</v>
      </c>
      <c r="AB332" s="473">
        <v>0</v>
      </c>
      <c r="AC332" s="464">
        <f t="shared" si="235"/>
        <v>180</v>
      </c>
      <c r="AD332" s="474">
        <f t="shared" si="236"/>
        <v>2330.0526315789475</v>
      </c>
      <c r="AE332" s="475">
        <v>2.7442619976412952</v>
      </c>
      <c r="AF332" s="507">
        <f t="shared" si="237"/>
        <v>49.396715957543314</v>
      </c>
      <c r="AG332"/>
      <c r="AH332"/>
      <c r="AI332"/>
    </row>
    <row r="333" spans="1:35" ht="12.75" customHeight="1">
      <c r="A333" s="214"/>
      <c r="B333" s="707" t="s">
        <v>1663</v>
      </c>
      <c r="C333" s="461" t="s">
        <v>1080</v>
      </c>
      <c r="D333" s="461" t="s">
        <v>1152</v>
      </c>
      <c r="E333" s="462">
        <v>10</v>
      </c>
      <c r="F333" s="461"/>
      <c r="G333" s="461"/>
      <c r="H333" s="461" t="s">
        <v>445</v>
      </c>
      <c r="I333" s="523" t="s">
        <v>456</v>
      </c>
      <c r="J333" s="462">
        <v>10</v>
      </c>
      <c r="K333" s="461"/>
      <c r="L333" s="461"/>
      <c r="M333" s="523" t="s">
        <v>456</v>
      </c>
      <c r="N333" s="523" t="s">
        <v>451</v>
      </c>
      <c r="O333" s="462">
        <v>10</v>
      </c>
      <c r="P333" s="462" t="s">
        <v>1656</v>
      </c>
      <c r="Q333" s="752">
        <f>R333*(1-Bolts!$E$1157)</f>
        <v>81.10526315789474</v>
      </c>
      <c r="R333" s="752">
        <v>81.10526315789474</v>
      </c>
      <c r="S333" s="464">
        <f t="shared" si="234"/>
        <v>22</v>
      </c>
      <c r="T333" s="465">
        <v>5</v>
      </c>
      <c r="U333" s="466">
        <v>0</v>
      </c>
      <c r="V333" s="467">
        <v>2</v>
      </c>
      <c r="W333" s="468">
        <v>0</v>
      </c>
      <c r="X333" s="469">
        <v>9</v>
      </c>
      <c r="Y333" s="470">
        <v>0</v>
      </c>
      <c r="Z333" s="471">
        <v>0</v>
      </c>
      <c r="AA333" s="472">
        <v>6</v>
      </c>
      <c r="AB333" s="473">
        <v>0</v>
      </c>
      <c r="AC333" s="464">
        <f t="shared" si="235"/>
        <v>220</v>
      </c>
      <c r="AD333" s="474">
        <f t="shared" si="236"/>
        <v>1784.3157894736842</v>
      </c>
      <c r="AE333" s="475">
        <v>1.504</v>
      </c>
      <c r="AF333" s="507">
        <f t="shared" si="237"/>
        <v>33.088000000000001</v>
      </c>
      <c r="AG333"/>
      <c r="AH333"/>
      <c r="AI333"/>
    </row>
    <row r="334" spans="1:35" ht="12.75" customHeight="1">
      <c r="A334" s="214"/>
      <c r="B334" s="707" t="s">
        <v>1744</v>
      </c>
      <c r="C334" s="461" t="s">
        <v>1080</v>
      </c>
      <c r="D334" s="461" t="s">
        <v>1152</v>
      </c>
      <c r="E334" s="462">
        <v>10</v>
      </c>
      <c r="F334" s="461"/>
      <c r="G334" s="461"/>
      <c r="H334" s="461" t="s">
        <v>445</v>
      </c>
      <c r="I334" s="523" t="s">
        <v>456</v>
      </c>
      <c r="J334" s="462">
        <v>10</v>
      </c>
      <c r="K334" s="461"/>
      <c r="L334" s="461"/>
      <c r="M334" s="523" t="s">
        <v>456</v>
      </c>
      <c r="N334" s="523" t="s">
        <v>451</v>
      </c>
      <c r="O334" s="462">
        <v>10</v>
      </c>
      <c r="P334" s="462" t="s">
        <v>1738</v>
      </c>
      <c r="Q334" s="752">
        <f>R334*(1-Bolts!$E$1157)</f>
        <v>75.39473684210526</v>
      </c>
      <c r="R334" s="752">
        <v>75.39473684210526</v>
      </c>
      <c r="S334" s="464">
        <f t="shared" si="234"/>
        <v>19</v>
      </c>
      <c r="T334" s="465">
        <v>5</v>
      </c>
      <c r="U334" s="466">
        <v>0</v>
      </c>
      <c r="V334" s="467">
        <v>5</v>
      </c>
      <c r="W334" s="468">
        <v>0</v>
      </c>
      <c r="X334" s="469">
        <v>3</v>
      </c>
      <c r="Y334" s="470">
        <v>0</v>
      </c>
      <c r="Z334" s="471">
        <v>0</v>
      </c>
      <c r="AA334" s="472">
        <v>6</v>
      </c>
      <c r="AB334" s="473">
        <v>0</v>
      </c>
      <c r="AC334" s="464">
        <f t="shared" si="235"/>
        <v>190</v>
      </c>
      <c r="AD334" s="474">
        <f t="shared" si="236"/>
        <v>1432.5</v>
      </c>
      <c r="AE334" s="475">
        <v>1.3562551029665246</v>
      </c>
      <c r="AF334" s="507">
        <f t="shared" si="237"/>
        <v>25.768846956363969</v>
      </c>
      <c r="AG334"/>
      <c r="AH334"/>
      <c r="AI334"/>
    </row>
    <row r="335" spans="1:35" ht="12.75" customHeight="1">
      <c r="A335" s="214"/>
      <c r="B335" s="707" t="s">
        <v>1862</v>
      </c>
      <c r="C335" s="461" t="s">
        <v>1080</v>
      </c>
      <c r="D335" s="461" t="s">
        <v>1152</v>
      </c>
      <c r="E335" s="462">
        <v>10</v>
      </c>
      <c r="F335" s="461"/>
      <c r="G335" s="461"/>
      <c r="H335" s="461" t="s">
        <v>445</v>
      </c>
      <c r="I335" s="523" t="s">
        <v>456</v>
      </c>
      <c r="J335" s="462">
        <v>10</v>
      </c>
      <c r="K335" s="461"/>
      <c r="L335" s="461"/>
      <c r="M335" s="523" t="s">
        <v>456</v>
      </c>
      <c r="N335" s="523" t="s">
        <v>451</v>
      </c>
      <c r="O335" s="462">
        <v>10</v>
      </c>
      <c r="P335" s="462" t="s">
        <v>1863</v>
      </c>
      <c r="Q335" s="752">
        <f>R335*(1-Bolts!$E$1157)</f>
        <v>80.368421052631575</v>
      </c>
      <c r="R335" s="752">
        <v>80.368421052631575</v>
      </c>
      <c r="S335" s="464">
        <f t="shared" si="234"/>
        <v>26</v>
      </c>
      <c r="T335" s="465">
        <v>5</v>
      </c>
      <c r="U335" s="466">
        <v>0</v>
      </c>
      <c r="V335" s="467">
        <v>3</v>
      </c>
      <c r="W335" s="468">
        <v>0</v>
      </c>
      <c r="X335" s="469">
        <v>8</v>
      </c>
      <c r="Y335" s="470">
        <v>0</v>
      </c>
      <c r="Z335" s="471">
        <v>0</v>
      </c>
      <c r="AA335" s="472">
        <v>10</v>
      </c>
      <c r="AB335" s="473">
        <v>0</v>
      </c>
      <c r="AC335" s="464">
        <f t="shared" si="235"/>
        <v>260</v>
      </c>
      <c r="AD335" s="474">
        <f t="shared" si="236"/>
        <v>2089.5789473684208</v>
      </c>
      <c r="AE335" s="475">
        <v>1.4877982400435452</v>
      </c>
      <c r="AF335" s="507">
        <f t="shared" si="237"/>
        <v>38.682754241132173</v>
      </c>
      <c r="AG335"/>
      <c r="AH335"/>
      <c r="AI335"/>
    </row>
    <row r="336" spans="1:35" ht="12.75" customHeight="1">
      <c r="A336" s="214"/>
      <c r="B336" s="707" t="s">
        <v>2111</v>
      </c>
      <c r="C336" s="461" t="s">
        <v>1080</v>
      </c>
      <c r="D336" s="461" t="s">
        <v>1152</v>
      </c>
      <c r="E336" s="462">
        <v>10</v>
      </c>
      <c r="F336" s="461"/>
      <c r="G336" s="461"/>
      <c r="H336" s="461" t="s">
        <v>445</v>
      </c>
      <c r="I336" s="523" t="s">
        <v>456</v>
      </c>
      <c r="J336" s="462">
        <v>10</v>
      </c>
      <c r="K336" s="461"/>
      <c r="L336" s="461"/>
      <c r="M336" s="523" t="s">
        <v>456</v>
      </c>
      <c r="N336" s="523" t="s">
        <v>451</v>
      </c>
      <c r="O336" s="462">
        <v>10</v>
      </c>
      <c r="P336" s="462" t="s">
        <v>2096</v>
      </c>
      <c r="Q336" s="752">
        <f>R336*(1-Bolts!$E$1157)</f>
        <v>86.631578947368425</v>
      </c>
      <c r="R336" s="752">
        <v>86.631578947368425</v>
      </c>
      <c r="S336" s="464">
        <f t="shared" si="234"/>
        <v>22</v>
      </c>
      <c r="T336" s="465">
        <v>5</v>
      </c>
      <c r="U336" s="466">
        <v>0</v>
      </c>
      <c r="V336" s="467">
        <v>3</v>
      </c>
      <c r="W336" s="468">
        <v>0</v>
      </c>
      <c r="X336" s="469">
        <v>9</v>
      </c>
      <c r="Y336" s="470">
        <v>0</v>
      </c>
      <c r="Z336" s="471">
        <v>0</v>
      </c>
      <c r="AA336" s="472">
        <v>5</v>
      </c>
      <c r="AB336" s="473">
        <v>0</v>
      </c>
      <c r="AC336" s="464">
        <f t="shared" si="235"/>
        <v>220</v>
      </c>
      <c r="AD336" s="474">
        <f t="shared" si="236"/>
        <v>1905.8947368421054</v>
      </c>
      <c r="AE336" s="475">
        <v>1.6459999999999999</v>
      </c>
      <c r="AF336" s="507">
        <f t="shared" si="237"/>
        <v>36.211999999999996</v>
      </c>
      <c r="AG336"/>
      <c r="AH336"/>
      <c r="AI336"/>
    </row>
    <row r="337" spans="1:35" ht="12.75" customHeight="1">
      <c r="A337" s="214"/>
      <c r="B337" s="707" t="s">
        <v>1748</v>
      </c>
      <c r="C337" s="461" t="s">
        <v>1080</v>
      </c>
      <c r="D337" s="461" t="s">
        <v>1152</v>
      </c>
      <c r="E337" s="462">
        <v>10</v>
      </c>
      <c r="F337" s="461"/>
      <c r="G337" s="461"/>
      <c r="H337" s="461" t="s">
        <v>445</v>
      </c>
      <c r="I337" s="523" t="s">
        <v>456</v>
      </c>
      <c r="J337" s="462">
        <v>10</v>
      </c>
      <c r="K337" s="461"/>
      <c r="L337" s="461"/>
      <c r="M337" s="523" t="s">
        <v>456</v>
      </c>
      <c r="N337" s="523" t="s">
        <v>451</v>
      </c>
      <c r="O337" s="462">
        <v>10</v>
      </c>
      <c r="P337" s="462" t="s">
        <v>1740</v>
      </c>
      <c r="Q337" s="752">
        <f>R337*(1-Bolts!$E$1157)</f>
        <v>57.60526315789474</v>
      </c>
      <c r="R337" s="752">
        <v>57.60526315789474</v>
      </c>
      <c r="S337" s="464">
        <f t="shared" si="234"/>
        <v>19</v>
      </c>
      <c r="T337" s="465">
        <v>4</v>
      </c>
      <c r="U337" s="466">
        <v>0</v>
      </c>
      <c r="V337" s="467">
        <v>1</v>
      </c>
      <c r="W337" s="468">
        <v>0</v>
      </c>
      <c r="X337" s="469">
        <v>6</v>
      </c>
      <c r="Y337" s="470">
        <v>0</v>
      </c>
      <c r="Z337" s="471">
        <v>0</v>
      </c>
      <c r="AA337" s="472">
        <v>8</v>
      </c>
      <c r="AB337" s="473">
        <v>0</v>
      </c>
      <c r="AC337" s="464">
        <f t="shared" si="235"/>
        <v>190</v>
      </c>
      <c r="AD337" s="474">
        <f t="shared" si="236"/>
        <v>1094.5</v>
      </c>
      <c r="AE337" s="475">
        <v>0.90265807856300462</v>
      </c>
      <c r="AF337" s="507">
        <f t="shared" si="237"/>
        <v>17.150503492697087</v>
      </c>
      <c r="AG337"/>
      <c r="AH337"/>
      <c r="AI337"/>
    </row>
    <row r="338" spans="1:35" ht="12.75" customHeight="1">
      <c r="A338" s="214"/>
      <c r="B338" s="707" t="s">
        <v>1981</v>
      </c>
      <c r="C338" s="461" t="s">
        <v>1080</v>
      </c>
      <c r="D338" s="461" t="s">
        <v>456</v>
      </c>
      <c r="E338" s="462">
        <v>5</v>
      </c>
      <c r="F338" s="461"/>
      <c r="G338" s="461"/>
      <c r="H338" s="461" t="s">
        <v>445</v>
      </c>
      <c r="I338" s="523" t="s">
        <v>456</v>
      </c>
      <c r="J338" s="462">
        <v>5</v>
      </c>
      <c r="K338" s="461"/>
      <c r="L338" s="461"/>
      <c r="M338" s="523" t="s">
        <v>456</v>
      </c>
      <c r="N338" s="523" t="s">
        <v>451</v>
      </c>
      <c r="O338" s="462">
        <v>5</v>
      </c>
      <c r="P338" s="462" t="s">
        <v>1971</v>
      </c>
      <c r="Q338" s="752">
        <f>R338*(1-Bolts!$E$1157)</f>
        <v>243.9736842105263</v>
      </c>
      <c r="R338" s="752">
        <v>243.9736842105263</v>
      </c>
      <c r="S338" s="464">
        <f t="shared" si="234"/>
        <v>3</v>
      </c>
      <c r="T338" s="465">
        <v>0</v>
      </c>
      <c r="U338" s="466">
        <v>1</v>
      </c>
      <c r="V338" s="467">
        <v>0</v>
      </c>
      <c r="W338" s="468">
        <v>1</v>
      </c>
      <c r="X338" s="469">
        <v>0</v>
      </c>
      <c r="Y338" s="470">
        <v>0</v>
      </c>
      <c r="Z338" s="471">
        <v>0</v>
      </c>
      <c r="AA338" s="472">
        <v>0</v>
      </c>
      <c r="AB338" s="473">
        <v>1</v>
      </c>
      <c r="AC338" s="464">
        <f t="shared" si="235"/>
        <v>15</v>
      </c>
      <c r="AD338" s="474">
        <f t="shared" si="236"/>
        <v>731.92105263157896</v>
      </c>
      <c r="AE338" s="475">
        <v>5.94</v>
      </c>
      <c r="AF338" s="507">
        <f t="shared" si="237"/>
        <v>17.82</v>
      </c>
      <c r="AG338"/>
      <c r="AH338"/>
      <c r="AI338"/>
    </row>
    <row r="339" spans="1:35" ht="12.75" customHeight="1">
      <c r="A339" s="214"/>
      <c r="B339" s="703" t="s">
        <v>2206</v>
      </c>
      <c r="C339" s="476" t="s">
        <v>1080</v>
      </c>
      <c r="D339" s="476" t="s">
        <v>456</v>
      </c>
      <c r="E339" s="478">
        <v>5</v>
      </c>
      <c r="F339" s="476"/>
      <c r="G339" s="476"/>
      <c r="H339" s="476" t="s">
        <v>445</v>
      </c>
      <c r="I339" s="476" t="s">
        <v>456</v>
      </c>
      <c r="J339" s="478">
        <v>5</v>
      </c>
      <c r="K339" s="476"/>
      <c r="L339" s="476"/>
      <c r="M339" s="476" t="s">
        <v>456</v>
      </c>
      <c r="N339" s="476" t="s">
        <v>451</v>
      </c>
      <c r="O339" s="478">
        <v>5</v>
      </c>
      <c r="P339" s="478" t="s">
        <v>2203</v>
      </c>
      <c r="Q339" s="752">
        <f>R339*(1-Bolts!$E$1157)</f>
        <v>204.76315789473685</v>
      </c>
      <c r="R339" s="752">
        <v>204.76315789473685</v>
      </c>
      <c r="S339" s="464">
        <f t="shared" si="234"/>
        <v>22</v>
      </c>
      <c r="T339" s="465">
        <v>5</v>
      </c>
      <c r="U339" s="466">
        <v>0</v>
      </c>
      <c r="V339" s="467">
        <v>3</v>
      </c>
      <c r="W339" s="468">
        <v>0</v>
      </c>
      <c r="X339" s="469">
        <v>4</v>
      </c>
      <c r="Y339" s="470">
        <v>0</v>
      </c>
      <c r="Z339" s="471">
        <v>0</v>
      </c>
      <c r="AA339" s="472">
        <v>10</v>
      </c>
      <c r="AB339" s="473">
        <v>0</v>
      </c>
      <c r="AC339" s="464">
        <f t="shared" si="235"/>
        <v>110</v>
      </c>
      <c r="AD339" s="474">
        <f t="shared" si="236"/>
        <v>4504.7894736842109</v>
      </c>
      <c r="AE339" s="475">
        <v>3.4169999999999998</v>
      </c>
      <c r="AF339" s="507">
        <f t="shared" si="237"/>
        <v>75.173999999999992</v>
      </c>
      <c r="AG339"/>
      <c r="AH339"/>
      <c r="AI339"/>
    </row>
    <row r="340" spans="1:35" ht="12.75" customHeight="1">
      <c r="A340" s="211"/>
      <c r="B340" s="714" t="s">
        <v>2034</v>
      </c>
      <c r="C340" s="491" t="str">
        <f>B340</f>
        <v>Smooth Tufas - Companions (0 connection points)</v>
      </c>
      <c r="D340" s="491"/>
      <c r="E340" s="491"/>
      <c r="F340" s="491"/>
      <c r="G340" s="491"/>
      <c r="H340" s="491"/>
      <c r="I340" s="491"/>
      <c r="J340" s="491"/>
      <c r="K340" s="491"/>
      <c r="L340" s="491"/>
      <c r="M340" s="491"/>
      <c r="N340" s="491"/>
      <c r="O340" s="491"/>
      <c r="P340" s="491"/>
      <c r="Q340" s="754"/>
      <c r="R340" s="752">
        <v>0</v>
      </c>
      <c r="S340" s="493"/>
      <c r="T340" s="465">
        <v>0</v>
      </c>
      <c r="U340" s="466">
        <v>0</v>
      </c>
      <c r="V340" s="467">
        <v>0</v>
      </c>
      <c r="W340" s="468">
        <v>0</v>
      </c>
      <c r="X340" s="469">
        <v>0</v>
      </c>
      <c r="Y340" s="470">
        <v>0</v>
      </c>
      <c r="Z340" s="471">
        <v>0</v>
      </c>
      <c r="AA340" s="472">
        <v>0</v>
      </c>
      <c r="AB340" s="473">
        <v>0</v>
      </c>
      <c r="AC340" s="493"/>
      <c r="AD340" s="493"/>
      <c r="AE340" s="493">
        <v>0</v>
      </c>
      <c r="AF340" s="509"/>
      <c r="AG340"/>
      <c r="AH340"/>
      <c r="AI340"/>
    </row>
    <row r="341" spans="1:35" ht="12.75" customHeight="1">
      <c r="A341" s="214"/>
      <c r="B341" s="707" t="s">
        <v>1978</v>
      </c>
      <c r="C341" s="461" t="s">
        <v>1080</v>
      </c>
      <c r="D341" s="461" t="s">
        <v>1151</v>
      </c>
      <c r="E341" s="462">
        <v>1</v>
      </c>
      <c r="F341" s="461"/>
      <c r="G341" s="461"/>
      <c r="H341" s="461" t="s">
        <v>445</v>
      </c>
      <c r="I341" s="523" t="s">
        <v>457</v>
      </c>
      <c r="J341" s="462">
        <v>1</v>
      </c>
      <c r="K341" s="461"/>
      <c r="L341" s="461"/>
      <c r="M341" s="523" t="s">
        <v>457</v>
      </c>
      <c r="N341" s="523" t="s">
        <v>449</v>
      </c>
      <c r="O341" s="462">
        <v>1</v>
      </c>
      <c r="P341" s="462" t="s">
        <v>1965</v>
      </c>
      <c r="Q341" s="752">
        <f>R341*(1-Bolts!$E$1157)</f>
        <v>115.71052631578947</v>
      </c>
      <c r="R341" s="752">
        <v>115.71052631578947</v>
      </c>
      <c r="S341" s="464">
        <f t="shared" ref="S341" si="238">SUM(T341:AB341)</f>
        <v>23</v>
      </c>
      <c r="T341" s="465">
        <v>4</v>
      </c>
      <c r="U341" s="466">
        <v>0</v>
      </c>
      <c r="V341" s="467">
        <v>7</v>
      </c>
      <c r="W341" s="468">
        <v>0</v>
      </c>
      <c r="X341" s="469">
        <v>4</v>
      </c>
      <c r="Y341" s="470">
        <v>0</v>
      </c>
      <c r="Z341" s="471">
        <v>0</v>
      </c>
      <c r="AA341" s="472">
        <v>8</v>
      </c>
      <c r="AB341" s="473">
        <v>0</v>
      </c>
      <c r="AC341" s="464">
        <f>S341*O341</f>
        <v>23</v>
      </c>
      <c r="AD341" s="474">
        <f>S341*R341</f>
        <v>2661.3421052631579</v>
      </c>
      <c r="AE341" s="475">
        <v>2.3319999999999999</v>
      </c>
      <c r="AF341" s="507">
        <f t="shared" ref="AF341:AF342" si="239">AE341*S341</f>
        <v>53.635999999999996</v>
      </c>
      <c r="AG341"/>
      <c r="AH341"/>
      <c r="AI341"/>
    </row>
    <row r="342" spans="1:35" ht="12.75" customHeight="1">
      <c r="A342" s="214"/>
      <c r="B342" s="707" t="s">
        <v>1982</v>
      </c>
      <c r="C342" s="461" t="s">
        <v>1080</v>
      </c>
      <c r="D342" s="461" t="s">
        <v>1151</v>
      </c>
      <c r="E342" s="462">
        <v>1</v>
      </c>
      <c r="F342" s="461"/>
      <c r="G342" s="461"/>
      <c r="H342" s="461" t="s">
        <v>445</v>
      </c>
      <c r="I342" s="523" t="s">
        <v>457</v>
      </c>
      <c r="J342" s="462">
        <v>1</v>
      </c>
      <c r="K342" s="461"/>
      <c r="L342" s="461"/>
      <c r="M342" s="523" t="s">
        <v>457</v>
      </c>
      <c r="N342" s="523" t="s">
        <v>449</v>
      </c>
      <c r="O342" s="462">
        <v>1</v>
      </c>
      <c r="P342" s="462" t="s">
        <v>1975</v>
      </c>
      <c r="Q342" s="752">
        <f>R342*(1-Bolts!$E$1157)</f>
        <v>120.39473684210526</v>
      </c>
      <c r="R342" s="752">
        <v>120.39473684210526</v>
      </c>
      <c r="S342" s="464">
        <f>SUM(T342:AB342)</f>
        <v>26</v>
      </c>
      <c r="T342" s="465">
        <v>5</v>
      </c>
      <c r="U342" s="466">
        <v>0</v>
      </c>
      <c r="V342" s="467">
        <v>6</v>
      </c>
      <c r="W342" s="468">
        <v>0</v>
      </c>
      <c r="X342" s="469">
        <v>5</v>
      </c>
      <c r="Y342" s="470">
        <v>0</v>
      </c>
      <c r="Z342" s="471">
        <v>0</v>
      </c>
      <c r="AA342" s="472">
        <v>10</v>
      </c>
      <c r="AB342" s="473">
        <v>0</v>
      </c>
      <c r="AC342" s="464">
        <f>S342*O342</f>
        <v>26</v>
      </c>
      <c r="AD342" s="474">
        <f>S342*R342</f>
        <v>3130.2631578947367</v>
      </c>
      <c r="AE342" s="475">
        <v>2.218</v>
      </c>
      <c r="AF342" s="507">
        <f t="shared" si="239"/>
        <v>57.667999999999999</v>
      </c>
      <c r="AG342"/>
      <c r="AH342"/>
      <c r="AI342"/>
    </row>
    <row r="343" spans="1:35" ht="40" customHeight="1">
      <c r="A343" s="616" t="s">
        <v>2110</v>
      </c>
      <c r="B343" s="712" t="s">
        <v>2159</v>
      </c>
      <c r="C343" s="491"/>
      <c r="D343" s="491"/>
      <c r="E343" s="495"/>
      <c r="F343" s="491"/>
      <c r="G343" s="491"/>
      <c r="H343" s="491"/>
      <c r="I343" s="491"/>
      <c r="J343" s="495"/>
      <c r="K343" s="491"/>
      <c r="L343" s="491"/>
      <c r="M343" s="491"/>
      <c r="N343" s="491"/>
      <c r="O343" s="495"/>
      <c r="P343" s="495"/>
      <c r="Q343" s="496"/>
      <c r="R343" s="463">
        <v>0</v>
      </c>
      <c r="S343" s="497"/>
      <c r="T343" s="494" t="s">
        <v>1328</v>
      </c>
      <c r="U343" s="498"/>
      <c r="V343" s="499"/>
      <c r="W343" s="500"/>
      <c r="X343" s="501"/>
      <c r="Y343" s="502"/>
      <c r="Z343" s="524"/>
      <c r="AA343" s="525"/>
      <c r="AB343" s="526"/>
      <c r="AC343" s="497"/>
      <c r="AD343" s="527"/>
      <c r="AE343" s="528">
        <v>0</v>
      </c>
      <c r="AF343" s="590"/>
      <c r="AH343"/>
    </row>
    <row r="344" spans="1:35" ht="60">
      <c r="A344" s="212"/>
      <c r="B344" s="712"/>
      <c r="C344" s="491"/>
      <c r="D344" s="491"/>
      <c r="E344" s="495"/>
      <c r="F344" s="491"/>
      <c r="G344" s="491"/>
      <c r="H344" s="491"/>
      <c r="I344" s="491"/>
      <c r="J344" s="495"/>
      <c r="K344" s="491"/>
      <c r="L344" s="491"/>
      <c r="M344" s="491"/>
      <c r="N344" s="491"/>
      <c r="O344" s="495"/>
      <c r="P344" s="495"/>
      <c r="Q344" s="496"/>
      <c r="R344" s="463">
        <v>0</v>
      </c>
      <c r="S344" s="497"/>
      <c r="T344" s="541" t="s">
        <v>2067</v>
      </c>
      <c r="U344" s="584" t="s">
        <v>2117</v>
      </c>
      <c r="V344" s="542" t="s">
        <v>2064</v>
      </c>
      <c r="W344" s="543" t="s">
        <v>2065</v>
      </c>
      <c r="X344" s="544" t="s">
        <v>2066</v>
      </c>
      <c r="Y344" s="545" t="s">
        <v>2068</v>
      </c>
      <c r="Z344" s="546" t="s">
        <v>2069</v>
      </c>
      <c r="AA344" s="547" t="s">
        <v>2070</v>
      </c>
      <c r="AB344" s="548" t="s">
        <v>2063</v>
      </c>
      <c r="AC344" s="497"/>
      <c r="AD344" s="527"/>
      <c r="AE344" s="528">
        <v>0</v>
      </c>
      <c r="AF344" s="590"/>
      <c r="AH344"/>
    </row>
    <row r="345" spans="1:35" ht="13.5">
      <c r="A345" s="214"/>
      <c r="B345" s="707" t="s">
        <v>2369</v>
      </c>
      <c r="C345" s="461" t="s">
        <v>1080</v>
      </c>
      <c r="D345" s="461" t="s">
        <v>1146</v>
      </c>
      <c r="E345" s="462">
        <v>2</v>
      </c>
      <c r="F345" s="461"/>
      <c r="G345" s="461"/>
      <c r="H345" s="461" t="s">
        <v>2110</v>
      </c>
      <c r="I345" s="523" t="s">
        <v>2113</v>
      </c>
      <c r="J345" s="462">
        <v>2</v>
      </c>
      <c r="K345" s="461"/>
      <c r="L345" s="461"/>
      <c r="M345" s="523" t="s">
        <v>2113</v>
      </c>
      <c r="N345" s="523" t="s">
        <v>452</v>
      </c>
      <c r="O345" s="462">
        <v>2</v>
      </c>
      <c r="P345" s="462" t="s">
        <v>2155</v>
      </c>
      <c r="Q345" s="752">
        <f>R345*(1-Bolts!$E$1157)</f>
        <v>378.84210526315792</v>
      </c>
      <c r="R345" s="752">
        <v>378.84210526315792</v>
      </c>
      <c r="S345" s="464">
        <f t="shared" ref="S345:S355" si="240">SUM(T345:AB345)</f>
        <v>0</v>
      </c>
      <c r="T345" s="465"/>
      <c r="U345" s="585"/>
      <c r="V345" s="467"/>
      <c r="W345" s="468"/>
      <c r="X345" s="469"/>
      <c r="Y345" s="470"/>
      <c r="Z345" s="471"/>
      <c r="AA345" s="472"/>
      <c r="AB345" s="473"/>
      <c r="AC345" s="464">
        <f t="shared" ref="AC345:AC355" si="241">S345*O345</f>
        <v>0</v>
      </c>
      <c r="AD345" s="474">
        <f t="shared" ref="AD345:AD355" si="242">S345*R345</f>
        <v>0</v>
      </c>
      <c r="AE345" s="475">
        <v>5.3297650367413585</v>
      </c>
      <c r="AF345" s="507">
        <f t="shared" ref="AF345:AF355" si="243">AE345*S345</f>
        <v>0</v>
      </c>
      <c r="AH345"/>
    </row>
    <row r="346" spans="1:35" ht="12.75" customHeight="1">
      <c r="A346" s="214"/>
      <c r="B346" s="707" t="s">
        <v>2212</v>
      </c>
      <c r="C346" s="461" t="s">
        <v>1080</v>
      </c>
      <c r="D346" s="461" t="s">
        <v>1146</v>
      </c>
      <c r="E346" s="462">
        <v>1</v>
      </c>
      <c r="F346" s="461"/>
      <c r="G346" s="461"/>
      <c r="H346" s="461" t="s">
        <v>2110</v>
      </c>
      <c r="I346" s="523" t="s">
        <v>2113</v>
      </c>
      <c r="J346" s="462">
        <v>1</v>
      </c>
      <c r="K346" s="461"/>
      <c r="L346" s="461"/>
      <c r="M346" s="523" t="s">
        <v>2113</v>
      </c>
      <c r="N346" s="523" t="s">
        <v>452</v>
      </c>
      <c r="O346" s="462">
        <v>1</v>
      </c>
      <c r="P346" s="462" t="s">
        <v>2153</v>
      </c>
      <c r="Q346" s="752">
        <f>R346*(1-Bolts!$E$1157)</f>
        <v>189.42105263157896</v>
      </c>
      <c r="R346" s="752">
        <v>189.42105263157896</v>
      </c>
      <c r="S346" s="464">
        <f t="shared" ref="S346" si="244">SUM(T346:AB346)</f>
        <v>0</v>
      </c>
      <c r="T346" s="465"/>
      <c r="U346" s="585"/>
      <c r="V346" s="467"/>
      <c r="W346" s="468"/>
      <c r="X346" s="469"/>
      <c r="Y346" s="470"/>
      <c r="Z346" s="471"/>
      <c r="AA346" s="472"/>
      <c r="AB346" s="473"/>
      <c r="AC346" s="464">
        <f t="shared" si="241"/>
        <v>0</v>
      </c>
      <c r="AD346" s="474">
        <f t="shared" si="242"/>
        <v>0</v>
      </c>
      <c r="AE346" s="475">
        <v>2.7850857298376122</v>
      </c>
      <c r="AF346" s="507">
        <f t="shared" ref="AF346" si="245">AE346*S346</f>
        <v>0</v>
      </c>
      <c r="AG346"/>
      <c r="AH346"/>
      <c r="AI346"/>
    </row>
    <row r="347" spans="1:35" ht="12.75" customHeight="1">
      <c r="A347" s="214"/>
      <c r="B347" s="707" t="s">
        <v>2213</v>
      </c>
      <c r="C347" s="461" t="s">
        <v>1080</v>
      </c>
      <c r="D347" s="461" t="s">
        <v>1146</v>
      </c>
      <c r="E347" s="462">
        <v>1</v>
      </c>
      <c r="F347" s="461"/>
      <c r="G347" s="461"/>
      <c r="H347" s="461" t="s">
        <v>2110</v>
      </c>
      <c r="I347" s="523" t="s">
        <v>2113</v>
      </c>
      <c r="J347" s="462">
        <v>1</v>
      </c>
      <c r="K347" s="461"/>
      <c r="L347" s="461"/>
      <c r="M347" s="523" t="s">
        <v>2113</v>
      </c>
      <c r="N347" s="523" t="s">
        <v>452</v>
      </c>
      <c r="O347" s="462">
        <v>1</v>
      </c>
      <c r="P347" s="462" t="s">
        <v>2154</v>
      </c>
      <c r="Q347" s="752">
        <f>R347*(1-Bolts!$E$1157)</f>
        <v>189.42105263157896</v>
      </c>
      <c r="R347" s="752">
        <v>189.42105263157896</v>
      </c>
      <c r="S347" s="464">
        <f t="shared" si="240"/>
        <v>0</v>
      </c>
      <c r="T347" s="465"/>
      <c r="U347" s="585"/>
      <c r="V347" s="467"/>
      <c r="W347" s="468"/>
      <c r="X347" s="469"/>
      <c r="Y347" s="470"/>
      <c r="Z347" s="471"/>
      <c r="AA347" s="472"/>
      <c r="AB347" s="473"/>
      <c r="AC347" s="464">
        <f t="shared" si="241"/>
        <v>0</v>
      </c>
      <c r="AD347" s="474">
        <f t="shared" si="242"/>
        <v>0</v>
      </c>
      <c r="AE347" s="475">
        <v>2.5446793069037468</v>
      </c>
      <c r="AF347" s="507">
        <f t="shared" si="243"/>
        <v>0</v>
      </c>
      <c r="AG347"/>
      <c r="AH347"/>
      <c r="AI347"/>
    </row>
    <row r="348" spans="1:35" ht="12.75" customHeight="1">
      <c r="A348" s="214"/>
      <c r="B348" s="707" t="s">
        <v>2374</v>
      </c>
      <c r="C348" s="461" t="s">
        <v>1079</v>
      </c>
      <c r="D348" s="461" t="s">
        <v>1150</v>
      </c>
      <c r="E348" s="462">
        <v>5</v>
      </c>
      <c r="F348" s="461"/>
      <c r="G348" s="461"/>
      <c r="H348" s="461" t="s">
        <v>2110</v>
      </c>
      <c r="I348" s="523" t="s">
        <v>2113</v>
      </c>
      <c r="J348" s="462">
        <v>5</v>
      </c>
      <c r="K348" s="461"/>
      <c r="L348" s="461"/>
      <c r="M348" s="523" t="s">
        <v>2113</v>
      </c>
      <c r="N348" s="523" t="s">
        <v>452</v>
      </c>
      <c r="O348" s="462">
        <v>5</v>
      </c>
      <c r="P348" s="462" t="s">
        <v>2157</v>
      </c>
      <c r="Q348" s="752">
        <f>R348*(1-Bolts!$E$1157)</f>
        <v>527.8947368421052</v>
      </c>
      <c r="R348" s="752">
        <v>527.8947368421052</v>
      </c>
      <c r="S348" s="464">
        <f>SUM(T348:AB348)</f>
        <v>0</v>
      </c>
      <c r="T348" s="465"/>
      <c r="U348" s="585"/>
      <c r="V348" s="467"/>
      <c r="W348" s="468"/>
      <c r="X348" s="469"/>
      <c r="Y348" s="470"/>
      <c r="Z348" s="471"/>
      <c r="AA348" s="472"/>
      <c r="AB348" s="473"/>
      <c r="AC348" s="464">
        <f t="shared" si="241"/>
        <v>0</v>
      </c>
      <c r="AD348" s="474">
        <f t="shared" si="242"/>
        <v>0</v>
      </c>
      <c r="AE348" s="475">
        <v>6.4047899845777003</v>
      </c>
      <c r="AF348" s="507">
        <f>AE348*S348</f>
        <v>0</v>
      </c>
      <c r="AG348"/>
      <c r="AH348"/>
      <c r="AI348"/>
    </row>
    <row r="349" spans="1:35" ht="12.75" customHeight="1">
      <c r="A349" s="214"/>
      <c r="B349" s="707" t="s">
        <v>2384</v>
      </c>
      <c r="C349" s="461" t="s">
        <v>1080</v>
      </c>
      <c r="D349" s="461" t="s">
        <v>1146</v>
      </c>
      <c r="E349" s="462">
        <v>2</v>
      </c>
      <c r="F349" s="461"/>
      <c r="G349" s="461"/>
      <c r="H349" s="461" t="s">
        <v>2110</v>
      </c>
      <c r="I349" s="523" t="s">
        <v>2113</v>
      </c>
      <c r="J349" s="462">
        <v>2</v>
      </c>
      <c r="K349" s="461"/>
      <c r="L349" s="461"/>
      <c r="M349" s="523" t="s">
        <v>2113</v>
      </c>
      <c r="N349" s="523" t="s">
        <v>452</v>
      </c>
      <c r="O349" s="462">
        <v>2</v>
      </c>
      <c r="P349" s="462" t="s">
        <v>2261</v>
      </c>
      <c r="Q349" s="752">
        <f>R349*(1-Bolts!$E$1157)</f>
        <v>325.39473684210526</v>
      </c>
      <c r="R349" s="752">
        <v>325.39473684210526</v>
      </c>
      <c r="S349" s="464">
        <f t="shared" ref="S349:S351" si="246">SUM(T349:AB349)</f>
        <v>0</v>
      </c>
      <c r="T349" s="465"/>
      <c r="U349" s="585"/>
      <c r="V349" s="467"/>
      <c r="W349" s="468"/>
      <c r="X349" s="469"/>
      <c r="Y349" s="470"/>
      <c r="Z349" s="471"/>
      <c r="AA349" s="472"/>
      <c r="AB349" s="473"/>
      <c r="AC349" s="464">
        <f t="shared" si="241"/>
        <v>0</v>
      </c>
      <c r="AD349" s="474">
        <f t="shared" si="242"/>
        <v>0</v>
      </c>
      <c r="AE349" s="475">
        <v>7.2575523904563184</v>
      </c>
      <c r="AF349" s="507">
        <f t="shared" ref="AF349:AF351" si="247">AE349*S349</f>
        <v>0</v>
      </c>
      <c r="AG349"/>
      <c r="AH349"/>
      <c r="AI349"/>
    </row>
    <row r="350" spans="1:35" ht="12.75" customHeight="1">
      <c r="A350" s="214"/>
      <c r="B350" s="707" t="s">
        <v>2373</v>
      </c>
      <c r="C350" s="461" t="s">
        <v>1080</v>
      </c>
      <c r="D350" s="461" t="s">
        <v>1150</v>
      </c>
      <c r="E350" s="462">
        <v>3</v>
      </c>
      <c r="F350" s="461"/>
      <c r="G350" s="461"/>
      <c r="H350" s="461" t="s">
        <v>2110</v>
      </c>
      <c r="I350" s="523" t="s">
        <v>2113</v>
      </c>
      <c r="J350" s="462">
        <v>3</v>
      </c>
      <c r="K350" s="461"/>
      <c r="L350" s="461"/>
      <c r="M350" s="523" t="s">
        <v>2113</v>
      </c>
      <c r="N350" s="523" t="s">
        <v>452</v>
      </c>
      <c r="O350" s="462">
        <v>3</v>
      </c>
      <c r="P350" s="462" t="s">
        <v>2266</v>
      </c>
      <c r="Q350" s="752">
        <f>R350*(1-Bolts!$E$1157)</f>
        <v>525</v>
      </c>
      <c r="R350" s="752">
        <v>525</v>
      </c>
      <c r="S350" s="464">
        <f t="shared" si="246"/>
        <v>0</v>
      </c>
      <c r="T350" s="465"/>
      <c r="U350" s="585"/>
      <c r="V350" s="467"/>
      <c r="W350" s="468"/>
      <c r="X350" s="469"/>
      <c r="Y350" s="470"/>
      <c r="Z350" s="471"/>
      <c r="AA350" s="472"/>
      <c r="AB350" s="473"/>
      <c r="AC350" s="464">
        <f t="shared" si="241"/>
        <v>0</v>
      </c>
      <c r="AD350" s="474">
        <f t="shared" si="242"/>
        <v>0</v>
      </c>
      <c r="AE350" s="475">
        <v>4.7174090537966071</v>
      </c>
      <c r="AF350" s="507">
        <f t="shared" si="247"/>
        <v>0</v>
      </c>
      <c r="AG350"/>
      <c r="AH350"/>
      <c r="AI350"/>
    </row>
    <row r="351" spans="1:35" ht="12.75" customHeight="1">
      <c r="A351" s="214"/>
      <c r="B351" s="707" t="s">
        <v>2389</v>
      </c>
      <c r="C351" s="461" t="s">
        <v>1080</v>
      </c>
      <c r="D351" s="461" t="s">
        <v>1146</v>
      </c>
      <c r="E351" s="462">
        <v>2</v>
      </c>
      <c r="F351" s="461"/>
      <c r="G351" s="461"/>
      <c r="H351" s="461" t="s">
        <v>2110</v>
      </c>
      <c r="I351" s="523" t="s">
        <v>2113</v>
      </c>
      <c r="J351" s="462">
        <v>2</v>
      </c>
      <c r="K351" s="461"/>
      <c r="L351" s="461"/>
      <c r="M351" s="523" t="s">
        <v>2113</v>
      </c>
      <c r="N351" s="523" t="s">
        <v>452</v>
      </c>
      <c r="O351" s="462">
        <v>2</v>
      </c>
      <c r="P351" s="462" t="s">
        <v>2267</v>
      </c>
      <c r="Q351" s="752">
        <f>R351*(1-Bolts!$E$1157)</f>
        <v>342.55263157894734</v>
      </c>
      <c r="R351" s="752">
        <v>342.55263157894734</v>
      </c>
      <c r="S351" s="464">
        <f t="shared" si="246"/>
        <v>0</v>
      </c>
      <c r="T351" s="465"/>
      <c r="U351" s="585"/>
      <c r="V351" s="467"/>
      <c r="W351" s="468"/>
      <c r="X351" s="469"/>
      <c r="Y351" s="470"/>
      <c r="Z351" s="471"/>
      <c r="AA351" s="472"/>
      <c r="AB351" s="473"/>
      <c r="AC351" s="464">
        <f t="shared" si="241"/>
        <v>0</v>
      </c>
      <c r="AD351" s="474">
        <f t="shared" si="242"/>
        <v>0</v>
      </c>
      <c r="AE351" s="475">
        <v>7.1668329855756143</v>
      </c>
      <c r="AF351" s="507">
        <f t="shared" si="247"/>
        <v>0</v>
      </c>
      <c r="AG351"/>
      <c r="AH351"/>
      <c r="AI351"/>
    </row>
    <row r="352" spans="1:35" ht="12.75" customHeight="1">
      <c r="A352" s="214"/>
      <c r="B352" s="707" t="s">
        <v>2370</v>
      </c>
      <c r="C352" s="461" t="s">
        <v>1080</v>
      </c>
      <c r="D352" s="461" t="s">
        <v>1146</v>
      </c>
      <c r="E352" s="462">
        <v>1</v>
      </c>
      <c r="F352" s="461"/>
      <c r="G352" s="461"/>
      <c r="H352" s="461" t="s">
        <v>2110</v>
      </c>
      <c r="I352" s="523" t="s">
        <v>2113</v>
      </c>
      <c r="J352" s="462">
        <v>1</v>
      </c>
      <c r="K352" s="461"/>
      <c r="L352" s="461"/>
      <c r="M352" s="523" t="s">
        <v>2113</v>
      </c>
      <c r="N352" s="523" t="s">
        <v>452</v>
      </c>
      <c r="O352" s="462">
        <v>1</v>
      </c>
      <c r="P352" s="462" t="s">
        <v>2371</v>
      </c>
      <c r="Q352" s="752">
        <f>R352*(1-Bolts!$E$1157)</f>
        <v>357.21052631578948</v>
      </c>
      <c r="R352" s="752">
        <v>357.21052631578948</v>
      </c>
      <c r="S352" s="464">
        <f t="shared" ref="S352" si="248">SUM(T352:AB352)</f>
        <v>0</v>
      </c>
      <c r="T352" s="465"/>
      <c r="U352" s="585"/>
      <c r="V352" s="467"/>
      <c r="W352" s="468"/>
      <c r="X352" s="469"/>
      <c r="Y352" s="470"/>
      <c r="Z352" s="471"/>
      <c r="AA352" s="472"/>
      <c r="AB352" s="473"/>
      <c r="AC352" s="464">
        <f t="shared" si="241"/>
        <v>0</v>
      </c>
      <c r="AD352" s="474">
        <f t="shared" si="242"/>
        <v>0</v>
      </c>
      <c r="AE352" s="475">
        <v>4.1277329220720311</v>
      </c>
      <c r="AF352" s="507">
        <f t="shared" ref="AF352" si="249">AE352*S352</f>
        <v>0</v>
      </c>
      <c r="AG352"/>
      <c r="AH352"/>
      <c r="AI352"/>
    </row>
    <row r="353" spans="1:35" ht="12.75" customHeight="1">
      <c r="A353" s="214"/>
      <c r="B353" s="707" t="s">
        <v>2386</v>
      </c>
      <c r="C353" s="461" t="s">
        <v>1080</v>
      </c>
      <c r="D353" s="461" t="s">
        <v>1146</v>
      </c>
      <c r="E353" s="462">
        <v>2</v>
      </c>
      <c r="F353" s="461"/>
      <c r="G353" s="461"/>
      <c r="H353" s="461" t="s">
        <v>2110</v>
      </c>
      <c r="I353" s="523" t="s">
        <v>2113</v>
      </c>
      <c r="J353" s="462">
        <v>2</v>
      </c>
      <c r="K353" s="461"/>
      <c r="L353" s="461"/>
      <c r="M353" s="523" t="s">
        <v>2113</v>
      </c>
      <c r="N353" s="523" t="s">
        <v>452</v>
      </c>
      <c r="O353" s="462">
        <v>2</v>
      </c>
      <c r="P353" s="462" t="s">
        <v>2264</v>
      </c>
      <c r="Q353" s="752">
        <f>R353*(1-Bolts!$E$1157)</f>
        <v>419</v>
      </c>
      <c r="R353" s="752">
        <v>419</v>
      </c>
      <c r="S353" s="464">
        <f t="shared" ref="S353" si="250">SUM(T353:AB353)</f>
        <v>0</v>
      </c>
      <c r="T353" s="465"/>
      <c r="U353" s="585"/>
      <c r="V353" s="467"/>
      <c r="W353" s="468"/>
      <c r="X353" s="469"/>
      <c r="Y353" s="470"/>
      <c r="Z353" s="471"/>
      <c r="AA353" s="472"/>
      <c r="AB353" s="473"/>
      <c r="AC353" s="464">
        <f t="shared" si="241"/>
        <v>0</v>
      </c>
      <c r="AD353" s="474">
        <f t="shared" si="242"/>
        <v>0</v>
      </c>
      <c r="AE353" s="475">
        <v>5.0802866733194225</v>
      </c>
      <c r="AF353" s="507">
        <f t="shared" ref="AF353" si="251">AE353*S353</f>
        <v>0</v>
      </c>
      <c r="AG353"/>
      <c r="AH353"/>
      <c r="AI353"/>
    </row>
    <row r="354" spans="1:35" ht="12.75" customHeight="1">
      <c r="A354" s="214"/>
      <c r="B354" s="707" t="s">
        <v>2372</v>
      </c>
      <c r="C354" s="461" t="s">
        <v>1080</v>
      </c>
      <c r="D354" s="461" t="s">
        <v>1146</v>
      </c>
      <c r="E354" s="462">
        <v>2</v>
      </c>
      <c r="F354" s="461"/>
      <c r="G354" s="461"/>
      <c r="H354" s="461" t="s">
        <v>2110</v>
      </c>
      <c r="I354" s="523" t="s">
        <v>2113</v>
      </c>
      <c r="J354" s="462">
        <v>2</v>
      </c>
      <c r="K354" s="461"/>
      <c r="L354" s="461"/>
      <c r="M354" s="523" t="s">
        <v>2113</v>
      </c>
      <c r="N354" s="523" t="s">
        <v>452</v>
      </c>
      <c r="O354" s="462">
        <v>2</v>
      </c>
      <c r="P354" s="462" t="s">
        <v>2268</v>
      </c>
      <c r="Q354" s="752">
        <f>R354*(1-Bolts!$E$1157)</f>
        <v>248.73684210526315</v>
      </c>
      <c r="R354" s="752">
        <v>248.73684210526315</v>
      </c>
      <c r="S354" s="464">
        <f t="shared" si="240"/>
        <v>0</v>
      </c>
      <c r="T354" s="465"/>
      <c r="U354" s="585"/>
      <c r="V354" s="467"/>
      <c r="W354" s="468"/>
      <c r="X354" s="469"/>
      <c r="Y354" s="470"/>
      <c r="Z354" s="471"/>
      <c r="AA354" s="472"/>
      <c r="AB354" s="473"/>
      <c r="AC354" s="464">
        <f t="shared" si="241"/>
        <v>0</v>
      </c>
      <c r="AD354" s="474">
        <f t="shared" si="242"/>
        <v>0</v>
      </c>
      <c r="AE354" s="475">
        <v>5.6699628050439985</v>
      </c>
      <c r="AF354" s="507">
        <f t="shared" si="243"/>
        <v>0</v>
      </c>
      <c r="AG354"/>
      <c r="AH354"/>
      <c r="AI354"/>
    </row>
    <row r="355" spans="1:35" ht="12.75" customHeight="1">
      <c r="A355" s="214"/>
      <c r="B355" s="707" t="s">
        <v>2383</v>
      </c>
      <c r="C355" s="461" t="s">
        <v>1080</v>
      </c>
      <c r="D355" s="461" t="s">
        <v>1146</v>
      </c>
      <c r="E355" s="462">
        <v>1</v>
      </c>
      <c r="F355" s="461"/>
      <c r="G355" s="461"/>
      <c r="H355" s="461" t="s">
        <v>2110</v>
      </c>
      <c r="I355" s="523" t="s">
        <v>2113</v>
      </c>
      <c r="J355" s="462">
        <v>1</v>
      </c>
      <c r="K355" s="461"/>
      <c r="L355" s="461"/>
      <c r="M355" s="523" t="s">
        <v>2113</v>
      </c>
      <c r="N355" s="523" t="s">
        <v>452</v>
      </c>
      <c r="O355" s="462">
        <v>1</v>
      </c>
      <c r="P355" s="462" t="s">
        <v>2265</v>
      </c>
      <c r="Q355" s="752">
        <f>R355*(1-Bolts!$E$1157)</f>
        <v>225.84210526315792</v>
      </c>
      <c r="R355" s="752">
        <v>225.84210526315792</v>
      </c>
      <c r="S355" s="464">
        <f t="shared" si="240"/>
        <v>0</v>
      </c>
      <c r="T355" s="465"/>
      <c r="U355" s="585"/>
      <c r="V355" s="467"/>
      <c r="W355" s="468"/>
      <c r="X355" s="469"/>
      <c r="Y355" s="470"/>
      <c r="Z355" s="471"/>
      <c r="AA355" s="472"/>
      <c r="AB355" s="473"/>
      <c r="AC355" s="464">
        <f t="shared" si="241"/>
        <v>0</v>
      </c>
      <c r="AD355" s="474">
        <f t="shared" si="242"/>
        <v>0</v>
      </c>
      <c r="AE355" s="475">
        <v>6.9400344733738546</v>
      </c>
      <c r="AF355" s="507">
        <f t="shared" si="243"/>
        <v>0</v>
      </c>
      <c r="AG355"/>
      <c r="AH355"/>
      <c r="AI355"/>
    </row>
    <row r="356" spans="1:35" ht="12.75" customHeight="1">
      <c r="A356" s="48"/>
      <c r="B356" s="705"/>
      <c r="C356" s="476"/>
      <c r="D356" s="476"/>
      <c r="E356" s="478"/>
      <c r="F356" s="476"/>
      <c r="G356" s="476"/>
      <c r="H356" s="476"/>
      <c r="I356" s="477"/>
      <c r="J356" s="478"/>
      <c r="K356" s="476"/>
      <c r="L356" s="476"/>
      <c r="M356" s="477"/>
      <c r="N356" s="477"/>
      <c r="O356" s="478"/>
      <c r="P356" s="478"/>
      <c r="Q356" s="753"/>
      <c r="R356" s="752">
        <v>0</v>
      </c>
      <c r="S356" s="479"/>
      <c r="T356" s="480"/>
      <c r="U356" s="481"/>
      <c r="V356" s="482"/>
      <c r="W356" s="483"/>
      <c r="X356" s="484"/>
      <c r="Y356" s="485"/>
      <c r="Z356" s="486"/>
      <c r="AA356" s="487"/>
      <c r="AB356" s="490"/>
      <c r="AC356" s="479"/>
      <c r="AD356" s="488"/>
      <c r="AE356" s="489">
        <v>0</v>
      </c>
      <c r="AF356" s="508"/>
      <c r="AG356"/>
      <c r="AH356"/>
      <c r="AI356"/>
    </row>
    <row r="357" spans="1:35" ht="12.75" customHeight="1">
      <c r="A357" s="214"/>
      <c r="B357" s="707" t="s">
        <v>2375</v>
      </c>
      <c r="C357" s="461" t="s">
        <v>1076</v>
      </c>
      <c r="D357" s="461" t="s">
        <v>1146</v>
      </c>
      <c r="E357" s="462">
        <v>2</v>
      </c>
      <c r="F357" s="461"/>
      <c r="G357" s="461"/>
      <c r="H357" s="461" t="s">
        <v>2110</v>
      </c>
      <c r="I357" s="523" t="s">
        <v>2113</v>
      </c>
      <c r="J357" s="462">
        <v>2</v>
      </c>
      <c r="K357" s="461"/>
      <c r="L357" s="461"/>
      <c r="M357" s="523" t="s">
        <v>2113</v>
      </c>
      <c r="N357" s="523" t="s">
        <v>452</v>
      </c>
      <c r="O357" s="462">
        <v>2</v>
      </c>
      <c r="P357" s="462" t="s">
        <v>2253</v>
      </c>
      <c r="Q357" s="752">
        <f>R357*(1-Bolts!$E$1157)</f>
        <v>427.65789473684208</v>
      </c>
      <c r="R357" s="752">
        <v>427.65789473684208</v>
      </c>
      <c r="S357" s="464">
        <f t="shared" ref="S357:S363" si="252">SUM(T357:AB357)</f>
        <v>0</v>
      </c>
      <c r="T357" s="465"/>
      <c r="U357" s="585"/>
      <c r="V357" s="467"/>
      <c r="W357" s="468"/>
      <c r="X357" s="469"/>
      <c r="Y357" s="470"/>
      <c r="Z357" s="471"/>
      <c r="AA357" s="472"/>
      <c r="AB357" s="473"/>
      <c r="AC357" s="464">
        <f t="shared" ref="AC357:AC364" si="253">S357*O357</f>
        <v>0</v>
      </c>
      <c r="AD357" s="474">
        <f t="shared" ref="AD357:AD364" si="254">S357*R357</f>
        <v>0</v>
      </c>
      <c r="AE357" s="475">
        <v>8.3461852490247654</v>
      </c>
      <c r="AF357" s="507">
        <f t="shared" ref="AF357:AF363" si="255">AE357*S357</f>
        <v>0</v>
      </c>
      <c r="AG357"/>
      <c r="AH357"/>
      <c r="AI357"/>
    </row>
    <row r="358" spans="1:35" ht="12.75" customHeight="1">
      <c r="A358" s="214"/>
      <c r="B358" s="707" t="s">
        <v>2379</v>
      </c>
      <c r="C358" s="461" t="s">
        <v>1076</v>
      </c>
      <c r="D358" s="461" t="s">
        <v>1150</v>
      </c>
      <c r="E358" s="462">
        <v>4</v>
      </c>
      <c r="F358" s="461"/>
      <c r="G358" s="461"/>
      <c r="H358" s="461" t="s">
        <v>2110</v>
      </c>
      <c r="I358" s="523" t="s">
        <v>2113</v>
      </c>
      <c r="J358" s="462">
        <v>4</v>
      </c>
      <c r="K358" s="461"/>
      <c r="L358" s="461"/>
      <c r="M358" s="523" t="s">
        <v>2113</v>
      </c>
      <c r="N358" s="523" t="s">
        <v>452</v>
      </c>
      <c r="O358" s="462">
        <v>4</v>
      </c>
      <c r="P358" s="462" t="s">
        <v>2158</v>
      </c>
      <c r="Q358" s="752">
        <f>R358*(1-Bolts!$E$1157)</f>
        <v>465.78947368421052</v>
      </c>
      <c r="R358" s="752">
        <v>465.78947368421052</v>
      </c>
      <c r="S358" s="464">
        <f t="shared" si="252"/>
        <v>0</v>
      </c>
      <c r="T358" s="465"/>
      <c r="U358" s="585"/>
      <c r="V358" s="467"/>
      <c r="W358" s="468"/>
      <c r="X358" s="469"/>
      <c r="Y358" s="470"/>
      <c r="Z358" s="471"/>
      <c r="AA358" s="472"/>
      <c r="AB358" s="473"/>
      <c r="AC358" s="464">
        <f t="shared" si="253"/>
        <v>0</v>
      </c>
      <c r="AD358" s="474">
        <f t="shared" si="254"/>
        <v>0</v>
      </c>
      <c r="AE358" s="475">
        <v>4.2728839698811569</v>
      </c>
      <c r="AF358" s="507">
        <f t="shared" si="255"/>
        <v>0</v>
      </c>
      <c r="AG358"/>
      <c r="AH358"/>
      <c r="AI358"/>
    </row>
    <row r="359" spans="1:35" ht="12.75" customHeight="1">
      <c r="A359" s="214"/>
      <c r="B359" s="707" t="s">
        <v>2380</v>
      </c>
      <c r="C359" s="461" t="s">
        <v>1076</v>
      </c>
      <c r="D359" s="461" t="s">
        <v>1150</v>
      </c>
      <c r="E359" s="462">
        <v>4</v>
      </c>
      <c r="F359" s="461"/>
      <c r="G359" s="461"/>
      <c r="H359" s="461" t="s">
        <v>2110</v>
      </c>
      <c r="I359" s="523" t="s">
        <v>2113</v>
      </c>
      <c r="J359" s="462">
        <v>4</v>
      </c>
      <c r="K359" s="461"/>
      <c r="L359" s="461"/>
      <c r="M359" s="523" t="s">
        <v>2113</v>
      </c>
      <c r="N359" s="523" t="s">
        <v>452</v>
      </c>
      <c r="O359" s="462">
        <v>4</v>
      </c>
      <c r="P359" s="462" t="s">
        <v>2254</v>
      </c>
      <c r="Q359" s="752">
        <f>R359*(1-Bolts!$E$1157)</f>
        <v>650.84210526315792</v>
      </c>
      <c r="R359" s="752">
        <v>650.84210526315792</v>
      </c>
      <c r="S359" s="464">
        <f t="shared" si="252"/>
        <v>0</v>
      </c>
      <c r="T359" s="465"/>
      <c r="U359" s="585"/>
      <c r="V359" s="467"/>
      <c r="W359" s="468"/>
      <c r="X359" s="469"/>
      <c r="Y359" s="470"/>
      <c r="Z359" s="471"/>
      <c r="AA359" s="472"/>
      <c r="AB359" s="473"/>
      <c r="AC359" s="464">
        <f t="shared" si="253"/>
        <v>0</v>
      </c>
      <c r="AD359" s="474">
        <f t="shared" si="254"/>
        <v>0</v>
      </c>
      <c r="AE359" s="475">
        <v>6.9853941758142062</v>
      </c>
      <c r="AF359" s="507">
        <f t="shared" si="255"/>
        <v>0</v>
      </c>
      <c r="AG359"/>
      <c r="AH359"/>
      <c r="AI359"/>
    </row>
    <row r="360" spans="1:35" ht="12.75" customHeight="1">
      <c r="A360" s="214"/>
      <c r="B360" s="707" t="s">
        <v>2378</v>
      </c>
      <c r="C360" s="461" t="s">
        <v>1076</v>
      </c>
      <c r="D360" s="461" t="s">
        <v>1146</v>
      </c>
      <c r="E360" s="462">
        <v>2</v>
      </c>
      <c r="F360" s="461"/>
      <c r="G360" s="461"/>
      <c r="H360" s="461" t="s">
        <v>2110</v>
      </c>
      <c r="I360" s="523" t="s">
        <v>2113</v>
      </c>
      <c r="J360" s="462">
        <v>2</v>
      </c>
      <c r="K360" s="461"/>
      <c r="L360" s="461"/>
      <c r="M360" s="523" t="s">
        <v>2113</v>
      </c>
      <c r="N360" s="523" t="s">
        <v>452</v>
      </c>
      <c r="O360" s="462">
        <v>2</v>
      </c>
      <c r="P360" s="462" t="s">
        <v>2260</v>
      </c>
      <c r="Q360" s="752">
        <f>R360*(1-Bolts!$E$1157)</f>
        <v>353.8684210526315</v>
      </c>
      <c r="R360" s="752">
        <v>353.8684210526315</v>
      </c>
      <c r="S360" s="464">
        <f t="shared" si="252"/>
        <v>0</v>
      </c>
      <c r="T360" s="465"/>
      <c r="U360" s="585"/>
      <c r="V360" s="467"/>
      <c r="W360" s="468"/>
      <c r="X360" s="469"/>
      <c r="Y360" s="470"/>
      <c r="Z360" s="471"/>
      <c r="AA360" s="472"/>
      <c r="AB360" s="473"/>
      <c r="AC360" s="464">
        <f t="shared" si="253"/>
        <v>0</v>
      </c>
      <c r="AD360" s="474">
        <f t="shared" si="254"/>
        <v>0</v>
      </c>
      <c r="AE360" s="475">
        <v>5.3524448879615347</v>
      </c>
      <c r="AF360" s="507">
        <f t="shared" si="255"/>
        <v>0</v>
      </c>
      <c r="AG360"/>
      <c r="AH360"/>
      <c r="AI360"/>
    </row>
    <row r="361" spans="1:35" ht="12.75" customHeight="1">
      <c r="A361" s="214"/>
      <c r="B361" s="707" t="s">
        <v>2377</v>
      </c>
      <c r="C361" s="461" t="s">
        <v>1076</v>
      </c>
      <c r="D361" s="461" t="s">
        <v>1146</v>
      </c>
      <c r="E361" s="462">
        <v>2</v>
      </c>
      <c r="F361" s="461"/>
      <c r="G361" s="461"/>
      <c r="H361" s="461" t="s">
        <v>2110</v>
      </c>
      <c r="I361" s="523" t="s">
        <v>2113</v>
      </c>
      <c r="J361" s="462">
        <v>2</v>
      </c>
      <c r="K361" s="461"/>
      <c r="L361" s="461"/>
      <c r="M361" s="523" t="s">
        <v>2113</v>
      </c>
      <c r="N361" s="523" t="s">
        <v>452</v>
      </c>
      <c r="O361" s="462">
        <v>2</v>
      </c>
      <c r="P361" s="462" t="s">
        <v>2256</v>
      </c>
      <c r="Q361" s="752">
        <f>R361*(1-Bolts!$E$1157)</f>
        <v>340.5263157894737</v>
      </c>
      <c r="R361" s="752">
        <v>340.5263157894737</v>
      </c>
      <c r="S361" s="464">
        <f t="shared" si="252"/>
        <v>0</v>
      </c>
      <c r="T361" s="465"/>
      <c r="U361" s="585"/>
      <c r="V361" s="467"/>
      <c r="W361" s="468"/>
      <c r="X361" s="469"/>
      <c r="Y361" s="470"/>
      <c r="Z361" s="471"/>
      <c r="AA361" s="472"/>
      <c r="AB361" s="473"/>
      <c r="AC361" s="464">
        <f t="shared" si="253"/>
        <v>0</v>
      </c>
      <c r="AD361" s="474">
        <f t="shared" si="254"/>
        <v>0</v>
      </c>
      <c r="AE361" s="475">
        <v>3.9916538147509755</v>
      </c>
      <c r="AF361" s="507">
        <f t="shared" si="255"/>
        <v>0</v>
      </c>
      <c r="AG361"/>
      <c r="AH361"/>
      <c r="AI361"/>
    </row>
    <row r="362" spans="1:35" ht="12.75" customHeight="1">
      <c r="A362" s="214"/>
      <c r="B362" s="707" t="s">
        <v>2382</v>
      </c>
      <c r="C362" s="461" t="s">
        <v>1076</v>
      </c>
      <c r="D362" s="461" t="s">
        <v>1151</v>
      </c>
      <c r="E362" s="462">
        <v>6</v>
      </c>
      <c r="F362" s="461"/>
      <c r="G362" s="461"/>
      <c r="H362" s="461" t="s">
        <v>2110</v>
      </c>
      <c r="I362" s="523" t="s">
        <v>2113</v>
      </c>
      <c r="J362" s="462">
        <v>6</v>
      </c>
      <c r="K362" s="461"/>
      <c r="L362" s="461"/>
      <c r="M362" s="523" t="s">
        <v>2113</v>
      </c>
      <c r="N362" s="523" t="s">
        <v>452</v>
      </c>
      <c r="O362" s="462">
        <v>6</v>
      </c>
      <c r="P362" s="462" t="s">
        <v>2257</v>
      </c>
      <c r="Q362" s="752">
        <f>R362*(1-Bolts!$E$1157)</f>
        <v>1016.9210526315788</v>
      </c>
      <c r="R362" s="752">
        <v>1016.9210526315788</v>
      </c>
      <c r="S362" s="464">
        <f t="shared" si="252"/>
        <v>0</v>
      </c>
      <c r="T362" s="465"/>
      <c r="U362" s="585"/>
      <c r="V362" s="467"/>
      <c r="W362" s="468"/>
      <c r="X362" s="469"/>
      <c r="Y362" s="470"/>
      <c r="Z362" s="471"/>
      <c r="AA362" s="472"/>
      <c r="AB362" s="473"/>
      <c r="AC362" s="464">
        <f t="shared" si="253"/>
        <v>0</v>
      </c>
      <c r="AD362" s="474">
        <f t="shared" si="254"/>
        <v>0</v>
      </c>
      <c r="AE362" s="475">
        <v>7.0307538782545587</v>
      </c>
      <c r="AF362" s="507">
        <f t="shared" si="255"/>
        <v>0</v>
      </c>
      <c r="AG362"/>
      <c r="AH362"/>
      <c r="AI362"/>
    </row>
    <row r="363" spans="1:35" ht="12.75" customHeight="1">
      <c r="A363" s="214"/>
      <c r="B363" s="707" t="s">
        <v>2381</v>
      </c>
      <c r="C363" s="461" t="s">
        <v>1076</v>
      </c>
      <c r="D363" s="461" t="s">
        <v>1150</v>
      </c>
      <c r="E363" s="462">
        <v>3</v>
      </c>
      <c r="F363" s="461"/>
      <c r="G363" s="461"/>
      <c r="H363" s="461" t="s">
        <v>2110</v>
      </c>
      <c r="I363" s="523" t="s">
        <v>2113</v>
      </c>
      <c r="J363" s="462">
        <v>3</v>
      </c>
      <c r="K363" s="461"/>
      <c r="L363" s="461"/>
      <c r="M363" s="523" t="s">
        <v>2113</v>
      </c>
      <c r="N363" s="523" t="s">
        <v>452</v>
      </c>
      <c r="O363" s="462">
        <v>3</v>
      </c>
      <c r="P363" s="462" t="s">
        <v>2258</v>
      </c>
      <c r="Q363" s="752">
        <f>R363*(1-Bolts!$E$1157)</f>
        <v>581.5</v>
      </c>
      <c r="R363" s="752">
        <v>581.5</v>
      </c>
      <c r="S363" s="464">
        <f t="shared" si="252"/>
        <v>0</v>
      </c>
      <c r="T363" s="465"/>
      <c r="U363" s="585"/>
      <c r="V363" s="467"/>
      <c r="W363" s="468"/>
      <c r="X363" s="469"/>
      <c r="Y363" s="470"/>
      <c r="Z363" s="471"/>
      <c r="AA363" s="472"/>
      <c r="AB363" s="473"/>
      <c r="AC363" s="464">
        <f t="shared" si="253"/>
        <v>0</v>
      </c>
      <c r="AD363" s="474">
        <f t="shared" si="254"/>
        <v>0</v>
      </c>
      <c r="AE363" s="475">
        <v>6.6225165562913899</v>
      </c>
      <c r="AF363" s="507">
        <f t="shared" si="255"/>
        <v>0</v>
      </c>
      <c r="AG363"/>
      <c r="AH363"/>
      <c r="AI363"/>
    </row>
    <row r="364" spans="1:35" ht="12.75" customHeight="1">
      <c r="A364" s="214"/>
      <c r="B364" s="707" t="s">
        <v>2376</v>
      </c>
      <c r="C364" s="461" t="s">
        <v>1076</v>
      </c>
      <c r="D364" s="461" t="s">
        <v>1146</v>
      </c>
      <c r="E364" s="462">
        <v>2</v>
      </c>
      <c r="F364" s="461"/>
      <c r="G364" s="461"/>
      <c r="H364" s="461" t="s">
        <v>2110</v>
      </c>
      <c r="I364" s="523" t="s">
        <v>2113</v>
      </c>
      <c r="J364" s="462">
        <v>2</v>
      </c>
      <c r="K364" s="461"/>
      <c r="L364" s="461"/>
      <c r="M364" s="523" t="s">
        <v>2113</v>
      </c>
      <c r="N364" s="523" t="s">
        <v>452</v>
      </c>
      <c r="O364" s="462">
        <v>2</v>
      </c>
      <c r="P364" s="462" t="s">
        <v>2255</v>
      </c>
      <c r="Q364" s="752">
        <f>R364*(1-Bolts!$E$1157)</f>
        <v>395.63157894736844</v>
      </c>
      <c r="R364" s="752">
        <v>395.63157894736844</v>
      </c>
      <c r="S364" s="464">
        <f t="shared" ref="S364" si="256">SUM(T364:AB364)</f>
        <v>0</v>
      </c>
      <c r="T364" s="465"/>
      <c r="U364" s="585"/>
      <c r="V364" s="467"/>
      <c r="W364" s="468"/>
      <c r="X364" s="469"/>
      <c r="Y364" s="470"/>
      <c r="Z364" s="471"/>
      <c r="AA364" s="472"/>
      <c r="AB364" s="473"/>
      <c r="AC364" s="464">
        <f t="shared" si="253"/>
        <v>0</v>
      </c>
      <c r="AD364" s="474">
        <f t="shared" si="254"/>
        <v>0</v>
      </c>
      <c r="AE364" s="475">
        <v>6.1689195318878713</v>
      </c>
      <c r="AF364" s="507">
        <f t="shared" ref="AF364" si="257">AE364*S364</f>
        <v>0</v>
      </c>
      <c r="AG364"/>
      <c r="AH364"/>
      <c r="AI364"/>
    </row>
    <row r="365" spans="1:35" ht="12.75" customHeight="1">
      <c r="A365" s="48"/>
      <c r="B365" s="705"/>
      <c r="C365" s="476"/>
      <c r="D365" s="476"/>
      <c r="E365" s="478"/>
      <c r="F365" s="476"/>
      <c r="G365" s="476"/>
      <c r="H365" s="476"/>
      <c r="I365" s="477"/>
      <c r="J365" s="478"/>
      <c r="K365" s="476"/>
      <c r="L365" s="476"/>
      <c r="M365" s="477"/>
      <c r="N365" s="477"/>
      <c r="O365" s="478"/>
      <c r="P365" s="478"/>
      <c r="Q365" s="753"/>
      <c r="R365" s="752">
        <v>0</v>
      </c>
      <c r="S365" s="479"/>
      <c r="T365" s="480"/>
      <c r="U365" s="481"/>
      <c r="V365" s="482"/>
      <c r="W365" s="483"/>
      <c r="X365" s="484"/>
      <c r="Y365" s="485"/>
      <c r="Z365" s="486"/>
      <c r="AA365" s="487"/>
      <c r="AB365" s="490"/>
      <c r="AC365" s="479"/>
      <c r="AD365" s="488"/>
      <c r="AE365" s="489">
        <v>0</v>
      </c>
      <c r="AF365" s="508"/>
      <c r="AG365"/>
      <c r="AH365"/>
      <c r="AI365"/>
    </row>
    <row r="366" spans="1:35" ht="12.75" customHeight="1">
      <c r="A366" s="214"/>
      <c r="B366" s="707" t="s">
        <v>2269</v>
      </c>
      <c r="C366" s="461" t="s">
        <v>1080</v>
      </c>
      <c r="D366" s="461" t="s">
        <v>1146</v>
      </c>
      <c r="E366" s="462">
        <v>1</v>
      </c>
      <c r="F366" s="461"/>
      <c r="G366" s="461"/>
      <c r="H366" s="461" t="s">
        <v>2110</v>
      </c>
      <c r="I366" s="523" t="s">
        <v>2113</v>
      </c>
      <c r="J366" s="462">
        <v>1</v>
      </c>
      <c r="K366" s="461"/>
      <c r="L366" s="461"/>
      <c r="M366" s="523" t="s">
        <v>2113</v>
      </c>
      <c r="N366" s="523" t="s">
        <v>452</v>
      </c>
      <c r="O366" s="462">
        <v>1</v>
      </c>
      <c r="P366" s="462" t="s">
        <v>2259</v>
      </c>
      <c r="Q366" s="752">
        <f>R366*(1-Bolts!$E$1157)</f>
        <v>201.60526315789471</v>
      </c>
      <c r="R366" s="752">
        <v>201.60526315789471</v>
      </c>
      <c r="S366" s="464">
        <f t="shared" ref="S366:S370" si="258">SUM(T366:AB366)</f>
        <v>0</v>
      </c>
      <c r="T366" s="465"/>
      <c r="U366" s="585"/>
      <c r="V366" s="467"/>
      <c r="W366" s="468"/>
      <c r="X366" s="469"/>
      <c r="Y366" s="470"/>
      <c r="Z366" s="471"/>
      <c r="AA366" s="472"/>
      <c r="AB366" s="473"/>
      <c r="AC366" s="464">
        <f>S366*O366</f>
        <v>0</v>
      </c>
      <c r="AD366" s="474">
        <f>S366*R366</f>
        <v>0</v>
      </c>
      <c r="AE366" s="475">
        <v>5.0349269708790709</v>
      </c>
      <c r="AF366" s="507">
        <f t="shared" ref="AF366:AF370" si="259">AE366*S366</f>
        <v>0</v>
      </c>
      <c r="AG366"/>
      <c r="AH366"/>
      <c r="AI366"/>
    </row>
    <row r="367" spans="1:35" ht="12.75" customHeight="1">
      <c r="A367" s="48"/>
      <c r="B367" s="705"/>
      <c r="C367" s="476"/>
      <c r="D367" s="476"/>
      <c r="E367" s="478"/>
      <c r="F367" s="476"/>
      <c r="G367" s="476"/>
      <c r="H367" s="476"/>
      <c r="I367" s="477"/>
      <c r="J367" s="478"/>
      <c r="K367" s="476"/>
      <c r="L367" s="476"/>
      <c r="M367" s="477"/>
      <c r="N367" s="477"/>
      <c r="O367" s="478"/>
      <c r="P367" s="478"/>
      <c r="Q367" s="753"/>
      <c r="R367" s="752">
        <v>0</v>
      </c>
      <c r="S367" s="479"/>
      <c r="T367" s="480"/>
      <c r="U367" s="481"/>
      <c r="V367" s="482"/>
      <c r="W367" s="483"/>
      <c r="X367" s="484"/>
      <c r="Y367" s="485"/>
      <c r="Z367" s="486"/>
      <c r="AA367" s="487"/>
      <c r="AB367" s="490"/>
      <c r="AC367" s="479"/>
      <c r="AD367" s="488"/>
      <c r="AE367" s="489">
        <v>0</v>
      </c>
      <c r="AF367" s="508"/>
      <c r="AG367"/>
      <c r="AH367"/>
      <c r="AI367"/>
    </row>
    <row r="368" spans="1:35" ht="12.75" customHeight="1">
      <c r="A368" s="214"/>
      <c r="B368" s="707" t="s">
        <v>2388</v>
      </c>
      <c r="C368" s="461" t="s">
        <v>1080</v>
      </c>
      <c r="D368" s="461" t="s">
        <v>1151</v>
      </c>
      <c r="E368" s="462">
        <v>5</v>
      </c>
      <c r="F368" s="461"/>
      <c r="G368" s="461"/>
      <c r="H368" s="461" t="s">
        <v>2110</v>
      </c>
      <c r="I368" s="523" t="s">
        <v>2113</v>
      </c>
      <c r="J368" s="462">
        <v>5</v>
      </c>
      <c r="K368" s="461"/>
      <c r="L368" s="461"/>
      <c r="M368" s="523" t="s">
        <v>2113</v>
      </c>
      <c r="N368" s="523" t="s">
        <v>452</v>
      </c>
      <c r="O368" s="462">
        <v>5</v>
      </c>
      <c r="P368" s="462" t="s">
        <v>2156</v>
      </c>
      <c r="Q368" s="752">
        <f>R368*(1-Bolts!$E$1157)</f>
        <v>481.31578947368428</v>
      </c>
      <c r="R368" s="752">
        <v>481.31578947368428</v>
      </c>
      <c r="S368" s="464">
        <f t="shared" ref="S368:S369" si="260">SUM(T368:AB368)</f>
        <v>0</v>
      </c>
      <c r="T368" s="465"/>
      <c r="U368" s="585"/>
      <c r="V368" s="467"/>
      <c r="W368" s="468"/>
      <c r="X368" s="469"/>
      <c r="Y368" s="470"/>
      <c r="Z368" s="471"/>
      <c r="AA368" s="472"/>
      <c r="AB368" s="473"/>
      <c r="AC368" s="464">
        <f>S368*O368</f>
        <v>0</v>
      </c>
      <c r="AD368" s="474">
        <f>S368*R368</f>
        <v>0</v>
      </c>
      <c r="AE368" s="475">
        <v>4.8534881611176628</v>
      </c>
      <c r="AF368" s="507">
        <f t="shared" ref="AF368:AF369" si="261">AE368*S368</f>
        <v>0</v>
      </c>
      <c r="AG368"/>
      <c r="AH368"/>
      <c r="AI368"/>
    </row>
    <row r="369" spans="1:35" ht="12.75" customHeight="1">
      <c r="A369" s="214"/>
      <c r="B369" s="707" t="s">
        <v>2387</v>
      </c>
      <c r="C369" s="461" t="s">
        <v>1080</v>
      </c>
      <c r="D369" s="461" t="s">
        <v>1150</v>
      </c>
      <c r="E369" s="462">
        <v>2</v>
      </c>
      <c r="F369" s="461"/>
      <c r="G369" s="461"/>
      <c r="H369" s="461" t="s">
        <v>2110</v>
      </c>
      <c r="I369" s="523" t="s">
        <v>2113</v>
      </c>
      <c r="J369" s="462">
        <v>2</v>
      </c>
      <c r="K369" s="461"/>
      <c r="L369" s="461"/>
      <c r="M369" s="523" t="s">
        <v>2113</v>
      </c>
      <c r="N369" s="523" t="s">
        <v>452</v>
      </c>
      <c r="O369" s="462">
        <v>2</v>
      </c>
      <c r="P369" s="462" t="s">
        <v>2262</v>
      </c>
      <c r="Q369" s="752">
        <f>R369*(1-Bolts!$E$1157)</f>
        <v>269.15789473684208</v>
      </c>
      <c r="R369" s="752">
        <v>269.15789473684208</v>
      </c>
      <c r="S369" s="464">
        <f t="shared" si="260"/>
        <v>0</v>
      </c>
      <c r="T369" s="465"/>
      <c r="U369" s="585"/>
      <c r="V369" s="467"/>
      <c r="W369" s="468"/>
      <c r="X369" s="469"/>
      <c r="Y369" s="470"/>
      <c r="Z369" s="471"/>
      <c r="AA369" s="472"/>
      <c r="AB369" s="473"/>
      <c r="AC369" s="464">
        <f>S369*O369</f>
        <v>0</v>
      </c>
      <c r="AD369" s="474">
        <f>S369*R369</f>
        <v>0</v>
      </c>
      <c r="AE369" s="475">
        <v>3.900934409870271</v>
      </c>
      <c r="AF369" s="507">
        <f t="shared" si="261"/>
        <v>0</v>
      </c>
      <c r="AG369"/>
      <c r="AH369"/>
      <c r="AI369"/>
    </row>
    <row r="370" spans="1:35" ht="12.75" customHeight="1" thickBot="1">
      <c r="A370" s="214"/>
      <c r="B370" s="707" t="s">
        <v>2385</v>
      </c>
      <c r="C370" s="461" t="s">
        <v>1080</v>
      </c>
      <c r="D370" s="461" t="s">
        <v>1146</v>
      </c>
      <c r="E370" s="462">
        <v>4</v>
      </c>
      <c r="F370" s="461"/>
      <c r="G370" s="461"/>
      <c r="H370" s="461" t="s">
        <v>2110</v>
      </c>
      <c r="I370" s="523" t="s">
        <v>2113</v>
      </c>
      <c r="J370" s="462">
        <v>4</v>
      </c>
      <c r="K370" s="461"/>
      <c r="L370" s="461"/>
      <c r="M370" s="523" t="s">
        <v>2113</v>
      </c>
      <c r="N370" s="523" t="s">
        <v>452</v>
      </c>
      <c r="O370" s="462">
        <v>4</v>
      </c>
      <c r="P370" s="462" t="s">
        <v>2263</v>
      </c>
      <c r="Q370" s="755">
        <f>R370*(1-Bolts!$E$1157)</f>
        <v>654.36842105263156</v>
      </c>
      <c r="R370" s="752">
        <v>654.36842105263156</v>
      </c>
      <c r="S370" s="510">
        <f t="shared" si="258"/>
        <v>0</v>
      </c>
      <c r="T370" s="465"/>
      <c r="U370" s="585"/>
      <c r="V370" s="467"/>
      <c r="W370" s="468"/>
      <c r="X370" s="469"/>
      <c r="Y370" s="470"/>
      <c r="Z370" s="471"/>
      <c r="AA370" s="472"/>
      <c r="AB370" s="473"/>
      <c r="AC370" s="510">
        <f>S370*O370</f>
        <v>0</v>
      </c>
      <c r="AD370" s="520">
        <f>S370*R370</f>
        <v>0</v>
      </c>
      <c r="AE370" s="521">
        <v>10.568810668602012</v>
      </c>
      <c r="AF370" s="522">
        <f t="shared" si="259"/>
        <v>0</v>
      </c>
      <c r="AG370"/>
      <c r="AH370"/>
      <c r="AI370"/>
    </row>
    <row r="371" spans="1:35" ht="30" customHeight="1">
      <c r="A371" s="51"/>
      <c r="B371" s="185"/>
      <c r="C371" s="185"/>
      <c r="D371" s="185"/>
      <c r="E371" s="185"/>
      <c r="F371" s="185"/>
      <c r="G371" s="185"/>
      <c r="H371" s="185"/>
      <c r="I371" s="185"/>
      <c r="J371" s="185"/>
      <c r="K371" s="185"/>
      <c r="L371" s="185"/>
      <c r="M371" s="185"/>
      <c r="N371" s="185"/>
      <c r="O371" s="186"/>
      <c r="P371" s="187"/>
      <c r="Q371" s="188" t="s">
        <v>32</v>
      </c>
      <c r="R371" s="188"/>
      <c r="S371" s="189">
        <f>SUM(S36:S370)</f>
        <v>7738</v>
      </c>
      <c r="T371" s="190"/>
      <c r="U371" s="191"/>
      <c r="V371" s="190"/>
      <c r="W371" s="190"/>
      <c r="X371" s="190"/>
      <c r="Y371" s="190"/>
      <c r="Z371" s="190"/>
      <c r="AA371" s="191"/>
      <c r="AB371" s="192"/>
      <c r="AC371" s="193"/>
      <c r="AD371" s="194"/>
      <c r="AE371" s="195" t="s">
        <v>340</v>
      </c>
      <c r="AF371" s="357">
        <f>SUM(AF36:AF370)</f>
        <v>27305.41122516559</v>
      </c>
    </row>
    <row r="372" spans="1:35" ht="12.75" customHeight="1" thickBot="1">
      <c r="P372" s="58" t="s">
        <v>341</v>
      </c>
      <c r="Q372" s="59"/>
      <c r="R372" s="60"/>
      <c r="S372" s="222"/>
      <c r="T372" s="61">
        <f t="shared" ref="T372:AB372" si="262">SUM(T36:T371)</f>
        <v>1084</v>
      </c>
      <c r="U372" s="61">
        <f t="shared" si="262"/>
        <v>58</v>
      </c>
      <c r="V372" s="61">
        <f t="shared" si="262"/>
        <v>1216</v>
      </c>
      <c r="W372" s="61">
        <f t="shared" si="262"/>
        <v>955</v>
      </c>
      <c r="X372" s="61">
        <f t="shared" si="262"/>
        <v>1232</v>
      </c>
      <c r="Y372" s="61">
        <f t="shared" si="262"/>
        <v>664</v>
      </c>
      <c r="Z372" s="61">
        <f t="shared" si="262"/>
        <v>430</v>
      </c>
      <c r="AA372" s="61">
        <f t="shared" si="262"/>
        <v>1938</v>
      </c>
      <c r="AB372" s="61">
        <f t="shared" si="262"/>
        <v>161</v>
      </c>
      <c r="AC372" s="62"/>
      <c r="AD372" s="63"/>
      <c r="AE372" s="64"/>
      <c r="AF372"/>
    </row>
    <row r="373" spans="1:35" ht="12.75" customHeight="1" thickBot="1">
      <c r="P373" s="805" t="s">
        <v>342</v>
      </c>
      <c r="Q373" s="806"/>
      <c r="R373" s="806"/>
      <c r="S373" s="806"/>
      <c r="T373" s="806"/>
      <c r="U373" s="806"/>
      <c r="V373" s="806"/>
      <c r="W373" s="806"/>
      <c r="X373" s="806"/>
      <c r="Y373" s="806"/>
      <c r="Z373" s="806"/>
      <c r="AA373" s="806"/>
      <c r="AB373" s="65">
        <f>SUM(AC36:AC371)</f>
        <v>39736</v>
      </c>
      <c r="AC373" s="66"/>
      <c r="AD373"/>
      <c r="AE373" s="783" t="s">
        <v>922</v>
      </c>
      <c r="AF373"/>
    </row>
    <row r="374" spans="1:35" ht="13.5" hidden="1">
      <c r="P374" s="804" t="s">
        <v>917</v>
      </c>
      <c r="Q374" s="804"/>
      <c r="R374" s="804"/>
      <c r="S374" s="804"/>
      <c r="T374" s="804"/>
      <c r="U374" s="804"/>
      <c r="V374" s="804"/>
      <c r="W374" s="804"/>
      <c r="X374" s="804"/>
      <c r="Y374" s="804"/>
      <c r="Z374" s="804"/>
      <c r="AA374" s="804"/>
      <c r="AB374" s="67"/>
      <c r="AC374" s="68">
        <f>SUMIF(H36:H370,"Aragon",AD36:AD370)</f>
        <v>0</v>
      </c>
      <c r="AD374"/>
      <c r="AE374" s="784"/>
      <c r="AF374"/>
    </row>
    <row r="375" spans="1:35" ht="13.5" hidden="1">
      <c r="A375" s="52"/>
      <c r="B375" s="53"/>
      <c r="C375" s="53"/>
      <c r="D375" s="53"/>
      <c r="E375" s="53"/>
      <c r="F375" s="53"/>
      <c r="G375" s="53"/>
      <c r="H375" s="53"/>
      <c r="I375" s="53"/>
      <c r="J375" s="53"/>
      <c r="K375" s="53"/>
      <c r="L375" s="53"/>
      <c r="P375" s="786" t="s">
        <v>351</v>
      </c>
      <c r="Q375" s="786"/>
      <c r="R375" s="786"/>
      <c r="S375" s="786"/>
      <c r="T375" s="786"/>
      <c r="U375" s="786"/>
      <c r="V375" s="786"/>
      <c r="W375" s="786"/>
      <c r="X375" s="786"/>
      <c r="Y375" s="786"/>
      <c r="Z375" s="786"/>
      <c r="AA375" s="786"/>
      <c r="AB375" s="69">
        <f>Bolts!E1157</f>
        <v>0</v>
      </c>
      <c r="AC375" s="68">
        <f>-SUM(AC374*AB375)</f>
        <v>0</v>
      </c>
      <c r="AD375"/>
      <c r="AE375" s="784"/>
      <c r="AF375"/>
    </row>
    <row r="376" spans="1:35" ht="12.75" hidden="1" customHeight="1">
      <c r="A376" s="52"/>
      <c r="B376" s="53"/>
      <c r="C376" s="53"/>
      <c r="D376" s="53"/>
      <c r="E376" s="53"/>
      <c r="F376" s="53"/>
      <c r="G376" s="53"/>
      <c r="H376" s="53"/>
      <c r="I376" s="53"/>
      <c r="J376" s="53"/>
      <c r="K376" s="53"/>
      <c r="L376" s="53"/>
      <c r="P376" s="780" t="s">
        <v>916</v>
      </c>
      <c r="Q376" s="780"/>
      <c r="R376" s="780"/>
      <c r="S376" s="780"/>
      <c r="T376" s="780"/>
      <c r="U376" s="780"/>
      <c r="V376" s="780"/>
      <c r="W376" s="780"/>
      <c r="X376" s="780"/>
      <c r="Y376" s="780"/>
      <c r="Z376" s="780"/>
      <c r="AA376" s="780"/>
      <c r="AB376" s="67"/>
      <c r="AC376" s="756">
        <f>SUM(AC374:AC375)</f>
        <v>0</v>
      </c>
      <c r="AD376"/>
      <c r="AE376" s="784"/>
      <c r="AF376"/>
    </row>
    <row r="377" spans="1:35" ht="12.75" hidden="1" customHeight="1">
      <c r="A377" s="52"/>
      <c r="B377" s="53"/>
      <c r="C377" s="53"/>
      <c r="D377" s="53"/>
      <c r="E377" s="53"/>
      <c r="F377" s="53"/>
      <c r="G377" s="53"/>
      <c r="H377" s="53"/>
      <c r="I377" s="53"/>
      <c r="J377" s="53"/>
      <c r="K377" s="53"/>
      <c r="L377" s="53"/>
      <c r="P377" s="70"/>
      <c r="Q377" s="70"/>
      <c r="R377" s="71"/>
      <c r="S377" s="70"/>
      <c r="T377" s="70"/>
      <c r="U377" s="70"/>
      <c r="V377" s="70"/>
      <c r="W377" s="70"/>
      <c r="X377" s="70"/>
      <c r="Y377" s="788" t="s">
        <v>343</v>
      </c>
      <c r="Z377" s="788"/>
      <c r="AA377" s="788"/>
      <c r="AB377" s="72"/>
      <c r="AC377" s="757">
        <f>IF(W6="Yes",(Bolts!D1146*Bolts!K1149),0)</f>
        <v>0</v>
      </c>
      <c r="AD377" s="74"/>
      <c r="AE377" s="784"/>
      <c r="AF377"/>
    </row>
    <row r="378" spans="1:35" ht="12.75" hidden="1" customHeight="1">
      <c r="A378" s="52"/>
      <c r="B378" s="53"/>
      <c r="C378" s="53"/>
      <c r="D378" s="53"/>
      <c r="E378" s="53"/>
      <c r="F378" s="53"/>
      <c r="G378" s="53"/>
      <c r="H378" s="53"/>
      <c r="I378" s="53"/>
      <c r="J378" s="53"/>
      <c r="K378" s="53"/>
      <c r="L378" s="53"/>
      <c r="N378" s="52"/>
      <c r="P378" s="788" t="s">
        <v>1583</v>
      </c>
      <c r="Q378" s="788"/>
      <c r="R378" s="788"/>
      <c r="S378" s="788"/>
      <c r="T378" s="788"/>
      <c r="U378" s="788"/>
      <c r="V378" s="788"/>
      <c r="W378" s="788"/>
      <c r="X378" s="788"/>
      <c r="Y378" s="788"/>
      <c r="Z378" s="788"/>
      <c r="AA378" s="788"/>
      <c r="AB378" s="69">
        <v>0.05</v>
      </c>
      <c r="AC378" s="758">
        <v>0</v>
      </c>
      <c r="AD378" s="74"/>
      <c r="AE378" s="784"/>
      <c r="AF378"/>
      <c r="AG378"/>
    </row>
    <row r="379" spans="1:35" ht="12.75" hidden="1" customHeight="1">
      <c r="A379" s="54"/>
      <c r="B379" s="53"/>
      <c r="C379" s="53"/>
      <c r="D379" s="53"/>
      <c r="E379" s="53"/>
      <c r="F379" s="53"/>
      <c r="G379" s="53"/>
      <c r="H379" s="53"/>
      <c r="I379" s="53"/>
      <c r="J379" s="53"/>
      <c r="K379" s="53"/>
      <c r="L379" s="53"/>
      <c r="M379" s="55"/>
      <c r="N379" s="52"/>
      <c r="P379" s="76"/>
      <c r="Q379" s="76"/>
      <c r="R379" s="77"/>
      <c r="S379" s="76"/>
      <c r="T379" s="76"/>
      <c r="U379" s="76"/>
      <c r="V379" s="76"/>
      <c r="W379" s="76"/>
      <c r="X379" s="76"/>
      <c r="Y379" s="788" t="s">
        <v>344</v>
      </c>
      <c r="Z379" s="788"/>
      <c r="AA379" s="788"/>
      <c r="AB379" s="69"/>
      <c r="AC379" s="759"/>
      <c r="AD379" s="79"/>
      <c r="AE379" s="784"/>
      <c r="AF379"/>
      <c r="AG379"/>
    </row>
    <row r="380" spans="1:35" ht="12.75" hidden="1" customHeight="1">
      <c r="A380" s="54"/>
      <c r="B380" s="53"/>
      <c r="C380" s="53"/>
      <c r="D380" s="53"/>
      <c r="E380" s="53"/>
      <c r="F380" s="53"/>
      <c r="G380" s="53"/>
      <c r="H380" s="53"/>
      <c r="I380" s="53"/>
      <c r="J380" s="53"/>
      <c r="K380" s="53"/>
      <c r="L380" s="53"/>
      <c r="N380" s="52"/>
      <c r="P380" s="780" t="s">
        <v>345</v>
      </c>
      <c r="Q380" s="780"/>
      <c r="R380" s="780"/>
      <c r="S380" s="780"/>
      <c r="T380" s="780"/>
      <c r="U380" s="780"/>
      <c r="V380" s="780"/>
      <c r="W380" s="780"/>
      <c r="X380" s="780"/>
      <c r="Y380" s="780"/>
      <c r="Z380" s="780"/>
      <c r="AA380" s="780"/>
      <c r="AB380" s="69"/>
      <c r="AC380" s="760">
        <f>SUM(AC376:AC379)</f>
        <v>0</v>
      </c>
      <c r="AD380" s="79"/>
      <c r="AE380" s="784"/>
      <c r="AF380"/>
      <c r="AG380"/>
    </row>
    <row r="381" spans="1:35" ht="12.75" hidden="1" customHeight="1">
      <c r="A381" s="54"/>
      <c r="B381" s="53"/>
      <c r="C381" s="53"/>
      <c r="D381" s="53"/>
      <c r="E381" s="53"/>
      <c r="F381" s="53"/>
      <c r="G381" s="53"/>
      <c r="H381" s="53"/>
      <c r="I381" s="53"/>
      <c r="J381" s="53"/>
      <c r="K381" s="53"/>
      <c r="L381" s="53"/>
      <c r="N381" s="52"/>
      <c r="P381" s="786" t="s">
        <v>446</v>
      </c>
      <c r="Q381" s="786"/>
      <c r="R381" s="786"/>
      <c r="S381" s="786"/>
      <c r="T381" s="786"/>
      <c r="U381" s="786"/>
      <c r="V381" s="786"/>
      <c r="W381" s="786"/>
      <c r="X381" s="786"/>
      <c r="Y381" s="786"/>
      <c r="Z381" s="786"/>
      <c r="AA381" s="786"/>
      <c r="AB381" s="221">
        <v>0</v>
      </c>
      <c r="AC381" s="760">
        <f>AC380*AB381</f>
        <v>0</v>
      </c>
      <c r="AD381" s="74"/>
      <c r="AE381" s="784"/>
      <c r="AF381"/>
      <c r="AG381"/>
    </row>
    <row r="382" spans="1:35" ht="12.75" hidden="1" customHeight="1" thickBot="1">
      <c r="A382" s="54"/>
      <c r="B382" s="53"/>
      <c r="C382" s="53"/>
      <c r="D382" s="53"/>
      <c r="E382" s="53"/>
      <c r="F382" s="53"/>
      <c r="G382" s="53"/>
      <c r="H382" s="53"/>
      <c r="I382" s="53"/>
      <c r="J382" s="53"/>
      <c r="K382" s="53"/>
      <c r="L382" s="53"/>
      <c r="N382" s="52"/>
      <c r="P382" s="790" t="s">
        <v>346</v>
      </c>
      <c r="Q382" s="790"/>
      <c r="R382" s="790"/>
      <c r="S382" s="790"/>
      <c r="T382" s="790"/>
      <c r="U382" s="790"/>
      <c r="V382" s="790"/>
      <c r="W382" s="790"/>
      <c r="X382" s="790"/>
      <c r="Y382" s="790"/>
      <c r="Z382" s="790"/>
      <c r="AA382" s="790"/>
      <c r="AB382" s="67"/>
      <c r="AC382" s="759">
        <f>IF((Bolts!H1149+Bolts!H1152)&gt;0,Bolts!B1163*Bolts!J1149,0)</f>
        <v>0</v>
      </c>
      <c r="AD382" s="81"/>
      <c r="AE382" s="784"/>
      <c r="AF382"/>
      <c r="AG382"/>
    </row>
    <row r="383" spans="1:35" ht="14" hidden="1" thickBot="1">
      <c r="A383" s="54"/>
      <c r="B383" s="53"/>
      <c r="C383" s="53"/>
      <c r="D383" s="53"/>
      <c r="E383" s="53"/>
      <c r="F383" s="53"/>
      <c r="G383" s="53"/>
      <c r="H383" s="53"/>
      <c r="I383" s="53"/>
      <c r="J383" s="53"/>
      <c r="K383" s="53"/>
      <c r="L383" s="53"/>
      <c r="M383" s="55"/>
      <c r="N383" s="52"/>
      <c r="P383" s="82"/>
      <c r="Q383" s="790" t="s">
        <v>347</v>
      </c>
      <c r="R383" s="790"/>
      <c r="S383" s="790"/>
      <c r="T383" s="790"/>
      <c r="U383" s="790"/>
      <c r="V383" s="790"/>
      <c r="W383" s="790"/>
      <c r="X383" s="790"/>
      <c r="Y383" s="790"/>
      <c r="Z383" s="790"/>
      <c r="AA383" s="790"/>
      <c r="AB383" s="67"/>
      <c r="AC383" s="760">
        <v>0</v>
      </c>
      <c r="AD383" s="74"/>
      <c r="AE383" s="784"/>
      <c r="AF383" s="83" t="s">
        <v>935</v>
      </c>
      <c r="AG383" s="761">
        <f>SUMIF(H36:H371,"Aragon",AD36:AD371)</f>
        <v>0</v>
      </c>
    </row>
    <row r="384" spans="1:35" ht="20.5" hidden="1" thickBot="1">
      <c r="A384" s="54"/>
      <c r="B384" s="53"/>
      <c r="C384" s="53"/>
      <c r="D384" s="53"/>
      <c r="E384" s="53"/>
      <c r="F384" s="53"/>
      <c r="G384" s="53"/>
      <c r="H384" s="53"/>
      <c r="I384" s="53"/>
      <c r="J384" s="53"/>
      <c r="K384" s="53"/>
      <c r="L384" s="53"/>
      <c r="P384" s="792" t="s">
        <v>348</v>
      </c>
      <c r="Q384" s="792"/>
      <c r="R384" s="792"/>
      <c r="S384" s="792"/>
      <c r="T384" s="792"/>
      <c r="U384" s="792"/>
      <c r="V384" s="792"/>
      <c r="W384" s="792"/>
      <c r="X384" s="792"/>
      <c r="Y384" s="792"/>
      <c r="Z384" s="792"/>
      <c r="AA384" s="792"/>
      <c r="AB384" s="67"/>
      <c r="AC384" s="759">
        <f>SUM(AC380:AC383)</f>
        <v>0</v>
      </c>
      <c r="AD384" s="81"/>
      <c r="AE384" s="784"/>
      <c r="AF384" s="83" t="s">
        <v>934</v>
      </c>
      <c r="AG384" s="761">
        <f>Bolts!E1157*AG383</f>
        <v>0</v>
      </c>
    </row>
    <row r="385" spans="1:33" ht="13.5" hidden="1">
      <c r="A385" s="54"/>
      <c r="B385" s="53"/>
      <c r="C385" s="53"/>
      <c r="D385" s="53"/>
      <c r="E385" s="53"/>
      <c r="F385" s="53"/>
      <c r="G385" s="53"/>
      <c r="H385" s="53"/>
      <c r="I385" s="53"/>
      <c r="J385" s="53"/>
      <c r="K385" s="53"/>
      <c r="L385" s="53"/>
      <c r="M385" s="30"/>
      <c r="N385" s="30"/>
      <c r="O385" s="30"/>
      <c r="P385" s="790" t="s">
        <v>349</v>
      </c>
      <c r="Q385" s="790"/>
      <c r="R385" s="790"/>
      <c r="S385" s="790"/>
      <c r="T385" s="790"/>
      <c r="U385" s="790"/>
      <c r="V385" s="790"/>
      <c r="W385" s="790"/>
      <c r="X385" s="790"/>
      <c r="Y385" s="790"/>
      <c r="Z385" s="790"/>
      <c r="AA385" s="790"/>
      <c r="AB385" s="67"/>
      <c r="AC385" s="759">
        <v>0</v>
      </c>
      <c r="AD385" s="81"/>
      <c r="AE385" s="784"/>
      <c r="AF385" s="83" t="s">
        <v>920</v>
      </c>
      <c r="AG385" s="84">
        <f>SUMIF(H36:H371,"Aragon",S36:S371)</f>
        <v>0</v>
      </c>
    </row>
    <row r="386" spans="1:33" ht="13.5" hidden="1">
      <c r="A386" s="54"/>
      <c r="B386" s="53"/>
      <c r="C386" s="53"/>
      <c r="D386" s="53"/>
      <c r="E386" s="53"/>
      <c r="F386" s="53"/>
      <c r="G386" s="53"/>
      <c r="H386" s="53"/>
      <c r="I386" s="53"/>
      <c r="J386" s="53"/>
      <c r="K386" s="53"/>
      <c r="L386" s="53"/>
      <c r="M386" s="30"/>
      <c r="N386" s="30"/>
      <c r="O386" s="30"/>
      <c r="P386" s="790"/>
      <c r="Q386" s="790"/>
      <c r="R386" s="790"/>
      <c r="S386" s="790"/>
      <c r="T386" s="790"/>
      <c r="U386" s="790"/>
      <c r="V386" s="790"/>
      <c r="W386" s="790"/>
      <c r="X386" s="790"/>
      <c r="Y386" s="790"/>
      <c r="Z386" s="790"/>
      <c r="AA386" s="790"/>
      <c r="AB386" s="67"/>
      <c r="AC386" s="759"/>
      <c r="AD386" s="85"/>
      <c r="AE386" s="784"/>
      <c r="AF386" s="86" t="s">
        <v>921</v>
      </c>
      <c r="AG386" s="87">
        <f>SUMIF(H36:H371,"Aragon",AC36:AC371)</f>
        <v>0</v>
      </c>
    </row>
    <row r="387" spans="1:33" ht="14" hidden="1" thickBot="1">
      <c r="A387" s="54"/>
      <c r="B387" s="53"/>
      <c r="C387" s="53"/>
      <c r="D387" s="53"/>
      <c r="E387" s="53"/>
      <c r="F387" s="53"/>
      <c r="G387" s="53"/>
      <c r="H387" s="53"/>
      <c r="I387" s="53"/>
      <c r="J387" s="53"/>
      <c r="K387" s="53"/>
      <c r="L387" s="53"/>
      <c r="M387" s="30"/>
      <c r="N387" s="30"/>
      <c r="O387" s="30"/>
      <c r="P387" s="792" t="s">
        <v>350</v>
      </c>
      <c r="Q387" s="792"/>
      <c r="R387" s="792"/>
      <c r="S387" s="792"/>
      <c r="T387" s="792"/>
      <c r="U387" s="792"/>
      <c r="V387" s="792"/>
      <c r="W387" s="792"/>
      <c r="X387" s="792"/>
      <c r="Y387" s="792"/>
      <c r="Z387" s="792"/>
      <c r="AA387" s="792"/>
      <c r="AB387" s="67"/>
      <c r="AC387" s="759">
        <f>SUM(AC384-AC385)</f>
        <v>0</v>
      </c>
      <c r="AD387" s="85"/>
      <c r="AE387" s="785"/>
      <c r="AF387" s="88" t="s">
        <v>340</v>
      </c>
      <c r="AG387" s="89">
        <f>SUMIF(H36:H371,"Aragon",AF36:AF371)</f>
        <v>0</v>
      </c>
    </row>
    <row r="388" spans="1:33" ht="14" hidden="1" thickBot="1">
      <c r="A388" s="54"/>
      <c r="B388" s="53"/>
      <c r="C388" s="53"/>
      <c r="D388" s="53"/>
      <c r="E388" s="53"/>
      <c r="F388" s="53"/>
      <c r="G388" s="53"/>
      <c r="H388" s="53"/>
      <c r="I388" s="53"/>
      <c r="J388" s="53"/>
      <c r="K388" s="53"/>
      <c r="L388" s="53"/>
      <c r="M388" s="30"/>
      <c r="N388" s="30"/>
      <c r="O388" s="30"/>
      <c r="P388" s="85"/>
      <c r="Q388" s="85"/>
      <c r="R388" s="85"/>
      <c r="S388" s="85"/>
      <c r="T388" s="85"/>
      <c r="U388" s="85"/>
      <c r="V388" s="85"/>
      <c r="W388" s="85"/>
      <c r="X388" s="85"/>
      <c r="Y388" s="85"/>
      <c r="Z388" s="85"/>
      <c r="AA388" s="85"/>
      <c r="AB388" s="85"/>
      <c r="AC388" s="85"/>
      <c r="AD388" s="85"/>
      <c r="AE388" s="90"/>
      <c r="AF388"/>
      <c r="AG388"/>
    </row>
    <row r="389" spans="1:33" ht="13.5" hidden="1">
      <c r="A389" s="54"/>
      <c r="B389" s="53"/>
      <c r="C389" s="53"/>
      <c r="D389" s="53"/>
      <c r="E389" s="53"/>
      <c r="F389" s="53"/>
      <c r="G389" s="53"/>
      <c r="H389" s="53"/>
      <c r="I389" s="53"/>
      <c r="J389" s="53"/>
      <c r="K389" s="53"/>
      <c r="L389" s="53"/>
      <c r="M389" s="30"/>
      <c r="N389" s="30"/>
      <c r="O389" s="30"/>
      <c r="P389" s="780" t="s">
        <v>917</v>
      </c>
      <c r="Q389" s="781"/>
      <c r="R389" s="781"/>
      <c r="S389" s="781"/>
      <c r="T389" s="781"/>
      <c r="U389" s="781"/>
      <c r="V389" s="781"/>
      <c r="W389" s="781"/>
      <c r="X389" s="781"/>
      <c r="Y389" s="781"/>
      <c r="Z389" s="781"/>
      <c r="AA389" s="782"/>
      <c r="AB389" s="67"/>
      <c r="AC389" s="68">
        <f>SUMIF(H36:H370,"Composite X",AD36:AD370)</f>
        <v>1499849.9473684202</v>
      </c>
      <c r="AD389" s="74"/>
      <c r="AE389" s="783" t="s">
        <v>923</v>
      </c>
      <c r="AF389"/>
      <c r="AG389"/>
    </row>
    <row r="390" spans="1:33" ht="13.5" hidden="1">
      <c r="A390" s="30"/>
      <c r="B390" s="56"/>
      <c r="C390" s="56"/>
      <c r="D390" s="56"/>
      <c r="E390" s="56"/>
      <c r="F390" s="56"/>
      <c r="G390" s="56"/>
      <c r="H390" s="56"/>
      <c r="I390" s="56"/>
      <c r="J390" s="56"/>
      <c r="K390" s="56"/>
      <c r="L390" s="56"/>
      <c r="M390" s="30"/>
      <c r="N390" s="30"/>
      <c r="O390" s="30"/>
      <c r="P390" s="786" t="s">
        <v>351</v>
      </c>
      <c r="Q390" s="786"/>
      <c r="R390" s="787"/>
      <c r="S390" s="786"/>
      <c r="T390" s="786"/>
      <c r="U390" s="786"/>
      <c r="V390" s="786"/>
      <c r="W390" s="786"/>
      <c r="X390" s="786"/>
      <c r="Y390" s="786"/>
      <c r="Z390" s="786"/>
      <c r="AA390" s="786"/>
      <c r="AB390" s="69">
        <f>Bolts!E1157</f>
        <v>0</v>
      </c>
      <c r="AC390" s="68">
        <f>-SUM(AC389*AB390)</f>
        <v>0</v>
      </c>
      <c r="AD390" s="74"/>
      <c r="AE390" s="784"/>
      <c r="AF390"/>
      <c r="AG390"/>
    </row>
    <row r="391" spans="1:33" ht="12.75" customHeight="1">
      <c r="A391" s="30"/>
      <c r="B391" s="56"/>
      <c r="C391" s="56"/>
      <c r="D391" s="56"/>
      <c r="E391" s="56"/>
      <c r="F391" s="56"/>
      <c r="G391" s="56"/>
      <c r="H391" s="56"/>
      <c r="I391" s="56"/>
      <c r="J391" s="56"/>
      <c r="K391" s="56"/>
      <c r="L391" s="56"/>
      <c r="M391" s="30"/>
      <c r="N391" s="30"/>
      <c r="O391" s="30"/>
      <c r="P391" s="780" t="s">
        <v>916</v>
      </c>
      <c r="Q391" s="780"/>
      <c r="R391" s="780"/>
      <c r="S391" s="780"/>
      <c r="T391" s="780"/>
      <c r="U391" s="780"/>
      <c r="V391" s="780"/>
      <c r="W391" s="780"/>
      <c r="X391" s="780"/>
      <c r="Y391" s="780"/>
      <c r="Z391" s="780"/>
      <c r="AA391" s="780"/>
      <c r="AB391" s="67"/>
      <c r="AC391" s="756">
        <f>SUM(AC389:AC390)</f>
        <v>1499849.9473684202</v>
      </c>
      <c r="AD391" s="74"/>
      <c r="AE391" s="784"/>
      <c r="AF391"/>
      <c r="AG391"/>
    </row>
    <row r="392" spans="1:33" ht="12.75" customHeight="1">
      <c r="A392" s="30"/>
      <c r="B392" s="30"/>
      <c r="C392" s="30"/>
      <c r="D392" s="30"/>
      <c r="E392" s="30"/>
      <c r="F392" s="30"/>
      <c r="G392" s="30"/>
      <c r="H392" s="30"/>
      <c r="I392" s="30"/>
      <c r="J392" s="30"/>
      <c r="K392" s="30"/>
      <c r="L392" s="30"/>
      <c r="M392" s="30"/>
      <c r="N392" s="30"/>
      <c r="O392" s="30"/>
      <c r="P392" s="70"/>
      <c r="Q392" s="70"/>
      <c r="R392" s="71"/>
      <c r="S392" s="70"/>
      <c r="T392" s="70"/>
      <c r="U392" s="70"/>
      <c r="V392" s="70"/>
      <c r="W392" s="70"/>
      <c r="X392" s="70"/>
      <c r="Y392" s="788" t="s">
        <v>343</v>
      </c>
      <c r="Z392" s="788"/>
      <c r="AA392" s="788"/>
      <c r="AB392" s="72"/>
      <c r="AC392" s="759">
        <f>IF(W6="Yes",(Bolts!D1146*Bolts!K1150),0)</f>
        <v>0</v>
      </c>
      <c r="AD392" s="85"/>
      <c r="AE392" s="784"/>
      <c r="AF392"/>
      <c r="AG392"/>
    </row>
    <row r="393" spans="1:33" ht="13.5">
      <c r="A393" s="30"/>
      <c r="B393" s="30"/>
      <c r="C393" s="30"/>
      <c r="D393" s="30"/>
      <c r="E393" s="30"/>
      <c r="F393" s="30"/>
      <c r="G393" s="30"/>
      <c r="H393" s="30"/>
      <c r="I393" s="30"/>
      <c r="J393" s="30"/>
      <c r="K393" s="30"/>
      <c r="L393" s="30"/>
      <c r="M393" s="30"/>
      <c r="N393" s="30"/>
      <c r="O393" s="30"/>
      <c r="P393" s="76"/>
      <c r="Q393" s="76"/>
      <c r="R393" s="77"/>
      <c r="S393" s="76"/>
      <c r="T393" s="76"/>
      <c r="U393" s="76"/>
      <c r="V393" s="76"/>
      <c r="W393" s="76"/>
      <c r="X393" s="76"/>
      <c r="Y393" s="788" t="s">
        <v>344</v>
      </c>
      <c r="Z393" s="788"/>
      <c r="AA393" s="788"/>
      <c r="AB393" s="69"/>
      <c r="AC393" s="759"/>
      <c r="AD393" s="85"/>
      <c r="AE393" s="784"/>
      <c r="AF393"/>
      <c r="AG393"/>
    </row>
    <row r="394" spans="1:33" ht="13.5">
      <c r="A394" s="30"/>
      <c r="B394" s="30"/>
      <c r="C394" s="30"/>
      <c r="D394" s="30"/>
      <c r="E394" s="30"/>
      <c r="F394" s="30"/>
      <c r="G394" s="30"/>
      <c r="H394" s="30"/>
      <c r="I394" s="30"/>
      <c r="J394" s="30"/>
      <c r="K394" s="30"/>
      <c r="L394" s="30"/>
      <c r="M394" s="30"/>
      <c r="N394" s="30"/>
      <c r="O394" s="30"/>
      <c r="P394" s="780" t="s">
        <v>345</v>
      </c>
      <c r="Q394" s="780"/>
      <c r="R394" s="789"/>
      <c r="S394" s="780"/>
      <c r="T394" s="780"/>
      <c r="U394" s="780"/>
      <c r="V394" s="780"/>
      <c r="W394" s="780"/>
      <c r="X394" s="780"/>
      <c r="Y394" s="780"/>
      <c r="Z394" s="780"/>
      <c r="AA394" s="780"/>
      <c r="AB394" s="69"/>
      <c r="AC394" s="760">
        <f>SUM(AC391:AC393)</f>
        <v>1499849.9473684202</v>
      </c>
      <c r="AD394" s="85"/>
      <c r="AE394" s="784"/>
      <c r="AF394"/>
      <c r="AG394"/>
    </row>
    <row r="395" spans="1:33" ht="13.5">
      <c r="A395" s="30"/>
      <c r="B395" s="30"/>
      <c r="C395" s="30"/>
      <c r="D395" s="30"/>
      <c r="E395" s="30"/>
      <c r="F395" s="30"/>
      <c r="G395" s="30"/>
      <c r="H395" s="30"/>
      <c r="I395" s="30"/>
      <c r="J395" s="30"/>
      <c r="K395" s="30"/>
      <c r="L395" s="30"/>
      <c r="M395" s="30"/>
      <c r="N395" s="30"/>
      <c r="O395" s="30"/>
      <c r="P395" s="786" t="s">
        <v>446</v>
      </c>
      <c r="Q395" s="786"/>
      <c r="R395" s="787"/>
      <c r="S395" s="786"/>
      <c r="T395" s="786"/>
      <c r="U395" s="786"/>
      <c r="V395" s="786"/>
      <c r="W395" s="786"/>
      <c r="X395" s="786"/>
      <c r="Y395" s="786"/>
      <c r="Z395" s="786"/>
      <c r="AA395" s="786"/>
      <c r="AB395" s="221">
        <v>0</v>
      </c>
      <c r="AC395" s="760">
        <f>AC394*AB395</f>
        <v>0</v>
      </c>
      <c r="AD395" s="85"/>
      <c r="AE395" s="784"/>
      <c r="AF395"/>
      <c r="AG395"/>
    </row>
    <row r="396" spans="1:33" ht="14" thickBot="1">
      <c r="A396" s="30"/>
      <c r="B396" s="30"/>
      <c r="C396" s="30"/>
      <c r="D396" s="30"/>
      <c r="E396" s="30"/>
      <c r="F396" s="30"/>
      <c r="G396" s="30"/>
      <c r="H396" s="30"/>
      <c r="I396" s="30"/>
      <c r="J396" s="30"/>
      <c r="K396" s="30"/>
      <c r="L396" s="30"/>
      <c r="M396" s="30"/>
      <c r="N396" s="30"/>
      <c r="O396" s="30"/>
      <c r="P396" s="790" t="s">
        <v>346</v>
      </c>
      <c r="Q396" s="790"/>
      <c r="R396" s="791"/>
      <c r="S396" s="790"/>
      <c r="T396" s="790"/>
      <c r="U396" s="790"/>
      <c r="V396" s="790"/>
      <c r="W396" s="790"/>
      <c r="X396" s="790"/>
      <c r="Y396" s="790"/>
      <c r="Z396" s="790"/>
      <c r="AA396" s="790"/>
      <c r="AB396" s="67"/>
      <c r="AC396" s="759">
        <f>100*Bolts!J1150</f>
        <v>90.838671289999439</v>
      </c>
      <c r="AD396" s="85"/>
      <c r="AE396" s="784"/>
      <c r="AF396"/>
      <c r="AG396"/>
    </row>
    <row r="397" spans="1:33" ht="14" thickBot="1">
      <c r="A397" s="30"/>
      <c r="B397" s="30"/>
      <c r="C397" s="30"/>
      <c r="D397" s="30"/>
      <c r="E397" s="30"/>
      <c r="F397" s="30"/>
      <c r="G397" s="30"/>
      <c r="H397" s="30"/>
      <c r="I397" s="30"/>
      <c r="J397" s="30"/>
      <c r="K397" s="30"/>
      <c r="L397" s="30"/>
      <c r="M397" s="30"/>
      <c r="N397" s="30"/>
      <c r="O397" s="30"/>
      <c r="P397" s="82"/>
      <c r="Q397" s="790" t="s">
        <v>347</v>
      </c>
      <c r="R397" s="791"/>
      <c r="S397" s="790"/>
      <c r="T397" s="790"/>
      <c r="U397" s="790"/>
      <c r="V397" s="790"/>
      <c r="W397" s="790"/>
      <c r="X397" s="790"/>
      <c r="Y397" s="790"/>
      <c r="Z397" s="790"/>
      <c r="AA397" s="790"/>
      <c r="AB397" s="67"/>
      <c r="AC397" s="760">
        <f>1.8*AG401</f>
        <v>49149.740205298061</v>
      </c>
      <c r="AD397" s="85"/>
      <c r="AE397" s="784"/>
      <c r="AF397" s="83" t="s">
        <v>935</v>
      </c>
      <c r="AG397" s="761">
        <f>SUMIF(H36:H371,"Composite X",AD36:AD371)</f>
        <v>1499849.9473684202</v>
      </c>
    </row>
    <row r="398" spans="1:33" ht="20.5" thickBot="1">
      <c r="P398" s="792" t="s">
        <v>348</v>
      </c>
      <c r="Q398" s="792"/>
      <c r="R398" s="793"/>
      <c r="S398" s="792"/>
      <c r="T398" s="792"/>
      <c r="U398" s="792"/>
      <c r="V398" s="792"/>
      <c r="W398" s="792"/>
      <c r="X398" s="792"/>
      <c r="Y398" s="792"/>
      <c r="Z398" s="792"/>
      <c r="AA398" s="792"/>
      <c r="AB398" s="67"/>
      <c r="AC398" s="759">
        <f>SUM(AC394:AC397)</f>
        <v>1549090.5262450082</v>
      </c>
      <c r="AD398"/>
      <c r="AE398" s="784"/>
      <c r="AF398" s="83" t="s">
        <v>934</v>
      </c>
      <c r="AG398" s="761">
        <f>AG397*Bolts!E1157</f>
        <v>0</v>
      </c>
    </row>
    <row r="399" spans="1:33" ht="13.5">
      <c r="P399" s="790" t="s">
        <v>349</v>
      </c>
      <c r="Q399" s="790"/>
      <c r="R399" s="791"/>
      <c r="S399" s="790"/>
      <c r="T399" s="790"/>
      <c r="U399" s="790"/>
      <c r="V399" s="790"/>
      <c r="W399" s="790"/>
      <c r="X399" s="790"/>
      <c r="Y399" s="790"/>
      <c r="Z399" s="790"/>
      <c r="AA399" s="790"/>
      <c r="AB399" s="67"/>
      <c r="AC399" s="759">
        <v>0</v>
      </c>
      <c r="AD399"/>
      <c r="AE399" s="784"/>
      <c r="AF399" s="83" t="s">
        <v>920</v>
      </c>
      <c r="AG399" s="84">
        <f>SUMIF(H36:H371,"Composite X",S36:S371)</f>
        <v>7738</v>
      </c>
    </row>
    <row r="400" spans="1:33" ht="13.5">
      <c r="P400" s="790"/>
      <c r="Q400" s="790"/>
      <c r="R400" s="791"/>
      <c r="S400" s="790"/>
      <c r="T400" s="790"/>
      <c r="U400" s="790"/>
      <c r="V400" s="790"/>
      <c r="W400" s="790"/>
      <c r="X400" s="790"/>
      <c r="Y400" s="790"/>
      <c r="Z400" s="790"/>
      <c r="AA400" s="790"/>
      <c r="AB400" s="67"/>
      <c r="AC400" s="759"/>
      <c r="AD400"/>
      <c r="AE400" s="784"/>
      <c r="AF400" s="86" t="s">
        <v>921</v>
      </c>
      <c r="AG400" s="87">
        <f>SUMIF(H36:H371,"Composite X",AC36:AC371)</f>
        <v>39736</v>
      </c>
    </row>
    <row r="401" spans="16:33" ht="14" thickBot="1">
      <c r="P401" s="792" t="s">
        <v>350</v>
      </c>
      <c r="Q401" s="792"/>
      <c r="R401" s="793"/>
      <c r="S401" s="792"/>
      <c r="T401" s="792"/>
      <c r="U401" s="792"/>
      <c r="V401" s="792"/>
      <c r="W401" s="792"/>
      <c r="X401" s="792"/>
      <c r="Y401" s="792"/>
      <c r="Z401" s="792"/>
      <c r="AA401" s="792"/>
      <c r="AB401" s="67"/>
      <c r="AC401" s="759">
        <f>SUM(AC398-AC399)</f>
        <v>1549090.5262450082</v>
      </c>
      <c r="AD401"/>
      <c r="AE401" s="785"/>
      <c r="AF401" s="88" t="s">
        <v>340</v>
      </c>
      <c r="AG401" s="89">
        <f>SUMIF(H36:H371,"Composite X",AF36:AF371)</f>
        <v>27305.41122516559</v>
      </c>
    </row>
    <row r="402" spans="16:33" ht="14" thickBot="1">
      <c r="P402" s="85"/>
      <c r="Q402" s="85"/>
      <c r="R402" s="85"/>
      <c r="S402" s="85"/>
      <c r="T402" s="85"/>
      <c r="U402" s="85"/>
      <c r="V402" s="85"/>
      <c r="W402" s="85"/>
      <c r="X402" s="85"/>
      <c r="Y402" s="85"/>
      <c r="Z402" s="85"/>
      <c r="AA402" s="85"/>
      <c r="AB402" s="85"/>
      <c r="AC402" s="85"/>
      <c r="AD402" s="85"/>
      <c r="AE402" s="90"/>
      <c r="AF402"/>
      <c r="AG402"/>
    </row>
    <row r="403" spans="16:33" ht="13.5" hidden="1">
      <c r="P403" s="780" t="s">
        <v>917</v>
      </c>
      <c r="Q403" s="781"/>
      <c r="R403" s="781"/>
      <c r="S403" s="781"/>
      <c r="T403" s="781"/>
      <c r="U403" s="781"/>
      <c r="V403" s="781"/>
      <c r="W403" s="781"/>
      <c r="X403" s="781"/>
      <c r="Y403" s="781"/>
      <c r="Z403" s="781"/>
      <c r="AA403" s="782"/>
      <c r="AB403" s="67"/>
      <c r="AC403" s="68">
        <f>SUMIF(H36:H384,"Walltopia",AD36:AD384)</f>
        <v>0</v>
      </c>
      <c r="AD403" s="74"/>
      <c r="AE403" s="783" t="s">
        <v>2116</v>
      </c>
      <c r="AF403"/>
      <c r="AG403"/>
    </row>
    <row r="404" spans="16:33" ht="13.5" hidden="1">
      <c r="P404" s="786" t="s">
        <v>351</v>
      </c>
      <c r="Q404" s="786"/>
      <c r="R404" s="787"/>
      <c r="S404" s="786"/>
      <c r="T404" s="786"/>
      <c r="U404" s="786"/>
      <c r="V404" s="786"/>
      <c r="W404" s="786"/>
      <c r="X404" s="786"/>
      <c r="Y404" s="786"/>
      <c r="Z404" s="786"/>
      <c r="AA404" s="786"/>
      <c r="AB404" s="69">
        <f>Bolts!E1157</f>
        <v>0</v>
      </c>
      <c r="AC404" s="68">
        <f>-SUM(AC403*AB404)</f>
        <v>0</v>
      </c>
      <c r="AD404" s="74"/>
      <c r="AE404" s="784"/>
      <c r="AF404"/>
      <c r="AG404"/>
    </row>
    <row r="405" spans="16:33" ht="13.5">
      <c r="P405" s="780" t="s">
        <v>916</v>
      </c>
      <c r="Q405" s="780"/>
      <c r="R405" s="780"/>
      <c r="S405" s="780"/>
      <c r="T405" s="780"/>
      <c r="U405" s="780"/>
      <c r="V405" s="780"/>
      <c r="W405" s="780"/>
      <c r="X405" s="780"/>
      <c r="Y405" s="780"/>
      <c r="Z405" s="780"/>
      <c r="AA405" s="780"/>
      <c r="AB405" s="67"/>
      <c r="AC405" s="756">
        <f>SUM(AC403:AC404)</f>
        <v>0</v>
      </c>
      <c r="AD405" s="74"/>
      <c r="AE405" s="784"/>
      <c r="AF405"/>
      <c r="AG405"/>
    </row>
    <row r="406" spans="16:33" ht="13.5">
      <c r="P406" s="70"/>
      <c r="Q406" s="70"/>
      <c r="R406" s="71"/>
      <c r="S406" s="70"/>
      <c r="T406" s="70"/>
      <c r="U406" s="70"/>
      <c r="V406" s="70"/>
      <c r="W406" s="70"/>
      <c r="X406" s="70"/>
      <c r="Y406" s="788" t="s">
        <v>343</v>
      </c>
      <c r="Z406" s="788"/>
      <c r="AA406" s="788"/>
      <c r="AB406" s="72"/>
      <c r="AC406" s="759">
        <f>IF(W6="Yes",(Bolts!D1146*Bolts!K1151),0)</f>
        <v>0</v>
      </c>
      <c r="AD406" s="85"/>
      <c r="AE406" s="784"/>
      <c r="AF406"/>
      <c r="AG406"/>
    </row>
    <row r="407" spans="16:33" ht="13.5">
      <c r="P407" s="76"/>
      <c r="Q407" s="76"/>
      <c r="R407" s="77"/>
      <c r="S407" s="76"/>
      <c r="T407" s="76"/>
      <c r="U407" s="76"/>
      <c r="V407" s="76"/>
      <c r="W407" s="76"/>
      <c r="X407" s="76"/>
      <c r="Y407" s="788" t="s">
        <v>344</v>
      </c>
      <c r="Z407" s="788"/>
      <c r="AA407" s="788"/>
      <c r="AB407" s="69"/>
      <c r="AC407" s="759"/>
      <c r="AD407" s="85"/>
      <c r="AE407" s="784"/>
      <c r="AF407"/>
      <c r="AG407"/>
    </row>
    <row r="408" spans="16:33" ht="13.5">
      <c r="P408" s="780" t="s">
        <v>345</v>
      </c>
      <c r="Q408" s="780"/>
      <c r="R408" s="789"/>
      <c r="S408" s="780"/>
      <c r="T408" s="780"/>
      <c r="U408" s="780"/>
      <c r="V408" s="780"/>
      <c r="W408" s="780"/>
      <c r="X408" s="780"/>
      <c r="Y408" s="780"/>
      <c r="Z408" s="780"/>
      <c r="AA408" s="780"/>
      <c r="AB408" s="69"/>
      <c r="AC408" s="760">
        <f>SUM(AC405:AC407)</f>
        <v>0</v>
      </c>
      <c r="AD408" s="85"/>
      <c r="AE408" s="784"/>
      <c r="AF408"/>
      <c r="AG408"/>
    </row>
    <row r="409" spans="16:33" ht="13.5">
      <c r="P409" s="786" t="s">
        <v>446</v>
      </c>
      <c r="Q409" s="786"/>
      <c r="R409" s="787"/>
      <c r="S409" s="786"/>
      <c r="T409" s="786"/>
      <c r="U409" s="786"/>
      <c r="V409" s="786"/>
      <c r="W409" s="786"/>
      <c r="X409" s="786"/>
      <c r="Y409" s="786"/>
      <c r="Z409" s="786"/>
      <c r="AA409" s="786"/>
      <c r="AB409" s="221">
        <v>0</v>
      </c>
      <c r="AC409" s="760">
        <f>AC408*AB409</f>
        <v>0</v>
      </c>
      <c r="AD409" s="85"/>
      <c r="AE409" s="784"/>
      <c r="AF409"/>
      <c r="AG409"/>
    </row>
    <row r="410" spans="16:33" ht="14" thickBot="1">
      <c r="P410" s="790" t="s">
        <v>346</v>
      </c>
      <c r="Q410" s="790"/>
      <c r="R410" s="791"/>
      <c r="S410" s="790"/>
      <c r="T410" s="790"/>
      <c r="U410" s="790"/>
      <c r="V410" s="790"/>
      <c r="W410" s="790"/>
      <c r="X410" s="790"/>
      <c r="Y410" s="790"/>
      <c r="Z410" s="790"/>
      <c r="AA410" s="790"/>
      <c r="AB410" s="67"/>
      <c r="AC410" s="759">
        <f>50*Bolts!J1151</f>
        <v>0</v>
      </c>
      <c r="AD410" s="85"/>
      <c r="AE410" s="784"/>
      <c r="AF410"/>
      <c r="AG410"/>
    </row>
    <row r="411" spans="16:33" ht="14" thickBot="1">
      <c r="P411" s="82"/>
      <c r="Q411" s="790" t="s">
        <v>347</v>
      </c>
      <c r="R411" s="791"/>
      <c r="S411" s="790"/>
      <c r="T411" s="790"/>
      <c r="U411" s="790"/>
      <c r="V411" s="790"/>
      <c r="W411" s="790"/>
      <c r="X411" s="790"/>
      <c r="Y411" s="790"/>
      <c r="Z411" s="790"/>
      <c r="AA411" s="790"/>
      <c r="AB411" s="67"/>
      <c r="AC411" s="760">
        <v>0</v>
      </c>
      <c r="AD411" s="85"/>
      <c r="AE411" s="784"/>
      <c r="AF411" s="83" t="s">
        <v>935</v>
      </c>
      <c r="AG411" s="761">
        <f>SUMIF(H36:H371,"Walltopia",AD36:AD371)</f>
        <v>0</v>
      </c>
    </row>
    <row r="412" spans="16:33" ht="20.5" thickBot="1">
      <c r="P412" s="792" t="s">
        <v>348</v>
      </c>
      <c r="Q412" s="792"/>
      <c r="R412" s="793"/>
      <c r="S412" s="792"/>
      <c r="T412" s="792"/>
      <c r="U412" s="792"/>
      <c r="V412" s="792"/>
      <c r="W412" s="792"/>
      <c r="X412" s="792"/>
      <c r="Y412" s="792"/>
      <c r="Z412" s="792"/>
      <c r="AA412" s="792"/>
      <c r="AB412" s="67"/>
      <c r="AC412" s="759">
        <f>SUM(AC408:AC411)</f>
        <v>0</v>
      </c>
      <c r="AD412"/>
      <c r="AE412" s="784"/>
      <c r="AF412" s="83" t="s">
        <v>934</v>
      </c>
      <c r="AG412" s="761">
        <f>AG411*Bolts!E1157</f>
        <v>0</v>
      </c>
    </row>
    <row r="413" spans="16:33" ht="13.5">
      <c r="P413" s="790" t="s">
        <v>349</v>
      </c>
      <c r="Q413" s="790"/>
      <c r="R413" s="791"/>
      <c r="S413" s="790"/>
      <c r="T413" s="790"/>
      <c r="U413" s="790"/>
      <c r="V413" s="790"/>
      <c r="W413" s="790"/>
      <c r="X413" s="790"/>
      <c r="Y413" s="790"/>
      <c r="Z413" s="790"/>
      <c r="AA413" s="790"/>
      <c r="AB413" s="67"/>
      <c r="AC413" s="759">
        <v>0</v>
      </c>
      <c r="AD413"/>
      <c r="AE413" s="784"/>
      <c r="AF413" s="83" t="s">
        <v>920</v>
      </c>
      <c r="AG413" s="84">
        <f>SUMIF(H36:H371,"Walltopia",S36:S371)</f>
        <v>0</v>
      </c>
    </row>
    <row r="414" spans="16:33" ht="13.5">
      <c r="P414" s="790"/>
      <c r="Q414" s="790"/>
      <c r="R414" s="791"/>
      <c r="S414" s="790"/>
      <c r="T414" s="790"/>
      <c r="U414" s="790"/>
      <c r="V414" s="790"/>
      <c r="W414" s="790"/>
      <c r="X414" s="790"/>
      <c r="Y414" s="790"/>
      <c r="Z414" s="790"/>
      <c r="AA414" s="790"/>
      <c r="AB414" s="67"/>
      <c r="AC414" s="759"/>
      <c r="AD414"/>
      <c r="AE414" s="784"/>
      <c r="AF414" s="86" t="s">
        <v>921</v>
      </c>
      <c r="AG414" s="87">
        <f>SUMIF(H36:H371,"Walltopia",AC36:AC371)</f>
        <v>0</v>
      </c>
    </row>
    <row r="415" spans="16:33" ht="14" thickBot="1">
      <c r="P415" s="792" t="s">
        <v>350</v>
      </c>
      <c r="Q415" s="792"/>
      <c r="R415" s="793"/>
      <c r="S415" s="792"/>
      <c r="T415" s="792"/>
      <c r="U415" s="792"/>
      <c r="V415" s="792"/>
      <c r="W415" s="792"/>
      <c r="X415" s="792"/>
      <c r="Y415" s="792"/>
      <c r="Z415" s="792"/>
      <c r="AA415" s="792"/>
      <c r="AB415" s="67"/>
      <c r="AC415" s="759">
        <f>SUM(AC412-AC413)</f>
        <v>0</v>
      </c>
      <c r="AD415"/>
      <c r="AE415" s="785"/>
      <c r="AF415" s="88" t="s">
        <v>340</v>
      </c>
      <c r="AG415" s="89">
        <f>SUMIF(H36:H371,"Walltopia",AF36:AF371)</f>
        <v>0</v>
      </c>
    </row>
    <row r="416" spans="16:33" ht="14" thickBot="1">
      <c r="P416" s="85"/>
      <c r="Q416" s="85"/>
      <c r="R416" s="85"/>
      <c r="S416" s="85"/>
      <c r="T416" s="85"/>
      <c r="U416" s="85"/>
      <c r="V416" s="85"/>
      <c r="W416" s="85"/>
      <c r="X416" s="85"/>
      <c r="Y416" s="85"/>
      <c r="Z416" s="85"/>
      <c r="AA416" s="85"/>
      <c r="AB416" s="85"/>
      <c r="AC416" s="85"/>
      <c r="AD416" s="85"/>
      <c r="AE416" s="90"/>
      <c r="AF416"/>
      <c r="AG416"/>
    </row>
    <row r="417" spans="16:33" ht="13.5">
      <c r="P417" s="780" t="s">
        <v>345</v>
      </c>
      <c r="Q417" s="780"/>
      <c r="R417" s="789"/>
      <c r="S417" s="780"/>
      <c r="T417" s="780"/>
      <c r="U417" s="780"/>
      <c r="V417" s="780"/>
      <c r="W417" s="780"/>
      <c r="X417" s="780"/>
      <c r="Y417" s="780"/>
      <c r="Z417" s="780"/>
      <c r="AA417" s="780"/>
      <c r="AB417" s="69"/>
      <c r="AC417" s="759">
        <f>AC380+AC394+AC408</f>
        <v>1499849.9473684202</v>
      </c>
      <c r="AD417" s="92"/>
      <c r="AE417" s="783" t="s">
        <v>924</v>
      </c>
      <c r="AF417"/>
      <c r="AG417"/>
    </row>
    <row r="418" spans="16:33" ht="13.5">
      <c r="P418" s="786" t="s">
        <v>446</v>
      </c>
      <c r="Q418" s="786"/>
      <c r="R418" s="787"/>
      <c r="S418" s="786"/>
      <c r="T418" s="786"/>
      <c r="U418" s="786"/>
      <c r="V418" s="786"/>
      <c r="W418" s="786"/>
      <c r="X418" s="786"/>
      <c r="Y418" s="786"/>
      <c r="Z418" s="786"/>
      <c r="AA418" s="786"/>
      <c r="AB418" s="221">
        <v>0</v>
      </c>
      <c r="AC418" s="759">
        <f>AC381+AC395+AC409</f>
        <v>0</v>
      </c>
      <c r="AD418"/>
      <c r="AE418" s="784"/>
      <c r="AF418"/>
      <c r="AG418"/>
    </row>
    <row r="419" spans="16:33" ht="14" thickBot="1">
      <c r="P419" s="790" t="s">
        <v>346</v>
      </c>
      <c r="Q419" s="790"/>
      <c r="R419" s="791"/>
      <c r="S419" s="790"/>
      <c r="T419" s="790"/>
      <c r="U419" s="790"/>
      <c r="V419" s="790"/>
      <c r="W419" s="790"/>
      <c r="X419" s="790"/>
      <c r="Y419" s="790"/>
      <c r="Z419" s="790"/>
      <c r="AA419" s="790"/>
      <c r="AB419" s="67"/>
      <c r="AC419" s="759">
        <f>AC382+AC396+AC410</f>
        <v>90.838671289999439</v>
      </c>
      <c r="AD419"/>
      <c r="AE419" s="784"/>
    </row>
    <row r="420" spans="16:33" ht="14" thickBot="1">
      <c r="P420" s="82"/>
      <c r="Q420" s="790" t="s">
        <v>347</v>
      </c>
      <c r="R420" s="791"/>
      <c r="S420" s="790"/>
      <c r="T420" s="790"/>
      <c r="U420" s="790"/>
      <c r="V420" s="790"/>
      <c r="W420" s="790"/>
      <c r="X420" s="790"/>
      <c r="Y420" s="790"/>
      <c r="Z420" s="790"/>
      <c r="AA420" s="790"/>
      <c r="AB420" s="67"/>
      <c r="AC420" s="759">
        <f>AC383+AC397+AC411</f>
        <v>49149.740205298061</v>
      </c>
      <c r="AD420"/>
      <c r="AE420" s="784"/>
      <c r="AF420" s="83" t="s">
        <v>935</v>
      </c>
      <c r="AG420" s="761">
        <f>AG383+AG397+AG411</f>
        <v>1499849.9473684202</v>
      </c>
    </row>
    <row r="421" spans="16:33" ht="20.5" thickBot="1">
      <c r="P421" s="792" t="s">
        <v>348</v>
      </c>
      <c r="Q421" s="792"/>
      <c r="R421" s="793"/>
      <c r="S421" s="792"/>
      <c r="T421" s="792"/>
      <c r="U421" s="792"/>
      <c r="V421" s="792"/>
      <c r="W421" s="792"/>
      <c r="X421" s="792"/>
      <c r="Y421" s="792"/>
      <c r="Z421" s="792"/>
      <c r="AA421" s="792"/>
      <c r="AB421" s="67"/>
      <c r="AC421" s="759">
        <f>SUM(AC417:AC420)</f>
        <v>1549090.5262450082</v>
      </c>
      <c r="AD421"/>
      <c r="AE421" s="784"/>
      <c r="AF421" s="83" t="s">
        <v>934</v>
      </c>
      <c r="AG421" s="761">
        <f>AG384+AG398+AG412</f>
        <v>0</v>
      </c>
    </row>
    <row r="422" spans="16:33" ht="13.5">
      <c r="P422" s="790" t="s">
        <v>349</v>
      </c>
      <c r="Q422" s="790"/>
      <c r="R422" s="791"/>
      <c r="S422" s="790"/>
      <c r="T422" s="790"/>
      <c r="U422" s="790"/>
      <c r="V422" s="790"/>
      <c r="W422" s="790"/>
      <c r="X422" s="790"/>
      <c r="Y422" s="790"/>
      <c r="Z422" s="790"/>
      <c r="AA422" s="790"/>
      <c r="AB422" s="67"/>
      <c r="AC422" s="759">
        <v>0</v>
      </c>
      <c r="AD422"/>
      <c r="AE422" s="784"/>
      <c r="AF422" s="83" t="s">
        <v>920</v>
      </c>
      <c r="AG422" s="84">
        <f>AG385+AG399+AG413</f>
        <v>7738</v>
      </c>
    </row>
    <row r="423" spans="16:33" ht="13.5">
      <c r="P423" s="790"/>
      <c r="Q423" s="790"/>
      <c r="R423" s="791"/>
      <c r="S423" s="790"/>
      <c r="T423" s="790"/>
      <c r="U423" s="790"/>
      <c r="V423" s="790"/>
      <c r="W423" s="790"/>
      <c r="X423" s="790"/>
      <c r="Y423" s="790"/>
      <c r="Z423" s="790"/>
      <c r="AA423" s="790"/>
      <c r="AB423" s="67"/>
      <c r="AC423" s="759"/>
      <c r="AD423"/>
      <c r="AE423" s="784"/>
      <c r="AF423" s="86" t="s">
        <v>921</v>
      </c>
      <c r="AG423" s="87">
        <f>AG386+AG400+AG414</f>
        <v>39736</v>
      </c>
    </row>
    <row r="424" spans="16:33" ht="14" thickBot="1">
      <c r="P424" s="792" t="s">
        <v>350</v>
      </c>
      <c r="Q424" s="792"/>
      <c r="R424" s="793"/>
      <c r="S424" s="792"/>
      <c r="T424" s="792"/>
      <c r="U424" s="792"/>
      <c r="V424" s="792"/>
      <c r="W424" s="792"/>
      <c r="X424" s="792"/>
      <c r="Y424" s="792"/>
      <c r="Z424" s="792"/>
      <c r="AA424" s="792"/>
      <c r="AB424" s="67"/>
      <c r="AC424" s="759">
        <f>SUM(AC421-AC422)</f>
        <v>1549090.5262450082</v>
      </c>
      <c r="AD424"/>
      <c r="AE424" s="785"/>
      <c r="AF424" s="88" t="s">
        <v>340</v>
      </c>
      <c r="AG424" s="89">
        <f>AG387+AG401+AG415</f>
        <v>27305.41122516559</v>
      </c>
    </row>
    <row r="425" spans="16:33" ht="13.5">
      <c r="AE425" s="33"/>
    </row>
    <row r="426" spans="16:33" ht="13.5">
      <c r="AE426" s="33"/>
    </row>
    <row r="427" spans="16:33" ht="13.5">
      <c r="AE427" s="33"/>
    </row>
    <row r="428" spans="16:33" ht="13.5">
      <c r="AE428" s="33"/>
    </row>
    <row r="429" spans="16:33" ht="13.5">
      <c r="AE429" s="33"/>
    </row>
    <row r="430" spans="16:33" ht="13.5">
      <c r="AE430" s="33"/>
    </row>
    <row r="431" spans="16:33" ht="13.5">
      <c r="AE431" s="33"/>
    </row>
    <row r="432" spans="16:33" ht="13.5">
      <c r="AE432" s="33"/>
    </row>
    <row r="433" spans="31:31" ht="13.5">
      <c r="AE433" s="33"/>
    </row>
    <row r="434" spans="31:31" ht="13.5">
      <c r="AE434" s="33"/>
    </row>
    <row r="435" spans="31:31" ht="13.5">
      <c r="AE435" s="33"/>
    </row>
    <row r="436" spans="31:31" ht="13.5">
      <c r="AE436" s="33"/>
    </row>
    <row r="437" spans="31:31" ht="13.5">
      <c r="AE437" s="33"/>
    </row>
    <row r="438" spans="31:31" ht="13.5">
      <c r="AE438" s="33"/>
    </row>
    <row r="439" spans="31:31" ht="13.5">
      <c r="AE439" s="33"/>
    </row>
    <row r="440" spans="31:31" ht="13.5">
      <c r="AE440" s="33"/>
    </row>
    <row r="441" spans="31:31" ht="13.5">
      <c r="AE441" s="33"/>
    </row>
    <row r="442" spans="31:31" ht="13.5">
      <c r="AE442" s="33"/>
    </row>
    <row r="443" spans="31:31" ht="13.5">
      <c r="AE443" s="33"/>
    </row>
    <row r="444" spans="31:31" ht="13.5">
      <c r="AE444" s="33"/>
    </row>
    <row r="445" spans="31:31" ht="13.5">
      <c r="AE445" s="33"/>
    </row>
    <row r="446" spans="31:31" ht="13.5">
      <c r="AE446" s="33"/>
    </row>
    <row r="447" spans="31:31" ht="13.5">
      <c r="AE447" s="33"/>
    </row>
    <row r="448" spans="31:31" ht="13.5">
      <c r="AE448" s="33"/>
    </row>
    <row r="449" spans="31:31" ht="13.5">
      <c r="AE449" s="33"/>
    </row>
    <row r="450" spans="31:31" ht="13.5">
      <c r="AE450" s="33"/>
    </row>
    <row r="451" spans="31:31" ht="13.5">
      <c r="AE451" s="33"/>
    </row>
    <row r="452" spans="31:31" ht="13.5">
      <c r="AE452" s="33"/>
    </row>
    <row r="453" spans="31:31" ht="13.5">
      <c r="AE453" s="33"/>
    </row>
    <row r="454" spans="31:31" ht="13.5">
      <c r="AE454" s="33"/>
    </row>
    <row r="455" spans="31:31" ht="13.5">
      <c r="AE455" s="33"/>
    </row>
    <row r="456" spans="31:31" ht="13.5">
      <c r="AE456" s="33"/>
    </row>
    <row r="457" spans="31:31" ht="13.5">
      <c r="AE457" s="33"/>
    </row>
    <row r="458" spans="31:31" ht="13.5">
      <c r="AE458" s="33"/>
    </row>
    <row r="459" spans="31:31" ht="13.5">
      <c r="AE459" s="33"/>
    </row>
    <row r="460" spans="31:31" ht="13.5">
      <c r="AE460" s="33"/>
    </row>
    <row r="461" spans="31:31" ht="13.5">
      <c r="AE461" s="33"/>
    </row>
    <row r="462" spans="31:31" ht="13.5">
      <c r="AE462" s="33"/>
    </row>
    <row r="463" spans="31:31" ht="13.5">
      <c r="AE463" s="33"/>
    </row>
    <row r="464" spans="31:31" ht="13.5">
      <c r="AE464" s="33"/>
    </row>
    <row r="465" spans="31:31" ht="13.5">
      <c r="AE465" s="33"/>
    </row>
    <row r="466" spans="31:31" ht="13.5">
      <c r="AE466" s="33"/>
    </row>
    <row r="467" spans="31:31" ht="13.5">
      <c r="AE467" s="33"/>
    </row>
    <row r="468" spans="31:31" ht="13.5">
      <c r="AE468" s="33"/>
    </row>
    <row r="469" spans="31:31" ht="13.5">
      <c r="AE469" s="33"/>
    </row>
    <row r="470" spans="31:31" ht="13.5">
      <c r="AE470" s="33"/>
    </row>
    <row r="471" spans="31:31" ht="13.5">
      <c r="AE471" s="33"/>
    </row>
    <row r="472" spans="31:31" ht="13.5">
      <c r="AE472" s="33"/>
    </row>
    <row r="473" spans="31:31" ht="13.5">
      <c r="AE473" s="33"/>
    </row>
    <row r="474" spans="31:31" ht="13.5">
      <c r="AE474" s="33"/>
    </row>
    <row r="475" spans="31:31" ht="13.5">
      <c r="AE475" s="33"/>
    </row>
    <row r="476" spans="31:31" ht="13.5">
      <c r="AE476" s="33"/>
    </row>
    <row r="477" spans="31:31" ht="13.5">
      <c r="AE477" s="33"/>
    </row>
    <row r="478" spans="31:31" ht="13.5">
      <c r="AE478" s="33"/>
    </row>
    <row r="479" spans="31:31" ht="13.5">
      <c r="AE479" s="33"/>
    </row>
    <row r="480" spans="31:31" ht="13.5">
      <c r="AE480" s="33"/>
    </row>
    <row r="481" spans="31:31" ht="13.5">
      <c r="AE481" s="33"/>
    </row>
    <row r="482" spans="31:31" ht="13.5">
      <c r="AE482" s="33"/>
    </row>
    <row r="483" spans="31:31" ht="13.5">
      <c r="AE483" s="33"/>
    </row>
    <row r="484" spans="31:31" ht="13.5">
      <c r="AE484" s="33"/>
    </row>
    <row r="485" spans="31:31" ht="13.5">
      <c r="AE485" s="33"/>
    </row>
    <row r="486" spans="31:31" ht="13.5">
      <c r="AE486" s="33"/>
    </row>
    <row r="487" spans="31:31" ht="13.5">
      <c r="AE487" s="33"/>
    </row>
    <row r="488" spans="31:31" ht="13.5">
      <c r="AE488" s="33"/>
    </row>
    <row r="489" spans="31:31" ht="13.5">
      <c r="AE489" s="33"/>
    </row>
    <row r="490" spans="31:31" ht="13.5">
      <c r="AE490" s="33"/>
    </row>
    <row r="491" spans="31:31" ht="13.5">
      <c r="AE491" s="33"/>
    </row>
    <row r="492" spans="31:31" ht="13.5">
      <c r="AE492" s="33"/>
    </row>
    <row r="493" spans="31:31" ht="13.5">
      <c r="AE493" s="33"/>
    </row>
    <row r="494" spans="31:31" ht="13.5">
      <c r="AE494" s="33"/>
    </row>
    <row r="495" spans="31:31" ht="13.5">
      <c r="AE495" s="33"/>
    </row>
    <row r="496" spans="31:31" ht="13.5">
      <c r="AE496" s="33"/>
    </row>
    <row r="497" spans="31:31" ht="13.5">
      <c r="AE497" s="33"/>
    </row>
    <row r="498" spans="31:31" ht="13.5">
      <c r="AE498" s="33"/>
    </row>
    <row r="499" spans="31:31" ht="13.5">
      <c r="AE499" s="33"/>
    </row>
    <row r="500" spans="31:31" ht="13.5">
      <c r="AE500" s="33"/>
    </row>
    <row r="501" spans="31:31" ht="13.5">
      <c r="AE501" s="33"/>
    </row>
    <row r="502" spans="31:31" ht="13.5">
      <c r="AE502" s="33"/>
    </row>
    <row r="503" spans="31:31" ht="13.5">
      <c r="AE503" s="33"/>
    </row>
    <row r="504" spans="31:31" ht="13.5">
      <c r="AE504" s="33"/>
    </row>
    <row r="505" spans="31:31" ht="13.5">
      <c r="AE505" s="33"/>
    </row>
    <row r="506" spans="31:31" ht="13.5">
      <c r="AE506" s="33"/>
    </row>
    <row r="507" spans="31:31" ht="13.5">
      <c r="AE507" s="33"/>
    </row>
    <row r="508" spans="31:31" ht="13.5">
      <c r="AE508" s="33"/>
    </row>
    <row r="509" spans="31:31" ht="13.5">
      <c r="AE509" s="33"/>
    </row>
    <row r="510" spans="31:31" ht="13.5">
      <c r="AE510" s="33"/>
    </row>
    <row r="511" spans="31:31" ht="13.5">
      <c r="AE511" s="33"/>
    </row>
    <row r="512" spans="31:31" ht="13.5">
      <c r="AE512" s="33"/>
    </row>
    <row r="513" spans="31:31" ht="13.5">
      <c r="AE513" s="33"/>
    </row>
    <row r="514" spans="31:31" ht="13.5">
      <c r="AE514" s="33"/>
    </row>
    <row r="515" spans="31:31" ht="13.5">
      <c r="AE515" s="33"/>
    </row>
    <row r="516" spans="31:31" ht="13.5">
      <c r="AE516" s="33"/>
    </row>
    <row r="517" spans="31:31" ht="13.5">
      <c r="AE517" s="33"/>
    </row>
    <row r="518" spans="31:31" ht="13.5">
      <c r="AE518" s="33"/>
    </row>
    <row r="519" spans="31:31" ht="13.5">
      <c r="AE519" s="33"/>
    </row>
    <row r="520" spans="31:31" ht="13.5">
      <c r="AE520" s="33"/>
    </row>
    <row r="521" spans="31:31" ht="13.5">
      <c r="AE521" s="33"/>
    </row>
    <row r="522" spans="31:31" ht="13.5">
      <c r="AE522" s="33"/>
    </row>
    <row r="523" spans="31:31" ht="13.5">
      <c r="AE523" s="33"/>
    </row>
    <row r="524" spans="31:31" ht="13.5">
      <c r="AE524" s="33"/>
    </row>
    <row r="525" spans="31:31" ht="13.5">
      <c r="AE525" s="33"/>
    </row>
    <row r="526" spans="31:31" ht="13.5">
      <c r="AE526" s="33"/>
    </row>
    <row r="527" spans="31:31" ht="13.5">
      <c r="AE527" s="33"/>
    </row>
    <row r="528" spans="31:31" ht="13.5">
      <c r="AE528" s="33"/>
    </row>
    <row r="529" spans="31:31" ht="13.5">
      <c r="AE529" s="33"/>
    </row>
    <row r="530" spans="31:31" ht="13.5">
      <c r="AE530" s="33"/>
    </row>
    <row r="531" spans="31:31" ht="13.5">
      <c r="AE531" s="33"/>
    </row>
    <row r="532" spans="31:31" ht="13.5">
      <c r="AE532" s="33"/>
    </row>
    <row r="533" spans="31:31" ht="13.5">
      <c r="AE533" s="33"/>
    </row>
    <row r="534" spans="31:31" ht="13.5">
      <c r="AE534" s="33"/>
    </row>
    <row r="535" spans="31:31" ht="13.5">
      <c r="AE535" s="33"/>
    </row>
    <row r="536" spans="31:31" ht="13.5">
      <c r="AE536" s="33"/>
    </row>
    <row r="537" spans="31:31" ht="13.5">
      <c r="AE537" s="33"/>
    </row>
    <row r="538" spans="31:31" ht="13.5">
      <c r="AE538" s="33"/>
    </row>
    <row r="539" spans="31:31" ht="13.5">
      <c r="AE539" s="33"/>
    </row>
    <row r="540" spans="31:31" ht="13.5">
      <c r="AE540" s="33"/>
    </row>
    <row r="541" spans="31:31" ht="13.5">
      <c r="AE541" s="33"/>
    </row>
    <row r="542" spans="31:31" ht="13.5">
      <c r="AE542" s="33"/>
    </row>
    <row r="543" spans="31:31" ht="13.5">
      <c r="AE543" s="33"/>
    </row>
    <row r="544" spans="31:31" ht="13.5">
      <c r="AE544" s="33"/>
    </row>
    <row r="545" spans="31:31" ht="13.5">
      <c r="AE545" s="33"/>
    </row>
    <row r="546" spans="31:31" ht="13.5">
      <c r="AE546" s="33"/>
    </row>
    <row r="547" spans="31:31" ht="13.5">
      <c r="AE547" s="33"/>
    </row>
    <row r="548" spans="31:31" ht="13.5">
      <c r="AE548" s="33"/>
    </row>
    <row r="549" spans="31:31" ht="13.5">
      <c r="AE549" s="33"/>
    </row>
    <row r="550" spans="31:31" ht="13.5">
      <c r="AE550" s="33"/>
    </row>
    <row r="551" spans="31:31" ht="13.5">
      <c r="AE551" s="33"/>
    </row>
    <row r="552" spans="31:31" ht="13.5">
      <c r="AE552" s="33"/>
    </row>
    <row r="553" spans="31:31" ht="13.5">
      <c r="AE553" s="33"/>
    </row>
    <row r="554" spans="31:31" ht="13.5">
      <c r="AE554" s="33"/>
    </row>
    <row r="555" spans="31:31" ht="13.5">
      <c r="AE555" s="33"/>
    </row>
    <row r="556" spans="31:31" ht="13.5">
      <c r="AE556" s="33"/>
    </row>
    <row r="557" spans="31:31" ht="13.5">
      <c r="AE557" s="33"/>
    </row>
    <row r="558" spans="31:31" ht="13.5">
      <c r="AE558" s="33"/>
    </row>
    <row r="559" spans="31:31" ht="13.5">
      <c r="AE559" s="33"/>
    </row>
    <row r="560" spans="31:31" ht="13.5">
      <c r="AE560" s="33"/>
    </row>
    <row r="561" spans="31:31" ht="13.5">
      <c r="AE561" s="33"/>
    </row>
    <row r="562" spans="31:31" ht="13.5">
      <c r="AE562" s="33"/>
    </row>
    <row r="563" spans="31:31" ht="13.5">
      <c r="AE563" s="33"/>
    </row>
    <row r="564" spans="31:31" ht="13.5">
      <c r="AE564" s="33"/>
    </row>
    <row r="565" spans="31:31" ht="13.5">
      <c r="AE565" s="33"/>
    </row>
    <row r="566" spans="31:31" ht="13.5">
      <c r="AE566" s="33"/>
    </row>
    <row r="567" spans="31:31" ht="13.5">
      <c r="AE567" s="33"/>
    </row>
    <row r="568" spans="31:31" ht="13.5">
      <c r="AE568" s="33"/>
    </row>
    <row r="569" spans="31:31" ht="13.5">
      <c r="AE569" s="33"/>
    </row>
    <row r="570" spans="31:31" ht="13.5">
      <c r="AE570" s="33"/>
    </row>
    <row r="571" spans="31:31" ht="13.5">
      <c r="AE571" s="33"/>
    </row>
    <row r="572" spans="31:31" ht="13.5">
      <c r="AE572" s="33"/>
    </row>
    <row r="573" spans="31:31" ht="13.5">
      <c r="AE573" s="33"/>
    </row>
    <row r="574" spans="31:31" ht="13.5">
      <c r="AE574" s="33"/>
    </row>
    <row r="575" spans="31:31" ht="13.5">
      <c r="AE575" s="33"/>
    </row>
    <row r="576" spans="31:31" ht="13.5">
      <c r="AE576" s="33"/>
    </row>
    <row r="577" spans="31:31" ht="13.5">
      <c r="AE577" s="33"/>
    </row>
    <row r="578" spans="31:31" ht="13.5">
      <c r="AE578" s="33"/>
    </row>
    <row r="579" spans="31:31" ht="13.5">
      <c r="AE579" s="33"/>
    </row>
    <row r="580" spans="31:31" ht="13.5">
      <c r="AE580" s="33"/>
    </row>
    <row r="581" spans="31:31" ht="13.5">
      <c r="AE581" s="33"/>
    </row>
    <row r="582" spans="31:31" ht="13.5">
      <c r="AE582" s="33"/>
    </row>
    <row r="583" spans="31:31" ht="13.5">
      <c r="AE583" s="33"/>
    </row>
    <row r="584" spans="31:31" ht="13.5">
      <c r="AE584" s="33"/>
    </row>
    <row r="585" spans="31:31" ht="13.5">
      <c r="AE585" s="33"/>
    </row>
    <row r="586" spans="31:31" ht="13.5">
      <c r="AE586" s="33"/>
    </row>
    <row r="587" spans="31:31" ht="13.5">
      <c r="AE587" s="33"/>
    </row>
    <row r="588" spans="31:31" ht="13.5">
      <c r="AE588" s="33"/>
    </row>
    <row r="589" spans="31:31" ht="13.5">
      <c r="AE589" s="33"/>
    </row>
    <row r="590" spans="31:31" ht="13.5">
      <c r="AE590" s="33"/>
    </row>
    <row r="591" spans="31:31" ht="13.5">
      <c r="AE591" s="33"/>
    </row>
    <row r="592" spans="31:31" ht="13.5">
      <c r="AE592" s="33"/>
    </row>
    <row r="593" spans="31:31" ht="13.5">
      <c r="AE593" s="33"/>
    </row>
    <row r="594" spans="31:31" ht="13.5">
      <c r="AE594" s="33"/>
    </row>
    <row r="595" spans="31:31" ht="13.5">
      <c r="AE595" s="33"/>
    </row>
    <row r="596" spans="31:31" ht="13.5">
      <c r="AE596" s="33"/>
    </row>
    <row r="597" spans="31:31" ht="13.5">
      <c r="AE597" s="33"/>
    </row>
    <row r="598" spans="31:31" ht="13.5">
      <c r="AE598" s="33"/>
    </row>
    <row r="599" spans="31:31" ht="13.5">
      <c r="AE599" s="33"/>
    </row>
    <row r="600" spans="31:31" ht="13.5">
      <c r="AE600" s="33"/>
    </row>
    <row r="601" spans="31:31" ht="13.5">
      <c r="AE601" s="33"/>
    </row>
    <row r="602" spans="31:31" ht="13.5">
      <c r="AE602" s="33"/>
    </row>
    <row r="603" spans="31:31" ht="13.5">
      <c r="AE603" s="33"/>
    </row>
    <row r="604" spans="31:31" ht="13.5">
      <c r="AE604" s="33"/>
    </row>
    <row r="605" spans="31:31" ht="13.5">
      <c r="AE605" s="33"/>
    </row>
    <row r="606" spans="31:31" ht="13.5">
      <c r="AE606" s="33"/>
    </row>
    <row r="607" spans="31:31" ht="13.5">
      <c r="AE607" s="33"/>
    </row>
    <row r="608" spans="31:31" ht="13.5">
      <c r="AE608" s="33"/>
    </row>
    <row r="609" spans="31:31" ht="13.5">
      <c r="AE609" s="33"/>
    </row>
    <row r="610" spans="31:31" ht="13.5">
      <c r="AE610" s="33"/>
    </row>
    <row r="611" spans="31:31" ht="13.5">
      <c r="AE611" s="33"/>
    </row>
    <row r="612" spans="31:31" ht="13.5">
      <c r="AE612" s="33"/>
    </row>
    <row r="613" spans="31:31" ht="13.5">
      <c r="AE613" s="33"/>
    </row>
    <row r="614" spans="31:31" ht="13.5">
      <c r="AE614" s="33"/>
    </row>
    <row r="615" spans="31:31" ht="13.5">
      <c r="AE615" s="33"/>
    </row>
    <row r="616" spans="31:31" ht="13.5">
      <c r="AE616" s="33"/>
    </row>
    <row r="617" spans="31:31" ht="13.5">
      <c r="AE617" s="33"/>
    </row>
    <row r="618" spans="31:31" ht="13.5">
      <c r="AE618" s="33"/>
    </row>
    <row r="619" spans="31:31" ht="13.5">
      <c r="AE619" s="33"/>
    </row>
    <row r="620" spans="31:31" ht="13.5">
      <c r="AE620" s="33"/>
    </row>
    <row r="621" spans="31:31" ht="13.5">
      <c r="AE621" s="33"/>
    </row>
    <row r="622" spans="31:31" ht="13.5">
      <c r="AE622" s="33"/>
    </row>
    <row r="623" spans="31:31" ht="13.5">
      <c r="AE623" s="33"/>
    </row>
    <row r="624" spans="31:31" ht="13.5">
      <c r="AE624" s="33"/>
    </row>
    <row r="625" spans="31:31" ht="13.5">
      <c r="AE625" s="33"/>
    </row>
    <row r="626" spans="31:31" ht="13.5">
      <c r="AE626" s="33"/>
    </row>
    <row r="627" spans="31:31" ht="13.5">
      <c r="AE627" s="33"/>
    </row>
    <row r="628" spans="31:31" ht="13.5">
      <c r="AE628" s="33"/>
    </row>
    <row r="629" spans="31:31" ht="13.5">
      <c r="AE629" s="33"/>
    </row>
    <row r="630" spans="31:31" ht="13.5">
      <c r="AE630" s="33"/>
    </row>
    <row r="631" spans="31:31" ht="13.5">
      <c r="AE631" s="33"/>
    </row>
    <row r="632" spans="31:31" ht="13.5">
      <c r="AE632" s="33"/>
    </row>
    <row r="633" spans="31:31" ht="13.5">
      <c r="AE633" s="33"/>
    </row>
    <row r="634" spans="31:31" ht="13.5">
      <c r="AE634" s="33"/>
    </row>
    <row r="635" spans="31:31" ht="13.5">
      <c r="AE635" s="33"/>
    </row>
    <row r="636" spans="31:31" ht="13.5">
      <c r="AE636" s="33"/>
    </row>
    <row r="637" spans="31:31" ht="13.5">
      <c r="AE637" s="33"/>
    </row>
    <row r="638" spans="31:31" ht="13.5">
      <c r="AE638" s="33"/>
    </row>
    <row r="639" spans="31:31" ht="13.5">
      <c r="AE639" s="33"/>
    </row>
    <row r="640" spans="31:31" ht="13.5">
      <c r="AE640" s="33"/>
    </row>
    <row r="641" spans="31:31" ht="13.5">
      <c r="AE641" s="33"/>
    </row>
    <row r="642" spans="31:31" ht="13.5">
      <c r="AE642" s="33"/>
    </row>
    <row r="643" spans="31:31" ht="13.5">
      <c r="AE643" s="33"/>
    </row>
    <row r="644" spans="31:31" ht="13.5">
      <c r="AE644" s="33"/>
    </row>
    <row r="645" spans="31:31" ht="13.5">
      <c r="AE645" s="33"/>
    </row>
    <row r="646" spans="31:31" ht="13.5">
      <c r="AE646" s="33"/>
    </row>
    <row r="647" spans="31:31" ht="13.5">
      <c r="AE647" s="33"/>
    </row>
    <row r="648" spans="31:31" ht="13.5">
      <c r="AE648" s="33"/>
    </row>
    <row r="649" spans="31:31" ht="13.5">
      <c r="AE649" s="33"/>
    </row>
    <row r="650" spans="31:31" ht="13.5">
      <c r="AE650" s="33"/>
    </row>
    <row r="651" spans="31:31" ht="13.5">
      <c r="AE651" s="33"/>
    </row>
    <row r="652" spans="31:31" ht="13.5">
      <c r="AE652" s="33"/>
    </row>
    <row r="653" spans="31:31" ht="13.5">
      <c r="AE653" s="33"/>
    </row>
    <row r="654" spans="31:31" ht="13.5">
      <c r="AE654" s="33"/>
    </row>
    <row r="655" spans="31:31" ht="13.5">
      <c r="AE655" s="33"/>
    </row>
    <row r="656" spans="31:31" ht="13.5">
      <c r="AE656" s="33"/>
    </row>
    <row r="657" spans="31:31" ht="13.5">
      <c r="AE657" s="33"/>
    </row>
    <row r="658" spans="31:31" ht="13.5">
      <c r="AE658" s="33"/>
    </row>
    <row r="659" spans="31:31" ht="13.5">
      <c r="AE659" s="33"/>
    </row>
    <row r="660" spans="31:31" ht="13.5">
      <c r="AE660" s="33"/>
    </row>
    <row r="661" spans="31:31" ht="13.5">
      <c r="AE661" s="33"/>
    </row>
    <row r="662" spans="31:31" ht="13.5">
      <c r="AE662" s="33"/>
    </row>
    <row r="663" spans="31:31" ht="13.5">
      <c r="AE663" s="33"/>
    </row>
    <row r="664" spans="31:31" ht="13.5">
      <c r="AE664" s="33"/>
    </row>
    <row r="665" spans="31:31" ht="13.5">
      <c r="AE665" s="33"/>
    </row>
    <row r="666" spans="31:31" ht="13.5">
      <c r="AE666" s="33"/>
    </row>
    <row r="667" spans="31:31" ht="13.5">
      <c r="AE667" s="33"/>
    </row>
    <row r="668" spans="31:31" ht="13.5">
      <c r="AE668" s="33"/>
    </row>
    <row r="669" spans="31:31" ht="13.5">
      <c r="AE669" s="33"/>
    </row>
    <row r="670" spans="31:31" ht="13.5">
      <c r="AE670" s="33"/>
    </row>
    <row r="671" spans="31:31" ht="13.5">
      <c r="AE671" s="33"/>
    </row>
    <row r="672" spans="31:31" ht="13.5">
      <c r="AE672" s="33"/>
    </row>
    <row r="673" spans="31:31" ht="13.5">
      <c r="AE673" s="33"/>
    </row>
    <row r="674" spans="31:31" ht="13.5">
      <c r="AE674" s="33"/>
    </row>
    <row r="675" spans="31:31" ht="13.5">
      <c r="AE675" s="33"/>
    </row>
    <row r="676" spans="31:31" ht="13.5">
      <c r="AE676" s="33"/>
    </row>
    <row r="677" spans="31:31" ht="13.5">
      <c r="AE677" s="33"/>
    </row>
    <row r="678" spans="31:31" ht="13.5">
      <c r="AE678" s="33"/>
    </row>
    <row r="679" spans="31:31" ht="13.5">
      <c r="AE679" s="33"/>
    </row>
    <row r="680" spans="31:31" ht="13.5">
      <c r="AE680" s="33"/>
    </row>
    <row r="681" spans="31:31" ht="13.5">
      <c r="AE681" s="33"/>
    </row>
    <row r="682" spans="31:31" ht="13.5">
      <c r="AE682" s="33"/>
    </row>
    <row r="683" spans="31:31" ht="13.5">
      <c r="AE683" s="33"/>
    </row>
    <row r="684" spans="31:31" ht="13.5">
      <c r="AE684" s="33"/>
    </row>
    <row r="685" spans="31:31" ht="13.5">
      <c r="AE685" s="33"/>
    </row>
    <row r="686" spans="31:31" ht="13.5">
      <c r="AE686" s="33"/>
    </row>
    <row r="687" spans="31:31" ht="13.5">
      <c r="AE687" s="33"/>
    </row>
    <row r="688" spans="31:31" ht="13.5">
      <c r="AE688" s="33"/>
    </row>
    <row r="689" spans="31:31" ht="13.5">
      <c r="AE689" s="33"/>
    </row>
    <row r="690" spans="31:31" ht="13.5">
      <c r="AE690" s="33"/>
    </row>
    <row r="691" spans="31:31" ht="13.5">
      <c r="AE691" s="33"/>
    </row>
    <row r="692" spans="31:31" ht="13.5">
      <c r="AE692" s="33"/>
    </row>
    <row r="693" spans="31:31" ht="13.5">
      <c r="AE693" s="33"/>
    </row>
    <row r="694" spans="31:31" ht="13.5">
      <c r="AE694" s="33"/>
    </row>
    <row r="695" spans="31:31" ht="13.5">
      <c r="AE695" s="33"/>
    </row>
    <row r="696" spans="31:31" ht="13.5">
      <c r="AE696" s="33"/>
    </row>
    <row r="697" spans="31:31" ht="13.5">
      <c r="AE697" s="33"/>
    </row>
    <row r="698" spans="31:31" ht="13.5">
      <c r="AE698" s="33"/>
    </row>
    <row r="699" spans="31:31" ht="13.5">
      <c r="AE699" s="33"/>
    </row>
    <row r="700" spans="31:31" ht="13.5">
      <c r="AE700" s="33"/>
    </row>
    <row r="701" spans="31:31" ht="13.5">
      <c r="AE701" s="33"/>
    </row>
    <row r="702" spans="31:31" ht="13.5">
      <c r="AE702" s="33"/>
    </row>
    <row r="703" spans="31:31" ht="13.5">
      <c r="AE703" s="33"/>
    </row>
    <row r="704" spans="31:31" ht="13.5">
      <c r="AE704" s="33"/>
    </row>
    <row r="705" spans="31:31" ht="13.5">
      <c r="AE705" s="33"/>
    </row>
    <row r="706" spans="31:31" ht="13.5">
      <c r="AE706" s="33"/>
    </row>
    <row r="707" spans="31:31" ht="13.5">
      <c r="AE707" s="33"/>
    </row>
    <row r="708" spans="31:31" ht="13.5">
      <c r="AE708" s="33"/>
    </row>
    <row r="709" spans="31:31" ht="13.5">
      <c r="AE709" s="33"/>
    </row>
    <row r="710" spans="31:31" ht="13.5">
      <c r="AE710" s="33"/>
    </row>
    <row r="711" spans="31:31" ht="13.5">
      <c r="AE711" s="33"/>
    </row>
    <row r="712" spans="31:31" ht="13.5">
      <c r="AE712" s="33"/>
    </row>
    <row r="713" spans="31:31" ht="13.5">
      <c r="AE713" s="33"/>
    </row>
    <row r="714" spans="31:31" ht="13.5">
      <c r="AE714" s="33"/>
    </row>
    <row r="715" spans="31:31" ht="13.5">
      <c r="AE715" s="33"/>
    </row>
    <row r="716" spans="31:31" ht="13.5">
      <c r="AE716" s="33"/>
    </row>
    <row r="717" spans="31:31" ht="13.5">
      <c r="AE717" s="33"/>
    </row>
    <row r="718" spans="31:31" ht="13.5">
      <c r="AE718" s="33"/>
    </row>
    <row r="719" spans="31:31" ht="13.5">
      <c r="AE719" s="33"/>
    </row>
    <row r="720" spans="31:31" ht="13.5">
      <c r="AE720" s="33"/>
    </row>
    <row r="721" spans="31:31" ht="13.5">
      <c r="AE721" s="33"/>
    </row>
    <row r="722" spans="31:31" ht="13.5">
      <c r="AE722" s="33"/>
    </row>
    <row r="723" spans="31:31" ht="13.5">
      <c r="AE723" s="33"/>
    </row>
    <row r="724" spans="31:31" ht="13.5">
      <c r="AE724" s="33"/>
    </row>
    <row r="725" spans="31:31" ht="13.5">
      <c r="AE725" s="33"/>
    </row>
    <row r="726" spans="31:31" ht="13.5">
      <c r="AE726" s="33"/>
    </row>
    <row r="727" spans="31:31" ht="13.5">
      <c r="AE727" s="33"/>
    </row>
    <row r="728" spans="31:31" ht="13.5">
      <c r="AE728" s="33"/>
    </row>
    <row r="729" spans="31:31" ht="13.5">
      <c r="AE729" s="33"/>
    </row>
    <row r="730" spans="31:31" ht="13.5">
      <c r="AE730" s="33"/>
    </row>
    <row r="731" spans="31:31" ht="13.5">
      <c r="AE731" s="33"/>
    </row>
    <row r="732" spans="31:31" ht="13.5">
      <c r="AE732" s="33"/>
    </row>
    <row r="733" spans="31:31" ht="13.5">
      <c r="AE733" s="33"/>
    </row>
    <row r="734" spans="31:31" ht="13.5">
      <c r="AE734" s="33"/>
    </row>
    <row r="735" spans="31:31" ht="13.5">
      <c r="AE735" s="33"/>
    </row>
    <row r="736" spans="31:31" ht="13.5">
      <c r="AE736" s="33"/>
    </row>
    <row r="737" spans="31:31" ht="13.5">
      <c r="AE737" s="33"/>
    </row>
    <row r="738" spans="31:31" ht="13.5">
      <c r="AE738" s="33"/>
    </row>
    <row r="739" spans="31:31" ht="13.5">
      <c r="AE739" s="33"/>
    </row>
    <row r="740" spans="31:31" ht="13.5">
      <c r="AE740" s="33"/>
    </row>
    <row r="741" spans="31:31" ht="13.5">
      <c r="AE741" s="33"/>
    </row>
    <row r="742" spans="31:31" ht="13.5">
      <c r="AE742" s="33"/>
    </row>
    <row r="743" spans="31:31" ht="13.5">
      <c r="AE743" s="33"/>
    </row>
    <row r="744" spans="31:31" ht="13.5">
      <c r="AE744" s="33"/>
    </row>
    <row r="745" spans="31:31" ht="13.5">
      <c r="AE745" s="33"/>
    </row>
    <row r="746" spans="31:31" ht="13.5">
      <c r="AE746" s="33"/>
    </row>
    <row r="747" spans="31:31" ht="13.5">
      <c r="AE747" s="33"/>
    </row>
    <row r="748" spans="31:31" ht="13.5">
      <c r="AE748" s="33"/>
    </row>
    <row r="749" spans="31:31" ht="13.5">
      <c r="AE749" s="33"/>
    </row>
    <row r="750" spans="31:31" ht="13.5">
      <c r="AE750" s="33"/>
    </row>
    <row r="751" spans="31:31" ht="13.5">
      <c r="AE751" s="33"/>
    </row>
    <row r="752" spans="31:31" ht="13.5">
      <c r="AE752" s="33"/>
    </row>
    <row r="753" spans="31:31" ht="13.5">
      <c r="AE753" s="33"/>
    </row>
    <row r="754" spans="31:31" ht="13.5">
      <c r="AE754" s="33"/>
    </row>
    <row r="755" spans="31:31" ht="13.5">
      <c r="AE755" s="33"/>
    </row>
    <row r="756" spans="31:31" ht="13.5">
      <c r="AE756" s="33"/>
    </row>
    <row r="757" spans="31:31" ht="13.5">
      <c r="AE757" s="33"/>
    </row>
    <row r="758" spans="31:31" ht="13.5">
      <c r="AE758" s="33"/>
    </row>
    <row r="759" spans="31:31" ht="13.5">
      <c r="AE759" s="33"/>
    </row>
    <row r="760" spans="31:31" ht="13.5">
      <c r="AE760" s="33"/>
    </row>
    <row r="761" spans="31:31" ht="13.5">
      <c r="AE761" s="33"/>
    </row>
    <row r="762" spans="31:31" ht="13.5">
      <c r="AE762" s="33"/>
    </row>
    <row r="763" spans="31:31" ht="13.5">
      <c r="AE763" s="33"/>
    </row>
    <row r="764" spans="31:31" ht="13.5">
      <c r="AE764" s="33"/>
    </row>
    <row r="765" spans="31:31" ht="13.5">
      <c r="AE765" s="33"/>
    </row>
    <row r="766" spans="31:31" ht="13.5">
      <c r="AE766" s="33"/>
    </row>
    <row r="767" spans="31:31" ht="13.5">
      <c r="AE767" s="33"/>
    </row>
    <row r="768" spans="31:31" ht="13.5">
      <c r="AE768" s="33"/>
    </row>
    <row r="769" spans="31:31" ht="13.5">
      <c r="AE769" s="33"/>
    </row>
    <row r="770" spans="31:31" ht="13.5">
      <c r="AE770" s="33"/>
    </row>
    <row r="771" spans="31:31" ht="13.5">
      <c r="AE771" s="33"/>
    </row>
    <row r="772" spans="31:31" ht="13.5">
      <c r="AE772" s="33"/>
    </row>
    <row r="773" spans="31:31" ht="13.5">
      <c r="AE773" s="33"/>
    </row>
    <row r="774" spans="31:31" ht="13.5">
      <c r="AE774" s="33"/>
    </row>
    <row r="775" spans="31:31" ht="13.5">
      <c r="AE775" s="33"/>
    </row>
    <row r="776" spans="31:31" ht="13.5">
      <c r="AE776" s="33"/>
    </row>
    <row r="777" spans="31:31" ht="13.5">
      <c r="AE777" s="33"/>
    </row>
    <row r="778" spans="31:31" ht="13.5">
      <c r="AE778" s="33"/>
    </row>
    <row r="779" spans="31:31" ht="13.5">
      <c r="AE779" s="33"/>
    </row>
    <row r="780" spans="31:31" ht="13.5">
      <c r="AE780" s="33"/>
    </row>
    <row r="781" spans="31:31" ht="13.5">
      <c r="AE781" s="33"/>
    </row>
    <row r="782" spans="31:31" ht="13.5">
      <c r="AE782" s="33"/>
    </row>
    <row r="783" spans="31:31" ht="13.5">
      <c r="AE783" s="33"/>
    </row>
    <row r="784" spans="31:31" ht="13.5">
      <c r="AE784" s="33"/>
    </row>
    <row r="785" spans="31:31" ht="13.5">
      <c r="AE785" s="33"/>
    </row>
    <row r="786" spans="31:31" ht="13.5">
      <c r="AE786" s="33"/>
    </row>
    <row r="787" spans="31:31" ht="13.5">
      <c r="AE787" s="33"/>
    </row>
    <row r="788" spans="31:31" ht="13.5">
      <c r="AE788" s="33"/>
    </row>
    <row r="789" spans="31:31" ht="13.5">
      <c r="AE789" s="33"/>
    </row>
    <row r="790" spans="31:31" ht="13.5">
      <c r="AE790" s="33"/>
    </row>
    <row r="791" spans="31:31" ht="13.5">
      <c r="AE791" s="33"/>
    </row>
    <row r="792" spans="31:31" ht="13.5">
      <c r="AE792" s="33"/>
    </row>
    <row r="793" spans="31:31" ht="13.5">
      <c r="AE793" s="33"/>
    </row>
    <row r="794" spans="31:31" ht="13.5">
      <c r="AE794" s="33"/>
    </row>
    <row r="795" spans="31:31" ht="13.5">
      <c r="AE795" s="33"/>
    </row>
    <row r="796" spans="31:31" ht="13.5">
      <c r="AE796" s="33"/>
    </row>
    <row r="797" spans="31:31" ht="13.5">
      <c r="AE797" s="33"/>
    </row>
    <row r="798" spans="31:31" ht="13.5">
      <c r="AE798" s="33"/>
    </row>
    <row r="799" spans="31:31" ht="13.5">
      <c r="AE799" s="33"/>
    </row>
    <row r="800" spans="31:31" ht="13.5">
      <c r="AE800" s="33"/>
    </row>
    <row r="801" spans="31:31" ht="13.5">
      <c r="AE801" s="33"/>
    </row>
    <row r="802" spans="31:31" ht="13.5">
      <c r="AE802" s="33"/>
    </row>
    <row r="803" spans="31:31" ht="13.5">
      <c r="AE803" s="33"/>
    </row>
    <row r="804" spans="31:31" ht="13.5">
      <c r="AE804" s="33"/>
    </row>
    <row r="805" spans="31:31" ht="13.5">
      <c r="AE805" s="33"/>
    </row>
    <row r="806" spans="31:31" ht="13.5">
      <c r="AE806" s="33"/>
    </row>
    <row r="807" spans="31:31" ht="13.5">
      <c r="AE807" s="33"/>
    </row>
    <row r="808" spans="31:31" ht="13.5">
      <c r="AE808" s="33"/>
    </row>
    <row r="809" spans="31:31" ht="13.5">
      <c r="AE809" s="33"/>
    </row>
    <row r="810" spans="31:31" ht="13.5">
      <c r="AE810" s="33"/>
    </row>
    <row r="811" spans="31:31" ht="13.5">
      <c r="AE811" s="33"/>
    </row>
    <row r="812" spans="31:31" ht="13.5">
      <c r="AE812" s="33"/>
    </row>
    <row r="813" spans="31:31" ht="13.5">
      <c r="AE813" s="33"/>
    </row>
    <row r="814" spans="31:31" ht="13.5">
      <c r="AE814" s="33"/>
    </row>
    <row r="815" spans="31:31" ht="13.5">
      <c r="AE815" s="33"/>
    </row>
    <row r="816" spans="31:31" ht="13.5">
      <c r="AE816" s="33"/>
    </row>
    <row r="817" spans="31:31" ht="13.5">
      <c r="AE817" s="33"/>
    </row>
    <row r="818" spans="31:31" ht="13.5">
      <c r="AE818" s="33"/>
    </row>
    <row r="819" spans="31:31" ht="13.5">
      <c r="AE819" s="33"/>
    </row>
    <row r="820" spans="31:31" ht="13.5">
      <c r="AE820" s="33"/>
    </row>
    <row r="821" spans="31:31" ht="13.5">
      <c r="AE821" s="33"/>
    </row>
    <row r="822" spans="31:31" ht="13.5">
      <c r="AE822" s="33"/>
    </row>
    <row r="823" spans="31:31" ht="13.5">
      <c r="AE823" s="33"/>
    </row>
    <row r="824" spans="31:31" ht="13.5">
      <c r="AE824" s="33"/>
    </row>
    <row r="825" spans="31:31" ht="13.5">
      <c r="AE825" s="33"/>
    </row>
    <row r="826" spans="31:31" ht="13.5">
      <c r="AE826" s="33"/>
    </row>
    <row r="827" spans="31:31" ht="13.5">
      <c r="AE827" s="33"/>
    </row>
    <row r="828" spans="31:31" ht="13.5">
      <c r="AE828" s="33"/>
    </row>
    <row r="829" spans="31:31" ht="13.5">
      <c r="AE829" s="33"/>
    </row>
    <row r="830" spans="31:31" ht="13.5">
      <c r="AE830" s="33"/>
    </row>
    <row r="831" spans="31:31" ht="13.5">
      <c r="AE831" s="33"/>
    </row>
    <row r="832" spans="31:31" ht="13.5">
      <c r="AE832" s="33"/>
    </row>
    <row r="833" spans="31:31" ht="13.5">
      <c r="AE833" s="33"/>
    </row>
    <row r="834" spans="31:31" ht="13.5">
      <c r="AE834" s="33"/>
    </row>
    <row r="835" spans="31:31" ht="13.5">
      <c r="AE835" s="33"/>
    </row>
    <row r="836" spans="31:31" ht="13.5">
      <c r="AE836" s="33"/>
    </row>
    <row r="837" spans="31:31" ht="13.5">
      <c r="AE837" s="33"/>
    </row>
    <row r="838" spans="31:31" ht="13.5">
      <c r="AE838" s="33"/>
    </row>
    <row r="839" spans="31:31" ht="13.5">
      <c r="AE839" s="33"/>
    </row>
    <row r="840" spans="31:31" ht="13.5">
      <c r="AE840" s="33"/>
    </row>
    <row r="841" spans="31:31" ht="13.5">
      <c r="AE841" s="33"/>
    </row>
    <row r="842" spans="31:31" ht="13.5">
      <c r="AE842" s="33"/>
    </row>
    <row r="843" spans="31:31" ht="13.5">
      <c r="AE843" s="33"/>
    </row>
    <row r="844" spans="31:31" ht="13.5">
      <c r="AE844" s="33"/>
    </row>
    <row r="845" spans="31:31" ht="13.5">
      <c r="AE845" s="33"/>
    </row>
    <row r="846" spans="31:31" ht="13.5">
      <c r="AE846" s="33"/>
    </row>
    <row r="847" spans="31:31" ht="13.5">
      <c r="AE847" s="33"/>
    </row>
    <row r="848" spans="31:31" ht="13.5">
      <c r="AE848" s="33"/>
    </row>
    <row r="849" spans="31:31" ht="13.5">
      <c r="AE849" s="33"/>
    </row>
    <row r="850" spans="31:31" ht="13.5">
      <c r="AE850" s="33"/>
    </row>
    <row r="851" spans="31:31" ht="13.5">
      <c r="AE851" s="33"/>
    </row>
    <row r="852" spans="31:31" ht="13.5">
      <c r="AE852" s="33"/>
    </row>
    <row r="853" spans="31:31" ht="13.5">
      <c r="AE853" s="33"/>
    </row>
    <row r="854" spans="31:31" ht="13.5">
      <c r="AE854" s="33"/>
    </row>
    <row r="855" spans="31:31" ht="13.5">
      <c r="AE855" s="33"/>
    </row>
    <row r="856" spans="31:31" ht="13.5">
      <c r="AE856" s="33"/>
    </row>
    <row r="857" spans="31:31" ht="13.5">
      <c r="AE857" s="33"/>
    </row>
    <row r="858" spans="31:31" ht="13.5">
      <c r="AE858" s="33"/>
    </row>
    <row r="859" spans="31:31" ht="13.5">
      <c r="AE859" s="33"/>
    </row>
    <row r="860" spans="31:31" ht="13.5">
      <c r="AE860" s="33"/>
    </row>
    <row r="861" spans="31:31" ht="13.5">
      <c r="AE861" s="33"/>
    </row>
    <row r="862" spans="31:31" ht="13.5">
      <c r="AE862" s="33"/>
    </row>
    <row r="863" spans="31:31" ht="13.5">
      <c r="AE863" s="33"/>
    </row>
    <row r="864" spans="31:31" ht="13.5">
      <c r="AE864" s="33"/>
    </row>
    <row r="865" spans="31:31" ht="13.5">
      <c r="AE865" s="33"/>
    </row>
    <row r="866" spans="31:31" ht="13.5">
      <c r="AE866" s="33"/>
    </row>
    <row r="867" spans="31:31" ht="13.5">
      <c r="AE867" s="33"/>
    </row>
    <row r="868" spans="31:31" ht="13.5">
      <c r="AE868" s="33"/>
    </row>
    <row r="869" spans="31:31" ht="13.5">
      <c r="AE869" s="33"/>
    </row>
    <row r="870" spans="31:31" ht="13.5">
      <c r="AE870" s="33"/>
    </row>
    <row r="871" spans="31:31" ht="13.5">
      <c r="AE871" s="33"/>
    </row>
    <row r="872" spans="31:31" ht="13.5">
      <c r="AE872" s="33"/>
    </row>
    <row r="873" spans="31:31" ht="13.5">
      <c r="AE873" s="33"/>
    </row>
    <row r="874" spans="31:31" ht="13.5">
      <c r="AE874" s="33"/>
    </row>
    <row r="875" spans="31:31" ht="13.5">
      <c r="AE875" s="33"/>
    </row>
    <row r="876" spans="31:31" ht="13.5">
      <c r="AE876" s="33"/>
    </row>
    <row r="877" spans="31:31" ht="13.5">
      <c r="AE877" s="33"/>
    </row>
    <row r="878" spans="31:31" ht="13.5">
      <c r="AE878" s="33"/>
    </row>
    <row r="879" spans="31:31" ht="13.5">
      <c r="AE879" s="33"/>
    </row>
    <row r="880" spans="31:31" ht="13.5">
      <c r="AE880" s="33"/>
    </row>
    <row r="881" spans="31:31" ht="13.5">
      <c r="AE881" s="33"/>
    </row>
    <row r="882" spans="31:31" ht="13.5">
      <c r="AE882" s="33"/>
    </row>
    <row r="883" spans="31:31" ht="13.5">
      <c r="AE883" s="33"/>
    </row>
    <row r="884" spans="31:31" ht="13.5">
      <c r="AE884" s="33"/>
    </row>
    <row r="885" spans="31:31" ht="13.5">
      <c r="AE885" s="33"/>
    </row>
    <row r="886" spans="31:31" ht="13.5">
      <c r="AE886" s="33"/>
    </row>
    <row r="887" spans="31:31" ht="13.5">
      <c r="AE887" s="33"/>
    </row>
    <row r="888" spans="31:31" ht="13.5">
      <c r="AE888" s="33"/>
    </row>
    <row r="889" spans="31:31" ht="13.5">
      <c r="AE889" s="33"/>
    </row>
    <row r="890" spans="31:31" ht="13.5">
      <c r="AE890" s="33"/>
    </row>
    <row r="891" spans="31:31" ht="13.5">
      <c r="AE891" s="33"/>
    </row>
    <row r="892" spans="31:31" ht="13.5">
      <c r="AE892" s="33"/>
    </row>
    <row r="893" spans="31:31" ht="13.5">
      <c r="AE893" s="33"/>
    </row>
    <row r="894" spans="31:31" ht="13.5">
      <c r="AE894" s="33"/>
    </row>
    <row r="895" spans="31:31" ht="13.5">
      <c r="AE895" s="33"/>
    </row>
    <row r="896" spans="31:31" ht="13.5">
      <c r="AE896" s="33"/>
    </row>
    <row r="897" spans="31:31" ht="13.5">
      <c r="AE897" s="33"/>
    </row>
    <row r="898" spans="31:31" ht="13.5">
      <c r="AE898" s="33"/>
    </row>
    <row r="899" spans="31:31" ht="13.5">
      <c r="AE899" s="33"/>
    </row>
    <row r="900" spans="31:31" ht="13.5">
      <c r="AE900" s="33"/>
    </row>
    <row r="901" spans="31:31" ht="13.5">
      <c r="AE901" s="33"/>
    </row>
    <row r="902" spans="31:31" ht="13.5">
      <c r="AE902" s="33"/>
    </row>
    <row r="903" spans="31:31" ht="13.5">
      <c r="AE903" s="33"/>
    </row>
    <row r="904" spans="31:31" ht="13.5">
      <c r="AE904" s="33"/>
    </row>
    <row r="905" spans="31:31" ht="13.5">
      <c r="AE905" s="33"/>
    </row>
    <row r="906" spans="31:31" ht="13.5">
      <c r="AE906" s="33"/>
    </row>
    <row r="907" spans="31:31" ht="13.5">
      <c r="AE907" s="33"/>
    </row>
    <row r="908" spans="31:31" ht="13.5">
      <c r="AE908" s="33"/>
    </row>
    <row r="909" spans="31:31" ht="13.5">
      <c r="AE909" s="33"/>
    </row>
    <row r="910" spans="31:31" ht="13.5">
      <c r="AE910" s="33"/>
    </row>
    <row r="911" spans="31:31" ht="13.5">
      <c r="AE911" s="33"/>
    </row>
    <row r="912" spans="31:31" ht="13.5">
      <c r="AE912" s="33"/>
    </row>
    <row r="913" spans="31:31" ht="13.5">
      <c r="AE913" s="33"/>
    </row>
    <row r="914" spans="31:31" ht="13.5">
      <c r="AE914" s="33"/>
    </row>
    <row r="915" spans="31:31" ht="13.5">
      <c r="AE915" s="33"/>
    </row>
    <row r="916" spans="31:31" ht="13.5">
      <c r="AE916" s="33"/>
    </row>
    <row r="917" spans="31:31" ht="13.5">
      <c r="AE917" s="33"/>
    </row>
    <row r="918" spans="31:31" ht="13.5">
      <c r="AE918" s="33"/>
    </row>
    <row r="919" spans="31:31" ht="13.5">
      <c r="AE919" s="33"/>
    </row>
    <row r="920" spans="31:31" ht="13.5">
      <c r="AE920" s="33"/>
    </row>
    <row r="921" spans="31:31" ht="13.5">
      <c r="AE921" s="33"/>
    </row>
    <row r="922" spans="31:31" ht="13.5">
      <c r="AE922" s="33"/>
    </row>
    <row r="923" spans="31:31" ht="13.5">
      <c r="AE923" s="33"/>
    </row>
    <row r="924" spans="31:31" ht="13.5">
      <c r="AE924" s="33"/>
    </row>
    <row r="925" spans="31:31" ht="13.5">
      <c r="AE925" s="33"/>
    </row>
    <row r="926" spans="31:31" ht="13.5">
      <c r="AE926" s="33"/>
    </row>
    <row r="927" spans="31:31" ht="13.5">
      <c r="AE927" s="33"/>
    </row>
    <row r="928" spans="31:31" ht="13.5">
      <c r="AE928" s="33"/>
    </row>
    <row r="929" spans="31:31" ht="13.5">
      <c r="AE929" s="33"/>
    </row>
    <row r="930" spans="31:31" ht="13.5">
      <c r="AE930" s="33"/>
    </row>
    <row r="931" spans="31:31" ht="13.5">
      <c r="AE931" s="33"/>
    </row>
    <row r="932" spans="31:31" ht="13.5">
      <c r="AE932" s="33"/>
    </row>
    <row r="933" spans="31:31" ht="13.5">
      <c r="AE933" s="33"/>
    </row>
  </sheetData>
  <sheetProtection deleteRows="0" sort="0" autoFilter="0"/>
  <protectedRanges>
    <protectedRange algorithmName="SHA-512" hashValue="5EDU7/hB43IpJxsgNAp4PltWxis6JYQPgHKfHEcrJ3ooCyIshPNtVMoJTBWbShdDV4sV0nG6o/iipKITK1GICA==" saltValue="GEmy5Hae7/jHsbvCAhHhtA==" spinCount="100000" sqref="AC36:AF370" name="Total Holds Weight Total Weight"/>
    <protectedRange algorithmName="SHA-512" hashValue="4b4OYWsbr8QYbWJLQtkY7kghkUwFWlGtz3Jnn7yR6265/ERRTBRvSG78obwvqQGYDCwSyDCJysspxEAQzcbefQ==" saltValue="TE8Q0zay6LgmIfoug7EZXQ==" spinCount="100000" sqref="S36 Q36 Q37:S370" name="Your Price Retail Price Total Sets"/>
    <protectedRange algorithmName="SHA-512" hashValue="wAZKsOeFR7mERiT5TOXr41MUDaaEiAXFdn7c+H7voj9JlFttj5zl3xZe2B1lpGL6v2uZPLXt2ZGelwnYhkE0Wg==" saltValue="VzH5eeoCPxDUlW7QrQst3Q==" spinCount="100000" sqref="AC376 AC391 AC417 AC380 AC394 AC382 AC384 AC387 AC396 AC398 AC401 AC405 AC408 AC410 AC412 AC415" name="Discounted Hold Cost"/>
  </protectedRanges>
  <sortState xmlns:xlrd2="http://schemas.microsoft.com/office/spreadsheetml/2017/richdata2" ref="A36:AF370">
    <sortCondition ref="H36:H370"/>
    <sortCondition ref="C36:C370"/>
    <sortCondition descending="1" ref="D36:D370"/>
    <sortCondition ref="P36:P370"/>
  </sortState>
  <mergeCells count="64">
    <mergeCell ref="AD33:AE33"/>
    <mergeCell ref="Q13:W20"/>
    <mergeCell ref="O23:S23"/>
    <mergeCell ref="O22:S22"/>
    <mergeCell ref="B26:AC31"/>
    <mergeCell ref="AE373:AE387"/>
    <mergeCell ref="P374:AA374"/>
    <mergeCell ref="P380:AA380"/>
    <mergeCell ref="P378:AA378"/>
    <mergeCell ref="Y379:AA379"/>
    <mergeCell ref="P385:AA385"/>
    <mergeCell ref="P386:AA386"/>
    <mergeCell ref="P387:AA387"/>
    <mergeCell ref="P373:AA373"/>
    <mergeCell ref="P376:AA376"/>
    <mergeCell ref="P384:AA384"/>
    <mergeCell ref="P381:AA381"/>
    <mergeCell ref="Q383:AA383"/>
    <mergeCell ref="P382:AA382"/>
    <mergeCell ref="P375:AA375"/>
    <mergeCell ref="Y377:AA377"/>
    <mergeCell ref="B1:AB1"/>
    <mergeCell ref="T9:U9"/>
    <mergeCell ref="V9:W9"/>
    <mergeCell ref="W7:W8"/>
    <mergeCell ref="V7:V8"/>
    <mergeCell ref="M2:T2"/>
    <mergeCell ref="P398:AA398"/>
    <mergeCell ref="P399:AA399"/>
    <mergeCell ref="P390:AA390"/>
    <mergeCell ref="Y392:AA392"/>
    <mergeCell ref="Y393:AA393"/>
    <mergeCell ref="P394:AA394"/>
    <mergeCell ref="P391:AA391"/>
    <mergeCell ref="P389:AA389"/>
    <mergeCell ref="AE389:AE401"/>
    <mergeCell ref="AE417:AE424"/>
    <mergeCell ref="Q420:AA420"/>
    <mergeCell ref="P421:AA421"/>
    <mergeCell ref="P422:AA422"/>
    <mergeCell ref="P423:AA423"/>
    <mergeCell ref="P424:AA424"/>
    <mergeCell ref="P418:AA418"/>
    <mergeCell ref="P417:AA417"/>
    <mergeCell ref="P419:AA419"/>
    <mergeCell ref="P400:AA400"/>
    <mergeCell ref="P401:AA401"/>
    <mergeCell ref="P395:AA395"/>
    <mergeCell ref="P396:AA396"/>
    <mergeCell ref="Q397:AA397"/>
    <mergeCell ref="P403:AA403"/>
    <mergeCell ref="AE403:AE415"/>
    <mergeCell ref="P404:AA404"/>
    <mergeCell ref="P405:AA405"/>
    <mergeCell ref="Y406:AA406"/>
    <mergeCell ref="Y407:AA407"/>
    <mergeCell ref="P408:AA408"/>
    <mergeCell ref="P409:AA409"/>
    <mergeCell ref="P410:AA410"/>
    <mergeCell ref="Q411:AA411"/>
    <mergeCell ref="P412:AA412"/>
    <mergeCell ref="P413:AA413"/>
    <mergeCell ref="P414:AA414"/>
    <mergeCell ref="P415:AA415"/>
  </mergeCells>
  <phoneticPr fontId="39" type="noConversion"/>
  <conditionalFormatting sqref="AA373:AA374 AB371">
    <cfRule type="cellIs" dxfId="338" priority="769" stopIfTrue="1" operator="equal">
      <formula>0</formula>
    </cfRule>
  </conditionalFormatting>
  <conditionalFormatting sqref="AC379:AD379">
    <cfRule type="cellIs" dxfId="337" priority="770" stopIfTrue="1" operator="greaterThan">
      <formula>0</formula>
    </cfRule>
  </conditionalFormatting>
  <conditionalFormatting sqref="AC393">
    <cfRule type="cellIs" dxfId="336" priority="761" stopIfTrue="1" operator="greaterThan">
      <formula>0</formula>
    </cfRule>
  </conditionalFormatting>
  <conditionalFormatting sqref="AA389">
    <cfRule type="cellIs" dxfId="335" priority="741" stopIfTrue="1" operator="equal">
      <formula>0</formula>
    </cfRule>
  </conditionalFormatting>
  <conditionalFormatting sqref="AA376">
    <cfRule type="cellIs" dxfId="334" priority="743" stopIfTrue="1" operator="equal">
      <formula>0</formula>
    </cfRule>
  </conditionalFormatting>
  <conditionalFormatting sqref="AA391">
    <cfRule type="cellIs" dxfId="333" priority="740" stopIfTrue="1" operator="equal">
      <formula>0</formula>
    </cfRule>
  </conditionalFormatting>
  <conditionalFormatting sqref="AC407">
    <cfRule type="cellIs" dxfId="218" priority="189" stopIfTrue="1" operator="greaterThan">
      <formula>0</formula>
    </cfRule>
  </conditionalFormatting>
  <conditionalFormatting sqref="AA403">
    <cfRule type="cellIs" dxfId="217" priority="188" stopIfTrue="1" operator="equal">
      <formula>0</formula>
    </cfRule>
  </conditionalFormatting>
  <conditionalFormatting sqref="AA405">
    <cfRule type="cellIs" dxfId="216" priority="187" stopIfTrue="1" operator="equal">
      <formula>0</formula>
    </cfRule>
  </conditionalFormatting>
  <conditionalFormatting sqref="AB345">
    <cfRule type="cellIs" dxfId="211" priority="159" stopIfTrue="1" operator="equal">
      <formula>0</formula>
    </cfRule>
  </conditionalFormatting>
  <conditionalFormatting sqref="AB347">
    <cfRule type="cellIs" dxfId="210" priority="158" stopIfTrue="1" operator="equal">
      <formula>0</formula>
    </cfRule>
  </conditionalFormatting>
  <conditionalFormatting sqref="AB346">
    <cfRule type="cellIs" dxfId="209" priority="157" stopIfTrue="1" operator="equal">
      <formula>0</formula>
    </cfRule>
  </conditionalFormatting>
  <conditionalFormatting sqref="AB37:AB342">
    <cfRule type="cellIs" dxfId="207" priority="145" stopIfTrue="1" operator="equal">
      <formula>0</formula>
    </cfRule>
  </conditionalFormatting>
  <conditionalFormatting sqref="AB354">
    <cfRule type="cellIs" dxfId="202" priority="87" stopIfTrue="1" operator="equal">
      <formula>0</formula>
    </cfRule>
  </conditionalFormatting>
  <conditionalFormatting sqref="AB356">
    <cfRule type="cellIs" dxfId="201" priority="86" stopIfTrue="1" operator="equal">
      <formula>0</formula>
    </cfRule>
  </conditionalFormatting>
  <conditionalFormatting sqref="AB365">
    <cfRule type="cellIs" dxfId="200" priority="85" stopIfTrue="1" operator="equal">
      <formula>0</formula>
    </cfRule>
  </conditionalFormatting>
  <conditionalFormatting sqref="AB367">
    <cfRule type="cellIs" dxfId="199" priority="84" stopIfTrue="1" operator="equal">
      <formula>0</formula>
    </cfRule>
  </conditionalFormatting>
  <conditionalFormatting sqref="AB345:AB355">
    <cfRule type="cellIs" dxfId="194" priority="73" stopIfTrue="1" operator="equal">
      <formula>0</formula>
    </cfRule>
  </conditionalFormatting>
  <conditionalFormatting sqref="AB353">
    <cfRule type="cellIs" dxfId="193" priority="74" stopIfTrue="1" operator="equal">
      <formula>0</formula>
    </cfRule>
  </conditionalFormatting>
  <conditionalFormatting sqref="AB349">
    <cfRule type="cellIs" dxfId="192" priority="72" stopIfTrue="1" operator="equal">
      <formula>0</formula>
    </cfRule>
  </conditionalFormatting>
  <conditionalFormatting sqref="AB350">
    <cfRule type="cellIs" dxfId="191" priority="70" stopIfTrue="1" operator="equal">
      <formula>0</formula>
    </cfRule>
  </conditionalFormatting>
  <conditionalFormatting sqref="AB351">
    <cfRule type="cellIs" dxfId="190" priority="69" stopIfTrue="1" operator="equal">
      <formula>0</formula>
    </cfRule>
  </conditionalFormatting>
  <conditionalFormatting sqref="AB355">
    <cfRule type="cellIs" dxfId="189" priority="67" stopIfTrue="1" operator="equal">
      <formula>0</formula>
    </cfRule>
  </conditionalFormatting>
  <conditionalFormatting sqref="AB352">
    <cfRule type="cellIs" dxfId="188" priority="65" stopIfTrue="1" operator="equal">
      <formula>0</formula>
    </cfRule>
  </conditionalFormatting>
  <conditionalFormatting sqref="AB357:AB364">
    <cfRule type="cellIs" dxfId="187" priority="54" stopIfTrue="1" operator="equal">
      <formula>0</formula>
    </cfRule>
  </conditionalFormatting>
  <conditionalFormatting sqref="AB366">
    <cfRule type="cellIs" dxfId="186" priority="53" stopIfTrue="1" operator="equal">
      <formula>0</formula>
    </cfRule>
  </conditionalFormatting>
  <conditionalFormatting sqref="AB368:AB370">
    <cfRule type="cellIs" dxfId="185" priority="52" stopIfTrue="1" operator="equal">
      <formula>0</formula>
    </cfRule>
  </conditionalFormatting>
  <dataValidations count="3">
    <dataValidation allowBlank="1" showInputMessage="1" showErrorMessage="1" promptTitle="Pink Matching" prompt="Warning: please review the color options on the cover page or consult your local sales rep as this color does not match between manufacturers" sqref="Z37:Z342 Z345:Z370" xr:uid="{060F15FD-F02D-4AE8-9737-77FDB048F3A6}"/>
    <dataValidation allowBlank="1" showInputMessage="1" showErrorMessage="1" promptTitle="Blue Matching" prompt="Warning: please review the color options on the cover page or consult your local sales rep as this color does not match between manufacturers" sqref="X345:X370 X37:X342" xr:uid="{4C41AEFB-CFBB-473D-A790-140FECB425E2}"/>
    <dataValidation allowBlank="1" showInputMessage="1" showErrorMessage="1" promptTitle="Red Matching" prompt="Warning: please review the color options on the cover page or consult your local sales rep as this color does not match between manufacturers" sqref="T345:T370 T37:T342" xr:uid="{9F44B9E0-27B5-4CCB-98D6-2807D9D8EB2F}"/>
  </dataValidations>
  <hyperlinks>
    <hyperlink ref="B286" r:id="rId1" display="Smooth Tufa - Center - Incut Y Directional" xr:uid="{8B8BFB45-F559-4D8C-B221-F9EA71F61340}"/>
    <hyperlink ref="B285" r:id="rId2" xr:uid="{0ECB7BB6-EAE3-4159-AA49-48E37740E0A9}"/>
    <hyperlink ref="B278" r:id="rId3" xr:uid="{51174E15-5945-452D-AAB9-A4C3881750DE}"/>
    <hyperlink ref="B281" r:id="rId4" xr:uid="{7D382AC8-84B8-47C6-B69A-F27D212213AF}"/>
    <hyperlink ref="B282" r:id="rId5" xr:uid="{81C0C12D-95D8-4E4E-8DD4-D5E69D7063AF}"/>
    <hyperlink ref="B197" r:id="rId6" xr:uid="{7F9F6B18-2C1B-4F0F-BAF2-13E427436E4E}"/>
    <hyperlink ref="B198" r:id="rId7" xr:uid="{D2ED66F7-C13B-498C-9931-748CECC76ACA}"/>
    <hyperlink ref="B277" r:id="rId8" xr:uid="{01F7C859-86C2-490C-B34E-8BFC6B3604FC}"/>
    <hyperlink ref="B279" r:id="rId9" xr:uid="{BDBB1063-7D6F-4B0E-9121-ED20CF3E2533}"/>
    <hyperlink ref="B280" r:id="rId10" xr:uid="{F5A51FDF-288A-4868-926A-45113D70F11B}"/>
    <hyperlink ref="B283" r:id="rId11" xr:uid="{4946E2C3-A353-4548-8D72-3F8E8E84995D}"/>
    <hyperlink ref="B284" r:id="rId12" xr:uid="{7D72EE15-BFB3-4316-BDBD-4470E033249E}"/>
    <hyperlink ref="B287" r:id="rId13" xr:uid="{5E503792-49FB-4D64-B8E8-3177CAD46D41}"/>
    <hyperlink ref="B289" r:id="rId14" xr:uid="{535F8218-94CC-4759-A9F4-8256C1A1ECB7}"/>
    <hyperlink ref="B290" r:id="rId15" xr:uid="{A0BAD198-2F77-474D-AD52-681C0C04F57A}"/>
    <hyperlink ref="B291" r:id="rId16" xr:uid="{D541ED19-01B5-4AE7-A659-BBC82EDB677B}"/>
    <hyperlink ref="B292" r:id="rId17" xr:uid="{81A2EA57-9FAC-446E-8450-2C0781EA3656}"/>
    <hyperlink ref="B288" r:id="rId18" xr:uid="{C6922EB2-D296-4C5B-BD68-93F481F087DE}"/>
    <hyperlink ref="B179" r:id="rId19" xr:uid="{43CE15C5-1F4D-4788-8EC4-BC6E2A3BE953}"/>
    <hyperlink ref="B180" r:id="rId20" xr:uid="{F35A85FD-25B5-4693-90C1-9EB48171A161}"/>
    <hyperlink ref="B181" r:id="rId21" xr:uid="{CF58D7F4-0E64-4426-9584-E9875CC8ED7C}"/>
    <hyperlink ref="B183" r:id="rId22" xr:uid="{8DB555C3-7D9A-4815-88E7-572414ADD55E}"/>
    <hyperlink ref="B184" r:id="rId23" xr:uid="{2E544777-0F2F-4521-A33E-AAE51A7FD43E}"/>
    <hyperlink ref="B185" r:id="rId24" xr:uid="{413AFE29-8A81-416A-AEDF-ECF6725DC5C3}"/>
    <hyperlink ref="B186" r:id="rId25" xr:uid="{074DDB2A-DCF4-4BB4-BF96-76F2F8BAEBF4}"/>
    <hyperlink ref="B188" r:id="rId26" xr:uid="{27C5A5A5-8676-486C-83BA-64EC665E0A6C}"/>
    <hyperlink ref="B189" r:id="rId27" xr:uid="{605133F0-2973-43A4-B868-775AA9ACCFBA}"/>
    <hyperlink ref="B77" r:id="rId28" xr:uid="{D6D02D24-47F3-4AAB-B326-7981E74D0485}"/>
    <hyperlink ref="B106" r:id="rId29" xr:uid="{7A398927-F36A-49B3-98EF-0C1525A4F483}"/>
    <hyperlink ref="B50" r:id="rId30" xr:uid="{788FF86B-410C-4907-A665-DBF4BBC2B09E}"/>
    <hyperlink ref="B75" r:id="rId31" xr:uid="{AD11DBB4-E9CC-484B-AC87-57B5A2360377}"/>
    <hyperlink ref="B105" r:id="rId32" xr:uid="{3971D74B-736B-43FD-AF13-28076431EA3B}"/>
    <hyperlink ref="B143" r:id="rId33" xr:uid="{00FDD575-5AC5-47A1-BE07-FD094B76EB53}"/>
    <hyperlink ref="B142" r:id="rId34" xr:uid="{FE929BEA-C810-48F9-B358-B162D8603358}"/>
    <hyperlink ref="B141" r:id="rId35" xr:uid="{E4088716-3E01-40D5-B26E-E1E4852A4497}"/>
    <hyperlink ref="B140" r:id="rId36" xr:uid="{3B524E19-58C6-44C0-9595-02A3AFA60FCF}"/>
    <hyperlink ref="B139" r:id="rId37" xr:uid="{7F2086F8-51B7-43DA-87A5-EC1CD0E23EE1}"/>
    <hyperlink ref="B138" r:id="rId38" xr:uid="{39377281-9433-4693-A4C7-B174E71C3DEA}"/>
    <hyperlink ref="B137" r:id="rId39" xr:uid="{1BC36E84-61E0-42A1-A62F-926CDB9BCEA5}"/>
    <hyperlink ref="B136" r:id="rId40" xr:uid="{B1982C57-DADA-4B39-B731-0C7081B8E114}"/>
    <hyperlink ref="B134" r:id="rId41" xr:uid="{3774A94B-2C0E-41B5-B38D-D6767548DEE7}"/>
    <hyperlink ref="B135" r:id="rId42" xr:uid="{145B34C0-D5F5-4DB8-99D6-2130A399103B}"/>
    <hyperlink ref="B92" r:id="rId43" xr:uid="{A4004878-382F-432E-8537-ABA7F55EC0F3}"/>
    <hyperlink ref="B61" r:id="rId44" xr:uid="{5D25C5AB-7CB5-469E-A6DE-6AD00210EDE1}"/>
    <hyperlink ref="B78" r:id="rId45" xr:uid="{FF18F8E8-09C2-4C1D-B15B-38FA5CF78384}"/>
    <hyperlink ref="B49" r:id="rId46" xr:uid="{3E5CD5CA-BC33-431F-A9FF-E8C785B84CBB}"/>
    <hyperlink ref="B60" r:id="rId47" xr:uid="{E8E827C0-278D-46EE-AD50-57C009CE0437}"/>
    <hyperlink ref="B76" r:id="rId48" xr:uid="{321254D2-C472-4AC6-9053-0E5A9E93CE46}"/>
    <hyperlink ref="B91" r:id="rId49" xr:uid="{F06A9180-8FA6-4D11-8DB0-28FCE8615835}"/>
    <hyperlink ref="B115" r:id="rId50" xr:uid="{32333583-D50D-4F45-BCAF-5A346BB49FB4}"/>
    <hyperlink ref="B129" r:id="rId51" xr:uid="{B803514C-45E9-4416-9BEB-AD4C8A3B4F6A}"/>
    <hyperlink ref="B148" r:id="rId52" xr:uid="{40FB8DD1-AB5B-4217-AEB8-F28FE897F291}"/>
    <hyperlink ref="B58" r:id="rId53" xr:uid="{4566E4DD-8566-4BAA-A663-388B56457848}"/>
    <hyperlink ref="B57" r:id="rId54" xr:uid="{7C30AF76-3278-4EF8-9955-A568495002C1}"/>
    <hyperlink ref="B72" r:id="rId55" xr:uid="{32C6A093-F963-4626-A1B9-C3E846C00F13}"/>
    <hyperlink ref="B71" r:id="rId56" xr:uid="{01A4A105-0BD7-40C9-A077-04C04CB21884}"/>
    <hyperlink ref="B70" r:id="rId57" xr:uid="{7302DC9A-1AF6-4A87-B890-37617A4853F3}"/>
    <hyperlink ref="B69" r:id="rId58" xr:uid="{B932A767-13CF-417A-AED4-23204424110C}"/>
    <hyperlink ref="B68" r:id="rId59" xr:uid="{D035BFA6-573C-4C1A-B6EB-966F67BB1F4B}"/>
    <hyperlink ref="B67" r:id="rId60" xr:uid="{E3189CBB-ECD5-4E6C-AB8B-58C743ABC812}"/>
    <hyperlink ref="B89" r:id="rId61" xr:uid="{B686DF51-8531-4FD4-957D-7D433EDDFD1E}"/>
    <hyperlink ref="B88" r:id="rId62" xr:uid="{E00FACCD-81E3-4B4B-94BD-D7C6F28DC6F3}"/>
    <hyperlink ref="B87" r:id="rId63" xr:uid="{503D65E9-90AC-4346-8C3D-587B629098AC}"/>
    <hyperlink ref="B86" r:id="rId64" xr:uid="{BD0C3810-ADC7-4B37-AEDD-1DF8179C3AE5}"/>
    <hyperlink ref="B85" r:id="rId65" xr:uid="{7BE443C4-3E27-4257-A36B-1644D0E33730}"/>
    <hyperlink ref="B84" r:id="rId66" xr:uid="{11A38C4A-73A6-4FBC-93BB-A3803BC0C9EC}"/>
    <hyperlink ref="B101" r:id="rId67" xr:uid="{6D3ED28D-7A6C-4A9F-ADEC-AD31D7A1A06F}"/>
    <hyperlink ref="B100" r:id="rId68" xr:uid="{8538E05E-87E6-421A-AAB4-EDACD3B282C5}"/>
    <hyperlink ref="B99" r:id="rId69" xr:uid="{FDF0F58B-8405-4B41-910E-8704D084C858}"/>
    <hyperlink ref="B113" r:id="rId70" xr:uid="{CCBA05F0-2426-4E92-A78C-563DB7ABB7F3}"/>
    <hyperlink ref="B112" r:id="rId71" xr:uid="{1774A528-41CC-40AA-B14A-070CEE16EBC9}"/>
    <hyperlink ref="B130" r:id="rId72" xr:uid="{0EA5F11C-9497-4702-B16E-3E00A5FD9412}"/>
    <hyperlink ref="B152" r:id="rId73" xr:uid="{9D925339-545A-4384-A2CB-1DA02B5C7E81}"/>
    <hyperlink ref="B153" r:id="rId74" xr:uid="{A55D8E6C-A52C-446F-99C7-09852C94AE0B}"/>
    <hyperlink ref="B155" r:id="rId75" xr:uid="{06B4EB6D-DC11-4690-943F-29BE2952EAAF}"/>
    <hyperlink ref="B176" r:id="rId76" xr:uid="{1AF756D0-2DD0-4969-81B0-732AC475E4A5}"/>
    <hyperlink ref="B165" r:id="rId77" xr:uid="{2A032E0B-4479-4F00-A076-07905E0CE51C}"/>
    <hyperlink ref="B174" r:id="rId78" display="Granite Mega Jibs Set 1 - Granite Plates" xr:uid="{2579FC93-E5EE-45A6-AA48-F366961B9A0B}"/>
    <hyperlink ref="B158" r:id="rId79" xr:uid="{34234FD9-D804-48BF-B57F-F0D3DA0F90A4}"/>
    <hyperlink ref="B161" r:id="rId80" xr:uid="{5C3D6CF6-31B5-4AC9-8D76-7AD242D593CA}"/>
    <hyperlink ref="B177" r:id="rId81" xr:uid="{AFB17AEC-8075-466B-92E7-1FF2FF8BDADA}"/>
    <hyperlink ref="B162" r:id="rId82" xr:uid="{AB9FBF56-E752-4E7C-98F3-486ED813438B}"/>
    <hyperlink ref="B166" r:id="rId83" xr:uid="{E7CE50CE-6403-4705-BFC2-E5756239DD1E}"/>
    <hyperlink ref="B163" r:id="rId84" xr:uid="{98106C22-008B-404C-AD0F-0098B4A9808E}"/>
    <hyperlink ref="B167" r:id="rId85" xr:uid="{97E7AB46-DDE3-4683-9F57-A736CBBADEC1}"/>
    <hyperlink ref="B239" r:id="rId86" xr:uid="{7FA9E486-451A-4C7A-BE8F-954B496BDA0A}"/>
    <hyperlink ref="B242" r:id="rId87" xr:uid="{CD411989-2344-4093-900B-30CA00D94C9A}"/>
    <hyperlink ref="B241" r:id="rId88" xr:uid="{9ED856CE-679A-47DC-9FF0-905E71C29CB5}"/>
    <hyperlink ref="B240" r:id="rId89" xr:uid="{D83D3193-9EF7-4628-A026-A1A9C1DDC683}"/>
    <hyperlink ref="B221" r:id="rId90" xr:uid="{E39E0C21-9EB5-4E76-9785-DDD22FD56BF1}"/>
    <hyperlink ref="B220" r:id="rId91" xr:uid="{8E04E762-290D-442D-A07B-15D3FDD8F419}"/>
    <hyperlink ref="B228" r:id="rId92" xr:uid="{E96E93DA-388B-4119-82A7-EEE1FDFAF472}"/>
    <hyperlink ref="B227" r:id="rId93" xr:uid="{F6766076-CF8F-4DE6-A8E4-23BA66886555}"/>
    <hyperlink ref="B217" r:id="rId94" xr:uid="{E727ECBB-6C7C-4929-9D56-B85F3091E00A}"/>
    <hyperlink ref="B216" r:id="rId95" xr:uid="{FB7660DB-DB49-42F7-BD89-E6D3DBAC81EF}"/>
    <hyperlink ref="B215" r:id="rId96" xr:uid="{9B940EC8-B360-4E6C-A4DE-4AABAA6D765B}"/>
    <hyperlink ref="B210" r:id="rId97" xr:uid="{0EEC0C64-694F-4F7B-BA33-D2F8ABF949BB}"/>
    <hyperlink ref="B209" r:id="rId98" xr:uid="{039FEF40-640E-4EB6-BFFE-967209D5F038}"/>
    <hyperlink ref="B208" r:id="rId99" xr:uid="{FC2CA868-CC0F-42EE-981F-2422457DB540}"/>
    <hyperlink ref="B222" r:id="rId100" xr:uid="{8C447DFC-8C17-48A0-B003-8346715319B4}"/>
    <hyperlink ref="B219" r:id="rId101" xr:uid="{B08E6A78-8260-40BC-9C64-DB1D180982BA}"/>
    <hyperlink ref="B218" r:id="rId102" xr:uid="{D065FC58-B0B3-48AB-9441-898883C38926}"/>
    <hyperlink ref="B234" r:id="rId103" xr:uid="{B654DA14-BB56-4146-B74F-9F840B266F4D}"/>
    <hyperlink ref="B211" r:id="rId104" xr:uid="{D01C5FCA-7168-4B4A-9A4E-1BDE34935684}"/>
    <hyperlink ref="B223" r:id="rId105" xr:uid="{157D26FD-D03C-40E8-AFF7-60574F2725AE}"/>
    <hyperlink ref="B206" r:id="rId106" xr:uid="{C4C1CBDC-8933-4608-B3B4-9805AA66D7C9}"/>
    <hyperlink ref="B254" r:id="rId107" xr:uid="{76818E4C-D98E-479E-9C06-88AB8A8F508C}"/>
    <hyperlink ref="B51" r:id="rId108" xr:uid="{A4B411B7-059A-4FDC-8775-24270B3A2D24}"/>
    <hyperlink ref="B307" r:id="rId109" xr:uid="{7C3A43C6-BC19-461D-A6EE-13151CDA6BF2}"/>
    <hyperlink ref="B295" r:id="rId110" xr:uid="{FC57CF41-452E-4F91-8BA6-DF8C24555DF3}"/>
    <hyperlink ref="B308" r:id="rId111" xr:uid="{18FE3F87-F829-44D9-B940-C0664C47CB2D}"/>
    <hyperlink ref="B304" r:id="rId112" xr:uid="{6DE20AA5-D394-4E91-906D-30CDCC4C836A}"/>
    <hyperlink ref="B296" r:id="rId113" xr:uid="{E6D19A95-F556-4650-AE61-F72A1F1076AD}"/>
    <hyperlink ref="B305" r:id="rId114" xr:uid="{575BBFDB-5A5E-4C31-9BFC-B54640AB5FC1}"/>
    <hyperlink ref="B306" r:id="rId115" xr:uid="{6C466CE4-7264-48CD-AEBD-86053199C037}"/>
    <hyperlink ref="B293" r:id="rId116" xr:uid="{A447342E-3342-451A-BD6D-351962EFFA9B}"/>
    <hyperlink ref="B299" r:id="rId117" xr:uid="{ED015C82-0021-426E-BBE6-62F363ED6B97}"/>
    <hyperlink ref="B320" r:id="rId118" xr:uid="{B28EECE8-2CF2-4015-B9D8-849EAA12AB8C}"/>
    <hyperlink ref="B309" r:id="rId119" xr:uid="{02D42BCA-246F-45CE-91EE-3DEB58BA4413}"/>
    <hyperlink ref="B313" r:id="rId120" xr:uid="{52974103-16EC-4B24-8CFA-5E093356C9D9}"/>
    <hyperlink ref="B316" r:id="rId121" xr:uid="{2CBFDAE8-F98A-401C-BB3A-90158DDC4CFB}"/>
    <hyperlink ref="B332" r:id="rId122" xr:uid="{BAB5BD66-32B5-42C5-9D80-0434AF1137AE}"/>
    <hyperlink ref="B334" r:id="rId123" xr:uid="{F5E4AADF-B5BC-4FDB-939F-B1CF3FE5FFF1}"/>
    <hyperlink ref="B314" r:id="rId124" xr:uid="{D4E237E2-1FC9-4126-9DC2-0ED5715935C1}"/>
    <hyperlink ref="B317" r:id="rId125" xr:uid="{0E3AB1E7-5036-44AD-929F-C4DDB4480E8F}"/>
    <hyperlink ref="B331" r:id="rId126" display="Smooth Tufa - Center Connector - Set 1" xr:uid="{9CC705D8-C754-4406-9668-2D1B4FFD4700}"/>
    <hyperlink ref="B335" r:id="rId127" xr:uid="{53CFCDBE-DFE4-4E98-A07E-2012C4631110}"/>
    <hyperlink ref="B318" r:id="rId128" xr:uid="{A105E542-144D-493E-9CC8-CB04CFDE6D63}"/>
    <hyperlink ref="B321" r:id="rId129" xr:uid="{5907BAA0-3371-45B7-A165-074306FE948D}"/>
    <hyperlink ref="B337" r:id="rId130" xr:uid="{A1F94EC2-EEA6-47A3-8A72-0BA2E3C26D1E}"/>
    <hyperlink ref="B297" r:id="rId131" xr:uid="{A3B8FE8C-76F2-4AC6-9DEC-1A3B82D42D75}"/>
    <hyperlink ref="B338" r:id="rId132" xr:uid="{E9DA8B38-4EE4-4731-9BA2-8A98A0E02107}"/>
    <hyperlink ref="B342" r:id="rId133" xr:uid="{66D8D111-A45A-4FA4-A90D-FC3E99447582}"/>
    <hyperlink ref="B333" r:id="rId134" xr:uid="{9956A8C9-1E69-4772-B1BE-DA00D82A1EF9}"/>
    <hyperlink ref="B300" r:id="rId135" xr:uid="{BFA78CB1-CE9C-42C0-8FA8-923DDBB18C30}"/>
    <hyperlink ref="B302" r:id="rId136" xr:uid="{D6707C1A-911A-4AAD-A3A2-160D9EB8A035}"/>
    <hyperlink ref="B336" r:id="rId137" xr:uid="{5032E578-9A36-4BE0-A83B-0AC8A0AA98FB}"/>
    <hyperlink ref="B341" r:id="rId138" xr:uid="{4BE6ED96-737D-47A5-87EC-7316E2E60D1D}"/>
    <hyperlink ref="B47" r:id="rId139" xr:uid="{8428C437-B4E3-4F56-8D55-94D85D3411B7}"/>
    <hyperlink ref="B159" r:id="rId140" xr:uid="{738F8C0D-D156-416B-BE00-221109D5E875}"/>
    <hyperlink ref="Q7" r:id="rId141" xr:uid="{5E8F6184-D48D-4954-A532-29A705BC60DD}"/>
    <hyperlink ref="B172" r:id="rId142" xr:uid="{8DF95FAD-8B1D-4F6F-BAB1-D6532FA42404}"/>
    <hyperlink ref="B41" r:id="rId143" xr:uid="{4E7D86CF-6E10-4364-969F-87BCE47EDBDB}"/>
    <hyperlink ref="B38" r:id="rId144" xr:uid="{D239BB3E-B46E-42D8-9E12-3C26C893699C}"/>
    <hyperlink ref="B39" r:id="rId145" xr:uid="{4FE71889-A8EF-4AC7-92DF-7C69254221A3}"/>
    <hyperlink ref="B42" r:id="rId146" xr:uid="{249A2AC9-F4B4-4857-BB7F-93EDC92090E6}"/>
    <hyperlink ref="B37" r:id="rId147" xr:uid="{170E27EF-FF84-4F36-9A51-2E342BBCD4A9}"/>
    <hyperlink ref="B40" r:id="rId148" display="Brushed Sandstone Complex Ledges Kit" xr:uid="{302733FB-FE7A-4925-B83F-4F954351C94C}"/>
    <hyperlink ref="B346" r:id="rId149" xr:uid="{A0513AD5-DAC3-4B3A-9472-8A04DBD3A8D4}"/>
    <hyperlink ref="B347" r:id="rId150" xr:uid="{BE61F11A-D169-4BD1-879F-DB2C1436A901}"/>
    <hyperlink ref="B345" r:id="rId151" display="Noah Fiberglass Kaiju 1 &amp; 2 - Big Rail Pinches" xr:uid="{89E67AED-A05B-4959-AA18-5632B9DC803D}"/>
    <hyperlink ref="B36" r:id="rId152" xr:uid="{F38B2A7B-1007-4D81-A1D1-88507D15B93F}"/>
    <hyperlink ref="B150" r:id="rId153" xr:uid="{8A8B40C7-A0BD-4265-8043-BBEB2AB8264C}"/>
    <hyperlink ref="B149" r:id="rId154" xr:uid="{34A4E1A9-E0B5-4D3C-BD06-AB0A7A8D798D}"/>
    <hyperlink ref="B154" r:id="rId155" xr:uid="{C859D620-103F-4E0F-AB9D-2299C1518E49}"/>
    <hyperlink ref="B157" r:id="rId156" xr:uid="{68FA891E-711B-4811-9658-764DD38B60B4}"/>
    <hyperlink ref="B178" r:id="rId157" xr:uid="{BC7F8F88-A903-4305-84B5-FB7B8B753BF0}"/>
    <hyperlink ref="B205" r:id="rId158" xr:uid="{D01DDEEC-B7F3-4890-82BD-5DE0383575BE}"/>
    <hyperlink ref="B253" r:id="rId159" xr:uid="{B0765130-989C-495F-B08B-45E744DE3558}"/>
    <hyperlink ref="B275" r:id="rId160" xr:uid="{0F5B0FA7-CD64-4795-96B7-9A9FD09EFD79}"/>
    <hyperlink ref="B190" r:id="rId161" xr:uid="{D6C19071-6765-4AC4-8A85-1A0C971760EC}"/>
    <hyperlink ref="B260" r:id="rId162" xr:uid="{537F181A-EC34-43D8-9D55-2B5BAE6C010E}"/>
    <hyperlink ref="B261" r:id="rId163" xr:uid="{CF06E204-836F-4E37-AE96-5CA2A3807D23}"/>
    <hyperlink ref="B212" r:id="rId164" xr:uid="{407350C1-8777-4DF4-9448-80E99E91553D}"/>
    <hyperlink ref="B102" r:id="rId165" xr:uid="{674F5657-66CF-41FA-8D93-16D5165DBF9B}"/>
    <hyperlink ref="B213" r:id="rId166" xr:uid="{916E8B46-6C59-4218-959F-B88C1DB25581}"/>
    <hyperlink ref="B204" r:id="rId167" xr:uid="{F499F627-CB89-47B9-8FA8-DC7CE2A71DCE}"/>
    <hyperlink ref="B301" r:id="rId168" xr:uid="{34CFD7A8-06DD-4ABF-A39D-CE2E666AF862}"/>
    <hyperlink ref="B310" r:id="rId169" xr:uid="{5F2B4818-9FA2-45BA-8805-D43142DA37CA}"/>
    <hyperlink ref="B311" r:id="rId170" xr:uid="{9190008A-B67B-4066-B055-94FB3508E3AE}"/>
    <hyperlink ref="B315" r:id="rId171" xr:uid="{672F67A9-CDB9-4025-A715-6AF25BDD55C4}"/>
    <hyperlink ref="B354" r:id="rId172" xr:uid="{63ECB448-D6B0-4AD0-8573-69D391F16BA8}"/>
    <hyperlink ref="B364" r:id="rId173" xr:uid="{DB4EC8FF-B8AE-4328-B305-F8EF8482289B}"/>
    <hyperlink ref="B366" r:id="rId174" xr:uid="{98A4C24D-FF54-41BF-B39E-312340C03746}"/>
    <hyperlink ref="B370" r:id="rId175" xr:uid="{E704C93D-E481-476B-8CFC-DA1949F5F9A9}"/>
    <hyperlink ref="B353" r:id="rId176" xr:uid="{40E48A7E-8DE1-419A-B672-E796D0638AE2}"/>
    <hyperlink ref="B348" r:id="rId177" display="Noah Fiberglass XL 1 - Big Edges" xr:uid="{46E89EB0-8D7F-4643-8F9B-E6827816A1A2}"/>
    <hyperlink ref="B349" r:id="rId178" xr:uid="{F5A7B8BD-6146-4863-B120-E4550E46F4EC}"/>
    <hyperlink ref="B350" r:id="rId179" xr:uid="{03CE72B6-5A44-4CD3-A747-C32D65F692F7}"/>
    <hyperlink ref="B351" r:id="rId180" display="Fiberglass Kit 16 - Noah Daikaiji 1 &amp; Kaiju 6 - Incut Raised Rails" xr:uid="{E4D65A71-71BA-4994-A799-AF19B20C1944}"/>
    <hyperlink ref="B355" r:id="rId181" xr:uid="{47B845B9-704F-4065-A7DD-5ECDC4BD641C}"/>
    <hyperlink ref="B357" r:id="rId182" xr:uid="{05BBBA2F-5713-4F29-9A28-903240F56B5F}"/>
    <hyperlink ref="B352" r:id="rId183" xr:uid="{665E6DD5-F99C-4471-8B95-5CDCD6B2CFD1}"/>
    <hyperlink ref="B358" r:id="rId184" display="BS Fiberglass 2XL 1 - Flat to Slopey Ledges" xr:uid="{F106EFFC-70AB-4C8E-9B51-EAA64751FD17}"/>
    <hyperlink ref="B359" r:id="rId185" xr:uid="{96E2C847-01C4-422F-BF8F-231DB36B4C1B}"/>
    <hyperlink ref="B360" r:id="rId186" xr:uid="{3EFDDF57-4592-4EE8-A407-FBCC59BDBBD3}"/>
    <hyperlink ref="B361" r:id="rId187" xr:uid="{5B9A95C7-067F-48FF-8CB0-36A3635D6EEB}"/>
    <hyperlink ref="B362" r:id="rId188" xr:uid="{32F8145E-6627-4BC3-B570-F5980A25FE19}"/>
    <hyperlink ref="B363" r:id="rId189" xr:uid="{7DF756AC-51A5-46AE-A507-FA61D05F26CC}"/>
    <hyperlink ref="B368" r:id="rId190" display="Winter Fiberglass XL 1 - Pinches" xr:uid="{67839EEB-49E4-4E64-9A10-795BD558CDDF}"/>
    <hyperlink ref="B369" r:id="rId191" xr:uid="{47264BE4-BEEA-4E8B-824C-9A00E769C761}"/>
    <hyperlink ref="A343" r:id="rId192" xr:uid="{49505F06-6DF4-402B-BBF1-B244568DCFB2}"/>
    <hyperlink ref="B192" r:id="rId193" xr:uid="{0D56DAD2-58AE-42AA-9CEB-CCD61F92BE62}"/>
    <hyperlink ref="B325" r:id="rId194" xr:uid="{D6CCE45A-6E68-4A86-AAD4-664DA43C6E37}"/>
    <hyperlink ref="B298" r:id="rId195" xr:uid="{96333DB6-9769-4495-908B-9C2B18C386F3}"/>
    <hyperlink ref="B329" r:id="rId196" xr:uid="{7E071F0A-61C4-4C30-9FA7-879ECA1C5489}"/>
    <hyperlink ref="B94" r:id="rId197" xr:uid="{070F41A9-B76C-49E9-86CF-C7CBABD96A7C}"/>
    <hyperlink ref="B63" r:id="rId198" xr:uid="{CE6A0437-67CE-436C-92FF-7C6D9858AE16}"/>
    <hyperlink ref="B43" r:id="rId199" display="Brushed Sandstone Kaiju 9 and Blockers" xr:uid="{8023993C-A98E-4927-81BE-A8BE64672AE5}"/>
    <hyperlink ref="B44" r:id="rId200" display="Brushed Sandstone 2XL 4 - Blocky Edges" xr:uid="{A90A6F6A-E576-48FD-875F-331BB6D41CFE}"/>
    <hyperlink ref="B131" r:id="rId201" xr:uid="{87158689-B8AE-4891-8343-99377A590A5E}"/>
    <hyperlink ref="B73" r:id="rId202" xr:uid="{D5ABFBDC-B176-44C0-B3F0-327C982A97DC}"/>
    <hyperlink ref="B263" r:id="rId203" xr:uid="{56604F43-9A42-4540-BC52-26A3AE9AAFA7}"/>
    <hyperlink ref="B258" r:id="rId204" xr:uid="{E2B27207-27A8-44DF-891D-D1F933D2EDBC}"/>
    <hyperlink ref="B191" r:id="rId205" xr:uid="{45DF05D1-04AF-4D5A-8551-D72938BE2F4E}"/>
    <hyperlink ref="B323" r:id="rId206" xr:uid="{247CA1E7-8F0B-48B5-9A3E-F881A00297D3}"/>
    <hyperlink ref="B324" r:id="rId207" xr:uid="{E69959E2-2DE8-4C3C-AC1E-73010B1FB087}"/>
    <hyperlink ref="B328" r:id="rId208" xr:uid="{7890A86B-44BF-44E3-839D-32C1DB9070A4}"/>
    <hyperlink ref="B200" r:id="rId209" xr:uid="{86BDE244-02A6-4656-9FF4-3F70CB11146B}"/>
    <hyperlink ref="B62" r:id="rId210" xr:uid="{9CC45D84-3FB1-41BA-B0A6-9ED1C6C84821}"/>
    <hyperlink ref="B268" r:id="rId211" xr:uid="{C61871CB-CABA-4EEE-A14E-450CCB5ED716}"/>
    <hyperlink ref="B269" r:id="rId212" xr:uid="{FFBF6DFC-2C61-4C2D-A3A5-8388CF64A9B3}"/>
    <hyperlink ref="B270" r:id="rId213" xr:uid="{836A5CAC-02B2-41C4-B2AA-D135BD1538FE}"/>
    <hyperlink ref="B64" r:id="rId214" xr:uid="{4E9721EE-2A2C-46CC-991F-9016BB7A1428}"/>
    <hyperlink ref="B79" r:id="rId215" xr:uid="{649462A3-9377-4B70-B3B8-B6B47ACB58BB}"/>
    <hyperlink ref="B45" r:id="rId216" xr:uid="{65347287-A41D-4AE3-B6BC-B40A0010CC35}"/>
    <hyperlink ref="B196" r:id="rId217" xr:uid="{71DD9196-4038-4626-98B6-07E74AE7CBC2}"/>
    <hyperlink ref="B195" r:id="rId218" xr:uid="{120F325E-5209-44A9-9A18-91BB67AE0C51}"/>
    <hyperlink ref="B194" r:id="rId219" xr:uid="{72637D5E-E283-4EF1-84D4-07AD636CC1BC}"/>
    <hyperlink ref="B193" r:id="rId220" xr:uid="{83F8AE92-F0A9-4E63-9B80-17E509F4F9C7}"/>
    <hyperlink ref="B256" r:id="rId221" xr:uid="{B6BF6485-6721-4911-91F3-C17484FA39E7}"/>
    <hyperlink ref="B257" r:id="rId222" xr:uid="{7E5B5704-7E06-4EF1-9C7C-53EDC1CD42BF}"/>
    <hyperlink ref="B144" r:id="rId223" xr:uid="{800FD3E8-3C81-4AFD-BC5B-731D6BF97AD4}"/>
    <hyperlink ref="B319" r:id="rId224" xr:uid="{54C5A8BA-71C6-4A74-8D2D-0042D915F718}"/>
    <hyperlink ref="B327" r:id="rId225" xr:uid="{109551F3-48CE-4FD9-AB3F-78C9E1EB647B}"/>
    <hyperlink ref="B225" r:id="rId226" xr:uid="{42D9E734-43FA-41B9-85CA-734CEE8CD730}"/>
    <hyperlink ref="B264" r:id="rId227" xr:uid="{D9941BBE-F110-4F77-9F45-8D99AC35E092}"/>
    <hyperlink ref="B265" r:id="rId228" xr:uid="{C200CC6F-2085-4A76-8A4D-2B5C8D3372CE}"/>
    <hyperlink ref="B294" r:id="rId229" xr:uid="{789ABBED-81E1-4DFC-B061-F49981052F56}"/>
    <hyperlink ref="B326" r:id="rId230" xr:uid="{04ADFCC4-0611-494F-AF75-1FC316EE9615}"/>
    <hyperlink ref="B339" r:id="rId231" xr:uid="{AD15F1DC-1EA4-4B2F-8B28-FA47F2155111}"/>
    <hyperlink ref="B230" r:id="rId232" xr:uid="{7AB8BCB9-8689-401E-B26B-6DC2C4A458C8}"/>
    <hyperlink ref="B224" r:id="rId233" xr:uid="{EBCE7EC8-4A9B-430C-8C98-F55E0CBD6CA0}"/>
    <hyperlink ref="B236" r:id="rId234" xr:uid="{CDAD6F50-3FF6-4CBE-82FD-573C266DB3AB}"/>
    <hyperlink ref="B266" r:id="rId235" xr:uid="{8D5E8DA1-9962-480C-A015-C605595E67CF}"/>
    <hyperlink ref="B52" r:id="rId236" xr:uid="{811559EE-EC60-441E-A89C-1441C1072B43}"/>
    <hyperlink ref="B125" r:id="rId237" xr:uid="{8D46B146-DB27-45A7-B169-7E3AB34695B4}"/>
    <hyperlink ref="B95" r:id="rId238" xr:uid="{95B929B7-88B2-4853-9BEB-68E5F77E1264}"/>
    <hyperlink ref="B124" r:id="rId239" xr:uid="{909126D9-1ACB-4700-8B75-4F39D9B3E639}"/>
    <hyperlink ref="B126" r:id="rId240" xr:uid="{C6D7F85F-B2B3-46EF-9C47-175DF3C576F9}"/>
    <hyperlink ref="B116" r:id="rId241" xr:uid="{E1BE9603-140B-429F-A334-9142494C87CB}"/>
    <hyperlink ref="B107" r:id="rId242" xr:uid="{9DF8655D-FD2A-4706-9C5F-7A51A365A6C3}"/>
    <hyperlink ref="B271" r:id="rId243" xr:uid="{B7297E77-AFCA-4E85-BADC-FFCBAE912407}"/>
    <hyperlink ref="B65" r:id="rId244" xr:uid="{5DA8FB46-E65E-414F-A381-059E33C7A4DC}"/>
    <hyperlink ref="B80" r:id="rId245" xr:uid="{87C39F1B-C874-439C-99E1-B3EC07E74BFE}"/>
    <hyperlink ref="B245" r:id="rId246" xr:uid="{5BC72287-B19E-4ED8-89C9-410827FFA216}"/>
    <hyperlink ref="B232" r:id="rId247" xr:uid="{277D8E90-40D3-4AB7-8103-84CD5226B40B}"/>
    <hyperlink ref="B244" r:id="rId248" xr:uid="{0CA544A4-C075-41B2-891E-DD38AF4114DC}"/>
    <hyperlink ref="B243" r:id="rId249" xr:uid="{D06D3700-7BFE-4A84-8972-2CF09735A937}"/>
    <hyperlink ref="B250" r:id="rId250" xr:uid="{AAC68129-6F61-4917-974F-6DD02F7DF3B4}"/>
    <hyperlink ref="B251" r:id="rId251" xr:uid="{1CBB4D4A-CC54-4F2A-BEDF-5C44E75AD2C7}"/>
  </hyperlinks>
  <pageMargins left="0.7" right="0.7" top="0.75" bottom="0.75" header="0" footer="0"/>
  <pageSetup scale="74" orientation="portrait" r:id="rId252"/>
  <drawing r:id="rId253"/>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200-000000000000}">
          <x14:formula1>
            <xm:f>Bolts!$A$1133:$A$1134</xm:f>
          </x14:formula1>
          <xm:sqref>W6:W8</xm:sqref>
        </x14:dataValidation>
        <x14:dataValidation type="list" allowBlank="1" showInputMessage="1" showErrorMessage="1" xr:uid="{66A66BCB-7852-4404-94AE-A05277F12BF2}">
          <x14:formula1>
            <xm:f>Bolts!$A$1166:$A$1190</xm:f>
          </x14:formula1>
          <xm:sqref>T35</xm:sqref>
        </x14:dataValidation>
        <x14:dataValidation type="list" allowBlank="1" showInputMessage="1" showErrorMessage="1" xr:uid="{F519D2ED-5854-4C31-BB3B-48D758684259}">
          <x14:formula1>
            <xm:f>Bolts!$B$1166:$B$1190</xm:f>
          </x14:formula1>
          <xm:sqref>U35</xm:sqref>
        </x14:dataValidation>
        <x14:dataValidation type="list" allowBlank="1" showInputMessage="1" showErrorMessage="1" xr:uid="{9C301340-82F1-4B0B-8E3A-494FAD6A98F6}">
          <x14:formula1>
            <xm:f>Bolts!$C$1166:$C$1190</xm:f>
          </x14:formula1>
          <xm:sqref>V35</xm:sqref>
        </x14:dataValidation>
        <x14:dataValidation type="list" allowBlank="1" showInputMessage="1" showErrorMessage="1" xr:uid="{CBA60BD4-1C89-4EF8-854B-E7FFFB09BC36}">
          <x14:formula1>
            <xm:f>Bolts!$D$1166:$D$1190</xm:f>
          </x14:formula1>
          <xm:sqref>W35</xm:sqref>
        </x14:dataValidation>
        <x14:dataValidation type="list" allowBlank="1" showInputMessage="1" showErrorMessage="1" xr:uid="{EC2965A5-265F-4404-A63B-5D66135BF47F}">
          <x14:formula1>
            <xm:f>Bolts!$E$1166:$E$1190</xm:f>
          </x14:formula1>
          <xm:sqref>X35</xm:sqref>
        </x14:dataValidation>
        <x14:dataValidation type="list" allowBlank="1" showInputMessage="1" showErrorMessage="1" xr:uid="{353CF278-A963-4D00-8E60-5496409CE192}">
          <x14:formula1>
            <xm:f>Bolts!$F$1166:$F$1190</xm:f>
          </x14:formula1>
          <xm:sqref>Y35</xm:sqref>
        </x14:dataValidation>
        <x14:dataValidation type="list" allowBlank="1" showInputMessage="1" showErrorMessage="1" xr:uid="{F58C2FFC-37C8-4C08-B7F2-CE28B8ADB0AE}">
          <x14:formula1>
            <xm:f>Bolts!$G$1166:$G$1190</xm:f>
          </x14:formula1>
          <xm:sqref>Z35</xm:sqref>
        </x14:dataValidation>
        <x14:dataValidation type="list" allowBlank="1" showInputMessage="1" showErrorMessage="1" xr:uid="{1B48A128-612C-43B2-9CD7-B4C608B4E7F4}">
          <x14:formula1>
            <xm:f>Bolts!$H$1166:$H$1190</xm:f>
          </x14:formula1>
          <xm:sqref>AA35</xm:sqref>
        </x14:dataValidation>
        <x14:dataValidation type="list" allowBlank="1" showInputMessage="1" showErrorMessage="1" xr:uid="{B5DB09AE-A2E8-4E2B-A589-4EE8FA044292}">
          <x14:formula1>
            <xm:f>Bolts!$I$1166:$I$1190</xm:f>
          </x14:formula1>
          <xm:sqref>AB35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pageSetUpPr fitToPage="1"/>
  </sheetPr>
  <dimension ref="A1:AG711"/>
  <sheetViews>
    <sheetView showGridLines="0" workbookViewId="0">
      <selection activeCell="B1" sqref="B1:U1"/>
    </sheetView>
  </sheetViews>
  <sheetFormatPr defaultColWidth="14.3828125" defaultRowHeight="15" customHeight="1"/>
  <cols>
    <col min="1" max="1" width="12" style="33" customWidth="1"/>
    <col min="2" max="2" width="45.61328125" style="33" bestFit="1" customWidth="1"/>
    <col min="3" max="4" width="8.4609375" style="33" hidden="1" customWidth="1"/>
    <col min="5" max="5" width="11.765625" style="33" bestFit="1" customWidth="1"/>
    <col min="6" max="6" width="9.15234375" style="33" customWidth="1"/>
    <col min="7" max="7" width="11.3828125" style="33" customWidth="1"/>
    <col min="8" max="8" width="10.4609375" style="33" bestFit="1" customWidth="1"/>
    <col min="9" max="9" width="11.4609375" style="33" bestFit="1" customWidth="1"/>
    <col min="10" max="10" width="10.921875" style="33" customWidth="1"/>
    <col min="11" max="11" width="7.3046875" style="33" hidden="1" customWidth="1"/>
    <col min="12" max="12" width="9" style="33" bestFit="1" customWidth="1"/>
    <col min="13" max="13" width="7" style="33" customWidth="1"/>
    <col min="14" max="16" width="8.15234375" style="33" customWidth="1"/>
    <col min="17" max="17" width="8.23046875" style="33" customWidth="1"/>
    <col min="18" max="18" width="7.84375" style="33" customWidth="1"/>
    <col min="19" max="19" width="6.84375" style="33" customWidth="1"/>
    <col min="20" max="20" width="7.84375" style="33" customWidth="1"/>
    <col min="21" max="21" width="11.84375" style="33" bestFit="1" customWidth="1"/>
    <col min="22" max="22" width="10.84375" style="33" customWidth="1"/>
    <col min="23" max="23" width="9" style="33" hidden="1" customWidth="1"/>
    <col min="24" max="24" width="7.15234375" style="57" customWidth="1"/>
    <col min="25" max="25" width="9.61328125" style="33" customWidth="1"/>
    <col min="26" max="26" width="27.84375" style="33" customWidth="1"/>
    <col min="27" max="27" width="14.3828125" style="33"/>
    <col min="28" max="28" width="15.15234375" style="33" customWidth="1"/>
    <col min="29" max="29" width="18.4609375" style="33" customWidth="1"/>
    <col min="30" max="16384" width="14.3828125" style="33"/>
  </cols>
  <sheetData>
    <row r="1" spans="1:33" ht="23.25" customHeight="1">
      <c r="A1" s="30"/>
      <c r="B1" s="794" t="s">
        <v>1716</v>
      </c>
      <c r="C1" s="794"/>
      <c r="D1" s="794"/>
      <c r="E1" s="794"/>
      <c r="F1" s="795"/>
      <c r="G1" s="795"/>
      <c r="H1" s="795"/>
      <c r="I1" s="795"/>
      <c r="J1" s="795"/>
      <c r="K1" s="795"/>
      <c r="L1" s="795"/>
      <c r="M1" s="795"/>
      <c r="N1" s="795"/>
      <c r="O1" s="795"/>
      <c r="P1" s="795"/>
      <c r="Q1" s="795"/>
      <c r="R1" s="795"/>
      <c r="S1" s="795"/>
      <c r="T1" s="795"/>
      <c r="U1" s="795"/>
      <c r="V1" s="31"/>
      <c r="W1" s="31"/>
      <c r="X1" s="32"/>
      <c r="Y1"/>
      <c r="Z1"/>
      <c r="AA1"/>
      <c r="AB1"/>
      <c r="AC1"/>
      <c r="AD1"/>
      <c r="AE1"/>
      <c r="AF1"/>
      <c r="AG1"/>
    </row>
    <row r="2" spans="1:33" ht="12" customHeight="1">
      <c r="A2" s="34"/>
      <c r="B2" s="35"/>
      <c r="C2" s="35"/>
      <c r="D2" s="35"/>
      <c r="F2" s="803" t="s">
        <v>3180</v>
      </c>
      <c r="G2" s="803"/>
      <c r="H2" s="803"/>
      <c r="I2" s="803"/>
      <c r="J2" s="803"/>
      <c r="K2" s="803"/>
      <c r="L2" s="803"/>
      <c r="M2" s="803"/>
      <c r="P2" s="35"/>
      <c r="Q2" s="35"/>
      <c r="R2" s="35"/>
      <c r="S2" s="35"/>
      <c r="T2" s="35"/>
      <c r="U2" s="35"/>
      <c r="V2" s="36"/>
      <c r="W2" s="36"/>
      <c r="X2" s="37"/>
      <c r="Y2"/>
      <c r="Z2"/>
      <c r="AA2"/>
      <c r="AB2"/>
      <c r="AC2"/>
      <c r="AD2"/>
      <c r="AE2"/>
      <c r="AF2"/>
      <c r="AG2"/>
    </row>
    <row r="3" spans="1:33" ht="12" customHeight="1">
      <c r="A3" s="34"/>
      <c r="B3" s="36"/>
      <c r="C3" s="36"/>
      <c r="D3" s="36"/>
      <c r="E3" s="36"/>
      <c r="F3" s="36"/>
      <c r="G3" s="35"/>
      <c r="H3" s="35"/>
      <c r="I3" s="35"/>
      <c r="J3" s="35"/>
      <c r="K3" s="35"/>
      <c r="L3" s="35"/>
      <c r="M3" s="35"/>
      <c r="P3" s="35"/>
      <c r="Q3" s="35"/>
      <c r="R3" s="35"/>
      <c r="S3" s="35"/>
      <c r="T3" s="35"/>
      <c r="U3" s="35"/>
      <c r="V3" s="36"/>
      <c r="W3" s="36"/>
      <c r="X3" s="37"/>
      <c r="Y3"/>
      <c r="Z3"/>
      <c r="AA3"/>
      <c r="AB3"/>
      <c r="AC3"/>
      <c r="AD3"/>
      <c r="AE3"/>
      <c r="AF3"/>
      <c r="AG3"/>
    </row>
    <row r="4" spans="1:33" ht="12" customHeight="1">
      <c r="A4" s="38" t="s">
        <v>0</v>
      </c>
      <c r="B4" s="30" t="s">
        <v>3181</v>
      </c>
      <c r="C4" s="30"/>
      <c r="D4" s="30"/>
      <c r="E4" s="30"/>
      <c r="F4" s="30"/>
      <c r="G4" s="34"/>
      <c r="H4" s="34"/>
      <c r="I4" s="38" t="s">
        <v>1</v>
      </c>
      <c r="J4" s="39" t="s">
        <v>1153</v>
      </c>
      <c r="K4" s="39"/>
      <c r="L4" s="39"/>
      <c r="M4" s="34"/>
      <c r="N4" s="30"/>
      <c r="O4" s="30"/>
      <c r="P4" s="30"/>
      <c r="Q4" s="30"/>
      <c r="R4" s="30"/>
      <c r="S4" s="30"/>
      <c r="T4" s="30"/>
      <c r="U4" s="30"/>
      <c r="V4" s="30"/>
      <c r="W4" s="30"/>
      <c r="X4" s="40"/>
      <c r="Y4"/>
      <c r="Z4"/>
      <c r="AA4"/>
      <c r="AB4"/>
      <c r="AC4"/>
      <c r="AD4"/>
      <c r="AE4"/>
      <c r="AF4"/>
      <c r="AG4"/>
    </row>
    <row r="5" spans="1:33" ht="12.75" customHeight="1">
      <c r="A5" s="34"/>
      <c r="B5" s="30"/>
      <c r="C5" s="30"/>
      <c r="D5" s="30"/>
      <c r="E5" s="30"/>
      <c r="F5" s="30"/>
      <c r="G5" s="34"/>
      <c r="H5" s="34"/>
      <c r="I5" s="34"/>
      <c r="J5" s="39" t="s">
        <v>3</v>
      </c>
      <c r="K5" s="39"/>
      <c r="L5" s="39"/>
      <c r="M5" s="34"/>
      <c r="N5" s="30"/>
      <c r="O5" s="30"/>
      <c r="P5" s="30"/>
      <c r="Q5" s="41"/>
      <c r="R5" s="34"/>
      <c r="S5" s="34"/>
      <c r="T5" s="30"/>
      <c r="U5" s="30"/>
      <c r="V5" s="30"/>
      <c r="W5" s="30"/>
      <c r="X5" s="40"/>
      <c r="Y5"/>
      <c r="Z5"/>
      <c r="AA5"/>
      <c r="AB5"/>
      <c r="AC5"/>
      <c r="AD5"/>
      <c r="AE5"/>
      <c r="AF5"/>
      <c r="AG5"/>
    </row>
    <row r="6" spans="1:33" ht="12.75" customHeight="1">
      <c r="A6" s="34"/>
      <c r="B6" s="30"/>
      <c r="C6" s="30"/>
      <c r="D6" s="30"/>
      <c r="E6" s="30"/>
      <c r="F6" s="30"/>
      <c r="G6" s="34"/>
      <c r="H6" s="34"/>
      <c r="I6" s="34"/>
      <c r="J6" s="39" t="s">
        <v>4</v>
      </c>
      <c r="K6" s="39"/>
      <c r="L6" s="39"/>
      <c r="M6" s="34"/>
      <c r="N6" s="30"/>
      <c r="O6" s="38" t="s">
        <v>5</v>
      </c>
      <c r="P6" s="42" t="s">
        <v>926</v>
      </c>
      <c r="Q6" s="43"/>
      <c r="R6" s="30"/>
      <c r="S6" s="30"/>
      <c r="T6" s="30"/>
      <c r="U6" s="30"/>
      <c r="V6" s="30"/>
      <c r="W6" s="30"/>
      <c r="X6" s="40"/>
      <c r="Y6"/>
      <c r="Z6"/>
      <c r="AA6"/>
      <c r="AB6"/>
      <c r="AC6"/>
      <c r="AD6"/>
      <c r="AE6"/>
      <c r="AF6"/>
      <c r="AG6"/>
    </row>
    <row r="7" spans="1:33" ht="12.75" customHeight="1">
      <c r="A7" s="34"/>
      <c r="B7" s="30"/>
      <c r="C7" s="30"/>
      <c r="D7" s="30"/>
      <c r="E7" s="30"/>
      <c r="F7" s="30"/>
      <c r="G7" s="34"/>
      <c r="H7" s="34"/>
      <c r="I7" s="34"/>
      <c r="J7" s="233" t="s">
        <v>2050</v>
      </c>
      <c r="K7" s="39"/>
      <c r="L7" s="39"/>
      <c r="M7" s="34"/>
      <c r="N7" s="30"/>
      <c r="O7" s="801" t="s">
        <v>6</v>
      </c>
      <c r="P7" s="799" t="s">
        <v>925</v>
      </c>
      <c r="Q7" s="44"/>
      <c r="R7" s="44"/>
      <c r="S7" s="44"/>
      <c r="T7" s="44"/>
      <c r="U7" s="44"/>
      <c r="V7" s="44"/>
      <c r="W7" s="44"/>
      <c r="X7" s="40"/>
      <c r="Y7"/>
      <c r="Z7"/>
      <c r="AA7"/>
      <c r="AB7"/>
      <c r="AC7"/>
      <c r="AD7"/>
      <c r="AE7"/>
      <c r="AF7"/>
      <c r="AG7"/>
    </row>
    <row r="8" spans="1:33" ht="12.75" customHeight="1">
      <c r="A8" s="34"/>
      <c r="B8" s="34"/>
      <c r="C8" s="34"/>
      <c r="D8" s="34"/>
      <c r="E8" s="34"/>
      <c r="F8" s="34"/>
      <c r="G8" s="34"/>
      <c r="H8" s="34"/>
      <c r="I8" s="34"/>
      <c r="J8" s="39"/>
      <c r="K8" s="39"/>
      <c r="L8" s="39"/>
      <c r="M8" s="34"/>
      <c r="N8" s="30"/>
      <c r="O8" s="802"/>
      <c r="P8" s="800"/>
      <c r="Q8" s="44"/>
      <c r="R8" s="44"/>
      <c r="S8" s="44"/>
      <c r="T8" s="44"/>
      <c r="U8" s="44"/>
      <c r="V8" s="44"/>
      <c r="W8" s="44"/>
      <c r="X8" s="40"/>
      <c r="Y8"/>
      <c r="Z8"/>
      <c r="AA8"/>
      <c r="AB8"/>
      <c r="AC8"/>
      <c r="AD8"/>
      <c r="AE8"/>
      <c r="AF8"/>
      <c r="AG8"/>
    </row>
    <row r="9" spans="1:33" ht="12.75" customHeight="1">
      <c r="A9" s="38" t="s">
        <v>7</v>
      </c>
      <c r="B9" s="34"/>
      <c r="C9" s="34"/>
      <c r="D9" s="34"/>
      <c r="E9" s="34"/>
      <c r="F9" s="34"/>
      <c r="G9" s="34"/>
      <c r="H9" s="34"/>
      <c r="I9" s="38" t="s">
        <v>8</v>
      </c>
      <c r="J9" s="39" t="s">
        <v>1579</v>
      </c>
      <c r="K9" s="39"/>
      <c r="L9" s="39"/>
      <c r="M9" s="796" t="s">
        <v>9</v>
      </c>
      <c r="N9" s="797"/>
      <c r="O9" s="798"/>
      <c r="P9" s="795"/>
      <c r="Q9" s="44"/>
      <c r="R9" s="44"/>
      <c r="S9" s="44"/>
      <c r="T9" s="30"/>
      <c r="U9" s="30"/>
      <c r="V9" s="30"/>
      <c r="W9" s="30"/>
      <c r="X9" s="40"/>
      <c r="Y9"/>
      <c r="Z9"/>
      <c r="AA9"/>
      <c r="AB9"/>
      <c r="AC9"/>
      <c r="AD9"/>
      <c r="AE9"/>
      <c r="AF9"/>
      <c r="AG9"/>
    </row>
    <row r="10" spans="1:33" ht="12.75" customHeight="1">
      <c r="A10" s="45" t="s">
        <v>10</v>
      </c>
      <c r="B10" s="34"/>
      <c r="C10" s="34"/>
      <c r="D10" s="34"/>
      <c r="E10" s="34"/>
      <c r="H10" s="30"/>
      <c r="I10" s="34"/>
      <c r="J10" s="39"/>
      <c r="K10" s="39"/>
      <c r="L10" s="39"/>
      <c r="M10" s="34"/>
      <c r="N10" s="30"/>
      <c r="O10" s="30"/>
      <c r="P10" s="30"/>
      <c r="Q10" s="44"/>
      <c r="R10" s="44"/>
      <c r="S10" s="44"/>
      <c r="T10" s="44"/>
      <c r="U10" s="44"/>
      <c r="V10" s="30"/>
      <c r="W10" s="30"/>
      <c r="X10" s="40"/>
      <c r="Y10"/>
      <c r="Z10"/>
      <c r="AA10"/>
      <c r="AB10"/>
      <c r="AC10"/>
      <c r="AD10"/>
      <c r="AE10"/>
      <c r="AF10"/>
      <c r="AG10"/>
    </row>
    <row r="11" spans="1:33" ht="12.75" customHeight="1">
      <c r="A11" s="45" t="s">
        <v>11</v>
      </c>
      <c r="B11" s="34"/>
      <c r="C11" s="34"/>
      <c r="D11" s="34"/>
      <c r="E11" s="34"/>
      <c r="H11" s="30"/>
      <c r="I11" s="38" t="s">
        <v>12</v>
      </c>
      <c r="J11" s="583" t="s">
        <v>13</v>
      </c>
      <c r="K11" s="583"/>
      <c r="M11"/>
      <c r="N11"/>
      <c r="O11"/>
      <c r="P11" s="30"/>
      <c r="Q11" s="34"/>
      <c r="R11" s="34"/>
      <c r="S11" s="34"/>
      <c r="T11" s="30"/>
      <c r="U11" s="30"/>
      <c r="V11" s="30"/>
      <c r="W11" s="30"/>
      <c r="X11" s="40"/>
      <c r="Y11"/>
      <c r="Z11"/>
      <c r="AA11"/>
      <c r="AB11"/>
      <c r="AC11"/>
      <c r="AD11"/>
      <c r="AE11"/>
      <c r="AF11"/>
      <c r="AG11"/>
    </row>
    <row r="12" spans="1:33" ht="12.75" customHeight="1">
      <c r="A12" s="45" t="s">
        <v>14</v>
      </c>
      <c r="B12" s="34"/>
      <c r="C12" s="34"/>
      <c r="D12" s="34"/>
      <c r="E12" s="34"/>
      <c r="H12" s="30"/>
      <c r="I12" s="34"/>
      <c r="J12" s="34"/>
      <c r="K12" s="34"/>
      <c r="L12" s="34"/>
      <c r="M12" s="34"/>
      <c r="N12" s="30"/>
      <c r="O12" s="30"/>
      <c r="P12" s="30"/>
      <c r="Q12" s="46"/>
      <c r="R12" s="34"/>
      <c r="S12" s="34"/>
      <c r="T12" s="30"/>
      <c r="U12" s="30"/>
      <c r="V12" s="30"/>
      <c r="W12" s="30"/>
      <c r="X12" s="40"/>
      <c r="Y12"/>
      <c r="Z12"/>
      <c r="AA12"/>
      <c r="AB12"/>
      <c r="AC12"/>
      <c r="AD12"/>
      <c r="AE12"/>
      <c r="AF12"/>
      <c r="AG12"/>
    </row>
    <row r="13" spans="1:33" ht="12.75" customHeight="1">
      <c r="A13" s="45" t="s">
        <v>15</v>
      </c>
      <c r="B13" s="34"/>
      <c r="C13" s="34"/>
      <c r="D13" s="34"/>
      <c r="E13" s="34"/>
      <c r="H13" s="30"/>
      <c r="I13" s="38" t="s">
        <v>16</v>
      </c>
      <c r="J13" s="808" t="s">
        <v>17</v>
      </c>
      <c r="K13" s="809"/>
      <c r="L13" s="810"/>
      <c r="M13" s="810"/>
      <c r="N13" s="810"/>
      <c r="O13" s="810"/>
      <c r="P13" s="811"/>
      <c r="Q13" s="85" t="s">
        <v>928</v>
      </c>
      <c r="R13" s="170"/>
      <c r="S13" s="85"/>
      <c r="T13" s="171"/>
      <c r="U13" s="85"/>
      <c r="V13" s="85"/>
      <c r="W13" s="30"/>
      <c r="X13" s="40"/>
      <c r="Y13"/>
      <c r="Z13"/>
      <c r="AA13"/>
      <c r="AB13"/>
      <c r="AC13"/>
      <c r="AD13"/>
      <c r="AE13"/>
      <c r="AF13"/>
      <c r="AG13"/>
    </row>
    <row r="14" spans="1:33" ht="12.75" customHeight="1">
      <c r="A14" s="45" t="s">
        <v>15</v>
      </c>
      <c r="B14" s="34"/>
      <c r="C14" s="34"/>
      <c r="D14" s="34"/>
      <c r="E14" s="34"/>
      <c r="H14" s="30"/>
      <c r="I14" s="34"/>
      <c r="J14" s="812"/>
      <c r="K14" s="813"/>
      <c r="L14" s="795"/>
      <c r="M14" s="795"/>
      <c r="N14" s="795"/>
      <c r="O14" s="795"/>
      <c r="P14" s="814"/>
      <c r="Q14" s="85"/>
      <c r="R14" s="85"/>
      <c r="S14" s="85"/>
      <c r="T14" s="85"/>
      <c r="U14" s="85"/>
      <c r="V14" s="85"/>
      <c r="W14" s="30"/>
      <c r="X14" s="40"/>
      <c r="Y14"/>
      <c r="Z14"/>
      <c r="AA14"/>
      <c r="AB14"/>
      <c r="AC14"/>
      <c r="AD14"/>
      <c r="AE14"/>
      <c r="AF14"/>
      <c r="AG14"/>
    </row>
    <row r="15" spans="1:33" ht="12.75" customHeight="1">
      <c r="A15" s="45" t="s">
        <v>18</v>
      </c>
      <c r="B15" s="34"/>
      <c r="C15" s="34"/>
      <c r="D15" s="34"/>
      <c r="E15" s="34"/>
      <c r="F15" s="34"/>
      <c r="G15" s="34"/>
      <c r="H15" s="30"/>
      <c r="I15" s="34"/>
      <c r="J15" s="812"/>
      <c r="K15" s="813"/>
      <c r="L15" s="795"/>
      <c r="M15" s="795"/>
      <c r="N15" s="795"/>
      <c r="O15" s="795"/>
      <c r="P15" s="814"/>
      <c r="Q15" s="85" t="s">
        <v>929</v>
      </c>
      <c r="R15" s="85"/>
      <c r="S15" s="85"/>
      <c r="T15" s="85"/>
      <c r="U15" s="85"/>
      <c r="V15" s="85"/>
      <c r="W15" s="30"/>
      <c r="X15" s="40"/>
      <c r="Y15" s="216"/>
      <c r="Z15"/>
      <c r="AA15"/>
      <c r="AB15"/>
      <c r="AC15"/>
      <c r="AD15"/>
      <c r="AE15"/>
      <c r="AF15"/>
      <c r="AG15"/>
    </row>
    <row r="16" spans="1:33" ht="12.75" customHeight="1">
      <c r="A16" s="45" t="s">
        <v>19</v>
      </c>
      <c r="B16" s="34"/>
      <c r="C16" s="34"/>
      <c r="D16" s="34"/>
      <c r="E16" s="34"/>
      <c r="H16" s="30"/>
      <c r="I16" s="34"/>
      <c r="J16" s="812"/>
      <c r="K16" s="813"/>
      <c r="L16" s="795"/>
      <c r="M16" s="795"/>
      <c r="N16" s="795"/>
      <c r="O16" s="795"/>
      <c r="P16" s="814"/>
      <c r="Q16" s="85"/>
      <c r="R16" s="170"/>
      <c r="S16" s="170"/>
      <c r="T16" s="85"/>
      <c r="U16" s="85"/>
      <c r="V16" s="85"/>
      <c r="W16" s="30"/>
      <c r="X16" s="40"/>
      <c r="Y16" s="216"/>
      <c r="Z16"/>
      <c r="AA16"/>
      <c r="AB16"/>
      <c r="AC16"/>
      <c r="AD16"/>
      <c r="AE16"/>
      <c r="AF16"/>
      <c r="AG16"/>
    </row>
    <row r="17" spans="1:33" ht="12.75" customHeight="1">
      <c r="A17" s="45" t="s">
        <v>20</v>
      </c>
      <c r="B17" s="582"/>
      <c r="C17" s="582"/>
      <c r="D17" s="582"/>
      <c r="E17" s="582"/>
      <c r="H17" s="30"/>
      <c r="I17" s="34" t="s">
        <v>21</v>
      </c>
      <c r="J17" s="812"/>
      <c r="K17" s="813"/>
      <c r="L17" s="795"/>
      <c r="M17" s="795"/>
      <c r="N17" s="795"/>
      <c r="O17" s="795"/>
      <c r="P17" s="814"/>
      <c r="Q17" s="85" t="s">
        <v>2720</v>
      </c>
      <c r="R17" s="85"/>
      <c r="S17" s="85"/>
      <c r="T17" s="85"/>
      <c r="U17" s="85"/>
      <c r="V17" s="85"/>
      <c r="W17" s="30"/>
      <c r="X17" s="40"/>
      <c r="Y17" s="216"/>
      <c r="Z17"/>
      <c r="AA17"/>
      <c r="AB17"/>
      <c r="AC17"/>
      <c r="AD17"/>
      <c r="AE17"/>
      <c r="AF17"/>
      <c r="AG17"/>
    </row>
    <row r="18" spans="1:33" ht="12.75" customHeight="1">
      <c r="A18" s="45" t="s">
        <v>22</v>
      </c>
      <c r="B18" s="34"/>
      <c r="C18" s="34"/>
      <c r="D18" s="34"/>
      <c r="E18" s="34"/>
      <c r="H18" s="30"/>
      <c r="I18" s="34"/>
      <c r="J18" s="812"/>
      <c r="K18" s="813"/>
      <c r="L18" s="795"/>
      <c r="M18" s="795"/>
      <c r="N18" s="795"/>
      <c r="O18" s="795"/>
      <c r="P18" s="814"/>
      <c r="Q18" s="85"/>
      <c r="R18" s="85"/>
      <c r="S18" s="85"/>
      <c r="T18" s="85"/>
      <c r="U18" s="85"/>
      <c r="V18" s="85"/>
      <c r="W18" s="30"/>
      <c r="X18" s="40"/>
      <c r="Y18" s="216"/>
      <c r="Z18"/>
      <c r="AA18"/>
      <c r="AB18"/>
      <c r="AC18"/>
      <c r="AD18"/>
      <c r="AE18"/>
      <c r="AF18"/>
      <c r="AG18"/>
    </row>
    <row r="19" spans="1:33" ht="12.75" customHeight="1">
      <c r="A19" s="45" t="s">
        <v>23</v>
      </c>
      <c r="B19" s="47"/>
      <c r="C19" s="47"/>
      <c r="D19" s="47"/>
      <c r="E19" s="47"/>
      <c r="F19" s="47"/>
      <c r="G19" s="30"/>
      <c r="H19" s="30"/>
      <c r="I19" s="34"/>
      <c r="J19" s="812"/>
      <c r="K19" s="813"/>
      <c r="L19" s="795"/>
      <c r="M19" s="795"/>
      <c r="N19" s="795"/>
      <c r="O19" s="795"/>
      <c r="P19" s="814"/>
      <c r="Q19" s="85" t="s">
        <v>933</v>
      </c>
      <c r="R19" s="85"/>
      <c r="S19" s="85"/>
      <c r="T19" s="85"/>
      <c r="U19" s="85"/>
      <c r="V19" s="85"/>
      <c r="W19" s="30"/>
      <c r="X19" s="40"/>
      <c r="Y19" s="216"/>
      <c r="Z19"/>
      <c r="AA19"/>
      <c r="AB19"/>
      <c r="AC19"/>
    </row>
    <row r="20" spans="1:33" ht="12.75" customHeight="1">
      <c r="A20" s="45"/>
      <c r="B20" s="48"/>
      <c r="C20" s="48"/>
      <c r="D20" s="48"/>
      <c r="E20" s="48"/>
      <c r="F20" s="48"/>
      <c r="G20" s="30"/>
      <c r="H20" s="30"/>
      <c r="I20" s="30"/>
      <c r="J20" s="815"/>
      <c r="K20" s="813"/>
      <c r="L20" s="816"/>
      <c r="M20" s="816"/>
      <c r="N20" s="816"/>
      <c r="O20" s="816"/>
      <c r="P20" s="817"/>
      <c r="Q20" s="85" t="s">
        <v>953</v>
      </c>
      <c r="R20" s="30"/>
      <c r="S20" s="30"/>
      <c r="T20" s="30"/>
      <c r="U20" s="30"/>
      <c r="V20" s="30"/>
      <c r="W20" s="30"/>
      <c r="X20" s="40"/>
      <c r="Y20" s="216"/>
      <c r="Z20"/>
      <c r="AA20"/>
      <c r="AB20"/>
      <c r="AC20"/>
    </row>
    <row r="21" spans="1:33" ht="12.75" customHeight="1">
      <c r="A21" s="30"/>
      <c r="B21" s="30"/>
      <c r="C21" s="30"/>
      <c r="D21" s="30"/>
      <c r="E21" s="30"/>
      <c r="F21" s="30"/>
      <c r="G21" s="30"/>
      <c r="H21" s="30"/>
      <c r="I21" s="30"/>
      <c r="J21" s="43"/>
      <c r="K21" s="43"/>
      <c r="L21" s="43"/>
      <c r="M21" s="43"/>
      <c r="N21" s="43"/>
      <c r="O21" s="43"/>
      <c r="P21" s="43"/>
      <c r="V21" s="30"/>
      <c r="W21" s="30"/>
      <c r="X21" s="40"/>
      <c r="Y21" s="216"/>
      <c r="Z21"/>
      <c r="AA21"/>
      <c r="AB21"/>
      <c r="AC21"/>
    </row>
    <row r="22" spans="1:33" ht="12.75" customHeight="1">
      <c r="A22" s="30"/>
      <c r="B22" s="30"/>
      <c r="C22" s="30"/>
      <c r="D22" s="30"/>
      <c r="E22" s="30"/>
      <c r="F22" s="30"/>
      <c r="G22" s="49" t="s">
        <v>24</v>
      </c>
      <c r="H22" s="818"/>
      <c r="I22" s="819"/>
      <c r="J22" s="819"/>
      <c r="K22" s="819"/>
      <c r="L22" s="820"/>
      <c r="M22" s="30"/>
      <c r="N22" s="30"/>
      <c r="O22" s="30"/>
      <c r="P22" s="30"/>
      <c r="Q22" s="30"/>
      <c r="R22" s="30"/>
      <c r="S22" s="30"/>
      <c r="T22" s="30"/>
      <c r="U22" s="30"/>
      <c r="V22" s="30"/>
      <c r="W22" s="30"/>
      <c r="X22" s="40"/>
      <c r="Y22" s="216"/>
      <c r="Z22"/>
      <c r="AA22"/>
      <c r="AB22"/>
      <c r="AC22"/>
    </row>
    <row r="23" spans="1:33" ht="12.75" customHeight="1">
      <c r="A23" s="30"/>
      <c r="B23" s="30"/>
      <c r="C23" s="30"/>
      <c r="D23" s="30"/>
      <c r="E23" s="30"/>
      <c r="F23" s="30"/>
      <c r="G23" s="49" t="s">
        <v>25</v>
      </c>
      <c r="H23" s="818"/>
      <c r="I23" s="819"/>
      <c r="J23" s="819"/>
      <c r="K23" s="819"/>
      <c r="L23" s="820"/>
      <c r="M23" s="30"/>
      <c r="N23" s="30"/>
      <c r="O23" s="30"/>
      <c r="P23" s="30"/>
      <c r="Q23" s="30"/>
      <c r="R23" s="30"/>
      <c r="S23" s="30"/>
      <c r="T23" s="30"/>
      <c r="U23" s="30"/>
      <c r="V23" s="30"/>
      <c r="W23" s="30"/>
      <c r="X23" s="40"/>
      <c r="Y23" s="216"/>
      <c r="Z23"/>
      <c r="AA23"/>
      <c r="AB23"/>
      <c r="AC23"/>
    </row>
    <row r="24" spans="1:33" ht="12.75" customHeight="1">
      <c r="A24" s="30"/>
      <c r="B24" s="30"/>
      <c r="C24" s="30"/>
      <c r="D24" s="30"/>
      <c r="E24" s="30"/>
      <c r="F24" s="30"/>
      <c r="G24" s="30"/>
      <c r="H24" s="30"/>
      <c r="I24" s="30"/>
      <c r="J24" s="30"/>
      <c r="K24" s="30"/>
      <c r="L24" s="30"/>
      <c r="M24" s="30"/>
      <c r="N24" s="30"/>
      <c r="O24" s="30"/>
      <c r="P24" s="30"/>
      <c r="Q24" s="30"/>
      <c r="R24" s="30"/>
      <c r="S24" s="30"/>
      <c r="T24" s="30"/>
      <c r="U24" s="30"/>
      <c r="V24" s="30"/>
      <c r="W24" s="30"/>
      <c r="X24" s="40"/>
      <c r="Y24" s="216"/>
      <c r="Z24"/>
      <c r="AA24"/>
      <c r="AB24"/>
      <c r="AC24"/>
    </row>
    <row r="25" spans="1:33" ht="12.75" customHeight="1">
      <c r="A25" s="45"/>
      <c r="B25" s="48" t="s">
        <v>26</v>
      </c>
      <c r="C25" s="48"/>
      <c r="D25" s="48"/>
      <c r="E25" s="48"/>
      <c r="F25" s="48"/>
      <c r="G25" s="30"/>
      <c r="H25" s="30"/>
      <c r="I25" s="30"/>
      <c r="J25" s="30"/>
      <c r="K25" s="30"/>
      <c r="L25" s="30"/>
      <c r="M25" s="30"/>
      <c r="N25" s="30"/>
      <c r="O25" s="30"/>
      <c r="P25" s="30"/>
      <c r="Q25" s="30"/>
      <c r="R25" s="30"/>
      <c r="S25" s="30"/>
      <c r="T25" s="30"/>
      <c r="U25" s="30"/>
      <c r="V25" s="30"/>
      <c r="W25" s="30"/>
      <c r="X25" s="40"/>
      <c r="Y25" s="216"/>
      <c r="Z25"/>
      <c r="AA25"/>
      <c r="AB25"/>
      <c r="AC25"/>
    </row>
    <row r="26" spans="1:33" ht="12.75" customHeight="1">
      <c r="A26" s="45"/>
      <c r="B26" s="821" t="s">
        <v>932</v>
      </c>
      <c r="C26" s="821"/>
      <c r="D26" s="821"/>
      <c r="E26" s="821"/>
      <c r="F26" s="795"/>
      <c r="G26" s="795"/>
      <c r="H26" s="795"/>
      <c r="I26" s="795"/>
      <c r="J26" s="795"/>
      <c r="K26" s="795"/>
      <c r="L26" s="795"/>
      <c r="M26" s="795"/>
      <c r="N26" s="795"/>
      <c r="O26" s="795"/>
      <c r="P26" s="795"/>
      <c r="Q26" s="795"/>
      <c r="R26" s="795"/>
      <c r="S26" s="795"/>
      <c r="T26" s="795"/>
      <c r="U26" s="795"/>
      <c r="V26" s="795"/>
      <c r="W26" s="30"/>
      <c r="X26" s="40"/>
      <c r="Y26" s="216"/>
      <c r="Z26"/>
      <c r="AA26"/>
      <c r="AB26"/>
      <c r="AC26"/>
    </row>
    <row r="27" spans="1:33" ht="12.75" customHeight="1">
      <c r="A27" s="45"/>
      <c r="B27" s="795"/>
      <c r="C27" s="795"/>
      <c r="D27" s="795"/>
      <c r="E27" s="795"/>
      <c r="F27" s="795"/>
      <c r="G27" s="795"/>
      <c r="H27" s="795"/>
      <c r="I27" s="795"/>
      <c r="J27" s="795"/>
      <c r="K27" s="795"/>
      <c r="L27" s="795"/>
      <c r="M27" s="795"/>
      <c r="N27" s="795"/>
      <c r="O27" s="795"/>
      <c r="P27" s="795"/>
      <c r="Q27" s="795"/>
      <c r="R27" s="795"/>
      <c r="S27" s="795"/>
      <c r="T27" s="795"/>
      <c r="U27" s="795"/>
      <c r="V27" s="795"/>
      <c r="W27" s="30"/>
      <c r="X27" s="40"/>
      <c r="Y27" s="216"/>
      <c r="Z27"/>
      <c r="AA27"/>
      <c r="AB27"/>
      <c r="AC27"/>
    </row>
    <row r="28" spans="1:33" ht="12.75" customHeight="1">
      <c r="A28" s="45"/>
      <c r="B28" s="795"/>
      <c r="C28" s="795"/>
      <c r="D28" s="795"/>
      <c r="E28" s="795"/>
      <c r="F28" s="795"/>
      <c r="G28" s="795"/>
      <c r="H28" s="795"/>
      <c r="I28" s="795"/>
      <c r="J28" s="795"/>
      <c r="K28" s="795"/>
      <c r="L28" s="795"/>
      <c r="M28" s="795"/>
      <c r="N28" s="795"/>
      <c r="O28" s="795"/>
      <c r="P28" s="795"/>
      <c r="Q28" s="795"/>
      <c r="R28" s="795"/>
      <c r="S28" s="795"/>
      <c r="T28" s="795"/>
      <c r="U28" s="795"/>
      <c r="V28" s="795"/>
      <c r="W28" s="30"/>
      <c r="X28" s="40"/>
      <c r="Y28" s="216"/>
      <c r="Z28"/>
      <c r="AA28"/>
      <c r="AB28"/>
      <c r="AC28"/>
    </row>
    <row r="29" spans="1:33" ht="12.75" customHeight="1">
      <c r="A29" s="45"/>
      <c r="B29" s="795"/>
      <c r="C29" s="795"/>
      <c r="D29" s="795"/>
      <c r="E29" s="795"/>
      <c r="F29" s="795"/>
      <c r="G29" s="795"/>
      <c r="H29" s="795"/>
      <c r="I29" s="795"/>
      <c r="J29" s="795"/>
      <c r="K29" s="795"/>
      <c r="L29" s="795"/>
      <c r="M29" s="795"/>
      <c r="N29" s="795"/>
      <c r="O29" s="795"/>
      <c r="P29" s="795"/>
      <c r="Q29" s="795"/>
      <c r="R29" s="795"/>
      <c r="S29" s="795"/>
      <c r="T29" s="795"/>
      <c r="U29" s="795"/>
      <c r="V29" s="795"/>
      <c r="W29" s="30"/>
      <c r="X29" s="40"/>
      <c r="Y29" s="216"/>
      <c r="Z29"/>
      <c r="AA29"/>
      <c r="AB29"/>
      <c r="AC29"/>
    </row>
    <row r="30" spans="1:33" ht="12.75" customHeight="1">
      <c r="A30" s="45"/>
      <c r="B30" s="795"/>
      <c r="C30" s="795"/>
      <c r="D30" s="795"/>
      <c r="E30" s="795"/>
      <c r="F30" s="795"/>
      <c r="G30" s="795"/>
      <c r="H30" s="795"/>
      <c r="I30" s="795"/>
      <c r="J30" s="795"/>
      <c r="K30" s="795"/>
      <c r="L30" s="795"/>
      <c r="M30" s="795"/>
      <c r="N30" s="795"/>
      <c r="O30" s="795"/>
      <c r="P30" s="795"/>
      <c r="Q30" s="795"/>
      <c r="R30" s="795"/>
      <c r="S30" s="795"/>
      <c r="T30" s="795"/>
      <c r="U30" s="795"/>
      <c r="V30" s="795"/>
      <c r="W30" s="30"/>
      <c r="X30" s="40"/>
      <c r="Y30" s="216"/>
      <c r="Z30"/>
      <c r="AA30"/>
      <c r="AB30"/>
      <c r="AC30"/>
    </row>
    <row r="31" spans="1:33" ht="12.75" customHeight="1" thickBot="1">
      <c r="A31" s="45"/>
      <c r="B31" s="795"/>
      <c r="C31" s="795"/>
      <c r="D31" s="795"/>
      <c r="E31" s="795"/>
      <c r="F31" s="795"/>
      <c r="G31" s="795"/>
      <c r="H31" s="795"/>
      <c r="I31" s="795"/>
      <c r="J31" s="795"/>
      <c r="K31" s="795"/>
      <c r="L31" s="795"/>
      <c r="M31" s="795"/>
      <c r="N31" s="795"/>
      <c r="O31" s="795"/>
      <c r="P31" s="795"/>
      <c r="Q31" s="795"/>
      <c r="R31" s="795"/>
      <c r="S31" s="795"/>
      <c r="T31" s="795"/>
      <c r="U31" s="795"/>
      <c r="V31" s="795"/>
      <c r="W31" s="30"/>
      <c r="X31" s="40"/>
      <c r="Y31" s="216"/>
      <c r="Z31"/>
      <c r="AA31"/>
      <c r="AB31"/>
      <c r="AC31"/>
    </row>
    <row r="32" spans="1:33" ht="12.75" customHeight="1" thickBot="1">
      <c r="A32" s="45"/>
      <c r="B32" s="744" t="s">
        <v>3105</v>
      </c>
      <c r="C32" s="30"/>
      <c r="D32" s="30"/>
      <c r="E32" s="30"/>
      <c r="F32" s="30"/>
      <c r="G32" s="30"/>
      <c r="H32" s="30"/>
      <c r="I32" s="30"/>
      <c r="J32" s="30"/>
      <c r="K32" s="30"/>
      <c r="L32" s="30"/>
      <c r="M32" s="30"/>
      <c r="N32" s="30"/>
      <c r="O32" s="30"/>
      <c r="P32" s="30"/>
      <c r="Q32" s="30"/>
      <c r="R32" s="30"/>
      <c r="S32" s="30"/>
      <c r="T32" s="30"/>
      <c r="U32" s="30"/>
      <c r="V32" s="30"/>
      <c r="W32" s="30"/>
      <c r="X32" s="40"/>
      <c r="Z32"/>
      <c r="AA32"/>
      <c r="AB32"/>
      <c r="AC32"/>
    </row>
    <row r="33" spans="1:29" ht="14" thickBot="1">
      <c r="A33" s="34"/>
      <c r="B33" s="646" t="s">
        <v>3104</v>
      </c>
      <c r="C33" s="34"/>
      <c r="D33" s="34"/>
      <c r="E33" s="34"/>
      <c r="F33" s="34"/>
      <c r="G33" s="34"/>
      <c r="H33" s="34"/>
      <c r="I33" s="34"/>
      <c r="J33" s="34"/>
      <c r="K33" s="34"/>
      <c r="L33" s="34"/>
      <c r="M33" s="50"/>
      <c r="N33" s="34"/>
      <c r="O33" s="50"/>
      <c r="P33" s="50" t="s">
        <v>987</v>
      </c>
      <c r="Q33" s="50"/>
      <c r="R33" s="34"/>
      <c r="S33" s="34"/>
      <c r="T33" s="34"/>
      <c r="U33" s="34"/>
      <c r="V33" s="34"/>
      <c r="W33" s="807" t="s">
        <v>27</v>
      </c>
      <c r="X33" s="795"/>
      <c r="Z33"/>
      <c r="AA33"/>
      <c r="AB33"/>
      <c r="AC33"/>
    </row>
    <row r="34" spans="1:29">
      <c r="A34" s="34"/>
      <c r="B34" s="172" t="s">
        <v>919</v>
      </c>
      <c r="C34" s="173"/>
      <c r="D34" s="173"/>
      <c r="E34" s="173"/>
      <c r="F34" s="173"/>
      <c r="G34" s="173"/>
      <c r="H34" s="173"/>
      <c r="I34" s="173"/>
      <c r="J34" s="173"/>
      <c r="K34" s="173"/>
      <c r="L34" s="173"/>
      <c r="M34" s="174" t="s">
        <v>467</v>
      </c>
      <c r="N34" s="175" t="s">
        <v>468</v>
      </c>
      <c r="O34" s="176" t="s">
        <v>469</v>
      </c>
      <c r="P34" s="177" t="s">
        <v>482</v>
      </c>
      <c r="Q34" s="178" t="s">
        <v>470</v>
      </c>
      <c r="R34" s="179" t="s">
        <v>471</v>
      </c>
      <c r="S34" s="180" t="s">
        <v>472</v>
      </c>
      <c r="T34" s="181" t="s">
        <v>473</v>
      </c>
      <c r="U34" s="182" t="s">
        <v>1189</v>
      </c>
      <c r="V34" s="173"/>
      <c r="W34" s="183"/>
      <c r="X34" s="184"/>
      <c r="Y34" s="184"/>
      <c r="Z34"/>
      <c r="AA34"/>
      <c r="AB34"/>
      <c r="AC34"/>
    </row>
    <row r="35" spans="1:29" ht="20">
      <c r="A35" s="34"/>
      <c r="B35" s="196" t="s">
        <v>28</v>
      </c>
      <c r="C35" s="197" t="s">
        <v>867</v>
      </c>
      <c r="D35" s="197" t="s">
        <v>868</v>
      </c>
      <c r="E35" s="197" t="s">
        <v>866</v>
      </c>
      <c r="F35" s="197" t="s">
        <v>29</v>
      </c>
      <c r="G35" s="197" t="s">
        <v>448</v>
      </c>
      <c r="H35" s="198" t="s">
        <v>30</v>
      </c>
      <c r="I35" s="199" t="s">
        <v>31</v>
      </c>
      <c r="J35" s="199" t="s">
        <v>918</v>
      </c>
      <c r="K35" s="199" t="s">
        <v>915</v>
      </c>
      <c r="L35" s="199" t="s">
        <v>32</v>
      </c>
      <c r="M35" s="200" t="s">
        <v>474</v>
      </c>
      <c r="N35" s="201" t="s">
        <v>475</v>
      </c>
      <c r="O35" s="202" t="s">
        <v>476</v>
      </c>
      <c r="P35" s="203" t="s">
        <v>477</v>
      </c>
      <c r="Q35" s="204" t="s">
        <v>478</v>
      </c>
      <c r="R35" s="205" t="s">
        <v>479</v>
      </c>
      <c r="S35" s="206" t="s">
        <v>1203</v>
      </c>
      <c r="T35" s="207" t="s">
        <v>481</v>
      </c>
      <c r="U35" s="215" t="s">
        <v>1188</v>
      </c>
      <c r="V35" s="208" t="s">
        <v>34</v>
      </c>
      <c r="W35" s="208" t="s">
        <v>35</v>
      </c>
      <c r="X35" s="209" t="s">
        <v>36</v>
      </c>
      <c r="Y35" s="210" t="s">
        <v>37</v>
      </c>
      <c r="Z35"/>
      <c r="AA35"/>
      <c r="AB35"/>
      <c r="AC35"/>
    </row>
    <row r="36" spans="1:29" ht="13.5">
      <c r="A36" s="610" t="s">
        <v>2036</v>
      </c>
      <c r="B36" s="714"/>
      <c r="C36" s="491">
        <f>B36</f>
        <v>0</v>
      </c>
      <c r="D36" s="491"/>
      <c r="E36" s="491" t="s">
        <v>445</v>
      </c>
      <c r="F36" s="491"/>
      <c r="G36" s="491"/>
      <c r="H36" s="491"/>
      <c r="I36" s="491"/>
      <c r="J36" s="493"/>
      <c r="K36" s="493"/>
      <c r="L36" s="493"/>
      <c r="M36" s="491"/>
      <c r="N36" s="491"/>
      <c r="O36" s="491"/>
      <c r="P36" s="491"/>
      <c r="Q36" s="491"/>
      <c r="R36" s="491"/>
      <c r="S36" s="491"/>
      <c r="T36" s="491"/>
      <c r="U36" s="491"/>
      <c r="V36" s="493"/>
      <c r="W36" s="493"/>
      <c r="X36" s="493"/>
      <c r="Y36" s="509"/>
      <c r="Z36"/>
      <c r="AA36"/>
      <c r="AB36"/>
      <c r="AC36"/>
    </row>
    <row r="37" spans="1:29" ht="13.5">
      <c r="A37" s="48"/>
      <c r="B37" s="707" t="s">
        <v>1362</v>
      </c>
      <c r="C37" s="461" t="s">
        <v>1327</v>
      </c>
      <c r="D37" s="461" t="s">
        <v>1150</v>
      </c>
      <c r="E37" s="461" t="s">
        <v>445</v>
      </c>
      <c r="F37" s="461" t="s">
        <v>457</v>
      </c>
      <c r="G37" s="461" t="s">
        <v>449</v>
      </c>
      <c r="H37" s="462">
        <v>2</v>
      </c>
      <c r="I37" s="462" t="s">
        <v>1354</v>
      </c>
      <c r="J37" s="752">
        <f>K37*(1-Bolts!$E$1157)</f>
        <v>164.02631578947367</v>
      </c>
      <c r="K37" s="752">
        <v>164.02631578947367</v>
      </c>
      <c r="L37" s="464">
        <f t="shared" ref="L37:L44" si="0">SUM(M37:U37)</f>
        <v>12</v>
      </c>
      <c r="M37" s="465">
        <v>0</v>
      </c>
      <c r="N37" s="466"/>
      <c r="O37" s="467">
        <v>2</v>
      </c>
      <c r="P37" s="468">
        <v>0</v>
      </c>
      <c r="Q37" s="469">
        <v>5</v>
      </c>
      <c r="R37" s="470">
        <v>0</v>
      </c>
      <c r="S37" s="471">
        <v>0</v>
      </c>
      <c r="T37" s="472">
        <v>5</v>
      </c>
      <c r="U37" s="473">
        <v>0</v>
      </c>
      <c r="V37" s="464">
        <f t="shared" ref="V37:V44" si="1">L37*H37</f>
        <v>24</v>
      </c>
      <c r="W37" s="474">
        <f t="shared" ref="W37:W44" si="2">L37*K37</f>
        <v>1968.3157894736842</v>
      </c>
      <c r="X37" s="475">
        <v>3.1600286673319422</v>
      </c>
      <c r="Y37" s="507">
        <f t="shared" ref="Y37:Y44" si="3">X37*L37</f>
        <v>37.920344007983303</v>
      </c>
      <c r="Z37"/>
      <c r="AA37"/>
      <c r="AB37"/>
      <c r="AC37"/>
    </row>
    <row r="38" spans="1:29" ht="13.5">
      <c r="A38" s="48"/>
      <c r="B38" s="707" t="s">
        <v>1363</v>
      </c>
      <c r="C38" s="461" t="s">
        <v>1327</v>
      </c>
      <c r="D38" s="461" t="s">
        <v>1150</v>
      </c>
      <c r="E38" s="461" t="s">
        <v>445</v>
      </c>
      <c r="F38" s="461" t="s">
        <v>457</v>
      </c>
      <c r="G38" s="461" t="s">
        <v>449</v>
      </c>
      <c r="H38" s="462">
        <v>3</v>
      </c>
      <c r="I38" s="462" t="s">
        <v>1355</v>
      </c>
      <c r="J38" s="752">
        <f>K38*(1-Bolts!$E$1157)</f>
        <v>149.07894736842104</v>
      </c>
      <c r="K38" s="752">
        <v>149.07894736842104</v>
      </c>
      <c r="L38" s="464">
        <f t="shared" si="0"/>
        <v>14</v>
      </c>
      <c r="M38" s="465">
        <v>0</v>
      </c>
      <c r="N38" s="466"/>
      <c r="O38" s="467">
        <v>4</v>
      </c>
      <c r="P38" s="468">
        <v>0</v>
      </c>
      <c r="Q38" s="469">
        <v>5</v>
      </c>
      <c r="R38" s="470">
        <v>0</v>
      </c>
      <c r="S38" s="471">
        <v>0</v>
      </c>
      <c r="T38" s="472">
        <v>5</v>
      </c>
      <c r="U38" s="473">
        <v>0</v>
      </c>
      <c r="V38" s="464">
        <f t="shared" si="1"/>
        <v>42</v>
      </c>
      <c r="W38" s="474">
        <f t="shared" si="2"/>
        <v>2087.1052631578946</v>
      </c>
      <c r="X38" s="475">
        <v>2.6310238682754234</v>
      </c>
      <c r="Y38" s="507">
        <f t="shared" si="3"/>
        <v>36.834334155855927</v>
      </c>
      <c r="Z38"/>
      <c r="AA38"/>
      <c r="AB38"/>
      <c r="AC38"/>
    </row>
    <row r="39" spans="1:29" ht="13.5">
      <c r="A39" s="48"/>
      <c r="B39" s="707" t="s">
        <v>1364</v>
      </c>
      <c r="C39" s="461" t="s">
        <v>1327</v>
      </c>
      <c r="D39" s="461" t="s">
        <v>1151</v>
      </c>
      <c r="E39" s="461" t="s">
        <v>445</v>
      </c>
      <c r="F39" s="461" t="s">
        <v>457</v>
      </c>
      <c r="G39" s="461" t="s">
        <v>449</v>
      </c>
      <c r="H39" s="462">
        <v>2</v>
      </c>
      <c r="I39" s="462" t="s">
        <v>1356</v>
      </c>
      <c r="J39" s="752">
        <f>K39*(1-Bolts!$E$1157)</f>
        <v>103.65789473684211</v>
      </c>
      <c r="K39" s="752">
        <v>103.65789473684211</v>
      </c>
      <c r="L39" s="464">
        <f t="shared" si="0"/>
        <v>13</v>
      </c>
      <c r="M39" s="465">
        <v>0</v>
      </c>
      <c r="N39" s="466"/>
      <c r="O39" s="467">
        <v>3</v>
      </c>
      <c r="P39" s="468">
        <v>0</v>
      </c>
      <c r="Q39" s="469">
        <v>5</v>
      </c>
      <c r="R39" s="470">
        <v>0</v>
      </c>
      <c r="S39" s="471">
        <v>0</v>
      </c>
      <c r="T39" s="472">
        <v>5</v>
      </c>
      <c r="U39" s="473">
        <v>0</v>
      </c>
      <c r="V39" s="464">
        <f t="shared" si="1"/>
        <v>26</v>
      </c>
      <c r="W39" s="474">
        <f t="shared" si="2"/>
        <v>1347.5526315789475</v>
      </c>
      <c r="X39" s="475">
        <v>1.843016719586319</v>
      </c>
      <c r="Y39" s="507">
        <f t="shared" si="3"/>
        <v>23.959217354622147</v>
      </c>
      <c r="Z39"/>
      <c r="AA39"/>
      <c r="AB39"/>
      <c r="AC39"/>
    </row>
    <row r="40" spans="1:29" ht="13.5">
      <c r="A40" s="48"/>
      <c r="B40" s="707" t="s">
        <v>1365</v>
      </c>
      <c r="C40" s="461" t="s">
        <v>1327</v>
      </c>
      <c r="D40" s="461" t="s">
        <v>1151</v>
      </c>
      <c r="E40" s="461" t="s">
        <v>445</v>
      </c>
      <c r="F40" s="461" t="s">
        <v>459</v>
      </c>
      <c r="G40" s="461" t="s">
        <v>451</v>
      </c>
      <c r="H40" s="462">
        <v>5</v>
      </c>
      <c r="I40" s="462" t="s">
        <v>1357</v>
      </c>
      <c r="J40" s="752">
        <f>K40*(1-Bolts!$E$1157)</f>
        <v>223.34210526315789</v>
      </c>
      <c r="K40" s="752">
        <v>223.34210526315789</v>
      </c>
      <c r="L40" s="464">
        <f t="shared" si="0"/>
        <v>14</v>
      </c>
      <c r="M40" s="465">
        <v>0</v>
      </c>
      <c r="N40" s="466"/>
      <c r="O40" s="467">
        <v>4</v>
      </c>
      <c r="P40" s="468">
        <v>0</v>
      </c>
      <c r="Q40" s="469">
        <v>5</v>
      </c>
      <c r="R40" s="470">
        <v>0</v>
      </c>
      <c r="S40" s="471">
        <v>0</v>
      </c>
      <c r="T40" s="472">
        <v>5</v>
      </c>
      <c r="U40" s="473">
        <v>0</v>
      </c>
      <c r="V40" s="464">
        <f t="shared" si="1"/>
        <v>70</v>
      </c>
      <c r="W40" s="474">
        <f t="shared" si="2"/>
        <v>3126.7894736842104</v>
      </c>
      <c r="X40" s="475">
        <v>3.7880343645105681</v>
      </c>
      <c r="Y40" s="507">
        <f t="shared" si="3"/>
        <v>53.032481103147951</v>
      </c>
      <c r="Z40"/>
      <c r="AA40"/>
      <c r="AB40"/>
      <c r="AC40"/>
    </row>
    <row r="41" spans="1:29" ht="13.5">
      <c r="A41" s="48"/>
      <c r="B41" s="707" t="s">
        <v>1366</v>
      </c>
      <c r="C41" s="461" t="s">
        <v>1327</v>
      </c>
      <c r="D41" s="461" t="s">
        <v>1147</v>
      </c>
      <c r="E41" s="461" t="s">
        <v>445</v>
      </c>
      <c r="F41" s="461" t="s">
        <v>461</v>
      </c>
      <c r="G41" s="461" t="s">
        <v>452</v>
      </c>
      <c r="H41" s="462">
        <v>2</v>
      </c>
      <c r="I41" s="462" t="s">
        <v>1358</v>
      </c>
      <c r="J41" s="752">
        <f>K41*(1-Bolts!$E$1157)</f>
        <v>90.473684210526329</v>
      </c>
      <c r="K41" s="752">
        <v>90.473684210526329</v>
      </c>
      <c r="L41" s="464">
        <f t="shared" si="0"/>
        <v>12</v>
      </c>
      <c r="M41" s="465">
        <v>0</v>
      </c>
      <c r="N41" s="466"/>
      <c r="O41" s="467">
        <v>3</v>
      </c>
      <c r="P41" s="468">
        <v>0</v>
      </c>
      <c r="Q41" s="469">
        <v>4</v>
      </c>
      <c r="R41" s="470">
        <v>0</v>
      </c>
      <c r="S41" s="471">
        <v>0</v>
      </c>
      <c r="T41" s="472">
        <v>5</v>
      </c>
      <c r="U41" s="473">
        <v>0</v>
      </c>
      <c r="V41" s="464">
        <f t="shared" si="1"/>
        <v>24</v>
      </c>
      <c r="W41" s="474">
        <f t="shared" si="2"/>
        <v>1085.6842105263158</v>
      </c>
      <c r="X41" s="475">
        <v>1.5550141068674588</v>
      </c>
      <c r="Y41" s="507">
        <f t="shared" si="3"/>
        <v>18.660169282409505</v>
      </c>
      <c r="Z41"/>
      <c r="AA41"/>
      <c r="AB41"/>
      <c r="AC41"/>
    </row>
    <row r="42" spans="1:29" ht="13.5">
      <c r="A42" s="48"/>
      <c r="B42" s="707" t="s">
        <v>1367</v>
      </c>
      <c r="C42" s="461" t="s">
        <v>1327</v>
      </c>
      <c r="D42" s="461" t="s">
        <v>1147</v>
      </c>
      <c r="E42" s="461" t="s">
        <v>445</v>
      </c>
      <c r="F42" s="461" t="s">
        <v>455</v>
      </c>
      <c r="G42" s="461" t="s">
        <v>449</v>
      </c>
      <c r="H42" s="462">
        <v>5</v>
      </c>
      <c r="I42" s="462" t="s">
        <v>1359</v>
      </c>
      <c r="J42" s="752">
        <f>K42*(1-Bolts!$E$1157)</f>
        <v>177.10526315789471</v>
      </c>
      <c r="K42" s="752">
        <v>177.10526315789471</v>
      </c>
      <c r="L42" s="464">
        <f t="shared" si="0"/>
        <v>13</v>
      </c>
      <c r="M42" s="465">
        <v>0</v>
      </c>
      <c r="N42" s="466"/>
      <c r="O42" s="467">
        <v>3</v>
      </c>
      <c r="P42" s="468">
        <v>0</v>
      </c>
      <c r="Q42" s="469">
        <v>5</v>
      </c>
      <c r="R42" s="470">
        <v>0</v>
      </c>
      <c r="S42" s="471">
        <v>0</v>
      </c>
      <c r="T42" s="472">
        <v>5</v>
      </c>
      <c r="U42" s="473">
        <v>0</v>
      </c>
      <c r="V42" s="464">
        <f t="shared" si="1"/>
        <v>65</v>
      </c>
      <c r="W42" s="474">
        <f t="shared" si="2"/>
        <v>2302.3684210526312</v>
      </c>
      <c r="X42" s="475">
        <v>2.7800252199945561</v>
      </c>
      <c r="Y42" s="507">
        <f t="shared" si="3"/>
        <v>36.140327859929229</v>
      </c>
      <c r="Z42"/>
      <c r="AA42"/>
      <c r="AB42"/>
      <c r="AC42"/>
    </row>
    <row r="43" spans="1:29" ht="13.5">
      <c r="A43" s="48"/>
      <c r="B43" s="707" t="s">
        <v>1368</v>
      </c>
      <c r="C43" s="461" t="s">
        <v>1327</v>
      </c>
      <c r="D43" s="461" t="s">
        <v>1148</v>
      </c>
      <c r="E43" s="461" t="s">
        <v>445</v>
      </c>
      <c r="F43" s="461" t="s">
        <v>450</v>
      </c>
      <c r="G43" s="461" t="s">
        <v>451</v>
      </c>
      <c r="H43" s="462">
        <v>15</v>
      </c>
      <c r="I43" s="462" t="s">
        <v>1360</v>
      </c>
      <c r="J43" s="752">
        <f>K43*(1-Bolts!$E$1157)</f>
        <v>158.44736842105263</v>
      </c>
      <c r="K43" s="752">
        <v>158.44736842105263</v>
      </c>
      <c r="L43" s="464">
        <f t="shared" si="0"/>
        <v>13</v>
      </c>
      <c r="M43" s="465">
        <v>0</v>
      </c>
      <c r="N43" s="466"/>
      <c r="O43" s="467">
        <v>3</v>
      </c>
      <c r="P43" s="468">
        <v>0</v>
      </c>
      <c r="Q43" s="469">
        <v>5</v>
      </c>
      <c r="R43" s="470">
        <v>0</v>
      </c>
      <c r="S43" s="471">
        <v>0</v>
      </c>
      <c r="T43" s="472">
        <v>5</v>
      </c>
      <c r="U43" s="473">
        <v>0</v>
      </c>
      <c r="V43" s="464">
        <f t="shared" si="1"/>
        <v>195</v>
      </c>
      <c r="W43" s="474">
        <f t="shared" si="2"/>
        <v>2059.8157894736842</v>
      </c>
      <c r="X43" s="475">
        <v>3.0910280413680482</v>
      </c>
      <c r="Y43" s="507">
        <f t="shared" si="3"/>
        <v>40.183364537784627</v>
      </c>
      <c r="Z43"/>
      <c r="AA43"/>
      <c r="AB43"/>
      <c r="AC43"/>
    </row>
    <row r="44" spans="1:29" ht="13.5">
      <c r="A44" s="48"/>
      <c r="B44" s="707" t="s">
        <v>1369</v>
      </c>
      <c r="C44" s="461" t="s">
        <v>1327</v>
      </c>
      <c r="D44" s="461" t="s">
        <v>1152</v>
      </c>
      <c r="E44" s="461" t="s">
        <v>445</v>
      </c>
      <c r="F44" s="461" t="s">
        <v>454</v>
      </c>
      <c r="G44" s="461" t="s">
        <v>452</v>
      </c>
      <c r="H44" s="462">
        <v>25</v>
      </c>
      <c r="I44" s="462" t="s">
        <v>1361</v>
      </c>
      <c r="J44" s="752">
        <f>K44*(1-Bolts!$E$1157)</f>
        <v>196.42105263157896</v>
      </c>
      <c r="K44" s="752">
        <v>196.42105263157896</v>
      </c>
      <c r="L44" s="464">
        <f t="shared" si="0"/>
        <v>14</v>
      </c>
      <c r="M44" s="465">
        <v>0</v>
      </c>
      <c r="N44" s="466"/>
      <c r="O44" s="467">
        <v>4</v>
      </c>
      <c r="P44" s="468">
        <v>0</v>
      </c>
      <c r="Q44" s="469">
        <v>5</v>
      </c>
      <c r="R44" s="470">
        <v>0</v>
      </c>
      <c r="S44" s="471">
        <v>0</v>
      </c>
      <c r="T44" s="472">
        <v>5</v>
      </c>
      <c r="U44" s="473">
        <v>0</v>
      </c>
      <c r="V44" s="464">
        <f t="shared" si="1"/>
        <v>350</v>
      </c>
      <c r="W44" s="474">
        <f t="shared" si="2"/>
        <v>2749.8947368421054</v>
      </c>
      <c r="X44" s="475">
        <v>3.3880307357343731</v>
      </c>
      <c r="Y44" s="507">
        <f t="shared" si="3"/>
        <v>47.432430300281226</v>
      </c>
      <c r="Z44"/>
      <c r="AA44"/>
      <c r="AB44"/>
      <c r="AC44"/>
    </row>
    <row r="45" spans="1:29" ht="13.5">
      <c r="A45" s="610" t="s">
        <v>2041</v>
      </c>
      <c r="B45" s="714"/>
      <c r="C45" s="491">
        <f>B45</f>
        <v>0</v>
      </c>
      <c r="D45" s="491"/>
      <c r="E45" s="491" t="s">
        <v>445</v>
      </c>
      <c r="F45" s="491"/>
      <c r="G45" s="491"/>
      <c r="H45" s="491"/>
      <c r="I45" s="491"/>
      <c r="J45" s="754"/>
      <c r="K45" s="752">
        <v>0</v>
      </c>
      <c r="L45" s="493"/>
      <c r="M45" s="465">
        <v>0</v>
      </c>
      <c r="N45" s="466"/>
      <c r="O45" s="467">
        <v>0</v>
      </c>
      <c r="P45" s="468">
        <v>0</v>
      </c>
      <c r="Q45" s="469">
        <v>0</v>
      </c>
      <c r="R45" s="470">
        <v>0</v>
      </c>
      <c r="S45" s="471">
        <v>0</v>
      </c>
      <c r="T45" s="472">
        <v>0</v>
      </c>
      <c r="U45" s="473">
        <v>0</v>
      </c>
      <c r="V45" s="493"/>
      <c r="W45" s="493"/>
      <c r="X45" s="493">
        <v>0</v>
      </c>
      <c r="Y45" s="509"/>
      <c r="Z45"/>
      <c r="AA45"/>
      <c r="AB45"/>
      <c r="AC45"/>
    </row>
    <row r="46" spans="1:29" ht="13.5">
      <c r="A46" s="48"/>
      <c r="B46" s="707" t="s">
        <v>1545</v>
      </c>
      <c r="C46" s="461" t="s">
        <v>1076</v>
      </c>
      <c r="D46" s="461" t="s">
        <v>1146</v>
      </c>
      <c r="E46" s="461" t="s">
        <v>445</v>
      </c>
      <c r="F46" s="461" t="s">
        <v>493</v>
      </c>
      <c r="G46" s="461" t="s">
        <v>449</v>
      </c>
      <c r="H46" s="462">
        <v>1</v>
      </c>
      <c r="I46" s="462" t="s">
        <v>1370</v>
      </c>
      <c r="J46" s="752">
        <f>K46*(1-Bolts!$E$1157)</f>
        <v>263.31578947368422</v>
      </c>
      <c r="K46" s="752">
        <v>263.31578947368422</v>
      </c>
      <c r="L46" s="464">
        <f t="shared" ref="L46:L58" si="4">SUM(M46:U46)</f>
        <v>14</v>
      </c>
      <c r="M46" s="465">
        <v>0</v>
      </c>
      <c r="N46" s="466"/>
      <c r="O46" s="467">
        <v>4</v>
      </c>
      <c r="P46" s="468">
        <v>0</v>
      </c>
      <c r="Q46" s="469">
        <v>5</v>
      </c>
      <c r="R46" s="470">
        <v>0</v>
      </c>
      <c r="S46" s="471">
        <v>0</v>
      </c>
      <c r="T46" s="472">
        <v>5</v>
      </c>
      <c r="U46" s="473">
        <v>0</v>
      </c>
      <c r="V46" s="464">
        <f t="shared" ref="V46:V58" si="5">L46*H46</f>
        <v>14</v>
      </c>
      <c r="W46" s="474">
        <f t="shared" ref="W46:W58" si="6">L46*K46</f>
        <v>3686.4210526315792</v>
      </c>
      <c r="X46" s="475">
        <v>5.5710505397804582</v>
      </c>
      <c r="Y46" s="507">
        <f t="shared" ref="Y46:Y58" si="7">X46*L46</f>
        <v>77.994707556926414</v>
      </c>
      <c r="Z46"/>
      <c r="AA46"/>
      <c r="AB46"/>
      <c r="AC46"/>
    </row>
    <row r="47" spans="1:29" ht="13.5">
      <c r="A47" s="48"/>
      <c r="B47" s="707" t="s">
        <v>1546</v>
      </c>
      <c r="C47" s="461" t="s">
        <v>1076</v>
      </c>
      <c r="D47" s="461" t="s">
        <v>1146</v>
      </c>
      <c r="E47" s="461" t="s">
        <v>445</v>
      </c>
      <c r="F47" s="461" t="s">
        <v>493</v>
      </c>
      <c r="G47" s="461" t="s">
        <v>451</v>
      </c>
      <c r="H47" s="462">
        <v>1</v>
      </c>
      <c r="I47" s="462" t="s">
        <v>1371</v>
      </c>
      <c r="J47" s="752">
        <f>K47*(1-Bolts!$E$1157)</f>
        <v>195.0263157894737</v>
      </c>
      <c r="K47" s="752">
        <v>195.0263157894737</v>
      </c>
      <c r="L47" s="464">
        <f t="shared" si="4"/>
        <v>15</v>
      </c>
      <c r="M47" s="465">
        <v>0</v>
      </c>
      <c r="N47" s="466"/>
      <c r="O47" s="467">
        <v>3</v>
      </c>
      <c r="P47" s="468">
        <v>0</v>
      </c>
      <c r="Q47" s="469">
        <v>7</v>
      </c>
      <c r="R47" s="470">
        <v>0</v>
      </c>
      <c r="S47" s="471">
        <v>0</v>
      </c>
      <c r="T47" s="472">
        <v>5</v>
      </c>
      <c r="U47" s="473">
        <v>0</v>
      </c>
      <c r="V47" s="464">
        <f t="shared" si="5"/>
        <v>15</v>
      </c>
      <c r="W47" s="474">
        <f t="shared" si="6"/>
        <v>2925.3947368421054</v>
      </c>
      <c r="X47" s="475">
        <v>4.0800370135171908</v>
      </c>
      <c r="Y47" s="507">
        <f t="shared" si="7"/>
        <v>61.200555202757862</v>
      </c>
      <c r="Z47"/>
      <c r="AA47"/>
      <c r="AB47"/>
      <c r="AC47"/>
    </row>
    <row r="48" spans="1:29" ht="13.5">
      <c r="A48" s="48"/>
      <c r="B48" s="707" t="s">
        <v>1547</v>
      </c>
      <c r="C48" s="461" t="s">
        <v>1076</v>
      </c>
      <c r="D48" s="461" t="s">
        <v>1146</v>
      </c>
      <c r="E48" s="461" t="s">
        <v>445</v>
      </c>
      <c r="F48" s="461" t="s">
        <v>493</v>
      </c>
      <c r="G48" s="461" t="s">
        <v>451</v>
      </c>
      <c r="H48" s="462">
        <v>2</v>
      </c>
      <c r="I48" s="462" t="s">
        <v>1372</v>
      </c>
      <c r="J48" s="752">
        <f>K48*(1-Bolts!$E$1157)</f>
        <v>285.44736842105266</v>
      </c>
      <c r="K48" s="752">
        <v>285.44736842105266</v>
      </c>
      <c r="L48" s="464">
        <f t="shared" si="4"/>
        <v>11</v>
      </c>
      <c r="M48" s="465">
        <v>0</v>
      </c>
      <c r="N48" s="466"/>
      <c r="O48" s="467">
        <v>3</v>
      </c>
      <c r="P48" s="468">
        <v>0</v>
      </c>
      <c r="Q48" s="469">
        <v>3</v>
      </c>
      <c r="R48" s="470">
        <v>0</v>
      </c>
      <c r="S48" s="471">
        <v>0</v>
      </c>
      <c r="T48" s="472">
        <v>5</v>
      </c>
      <c r="U48" s="473">
        <v>0</v>
      </c>
      <c r="V48" s="464">
        <f t="shared" si="5"/>
        <v>22</v>
      </c>
      <c r="W48" s="474">
        <f t="shared" si="6"/>
        <v>3139.9210526315792</v>
      </c>
      <c r="X48" s="475">
        <v>6.0550549305996535</v>
      </c>
      <c r="Y48" s="507">
        <f t="shared" si="7"/>
        <v>66.605604236596193</v>
      </c>
      <c r="Z48"/>
      <c r="AA48"/>
      <c r="AB48"/>
      <c r="AC48"/>
    </row>
    <row r="49" spans="1:29" ht="13.5">
      <c r="A49" s="48"/>
      <c r="B49" s="707" t="s">
        <v>1375</v>
      </c>
      <c r="C49" s="461" t="s">
        <v>1076</v>
      </c>
      <c r="D49" s="461" t="s">
        <v>1150</v>
      </c>
      <c r="E49" s="461" t="s">
        <v>445</v>
      </c>
      <c r="F49" s="461" t="s">
        <v>459</v>
      </c>
      <c r="G49" s="461" t="s">
        <v>452</v>
      </c>
      <c r="H49" s="462">
        <v>5</v>
      </c>
      <c r="I49" s="462" t="s">
        <v>1373</v>
      </c>
      <c r="J49" s="752">
        <f>K49*(1-Bolts!$E$1157)</f>
        <v>424.4736842105263</v>
      </c>
      <c r="K49" s="752">
        <v>424.4736842105263</v>
      </c>
      <c r="L49" s="464">
        <f t="shared" si="4"/>
        <v>14</v>
      </c>
      <c r="M49" s="465">
        <v>0</v>
      </c>
      <c r="N49" s="466"/>
      <c r="O49" s="467">
        <v>2</v>
      </c>
      <c r="P49" s="468">
        <v>0</v>
      </c>
      <c r="Q49" s="469">
        <v>7</v>
      </c>
      <c r="R49" s="470">
        <v>0</v>
      </c>
      <c r="S49" s="471">
        <v>0</v>
      </c>
      <c r="T49" s="472">
        <v>5</v>
      </c>
      <c r="U49" s="473">
        <v>0</v>
      </c>
      <c r="V49" s="464">
        <f t="shared" si="5"/>
        <v>70</v>
      </c>
      <c r="W49" s="474">
        <f t="shared" si="6"/>
        <v>5942.6315789473683</v>
      </c>
      <c r="X49" s="475">
        <v>8.1950743445522978</v>
      </c>
      <c r="Y49" s="507">
        <f t="shared" si="7"/>
        <v>114.73104082373217</v>
      </c>
      <c r="Z49"/>
      <c r="AA49"/>
      <c r="AB49"/>
      <c r="AC49"/>
    </row>
    <row r="50" spans="1:29" ht="13.5">
      <c r="A50" s="48"/>
      <c r="B50" s="707" t="s">
        <v>1548</v>
      </c>
      <c r="C50" s="461" t="s">
        <v>1076</v>
      </c>
      <c r="D50" s="461" t="s">
        <v>1150</v>
      </c>
      <c r="E50" s="461" t="s">
        <v>445</v>
      </c>
      <c r="F50" s="461" t="s">
        <v>459</v>
      </c>
      <c r="G50" s="461" t="s">
        <v>452</v>
      </c>
      <c r="H50" s="462">
        <v>3</v>
      </c>
      <c r="I50" s="462" t="s">
        <v>1374</v>
      </c>
      <c r="J50" s="752">
        <f>K50*(1-Bolts!$E$1157)</f>
        <v>256.78947368421058</v>
      </c>
      <c r="K50" s="752">
        <v>256.78947368421058</v>
      </c>
      <c r="L50" s="464">
        <f t="shared" si="4"/>
        <v>13</v>
      </c>
      <c r="M50" s="465">
        <v>0</v>
      </c>
      <c r="N50" s="466"/>
      <c r="O50" s="467">
        <v>2</v>
      </c>
      <c r="P50" s="468">
        <v>0</v>
      </c>
      <c r="Q50" s="469">
        <v>6</v>
      </c>
      <c r="R50" s="470">
        <v>0</v>
      </c>
      <c r="S50" s="471">
        <v>0</v>
      </c>
      <c r="T50" s="472">
        <v>5</v>
      </c>
      <c r="U50" s="473">
        <v>0</v>
      </c>
      <c r="V50" s="464">
        <f t="shared" si="5"/>
        <v>39</v>
      </c>
      <c r="W50" s="474">
        <f t="shared" si="6"/>
        <v>3338.2631578947376</v>
      </c>
      <c r="X50" s="475">
        <v>4.9810451873355701</v>
      </c>
      <c r="Y50" s="507">
        <f t="shared" si="7"/>
        <v>64.753587435362405</v>
      </c>
      <c r="Z50"/>
      <c r="AA50"/>
      <c r="AB50"/>
      <c r="AC50"/>
    </row>
    <row r="51" spans="1:29" ht="13.5">
      <c r="A51" s="48"/>
      <c r="B51" s="707" t="s">
        <v>1549</v>
      </c>
      <c r="C51" s="461" t="s">
        <v>1076</v>
      </c>
      <c r="D51" s="461" t="s">
        <v>1150</v>
      </c>
      <c r="E51" s="461" t="s">
        <v>445</v>
      </c>
      <c r="F51" s="461" t="s">
        <v>457</v>
      </c>
      <c r="G51" s="461" t="s">
        <v>449</v>
      </c>
      <c r="H51" s="462">
        <v>3</v>
      </c>
      <c r="I51" s="462" t="s">
        <v>1376</v>
      </c>
      <c r="J51" s="752">
        <f>K51*(1-Bolts!$E$1157)</f>
        <v>467.3421052631578</v>
      </c>
      <c r="K51" s="752">
        <v>467.3421052631578</v>
      </c>
      <c r="L51" s="464">
        <f t="shared" si="4"/>
        <v>14</v>
      </c>
      <c r="M51" s="465">
        <v>0</v>
      </c>
      <c r="N51" s="466"/>
      <c r="O51" s="467">
        <v>3</v>
      </c>
      <c r="P51" s="468">
        <v>0</v>
      </c>
      <c r="Q51" s="469">
        <v>7</v>
      </c>
      <c r="R51" s="470">
        <v>0</v>
      </c>
      <c r="S51" s="471">
        <v>0</v>
      </c>
      <c r="T51" s="472">
        <v>4</v>
      </c>
      <c r="U51" s="473">
        <v>0</v>
      </c>
      <c r="V51" s="464">
        <f t="shared" si="5"/>
        <v>42</v>
      </c>
      <c r="W51" s="474">
        <f t="shared" si="6"/>
        <v>6542.789473684209</v>
      </c>
      <c r="X51" s="475">
        <v>9.5780868910459933</v>
      </c>
      <c r="Y51" s="507">
        <f t="shared" si="7"/>
        <v>134.0932164746439</v>
      </c>
      <c r="Z51"/>
      <c r="AA51"/>
      <c r="AB51"/>
      <c r="AC51"/>
    </row>
    <row r="52" spans="1:29" ht="13.5">
      <c r="A52" s="48"/>
      <c r="B52" s="707" t="s">
        <v>1378</v>
      </c>
      <c r="C52" s="461" t="s">
        <v>1076</v>
      </c>
      <c r="D52" s="461" t="s">
        <v>1151</v>
      </c>
      <c r="E52" s="461" t="s">
        <v>445</v>
      </c>
      <c r="F52" s="461" t="s">
        <v>458</v>
      </c>
      <c r="G52" s="461" t="s">
        <v>452</v>
      </c>
      <c r="H52" s="462">
        <v>5</v>
      </c>
      <c r="I52" s="462" t="s">
        <v>1377</v>
      </c>
      <c r="J52" s="752">
        <f>K52*(1-Bolts!$E$1157)</f>
        <v>237.28947368421049</v>
      </c>
      <c r="K52" s="752">
        <v>237.28947368421049</v>
      </c>
      <c r="L52" s="464">
        <f t="shared" si="4"/>
        <v>14</v>
      </c>
      <c r="M52" s="465">
        <v>0</v>
      </c>
      <c r="N52" s="466"/>
      <c r="O52" s="467">
        <v>2</v>
      </c>
      <c r="P52" s="468">
        <v>0</v>
      </c>
      <c r="Q52" s="469">
        <v>7</v>
      </c>
      <c r="R52" s="470">
        <v>0</v>
      </c>
      <c r="S52" s="471">
        <v>0</v>
      </c>
      <c r="T52" s="472">
        <v>5</v>
      </c>
      <c r="U52" s="473">
        <v>0</v>
      </c>
      <c r="V52" s="464">
        <f t="shared" si="5"/>
        <v>70</v>
      </c>
      <c r="W52" s="474">
        <f t="shared" si="6"/>
        <v>3322.0526315789471</v>
      </c>
      <c r="X52" s="475">
        <v>4.0920371223804759</v>
      </c>
      <c r="Y52" s="507">
        <f t="shared" si="7"/>
        <v>57.288519713326664</v>
      </c>
      <c r="Z52"/>
      <c r="AA52"/>
      <c r="AB52"/>
      <c r="AC52"/>
    </row>
    <row r="53" spans="1:29" ht="13.5">
      <c r="A53" s="48"/>
      <c r="B53" s="707" t="s">
        <v>1380</v>
      </c>
      <c r="C53" s="461" t="s">
        <v>1076</v>
      </c>
      <c r="D53" s="461" t="s">
        <v>1147</v>
      </c>
      <c r="E53" s="461" t="s">
        <v>445</v>
      </c>
      <c r="F53" s="461" t="s">
        <v>461</v>
      </c>
      <c r="G53" s="461" t="s">
        <v>449</v>
      </c>
      <c r="H53" s="462">
        <v>5</v>
      </c>
      <c r="I53" s="462" t="s">
        <v>1379</v>
      </c>
      <c r="J53" s="752">
        <f>K53*(1-Bolts!$E$1157)</f>
        <v>198.10526315789471</v>
      </c>
      <c r="K53" s="752">
        <v>198.10526315789471</v>
      </c>
      <c r="L53" s="464">
        <f t="shared" si="4"/>
        <v>16</v>
      </c>
      <c r="M53" s="465">
        <v>1</v>
      </c>
      <c r="N53" s="466"/>
      <c r="O53" s="467">
        <v>2</v>
      </c>
      <c r="P53" s="468">
        <v>0</v>
      </c>
      <c r="Q53" s="469">
        <v>8</v>
      </c>
      <c r="R53" s="470">
        <v>0</v>
      </c>
      <c r="S53" s="471">
        <v>0</v>
      </c>
      <c r="T53" s="472">
        <v>5</v>
      </c>
      <c r="U53" s="473">
        <v>0</v>
      </c>
      <c r="V53" s="464">
        <f t="shared" si="5"/>
        <v>80</v>
      </c>
      <c r="W53" s="474">
        <f t="shared" si="6"/>
        <v>3169.6842105263154</v>
      </c>
      <c r="X53" s="475">
        <v>3.2380293749433</v>
      </c>
      <c r="Y53" s="507">
        <f t="shared" si="7"/>
        <v>51.8084699990928</v>
      </c>
      <c r="Z53"/>
      <c r="AA53"/>
      <c r="AB53"/>
      <c r="AC53"/>
    </row>
    <row r="54" spans="1:29" ht="13.5">
      <c r="A54" s="48"/>
      <c r="B54" s="707" t="s">
        <v>1382</v>
      </c>
      <c r="C54" s="461" t="s">
        <v>1076</v>
      </c>
      <c r="D54" s="461" t="s">
        <v>1147</v>
      </c>
      <c r="E54" s="461" t="s">
        <v>445</v>
      </c>
      <c r="F54" s="461" t="s">
        <v>450</v>
      </c>
      <c r="G54" s="461" t="s">
        <v>451</v>
      </c>
      <c r="H54" s="462">
        <v>5</v>
      </c>
      <c r="I54" s="462" t="s">
        <v>1381</v>
      </c>
      <c r="J54" s="752">
        <f>K54*(1-Bolts!$E$1157)</f>
        <v>210.89473684210523</v>
      </c>
      <c r="K54" s="752">
        <v>210.89473684210523</v>
      </c>
      <c r="L54" s="464">
        <f t="shared" si="4"/>
        <v>13</v>
      </c>
      <c r="M54" s="465">
        <v>0</v>
      </c>
      <c r="N54" s="466"/>
      <c r="O54" s="467">
        <v>2</v>
      </c>
      <c r="P54" s="468">
        <v>0</v>
      </c>
      <c r="Q54" s="469">
        <v>6</v>
      </c>
      <c r="R54" s="470">
        <v>0</v>
      </c>
      <c r="S54" s="471">
        <v>0</v>
      </c>
      <c r="T54" s="472">
        <v>5</v>
      </c>
      <c r="U54" s="473">
        <v>0</v>
      </c>
      <c r="V54" s="464">
        <f t="shared" si="5"/>
        <v>65</v>
      </c>
      <c r="W54" s="474">
        <f t="shared" si="6"/>
        <v>2741.6315789473679</v>
      </c>
      <c r="X54" s="475">
        <v>3.5160318969427555</v>
      </c>
      <c r="Y54" s="507">
        <f t="shared" si="7"/>
        <v>45.708414660255819</v>
      </c>
      <c r="Z54"/>
      <c r="AA54"/>
      <c r="AB54"/>
      <c r="AC54"/>
    </row>
    <row r="55" spans="1:29" ht="13.5">
      <c r="A55" s="48"/>
      <c r="B55" s="707" t="s">
        <v>1384</v>
      </c>
      <c r="C55" s="461" t="s">
        <v>1076</v>
      </c>
      <c r="D55" s="461" t="s">
        <v>452</v>
      </c>
      <c r="E55" s="461" t="s">
        <v>445</v>
      </c>
      <c r="F55" s="461" t="s">
        <v>450</v>
      </c>
      <c r="G55" s="461" t="s">
        <v>451</v>
      </c>
      <c r="H55" s="462">
        <v>5</v>
      </c>
      <c r="I55" s="462" t="s">
        <v>1383</v>
      </c>
      <c r="J55" s="752">
        <f>K55*(1-Bolts!$E$1157)</f>
        <v>163.13157894736844</v>
      </c>
      <c r="K55" s="752">
        <v>163.13157894736844</v>
      </c>
      <c r="L55" s="464">
        <f t="shared" si="4"/>
        <v>14</v>
      </c>
      <c r="M55" s="465">
        <v>0</v>
      </c>
      <c r="N55" s="466"/>
      <c r="O55" s="467">
        <v>2</v>
      </c>
      <c r="P55" s="468">
        <v>0</v>
      </c>
      <c r="Q55" s="469">
        <v>7</v>
      </c>
      <c r="R55" s="470">
        <v>0</v>
      </c>
      <c r="S55" s="471">
        <v>0</v>
      </c>
      <c r="T55" s="472">
        <v>5</v>
      </c>
      <c r="U55" s="473">
        <v>0</v>
      </c>
      <c r="V55" s="464">
        <f t="shared" si="5"/>
        <v>70</v>
      </c>
      <c r="W55" s="474">
        <f t="shared" si="6"/>
        <v>2283.8421052631584</v>
      </c>
      <c r="X55" s="475">
        <v>2.4760224621246478</v>
      </c>
      <c r="Y55" s="507">
        <f t="shared" si="7"/>
        <v>34.664314469745072</v>
      </c>
      <c r="Z55"/>
      <c r="AA55"/>
      <c r="AB55"/>
      <c r="AC55"/>
    </row>
    <row r="56" spans="1:29" ht="13.5">
      <c r="A56" s="48"/>
      <c r="B56" s="707" t="s">
        <v>1386</v>
      </c>
      <c r="C56" s="461" t="s">
        <v>1076</v>
      </c>
      <c r="D56" s="461" t="s">
        <v>452</v>
      </c>
      <c r="E56" s="461" t="s">
        <v>445</v>
      </c>
      <c r="F56" s="461" t="s">
        <v>458</v>
      </c>
      <c r="G56" s="461" t="s">
        <v>452</v>
      </c>
      <c r="H56" s="462">
        <v>5</v>
      </c>
      <c r="I56" s="462" t="s">
        <v>1385</v>
      </c>
      <c r="J56" s="752">
        <f>K56*(1-Bolts!$E$1157)</f>
        <v>146.57894736842104</v>
      </c>
      <c r="K56" s="752">
        <v>146.57894736842104</v>
      </c>
      <c r="L56" s="464">
        <f t="shared" si="4"/>
        <v>12</v>
      </c>
      <c r="M56" s="465">
        <v>0</v>
      </c>
      <c r="N56" s="466"/>
      <c r="O56" s="467">
        <v>2</v>
      </c>
      <c r="P56" s="468">
        <v>0</v>
      </c>
      <c r="Q56" s="469">
        <v>5</v>
      </c>
      <c r="R56" s="470">
        <v>0</v>
      </c>
      <c r="S56" s="471">
        <v>0</v>
      </c>
      <c r="T56" s="472">
        <v>5</v>
      </c>
      <c r="U56" s="473">
        <v>0</v>
      </c>
      <c r="V56" s="464">
        <f t="shared" si="5"/>
        <v>60</v>
      </c>
      <c r="W56" s="474">
        <f t="shared" si="6"/>
        <v>1758.9473684210525</v>
      </c>
      <c r="X56" s="475">
        <v>2.1140191780821915</v>
      </c>
      <c r="Y56" s="507">
        <f t="shared" si="7"/>
        <v>25.368230136986298</v>
      </c>
      <c r="Z56"/>
      <c r="AA56"/>
      <c r="AB56"/>
      <c r="AC56"/>
    </row>
    <row r="57" spans="1:29" ht="13.5">
      <c r="A57" s="48"/>
      <c r="B57" s="707" t="s">
        <v>1388</v>
      </c>
      <c r="C57" s="461" t="s">
        <v>1076</v>
      </c>
      <c r="D57" s="461" t="s">
        <v>1152</v>
      </c>
      <c r="E57" s="461" t="s">
        <v>445</v>
      </c>
      <c r="F57" s="461" t="s">
        <v>454</v>
      </c>
      <c r="G57" s="461" t="s">
        <v>451</v>
      </c>
      <c r="H57" s="462">
        <v>25</v>
      </c>
      <c r="I57" s="462" t="s">
        <v>1387</v>
      </c>
      <c r="J57" s="752">
        <f>K57*(1-Bolts!$E$1157)</f>
        <v>216.05263157894734</v>
      </c>
      <c r="K57" s="752">
        <v>216.05263157894734</v>
      </c>
      <c r="L57" s="464">
        <f t="shared" si="4"/>
        <v>14</v>
      </c>
      <c r="M57" s="465">
        <v>0</v>
      </c>
      <c r="N57" s="466"/>
      <c r="O57" s="467">
        <v>3</v>
      </c>
      <c r="P57" s="468">
        <v>0</v>
      </c>
      <c r="Q57" s="469">
        <v>6</v>
      </c>
      <c r="R57" s="470">
        <v>0</v>
      </c>
      <c r="S57" s="471">
        <v>0</v>
      </c>
      <c r="T57" s="472">
        <v>5</v>
      </c>
      <c r="U57" s="473">
        <v>0</v>
      </c>
      <c r="V57" s="464">
        <f t="shared" si="5"/>
        <v>350</v>
      </c>
      <c r="W57" s="474">
        <f t="shared" si="6"/>
        <v>3024.7368421052629</v>
      </c>
      <c r="X57" s="475">
        <v>3.8900352898484982</v>
      </c>
      <c r="Y57" s="507">
        <f t="shared" si="7"/>
        <v>54.460494057878975</v>
      </c>
      <c r="Z57"/>
      <c r="AA57"/>
      <c r="AB57"/>
      <c r="AC57"/>
    </row>
    <row r="58" spans="1:29" ht="13.5">
      <c r="A58" s="48"/>
      <c r="B58" s="707" t="s">
        <v>1390</v>
      </c>
      <c r="C58" s="461" t="s">
        <v>1076</v>
      </c>
      <c r="D58" s="461" t="s">
        <v>1152</v>
      </c>
      <c r="E58" s="461" t="s">
        <v>445</v>
      </c>
      <c r="F58" s="461" t="s">
        <v>454</v>
      </c>
      <c r="G58" s="461" t="s">
        <v>451</v>
      </c>
      <c r="H58" s="462">
        <v>25</v>
      </c>
      <c r="I58" s="462" t="s">
        <v>1389</v>
      </c>
      <c r="J58" s="752">
        <f>K58*(1-Bolts!$E$1157)</f>
        <v>194.21052631578945</v>
      </c>
      <c r="K58" s="752">
        <v>194.21052631578945</v>
      </c>
      <c r="L58" s="464">
        <f t="shared" si="4"/>
        <v>18</v>
      </c>
      <c r="M58" s="465">
        <v>1</v>
      </c>
      <c r="N58" s="466"/>
      <c r="O58" s="467">
        <v>2</v>
      </c>
      <c r="P58" s="468">
        <v>1</v>
      </c>
      <c r="Q58" s="469">
        <v>9</v>
      </c>
      <c r="R58" s="470">
        <v>0</v>
      </c>
      <c r="S58" s="471">
        <v>0</v>
      </c>
      <c r="T58" s="472">
        <v>5</v>
      </c>
      <c r="U58" s="473">
        <v>0</v>
      </c>
      <c r="V58" s="464">
        <f t="shared" si="5"/>
        <v>450</v>
      </c>
      <c r="W58" s="474">
        <f t="shared" si="6"/>
        <v>3495.78947368421</v>
      </c>
      <c r="X58" s="475">
        <v>3.331030218633765</v>
      </c>
      <c r="Y58" s="507">
        <f t="shared" si="7"/>
        <v>59.958543935407768</v>
      </c>
      <c r="Z58"/>
      <c r="AA58"/>
      <c r="AB58"/>
      <c r="AC58"/>
    </row>
    <row r="59" spans="1:29" ht="13.5">
      <c r="A59" s="610" t="s">
        <v>2039</v>
      </c>
      <c r="B59" s="714"/>
      <c r="C59" s="491">
        <f>B59</f>
        <v>0</v>
      </c>
      <c r="D59" s="491"/>
      <c r="E59" s="491" t="s">
        <v>445</v>
      </c>
      <c r="F59" s="491"/>
      <c r="G59" s="491"/>
      <c r="H59" s="491"/>
      <c r="I59" s="491"/>
      <c r="J59" s="754"/>
      <c r="K59" s="752">
        <v>0</v>
      </c>
      <c r="L59" s="493"/>
      <c r="M59" s="465">
        <v>0</v>
      </c>
      <c r="N59" s="466"/>
      <c r="O59" s="467">
        <v>0</v>
      </c>
      <c r="P59" s="468">
        <v>0</v>
      </c>
      <c r="Q59" s="469">
        <v>0</v>
      </c>
      <c r="R59" s="470">
        <v>0</v>
      </c>
      <c r="S59" s="471">
        <v>0</v>
      </c>
      <c r="T59" s="472">
        <v>0</v>
      </c>
      <c r="U59" s="473">
        <v>0</v>
      </c>
      <c r="V59" s="491"/>
      <c r="W59" s="493"/>
      <c r="X59" s="493">
        <v>0</v>
      </c>
      <c r="Y59" s="509"/>
      <c r="Z59"/>
      <c r="AA59"/>
      <c r="AB59"/>
      <c r="AC59"/>
    </row>
    <row r="60" spans="1:29" ht="13.5">
      <c r="A60" s="48"/>
      <c r="B60" s="707" t="s">
        <v>2640</v>
      </c>
      <c r="C60" s="461" t="s">
        <v>1080</v>
      </c>
      <c r="D60" s="461" t="s">
        <v>1151</v>
      </c>
      <c r="E60" s="461" t="s">
        <v>445</v>
      </c>
      <c r="F60" s="461" t="s">
        <v>457</v>
      </c>
      <c r="G60" s="461" t="s">
        <v>449</v>
      </c>
      <c r="H60" s="462">
        <v>3</v>
      </c>
      <c r="I60" s="462" t="s">
        <v>1329</v>
      </c>
      <c r="J60" s="752">
        <f>K60*(1-Bolts!$E$1157)</f>
        <v>188.92105263157896</v>
      </c>
      <c r="K60" s="752">
        <v>188.92105263157896</v>
      </c>
      <c r="L60" s="464">
        <f>SUM(M60:U60)</f>
        <v>11</v>
      </c>
      <c r="M60" s="465">
        <v>0</v>
      </c>
      <c r="N60" s="466"/>
      <c r="O60" s="467">
        <v>1</v>
      </c>
      <c r="P60" s="468">
        <v>0</v>
      </c>
      <c r="Q60" s="469">
        <v>5</v>
      </c>
      <c r="R60" s="470">
        <v>0</v>
      </c>
      <c r="S60" s="471">
        <v>0</v>
      </c>
      <c r="T60" s="472">
        <v>5</v>
      </c>
      <c r="U60" s="473">
        <v>0</v>
      </c>
      <c r="V60" s="464">
        <f t="shared" ref="V60:V65" si="8">L60*H60</f>
        <v>33</v>
      </c>
      <c r="W60" s="474">
        <f t="shared" ref="W60:W65" si="9">L60*K60</f>
        <v>2078.1315789473683</v>
      </c>
      <c r="X60" s="475">
        <v>3.4810315794248385</v>
      </c>
      <c r="Y60" s="507">
        <f>X60*L60</f>
        <v>38.291347373673226</v>
      </c>
      <c r="Z60"/>
      <c r="AA60"/>
      <c r="AB60"/>
      <c r="AC60"/>
    </row>
    <row r="61" spans="1:29" ht="13.5">
      <c r="A61" s="214"/>
      <c r="B61" s="706" t="s">
        <v>2641</v>
      </c>
      <c r="C61" s="644" t="s">
        <v>1080</v>
      </c>
      <c r="D61" s="644" t="s">
        <v>1151</v>
      </c>
      <c r="E61" s="644" t="s">
        <v>445</v>
      </c>
      <c r="F61" s="644" t="s">
        <v>457</v>
      </c>
      <c r="G61" s="644" t="s">
        <v>449</v>
      </c>
      <c r="H61" s="645">
        <v>5</v>
      </c>
      <c r="I61" s="645" t="s">
        <v>2636</v>
      </c>
      <c r="J61" s="752">
        <f>K61*(1-Bolts!$E$1157)</f>
        <v>178.05263157894734</v>
      </c>
      <c r="K61" s="752">
        <v>178.05263157894734</v>
      </c>
      <c r="L61" s="464">
        <f t="shared" ref="L61:L62" si="10">SUM(M61:U61)</f>
        <v>11</v>
      </c>
      <c r="M61" s="465">
        <v>0</v>
      </c>
      <c r="N61" s="466"/>
      <c r="O61" s="467">
        <v>2</v>
      </c>
      <c r="P61" s="468">
        <v>0</v>
      </c>
      <c r="Q61" s="469">
        <v>5</v>
      </c>
      <c r="R61" s="470">
        <v>0</v>
      </c>
      <c r="S61" s="471">
        <v>0</v>
      </c>
      <c r="T61" s="472">
        <v>4</v>
      </c>
      <c r="U61" s="473">
        <v>0</v>
      </c>
      <c r="V61" s="464">
        <f t="shared" si="8"/>
        <v>55</v>
      </c>
      <c r="W61" s="474">
        <f t="shared" si="9"/>
        <v>1958.5789473684208</v>
      </c>
      <c r="X61" s="475">
        <v>2.8180000000000001</v>
      </c>
      <c r="Y61" s="507">
        <f t="shared" ref="Y61:Y62" si="11">X61*L61</f>
        <v>30.998000000000001</v>
      </c>
      <c r="Z61"/>
      <c r="AA61"/>
      <c r="AB61"/>
      <c r="AC61"/>
    </row>
    <row r="62" spans="1:29" ht="13.5">
      <c r="A62" s="214"/>
      <c r="B62" s="709" t="s">
        <v>2938</v>
      </c>
      <c r="C62" s="644" t="s">
        <v>1080</v>
      </c>
      <c r="D62" s="644" t="s">
        <v>1151</v>
      </c>
      <c r="E62" s="644" t="s">
        <v>445</v>
      </c>
      <c r="F62" s="644" t="s">
        <v>455</v>
      </c>
      <c r="G62" s="644" t="s">
        <v>449</v>
      </c>
      <c r="H62" s="645">
        <v>5</v>
      </c>
      <c r="I62" s="645" t="s">
        <v>2939</v>
      </c>
      <c r="J62" s="752">
        <f>K62*(1-Bolts!$E$1157)</f>
        <v>196.07894736842107</v>
      </c>
      <c r="K62" s="752">
        <v>196.07894736842107</v>
      </c>
      <c r="L62" s="464">
        <f t="shared" si="10"/>
        <v>0</v>
      </c>
      <c r="M62" s="465">
        <v>0</v>
      </c>
      <c r="N62" s="466"/>
      <c r="O62" s="467">
        <v>0</v>
      </c>
      <c r="P62" s="468">
        <v>0</v>
      </c>
      <c r="Q62" s="469">
        <v>0</v>
      </c>
      <c r="R62" s="470">
        <v>0</v>
      </c>
      <c r="S62" s="471">
        <v>0</v>
      </c>
      <c r="T62" s="472">
        <v>0</v>
      </c>
      <c r="U62" s="473">
        <v>0</v>
      </c>
      <c r="V62" s="464">
        <f t="shared" si="8"/>
        <v>0</v>
      </c>
      <c r="W62" s="474">
        <f t="shared" si="9"/>
        <v>0</v>
      </c>
      <c r="X62" s="475">
        <v>3.3697722942937491</v>
      </c>
      <c r="Y62" s="507">
        <f t="shared" si="11"/>
        <v>0</v>
      </c>
      <c r="Z62"/>
      <c r="AA62"/>
      <c r="AB62"/>
      <c r="AC62"/>
    </row>
    <row r="63" spans="1:29" ht="13.5">
      <c r="A63" s="214"/>
      <c r="B63" s="709" t="s">
        <v>2950</v>
      </c>
      <c r="C63" s="644" t="s">
        <v>1080</v>
      </c>
      <c r="D63" s="644" t="s">
        <v>1151</v>
      </c>
      <c r="E63" s="644" t="s">
        <v>445</v>
      </c>
      <c r="F63" s="644" t="s">
        <v>455</v>
      </c>
      <c r="G63" s="644" t="s">
        <v>449</v>
      </c>
      <c r="H63" s="645">
        <v>5</v>
      </c>
      <c r="I63" s="645" t="s">
        <v>2944</v>
      </c>
      <c r="J63" s="752">
        <f>K63*(1-Bolts!$E$1157)</f>
        <v>229.42105263157899</v>
      </c>
      <c r="K63" s="752">
        <v>229.42105263157899</v>
      </c>
      <c r="L63" s="464">
        <f t="shared" ref="L63" si="12">SUM(M63:U63)</f>
        <v>0</v>
      </c>
      <c r="M63" s="465">
        <v>0</v>
      </c>
      <c r="N63" s="466"/>
      <c r="O63" s="467">
        <v>0</v>
      </c>
      <c r="P63" s="468">
        <v>0</v>
      </c>
      <c r="Q63" s="469">
        <v>0</v>
      </c>
      <c r="R63" s="470">
        <v>0</v>
      </c>
      <c r="S63" s="471">
        <v>0</v>
      </c>
      <c r="T63" s="472">
        <v>0</v>
      </c>
      <c r="U63" s="473">
        <v>0</v>
      </c>
      <c r="V63" s="464">
        <f t="shared" si="8"/>
        <v>0</v>
      </c>
      <c r="W63" s="474">
        <f t="shared" si="9"/>
        <v>0</v>
      </c>
      <c r="X63" s="475">
        <v>4.1282318787988741</v>
      </c>
      <c r="Y63" s="507">
        <f t="shared" ref="Y63" si="13">X63*L63</f>
        <v>0</v>
      </c>
      <c r="Z63"/>
      <c r="AA63"/>
      <c r="AB63"/>
      <c r="AC63"/>
    </row>
    <row r="64" spans="1:29" ht="13.5">
      <c r="A64" s="214"/>
      <c r="B64" s="706" t="s">
        <v>2820</v>
      </c>
      <c r="C64" s="644" t="s">
        <v>1080</v>
      </c>
      <c r="D64" s="644" t="s">
        <v>1151</v>
      </c>
      <c r="E64" s="644" t="s">
        <v>445</v>
      </c>
      <c r="F64" s="644" t="s">
        <v>457</v>
      </c>
      <c r="G64" s="644" t="s">
        <v>449</v>
      </c>
      <c r="H64" s="645">
        <v>4</v>
      </c>
      <c r="I64" s="645" t="s">
        <v>2821</v>
      </c>
      <c r="J64" s="752">
        <f>K64*(1-Bolts!$E$1157)</f>
        <v>203.07894736842107</v>
      </c>
      <c r="K64" s="752">
        <v>203.07894736842107</v>
      </c>
      <c r="L64" s="464">
        <f t="shared" ref="L64:L65" si="14">SUM(M64:U64)</f>
        <v>0</v>
      </c>
      <c r="M64" s="465">
        <v>0</v>
      </c>
      <c r="N64" s="466"/>
      <c r="O64" s="467">
        <v>0</v>
      </c>
      <c r="P64" s="468">
        <v>0</v>
      </c>
      <c r="Q64" s="469">
        <v>0</v>
      </c>
      <c r="R64" s="470">
        <v>0</v>
      </c>
      <c r="S64" s="471">
        <v>0</v>
      </c>
      <c r="T64" s="472">
        <v>0</v>
      </c>
      <c r="U64" s="473">
        <v>0</v>
      </c>
      <c r="V64" s="464">
        <f t="shared" si="8"/>
        <v>0</v>
      </c>
      <c r="W64" s="474">
        <f t="shared" si="9"/>
        <v>0</v>
      </c>
      <c r="X64" s="475">
        <v>2.992</v>
      </c>
      <c r="Y64" s="507">
        <f t="shared" ref="Y64:Y65" si="15">X64*L64</f>
        <v>0</v>
      </c>
      <c r="Z64"/>
      <c r="AA64"/>
      <c r="AB64"/>
      <c r="AC64"/>
    </row>
    <row r="65" spans="1:29" ht="13.5">
      <c r="A65" s="214"/>
      <c r="B65" s="709" t="s">
        <v>2955</v>
      </c>
      <c r="C65" s="644" t="s">
        <v>1080</v>
      </c>
      <c r="D65" s="644" t="s">
        <v>1151</v>
      </c>
      <c r="E65" s="644" t="s">
        <v>445</v>
      </c>
      <c r="F65" s="644" t="s">
        <v>461</v>
      </c>
      <c r="G65" s="644" t="s">
        <v>449</v>
      </c>
      <c r="H65" s="645">
        <v>4</v>
      </c>
      <c r="I65" s="645" t="s">
        <v>2956</v>
      </c>
      <c r="J65" s="752">
        <f>K65*(1-Bolts!$E$1157)</f>
        <v>190.21052631578948</v>
      </c>
      <c r="K65" s="752">
        <v>190.21052631578948</v>
      </c>
      <c r="L65" s="464">
        <f t="shared" si="14"/>
        <v>0</v>
      </c>
      <c r="M65" s="465">
        <v>0</v>
      </c>
      <c r="N65" s="466"/>
      <c r="O65" s="467">
        <v>0</v>
      </c>
      <c r="P65" s="468">
        <v>0</v>
      </c>
      <c r="Q65" s="469">
        <v>0</v>
      </c>
      <c r="R65" s="470">
        <v>0</v>
      </c>
      <c r="S65" s="471">
        <v>0</v>
      </c>
      <c r="T65" s="472">
        <v>0</v>
      </c>
      <c r="U65" s="473">
        <v>0</v>
      </c>
      <c r="V65" s="464">
        <f t="shared" si="8"/>
        <v>0</v>
      </c>
      <c r="W65" s="474">
        <f t="shared" si="9"/>
        <v>0</v>
      </c>
      <c r="X65" s="475">
        <v>3.4636668783452773</v>
      </c>
      <c r="Y65" s="507">
        <f t="shared" si="15"/>
        <v>0</v>
      </c>
      <c r="Z65"/>
      <c r="AA65"/>
      <c r="AB65"/>
      <c r="AC65"/>
    </row>
    <row r="66" spans="1:29" ht="13.5">
      <c r="A66" s="48"/>
      <c r="B66" s="707"/>
      <c r="C66" s="461"/>
      <c r="D66" s="461"/>
      <c r="E66" s="461"/>
      <c r="F66" s="461"/>
      <c r="G66" s="461"/>
      <c r="H66" s="462"/>
      <c r="I66" s="462"/>
      <c r="J66" s="752"/>
      <c r="K66" s="752">
        <v>0</v>
      </c>
      <c r="L66" s="464"/>
      <c r="M66" s="465">
        <v>0</v>
      </c>
      <c r="N66" s="466"/>
      <c r="O66" s="467">
        <v>0</v>
      </c>
      <c r="P66" s="468">
        <v>0</v>
      </c>
      <c r="Q66" s="469">
        <v>0</v>
      </c>
      <c r="R66" s="470">
        <v>0</v>
      </c>
      <c r="S66" s="471">
        <v>0</v>
      </c>
      <c r="T66" s="472">
        <v>0</v>
      </c>
      <c r="U66" s="473">
        <v>0</v>
      </c>
      <c r="V66" s="464"/>
      <c r="W66" s="474"/>
      <c r="X66" s="475">
        <v>0</v>
      </c>
      <c r="Y66" s="507"/>
      <c r="Z66"/>
      <c r="AA66"/>
      <c r="AB66"/>
      <c r="AC66"/>
    </row>
    <row r="67" spans="1:29" ht="13.5">
      <c r="A67" s="48"/>
      <c r="B67" s="707" t="s">
        <v>1333</v>
      </c>
      <c r="C67" s="461" t="s">
        <v>1080</v>
      </c>
      <c r="D67" s="461" t="s">
        <v>1147</v>
      </c>
      <c r="E67" s="461" t="s">
        <v>445</v>
      </c>
      <c r="F67" s="461" t="s">
        <v>457</v>
      </c>
      <c r="G67" s="461" t="s">
        <v>449</v>
      </c>
      <c r="H67" s="462">
        <v>5</v>
      </c>
      <c r="I67" s="462" t="s">
        <v>1330</v>
      </c>
      <c r="J67" s="752">
        <f>K67*(1-Bolts!$E$1157)</f>
        <v>281.92105263157896</v>
      </c>
      <c r="K67" s="752">
        <v>281.92105263157896</v>
      </c>
      <c r="L67" s="464">
        <f>SUM(M67:U67)</f>
        <v>9</v>
      </c>
      <c r="M67" s="465">
        <v>0</v>
      </c>
      <c r="N67" s="466"/>
      <c r="O67" s="467">
        <v>3</v>
      </c>
      <c r="P67" s="468">
        <v>0</v>
      </c>
      <c r="Q67" s="469">
        <v>4</v>
      </c>
      <c r="R67" s="470">
        <v>0</v>
      </c>
      <c r="S67" s="471">
        <v>0</v>
      </c>
      <c r="T67" s="472">
        <v>2</v>
      </c>
      <c r="U67" s="473">
        <v>0</v>
      </c>
      <c r="V67" s="464">
        <f>L67*H67</f>
        <v>45</v>
      </c>
      <c r="W67" s="474">
        <f>L67*K67</f>
        <v>2537.2894736842109</v>
      </c>
      <c r="X67" s="475">
        <v>5.121046457407239</v>
      </c>
      <c r="Y67" s="507">
        <f>X67*L67</f>
        <v>46.089418116665151</v>
      </c>
      <c r="Z67"/>
      <c r="AA67"/>
      <c r="AB67"/>
      <c r="AC67"/>
    </row>
    <row r="68" spans="1:29" ht="13.5">
      <c r="A68" s="48"/>
      <c r="B68" s="707" t="s">
        <v>1334</v>
      </c>
      <c r="C68" s="461" t="s">
        <v>1080</v>
      </c>
      <c r="D68" s="461" t="s">
        <v>1147</v>
      </c>
      <c r="E68" s="461" t="s">
        <v>445</v>
      </c>
      <c r="F68" s="461" t="s">
        <v>457</v>
      </c>
      <c r="G68" s="461" t="s">
        <v>449</v>
      </c>
      <c r="H68" s="462">
        <v>10</v>
      </c>
      <c r="I68" s="462" t="s">
        <v>1331</v>
      </c>
      <c r="J68" s="752">
        <f>K68*(1-Bolts!$E$1157)</f>
        <v>283.63157894736844</v>
      </c>
      <c r="K68" s="752">
        <v>283.63157894736844</v>
      </c>
      <c r="L68" s="464">
        <f>SUM(M68:U68)</f>
        <v>10</v>
      </c>
      <c r="M68" s="465">
        <v>0</v>
      </c>
      <c r="N68" s="466"/>
      <c r="O68" s="467">
        <v>3</v>
      </c>
      <c r="P68" s="468">
        <v>0</v>
      </c>
      <c r="Q68" s="469">
        <v>5</v>
      </c>
      <c r="R68" s="470">
        <v>0</v>
      </c>
      <c r="S68" s="471">
        <v>0</v>
      </c>
      <c r="T68" s="472">
        <v>2</v>
      </c>
      <c r="U68" s="473">
        <v>0</v>
      </c>
      <c r="V68" s="464">
        <f>L68*H68</f>
        <v>100</v>
      </c>
      <c r="W68" s="474">
        <f>L68*K68</f>
        <v>2836.3157894736842</v>
      </c>
      <c r="X68" s="475">
        <v>6.6290601378934939</v>
      </c>
      <c r="Y68" s="507">
        <f>X68*L68</f>
        <v>66.290601378934937</v>
      </c>
      <c r="Z68"/>
      <c r="AA68"/>
      <c r="AB68"/>
      <c r="AC68"/>
    </row>
    <row r="69" spans="1:29" ht="13.5">
      <c r="A69" s="214"/>
      <c r="B69" s="709" t="s">
        <v>2919</v>
      </c>
      <c r="C69" s="644" t="s">
        <v>1080</v>
      </c>
      <c r="D69" s="644" t="s">
        <v>1147</v>
      </c>
      <c r="E69" s="644" t="s">
        <v>445</v>
      </c>
      <c r="F69" s="644" t="s">
        <v>455</v>
      </c>
      <c r="G69" s="644" t="s">
        <v>449</v>
      </c>
      <c r="H69" s="645">
        <v>5</v>
      </c>
      <c r="I69" s="645" t="s">
        <v>2917</v>
      </c>
      <c r="J69" s="752">
        <f>K69*(1-Bolts!$E$1157)</f>
        <v>121.28947368421052</v>
      </c>
      <c r="K69" s="752">
        <v>121.28947368421052</v>
      </c>
      <c r="L69" s="464">
        <f t="shared" ref="L69" si="16">SUM(M69:U69)</f>
        <v>0</v>
      </c>
      <c r="M69" s="465">
        <v>0</v>
      </c>
      <c r="N69" s="466"/>
      <c r="O69" s="467">
        <v>0</v>
      </c>
      <c r="P69" s="468">
        <v>0</v>
      </c>
      <c r="Q69" s="469">
        <v>0</v>
      </c>
      <c r="R69" s="470">
        <v>0</v>
      </c>
      <c r="S69" s="471">
        <v>0</v>
      </c>
      <c r="T69" s="472">
        <v>0</v>
      </c>
      <c r="U69" s="473">
        <v>0</v>
      </c>
      <c r="V69" s="464">
        <f>L69*H69</f>
        <v>0</v>
      </c>
      <c r="W69" s="474">
        <f>L69*K69</f>
        <v>0</v>
      </c>
      <c r="X69" s="475">
        <v>1.6494148598385192</v>
      </c>
      <c r="Y69" s="507">
        <f t="shared" ref="Y69" si="17">X69*L69</f>
        <v>0</v>
      </c>
      <c r="Z69"/>
      <c r="AA69"/>
      <c r="AB69"/>
      <c r="AC69"/>
    </row>
    <row r="70" spans="1:29" ht="13.5">
      <c r="A70" s="48"/>
      <c r="B70" s="707"/>
      <c r="C70" s="461"/>
      <c r="D70" s="461"/>
      <c r="E70" s="461"/>
      <c r="F70" s="461"/>
      <c r="G70" s="461"/>
      <c r="H70" s="462"/>
      <c r="I70" s="462"/>
      <c r="J70" s="752"/>
      <c r="K70" s="752">
        <v>0</v>
      </c>
      <c r="L70" s="464"/>
      <c r="M70" s="465">
        <v>0</v>
      </c>
      <c r="N70" s="466"/>
      <c r="O70" s="467">
        <v>0</v>
      </c>
      <c r="P70" s="468">
        <v>0</v>
      </c>
      <c r="Q70" s="469">
        <v>0</v>
      </c>
      <c r="R70" s="470">
        <v>0</v>
      </c>
      <c r="S70" s="471">
        <v>0</v>
      </c>
      <c r="T70" s="472">
        <v>0</v>
      </c>
      <c r="U70" s="473">
        <v>0</v>
      </c>
      <c r="V70" s="464"/>
      <c r="W70" s="474"/>
      <c r="X70" s="475">
        <v>0</v>
      </c>
      <c r="Y70" s="507"/>
      <c r="Z70"/>
      <c r="AA70"/>
      <c r="AB70"/>
      <c r="AC70"/>
    </row>
    <row r="71" spans="1:29" ht="13.5">
      <c r="A71" s="48"/>
      <c r="B71" s="707" t="s">
        <v>1335</v>
      </c>
      <c r="C71" s="461" t="s">
        <v>1080</v>
      </c>
      <c r="D71" s="461" t="s">
        <v>452</v>
      </c>
      <c r="E71" s="461" t="s">
        <v>445</v>
      </c>
      <c r="F71" s="461" t="s">
        <v>457</v>
      </c>
      <c r="G71" s="461" t="s">
        <v>449</v>
      </c>
      <c r="H71" s="462">
        <v>10</v>
      </c>
      <c r="I71" s="462" t="s">
        <v>1332</v>
      </c>
      <c r="J71" s="752">
        <f>K71*(1-Bolts!$E$1157)</f>
        <v>194.5526315789474</v>
      </c>
      <c r="K71" s="752">
        <v>194.5526315789474</v>
      </c>
      <c r="L71" s="464">
        <f>SUM(M71:U71)</f>
        <v>11</v>
      </c>
      <c r="M71" s="465">
        <v>0</v>
      </c>
      <c r="N71" s="466"/>
      <c r="O71" s="467">
        <v>5</v>
      </c>
      <c r="P71" s="468">
        <v>0</v>
      </c>
      <c r="Q71" s="469">
        <v>4</v>
      </c>
      <c r="R71" s="470">
        <v>0</v>
      </c>
      <c r="S71" s="471">
        <v>0</v>
      </c>
      <c r="T71" s="472">
        <v>2</v>
      </c>
      <c r="U71" s="473">
        <v>0</v>
      </c>
      <c r="V71" s="464">
        <f>L71*H71</f>
        <v>110</v>
      </c>
      <c r="W71" s="474">
        <f>L71*K71</f>
        <v>2140.0789473684213</v>
      </c>
      <c r="X71" s="475">
        <v>4.3470394357253017</v>
      </c>
      <c r="Y71" s="507">
        <f>X71*L71</f>
        <v>47.817433792978321</v>
      </c>
      <c r="Z71"/>
      <c r="AA71"/>
      <c r="AB71"/>
      <c r="AC71"/>
    </row>
    <row r="72" spans="1:29" ht="13.5">
      <c r="A72" s="214"/>
      <c r="B72" s="709" t="s">
        <v>2931</v>
      </c>
      <c r="C72" s="644" t="s">
        <v>1080</v>
      </c>
      <c r="D72" s="644" t="s">
        <v>452</v>
      </c>
      <c r="E72" s="644" t="s">
        <v>445</v>
      </c>
      <c r="F72" s="644" t="s">
        <v>461</v>
      </c>
      <c r="G72" s="644" t="s">
        <v>449</v>
      </c>
      <c r="H72" s="645">
        <v>5</v>
      </c>
      <c r="I72" s="645" t="s">
        <v>2922</v>
      </c>
      <c r="J72" s="752">
        <f>K72*(1-Bolts!$E$1157)</f>
        <v>105.02631578947367</v>
      </c>
      <c r="K72" s="752">
        <v>105.02631578947367</v>
      </c>
      <c r="L72" s="464">
        <f t="shared" ref="L72" si="18">SUM(M72:U72)</f>
        <v>0</v>
      </c>
      <c r="M72" s="465">
        <v>0</v>
      </c>
      <c r="N72" s="466"/>
      <c r="O72" s="467">
        <v>0</v>
      </c>
      <c r="P72" s="468">
        <v>0</v>
      </c>
      <c r="Q72" s="469">
        <v>0</v>
      </c>
      <c r="R72" s="470">
        <v>0</v>
      </c>
      <c r="S72" s="471">
        <v>0</v>
      </c>
      <c r="T72" s="472">
        <v>0</v>
      </c>
      <c r="U72" s="473">
        <v>0</v>
      </c>
      <c r="V72" s="464">
        <f>L72*H72</f>
        <v>0</v>
      </c>
      <c r="W72" s="474">
        <f>L72*K72</f>
        <v>0</v>
      </c>
      <c r="X72" s="475">
        <v>1.2800961625691734</v>
      </c>
      <c r="Y72" s="507">
        <f t="shared" ref="Y72" si="19">X72*L72</f>
        <v>0</v>
      </c>
      <c r="Z72"/>
      <c r="AA72"/>
      <c r="AB72"/>
      <c r="AC72"/>
    </row>
    <row r="73" spans="1:29" ht="13.5">
      <c r="A73" s="214"/>
      <c r="B73" s="709" t="s">
        <v>2933</v>
      </c>
      <c r="C73" s="644" t="s">
        <v>1080</v>
      </c>
      <c r="D73" s="644" t="s">
        <v>452</v>
      </c>
      <c r="E73" s="644" t="s">
        <v>445</v>
      </c>
      <c r="F73" s="644" t="s">
        <v>453</v>
      </c>
      <c r="G73" s="644" t="s">
        <v>452</v>
      </c>
      <c r="H73" s="645">
        <v>10</v>
      </c>
      <c r="I73" s="645" t="s">
        <v>2934</v>
      </c>
      <c r="J73" s="752">
        <f>K73*(1-Bolts!$E$1157)</f>
        <v>175.39473684210529</v>
      </c>
      <c r="K73" s="752">
        <v>175.39473684210529</v>
      </c>
      <c r="L73" s="464">
        <f t="shared" ref="L73" si="20">SUM(M73:U73)</f>
        <v>0</v>
      </c>
      <c r="M73" s="465">
        <v>0</v>
      </c>
      <c r="N73" s="466"/>
      <c r="O73" s="467">
        <v>0</v>
      </c>
      <c r="P73" s="468">
        <v>0</v>
      </c>
      <c r="Q73" s="469">
        <v>0</v>
      </c>
      <c r="R73" s="470">
        <v>0</v>
      </c>
      <c r="S73" s="471">
        <v>0</v>
      </c>
      <c r="T73" s="472">
        <v>0</v>
      </c>
      <c r="U73" s="473">
        <v>0</v>
      </c>
      <c r="V73" s="464">
        <f>L73*H73</f>
        <v>0</v>
      </c>
      <c r="W73" s="474">
        <f>L73*K73</f>
        <v>0</v>
      </c>
      <c r="X73" s="475">
        <v>1.7474825365145601</v>
      </c>
      <c r="Y73" s="507">
        <f t="shared" ref="Y73" si="21">X73*L73</f>
        <v>0</v>
      </c>
      <c r="Z73"/>
      <c r="AA73"/>
      <c r="AB73"/>
      <c r="AC73"/>
    </row>
    <row r="74" spans="1:29" ht="13.5">
      <c r="A74" s="214" t="s">
        <v>2612</v>
      </c>
      <c r="B74" s="711" t="s">
        <v>2936</v>
      </c>
      <c r="C74" s="644" t="s">
        <v>1080</v>
      </c>
      <c r="D74" s="644" t="s">
        <v>452</v>
      </c>
      <c r="E74" s="644" t="s">
        <v>445</v>
      </c>
      <c r="F74" s="644" t="s">
        <v>455</v>
      </c>
      <c r="G74" s="644" t="s">
        <v>452</v>
      </c>
      <c r="H74" s="645">
        <v>4</v>
      </c>
      <c r="I74" s="645" t="s">
        <v>2937</v>
      </c>
      <c r="J74" s="752">
        <f>K74*(1-Bolts!$E$1157)</f>
        <v>83.684210526315795</v>
      </c>
      <c r="K74" s="752">
        <v>83.684210526315795</v>
      </c>
      <c r="L74" s="464">
        <f t="shared" ref="L74" si="22">SUM(M74:U74)</f>
        <v>0</v>
      </c>
      <c r="M74" s="465">
        <v>0</v>
      </c>
      <c r="N74" s="466"/>
      <c r="O74" s="467">
        <v>0</v>
      </c>
      <c r="P74" s="468">
        <v>0</v>
      </c>
      <c r="Q74" s="469">
        <v>0</v>
      </c>
      <c r="R74" s="470">
        <v>0</v>
      </c>
      <c r="S74" s="471">
        <v>0</v>
      </c>
      <c r="T74" s="472">
        <v>0</v>
      </c>
      <c r="U74" s="473">
        <v>0</v>
      </c>
      <c r="V74" s="464">
        <f>L74*H74</f>
        <v>0</v>
      </c>
      <c r="W74" s="474">
        <f>L74*K74</f>
        <v>0</v>
      </c>
      <c r="X74" s="475">
        <v>1.0213644198494056</v>
      </c>
      <c r="Y74" s="507">
        <f t="shared" ref="Y74" si="23">X74*L74</f>
        <v>0</v>
      </c>
      <c r="Z74"/>
      <c r="AA74"/>
      <c r="AB74"/>
      <c r="AC74"/>
    </row>
    <row r="75" spans="1:29" ht="13.5">
      <c r="A75" s="48"/>
      <c r="B75" s="707"/>
      <c r="C75" s="461"/>
      <c r="D75" s="461"/>
      <c r="E75" s="461"/>
      <c r="F75" s="461"/>
      <c r="G75" s="461"/>
      <c r="H75" s="462"/>
      <c r="I75" s="462"/>
      <c r="J75" s="752"/>
      <c r="K75" s="752">
        <v>0</v>
      </c>
      <c r="L75" s="464"/>
      <c r="M75" s="465">
        <v>0</v>
      </c>
      <c r="N75" s="466"/>
      <c r="O75" s="467">
        <v>0</v>
      </c>
      <c r="P75" s="468">
        <v>0</v>
      </c>
      <c r="Q75" s="469">
        <v>0</v>
      </c>
      <c r="R75" s="470">
        <v>0</v>
      </c>
      <c r="S75" s="471">
        <v>0</v>
      </c>
      <c r="T75" s="472">
        <v>0</v>
      </c>
      <c r="U75" s="473">
        <v>0</v>
      </c>
      <c r="V75" s="464"/>
      <c r="W75" s="474"/>
      <c r="X75" s="475">
        <v>0</v>
      </c>
      <c r="Y75" s="507"/>
      <c r="Z75"/>
      <c r="AA75"/>
      <c r="AB75"/>
      <c r="AC75"/>
    </row>
    <row r="76" spans="1:29" ht="13.5">
      <c r="A76" s="214"/>
      <c r="B76" s="706" t="s">
        <v>2573</v>
      </c>
      <c r="C76" s="644" t="s">
        <v>1080</v>
      </c>
      <c r="D76" s="644" t="s">
        <v>1152</v>
      </c>
      <c r="E76" s="644" t="s">
        <v>445</v>
      </c>
      <c r="F76" s="644" t="s">
        <v>454</v>
      </c>
      <c r="G76" s="644" t="s">
        <v>452</v>
      </c>
      <c r="H76" s="645">
        <v>20</v>
      </c>
      <c r="I76" s="645" t="s">
        <v>2574</v>
      </c>
      <c r="J76" s="752">
        <f>K76*(1-Bolts!$E$1157)</f>
        <v>126.47368421052632</v>
      </c>
      <c r="K76" s="752">
        <v>126.47368421052632</v>
      </c>
      <c r="L76" s="464">
        <f>SUM(M76:U76)</f>
        <v>7</v>
      </c>
      <c r="M76" s="465">
        <v>0</v>
      </c>
      <c r="N76" s="466"/>
      <c r="O76" s="467">
        <v>1</v>
      </c>
      <c r="P76" s="468">
        <v>0</v>
      </c>
      <c r="Q76" s="469">
        <v>5</v>
      </c>
      <c r="R76" s="470">
        <v>0</v>
      </c>
      <c r="S76" s="471">
        <v>0</v>
      </c>
      <c r="T76" s="472">
        <v>1</v>
      </c>
      <c r="U76" s="473">
        <v>0</v>
      </c>
      <c r="V76" s="464">
        <f>L76*H76</f>
        <v>140</v>
      </c>
      <c r="W76" s="474">
        <f>L76*K76</f>
        <v>885.31578947368416</v>
      </c>
      <c r="X76" s="475">
        <v>2.0219999999999998</v>
      </c>
      <c r="Y76" s="507">
        <f>X76*L76</f>
        <v>14.153999999999998</v>
      </c>
      <c r="Z76"/>
      <c r="AA76"/>
      <c r="AB76"/>
      <c r="AC76"/>
    </row>
    <row r="77" spans="1:29" ht="13.5">
      <c r="A77" s="214"/>
      <c r="B77" s="706" t="s">
        <v>2818</v>
      </c>
      <c r="C77" s="644" t="s">
        <v>1080</v>
      </c>
      <c r="D77" s="644" t="s">
        <v>1152</v>
      </c>
      <c r="E77" s="644" t="s">
        <v>445</v>
      </c>
      <c r="F77" s="644" t="s">
        <v>454</v>
      </c>
      <c r="G77" s="644" t="s">
        <v>452</v>
      </c>
      <c r="H77" s="645">
        <v>10</v>
      </c>
      <c r="I77" s="645" t="s">
        <v>2819</v>
      </c>
      <c r="J77" s="752">
        <f>K77*(1-Bolts!$E$1157)</f>
        <v>66.973684210526315</v>
      </c>
      <c r="K77" s="752">
        <v>66.973684210526315</v>
      </c>
      <c r="L77" s="464">
        <f>SUM(M77:U77)</f>
        <v>0</v>
      </c>
      <c r="M77" s="465">
        <v>0</v>
      </c>
      <c r="N77" s="466"/>
      <c r="O77" s="467">
        <v>0</v>
      </c>
      <c r="P77" s="468">
        <v>0</v>
      </c>
      <c r="Q77" s="469">
        <v>0</v>
      </c>
      <c r="R77" s="470">
        <v>0</v>
      </c>
      <c r="S77" s="471">
        <v>0</v>
      </c>
      <c r="T77" s="472">
        <v>0</v>
      </c>
      <c r="U77" s="473">
        <v>0</v>
      </c>
      <c r="V77" s="464">
        <f>L77*H77</f>
        <v>0</v>
      </c>
      <c r="W77" s="474">
        <f>L77*K77</f>
        <v>0</v>
      </c>
      <c r="X77" s="475">
        <v>0.91399999999999992</v>
      </c>
      <c r="Y77" s="507">
        <f>X77*L77</f>
        <v>0</v>
      </c>
      <c r="Z77"/>
      <c r="AA77"/>
      <c r="AB77"/>
      <c r="AC77"/>
    </row>
    <row r="78" spans="1:29" ht="13.5">
      <c r="A78" s="214"/>
      <c r="B78" s="709" t="s">
        <v>2953</v>
      </c>
      <c r="C78" s="644" t="s">
        <v>1080</v>
      </c>
      <c r="D78" s="644" t="s">
        <v>1152</v>
      </c>
      <c r="E78" s="644" t="s">
        <v>445</v>
      </c>
      <c r="F78" s="644" t="s">
        <v>454</v>
      </c>
      <c r="G78" s="644" t="s">
        <v>449</v>
      </c>
      <c r="H78" s="645">
        <v>11</v>
      </c>
      <c r="I78" s="645" t="s">
        <v>2941</v>
      </c>
      <c r="J78" s="752">
        <f>K78*(1-Bolts!$E$1157)</f>
        <v>86.15789473684211</v>
      </c>
      <c r="K78" s="752">
        <v>86.15789473684211</v>
      </c>
      <c r="L78" s="464">
        <f t="shared" ref="L78:L79" si="24">SUM(M78:U78)</f>
        <v>0</v>
      </c>
      <c r="M78" s="465">
        <v>0</v>
      </c>
      <c r="N78" s="466"/>
      <c r="O78" s="467">
        <v>0</v>
      </c>
      <c r="P78" s="468">
        <v>0</v>
      </c>
      <c r="Q78" s="469">
        <v>0</v>
      </c>
      <c r="R78" s="470">
        <v>0</v>
      </c>
      <c r="S78" s="471">
        <v>0</v>
      </c>
      <c r="T78" s="472">
        <v>0</v>
      </c>
      <c r="U78" s="473">
        <v>0</v>
      </c>
      <c r="V78" s="464">
        <f>L78*H78</f>
        <v>0</v>
      </c>
      <c r="W78" s="474">
        <f>L78*K78</f>
        <v>0</v>
      </c>
      <c r="X78" s="475">
        <v>1.6149868456862921</v>
      </c>
      <c r="Y78" s="507">
        <f t="shared" ref="Y78:Y79" si="25">X78*L78</f>
        <v>0</v>
      </c>
      <c r="Z78"/>
      <c r="AA78"/>
      <c r="AB78"/>
      <c r="AC78"/>
    </row>
    <row r="79" spans="1:29" ht="13.5">
      <c r="A79" s="214" t="s">
        <v>2612</v>
      </c>
      <c r="B79" s="747" t="s">
        <v>3117</v>
      </c>
      <c r="C79" s="742" t="s">
        <v>1080</v>
      </c>
      <c r="D79" s="742" t="s">
        <v>1152</v>
      </c>
      <c r="E79" s="742" t="s">
        <v>445</v>
      </c>
      <c r="F79" s="742" t="s">
        <v>454</v>
      </c>
      <c r="G79" s="742" t="s">
        <v>449</v>
      </c>
      <c r="H79" s="743">
        <v>10</v>
      </c>
      <c r="I79" s="743" t="s">
        <v>3116</v>
      </c>
      <c r="J79" s="752">
        <f>K79*(1-Bolts!$E$1157)</f>
        <v>57.128205128205131</v>
      </c>
      <c r="K79" s="752">
        <v>57.128205128205131</v>
      </c>
      <c r="L79" s="464">
        <f t="shared" si="24"/>
        <v>0</v>
      </c>
      <c r="M79" s="465">
        <v>0</v>
      </c>
      <c r="N79" s="466"/>
      <c r="O79" s="467">
        <v>0</v>
      </c>
      <c r="P79" s="468">
        <v>0</v>
      </c>
      <c r="Q79" s="469">
        <v>0</v>
      </c>
      <c r="R79" s="470">
        <v>0</v>
      </c>
      <c r="S79" s="471">
        <v>0</v>
      </c>
      <c r="T79" s="472">
        <v>0</v>
      </c>
      <c r="U79" s="473">
        <v>0</v>
      </c>
      <c r="V79" s="464">
        <f>L79*H79</f>
        <v>0</v>
      </c>
      <c r="W79" s="474">
        <f>L79*K79</f>
        <v>0</v>
      </c>
      <c r="X79" s="475">
        <v>0.90347455320693082</v>
      </c>
      <c r="Y79" s="507">
        <f t="shared" si="25"/>
        <v>0</v>
      </c>
      <c r="Z79"/>
      <c r="AA79"/>
      <c r="AB79"/>
      <c r="AC79"/>
    </row>
    <row r="80" spans="1:29" ht="13.5">
      <c r="A80" s="214" t="s">
        <v>2612</v>
      </c>
      <c r="B80" s="747" t="s">
        <v>3118</v>
      </c>
      <c r="C80" s="742" t="s">
        <v>1080</v>
      </c>
      <c r="D80" s="742" t="s">
        <v>1152</v>
      </c>
      <c r="E80" s="742" t="s">
        <v>445</v>
      </c>
      <c r="F80" s="742" t="s">
        <v>454</v>
      </c>
      <c r="G80" s="742" t="s">
        <v>452</v>
      </c>
      <c r="H80" s="743">
        <v>10</v>
      </c>
      <c r="I80" s="743" t="s">
        <v>3119</v>
      </c>
      <c r="J80" s="752">
        <f>K80*(1-Bolts!$E$1157)</f>
        <v>51.36752136752137</v>
      </c>
      <c r="K80" s="752">
        <v>51.36752136752137</v>
      </c>
      <c r="L80" s="464">
        <f t="shared" ref="L80" si="26">SUM(M80:U80)</f>
        <v>0</v>
      </c>
      <c r="M80" s="465">
        <v>0</v>
      </c>
      <c r="N80" s="466"/>
      <c r="O80" s="467">
        <v>0</v>
      </c>
      <c r="P80" s="468">
        <v>0</v>
      </c>
      <c r="Q80" s="469">
        <v>0</v>
      </c>
      <c r="R80" s="470">
        <v>0</v>
      </c>
      <c r="S80" s="471">
        <v>0</v>
      </c>
      <c r="T80" s="472">
        <v>0</v>
      </c>
      <c r="U80" s="473">
        <v>0</v>
      </c>
      <c r="V80" s="464">
        <f>L80*H80</f>
        <v>0</v>
      </c>
      <c r="W80" s="474">
        <f>L80*K80</f>
        <v>0</v>
      </c>
      <c r="X80" s="475">
        <v>0.60301188424203922</v>
      </c>
      <c r="Y80" s="507">
        <f t="shared" ref="Y80" si="27">X80*L80</f>
        <v>0</v>
      </c>
      <c r="Z80"/>
      <c r="AA80"/>
      <c r="AB80"/>
      <c r="AC80"/>
    </row>
    <row r="81" spans="1:29" ht="13.5">
      <c r="A81" s="48"/>
      <c r="B81" s="707"/>
      <c r="C81" s="461"/>
      <c r="D81" s="461"/>
      <c r="E81" s="461"/>
      <c r="F81" s="461"/>
      <c r="G81" s="461"/>
      <c r="H81" s="462"/>
      <c r="I81" s="462"/>
      <c r="J81" s="752"/>
      <c r="K81" s="752">
        <v>0</v>
      </c>
      <c r="L81" s="464"/>
      <c r="M81" s="465">
        <v>0</v>
      </c>
      <c r="N81" s="466"/>
      <c r="O81" s="467">
        <v>0</v>
      </c>
      <c r="P81" s="468">
        <v>0</v>
      </c>
      <c r="Q81" s="469">
        <v>0</v>
      </c>
      <c r="R81" s="470">
        <v>0</v>
      </c>
      <c r="S81" s="471">
        <v>0</v>
      </c>
      <c r="T81" s="472">
        <v>0</v>
      </c>
      <c r="U81" s="473">
        <v>0</v>
      </c>
      <c r="V81" s="464"/>
      <c r="W81" s="474"/>
      <c r="X81" s="475">
        <v>0</v>
      </c>
      <c r="Y81" s="507"/>
      <c r="Z81"/>
      <c r="AA81"/>
      <c r="AB81"/>
      <c r="AC81"/>
    </row>
    <row r="82" spans="1:29" ht="13.5">
      <c r="A82" s="214" t="s">
        <v>2612</v>
      </c>
      <c r="B82" s="711" t="s">
        <v>2913</v>
      </c>
      <c r="C82" s="644" t="s">
        <v>1080</v>
      </c>
      <c r="D82" s="644" t="s">
        <v>456</v>
      </c>
      <c r="E82" s="644" t="s">
        <v>445</v>
      </c>
      <c r="F82" s="644" t="s">
        <v>456</v>
      </c>
      <c r="G82" s="644" t="s">
        <v>451</v>
      </c>
      <c r="H82" s="645">
        <v>5</v>
      </c>
      <c r="I82" s="645" t="s">
        <v>2903</v>
      </c>
      <c r="J82" s="752">
        <f>K82*(1-Bolts!$E$1157)</f>
        <v>49.684210526315788</v>
      </c>
      <c r="K82" s="752">
        <v>49.684210526315788</v>
      </c>
      <c r="L82" s="464">
        <f t="shared" ref="L82" si="28">SUM(M82:U82)</f>
        <v>0</v>
      </c>
      <c r="M82" s="465">
        <v>0</v>
      </c>
      <c r="N82" s="466"/>
      <c r="O82" s="467">
        <v>0</v>
      </c>
      <c r="P82" s="468">
        <v>0</v>
      </c>
      <c r="Q82" s="469">
        <v>0</v>
      </c>
      <c r="R82" s="470">
        <v>0</v>
      </c>
      <c r="S82" s="471">
        <v>0</v>
      </c>
      <c r="T82" s="472">
        <v>0</v>
      </c>
      <c r="U82" s="473">
        <v>0</v>
      </c>
      <c r="V82" s="464">
        <f>L82*H82</f>
        <v>0</v>
      </c>
      <c r="W82" s="474">
        <f>L82*K82</f>
        <v>0</v>
      </c>
      <c r="X82" s="475">
        <v>1.048489521908736</v>
      </c>
      <c r="Y82" s="507">
        <f t="shared" ref="Y82" si="29">X82*L82</f>
        <v>0</v>
      </c>
      <c r="Z82"/>
      <c r="AA82"/>
      <c r="AB82"/>
      <c r="AC82"/>
    </row>
    <row r="83" spans="1:29" ht="13.5">
      <c r="A83" s="214" t="s">
        <v>2612</v>
      </c>
      <c r="B83" s="711" t="s">
        <v>2914</v>
      </c>
      <c r="C83" s="644" t="s">
        <v>1080</v>
      </c>
      <c r="D83" s="644" t="s">
        <v>456</v>
      </c>
      <c r="E83" s="644" t="s">
        <v>445</v>
      </c>
      <c r="F83" s="644" t="s">
        <v>456</v>
      </c>
      <c r="G83" s="644" t="s">
        <v>451</v>
      </c>
      <c r="H83" s="645">
        <v>12</v>
      </c>
      <c r="I83" s="645" t="s">
        <v>2907</v>
      </c>
      <c r="J83" s="752">
        <f>K83*(1-Bolts!$E$1157)</f>
        <v>73.526315789473685</v>
      </c>
      <c r="K83" s="752">
        <v>73.526315789473685</v>
      </c>
      <c r="L83" s="464">
        <f t="shared" ref="L83:L85" si="30">SUM(M83:U83)</f>
        <v>0</v>
      </c>
      <c r="M83" s="465">
        <v>0</v>
      </c>
      <c r="N83" s="466"/>
      <c r="O83" s="467">
        <v>0</v>
      </c>
      <c r="P83" s="468">
        <v>0</v>
      </c>
      <c r="Q83" s="469">
        <v>0</v>
      </c>
      <c r="R83" s="470">
        <v>0</v>
      </c>
      <c r="S83" s="471">
        <v>0</v>
      </c>
      <c r="T83" s="472">
        <v>0</v>
      </c>
      <c r="U83" s="473">
        <v>0</v>
      </c>
      <c r="V83" s="464">
        <f>L83*H83</f>
        <v>0</v>
      </c>
      <c r="W83" s="474">
        <f>L83*K83</f>
        <v>0</v>
      </c>
      <c r="X83" s="475">
        <v>1.2634037920711239</v>
      </c>
      <c r="Y83" s="507">
        <f t="shared" ref="Y83:Y85" si="31">X83*L83</f>
        <v>0</v>
      </c>
      <c r="Z83"/>
      <c r="AA83"/>
      <c r="AB83"/>
      <c r="AC83"/>
    </row>
    <row r="84" spans="1:29" ht="13.5">
      <c r="A84" s="214" t="s">
        <v>2612</v>
      </c>
      <c r="B84" s="711" t="s">
        <v>2915</v>
      </c>
      <c r="C84" s="644" t="s">
        <v>1080</v>
      </c>
      <c r="D84" s="644" t="s">
        <v>456</v>
      </c>
      <c r="E84" s="644" t="s">
        <v>445</v>
      </c>
      <c r="F84" s="644" t="s">
        <v>456</v>
      </c>
      <c r="G84" s="644" t="s">
        <v>451</v>
      </c>
      <c r="H84" s="645">
        <v>11</v>
      </c>
      <c r="I84" s="645" t="s">
        <v>2909</v>
      </c>
      <c r="J84" s="752">
        <f>K84*(1-Bolts!$E$1157)</f>
        <v>58.394736842105267</v>
      </c>
      <c r="K84" s="752">
        <v>58.394736842105267</v>
      </c>
      <c r="L84" s="464">
        <f t="shared" si="30"/>
        <v>0</v>
      </c>
      <c r="M84" s="465">
        <v>0</v>
      </c>
      <c r="N84" s="466"/>
      <c r="O84" s="467">
        <v>0</v>
      </c>
      <c r="P84" s="468">
        <v>0</v>
      </c>
      <c r="Q84" s="469">
        <v>0</v>
      </c>
      <c r="R84" s="470">
        <v>0</v>
      </c>
      <c r="S84" s="471">
        <v>0</v>
      </c>
      <c r="T84" s="472">
        <v>0</v>
      </c>
      <c r="U84" s="473">
        <v>0</v>
      </c>
      <c r="V84" s="464">
        <f>L84*H84</f>
        <v>0</v>
      </c>
      <c r="W84" s="474">
        <f>L84*K84</f>
        <v>0</v>
      </c>
      <c r="X84" s="475">
        <v>0.90243128005080275</v>
      </c>
      <c r="Y84" s="507">
        <f t="shared" si="31"/>
        <v>0</v>
      </c>
      <c r="Z84"/>
      <c r="AA84"/>
      <c r="AB84"/>
      <c r="AC84"/>
    </row>
    <row r="85" spans="1:29" ht="13.5">
      <c r="A85" s="214" t="s">
        <v>2612</v>
      </c>
      <c r="B85" s="711" t="s">
        <v>2916</v>
      </c>
      <c r="C85" s="644" t="s">
        <v>1080</v>
      </c>
      <c r="D85" s="644" t="s">
        <v>456</v>
      </c>
      <c r="E85" s="644" t="s">
        <v>445</v>
      </c>
      <c r="F85" s="644" t="s">
        <v>456</v>
      </c>
      <c r="G85" s="644" t="s">
        <v>451</v>
      </c>
      <c r="H85" s="645">
        <v>6</v>
      </c>
      <c r="I85" s="645" t="s">
        <v>2911</v>
      </c>
      <c r="J85" s="752">
        <f>K85*(1-Bolts!$E$1157)</f>
        <v>19.368421052631579</v>
      </c>
      <c r="K85" s="752">
        <v>19.368421052631579</v>
      </c>
      <c r="L85" s="464">
        <f t="shared" si="30"/>
        <v>0</v>
      </c>
      <c r="M85" s="465">
        <v>0</v>
      </c>
      <c r="N85" s="466"/>
      <c r="O85" s="467">
        <v>0</v>
      </c>
      <c r="P85" s="468">
        <v>0</v>
      </c>
      <c r="Q85" s="469">
        <v>0</v>
      </c>
      <c r="R85" s="470">
        <v>0</v>
      </c>
      <c r="S85" s="471">
        <v>0</v>
      </c>
      <c r="T85" s="472">
        <v>0</v>
      </c>
      <c r="U85" s="473">
        <v>0</v>
      </c>
      <c r="V85" s="464">
        <f>L85*H85</f>
        <v>0</v>
      </c>
      <c r="W85" s="474">
        <f>L85*K85</f>
        <v>0</v>
      </c>
      <c r="X85" s="475">
        <v>0.16170733919985483</v>
      </c>
      <c r="Y85" s="507">
        <f t="shared" si="31"/>
        <v>0</v>
      </c>
      <c r="Z85"/>
      <c r="AA85"/>
      <c r="AB85"/>
      <c r="AC85"/>
    </row>
    <row r="86" spans="1:29" ht="13.5">
      <c r="A86" s="610" t="s">
        <v>2037</v>
      </c>
      <c r="B86" s="714"/>
      <c r="C86" s="491">
        <f>B86</f>
        <v>0</v>
      </c>
      <c r="D86" s="491"/>
      <c r="E86" s="491" t="s">
        <v>445</v>
      </c>
      <c r="F86" s="491"/>
      <c r="G86" s="491"/>
      <c r="H86" s="491"/>
      <c r="I86" s="491"/>
      <c r="J86" s="754"/>
      <c r="K86" s="752">
        <v>0</v>
      </c>
      <c r="L86" s="493"/>
      <c r="M86" s="465">
        <v>0</v>
      </c>
      <c r="N86" s="466"/>
      <c r="O86" s="467">
        <v>0</v>
      </c>
      <c r="P86" s="468">
        <v>0</v>
      </c>
      <c r="Q86" s="469">
        <v>0</v>
      </c>
      <c r="R86" s="470">
        <v>0</v>
      </c>
      <c r="S86" s="471">
        <v>0</v>
      </c>
      <c r="T86" s="472">
        <v>0</v>
      </c>
      <c r="U86" s="473">
        <v>0</v>
      </c>
      <c r="V86" s="493"/>
      <c r="W86" s="493"/>
      <c r="X86" s="493">
        <v>0</v>
      </c>
      <c r="Y86" s="509"/>
      <c r="Z86"/>
      <c r="AA86"/>
      <c r="AB86"/>
      <c r="AC86"/>
    </row>
    <row r="87" spans="1:29" ht="13.5">
      <c r="A87" s="48"/>
      <c r="B87" s="707" t="s">
        <v>1392</v>
      </c>
      <c r="C87" s="461" t="s">
        <v>1080</v>
      </c>
      <c r="D87" s="461" t="s">
        <v>1151</v>
      </c>
      <c r="E87" s="461" t="s">
        <v>445</v>
      </c>
      <c r="F87" s="461" t="s">
        <v>450</v>
      </c>
      <c r="G87" s="461" t="s">
        <v>451</v>
      </c>
      <c r="H87" s="462">
        <v>3</v>
      </c>
      <c r="I87" s="462" t="s">
        <v>1391</v>
      </c>
      <c r="J87" s="752">
        <f>K87*(1-Bolts!$E$1157)</f>
        <v>154.9736842105263</v>
      </c>
      <c r="K87" s="752">
        <v>154.9736842105263</v>
      </c>
      <c r="L87" s="464">
        <f t="shared" ref="L87:L103" si="32">SUM(M87:U87)</f>
        <v>13</v>
      </c>
      <c r="M87" s="465">
        <v>0</v>
      </c>
      <c r="N87" s="466"/>
      <c r="O87" s="467">
        <v>4</v>
      </c>
      <c r="P87" s="468">
        <v>0</v>
      </c>
      <c r="Q87" s="469">
        <v>5</v>
      </c>
      <c r="R87" s="470">
        <v>0</v>
      </c>
      <c r="S87" s="471">
        <v>0</v>
      </c>
      <c r="T87" s="472">
        <v>4</v>
      </c>
      <c r="U87" s="473">
        <v>0</v>
      </c>
      <c r="V87" s="464">
        <f>L87*H87</f>
        <v>39</v>
      </c>
      <c r="W87" s="474">
        <f>L87*K87</f>
        <v>2014.6578947368419</v>
      </c>
      <c r="X87" s="475">
        <v>2.740024857116937</v>
      </c>
      <c r="Y87" s="507">
        <f t="shared" ref="Y87:Y103" si="33">X87*L87</f>
        <v>35.620323142520178</v>
      </c>
      <c r="Z87"/>
      <c r="AA87"/>
      <c r="AB87"/>
      <c r="AC87"/>
    </row>
    <row r="88" spans="1:29" ht="13.5">
      <c r="A88" s="48"/>
      <c r="B88" s="707" t="s">
        <v>1394</v>
      </c>
      <c r="C88" s="461" t="s">
        <v>1080</v>
      </c>
      <c r="D88" s="461" t="s">
        <v>1151</v>
      </c>
      <c r="E88" s="461" t="s">
        <v>445</v>
      </c>
      <c r="F88" s="461" t="s">
        <v>450</v>
      </c>
      <c r="G88" s="461" t="s">
        <v>451</v>
      </c>
      <c r="H88" s="462">
        <v>3</v>
      </c>
      <c r="I88" s="462" t="s">
        <v>1393</v>
      </c>
      <c r="J88" s="752">
        <f>K88*(1-Bolts!$E$1157)</f>
        <v>183.84210526315789</v>
      </c>
      <c r="K88" s="752">
        <v>183.84210526315789</v>
      </c>
      <c r="L88" s="464">
        <f t="shared" si="32"/>
        <v>14</v>
      </c>
      <c r="M88" s="465">
        <v>0</v>
      </c>
      <c r="N88" s="466"/>
      <c r="O88" s="467">
        <v>4</v>
      </c>
      <c r="P88" s="468">
        <v>0</v>
      </c>
      <c r="Q88" s="469">
        <v>5</v>
      </c>
      <c r="R88" s="470">
        <v>1</v>
      </c>
      <c r="S88" s="471">
        <v>0</v>
      </c>
      <c r="T88" s="472">
        <v>4</v>
      </c>
      <c r="U88" s="473">
        <v>0</v>
      </c>
      <c r="V88" s="464">
        <f>L88*H88</f>
        <v>42</v>
      </c>
      <c r="W88" s="474">
        <f>L88*K88</f>
        <v>2573.7894736842104</v>
      </c>
      <c r="X88" s="475">
        <v>3.3700305724394441</v>
      </c>
      <c r="Y88" s="507">
        <f t="shared" si="33"/>
        <v>47.18042801415222</v>
      </c>
      <c r="Z88"/>
      <c r="AA88"/>
      <c r="AB88"/>
      <c r="AC88"/>
    </row>
    <row r="89" spans="1:29" ht="13.5">
      <c r="A89" s="48"/>
      <c r="B89" s="707"/>
      <c r="C89" s="461"/>
      <c r="D89" s="461"/>
      <c r="E89" s="461"/>
      <c r="F89" s="461"/>
      <c r="G89" s="461"/>
      <c r="H89" s="462"/>
      <c r="I89" s="462"/>
      <c r="J89" s="752"/>
      <c r="K89" s="752">
        <v>0</v>
      </c>
      <c r="L89" s="464"/>
      <c r="M89" s="465">
        <v>0</v>
      </c>
      <c r="N89" s="466"/>
      <c r="O89" s="467">
        <v>0</v>
      </c>
      <c r="P89" s="468">
        <v>0</v>
      </c>
      <c r="Q89" s="469">
        <v>0</v>
      </c>
      <c r="R89" s="470">
        <v>0</v>
      </c>
      <c r="S89" s="471">
        <v>0</v>
      </c>
      <c r="T89" s="472">
        <v>0</v>
      </c>
      <c r="U89" s="473">
        <v>0</v>
      </c>
      <c r="V89" s="464"/>
      <c r="W89" s="474"/>
      <c r="X89" s="475">
        <v>0</v>
      </c>
      <c r="Y89" s="507"/>
      <c r="Z89"/>
      <c r="AA89"/>
      <c r="AB89"/>
      <c r="AC89"/>
    </row>
    <row r="90" spans="1:29" ht="13.5">
      <c r="A90" s="48"/>
      <c r="B90" s="707" t="s">
        <v>1396</v>
      </c>
      <c r="C90" s="461" t="s">
        <v>1080</v>
      </c>
      <c r="D90" s="461" t="s">
        <v>1147</v>
      </c>
      <c r="E90" s="461" t="s">
        <v>445</v>
      </c>
      <c r="F90" s="461" t="s">
        <v>450</v>
      </c>
      <c r="G90" s="461" t="s">
        <v>451</v>
      </c>
      <c r="H90" s="462">
        <v>5</v>
      </c>
      <c r="I90" s="462" t="s">
        <v>1395</v>
      </c>
      <c r="J90" s="752">
        <f>K90*(1-Bolts!$E$1157)</f>
        <v>144.18421052631578</v>
      </c>
      <c r="K90" s="752">
        <v>144.18421052631578</v>
      </c>
      <c r="L90" s="464">
        <f t="shared" si="32"/>
        <v>13</v>
      </c>
      <c r="M90" s="465">
        <v>0</v>
      </c>
      <c r="N90" s="466"/>
      <c r="O90" s="467">
        <v>4</v>
      </c>
      <c r="P90" s="468">
        <v>0</v>
      </c>
      <c r="Q90" s="469">
        <v>5</v>
      </c>
      <c r="R90" s="470">
        <v>0</v>
      </c>
      <c r="S90" s="471">
        <v>0</v>
      </c>
      <c r="T90" s="472">
        <v>4</v>
      </c>
      <c r="U90" s="473">
        <v>0</v>
      </c>
      <c r="V90" s="464">
        <f>L90*H90</f>
        <v>65</v>
      </c>
      <c r="W90" s="474">
        <f>L90*K90</f>
        <v>1874.3947368421052</v>
      </c>
      <c r="X90" s="475">
        <v>2.0630187154132269</v>
      </c>
      <c r="Y90" s="507">
        <f t="shared" si="33"/>
        <v>26.819243300371951</v>
      </c>
      <c r="Z90"/>
      <c r="AA90"/>
      <c r="AB90"/>
      <c r="AC90"/>
    </row>
    <row r="91" spans="1:29" ht="13.5">
      <c r="A91" s="48"/>
      <c r="B91" s="707" t="s">
        <v>1398</v>
      </c>
      <c r="C91" s="461" t="s">
        <v>1080</v>
      </c>
      <c r="D91" s="461" t="s">
        <v>1147</v>
      </c>
      <c r="E91" s="461" t="s">
        <v>445</v>
      </c>
      <c r="F91" s="461" t="s">
        <v>450</v>
      </c>
      <c r="G91" s="461" t="s">
        <v>452</v>
      </c>
      <c r="H91" s="462">
        <v>5</v>
      </c>
      <c r="I91" s="462" t="s">
        <v>1397</v>
      </c>
      <c r="J91" s="752">
        <f>K91*(1-Bolts!$E$1157)</f>
        <v>162.26315789473682</v>
      </c>
      <c r="K91" s="752">
        <v>162.26315789473682</v>
      </c>
      <c r="L91" s="464">
        <f t="shared" si="32"/>
        <v>11</v>
      </c>
      <c r="M91" s="465">
        <v>0</v>
      </c>
      <c r="N91" s="466"/>
      <c r="O91" s="467">
        <v>3</v>
      </c>
      <c r="P91" s="468">
        <v>0</v>
      </c>
      <c r="Q91" s="469">
        <v>5</v>
      </c>
      <c r="R91" s="470">
        <v>0</v>
      </c>
      <c r="S91" s="471">
        <v>0</v>
      </c>
      <c r="T91" s="472">
        <v>3</v>
      </c>
      <c r="U91" s="473">
        <v>0</v>
      </c>
      <c r="V91" s="464">
        <f>L91*H91</f>
        <v>55</v>
      </c>
      <c r="W91" s="474">
        <f>L91*K91</f>
        <v>1784.894736842105</v>
      </c>
      <c r="X91" s="475">
        <v>2.4570222897577789</v>
      </c>
      <c r="Y91" s="507">
        <f t="shared" si="33"/>
        <v>27.027245187335566</v>
      </c>
      <c r="Z91"/>
      <c r="AA91"/>
      <c r="AB91"/>
      <c r="AC91"/>
    </row>
    <row r="92" spans="1:29" ht="13.5">
      <c r="A92" s="48"/>
      <c r="B92" s="707" t="s">
        <v>1400</v>
      </c>
      <c r="C92" s="461" t="s">
        <v>1080</v>
      </c>
      <c r="D92" s="461" t="s">
        <v>1147</v>
      </c>
      <c r="E92" s="461" t="s">
        <v>445</v>
      </c>
      <c r="F92" s="461" t="s">
        <v>450</v>
      </c>
      <c r="G92" s="461" t="s">
        <v>451</v>
      </c>
      <c r="H92" s="462">
        <v>3</v>
      </c>
      <c r="I92" s="462" t="s">
        <v>1399</v>
      </c>
      <c r="J92" s="752">
        <f>K92*(1-Bolts!$E$1157)</f>
        <v>125.42105263157893</v>
      </c>
      <c r="K92" s="752">
        <v>125.42105263157893</v>
      </c>
      <c r="L92" s="464">
        <f t="shared" si="32"/>
        <v>13</v>
      </c>
      <c r="M92" s="465">
        <v>0</v>
      </c>
      <c r="N92" s="466"/>
      <c r="O92" s="467">
        <v>4</v>
      </c>
      <c r="P92" s="468">
        <v>0</v>
      </c>
      <c r="Q92" s="469">
        <v>5</v>
      </c>
      <c r="R92" s="470">
        <v>0</v>
      </c>
      <c r="S92" s="471">
        <v>0</v>
      </c>
      <c r="T92" s="472">
        <v>4</v>
      </c>
      <c r="U92" s="473">
        <v>0</v>
      </c>
      <c r="V92" s="464">
        <f>L92*H92</f>
        <v>39</v>
      </c>
      <c r="W92" s="474">
        <f>L92*K92</f>
        <v>1630.473684210526</v>
      </c>
      <c r="X92" s="475">
        <v>2.0960190147872626</v>
      </c>
      <c r="Y92" s="507">
        <f t="shared" si="33"/>
        <v>27.248247192234412</v>
      </c>
      <c r="Z92"/>
      <c r="AA92"/>
      <c r="AB92"/>
      <c r="AC92"/>
    </row>
    <row r="93" spans="1:29" ht="13.5">
      <c r="A93" s="48"/>
      <c r="B93" s="707" t="s">
        <v>1402</v>
      </c>
      <c r="C93" s="461" t="s">
        <v>1080</v>
      </c>
      <c r="D93" s="461" t="s">
        <v>1147</v>
      </c>
      <c r="E93" s="461" t="s">
        <v>445</v>
      </c>
      <c r="F93" s="461" t="s">
        <v>458</v>
      </c>
      <c r="G93" s="461" t="s">
        <v>451</v>
      </c>
      <c r="H93" s="462">
        <v>5</v>
      </c>
      <c r="I93" s="462" t="s">
        <v>1401</v>
      </c>
      <c r="J93" s="752">
        <f>K93*(1-Bolts!$E$1157)</f>
        <v>158.26315789473685</v>
      </c>
      <c r="K93" s="752">
        <v>158.26315789473685</v>
      </c>
      <c r="L93" s="464">
        <f t="shared" si="32"/>
        <v>13</v>
      </c>
      <c r="M93" s="465">
        <v>0</v>
      </c>
      <c r="N93" s="466"/>
      <c r="O93" s="467">
        <v>4</v>
      </c>
      <c r="P93" s="468">
        <v>0</v>
      </c>
      <c r="Q93" s="469">
        <v>5</v>
      </c>
      <c r="R93" s="470">
        <v>0</v>
      </c>
      <c r="S93" s="471">
        <v>0</v>
      </c>
      <c r="T93" s="472">
        <v>4</v>
      </c>
      <c r="U93" s="473">
        <v>0</v>
      </c>
      <c r="V93" s="464">
        <f>L93*H93</f>
        <v>65</v>
      </c>
      <c r="W93" s="474">
        <f>L93*K93</f>
        <v>2057.4210526315792</v>
      </c>
      <c r="X93" s="475">
        <v>2.369021491427016</v>
      </c>
      <c r="Y93" s="507">
        <f t="shared" si="33"/>
        <v>30.797279388551207</v>
      </c>
      <c r="Z93"/>
      <c r="AA93"/>
      <c r="AB93"/>
      <c r="AC93"/>
    </row>
    <row r="94" spans="1:29" ht="13.5">
      <c r="A94" s="48"/>
      <c r="B94" s="707"/>
      <c r="C94" s="461"/>
      <c r="D94" s="461"/>
      <c r="E94" s="461"/>
      <c r="F94" s="461"/>
      <c r="G94" s="461"/>
      <c r="H94" s="462"/>
      <c r="I94" s="462"/>
      <c r="J94" s="752"/>
      <c r="K94" s="752">
        <v>0</v>
      </c>
      <c r="L94" s="464"/>
      <c r="M94" s="465">
        <v>0</v>
      </c>
      <c r="N94" s="466"/>
      <c r="O94" s="467">
        <v>0</v>
      </c>
      <c r="P94" s="468">
        <v>0</v>
      </c>
      <c r="Q94" s="469">
        <v>0</v>
      </c>
      <c r="R94" s="470">
        <v>0</v>
      </c>
      <c r="S94" s="471">
        <v>0</v>
      </c>
      <c r="T94" s="472">
        <v>0</v>
      </c>
      <c r="U94" s="473">
        <v>0</v>
      </c>
      <c r="V94" s="464"/>
      <c r="W94" s="474"/>
      <c r="X94" s="475">
        <v>0</v>
      </c>
      <c r="Y94" s="507"/>
      <c r="Z94"/>
      <c r="AA94"/>
      <c r="AB94"/>
      <c r="AC94"/>
    </row>
    <row r="95" spans="1:29" ht="13.5">
      <c r="A95" s="48"/>
      <c r="B95" s="707" t="s">
        <v>1325</v>
      </c>
      <c r="C95" s="461" t="s">
        <v>1080</v>
      </c>
      <c r="D95" s="461" t="s">
        <v>452</v>
      </c>
      <c r="E95" s="461" t="s">
        <v>445</v>
      </c>
      <c r="F95" s="461" t="s">
        <v>450</v>
      </c>
      <c r="G95" s="461" t="s">
        <v>451</v>
      </c>
      <c r="H95" s="462">
        <v>3</v>
      </c>
      <c r="I95" s="462" t="s">
        <v>1403</v>
      </c>
      <c r="J95" s="752">
        <f>K95*(1-Bolts!$E$1157)</f>
        <v>91.631578947368411</v>
      </c>
      <c r="K95" s="752">
        <v>91.631578947368411</v>
      </c>
      <c r="L95" s="464">
        <f t="shared" si="32"/>
        <v>13</v>
      </c>
      <c r="M95" s="465">
        <v>0</v>
      </c>
      <c r="N95" s="466"/>
      <c r="O95" s="467">
        <v>4</v>
      </c>
      <c r="P95" s="468">
        <v>0</v>
      </c>
      <c r="Q95" s="469">
        <v>5</v>
      </c>
      <c r="R95" s="470">
        <v>0</v>
      </c>
      <c r="S95" s="471">
        <v>0</v>
      </c>
      <c r="T95" s="472">
        <v>4</v>
      </c>
      <c r="U95" s="473">
        <v>0</v>
      </c>
      <c r="V95" s="464">
        <f>L95*H95</f>
        <v>39</v>
      </c>
      <c r="W95" s="474">
        <f>L95*K95</f>
        <v>1191.2105263157894</v>
      </c>
      <c r="X95" s="475">
        <v>1.3590123287671232</v>
      </c>
      <c r="Y95" s="507">
        <f t="shared" si="33"/>
        <v>17.667160273972602</v>
      </c>
      <c r="Z95"/>
      <c r="AA95"/>
      <c r="AB95"/>
      <c r="AC95"/>
    </row>
    <row r="96" spans="1:29" ht="13.5">
      <c r="A96" s="48"/>
      <c r="B96" s="707" t="s">
        <v>1543</v>
      </c>
      <c r="C96" s="461" t="s">
        <v>1080</v>
      </c>
      <c r="D96" s="461" t="s">
        <v>452</v>
      </c>
      <c r="E96" s="461" t="s">
        <v>445</v>
      </c>
      <c r="F96" s="461" t="s">
        <v>450</v>
      </c>
      <c r="G96" s="461" t="s">
        <v>451</v>
      </c>
      <c r="H96" s="462">
        <v>2</v>
      </c>
      <c r="I96" s="462" t="s">
        <v>1404</v>
      </c>
      <c r="J96" s="752">
        <f>K96*(1-Bolts!$E$1157)</f>
        <v>51.052631578947363</v>
      </c>
      <c r="K96" s="752">
        <v>51.052631578947363</v>
      </c>
      <c r="L96" s="464">
        <f t="shared" si="32"/>
        <v>13</v>
      </c>
      <c r="M96" s="465">
        <v>0</v>
      </c>
      <c r="N96" s="466"/>
      <c r="O96" s="467">
        <v>4</v>
      </c>
      <c r="P96" s="468">
        <v>0</v>
      </c>
      <c r="Q96" s="469">
        <v>5</v>
      </c>
      <c r="R96" s="470">
        <v>0</v>
      </c>
      <c r="S96" s="471">
        <v>0</v>
      </c>
      <c r="T96" s="472">
        <v>4</v>
      </c>
      <c r="U96" s="473">
        <v>0</v>
      </c>
      <c r="V96" s="464">
        <f>L96*H96</f>
        <v>26</v>
      </c>
      <c r="W96" s="474">
        <f>L96*K96</f>
        <v>663.68421052631572</v>
      </c>
      <c r="X96" s="475">
        <v>1.1990108772566452</v>
      </c>
      <c r="Y96" s="507">
        <f t="shared" si="33"/>
        <v>15.587141404336387</v>
      </c>
      <c r="Z96"/>
      <c r="AA96"/>
      <c r="AB96"/>
      <c r="AC96"/>
    </row>
    <row r="97" spans="1:29" ht="13.5">
      <c r="A97" s="48"/>
      <c r="B97" s="707" t="s">
        <v>1406</v>
      </c>
      <c r="C97" s="461" t="s">
        <v>1080</v>
      </c>
      <c r="D97" s="461" t="s">
        <v>452</v>
      </c>
      <c r="E97" s="461" t="s">
        <v>445</v>
      </c>
      <c r="F97" s="461" t="s">
        <v>458</v>
      </c>
      <c r="G97" s="461" t="s">
        <v>452</v>
      </c>
      <c r="H97" s="462">
        <v>5</v>
      </c>
      <c r="I97" s="462" t="s">
        <v>1405</v>
      </c>
      <c r="J97" s="752">
        <f>K97*(1-Bolts!$E$1157)</f>
        <v>90.39473684210526</v>
      </c>
      <c r="K97" s="752">
        <v>90.39473684210526</v>
      </c>
      <c r="L97" s="464">
        <f t="shared" si="32"/>
        <v>12</v>
      </c>
      <c r="M97" s="465">
        <v>0</v>
      </c>
      <c r="N97" s="466"/>
      <c r="O97" s="467">
        <v>4</v>
      </c>
      <c r="P97" s="468">
        <v>0</v>
      </c>
      <c r="Q97" s="469">
        <v>4</v>
      </c>
      <c r="R97" s="470">
        <v>0</v>
      </c>
      <c r="S97" s="471">
        <v>0</v>
      </c>
      <c r="T97" s="472">
        <v>4</v>
      </c>
      <c r="U97" s="473">
        <v>0</v>
      </c>
      <c r="V97" s="464">
        <f>L97*H97</f>
        <v>60</v>
      </c>
      <c r="W97" s="474">
        <f>L97*K97</f>
        <v>1084.7368421052631</v>
      </c>
      <c r="X97" s="475">
        <v>2.0080182164564997</v>
      </c>
      <c r="Y97" s="507">
        <f t="shared" si="33"/>
        <v>24.096218597477996</v>
      </c>
      <c r="Z97"/>
      <c r="AA97"/>
      <c r="AB97"/>
      <c r="AC97"/>
    </row>
    <row r="98" spans="1:29" ht="13.5">
      <c r="A98" s="48"/>
      <c r="B98" s="707" t="s">
        <v>1408</v>
      </c>
      <c r="C98" s="461" t="s">
        <v>1080</v>
      </c>
      <c r="D98" s="461" t="s">
        <v>452</v>
      </c>
      <c r="E98" s="461" t="s">
        <v>445</v>
      </c>
      <c r="F98" s="461" t="s">
        <v>458</v>
      </c>
      <c r="G98" s="461" t="s">
        <v>452</v>
      </c>
      <c r="H98" s="462">
        <v>5</v>
      </c>
      <c r="I98" s="462" t="s">
        <v>1407</v>
      </c>
      <c r="J98" s="752">
        <f>K98*(1-Bolts!$E$1157)</f>
        <v>173.65789473684211</v>
      </c>
      <c r="K98" s="752">
        <v>173.65789473684211</v>
      </c>
      <c r="L98" s="464">
        <f t="shared" si="32"/>
        <v>14</v>
      </c>
      <c r="M98" s="465">
        <v>0</v>
      </c>
      <c r="N98" s="466"/>
      <c r="O98" s="467">
        <v>4</v>
      </c>
      <c r="P98" s="468">
        <v>0</v>
      </c>
      <c r="Q98" s="469">
        <v>5</v>
      </c>
      <c r="R98" s="470">
        <v>0</v>
      </c>
      <c r="S98" s="471">
        <v>0</v>
      </c>
      <c r="T98" s="472">
        <v>5</v>
      </c>
      <c r="U98" s="473">
        <v>0</v>
      </c>
      <c r="V98" s="464">
        <f>L98*H98</f>
        <v>70</v>
      </c>
      <c r="W98" s="474">
        <f>L98*K98</f>
        <v>2431.2105263157896</v>
      </c>
      <c r="X98" s="475">
        <v>4.1420375759775014</v>
      </c>
      <c r="Y98" s="507">
        <f t="shared" si="33"/>
        <v>57.988526063685022</v>
      </c>
      <c r="Z98"/>
      <c r="AA98"/>
      <c r="AB98"/>
      <c r="AC98"/>
    </row>
    <row r="99" spans="1:29" ht="13.5">
      <c r="A99" s="48"/>
      <c r="B99" s="707"/>
      <c r="C99" s="461"/>
      <c r="D99" s="461"/>
      <c r="E99" s="461"/>
      <c r="F99" s="461"/>
      <c r="G99" s="461"/>
      <c r="H99" s="462"/>
      <c r="I99" s="462"/>
      <c r="J99" s="752"/>
      <c r="K99" s="752">
        <v>0</v>
      </c>
      <c r="L99" s="464"/>
      <c r="M99" s="465">
        <v>0</v>
      </c>
      <c r="N99" s="466"/>
      <c r="O99" s="467">
        <v>0</v>
      </c>
      <c r="P99" s="468">
        <v>0</v>
      </c>
      <c r="Q99" s="469">
        <v>0</v>
      </c>
      <c r="R99" s="470">
        <v>0</v>
      </c>
      <c r="S99" s="471">
        <v>0</v>
      </c>
      <c r="T99" s="472">
        <v>0</v>
      </c>
      <c r="U99" s="473">
        <v>0</v>
      </c>
      <c r="V99" s="464"/>
      <c r="W99" s="474"/>
      <c r="X99" s="475">
        <v>0</v>
      </c>
      <c r="Y99" s="507"/>
      <c r="Z99"/>
      <c r="AA99"/>
      <c r="AB99"/>
      <c r="AC99"/>
    </row>
    <row r="100" spans="1:29" ht="13.5">
      <c r="A100" s="48"/>
      <c r="B100" s="707" t="s">
        <v>1410</v>
      </c>
      <c r="C100" s="461" t="s">
        <v>1080</v>
      </c>
      <c r="D100" s="461" t="s">
        <v>1148</v>
      </c>
      <c r="E100" s="461" t="s">
        <v>445</v>
      </c>
      <c r="F100" s="461" t="s">
        <v>458</v>
      </c>
      <c r="G100" s="461" t="s">
        <v>451</v>
      </c>
      <c r="H100" s="462">
        <v>10</v>
      </c>
      <c r="I100" s="462" t="s">
        <v>1409</v>
      </c>
      <c r="J100" s="752">
        <f>K100*(1-Bolts!$E$1157)</f>
        <v>118.10526315789474</v>
      </c>
      <c r="K100" s="752">
        <v>118.10526315789474</v>
      </c>
      <c r="L100" s="464">
        <f t="shared" si="32"/>
        <v>13</v>
      </c>
      <c r="M100" s="465">
        <v>0</v>
      </c>
      <c r="N100" s="466"/>
      <c r="O100" s="467">
        <v>4</v>
      </c>
      <c r="P100" s="468">
        <v>0</v>
      </c>
      <c r="Q100" s="469">
        <v>3</v>
      </c>
      <c r="R100" s="470">
        <v>0</v>
      </c>
      <c r="S100" s="471">
        <v>0</v>
      </c>
      <c r="T100" s="472">
        <v>6</v>
      </c>
      <c r="U100" s="473">
        <v>0</v>
      </c>
      <c r="V100" s="464">
        <f>L100*H100</f>
        <v>130</v>
      </c>
      <c r="W100" s="474">
        <f>L100*K100</f>
        <v>1535.3684210526317</v>
      </c>
      <c r="X100" s="475">
        <v>2.3880216637938849</v>
      </c>
      <c r="Y100" s="507">
        <f t="shared" si="33"/>
        <v>31.044281629320505</v>
      </c>
      <c r="Z100"/>
      <c r="AA100"/>
      <c r="AB100"/>
      <c r="AC100"/>
    </row>
    <row r="101" spans="1:29" ht="13.5">
      <c r="A101" s="48"/>
      <c r="B101" s="707"/>
      <c r="C101" s="461"/>
      <c r="D101" s="461"/>
      <c r="E101" s="461"/>
      <c r="F101" s="461"/>
      <c r="G101" s="461"/>
      <c r="H101" s="462"/>
      <c r="I101" s="462"/>
      <c r="J101" s="752"/>
      <c r="K101" s="752">
        <v>0</v>
      </c>
      <c r="L101" s="464"/>
      <c r="M101" s="465">
        <v>0</v>
      </c>
      <c r="N101" s="466"/>
      <c r="O101" s="467">
        <v>0</v>
      </c>
      <c r="P101" s="468">
        <v>0</v>
      </c>
      <c r="Q101" s="469">
        <v>0</v>
      </c>
      <c r="R101" s="470">
        <v>0</v>
      </c>
      <c r="S101" s="471">
        <v>0</v>
      </c>
      <c r="T101" s="472">
        <v>0</v>
      </c>
      <c r="U101" s="473">
        <v>0</v>
      </c>
      <c r="V101" s="464"/>
      <c r="W101" s="474"/>
      <c r="X101" s="475">
        <v>0</v>
      </c>
      <c r="Y101" s="507"/>
      <c r="Z101"/>
      <c r="AA101"/>
      <c r="AB101"/>
      <c r="AC101"/>
    </row>
    <row r="102" spans="1:29" ht="13.5">
      <c r="A102" s="48"/>
      <c r="B102" s="707" t="s">
        <v>1412</v>
      </c>
      <c r="C102" s="461" t="s">
        <v>1080</v>
      </c>
      <c r="D102" s="461" t="s">
        <v>1152</v>
      </c>
      <c r="E102" s="461" t="s">
        <v>445</v>
      </c>
      <c r="F102" s="461" t="s">
        <v>450</v>
      </c>
      <c r="G102" s="461" t="s">
        <v>451</v>
      </c>
      <c r="H102" s="462">
        <v>10</v>
      </c>
      <c r="I102" s="462" t="s">
        <v>1411</v>
      </c>
      <c r="J102" s="752">
        <f>K102*(1-Bolts!$E$1157)</f>
        <v>79.368421052631575</v>
      </c>
      <c r="K102" s="752">
        <v>79.368421052631575</v>
      </c>
      <c r="L102" s="464">
        <f t="shared" si="32"/>
        <v>9</v>
      </c>
      <c r="M102" s="465">
        <v>0</v>
      </c>
      <c r="N102" s="466"/>
      <c r="O102" s="467">
        <v>2</v>
      </c>
      <c r="P102" s="468">
        <v>0</v>
      </c>
      <c r="Q102" s="469">
        <v>5</v>
      </c>
      <c r="R102" s="470">
        <v>0</v>
      </c>
      <c r="S102" s="471">
        <v>0</v>
      </c>
      <c r="T102" s="472">
        <v>2</v>
      </c>
      <c r="U102" s="473">
        <v>0</v>
      </c>
      <c r="V102" s="464">
        <f>L102*H102</f>
        <v>90</v>
      </c>
      <c r="W102" s="474">
        <f>L102*K102</f>
        <v>714.31578947368416</v>
      </c>
      <c r="X102" s="475">
        <v>1.3790125102059327</v>
      </c>
      <c r="Y102" s="507">
        <f t="shared" si="33"/>
        <v>12.411112591853394</v>
      </c>
      <c r="Z102"/>
      <c r="AA102"/>
      <c r="AB102"/>
      <c r="AC102"/>
    </row>
    <row r="103" spans="1:29" ht="13.5">
      <c r="A103" s="48"/>
      <c r="B103" s="707" t="s">
        <v>1414</v>
      </c>
      <c r="C103" s="461" t="s">
        <v>1080</v>
      </c>
      <c r="D103" s="461" t="s">
        <v>1152</v>
      </c>
      <c r="E103" s="461" t="s">
        <v>445</v>
      </c>
      <c r="F103" s="461" t="s">
        <v>454</v>
      </c>
      <c r="G103" s="461" t="s">
        <v>449</v>
      </c>
      <c r="H103" s="462">
        <v>25</v>
      </c>
      <c r="I103" s="462" t="s">
        <v>1413</v>
      </c>
      <c r="J103" s="752">
        <f>K103*(1-Bolts!$E$1157)</f>
        <v>135.26315789473685</v>
      </c>
      <c r="K103" s="752">
        <v>135.26315789473685</v>
      </c>
      <c r="L103" s="464">
        <f t="shared" si="32"/>
        <v>7</v>
      </c>
      <c r="M103" s="465">
        <v>1</v>
      </c>
      <c r="N103" s="466"/>
      <c r="O103" s="467">
        <v>2</v>
      </c>
      <c r="P103" s="468">
        <v>1</v>
      </c>
      <c r="Q103" s="469">
        <v>3</v>
      </c>
      <c r="R103" s="470">
        <v>0</v>
      </c>
      <c r="S103" s="471">
        <v>0</v>
      </c>
      <c r="T103" s="472">
        <v>0</v>
      </c>
      <c r="U103" s="473">
        <v>0</v>
      </c>
      <c r="V103" s="464">
        <f>L103*H103</f>
        <v>175</v>
      </c>
      <c r="W103" s="474">
        <f>L103*K103</f>
        <v>946.84210526315792</v>
      </c>
      <c r="X103" s="475">
        <v>1.8210165200036286</v>
      </c>
      <c r="Y103" s="507">
        <f t="shared" si="33"/>
        <v>12.747115640025401</v>
      </c>
      <c r="Z103"/>
      <c r="AA103"/>
      <c r="AB103"/>
      <c r="AC103"/>
    </row>
    <row r="104" spans="1:29" ht="13.5">
      <c r="A104" s="641" t="s">
        <v>2038</v>
      </c>
      <c r="B104" s="715"/>
      <c r="C104" s="586">
        <f>B104</f>
        <v>0</v>
      </c>
      <c r="D104" s="586"/>
      <c r="E104" s="586" t="s">
        <v>445</v>
      </c>
      <c r="F104" s="586"/>
      <c r="G104" s="586"/>
      <c r="H104" s="586"/>
      <c r="I104" s="586"/>
      <c r="J104" s="763"/>
      <c r="K104" s="752">
        <v>0</v>
      </c>
      <c r="L104" s="587"/>
      <c r="M104" s="465">
        <v>0</v>
      </c>
      <c r="N104" s="466"/>
      <c r="O104" s="467">
        <v>0</v>
      </c>
      <c r="P104" s="468">
        <v>0</v>
      </c>
      <c r="Q104" s="469">
        <v>0</v>
      </c>
      <c r="R104" s="470">
        <v>0</v>
      </c>
      <c r="S104" s="471">
        <v>0</v>
      </c>
      <c r="T104" s="472">
        <v>0</v>
      </c>
      <c r="U104" s="473">
        <v>0</v>
      </c>
      <c r="V104" s="587"/>
      <c r="W104" s="587"/>
      <c r="X104" s="587">
        <v>0</v>
      </c>
      <c r="Y104" s="656"/>
      <c r="Z104"/>
      <c r="AA104"/>
      <c r="AB104"/>
      <c r="AC104"/>
    </row>
    <row r="105" spans="1:29" ht="13.5">
      <c r="A105" s="214" t="s">
        <v>2612</v>
      </c>
      <c r="B105" s="711" t="s">
        <v>2920</v>
      </c>
      <c r="C105" s="644" t="s">
        <v>1079</v>
      </c>
      <c r="D105" s="644" t="s">
        <v>1147</v>
      </c>
      <c r="E105" s="644" t="s">
        <v>445</v>
      </c>
      <c r="F105" s="644" t="s">
        <v>460</v>
      </c>
      <c r="G105" s="644" t="s">
        <v>451</v>
      </c>
      <c r="H105" s="645">
        <v>5</v>
      </c>
      <c r="I105" s="645" t="s">
        <v>2921</v>
      </c>
      <c r="J105" s="752">
        <f>K105*(1-Bolts!$E$1157)</f>
        <v>142.10526315789474</v>
      </c>
      <c r="K105" s="752">
        <v>142.10526315789474</v>
      </c>
      <c r="L105" s="464">
        <f t="shared" ref="L105" si="34">SUM(M105:U105)</f>
        <v>0</v>
      </c>
      <c r="M105" s="465">
        <v>0</v>
      </c>
      <c r="N105" s="466"/>
      <c r="O105" s="467">
        <v>0</v>
      </c>
      <c r="P105" s="468">
        <v>0</v>
      </c>
      <c r="Q105" s="469">
        <v>0</v>
      </c>
      <c r="R105" s="470">
        <v>0</v>
      </c>
      <c r="S105" s="471">
        <v>0</v>
      </c>
      <c r="T105" s="472">
        <v>0</v>
      </c>
      <c r="U105" s="473">
        <v>0</v>
      </c>
      <c r="V105" s="464">
        <f>L105*H105</f>
        <v>0</v>
      </c>
      <c r="W105" s="474">
        <f>L105*K105</f>
        <v>0</v>
      </c>
      <c r="X105" s="475">
        <v>2.1220175995645465</v>
      </c>
      <c r="Y105" s="507">
        <f t="shared" ref="Y105" si="35">X105*L105</f>
        <v>0</v>
      </c>
      <c r="Z105"/>
      <c r="AA105"/>
      <c r="AB105"/>
      <c r="AC105"/>
    </row>
    <row r="106" spans="1:29" ht="13.5">
      <c r="A106" s="214" t="s">
        <v>2612</v>
      </c>
      <c r="B106" s="711" t="s">
        <v>2954</v>
      </c>
      <c r="C106" s="644" t="s">
        <v>1079</v>
      </c>
      <c r="D106" s="644" t="s">
        <v>1147</v>
      </c>
      <c r="E106" s="644" t="s">
        <v>445</v>
      </c>
      <c r="F106" s="644" t="s">
        <v>460</v>
      </c>
      <c r="G106" s="644" t="s">
        <v>451</v>
      </c>
      <c r="H106" s="645">
        <v>5</v>
      </c>
      <c r="I106" s="645" t="s">
        <v>2925</v>
      </c>
      <c r="J106" s="752">
        <f>K106*(1-Bolts!$E$1157)</f>
        <v>119.55263157894737</v>
      </c>
      <c r="K106" s="752">
        <v>119.55263157894737</v>
      </c>
      <c r="L106" s="464">
        <f t="shared" ref="L106" si="36">SUM(M106:U106)</f>
        <v>0</v>
      </c>
      <c r="M106" s="465">
        <v>0</v>
      </c>
      <c r="N106" s="466"/>
      <c r="O106" s="467">
        <v>0</v>
      </c>
      <c r="P106" s="468">
        <v>0</v>
      </c>
      <c r="Q106" s="469">
        <v>0</v>
      </c>
      <c r="R106" s="470">
        <v>0</v>
      </c>
      <c r="S106" s="471">
        <v>0</v>
      </c>
      <c r="T106" s="472">
        <v>0</v>
      </c>
      <c r="U106" s="473">
        <v>0</v>
      </c>
      <c r="V106" s="464">
        <f>L106*H106</f>
        <v>0</v>
      </c>
      <c r="W106" s="474">
        <f>L106*K106</f>
        <v>0</v>
      </c>
      <c r="X106" s="475">
        <v>1.6097704799056516</v>
      </c>
      <c r="Y106" s="507">
        <f t="shared" ref="Y106" si="37">X106*L106</f>
        <v>0</v>
      </c>
      <c r="Z106"/>
      <c r="AA106"/>
      <c r="AB106"/>
      <c r="AC106"/>
    </row>
    <row r="107" spans="1:29" ht="13.5">
      <c r="A107" s="214" t="s">
        <v>2612</v>
      </c>
      <c r="B107" s="711" t="s">
        <v>2932</v>
      </c>
      <c r="C107" s="644" t="s">
        <v>1079</v>
      </c>
      <c r="D107" s="644" t="s">
        <v>452</v>
      </c>
      <c r="E107" s="644" t="s">
        <v>445</v>
      </c>
      <c r="F107" s="644" t="s">
        <v>1044</v>
      </c>
      <c r="G107" s="644" t="s">
        <v>451</v>
      </c>
      <c r="H107" s="645">
        <v>5</v>
      </c>
      <c r="I107" s="645" t="s">
        <v>2929</v>
      </c>
      <c r="J107" s="752">
        <f>K107*(1-Bolts!$E$1157)</f>
        <v>101.21052631578947</v>
      </c>
      <c r="K107" s="752">
        <v>101.21052631578947</v>
      </c>
      <c r="L107" s="464">
        <f t="shared" ref="L107" si="38">SUM(M107:U107)</f>
        <v>0</v>
      </c>
      <c r="M107" s="465">
        <v>0</v>
      </c>
      <c r="N107" s="466"/>
      <c r="O107" s="467">
        <v>0</v>
      </c>
      <c r="P107" s="468">
        <v>0</v>
      </c>
      <c r="Q107" s="469">
        <v>0</v>
      </c>
      <c r="R107" s="470">
        <v>0</v>
      </c>
      <c r="S107" s="471">
        <v>0</v>
      </c>
      <c r="T107" s="472">
        <v>0</v>
      </c>
      <c r="U107" s="473">
        <v>0</v>
      </c>
      <c r="V107" s="464">
        <f>L107*H107</f>
        <v>0</v>
      </c>
      <c r="W107" s="474">
        <f>L107*K107</f>
        <v>0</v>
      </c>
      <c r="X107" s="475">
        <v>1.1935044906105414</v>
      </c>
      <c r="Y107" s="507">
        <f t="shared" ref="Y107" si="39">X107*L107</f>
        <v>0</v>
      </c>
      <c r="Z107"/>
      <c r="AA107"/>
      <c r="AB107"/>
      <c r="AC107"/>
    </row>
    <row r="108" spans="1:29" ht="13.5">
      <c r="A108" s="214" t="s">
        <v>2612</v>
      </c>
      <c r="B108" s="747" t="s">
        <v>3115</v>
      </c>
      <c r="C108" s="742" t="s">
        <v>1079</v>
      </c>
      <c r="D108" s="742" t="s">
        <v>1148</v>
      </c>
      <c r="E108" s="742" t="s">
        <v>445</v>
      </c>
      <c r="F108" s="742" t="s">
        <v>458</v>
      </c>
      <c r="G108" s="742" t="s">
        <v>451</v>
      </c>
      <c r="H108" s="743">
        <v>10</v>
      </c>
      <c r="I108" s="743" t="s">
        <v>2927</v>
      </c>
      <c r="J108" s="752">
        <f>K108*(1-Bolts!$E$1157)</f>
        <v>168.10256410256412</v>
      </c>
      <c r="K108" s="752">
        <v>168.10256410256412</v>
      </c>
      <c r="L108" s="464">
        <f t="shared" ref="L108" si="40">SUM(M108:U108)</f>
        <v>0</v>
      </c>
      <c r="M108" s="465">
        <v>0</v>
      </c>
      <c r="N108" s="466"/>
      <c r="O108" s="467">
        <v>0</v>
      </c>
      <c r="P108" s="468">
        <v>0</v>
      </c>
      <c r="Q108" s="469">
        <v>0</v>
      </c>
      <c r="R108" s="470">
        <v>0</v>
      </c>
      <c r="S108" s="471">
        <v>0</v>
      </c>
      <c r="T108" s="472">
        <v>0</v>
      </c>
      <c r="U108" s="473">
        <v>0</v>
      </c>
      <c r="V108" s="464">
        <f>L108*H108</f>
        <v>0</v>
      </c>
      <c r="W108" s="474">
        <f>L108*K108</f>
        <v>0</v>
      </c>
      <c r="X108" s="475">
        <v>1.582645377846321</v>
      </c>
      <c r="Y108" s="507">
        <f t="shared" ref="Y108" si="41">X108*L108</f>
        <v>0</v>
      </c>
      <c r="Z108"/>
      <c r="AA108"/>
      <c r="AB108"/>
      <c r="AC108"/>
    </row>
    <row r="109" spans="1:29" ht="14" thickBot="1">
      <c r="A109" s="641" t="s">
        <v>2575</v>
      </c>
      <c r="B109" s="715"/>
      <c r="C109" s="586">
        <f>B109</f>
        <v>0</v>
      </c>
      <c r="D109" s="586"/>
      <c r="E109" s="586" t="s">
        <v>445</v>
      </c>
      <c r="F109" s="586"/>
      <c r="G109" s="586"/>
      <c r="H109" s="586"/>
      <c r="I109" s="586"/>
      <c r="J109" s="763"/>
      <c r="K109" s="752">
        <v>0</v>
      </c>
      <c r="L109" s="587"/>
      <c r="M109" s="465">
        <v>0</v>
      </c>
      <c r="N109" s="466"/>
      <c r="O109" s="467">
        <v>0</v>
      </c>
      <c r="P109" s="468">
        <v>0</v>
      </c>
      <c r="Q109" s="469">
        <v>0</v>
      </c>
      <c r="R109" s="470">
        <v>0</v>
      </c>
      <c r="S109" s="471">
        <v>0</v>
      </c>
      <c r="T109" s="472">
        <v>0</v>
      </c>
      <c r="U109" s="473">
        <v>0</v>
      </c>
      <c r="V109" s="587"/>
      <c r="W109" s="587"/>
      <c r="X109" s="587">
        <v>0</v>
      </c>
      <c r="Y109" s="656"/>
      <c r="Z109"/>
      <c r="AA109"/>
      <c r="AB109"/>
      <c r="AC109"/>
    </row>
    <row r="110" spans="1:29" ht="13.5">
      <c r="A110" s="214"/>
      <c r="B110" s="725" t="s">
        <v>2900</v>
      </c>
      <c r="C110" s="669" t="s">
        <v>1327</v>
      </c>
      <c r="D110" s="669" t="s">
        <v>1150</v>
      </c>
      <c r="E110" s="669" t="s">
        <v>445</v>
      </c>
      <c r="F110" s="669" t="s">
        <v>453</v>
      </c>
      <c r="G110" s="669" t="s">
        <v>452</v>
      </c>
      <c r="H110" s="670">
        <v>2</v>
      </c>
      <c r="I110" s="670" t="s">
        <v>2901</v>
      </c>
      <c r="J110" s="764">
        <f>K110*(1-Bolts!$E$1157)</f>
        <v>143.34210526315789</v>
      </c>
      <c r="K110" s="752">
        <v>143.34210526315789</v>
      </c>
      <c r="L110" s="503">
        <f t="shared" ref="L110" si="42">SUM(M110:U110)</f>
        <v>0</v>
      </c>
      <c r="M110" s="465">
        <v>0</v>
      </c>
      <c r="N110" s="466"/>
      <c r="O110" s="467">
        <v>0</v>
      </c>
      <c r="P110" s="468">
        <v>0</v>
      </c>
      <c r="Q110" s="469">
        <v>0</v>
      </c>
      <c r="R110" s="470">
        <v>0</v>
      </c>
      <c r="S110" s="471">
        <v>0</v>
      </c>
      <c r="T110" s="472">
        <v>0</v>
      </c>
      <c r="U110" s="473">
        <v>0</v>
      </c>
      <c r="V110" s="503">
        <f>L110*H110</f>
        <v>0</v>
      </c>
      <c r="W110" s="504">
        <f>L110*K110</f>
        <v>0</v>
      </c>
      <c r="X110" s="505">
        <v>2.8523088088542137</v>
      </c>
      <c r="Y110" s="506">
        <f t="shared" ref="Y110" si="43">X110*L110</f>
        <v>0</v>
      </c>
      <c r="Z110"/>
      <c r="AA110"/>
      <c r="AB110"/>
      <c r="AC110"/>
    </row>
    <row r="111" spans="1:29" ht="13.5">
      <c r="A111" s="48"/>
      <c r="B111" s="705"/>
      <c r="C111" s="476"/>
      <c r="D111" s="476"/>
      <c r="E111" s="476"/>
      <c r="F111" s="477"/>
      <c r="G111" s="477"/>
      <c r="H111" s="478"/>
      <c r="I111" s="478"/>
      <c r="J111" s="753"/>
      <c r="K111" s="752">
        <v>0</v>
      </c>
      <c r="L111" s="479"/>
      <c r="M111" s="465">
        <v>0</v>
      </c>
      <c r="N111" s="466"/>
      <c r="O111" s="467">
        <v>0</v>
      </c>
      <c r="P111" s="468">
        <v>0</v>
      </c>
      <c r="Q111" s="469">
        <v>0</v>
      </c>
      <c r="R111" s="470">
        <v>0</v>
      </c>
      <c r="S111" s="471">
        <v>0</v>
      </c>
      <c r="T111" s="472">
        <v>0</v>
      </c>
      <c r="U111" s="473">
        <v>0</v>
      </c>
      <c r="V111" s="479"/>
      <c r="W111" s="488"/>
      <c r="X111" s="489">
        <v>0</v>
      </c>
      <c r="Y111" s="508"/>
      <c r="Z111"/>
      <c r="AA111"/>
      <c r="AB111"/>
      <c r="AC111"/>
    </row>
    <row r="112" spans="1:29" ht="13.5">
      <c r="A112" s="214"/>
      <c r="B112" s="706" t="s">
        <v>2638</v>
      </c>
      <c r="C112" s="644" t="s">
        <v>1327</v>
      </c>
      <c r="D112" s="644" t="s">
        <v>1151</v>
      </c>
      <c r="E112" s="644" t="s">
        <v>445</v>
      </c>
      <c r="F112" s="644" t="s">
        <v>457</v>
      </c>
      <c r="G112" s="644" t="s">
        <v>449</v>
      </c>
      <c r="H112" s="645">
        <v>5</v>
      </c>
      <c r="I112" s="645" t="s">
        <v>2634</v>
      </c>
      <c r="J112" s="752">
        <f>K112*(1-Bolts!$E$1157)</f>
        <v>274.9210526315789</v>
      </c>
      <c r="K112" s="752">
        <v>274.9210526315789</v>
      </c>
      <c r="L112" s="464">
        <f t="shared" ref="L112:L113" si="44">SUM(M112:U112)</f>
        <v>13</v>
      </c>
      <c r="M112" s="465">
        <v>0</v>
      </c>
      <c r="N112" s="466"/>
      <c r="O112" s="467">
        <v>4</v>
      </c>
      <c r="P112" s="468">
        <v>0</v>
      </c>
      <c r="Q112" s="469">
        <v>5</v>
      </c>
      <c r="R112" s="470">
        <v>0</v>
      </c>
      <c r="S112" s="471">
        <v>0</v>
      </c>
      <c r="T112" s="472">
        <v>4</v>
      </c>
      <c r="U112" s="473">
        <v>0</v>
      </c>
      <c r="V112" s="464">
        <f>L112*H112</f>
        <v>65</v>
      </c>
      <c r="W112" s="474">
        <f>L112*K112</f>
        <v>3573.9736842105258</v>
      </c>
      <c r="X112" s="475">
        <v>4.93</v>
      </c>
      <c r="Y112" s="507">
        <f t="shared" ref="Y112:Y113" si="45">X112*L112</f>
        <v>64.09</v>
      </c>
      <c r="Z112"/>
      <c r="AA112"/>
      <c r="AB112"/>
      <c r="AC112"/>
    </row>
    <row r="113" spans="1:29" ht="13.5">
      <c r="A113" s="214"/>
      <c r="B113" s="709" t="s">
        <v>2951</v>
      </c>
      <c r="C113" s="644" t="s">
        <v>1327</v>
      </c>
      <c r="D113" s="644" t="s">
        <v>1151</v>
      </c>
      <c r="E113" s="644" t="s">
        <v>445</v>
      </c>
      <c r="F113" s="644" t="s">
        <v>458</v>
      </c>
      <c r="G113" s="644" t="s">
        <v>451</v>
      </c>
      <c r="H113" s="645">
        <v>3</v>
      </c>
      <c r="I113" s="645" t="s">
        <v>2946</v>
      </c>
      <c r="J113" s="752">
        <f>K113*(1-Bolts!$E$1157)</f>
        <v>102.52631578947368</v>
      </c>
      <c r="K113" s="752">
        <v>102.52631578947368</v>
      </c>
      <c r="L113" s="464">
        <f t="shared" si="44"/>
        <v>0</v>
      </c>
      <c r="M113" s="465">
        <v>0</v>
      </c>
      <c r="N113" s="466"/>
      <c r="O113" s="467">
        <v>0</v>
      </c>
      <c r="P113" s="468">
        <v>0</v>
      </c>
      <c r="Q113" s="469">
        <v>0</v>
      </c>
      <c r="R113" s="470">
        <v>0</v>
      </c>
      <c r="S113" s="471">
        <v>0</v>
      </c>
      <c r="T113" s="472">
        <v>0</v>
      </c>
      <c r="U113" s="473">
        <v>0</v>
      </c>
      <c r="V113" s="464">
        <f>L113*H113</f>
        <v>0</v>
      </c>
      <c r="W113" s="474">
        <f>L113*K113</f>
        <v>0</v>
      </c>
      <c r="X113" s="475">
        <v>1.6765399618978496</v>
      </c>
      <c r="Y113" s="507">
        <f t="shared" si="45"/>
        <v>0</v>
      </c>
      <c r="Z113"/>
      <c r="AA113"/>
      <c r="AB113"/>
      <c r="AC113"/>
    </row>
    <row r="114" spans="1:29" ht="13.5">
      <c r="A114" s="214"/>
      <c r="B114" s="709" t="s">
        <v>2952</v>
      </c>
      <c r="C114" s="644" t="s">
        <v>1327</v>
      </c>
      <c r="D114" s="644" t="s">
        <v>1151</v>
      </c>
      <c r="E114" s="644" t="s">
        <v>445</v>
      </c>
      <c r="F114" s="644" t="s">
        <v>453</v>
      </c>
      <c r="G114" s="644" t="s">
        <v>452</v>
      </c>
      <c r="H114" s="645">
        <v>5</v>
      </c>
      <c r="I114" s="645" t="s">
        <v>2948</v>
      </c>
      <c r="J114" s="752">
        <f>K114*(1-Bolts!$E$1157)</f>
        <v>192.07894736842104</v>
      </c>
      <c r="K114" s="752">
        <v>192.07894736842104</v>
      </c>
      <c r="L114" s="464">
        <f t="shared" ref="L114" si="46">SUM(M114:U114)</f>
        <v>0</v>
      </c>
      <c r="M114" s="465">
        <v>0</v>
      </c>
      <c r="N114" s="466"/>
      <c r="O114" s="467">
        <v>0</v>
      </c>
      <c r="P114" s="468">
        <v>0</v>
      </c>
      <c r="Q114" s="469">
        <v>0</v>
      </c>
      <c r="R114" s="470">
        <v>0</v>
      </c>
      <c r="S114" s="471">
        <v>0</v>
      </c>
      <c r="T114" s="472">
        <v>0</v>
      </c>
      <c r="U114" s="473">
        <v>0</v>
      </c>
      <c r="V114" s="464">
        <f>L114*H114</f>
        <v>0</v>
      </c>
      <c r="W114" s="474">
        <f>L114*K114</f>
        <v>0</v>
      </c>
      <c r="X114" s="475">
        <v>3.2790075297106043</v>
      </c>
      <c r="Y114" s="507">
        <f t="shared" ref="Y114" si="47">X114*L114</f>
        <v>0</v>
      </c>
      <c r="Z114"/>
      <c r="AA114"/>
      <c r="AB114"/>
      <c r="AC114"/>
    </row>
    <row r="115" spans="1:29" ht="14" thickBot="1">
      <c r="A115" s="48"/>
      <c r="B115" s="705"/>
      <c r="C115" s="476"/>
      <c r="D115" s="476"/>
      <c r="E115" s="476"/>
      <c r="F115" s="477"/>
      <c r="G115" s="477"/>
      <c r="H115" s="478"/>
      <c r="I115" s="478"/>
      <c r="J115" s="753"/>
      <c r="K115" s="752">
        <v>0</v>
      </c>
      <c r="L115" s="479"/>
      <c r="M115" s="465">
        <v>0</v>
      </c>
      <c r="N115" s="466"/>
      <c r="O115" s="467">
        <v>0</v>
      </c>
      <c r="P115" s="468">
        <v>0</v>
      </c>
      <c r="Q115" s="469">
        <v>0</v>
      </c>
      <c r="R115" s="470">
        <v>0</v>
      </c>
      <c r="S115" s="471">
        <v>0</v>
      </c>
      <c r="T115" s="472">
        <v>0</v>
      </c>
      <c r="U115" s="473">
        <v>0</v>
      </c>
      <c r="V115" s="479"/>
      <c r="W115" s="488"/>
      <c r="X115" s="489">
        <v>0</v>
      </c>
      <c r="Y115" s="508"/>
      <c r="Z115"/>
      <c r="AA115"/>
      <c r="AB115"/>
      <c r="AC115"/>
    </row>
    <row r="116" spans="1:29" ht="13.5">
      <c r="A116" s="214"/>
      <c r="B116" s="706" t="s">
        <v>2822</v>
      </c>
      <c r="C116" s="669" t="s">
        <v>1327</v>
      </c>
      <c r="D116" s="644" t="s">
        <v>1147</v>
      </c>
      <c r="E116" s="644" t="s">
        <v>445</v>
      </c>
      <c r="F116" s="644" t="s">
        <v>453</v>
      </c>
      <c r="G116" s="644" t="s">
        <v>451</v>
      </c>
      <c r="H116" s="645">
        <v>5</v>
      </c>
      <c r="I116" s="645" t="s">
        <v>2823</v>
      </c>
      <c r="J116" s="752">
        <f>K116*(1-Bolts!$E$1157)</f>
        <v>139.60526315789471</v>
      </c>
      <c r="K116" s="752">
        <v>139.60526315789471</v>
      </c>
      <c r="L116" s="464">
        <f t="shared" ref="L116" si="48">SUM(M116:U116)</f>
        <v>0</v>
      </c>
      <c r="M116" s="465">
        <v>0</v>
      </c>
      <c r="N116" s="466"/>
      <c r="O116" s="467">
        <v>0</v>
      </c>
      <c r="P116" s="468">
        <v>0</v>
      </c>
      <c r="Q116" s="469">
        <v>0</v>
      </c>
      <c r="R116" s="470">
        <v>0</v>
      </c>
      <c r="S116" s="471">
        <v>0</v>
      </c>
      <c r="T116" s="472">
        <v>0</v>
      </c>
      <c r="U116" s="473">
        <v>0</v>
      </c>
      <c r="V116" s="464">
        <f>L116*H116</f>
        <v>0</v>
      </c>
      <c r="W116" s="474">
        <f>L116*K116</f>
        <v>0</v>
      </c>
      <c r="X116" s="475">
        <v>1.6439999999999999</v>
      </c>
      <c r="Y116" s="507">
        <f t="shared" ref="Y116" si="49">X116*L116</f>
        <v>0</v>
      </c>
      <c r="Z116"/>
      <c r="AA116"/>
      <c r="AB116"/>
      <c r="AC116"/>
    </row>
    <row r="117" spans="1:29" ht="13.5">
      <c r="A117" s="48"/>
      <c r="B117" s="705"/>
      <c r="C117" s="476"/>
      <c r="D117" s="476"/>
      <c r="E117" s="476"/>
      <c r="F117" s="477"/>
      <c r="G117" s="477"/>
      <c r="H117" s="478"/>
      <c r="I117" s="478"/>
      <c r="J117" s="753"/>
      <c r="K117" s="752">
        <v>0</v>
      </c>
      <c r="L117" s="479"/>
      <c r="M117" s="465">
        <v>0</v>
      </c>
      <c r="N117" s="466"/>
      <c r="O117" s="467">
        <v>0</v>
      </c>
      <c r="P117" s="468">
        <v>0</v>
      </c>
      <c r="Q117" s="469">
        <v>0</v>
      </c>
      <c r="R117" s="470">
        <v>0</v>
      </c>
      <c r="S117" s="471">
        <v>0</v>
      </c>
      <c r="T117" s="472">
        <v>0</v>
      </c>
      <c r="U117" s="473">
        <v>0</v>
      </c>
      <c r="V117" s="479"/>
      <c r="W117" s="488"/>
      <c r="X117" s="489">
        <v>0</v>
      </c>
      <c r="Y117" s="508"/>
      <c r="Z117"/>
      <c r="AA117"/>
      <c r="AB117"/>
      <c r="AC117"/>
    </row>
    <row r="118" spans="1:29" ht="13.5">
      <c r="A118" s="214"/>
      <c r="B118" s="706" t="s">
        <v>2630</v>
      </c>
      <c r="C118" s="644" t="s">
        <v>1327</v>
      </c>
      <c r="D118" s="644" t="s">
        <v>452</v>
      </c>
      <c r="E118" s="644" t="s">
        <v>445</v>
      </c>
      <c r="F118" s="644" t="s">
        <v>453</v>
      </c>
      <c r="G118" s="644" t="s">
        <v>451</v>
      </c>
      <c r="H118" s="645">
        <v>5</v>
      </c>
      <c r="I118" s="645" t="s">
        <v>2581</v>
      </c>
      <c r="J118" s="752">
        <f>K118*(1-Bolts!$E$1157)</f>
        <v>101.76315789473684</v>
      </c>
      <c r="K118" s="752">
        <v>101.76315789473684</v>
      </c>
      <c r="L118" s="464">
        <f t="shared" ref="L118" si="50">SUM(M118:U118)</f>
        <v>12</v>
      </c>
      <c r="M118" s="465">
        <v>0</v>
      </c>
      <c r="N118" s="466"/>
      <c r="O118" s="467">
        <v>4</v>
      </c>
      <c r="P118" s="468">
        <v>0</v>
      </c>
      <c r="Q118" s="469">
        <v>5</v>
      </c>
      <c r="R118" s="470">
        <v>0</v>
      </c>
      <c r="S118" s="471">
        <v>0</v>
      </c>
      <c r="T118" s="472">
        <v>3</v>
      </c>
      <c r="U118" s="473">
        <v>0</v>
      </c>
      <c r="V118" s="464">
        <f>L118*H118</f>
        <v>60</v>
      </c>
      <c r="W118" s="474">
        <f>L118*K118</f>
        <v>1221.1578947368421</v>
      </c>
      <c r="X118" s="475">
        <v>1.1559999999999999</v>
      </c>
      <c r="Y118" s="507">
        <f t="shared" ref="Y118" si="51">X118*L118</f>
        <v>13.872</v>
      </c>
      <c r="Z118"/>
      <c r="AA118"/>
      <c r="AB118"/>
      <c r="AC118"/>
    </row>
    <row r="119" spans="1:29" ht="13.5">
      <c r="A119" s="214"/>
      <c r="B119" s="706" t="s">
        <v>2631</v>
      </c>
      <c r="C119" s="644" t="s">
        <v>1327</v>
      </c>
      <c r="D119" s="644" t="s">
        <v>452</v>
      </c>
      <c r="E119" s="644" t="s">
        <v>445</v>
      </c>
      <c r="F119" s="644" t="s">
        <v>458</v>
      </c>
      <c r="G119" s="644" t="s">
        <v>451</v>
      </c>
      <c r="H119" s="645">
        <v>5</v>
      </c>
      <c r="I119" s="645" t="s">
        <v>2632</v>
      </c>
      <c r="J119" s="752">
        <f>K119*(1-Bolts!$E$1157)</f>
        <v>107.05263157894737</v>
      </c>
      <c r="K119" s="752">
        <v>107.05263157894737</v>
      </c>
      <c r="L119" s="464">
        <f t="shared" ref="L119" si="52">SUM(M119:U119)</f>
        <v>12</v>
      </c>
      <c r="M119" s="465">
        <v>0</v>
      </c>
      <c r="N119" s="466"/>
      <c r="O119" s="467">
        <v>4</v>
      </c>
      <c r="P119" s="468">
        <v>0</v>
      </c>
      <c r="Q119" s="469">
        <v>5</v>
      </c>
      <c r="R119" s="470">
        <v>0</v>
      </c>
      <c r="S119" s="471">
        <v>0</v>
      </c>
      <c r="T119" s="472">
        <v>3</v>
      </c>
      <c r="U119" s="473">
        <v>0</v>
      </c>
      <c r="V119" s="464">
        <f>L119*H119</f>
        <v>60</v>
      </c>
      <c r="W119" s="474">
        <f>L119*K119</f>
        <v>1284.6315789473683</v>
      </c>
      <c r="X119" s="475">
        <v>1.288</v>
      </c>
      <c r="Y119" s="507">
        <f t="shared" ref="Y119" si="53">X119*L119</f>
        <v>15.456</v>
      </c>
      <c r="Z119"/>
      <c r="AA119"/>
      <c r="AB119"/>
      <c r="AC119"/>
    </row>
    <row r="120" spans="1:29" ht="13.5">
      <c r="A120" s="48"/>
      <c r="B120" s="705"/>
      <c r="C120" s="476"/>
      <c r="D120" s="476"/>
      <c r="E120" s="476"/>
      <c r="F120" s="477"/>
      <c r="G120" s="477"/>
      <c r="H120" s="478"/>
      <c r="I120" s="478"/>
      <c r="J120" s="753"/>
      <c r="K120" s="752">
        <v>0</v>
      </c>
      <c r="L120" s="479"/>
      <c r="M120" s="465">
        <v>0</v>
      </c>
      <c r="N120" s="466"/>
      <c r="O120" s="467">
        <v>0</v>
      </c>
      <c r="P120" s="468">
        <v>0</v>
      </c>
      <c r="Q120" s="469">
        <v>0</v>
      </c>
      <c r="R120" s="470">
        <v>0</v>
      </c>
      <c r="S120" s="471">
        <v>0</v>
      </c>
      <c r="T120" s="472">
        <v>0</v>
      </c>
      <c r="U120" s="473">
        <v>0</v>
      </c>
      <c r="V120" s="479"/>
      <c r="W120" s="488"/>
      <c r="X120" s="489">
        <v>0</v>
      </c>
      <c r="Y120" s="508"/>
      <c r="Z120"/>
      <c r="AA120"/>
      <c r="AB120"/>
      <c r="AC120"/>
    </row>
    <row r="121" spans="1:29" ht="13.5">
      <c r="A121" s="214"/>
      <c r="B121" s="706" t="s">
        <v>2576</v>
      </c>
      <c r="C121" s="644" t="s">
        <v>1327</v>
      </c>
      <c r="D121" s="644" t="s">
        <v>1148</v>
      </c>
      <c r="E121" s="644" t="s">
        <v>445</v>
      </c>
      <c r="F121" s="644" t="s">
        <v>454</v>
      </c>
      <c r="G121" s="644" t="s">
        <v>451</v>
      </c>
      <c r="H121" s="645">
        <v>15</v>
      </c>
      <c r="I121" s="645" t="s">
        <v>2577</v>
      </c>
      <c r="J121" s="752">
        <f>K121*(1-Bolts!$E$1157)</f>
        <v>119.23684210526318</v>
      </c>
      <c r="K121" s="752">
        <v>119.23684210526318</v>
      </c>
      <c r="L121" s="464">
        <f t="shared" ref="L121:L125" si="54">SUM(M121:U121)</f>
        <v>13</v>
      </c>
      <c r="M121" s="465">
        <v>0</v>
      </c>
      <c r="N121" s="466"/>
      <c r="O121" s="467">
        <v>4</v>
      </c>
      <c r="P121" s="468">
        <v>0</v>
      </c>
      <c r="Q121" s="469">
        <v>5</v>
      </c>
      <c r="R121" s="470">
        <v>0</v>
      </c>
      <c r="S121" s="471">
        <v>0</v>
      </c>
      <c r="T121" s="472">
        <v>4</v>
      </c>
      <c r="U121" s="473">
        <v>0</v>
      </c>
      <c r="V121" s="464">
        <f>L121*H121</f>
        <v>195</v>
      </c>
      <c r="W121" s="474">
        <f>L121*K121</f>
        <v>1550.0789473684213</v>
      </c>
      <c r="X121" s="475">
        <v>2.1469999999999998</v>
      </c>
      <c r="Y121" s="507">
        <f t="shared" ref="Y121:Y125" si="55">X121*L121</f>
        <v>27.910999999999998</v>
      </c>
      <c r="Z121"/>
      <c r="AA121"/>
      <c r="AB121"/>
      <c r="AC121"/>
    </row>
    <row r="122" spans="1:29" ht="13.5">
      <c r="A122" s="214"/>
      <c r="B122" s="706" t="s">
        <v>2578</v>
      </c>
      <c r="C122" s="644" t="s">
        <v>1327</v>
      </c>
      <c r="D122" s="644" t="s">
        <v>1148</v>
      </c>
      <c r="E122" s="644" t="s">
        <v>445</v>
      </c>
      <c r="F122" s="644" t="s">
        <v>461</v>
      </c>
      <c r="G122" s="644" t="s">
        <v>449</v>
      </c>
      <c r="H122" s="645">
        <v>5</v>
      </c>
      <c r="I122" s="645" t="s">
        <v>2579</v>
      </c>
      <c r="J122" s="752">
        <f>K122*(1-Bolts!$E$1157)</f>
        <v>68.973684210526315</v>
      </c>
      <c r="K122" s="752">
        <v>68.973684210526315</v>
      </c>
      <c r="L122" s="464">
        <f t="shared" si="54"/>
        <v>14</v>
      </c>
      <c r="M122" s="465">
        <v>0</v>
      </c>
      <c r="N122" s="466"/>
      <c r="O122" s="467">
        <v>4</v>
      </c>
      <c r="P122" s="468">
        <v>0</v>
      </c>
      <c r="Q122" s="469">
        <v>5</v>
      </c>
      <c r="R122" s="470">
        <v>0</v>
      </c>
      <c r="S122" s="471">
        <v>0</v>
      </c>
      <c r="T122" s="472">
        <v>5</v>
      </c>
      <c r="U122" s="473">
        <v>0</v>
      </c>
      <c r="V122" s="464">
        <f>L122*H122</f>
        <v>70</v>
      </c>
      <c r="W122" s="474">
        <f>L122*K122</f>
        <v>965.63157894736844</v>
      </c>
      <c r="X122" s="475">
        <v>1.48</v>
      </c>
      <c r="Y122" s="507">
        <f t="shared" si="55"/>
        <v>20.72</v>
      </c>
      <c r="Z122"/>
      <c r="AA122"/>
      <c r="AB122"/>
      <c r="AC122"/>
    </row>
    <row r="123" spans="1:29" ht="13.5">
      <c r="A123" s="214"/>
      <c r="B123" s="706" t="s">
        <v>2582</v>
      </c>
      <c r="C123" s="644" t="s">
        <v>1327</v>
      </c>
      <c r="D123" s="644" t="s">
        <v>1148</v>
      </c>
      <c r="E123" s="644" t="s">
        <v>445</v>
      </c>
      <c r="F123" s="644" t="s">
        <v>454</v>
      </c>
      <c r="G123" s="644" t="s">
        <v>451</v>
      </c>
      <c r="H123" s="645">
        <v>9</v>
      </c>
      <c r="I123" s="645" t="s">
        <v>2580</v>
      </c>
      <c r="J123" s="752">
        <f>K123*(1-Bolts!$E$1157)</f>
        <v>89.78947368421052</v>
      </c>
      <c r="K123" s="752">
        <v>89.78947368421052</v>
      </c>
      <c r="L123" s="464">
        <f t="shared" si="54"/>
        <v>12</v>
      </c>
      <c r="M123" s="465">
        <v>0</v>
      </c>
      <c r="N123" s="466"/>
      <c r="O123" s="467">
        <v>4</v>
      </c>
      <c r="P123" s="468">
        <v>0</v>
      </c>
      <c r="Q123" s="469">
        <v>5</v>
      </c>
      <c r="R123" s="470">
        <v>0</v>
      </c>
      <c r="S123" s="471">
        <v>0</v>
      </c>
      <c r="T123" s="472">
        <v>3</v>
      </c>
      <c r="U123" s="473">
        <v>0</v>
      </c>
      <c r="V123" s="464">
        <f>L123*H123</f>
        <v>108</v>
      </c>
      <c r="W123" s="474">
        <f>L123*K123</f>
        <v>1077.4736842105262</v>
      </c>
      <c r="X123" s="475">
        <v>1.7649999999999999</v>
      </c>
      <c r="Y123" s="507">
        <f t="shared" si="55"/>
        <v>21.18</v>
      </c>
      <c r="Z123"/>
      <c r="AA123"/>
      <c r="AB123"/>
      <c r="AC123"/>
    </row>
    <row r="124" spans="1:29" ht="13.5">
      <c r="A124" s="48"/>
      <c r="B124" s="705"/>
      <c r="C124" s="476"/>
      <c r="D124" s="476"/>
      <c r="E124" s="476"/>
      <c r="F124" s="477"/>
      <c r="G124" s="477"/>
      <c r="H124" s="478"/>
      <c r="I124" s="478"/>
      <c r="J124" s="753"/>
      <c r="K124" s="752">
        <v>0</v>
      </c>
      <c r="L124" s="479"/>
      <c r="M124" s="465">
        <v>0</v>
      </c>
      <c r="N124" s="466"/>
      <c r="O124" s="467">
        <v>0</v>
      </c>
      <c r="P124" s="468">
        <v>0</v>
      </c>
      <c r="Q124" s="469">
        <v>0</v>
      </c>
      <c r="R124" s="470">
        <v>0</v>
      </c>
      <c r="S124" s="471">
        <v>0</v>
      </c>
      <c r="T124" s="472">
        <v>0</v>
      </c>
      <c r="U124" s="473">
        <v>0</v>
      </c>
      <c r="V124" s="479"/>
      <c r="W124" s="488"/>
      <c r="X124" s="489">
        <v>0</v>
      </c>
      <c r="Y124" s="508"/>
      <c r="Z124"/>
      <c r="AA124"/>
      <c r="AB124"/>
      <c r="AC124"/>
    </row>
    <row r="125" spans="1:29" ht="14" thickBot="1">
      <c r="A125" s="214"/>
      <c r="B125" s="717" t="s">
        <v>2639</v>
      </c>
      <c r="C125" s="644" t="s">
        <v>1327</v>
      </c>
      <c r="D125" s="647" t="s">
        <v>1152</v>
      </c>
      <c r="E125" s="647" t="s">
        <v>445</v>
      </c>
      <c r="F125" s="647" t="s">
        <v>454</v>
      </c>
      <c r="G125" s="647" t="s">
        <v>451</v>
      </c>
      <c r="H125" s="648">
        <v>25</v>
      </c>
      <c r="I125" s="648" t="s">
        <v>2585</v>
      </c>
      <c r="J125" s="755">
        <f>K125*(1-Bolts!$E$1157)</f>
        <v>127.42105263157893</v>
      </c>
      <c r="K125" s="752">
        <v>127.42105263157893</v>
      </c>
      <c r="L125" s="510">
        <f t="shared" si="54"/>
        <v>13</v>
      </c>
      <c r="M125" s="465">
        <v>0</v>
      </c>
      <c r="N125" s="466"/>
      <c r="O125" s="467">
        <v>4</v>
      </c>
      <c r="P125" s="468">
        <v>0</v>
      </c>
      <c r="Q125" s="469">
        <v>5</v>
      </c>
      <c r="R125" s="470">
        <v>0</v>
      </c>
      <c r="S125" s="471">
        <v>0</v>
      </c>
      <c r="T125" s="472">
        <v>3</v>
      </c>
      <c r="U125" s="473">
        <v>1</v>
      </c>
      <c r="V125" s="510">
        <f>L125*H125</f>
        <v>325</v>
      </c>
      <c r="W125" s="520">
        <f>L125*K125</f>
        <v>1656.473684210526</v>
      </c>
      <c r="X125" s="521">
        <v>1.7370000000000001</v>
      </c>
      <c r="Y125" s="522">
        <f t="shared" si="55"/>
        <v>22.581000000000003</v>
      </c>
      <c r="Z125"/>
      <c r="AA125"/>
      <c r="AB125"/>
      <c r="AC125"/>
    </row>
    <row r="126" spans="1:29" ht="13.5">
      <c r="A126" s="610" t="s">
        <v>2035</v>
      </c>
      <c r="B126" s="716"/>
      <c r="C126" s="588">
        <f>B126</f>
        <v>0</v>
      </c>
      <c r="D126" s="588"/>
      <c r="E126" s="588" t="s">
        <v>445</v>
      </c>
      <c r="F126" s="588"/>
      <c r="G126" s="588"/>
      <c r="H126" s="588"/>
      <c r="I126" s="588"/>
      <c r="J126" s="765"/>
      <c r="K126" s="752">
        <v>0</v>
      </c>
      <c r="L126" s="589"/>
      <c r="M126" s="465">
        <v>0</v>
      </c>
      <c r="N126" s="466"/>
      <c r="O126" s="467">
        <v>0</v>
      </c>
      <c r="P126" s="468">
        <v>0</v>
      </c>
      <c r="Q126" s="469">
        <v>0</v>
      </c>
      <c r="R126" s="470">
        <v>0</v>
      </c>
      <c r="S126" s="471">
        <v>0</v>
      </c>
      <c r="T126" s="472">
        <v>0</v>
      </c>
      <c r="U126" s="473">
        <v>0</v>
      </c>
      <c r="V126" s="589"/>
      <c r="W126" s="589"/>
      <c r="X126" s="589">
        <v>0</v>
      </c>
      <c r="Y126" s="657"/>
      <c r="Z126"/>
      <c r="AA126"/>
      <c r="AB126"/>
      <c r="AC126"/>
    </row>
    <row r="127" spans="1:29" ht="13.5">
      <c r="A127" s="48"/>
      <c r="B127" s="707" t="s">
        <v>1584</v>
      </c>
      <c r="C127" s="461" t="s">
        <v>1327</v>
      </c>
      <c r="D127" s="461" t="s">
        <v>1150</v>
      </c>
      <c r="E127" s="461" t="s">
        <v>445</v>
      </c>
      <c r="F127" s="461" t="s">
        <v>457</v>
      </c>
      <c r="G127" s="461" t="s">
        <v>449</v>
      </c>
      <c r="H127" s="462">
        <v>5</v>
      </c>
      <c r="I127" s="462" t="s">
        <v>1336</v>
      </c>
      <c r="J127" s="752">
        <f>K127*(1-Bolts!$E$1157)</f>
        <v>366.07894736842104</v>
      </c>
      <c r="K127" s="752">
        <v>366.07894736842104</v>
      </c>
      <c r="L127" s="464">
        <f t="shared" ref="L127:L136" si="56">SUM(M127:U127)</f>
        <v>8</v>
      </c>
      <c r="M127" s="465">
        <v>0</v>
      </c>
      <c r="N127" s="466"/>
      <c r="O127" s="467">
        <v>1</v>
      </c>
      <c r="P127" s="468">
        <v>0</v>
      </c>
      <c r="Q127" s="469">
        <v>5</v>
      </c>
      <c r="R127" s="470">
        <v>0</v>
      </c>
      <c r="S127" s="471">
        <v>0</v>
      </c>
      <c r="T127" s="472">
        <v>2</v>
      </c>
      <c r="U127" s="473">
        <v>0</v>
      </c>
      <c r="V127" s="464">
        <f t="shared" ref="V127:V136" si="57">L127*H127</f>
        <v>40</v>
      </c>
      <c r="W127" s="474">
        <f t="shared" ref="W127:W136" si="58">L127*K127</f>
        <v>2928.6315789473683</v>
      </c>
      <c r="X127" s="475">
        <v>7.0650640932595481</v>
      </c>
      <c r="Y127" s="507">
        <f t="shared" ref="Y127:Y136" si="59">X127*L127</f>
        <v>56.520512746076385</v>
      </c>
      <c r="Z127"/>
      <c r="AA127"/>
      <c r="AB127"/>
      <c r="AC127"/>
    </row>
    <row r="128" spans="1:29" ht="13.5">
      <c r="A128" s="48"/>
      <c r="B128" s="707" t="s">
        <v>1585</v>
      </c>
      <c r="C128" s="461" t="s">
        <v>1327</v>
      </c>
      <c r="D128" s="461" t="s">
        <v>1150</v>
      </c>
      <c r="E128" s="461" t="s">
        <v>445</v>
      </c>
      <c r="F128" s="461" t="s">
        <v>455</v>
      </c>
      <c r="G128" s="461" t="s">
        <v>449</v>
      </c>
      <c r="H128" s="462">
        <v>2</v>
      </c>
      <c r="I128" s="462" t="s">
        <v>1337</v>
      </c>
      <c r="J128" s="752">
        <f>K128*(1-Bolts!$E$1157)</f>
        <v>111.02631578947368</v>
      </c>
      <c r="K128" s="752">
        <v>111.02631578947368</v>
      </c>
      <c r="L128" s="464">
        <f t="shared" si="56"/>
        <v>13</v>
      </c>
      <c r="M128" s="465">
        <v>0</v>
      </c>
      <c r="N128" s="466"/>
      <c r="O128" s="467">
        <v>3</v>
      </c>
      <c r="P128" s="468">
        <v>0</v>
      </c>
      <c r="Q128" s="469">
        <v>5</v>
      </c>
      <c r="R128" s="470">
        <v>0</v>
      </c>
      <c r="S128" s="471">
        <v>1</v>
      </c>
      <c r="T128" s="472">
        <v>4</v>
      </c>
      <c r="U128" s="473">
        <v>0</v>
      </c>
      <c r="V128" s="464">
        <f t="shared" si="57"/>
        <v>26</v>
      </c>
      <c r="W128" s="474">
        <f t="shared" si="58"/>
        <v>1443.3421052631579</v>
      </c>
      <c r="X128" s="475">
        <v>2.004018180168738</v>
      </c>
      <c r="Y128" s="507">
        <f t="shared" si="59"/>
        <v>26.052236342193595</v>
      </c>
      <c r="Z128"/>
      <c r="AA128"/>
      <c r="AB128"/>
      <c r="AC128"/>
    </row>
    <row r="129" spans="1:29" ht="13.5">
      <c r="A129" s="48"/>
      <c r="B129" s="707" t="s">
        <v>1346</v>
      </c>
      <c r="C129" s="461" t="s">
        <v>1327</v>
      </c>
      <c r="D129" s="461" t="s">
        <v>1150</v>
      </c>
      <c r="E129" s="461" t="s">
        <v>445</v>
      </c>
      <c r="F129" s="461" t="s">
        <v>458</v>
      </c>
      <c r="G129" s="461" t="s">
        <v>452</v>
      </c>
      <c r="H129" s="462">
        <v>5</v>
      </c>
      <c r="I129" s="462" t="s">
        <v>1338</v>
      </c>
      <c r="J129" s="752">
        <f>K129*(1-Bolts!$E$1157)</f>
        <v>225.81578947368425</v>
      </c>
      <c r="K129" s="752">
        <v>225.81578947368425</v>
      </c>
      <c r="L129" s="464">
        <f t="shared" si="56"/>
        <v>12</v>
      </c>
      <c r="M129" s="465">
        <v>0</v>
      </c>
      <c r="N129" s="466"/>
      <c r="O129" s="467">
        <v>2</v>
      </c>
      <c r="P129" s="468">
        <v>0</v>
      </c>
      <c r="Q129" s="469">
        <v>6</v>
      </c>
      <c r="R129" s="470">
        <v>0</v>
      </c>
      <c r="S129" s="471">
        <v>1</v>
      </c>
      <c r="T129" s="472">
        <v>3</v>
      </c>
      <c r="U129" s="473">
        <v>0</v>
      </c>
      <c r="V129" s="464">
        <f t="shared" si="57"/>
        <v>60</v>
      </c>
      <c r="W129" s="474">
        <f t="shared" si="58"/>
        <v>2709.7894736842109</v>
      </c>
      <c r="X129" s="475">
        <v>3.8420348543953549</v>
      </c>
      <c r="Y129" s="507">
        <f t="shared" si="59"/>
        <v>46.10441825274426</v>
      </c>
      <c r="Z129"/>
      <c r="AA129"/>
      <c r="AB129"/>
      <c r="AC129"/>
    </row>
    <row r="130" spans="1:29" ht="13.5">
      <c r="A130" s="48"/>
      <c r="B130" s="707" t="s">
        <v>1347</v>
      </c>
      <c r="C130" s="461" t="s">
        <v>1327</v>
      </c>
      <c r="D130" s="461" t="s">
        <v>1147</v>
      </c>
      <c r="E130" s="461" t="s">
        <v>445</v>
      </c>
      <c r="F130" s="461" t="s">
        <v>457</v>
      </c>
      <c r="G130" s="461" t="s">
        <v>449</v>
      </c>
      <c r="H130" s="462">
        <v>5</v>
      </c>
      <c r="I130" s="462" t="s">
        <v>1339</v>
      </c>
      <c r="J130" s="752">
        <f>K130*(1-Bolts!$E$1157)</f>
        <v>151.57894736842104</v>
      </c>
      <c r="K130" s="752">
        <v>151.57894736842104</v>
      </c>
      <c r="L130" s="464">
        <f t="shared" si="56"/>
        <v>14</v>
      </c>
      <c r="M130" s="465">
        <v>0</v>
      </c>
      <c r="N130" s="466"/>
      <c r="O130" s="467">
        <v>3</v>
      </c>
      <c r="P130" s="468">
        <v>0</v>
      </c>
      <c r="Q130" s="469">
        <v>5</v>
      </c>
      <c r="R130" s="470">
        <v>0</v>
      </c>
      <c r="S130" s="471">
        <v>1</v>
      </c>
      <c r="T130" s="472">
        <v>5</v>
      </c>
      <c r="U130" s="473">
        <v>0</v>
      </c>
      <c r="V130" s="464">
        <f t="shared" si="57"/>
        <v>70</v>
      </c>
      <c r="W130" s="474">
        <f t="shared" si="58"/>
        <v>2122.1052631578946</v>
      </c>
      <c r="X130" s="475">
        <v>3.5930325954821729</v>
      </c>
      <c r="Y130" s="507">
        <f t="shared" si="59"/>
        <v>50.302456336750424</v>
      </c>
      <c r="Z130"/>
      <c r="AA130"/>
      <c r="AB130"/>
      <c r="AC130"/>
    </row>
    <row r="131" spans="1:29" ht="13.5">
      <c r="A131" s="48"/>
      <c r="B131" s="707" t="s">
        <v>1348</v>
      </c>
      <c r="C131" s="461" t="s">
        <v>1327</v>
      </c>
      <c r="D131" s="461" t="s">
        <v>1147</v>
      </c>
      <c r="E131" s="461" t="s">
        <v>445</v>
      </c>
      <c r="F131" s="461" t="s">
        <v>457</v>
      </c>
      <c r="G131" s="461" t="s">
        <v>449</v>
      </c>
      <c r="H131" s="462">
        <v>5</v>
      </c>
      <c r="I131" s="462" t="s">
        <v>1340</v>
      </c>
      <c r="J131" s="752">
        <f>K131*(1-Bolts!$E$1157)</f>
        <v>194.21052631578945</v>
      </c>
      <c r="K131" s="752">
        <v>194.21052631578945</v>
      </c>
      <c r="L131" s="464">
        <f t="shared" si="56"/>
        <v>10</v>
      </c>
      <c r="M131" s="465">
        <v>0</v>
      </c>
      <c r="N131" s="466"/>
      <c r="O131" s="467">
        <v>2</v>
      </c>
      <c r="P131" s="468">
        <v>0</v>
      </c>
      <c r="Q131" s="469">
        <v>5</v>
      </c>
      <c r="R131" s="470">
        <v>0</v>
      </c>
      <c r="S131" s="471">
        <v>1</v>
      </c>
      <c r="T131" s="472">
        <v>2</v>
      </c>
      <c r="U131" s="473">
        <v>0</v>
      </c>
      <c r="V131" s="464">
        <f t="shared" si="57"/>
        <v>50</v>
      </c>
      <c r="W131" s="474">
        <f t="shared" si="58"/>
        <v>1942.1052631578946</v>
      </c>
      <c r="X131" s="475">
        <v>3.1530286038283588</v>
      </c>
      <c r="Y131" s="507">
        <f t="shared" si="59"/>
        <v>31.530286038283588</v>
      </c>
      <c r="Z131"/>
      <c r="AA131"/>
      <c r="AB131"/>
      <c r="AC131"/>
    </row>
    <row r="132" spans="1:29" ht="13.5">
      <c r="A132" s="48"/>
      <c r="B132" s="707" t="s">
        <v>1349</v>
      </c>
      <c r="C132" s="461" t="s">
        <v>1327</v>
      </c>
      <c r="D132" s="461" t="s">
        <v>452</v>
      </c>
      <c r="E132" s="461" t="s">
        <v>445</v>
      </c>
      <c r="F132" s="461" t="s">
        <v>455</v>
      </c>
      <c r="G132" s="461" t="s">
        <v>452</v>
      </c>
      <c r="H132" s="462">
        <v>5</v>
      </c>
      <c r="I132" s="462" t="s">
        <v>1341</v>
      </c>
      <c r="J132" s="752">
        <f>K132*(1-Bolts!$E$1157)</f>
        <v>152.94736842105263</v>
      </c>
      <c r="K132" s="752">
        <v>152.94736842105263</v>
      </c>
      <c r="L132" s="464">
        <f t="shared" si="56"/>
        <v>15</v>
      </c>
      <c r="M132" s="465">
        <v>0</v>
      </c>
      <c r="N132" s="466"/>
      <c r="O132" s="467">
        <v>3</v>
      </c>
      <c r="P132" s="468">
        <v>1</v>
      </c>
      <c r="Q132" s="469">
        <v>5</v>
      </c>
      <c r="R132" s="470">
        <v>0</v>
      </c>
      <c r="S132" s="471">
        <v>1</v>
      </c>
      <c r="T132" s="472">
        <v>5</v>
      </c>
      <c r="U132" s="473">
        <v>0</v>
      </c>
      <c r="V132" s="464">
        <f t="shared" si="57"/>
        <v>75</v>
      </c>
      <c r="W132" s="474">
        <f t="shared" si="58"/>
        <v>2294.2105263157896</v>
      </c>
      <c r="X132" s="475">
        <v>2.2540204481538599</v>
      </c>
      <c r="Y132" s="507">
        <f t="shared" si="59"/>
        <v>33.810306722307899</v>
      </c>
      <c r="Z132"/>
      <c r="AA132"/>
      <c r="AB132"/>
      <c r="AC132"/>
    </row>
    <row r="133" spans="1:29" ht="13.5">
      <c r="A133" s="48"/>
      <c r="B133" s="707" t="s">
        <v>1350</v>
      </c>
      <c r="C133" s="461" t="s">
        <v>1327</v>
      </c>
      <c r="D133" s="461" t="s">
        <v>1148</v>
      </c>
      <c r="E133" s="461" t="s">
        <v>445</v>
      </c>
      <c r="F133" s="461" t="s">
        <v>458</v>
      </c>
      <c r="G133" s="461" t="s">
        <v>451</v>
      </c>
      <c r="H133" s="462">
        <v>15</v>
      </c>
      <c r="I133" s="462" t="s">
        <v>1342</v>
      </c>
      <c r="J133" s="752">
        <f>K133*(1-Bolts!$E$1157)</f>
        <v>138.13157894736841</v>
      </c>
      <c r="K133" s="752">
        <v>138.13157894736841</v>
      </c>
      <c r="L133" s="464">
        <f t="shared" si="56"/>
        <v>9</v>
      </c>
      <c r="M133" s="465">
        <v>0</v>
      </c>
      <c r="N133" s="466"/>
      <c r="O133" s="467">
        <v>2</v>
      </c>
      <c r="P133" s="468">
        <v>0</v>
      </c>
      <c r="Q133" s="469">
        <v>4</v>
      </c>
      <c r="R133" s="470">
        <v>0</v>
      </c>
      <c r="S133" s="471">
        <v>0</v>
      </c>
      <c r="T133" s="472">
        <v>3</v>
      </c>
      <c r="U133" s="473">
        <v>0</v>
      </c>
      <c r="V133" s="464">
        <f t="shared" si="57"/>
        <v>135</v>
      </c>
      <c r="W133" s="474">
        <f t="shared" si="58"/>
        <v>1243.1842105263156</v>
      </c>
      <c r="X133" s="475">
        <v>2.5550231788079465</v>
      </c>
      <c r="Y133" s="507">
        <f t="shared" si="59"/>
        <v>22.995208609271518</v>
      </c>
      <c r="Z133"/>
      <c r="AA133"/>
      <c r="AB133"/>
      <c r="AC133"/>
    </row>
    <row r="134" spans="1:29" ht="13.5">
      <c r="A134" s="48"/>
      <c r="B134" s="707" t="s">
        <v>1351</v>
      </c>
      <c r="C134" s="461" t="s">
        <v>1327</v>
      </c>
      <c r="D134" s="461" t="s">
        <v>1152</v>
      </c>
      <c r="E134" s="461" t="s">
        <v>445</v>
      </c>
      <c r="F134" s="461" t="s">
        <v>454</v>
      </c>
      <c r="G134" s="461" t="s">
        <v>451</v>
      </c>
      <c r="H134" s="462">
        <v>25</v>
      </c>
      <c r="I134" s="462" t="s">
        <v>1343</v>
      </c>
      <c r="J134" s="752">
        <f>K134*(1-Bolts!$E$1157)</f>
        <v>145.49999999999997</v>
      </c>
      <c r="K134" s="752">
        <v>145.49999999999997</v>
      </c>
      <c r="L134" s="464">
        <f t="shared" si="56"/>
        <v>16</v>
      </c>
      <c r="M134" s="465">
        <v>0</v>
      </c>
      <c r="N134" s="466"/>
      <c r="O134" s="467">
        <v>3</v>
      </c>
      <c r="P134" s="468">
        <v>0</v>
      </c>
      <c r="Q134" s="469">
        <v>8</v>
      </c>
      <c r="R134" s="470">
        <v>0</v>
      </c>
      <c r="S134" s="471">
        <v>1</v>
      </c>
      <c r="T134" s="472">
        <v>4</v>
      </c>
      <c r="U134" s="473">
        <v>0</v>
      </c>
      <c r="V134" s="464">
        <f t="shared" si="57"/>
        <v>400</v>
      </c>
      <c r="W134" s="474">
        <f t="shared" si="58"/>
        <v>2327.9999999999995</v>
      </c>
      <c r="X134" s="475">
        <v>2.0830188968520362</v>
      </c>
      <c r="Y134" s="507">
        <f t="shared" si="59"/>
        <v>33.32830234963258</v>
      </c>
      <c r="Z134"/>
      <c r="AA134"/>
      <c r="AB134"/>
      <c r="AC134"/>
    </row>
    <row r="135" spans="1:29" ht="13.5">
      <c r="A135" s="48"/>
      <c r="B135" s="707" t="s">
        <v>1352</v>
      </c>
      <c r="C135" s="461" t="s">
        <v>1327</v>
      </c>
      <c r="D135" s="461" t="s">
        <v>1152</v>
      </c>
      <c r="E135" s="461" t="s">
        <v>445</v>
      </c>
      <c r="F135" s="461" t="s">
        <v>454</v>
      </c>
      <c r="G135" s="461" t="s">
        <v>452</v>
      </c>
      <c r="H135" s="462">
        <v>25</v>
      </c>
      <c r="I135" s="462" t="s">
        <v>1344</v>
      </c>
      <c r="J135" s="752">
        <f>K135*(1-Bolts!$E$1157)</f>
        <v>151.76315789473685</v>
      </c>
      <c r="K135" s="752">
        <v>151.76315789473685</v>
      </c>
      <c r="L135" s="464">
        <f t="shared" si="56"/>
        <v>12</v>
      </c>
      <c r="M135" s="465">
        <v>0</v>
      </c>
      <c r="N135" s="466"/>
      <c r="O135" s="467">
        <v>2</v>
      </c>
      <c r="P135" s="468">
        <v>0</v>
      </c>
      <c r="Q135" s="469">
        <v>6</v>
      </c>
      <c r="R135" s="470">
        <v>0</v>
      </c>
      <c r="S135" s="471">
        <v>0</v>
      </c>
      <c r="T135" s="472">
        <v>4</v>
      </c>
      <c r="U135" s="473">
        <v>0</v>
      </c>
      <c r="V135" s="464">
        <f t="shared" si="57"/>
        <v>300</v>
      </c>
      <c r="W135" s="474">
        <f t="shared" si="58"/>
        <v>1821.1578947368421</v>
      </c>
      <c r="X135" s="475">
        <v>2.0710187879887507</v>
      </c>
      <c r="Y135" s="507">
        <f t="shared" si="59"/>
        <v>24.85222545586501</v>
      </c>
      <c r="Z135"/>
      <c r="AA135"/>
      <c r="AB135"/>
      <c r="AC135"/>
    </row>
    <row r="136" spans="1:29" ht="13.5">
      <c r="A136" s="48"/>
      <c r="B136" s="707" t="s">
        <v>1353</v>
      </c>
      <c r="C136" s="461" t="s">
        <v>1327</v>
      </c>
      <c r="D136" s="461" t="s">
        <v>456</v>
      </c>
      <c r="E136" s="461" t="s">
        <v>445</v>
      </c>
      <c r="F136" s="461" t="s">
        <v>456</v>
      </c>
      <c r="G136" s="461" t="s">
        <v>451</v>
      </c>
      <c r="H136" s="462">
        <v>20</v>
      </c>
      <c r="I136" s="462" t="s">
        <v>1345</v>
      </c>
      <c r="J136" s="752">
        <f>K136*(1-Bolts!$E$1157)</f>
        <v>194</v>
      </c>
      <c r="K136" s="752">
        <v>194</v>
      </c>
      <c r="L136" s="464">
        <f t="shared" si="56"/>
        <v>14</v>
      </c>
      <c r="M136" s="465">
        <v>0</v>
      </c>
      <c r="N136" s="466"/>
      <c r="O136" s="467">
        <v>4</v>
      </c>
      <c r="P136" s="468">
        <v>0</v>
      </c>
      <c r="Q136" s="469">
        <v>5</v>
      </c>
      <c r="R136" s="470">
        <v>0</v>
      </c>
      <c r="S136" s="471">
        <v>0</v>
      </c>
      <c r="T136" s="472">
        <v>5</v>
      </c>
      <c r="U136" s="473">
        <v>0</v>
      </c>
      <c r="V136" s="464">
        <f t="shared" si="57"/>
        <v>280</v>
      </c>
      <c r="W136" s="474">
        <f t="shared" si="58"/>
        <v>2716</v>
      </c>
      <c r="X136" s="475">
        <v>3.672033312165472</v>
      </c>
      <c r="Y136" s="507">
        <f t="shared" si="59"/>
        <v>51.40846637031661</v>
      </c>
      <c r="Z136"/>
      <c r="AA136"/>
      <c r="AB136"/>
      <c r="AC136"/>
    </row>
    <row r="137" spans="1:29" ht="13.5">
      <c r="A137" s="610" t="s">
        <v>2040</v>
      </c>
      <c r="B137" s="714"/>
      <c r="C137" s="491">
        <f>B137</f>
        <v>0</v>
      </c>
      <c r="D137" s="491"/>
      <c r="E137" s="491" t="s">
        <v>445</v>
      </c>
      <c r="F137" s="491"/>
      <c r="G137" s="491"/>
      <c r="H137" s="491"/>
      <c r="I137" s="491"/>
      <c r="J137" s="754"/>
      <c r="K137" s="752">
        <v>0</v>
      </c>
      <c r="L137" s="493"/>
      <c r="M137" s="465">
        <v>0</v>
      </c>
      <c r="N137" s="466"/>
      <c r="O137" s="467">
        <v>0</v>
      </c>
      <c r="P137" s="468">
        <v>0</v>
      </c>
      <c r="Q137" s="469">
        <v>0</v>
      </c>
      <c r="R137" s="470">
        <v>0</v>
      </c>
      <c r="S137" s="471">
        <v>0</v>
      </c>
      <c r="T137" s="472">
        <v>0</v>
      </c>
      <c r="U137" s="473">
        <v>0</v>
      </c>
      <c r="V137" s="493"/>
      <c r="W137" s="493"/>
      <c r="X137" s="493">
        <v>0</v>
      </c>
      <c r="Y137" s="509"/>
      <c r="Z137"/>
      <c r="AA137"/>
      <c r="AB137"/>
      <c r="AC137"/>
    </row>
    <row r="138" spans="1:29" ht="13.5">
      <c r="A138" s="48"/>
      <c r="B138" s="707" t="s">
        <v>1416</v>
      </c>
      <c r="C138" s="461" t="s">
        <v>1079</v>
      </c>
      <c r="D138" s="461" t="s">
        <v>1151</v>
      </c>
      <c r="E138" s="461" t="s">
        <v>445</v>
      </c>
      <c r="F138" s="461" t="s">
        <v>457</v>
      </c>
      <c r="G138" s="461" t="s">
        <v>449</v>
      </c>
      <c r="H138" s="462">
        <v>5</v>
      </c>
      <c r="I138" s="462" t="s">
        <v>1415</v>
      </c>
      <c r="J138" s="752">
        <f>K138*(1-Bolts!$E$1157)</f>
        <v>351.9473684210526</v>
      </c>
      <c r="K138" s="752">
        <v>351.9473684210526</v>
      </c>
      <c r="L138" s="464">
        <f t="shared" ref="L138:L144" si="60">SUM(M138:U138)</f>
        <v>15</v>
      </c>
      <c r="M138" s="465">
        <v>0</v>
      </c>
      <c r="N138" s="466"/>
      <c r="O138" s="467">
        <v>5</v>
      </c>
      <c r="P138" s="468">
        <v>0</v>
      </c>
      <c r="Q138" s="469">
        <v>5</v>
      </c>
      <c r="R138" s="470">
        <v>0</v>
      </c>
      <c r="S138" s="471">
        <v>0</v>
      </c>
      <c r="T138" s="472">
        <v>5</v>
      </c>
      <c r="U138" s="473">
        <v>0</v>
      </c>
      <c r="V138" s="464">
        <f t="shared" ref="V138:V145" si="61">L138*H138</f>
        <v>75</v>
      </c>
      <c r="W138" s="474">
        <f t="shared" ref="W138:W145" si="62">L138*K138</f>
        <v>5279.2105263157891</v>
      </c>
      <c r="X138" s="475">
        <v>6.5940598203755778</v>
      </c>
      <c r="Y138" s="507">
        <f t="shared" ref="Y138:Y144" si="63">X138*L138</f>
        <v>98.910897305633668</v>
      </c>
      <c r="Z138"/>
      <c r="AA138"/>
      <c r="AB138"/>
      <c r="AC138"/>
    </row>
    <row r="139" spans="1:29" ht="13.5">
      <c r="A139" s="48"/>
      <c r="B139" s="707" t="s">
        <v>1418</v>
      </c>
      <c r="C139" s="461" t="s">
        <v>1079</v>
      </c>
      <c r="D139" s="461" t="s">
        <v>1151</v>
      </c>
      <c r="E139" s="461" t="s">
        <v>445</v>
      </c>
      <c r="F139" s="461" t="s">
        <v>458</v>
      </c>
      <c r="G139" s="461" t="s">
        <v>452</v>
      </c>
      <c r="H139" s="462">
        <v>3</v>
      </c>
      <c r="I139" s="462" t="s">
        <v>1417</v>
      </c>
      <c r="J139" s="752">
        <f>K139*(1-Bolts!$E$1157)</f>
        <v>132.44736842105263</v>
      </c>
      <c r="K139" s="752">
        <v>132.44736842105263</v>
      </c>
      <c r="L139" s="464">
        <f t="shared" si="60"/>
        <v>15</v>
      </c>
      <c r="M139" s="465">
        <v>0</v>
      </c>
      <c r="N139" s="466"/>
      <c r="O139" s="467">
        <v>5</v>
      </c>
      <c r="P139" s="468">
        <v>0</v>
      </c>
      <c r="Q139" s="469">
        <v>5</v>
      </c>
      <c r="R139" s="470">
        <v>0</v>
      </c>
      <c r="S139" s="471">
        <v>0</v>
      </c>
      <c r="T139" s="472">
        <v>5</v>
      </c>
      <c r="U139" s="473">
        <v>0</v>
      </c>
      <c r="V139" s="464">
        <f t="shared" si="61"/>
        <v>45</v>
      </c>
      <c r="W139" s="474">
        <f t="shared" si="62"/>
        <v>1986.7105263157894</v>
      </c>
      <c r="X139" s="475">
        <v>2.2490204027941574</v>
      </c>
      <c r="Y139" s="507">
        <f t="shared" si="63"/>
        <v>33.735306041912359</v>
      </c>
      <c r="Z139"/>
      <c r="AA139"/>
      <c r="AB139"/>
      <c r="AC139"/>
    </row>
    <row r="140" spans="1:29" ht="13.5">
      <c r="A140" s="48"/>
      <c r="B140" s="707" t="s">
        <v>1544</v>
      </c>
      <c r="C140" s="461" t="s">
        <v>1079</v>
      </c>
      <c r="D140" s="461" t="s">
        <v>1151</v>
      </c>
      <c r="E140" s="461" t="s">
        <v>445</v>
      </c>
      <c r="F140" s="461" t="s">
        <v>453</v>
      </c>
      <c r="G140" s="461" t="s">
        <v>452</v>
      </c>
      <c r="H140" s="462">
        <v>5</v>
      </c>
      <c r="I140" s="462" t="s">
        <v>1419</v>
      </c>
      <c r="J140" s="752">
        <f>K140*(1-Bolts!$E$1157)</f>
        <v>184.15789473684211</v>
      </c>
      <c r="K140" s="752">
        <v>184.15789473684211</v>
      </c>
      <c r="L140" s="464">
        <f t="shared" si="60"/>
        <v>14</v>
      </c>
      <c r="M140" s="465">
        <v>0</v>
      </c>
      <c r="N140" s="466"/>
      <c r="O140" s="467">
        <v>5</v>
      </c>
      <c r="P140" s="468">
        <v>0</v>
      </c>
      <c r="Q140" s="469">
        <v>4</v>
      </c>
      <c r="R140" s="470">
        <v>0</v>
      </c>
      <c r="S140" s="471">
        <v>0</v>
      </c>
      <c r="T140" s="472">
        <v>5</v>
      </c>
      <c r="U140" s="473">
        <v>0</v>
      </c>
      <c r="V140" s="464">
        <f t="shared" si="61"/>
        <v>70</v>
      </c>
      <c r="W140" s="474">
        <f t="shared" si="62"/>
        <v>2578.2105263157896</v>
      </c>
      <c r="X140" s="475">
        <v>2.9330266080014509</v>
      </c>
      <c r="Y140" s="507">
        <f t="shared" si="63"/>
        <v>41.06237251202031</v>
      </c>
      <c r="Z140"/>
      <c r="AA140"/>
      <c r="AB140"/>
      <c r="AC140"/>
    </row>
    <row r="141" spans="1:29" ht="13.5">
      <c r="A141" s="48"/>
      <c r="B141" s="707" t="s">
        <v>1421</v>
      </c>
      <c r="C141" s="461" t="s">
        <v>1079</v>
      </c>
      <c r="D141" s="461" t="s">
        <v>1147</v>
      </c>
      <c r="E141" s="461" t="s">
        <v>445</v>
      </c>
      <c r="F141" s="461" t="s">
        <v>457</v>
      </c>
      <c r="G141" s="461" t="s">
        <v>449</v>
      </c>
      <c r="H141" s="462">
        <v>7</v>
      </c>
      <c r="I141" s="462" t="s">
        <v>1420</v>
      </c>
      <c r="J141" s="752">
        <f>K141*(1-Bolts!$E$1157)</f>
        <v>326.42105263157896</v>
      </c>
      <c r="K141" s="752">
        <v>326.42105263157896</v>
      </c>
      <c r="L141" s="464">
        <f t="shared" si="60"/>
        <v>16</v>
      </c>
      <c r="M141" s="465">
        <v>0</v>
      </c>
      <c r="N141" s="466"/>
      <c r="O141" s="467">
        <v>5</v>
      </c>
      <c r="P141" s="468">
        <v>0</v>
      </c>
      <c r="Q141" s="469">
        <v>6</v>
      </c>
      <c r="R141" s="470">
        <v>0</v>
      </c>
      <c r="S141" s="471">
        <v>0</v>
      </c>
      <c r="T141" s="472">
        <v>5</v>
      </c>
      <c r="U141" s="473">
        <v>0</v>
      </c>
      <c r="V141" s="464">
        <f t="shared" si="61"/>
        <v>112</v>
      </c>
      <c r="W141" s="474">
        <f t="shared" si="62"/>
        <v>5222.7368421052633</v>
      </c>
      <c r="X141" s="475">
        <v>5.5930507393631492</v>
      </c>
      <c r="Y141" s="507">
        <f t="shared" si="63"/>
        <v>89.488811829810388</v>
      </c>
      <c r="Z141"/>
      <c r="AA141"/>
      <c r="AB141"/>
      <c r="AC141"/>
    </row>
    <row r="142" spans="1:29" ht="13.5">
      <c r="A142" s="48"/>
      <c r="B142" s="707" t="s">
        <v>1423</v>
      </c>
      <c r="C142" s="461" t="s">
        <v>1079</v>
      </c>
      <c r="D142" s="461" t="s">
        <v>1147</v>
      </c>
      <c r="E142" s="461" t="s">
        <v>445</v>
      </c>
      <c r="F142" s="461" t="s">
        <v>458</v>
      </c>
      <c r="G142" s="461" t="s">
        <v>452</v>
      </c>
      <c r="H142" s="462">
        <v>5</v>
      </c>
      <c r="I142" s="462" t="s">
        <v>1422</v>
      </c>
      <c r="J142" s="752">
        <f>K142*(1-Bolts!$E$1157)</f>
        <v>161.31578947368422</v>
      </c>
      <c r="K142" s="752">
        <v>161.31578947368422</v>
      </c>
      <c r="L142" s="464">
        <f t="shared" si="60"/>
        <v>14</v>
      </c>
      <c r="M142" s="465">
        <v>0</v>
      </c>
      <c r="N142" s="466"/>
      <c r="O142" s="467">
        <v>5</v>
      </c>
      <c r="P142" s="468">
        <v>0</v>
      </c>
      <c r="Q142" s="469">
        <v>5</v>
      </c>
      <c r="R142" s="470">
        <v>0</v>
      </c>
      <c r="S142" s="471">
        <v>0</v>
      </c>
      <c r="T142" s="472">
        <v>4</v>
      </c>
      <c r="U142" s="473">
        <v>0</v>
      </c>
      <c r="V142" s="464">
        <f t="shared" si="61"/>
        <v>70</v>
      </c>
      <c r="W142" s="474">
        <f t="shared" si="62"/>
        <v>2258.4210526315792</v>
      </c>
      <c r="X142" s="475">
        <v>3.2080291027850856</v>
      </c>
      <c r="Y142" s="507">
        <f t="shared" si="63"/>
        <v>44.912407438991195</v>
      </c>
      <c r="Z142"/>
      <c r="AA142"/>
      <c r="AB142"/>
      <c r="AC142"/>
    </row>
    <row r="143" spans="1:29" ht="13.5">
      <c r="A143" s="48"/>
      <c r="B143" s="707" t="s">
        <v>1425</v>
      </c>
      <c r="C143" s="461" t="s">
        <v>1079</v>
      </c>
      <c r="D143" s="461" t="s">
        <v>452</v>
      </c>
      <c r="E143" s="461" t="s">
        <v>445</v>
      </c>
      <c r="F143" s="461" t="s">
        <v>450</v>
      </c>
      <c r="G143" s="461" t="s">
        <v>452</v>
      </c>
      <c r="H143" s="462">
        <v>5</v>
      </c>
      <c r="I143" s="462" t="s">
        <v>1424</v>
      </c>
      <c r="J143" s="752">
        <f>K143*(1-Bolts!$E$1157)</f>
        <v>127.86842105263158</v>
      </c>
      <c r="K143" s="752">
        <v>127.86842105263158</v>
      </c>
      <c r="L143" s="464">
        <f t="shared" si="60"/>
        <v>13</v>
      </c>
      <c r="M143" s="465">
        <v>0</v>
      </c>
      <c r="N143" s="466"/>
      <c r="O143" s="467">
        <v>3</v>
      </c>
      <c r="P143" s="468">
        <v>0</v>
      </c>
      <c r="Q143" s="469">
        <v>5</v>
      </c>
      <c r="R143" s="470">
        <v>0</v>
      </c>
      <c r="S143" s="471">
        <v>0</v>
      </c>
      <c r="T143" s="472">
        <v>5</v>
      </c>
      <c r="U143" s="473">
        <v>0</v>
      </c>
      <c r="V143" s="464">
        <f t="shared" si="61"/>
        <v>65</v>
      </c>
      <c r="W143" s="474">
        <f t="shared" si="62"/>
        <v>1662.2894736842104</v>
      </c>
      <c r="X143" s="475">
        <v>2.9690269345913083</v>
      </c>
      <c r="Y143" s="507">
        <f t="shared" si="63"/>
        <v>38.59735014968701</v>
      </c>
      <c r="Z143"/>
      <c r="AA143"/>
      <c r="AB143"/>
      <c r="AC143"/>
    </row>
    <row r="144" spans="1:29" ht="13.5">
      <c r="A144" s="48"/>
      <c r="B144" s="707" t="s">
        <v>1427</v>
      </c>
      <c r="C144" s="461" t="s">
        <v>1079</v>
      </c>
      <c r="D144" s="461" t="s">
        <v>1148</v>
      </c>
      <c r="E144" s="461" t="s">
        <v>445</v>
      </c>
      <c r="F144" s="461" t="s">
        <v>450</v>
      </c>
      <c r="G144" s="461" t="s">
        <v>451</v>
      </c>
      <c r="H144" s="462">
        <v>10</v>
      </c>
      <c r="I144" s="462" t="s">
        <v>1426</v>
      </c>
      <c r="J144" s="752">
        <f>K144*(1-Bolts!$E$1157)</f>
        <v>156.36842105263159</v>
      </c>
      <c r="K144" s="752">
        <v>156.36842105263159</v>
      </c>
      <c r="L144" s="464">
        <f t="shared" si="60"/>
        <v>12</v>
      </c>
      <c r="M144" s="465">
        <v>0</v>
      </c>
      <c r="N144" s="466"/>
      <c r="O144" s="467">
        <v>3</v>
      </c>
      <c r="P144" s="468">
        <v>0</v>
      </c>
      <c r="Q144" s="469">
        <v>5</v>
      </c>
      <c r="R144" s="470">
        <v>0</v>
      </c>
      <c r="S144" s="471">
        <v>0</v>
      </c>
      <c r="T144" s="472">
        <v>4</v>
      </c>
      <c r="U144" s="473">
        <v>0</v>
      </c>
      <c r="V144" s="464">
        <f t="shared" si="61"/>
        <v>120</v>
      </c>
      <c r="W144" s="474">
        <f t="shared" si="62"/>
        <v>1876.4210526315792</v>
      </c>
      <c r="X144" s="475">
        <v>3.3520304091445157</v>
      </c>
      <c r="Y144" s="507">
        <f t="shared" si="63"/>
        <v>40.224364909734192</v>
      </c>
      <c r="Z144"/>
      <c r="AA144"/>
      <c r="AB144"/>
      <c r="AC144"/>
    </row>
    <row r="145" spans="1:29" ht="13.5">
      <c r="A145" s="48"/>
      <c r="B145" s="707" t="s">
        <v>1429</v>
      </c>
      <c r="C145" s="461" t="s">
        <v>1079</v>
      </c>
      <c r="D145" s="461" t="s">
        <v>1152</v>
      </c>
      <c r="E145" s="461" t="s">
        <v>445</v>
      </c>
      <c r="F145" s="461" t="s">
        <v>454</v>
      </c>
      <c r="G145" s="461" t="s">
        <v>451</v>
      </c>
      <c r="H145" s="462">
        <v>25</v>
      </c>
      <c r="I145" s="462" t="s">
        <v>1428</v>
      </c>
      <c r="J145" s="752">
        <f>K145*(1-Bolts!$E$1157)</f>
        <v>191.05263157894734</v>
      </c>
      <c r="K145" s="752">
        <v>191.05263157894734</v>
      </c>
      <c r="L145" s="464">
        <f t="shared" ref="L145" si="64">SUM(M145:U145)</f>
        <v>13</v>
      </c>
      <c r="M145" s="465">
        <v>0</v>
      </c>
      <c r="N145" s="466"/>
      <c r="O145" s="467">
        <v>3</v>
      </c>
      <c r="P145" s="468">
        <v>0</v>
      </c>
      <c r="Q145" s="469">
        <v>5</v>
      </c>
      <c r="R145" s="470">
        <v>0</v>
      </c>
      <c r="S145" s="471">
        <v>0</v>
      </c>
      <c r="T145" s="472">
        <v>5</v>
      </c>
      <c r="U145" s="473">
        <v>0</v>
      </c>
      <c r="V145" s="464">
        <f t="shared" si="61"/>
        <v>325</v>
      </c>
      <c r="W145" s="474">
        <f t="shared" si="62"/>
        <v>2483.6842105263154</v>
      </c>
      <c r="X145" s="475">
        <v>3.2660296289576336</v>
      </c>
      <c r="Y145" s="507">
        <f t="shared" ref="Y145" si="65">X145*L145</f>
        <v>42.458385176449234</v>
      </c>
      <c r="Z145"/>
      <c r="AA145"/>
      <c r="AB145"/>
      <c r="AC145"/>
    </row>
    <row r="146" spans="1:29" ht="40" customHeight="1">
      <c r="A146" s="615" t="s">
        <v>2110</v>
      </c>
      <c r="B146" s="712" t="s">
        <v>2270</v>
      </c>
      <c r="C146" s="491"/>
      <c r="D146" s="491"/>
      <c r="E146" s="495"/>
      <c r="F146" s="491"/>
      <c r="G146" s="491"/>
      <c r="H146" s="491"/>
      <c r="I146" s="491"/>
      <c r="J146" s="766"/>
      <c r="K146" s="752">
        <v>0</v>
      </c>
      <c r="L146" s="491"/>
      <c r="M146" s="494" t="s">
        <v>1328</v>
      </c>
      <c r="N146" s="498"/>
      <c r="O146" s="499"/>
      <c r="P146" s="500"/>
      <c r="Q146" s="501"/>
      <c r="R146" s="502"/>
      <c r="S146" s="524"/>
      <c r="T146" s="525"/>
      <c r="U146" s="526"/>
      <c r="V146" s="497"/>
      <c r="W146" s="527"/>
      <c r="X146" s="528">
        <v>0</v>
      </c>
      <c r="Y146" s="590"/>
      <c r="Z146"/>
      <c r="AA146"/>
      <c r="AB146"/>
      <c r="AC146"/>
    </row>
    <row r="147" spans="1:29" ht="60">
      <c r="A147" s="212"/>
      <c r="B147" s="712"/>
      <c r="C147" s="491"/>
      <c r="D147" s="491"/>
      <c r="E147" s="495"/>
      <c r="F147" s="491"/>
      <c r="G147" s="491"/>
      <c r="H147" s="491"/>
      <c r="I147" s="491"/>
      <c r="J147" s="766"/>
      <c r="K147" s="752">
        <v>0</v>
      </c>
      <c r="L147" s="491"/>
      <c r="M147" s="541" t="s">
        <v>2067</v>
      </c>
      <c r="N147" s="584" t="s">
        <v>2117</v>
      </c>
      <c r="O147" s="542" t="s">
        <v>2064</v>
      </c>
      <c r="P147" s="543" t="s">
        <v>2065</v>
      </c>
      <c r="Q147" s="544" t="s">
        <v>2066</v>
      </c>
      <c r="R147" s="545" t="s">
        <v>2068</v>
      </c>
      <c r="S147" s="546" t="s">
        <v>2069</v>
      </c>
      <c r="T147" s="547" t="s">
        <v>2070</v>
      </c>
      <c r="U147" s="548" t="s">
        <v>2063</v>
      </c>
      <c r="V147" s="497"/>
      <c r="W147" s="527"/>
      <c r="X147" s="528">
        <v>0</v>
      </c>
      <c r="Y147" s="590"/>
      <c r="Z147"/>
      <c r="AA147"/>
      <c r="AB147"/>
      <c r="AC147"/>
    </row>
    <row r="148" spans="1:29" ht="14" thickBot="1">
      <c r="A148" s="48"/>
      <c r="B148" s="717" t="s">
        <v>2390</v>
      </c>
      <c r="C148" s="647" t="s">
        <v>1080</v>
      </c>
      <c r="D148" s="647" t="s">
        <v>1146</v>
      </c>
      <c r="E148" s="647" t="s">
        <v>2110</v>
      </c>
      <c r="F148" s="647" t="s">
        <v>2113</v>
      </c>
      <c r="G148" s="647" t="s">
        <v>452</v>
      </c>
      <c r="H148" s="648">
        <v>4</v>
      </c>
      <c r="I148" s="648" t="s">
        <v>2368</v>
      </c>
      <c r="J148" s="755">
        <f>K148*(1-Bolts!$E$1157)</f>
        <v>607.47368421052624</v>
      </c>
      <c r="K148" s="752">
        <v>607.47368421052624</v>
      </c>
      <c r="L148" s="510">
        <f t="shared" ref="L148" si="66">SUM(M148:U148)</f>
        <v>0</v>
      </c>
      <c r="M148" s="511"/>
      <c r="N148" s="512"/>
      <c r="O148" s="513"/>
      <c r="P148" s="514"/>
      <c r="Q148" s="515"/>
      <c r="R148" s="516"/>
      <c r="S148" s="517"/>
      <c r="T148" s="518"/>
      <c r="U148" s="519"/>
      <c r="V148" s="510">
        <f>L148*H148</f>
        <v>0</v>
      </c>
      <c r="W148" s="520">
        <f>L148*K148</f>
        <v>0</v>
      </c>
      <c r="X148" s="521">
        <v>6.1689195318878705</v>
      </c>
      <c r="Y148" s="522">
        <f t="shared" ref="Y148" si="67">X148*L148</f>
        <v>0</v>
      </c>
      <c r="Z148"/>
      <c r="AA148"/>
      <c r="AB148"/>
      <c r="AC148"/>
    </row>
    <row r="149" spans="1:29" ht="20">
      <c r="A149" s="51"/>
      <c r="B149" s="185"/>
      <c r="C149" s="185"/>
      <c r="D149" s="185"/>
      <c r="E149" s="185"/>
      <c r="F149" s="185"/>
      <c r="G149" s="185"/>
      <c r="H149" s="186"/>
      <c r="I149" s="187"/>
      <c r="J149" s="188" t="s">
        <v>32</v>
      </c>
      <c r="K149" s="188"/>
      <c r="L149" s="189">
        <f>SUM(L36:L148)</f>
        <v>828</v>
      </c>
      <c r="M149" s="190"/>
      <c r="N149" s="191"/>
      <c r="O149" s="190"/>
      <c r="P149" s="190"/>
      <c r="Q149" s="190"/>
      <c r="R149" s="190"/>
      <c r="S149" s="190"/>
      <c r="T149" s="191"/>
      <c r="U149" s="192"/>
      <c r="V149" s="193"/>
      <c r="W149" s="194"/>
      <c r="X149" s="195" t="s">
        <v>340</v>
      </c>
      <c r="Y149" s="357">
        <f>SUM(Y36:Y148)</f>
        <v>2744.7778049804942</v>
      </c>
    </row>
    <row r="150" spans="1:29" ht="14" thickBot="1">
      <c r="I150" s="58" t="s">
        <v>341</v>
      </c>
      <c r="J150" s="59"/>
      <c r="K150" s="60"/>
      <c r="L150" s="222"/>
      <c r="M150" s="61">
        <f t="shared" ref="M150:U150" si="68">SUM(M36:M149)</f>
        <v>3</v>
      </c>
      <c r="N150" s="61">
        <f t="shared" si="68"/>
        <v>0</v>
      </c>
      <c r="O150" s="61">
        <f t="shared" si="68"/>
        <v>207</v>
      </c>
      <c r="P150" s="61">
        <f t="shared" si="68"/>
        <v>3</v>
      </c>
      <c r="Q150" s="61">
        <f t="shared" si="68"/>
        <v>339</v>
      </c>
      <c r="R150" s="61">
        <f t="shared" si="68"/>
        <v>1</v>
      </c>
      <c r="S150" s="61">
        <f t="shared" si="68"/>
        <v>6</v>
      </c>
      <c r="T150" s="61">
        <f t="shared" si="68"/>
        <v>268</v>
      </c>
      <c r="U150" s="61">
        <f t="shared" si="68"/>
        <v>1</v>
      </c>
      <c r="V150" s="62"/>
      <c r="W150" s="63"/>
      <c r="X150" s="64"/>
      <c r="Y150"/>
    </row>
    <row r="151" spans="1:29" ht="14" thickBot="1">
      <c r="I151" s="805" t="s">
        <v>342</v>
      </c>
      <c r="J151" s="806"/>
      <c r="K151" s="806"/>
      <c r="L151" s="806"/>
      <c r="M151" s="806"/>
      <c r="N151" s="806"/>
      <c r="O151" s="806"/>
      <c r="P151" s="806"/>
      <c r="Q151" s="806"/>
      <c r="R151" s="806"/>
      <c r="S151" s="806"/>
      <c r="T151" s="806"/>
      <c r="U151" s="65">
        <f>SUM(V36:V148)</f>
        <v>6722</v>
      </c>
      <c r="V151" s="66"/>
      <c r="W151"/>
      <c r="X151" s="783" t="s">
        <v>922</v>
      </c>
      <c r="Y151"/>
    </row>
    <row r="152" spans="1:29" ht="13.5" hidden="1">
      <c r="I152" s="804" t="s">
        <v>917</v>
      </c>
      <c r="J152" s="804"/>
      <c r="K152" s="804"/>
      <c r="L152" s="804"/>
      <c r="M152" s="804"/>
      <c r="N152" s="804"/>
      <c r="O152" s="804"/>
      <c r="P152" s="804"/>
      <c r="Q152" s="804"/>
      <c r="R152" s="804"/>
      <c r="S152" s="804"/>
      <c r="T152" s="804"/>
      <c r="U152" s="67"/>
      <c r="V152" s="68">
        <f>SUMIF(E36:E148,"Aragon",W36:W148)</f>
        <v>0</v>
      </c>
      <c r="W152"/>
      <c r="X152" s="784"/>
      <c r="Y152"/>
    </row>
    <row r="153" spans="1:29" ht="13.5" hidden="1">
      <c r="A153" s="52"/>
      <c r="B153" s="53"/>
      <c r="C153" s="53"/>
      <c r="D153" s="53"/>
      <c r="E153" s="53"/>
      <c r="I153" s="786" t="s">
        <v>351</v>
      </c>
      <c r="J153" s="786"/>
      <c r="K153" s="786"/>
      <c r="L153" s="786"/>
      <c r="M153" s="786"/>
      <c r="N153" s="786"/>
      <c r="O153" s="786"/>
      <c r="P153" s="786"/>
      <c r="Q153" s="786"/>
      <c r="R153" s="786"/>
      <c r="S153" s="786"/>
      <c r="T153" s="786"/>
      <c r="U153" s="69">
        <f>Bolts!E1157</f>
        <v>0</v>
      </c>
      <c r="V153" s="68">
        <f>-SUM(V152*U153)</f>
        <v>0</v>
      </c>
      <c r="W153"/>
      <c r="X153" s="784"/>
      <c r="Y153"/>
    </row>
    <row r="154" spans="1:29" ht="13.5" hidden="1">
      <c r="A154" s="52"/>
      <c r="B154" s="53"/>
      <c r="C154" s="53"/>
      <c r="D154" s="53"/>
      <c r="E154" s="53"/>
      <c r="I154" s="780" t="s">
        <v>916</v>
      </c>
      <c r="J154" s="780"/>
      <c r="K154" s="780"/>
      <c r="L154" s="780"/>
      <c r="M154" s="780"/>
      <c r="N154" s="780"/>
      <c r="O154" s="780"/>
      <c r="P154" s="780"/>
      <c r="Q154" s="780"/>
      <c r="R154" s="780"/>
      <c r="S154" s="780"/>
      <c r="T154" s="780"/>
      <c r="U154" s="67"/>
      <c r="V154" s="68">
        <f>SUM(V152:V153)</f>
        <v>0</v>
      </c>
      <c r="W154"/>
      <c r="X154" s="784"/>
      <c r="Y154"/>
    </row>
    <row r="155" spans="1:29" ht="13.5" hidden="1">
      <c r="A155" s="52"/>
      <c r="B155" s="53"/>
      <c r="C155" s="53"/>
      <c r="D155" s="53"/>
      <c r="E155" s="53"/>
      <c r="I155" s="70"/>
      <c r="J155" s="70"/>
      <c r="K155" s="71"/>
      <c r="L155" s="70"/>
      <c r="M155" s="70"/>
      <c r="N155" s="70"/>
      <c r="O155" s="70"/>
      <c r="P155" s="70"/>
      <c r="Q155" s="70"/>
      <c r="R155" s="788" t="s">
        <v>343</v>
      </c>
      <c r="S155" s="781"/>
      <c r="T155" s="782"/>
      <c r="U155" s="72"/>
      <c r="V155" s="73">
        <f>IF(P6="Yes",(Bolts!D1146*Bolts!K1152),0)</f>
        <v>0</v>
      </c>
      <c r="W155" s="74"/>
      <c r="X155" s="784"/>
      <c r="Y155"/>
    </row>
    <row r="156" spans="1:29" ht="13.5" hidden="1">
      <c r="A156" s="52"/>
      <c r="B156" s="53"/>
      <c r="C156" s="53"/>
      <c r="D156" s="53"/>
      <c r="E156" s="53"/>
      <c r="G156" s="52"/>
      <c r="I156" s="788" t="s">
        <v>1583</v>
      </c>
      <c r="J156" s="781"/>
      <c r="K156" s="781"/>
      <c r="L156" s="781"/>
      <c r="M156" s="781"/>
      <c r="N156" s="781"/>
      <c r="O156" s="781"/>
      <c r="P156" s="781"/>
      <c r="Q156" s="781"/>
      <c r="R156" s="781"/>
      <c r="S156" s="781"/>
      <c r="T156" s="782"/>
      <c r="U156" s="69">
        <v>0.05</v>
      </c>
      <c r="V156" s="75">
        <v>0</v>
      </c>
      <c r="W156" s="74"/>
      <c r="X156" s="784"/>
      <c r="Y156"/>
      <c r="Z156"/>
    </row>
    <row r="157" spans="1:29" ht="13.5" hidden="1">
      <c r="A157" s="54"/>
      <c r="B157" s="53"/>
      <c r="C157" s="53"/>
      <c r="D157" s="53"/>
      <c r="E157" s="53"/>
      <c r="F157" s="55"/>
      <c r="G157" s="52"/>
      <c r="I157" s="76"/>
      <c r="J157" s="76"/>
      <c r="K157" s="77"/>
      <c r="L157" s="76"/>
      <c r="M157" s="76"/>
      <c r="N157" s="76"/>
      <c r="O157" s="76"/>
      <c r="P157" s="76"/>
      <c r="Q157" s="76"/>
      <c r="R157" s="788" t="s">
        <v>344</v>
      </c>
      <c r="S157" s="781"/>
      <c r="T157" s="782"/>
      <c r="U157" s="69"/>
      <c r="V157" s="78"/>
      <c r="W157" s="79"/>
      <c r="X157" s="784"/>
      <c r="Y157"/>
      <c r="Z157"/>
    </row>
    <row r="158" spans="1:29" ht="13.5" hidden="1">
      <c r="A158" s="54"/>
      <c r="B158" s="53"/>
      <c r="C158" s="53"/>
      <c r="D158" s="53"/>
      <c r="E158" s="53"/>
      <c r="G158" s="52"/>
      <c r="I158" s="780" t="s">
        <v>345</v>
      </c>
      <c r="J158" s="781"/>
      <c r="K158" s="781"/>
      <c r="L158" s="781"/>
      <c r="M158" s="781"/>
      <c r="N158" s="781"/>
      <c r="O158" s="781"/>
      <c r="P158" s="781"/>
      <c r="Q158" s="781"/>
      <c r="R158" s="781"/>
      <c r="S158" s="781"/>
      <c r="T158" s="782"/>
      <c r="U158" s="69"/>
      <c r="V158" s="80">
        <f>SUM(V154:V157)</f>
        <v>0</v>
      </c>
      <c r="W158" s="79"/>
      <c r="X158" s="784"/>
      <c r="Y158"/>
      <c r="Z158"/>
    </row>
    <row r="159" spans="1:29" ht="13.5" hidden="1">
      <c r="A159" s="54"/>
      <c r="B159" s="53"/>
      <c r="C159" s="53"/>
      <c r="D159" s="53"/>
      <c r="E159" s="53"/>
      <c r="G159" s="52"/>
      <c r="I159" s="786" t="s">
        <v>446</v>
      </c>
      <c r="J159" s="781"/>
      <c r="K159" s="781"/>
      <c r="L159" s="781"/>
      <c r="M159" s="781"/>
      <c r="N159" s="781"/>
      <c r="O159" s="781"/>
      <c r="P159" s="781"/>
      <c r="Q159" s="781"/>
      <c r="R159" s="781"/>
      <c r="S159" s="781"/>
      <c r="T159" s="782"/>
      <c r="U159" s="221">
        <v>0</v>
      </c>
      <c r="V159" s="80">
        <f>V158*U159</f>
        <v>0</v>
      </c>
      <c r="W159" s="74"/>
      <c r="X159" s="784"/>
      <c r="Y159"/>
      <c r="Z159"/>
    </row>
    <row r="160" spans="1:29" ht="14" hidden="1" thickBot="1">
      <c r="A160" s="54"/>
      <c r="B160" s="53"/>
      <c r="C160" s="53"/>
      <c r="D160" s="53"/>
      <c r="E160" s="53"/>
      <c r="G160" s="52"/>
      <c r="I160" s="790" t="s">
        <v>346</v>
      </c>
      <c r="J160" s="781"/>
      <c r="K160" s="781"/>
      <c r="L160" s="781"/>
      <c r="M160" s="781"/>
      <c r="N160" s="781"/>
      <c r="O160" s="781"/>
      <c r="P160" s="781"/>
      <c r="Q160" s="781"/>
      <c r="R160" s="781"/>
      <c r="S160" s="781"/>
      <c r="T160" s="782"/>
      <c r="U160" s="67"/>
      <c r="V160" s="78">
        <f>IF((Bolts!H1149+Bolts!H1152)&gt;0,Bolts!B1163*Bolts!J1152,0)</f>
        <v>0</v>
      </c>
      <c r="W160" s="81"/>
      <c r="X160" s="784"/>
      <c r="Y160"/>
      <c r="Z160"/>
    </row>
    <row r="161" spans="1:26" ht="14" hidden="1" thickBot="1">
      <c r="A161" s="54"/>
      <c r="B161" s="53"/>
      <c r="C161" s="53"/>
      <c r="D161" s="53"/>
      <c r="E161" s="53"/>
      <c r="F161" s="55"/>
      <c r="G161" s="52"/>
      <c r="I161" s="82"/>
      <c r="J161" s="790" t="s">
        <v>347</v>
      </c>
      <c r="K161" s="791"/>
      <c r="L161" s="781"/>
      <c r="M161" s="781"/>
      <c r="N161" s="781"/>
      <c r="O161" s="781"/>
      <c r="P161" s="781"/>
      <c r="Q161" s="781"/>
      <c r="R161" s="781"/>
      <c r="S161" s="781"/>
      <c r="T161" s="782"/>
      <c r="U161" s="67"/>
      <c r="V161" s="80">
        <v>0</v>
      </c>
      <c r="W161" s="74"/>
      <c r="X161" s="784"/>
      <c r="Y161" s="83" t="s">
        <v>935</v>
      </c>
      <c r="Z161" s="213">
        <f>SUMIF(E36:E149,"Aragon",W36:W149)</f>
        <v>0</v>
      </c>
    </row>
    <row r="162" spans="1:26" ht="20.5" hidden="1" thickBot="1">
      <c r="A162" s="54"/>
      <c r="B162" s="53"/>
      <c r="C162" s="53"/>
      <c r="D162" s="53"/>
      <c r="E162" s="53"/>
      <c r="I162" s="792" t="s">
        <v>348</v>
      </c>
      <c r="J162" s="781"/>
      <c r="K162" s="781"/>
      <c r="L162" s="781"/>
      <c r="M162" s="781"/>
      <c r="N162" s="781"/>
      <c r="O162" s="781"/>
      <c r="P162" s="781"/>
      <c r="Q162" s="781"/>
      <c r="R162" s="781"/>
      <c r="S162" s="781"/>
      <c r="T162" s="782"/>
      <c r="U162" s="67"/>
      <c r="V162" s="78">
        <f>SUM(V158:V161)</f>
        <v>0</v>
      </c>
      <c r="W162" s="81"/>
      <c r="X162" s="784"/>
      <c r="Y162" s="83" t="s">
        <v>934</v>
      </c>
      <c r="Z162" s="213">
        <f>Bolts!E1157*Z161</f>
        <v>0</v>
      </c>
    </row>
    <row r="163" spans="1:26" ht="13.5" hidden="1">
      <c r="A163" s="54"/>
      <c r="B163" s="53"/>
      <c r="C163" s="53"/>
      <c r="D163" s="53"/>
      <c r="E163" s="53"/>
      <c r="F163" s="30"/>
      <c r="G163" s="30"/>
      <c r="H163" s="30"/>
      <c r="I163" s="790" t="s">
        <v>349</v>
      </c>
      <c r="J163" s="781"/>
      <c r="K163" s="781"/>
      <c r="L163" s="781"/>
      <c r="M163" s="781"/>
      <c r="N163" s="781"/>
      <c r="O163" s="781"/>
      <c r="P163" s="781"/>
      <c r="Q163" s="781"/>
      <c r="R163" s="781"/>
      <c r="S163" s="781"/>
      <c r="T163" s="782"/>
      <c r="U163" s="67"/>
      <c r="V163" s="78">
        <v>0</v>
      </c>
      <c r="W163" s="81"/>
      <c r="X163" s="784"/>
      <c r="Y163" s="83" t="s">
        <v>920</v>
      </c>
      <c r="Z163" s="84">
        <f>SUMIF(E36:E149,"Aragon",L36:L149)</f>
        <v>0</v>
      </c>
    </row>
    <row r="164" spans="1:26" ht="13.5" hidden="1">
      <c r="A164" s="54"/>
      <c r="B164" s="53"/>
      <c r="C164" s="53"/>
      <c r="D164" s="53"/>
      <c r="E164" s="53"/>
      <c r="F164" s="30"/>
      <c r="G164" s="30"/>
      <c r="H164" s="30"/>
      <c r="I164" s="790"/>
      <c r="J164" s="781"/>
      <c r="K164" s="781"/>
      <c r="L164" s="781"/>
      <c r="M164" s="781"/>
      <c r="N164" s="781"/>
      <c r="O164" s="781"/>
      <c r="P164" s="781"/>
      <c r="Q164" s="781"/>
      <c r="R164" s="781"/>
      <c r="S164" s="781"/>
      <c r="T164" s="782"/>
      <c r="U164" s="67"/>
      <c r="V164" s="78"/>
      <c r="W164" s="85"/>
      <c r="X164" s="784"/>
      <c r="Y164" s="86" t="s">
        <v>921</v>
      </c>
      <c r="Z164" s="87">
        <f>SUMIF(E36:E149,"Aragon",V36:V149)</f>
        <v>0</v>
      </c>
    </row>
    <row r="165" spans="1:26" ht="14" hidden="1" thickBot="1">
      <c r="A165" s="54"/>
      <c r="B165" s="53"/>
      <c r="C165" s="53"/>
      <c r="D165" s="53"/>
      <c r="E165" s="53"/>
      <c r="F165" s="30"/>
      <c r="G165" s="30"/>
      <c r="H165" s="30"/>
      <c r="I165" s="792" t="s">
        <v>350</v>
      </c>
      <c r="J165" s="781"/>
      <c r="K165" s="781"/>
      <c r="L165" s="781"/>
      <c r="M165" s="781"/>
      <c r="N165" s="781"/>
      <c r="O165" s="781"/>
      <c r="P165" s="781"/>
      <c r="Q165" s="781"/>
      <c r="R165" s="781"/>
      <c r="S165" s="781"/>
      <c r="T165" s="782"/>
      <c r="U165" s="67"/>
      <c r="V165" s="78">
        <f>SUM(V162-V163)</f>
        <v>0</v>
      </c>
      <c r="W165" s="85"/>
      <c r="X165" s="785"/>
      <c r="Y165" s="88" t="s">
        <v>340</v>
      </c>
      <c r="Z165" s="89">
        <f>SUMIF(E36:E149,"Aragon",Y36:Y149)</f>
        <v>0</v>
      </c>
    </row>
    <row r="166" spans="1:26" ht="14" hidden="1" thickBot="1">
      <c r="A166" s="54"/>
      <c r="B166" s="53"/>
      <c r="C166" s="53"/>
      <c r="D166" s="53"/>
      <c r="E166" s="53"/>
      <c r="F166" s="30"/>
      <c r="G166" s="30"/>
      <c r="H166" s="30"/>
      <c r="I166" s="85"/>
      <c r="J166" s="85"/>
      <c r="K166" s="85"/>
      <c r="L166" s="85"/>
      <c r="M166" s="85"/>
      <c r="N166" s="85"/>
      <c r="O166" s="85"/>
      <c r="P166" s="85"/>
      <c r="Q166" s="85"/>
      <c r="R166" s="85"/>
      <c r="S166" s="85"/>
      <c r="T166" s="85"/>
      <c r="U166" s="85"/>
      <c r="V166" s="85"/>
      <c r="W166" s="85"/>
      <c r="X166" s="90"/>
      <c r="Y166"/>
      <c r="Z166"/>
    </row>
    <row r="167" spans="1:26" ht="13.5" hidden="1">
      <c r="A167" s="54"/>
      <c r="B167" s="53"/>
      <c r="C167" s="53"/>
      <c r="D167" s="53"/>
      <c r="E167" s="53"/>
      <c r="F167" s="30"/>
      <c r="G167" s="30"/>
      <c r="H167" s="30"/>
      <c r="I167" s="780" t="s">
        <v>917</v>
      </c>
      <c r="J167" s="781"/>
      <c r="K167" s="781"/>
      <c r="L167" s="781"/>
      <c r="M167" s="781"/>
      <c r="N167" s="781"/>
      <c r="O167" s="781"/>
      <c r="P167" s="781"/>
      <c r="Q167" s="781"/>
      <c r="R167" s="781"/>
      <c r="S167" s="781"/>
      <c r="T167" s="782"/>
      <c r="U167" s="67"/>
      <c r="V167" s="68">
        <f>SUMIF(E36:E148,"Composite X",W36:W148)</f>
        <v>151263.9736842105</v>
      </c>
      <c r="W167" s="74"/>
      <c r="X167" s="783" t="s">
        <v>923</v>
      </c>
      <c r="Y167"/>
      <c r="Z167"/>
    </row>
    <row r="168" spans="1:26" ht="13.5" hidden="1">
      <c r="A168" s="30"/>
      <c r="B168" s="56"/>
      <c r="C168" s="56"/>
      <c r="D168" s="56"/>
      <c r="E168" s="56"/>
      <c r="F168" s="30"/>
      <c r="G168" s="30"/>
      <c r="H168" s="30"/>
      <c r="I168" s="786" t="s">
        <v>351</v>
      </c>
      <c r="J168" s="786"/>
      <c r="K168" s="787"/>
      <c r="L168" s="786"/>
      <c r="M168" s="786"/>
      <c r="N168" s="786"/>
      <c r="O168" s="786"/>
      <c r="P168" s="786"/>
      <c r="Q168" s="786"/>
      <c r="R168" s="786"/>
      <c r="S168" s="786"/>
      <c r="T168" s="786"/>
      <c r="U168" s="69">
        <f>Bolts!E1157</f>
        <v>0</v>
      </c>
      <c r="V168" s="68">
        <f>-SUM(V167*U168)</f>
        <v>0</v>
      </c>
      <c r="W168" s="74"/>
      <c r="X168" s="784"/>
      <c r="Y168"/>
      <c r="Z168"/>
    </row>
    <row r="169" spans="1:26" ht="13.5">
      <c r="A169" s="30"/>
      <c r="B169" s="56"/>
      <c r="C169" s="56"/>
      <c r="D169" s="56"/>
      <c r="E169" s="56"/>
      <c r="F169" s="30"/>
      <c r="G169" s="30"/>
      <c r="H169" s="30"/>
      <c r="I169" s="780" t="s">
        <v>916</v>
      </c>
      <c r="J169" s="780"/>
      <c r="K169" s="780"/>
      <c r="L169" s="780"/>
      <c r="M169" s="780"/>
      <c r="N169" s="780"/>
      <c r="O169" s="780"/>
      <c r="P169" s="780"/>
      <c r="Q169" s="780"/>
      <c r="R169" s="780"/>
      <c r="S169" s="780"/>
      <c r="T169" s="780"/>
      <c r="U169" s="67"/>
      <c r="V169" s="756">
        <f>SUM(V167:V168)</f>
        <v>151263.9736842105</v>
      </c>
      <c r="W169" s="74"/>
      <c r="X169" s="784"/>
      <c r="Y169"/>
      <c r="Z169"/>
    </row>
    <row r="170" spans="1:26" ht="13.5">
      <c r="A170" s="30"/>
      <c r="B170" s="30"/>
      <c r="C170" s="30"/>
      <c r="D170" s="30"/>
      <c r="E170" s="30"/>
      <c r="F170" s="30"/>
      <c r="G170" s="30"/>
      <c r="H170" s="30"/>
      <c r="I170" s="70"/>
      <c r="J170" s="70"/>
      <c r="K170" s="71"/>
      <c r="L170" s="70"/>
      <c r="M170" s="70"/>
      <c r="N170" s="70"/>
      <c r="O170" s="70"/>
      <c r="P170" s="70"/>
      <c r="Q170" s="70"/>
      <c r="R170" s="788" t="s">
        <v>343</v>
      </c>
      <c r="S170" s="788"/>
      <c r="T170" s="788"/>
      <c r="U170" s="72"/>
      <c r="V170" s="759">
        <f>IF(P6="Yes",(Bolts!D1146*Bolts!K1153),0)</f>
        <v>0</v>
      </c>
      <c r="W170" s="85"/>
      <c r="X170" s="784"/>
      <c r="Y170"/>
      <c r="Z170"/>
    </row>
    <row r="171" spans="1:26" ht="13.5">
      <c r="A171" s="30"/>
      <c r="B171" s="30"/>
      <c r="C171" s="30"/>
      <c r="D171" s="30"/>
      <c r="E171" s="30"/>
      <c r="F171" s="30"/>
      <c r="G171" s="30"/>
      <c r="H171" s="30"/>
      <c r="I171" s="76"/>
      <c r="J171" s="76"/>
      <c r="K171" s="77"/>
      <c r="L171" s="76"/>
      <c r="M171" s="76"/>
      <c r="N171" s="76"/>
      <c r="O171" s="76"/>
      <c r="P171" s="76"/>
      <c r="Q171" s="76"/>
      <c r="R171" s="788" t="s">
        <v>344</v>
      </c>
      <c r="S171" s="788"/>
      <c r="T171" s="788"/>
      <c r="U171" s="69"/>
      <c r="V171" s="759"/>
      <c r="W171" s="85"/>
      <c r="X171" s="784"/>
      <c r="Y171"/>
      <c r="Z171"/>
    </row>
    <row r="172" spans="1:26" ht="13.5">
      <c r="A172" s="30"/>
      <c r="B172" s="30"/>
      <c r="C172" s="30"/>
      <c r="D172" s="30"/>
      <c r="E172" s="30"/>
      <c r="F172" s="30"/>
      <c r="G172" s="30"/>
      <c r="H172" s="30"/>
      <c r="I172" s="780" t="s">
        <v>345</v>
      </c>
      <c r="J172" s="780"/>
      <c r="K172" s="789"/>
      <c r="L172" s="780"/>
      <c r="M172" s="780"/>
      <c r="N172" s="780"/>
      <c r="O172" s="780"/>
      <c r="P172" s="780"/>
      <c r="Q172" s="780"/>
      <c r="R172" s="780"/>
      <c r="S172" s="780"/>
      <c r="T172" s="780"/>
      <c r="U172" s="69"/>
      <c r="V172" s="760">
        <f>SUM(V169:V171)</f>
        <v>151263.9736842105</v>
      </c>
      <c r="W172" s="85"/>
      <c r="X172" s="784"/>
      <c r="Y172"/>
      <c r="Z172"/>
    </row>
    <row r="173" spans="1:26" ht="13.5">
      <c r="A173" s="30"/>
      <c r="B173" s="30"/>
      <c r="C173" s="30"/>
      <c r="D173" s="30"/>
      <c r="E173" s="30"/>
      <c r="F173" s="30"/>
      <c r="G173" s="30"/>
      <c r="H173" s="30"/>
      <c r="I173" s="786" t="s">
        <v>446</v>
      </c>
      <c r="J173" s="786"/>
      <c r="K173" s="787"/>
      <c r="L173" s="786"/>
      <c r="M173" s="786"/>
      <c r="N173" s="786"/>
      <c r="O173" s="786"/>
      <c r="P173" s="786"/>
      <c r="Q173" s="786"/>
      <c r="R173" s="786"/>
      <c r="S173" s="786"/>
      <c r="T173" s="786"/>
      <c r="U173" s="221">
        <v>0</v>
      </c>
      <c r="V173" s="760">
        <f>V172*U173</f>
        <v>0</v>
      </c>
      <c r="W173" s="85"/>
      <c r="X173" s="784"/>
      <c r="Y173"/>
      <c r="Z173"/>
    </row>
    <row r="174" spans="1:26" ht="14" thickBot="1">
      <c r="A174" s="30"/>
      <c r="B174" s="30"/>
      <c r="C174" s="30"/>
      <c r="D174" s="30"/>
      <c r="E174" s="30"/>
      <c r="F174" s="30"/>
      <c r="G174" s="30"/>
      <c r="H174" s="30"/>
      <c r="I174" s="790" t="s">
        <v>346</v>
      </c>
      <c r="J174" s="790"/>
      <c r="K174" s="791"/>
      <c r="L174" s="790"/>
      <c r="M174" s="790"/>
      <c r="N174" s="790"/>
      <c r="O174" s="790"/>
      <c r="P174" s="790"/>
      <c r="Q174" s="790"/>
      <c r="R174" s="790"/>
      <c r="S174" s="790"/>
      <c r="T174" s="790"/>
      <c r="U174" s="67"/>
      <c r="V174" s="759">
        <f>100*Bolts!J1153</f>
        <v>9.1613287100005518</v>
      </c>
      <c r="W174" s="85"/>
      <c r="X174" s="784"/>
      <c r="Y174"/>
      <c r="Z174"/>
    </row>
    <row r="175" spans="1:26" ht="14" thickBot="1">
      <c r="A175" s="30"/>
      <c r="B175" s="30"/>
      <c r="C175" s="30"/>
      <c r="D175" s="30"/>
      <c r="E175" s="30"/>
      <c r="F175" s="30"/>
      <c r="G175" s="30"/>
      <c r="H175" s="30"/>
      <c r="I175" s="82"/>
      <c r="J175" s="790" t="s">
        <v>347</v>
      </c>
      <c r="K175" s="791"/>
      <c r="L175" s="790"/>
      <c r="M175" s="790"/>
      <c r="N175" s="790"/>
      <c r="O175" s="790"/>
      <c r="P175" s="790"/>
      <c r="Q175" s="790"/>
      <c r="R175" s="790"/>
      <c r="S175" s="790"/>
      <c r="T175" s="790"/>
      <c r="U175" s="67"/>
      <c r="V175" s="760">
        <f>1.8*Z179</f>
        <v>4940.6000489648895</v>
      </c>
      <c r="W175" s="85"/>
      <c r="X175" s="784"/>
      <c r="Y175" s="83" t="s">
        <v>935</v>
      </c>
      <c r="Z175" s="761">
        <f>SUMIF(E36:E149,"Composite X",W36:W149)</f>
        <v>151263.9736842105</v>
      </c>
    </row>
    <row r="176" spans="1:26" ht="20.5" thickBot="1">
      <c r="I176" s="792" t="s">
        <v>348</v>
      </c>
      <c r="J176" s="792"/>
      <c r="K176" s="793"/>
      <c r="L176" s="792"/>
      <c r="M176" s="792"/>
      <c r="N176" s="792"/>
      <c r="O176" s="792"/>
      <c r="P176" s="792"/>
      <c r="Q176" s="792"/>
      <c r="R176" s="792"/>
      <c r="S176" s="792"/>
      <c r="T176" s="792"/>
      <c r="U176" s="67"/>
      <c r="V176" s="759">
        <f>SUM(V172:V175)</f>
        <v>156213.73506188541</v>
      </c>
      <c r="W176"/>
      <c r="X176" s="784"/>
      <c r="Y176" s="83" t="s">
        <v>934</v>
      </c>
      <c r="Z176" s="761">
        <f>Z175*Bolts!E1157</f>
        <v>0</v>
      </c>
    </row>
    <row r="177" spans="5:26" ht="13.5">
      <c r="I177" s="790" t="s">
        <v>349</v>
      </c>
      <c r="J177" s="790"/>
      <c r="K177" s="791"/>
      <c r="L177" s="790"/>
      <c r="M177" s="790"/>
      <c r="N177" s="790"/>
      <c r="O177" s="790"/>
      <c r="P177" s="790"/>
      <c r="Q177" s="790"/>
      <c r="R177" s="790"/>
      <c r="S177" s="790"/>
      <c r="T177" s="790"/>
      <c r="U177" s="67"/>
      <c r="V177" s="759">
        <v>0</v>
      </c>
      <c r="W177"/>
      <c r="X177" s="784"/>
      <c r="Y177" s="83" t="s">
        <v>920</v>
      </c>
      <c r="Z177" s="84">
        <f>SUMIF(E36:E149,"Composite X",L36:L149)</f>
        <v>828</v>
      </c>
    </row>
    <row r="178" spans="5:26" ht="13.5">
      <c r="I178" s="790"/>
      <c r="J178" s="790"/>
      <c r="K178" s="791"/>
      <c r="L178" s="790"/>
      <c r="M178" s="790"/>
      <c r="N178" s="790"/>
      <c r="O178" s="790"/>
      <c r="P178" s="790"/>
      <c r="Q178" s="790"/>
      <c r="R178" s="790"/>
      <c r="S178" s="790"/>
      <c r="T178" s="790"/>
      <c r="U178" s="67"/>
      <c r="V178" s="759"/>
      <c r="W178"/>
      <c r="X178" s="784"/>
      <c r="Y178" s="86" t="s">
        <v>921</v>
      </c>
      <c r="Z178" s="87">
        <f>SUMIF(E36:E149,"Composite X",V36:V149)</f>
        <v>6722</v>
      </c>
    </row>
    <row r="179" spans="5:26" ht="14" thickBot="1">
      <c r="I179" s="792" t="s">
        <v>350</v>
      </c>
      <c r="J179" s="792"/>
      <c r="K179" s="793"/>
      <c r="L179" s="792"/>
      <c r="M179" s="792"/>
      <c r="N179" s="792"/>
      <c r="O179" s="792"/>
      <c r="P179" s="792"/>
      <c r="Q179" s="792"/>
      <c r="R179" s="792"/>
      <c r="S179" s="792"/>
      <c r="T179" s="792"/>
      <c r="U179" s="67"/>
      <c r="V179" s="759">
        <f>SUM(V176-V177)</f>
        <v>156213.73506188541</v>
      </c>
      <c r="W179"/>
      <c r="X179" s="785"/>
      <c r="Y179" s="88" t="s">
        <v>340</v>
      </c>
      <c r="Z179" s="89">
        <f>SUMIF(E36:E149,"Composite X",Y36:Y149)</f>
        <v>2744.7778049804942</v>
      </c>
    </row>
    <row r="180" spans="5:26" ht="14" thickBot="1">
      <c r="E180" s="53"/>
      <c r="F180" s="30"/>
      <c r="G180" s="30"/>
      <c r="H180" s="30"/>
      <c r="I180" s="85"/>
      <c r="J180" s="85"/>
      <c r="K180" s="85"/>
      <c r="L180" s="85"/>
      <c r="M180" s="85"/>
      <c r="N180" s="85"/>
      <c r="O180" s="85"/>
      <c r="P180" s="85"/>
      <c r="Q180" s="85"/>
      <c r="R180" s="85"/>
      <c r="S180" s="85"/>
      <c r="T180" s="85"/>
      <c r="U180" s="85"/>
      <c r="V180" s="85"/>
      <c r="W180" s="85"/>
      <c r="X180" s="90"/>
      <c r="Y180"/>
      <c r="Z180"/>
    </row>
    <row r="181" spans="5:26" ht="13.5" hidden="1">
      <c r="E181" s="53"/>
      <c r="F181" s="30"/>
      <c r="G181" s="30"/>
      <c r="H181" s="30"/>
      <c r="I181" s="780" t="s">
        <v>917</v>
      </c>
      <c r="J181" s="781"/>
      <c r="K181" s="781"/>
      <c r="L181" s="781"/>
      <c r="M181" s="781"/>
      <c r="N181" s="781"/>
      <c r="O181" s="781"/>
      <c r="P181" s="781"/>
      <c r="Q181" s="781"/>
      <c r="R181" s="781"/>
      <c r="S181" s="781"/>
      <c r="T181" s="782"/>
      <c r="U181" s="67"/>
      <c r="V181" s="68">
        <f>SUMIF(E36:E148,"Walltopia",W36:W148)</f>
        <v>0</v>
      </c>
      <c r="W181" s="74"/>
      <c r="X181" s="783" t="s">
        <v>2116</v>
      </c>
      <c r="Y181"/>
      <c r="Z181"/>
    </row>
    <row r="182" spans="5:26" ht="13.5" hidden="1">
      <c r="E182" s="56"/>
      <c r="F182" s="30"/>
      <c r="G182" s="30"/>
      <c r="H182" s="30"/>
      <c r="I182" s="786" t="s">
        <v>351</v>
      </c>
      <c r="J182" s="786"/>
      <c r="K182" s="787"/>
      <c r="L182" s="786"/>
      <c r="M182" s="786"/>
      <c r="N182" s="786"/>
      <c r="O182" s="786"/>
      <c r="P182" s="786"/>
      <c r="Q182" s="786"/>
      <c r="R182" s="786"/>
      <c r="S182" s="786"/>
      <c r="T182" s="786"/>
      <c r="U182" s="69">
        <f>Bolts!E1157</f>
        <v>0</v>
      </c>
      <c r="V182" s="68">
        <f>-SUM(V181*U182)</f>
        <v>0</v>
      </c>
      <c r="W182" s="74"/>
      <c r="X182" s="784"/>
      <c r="Y182"/>
      <c r="Z182"/>
    </row>
    <row r="183" spans="5:26" ht="13.5">
      <c r="E183" s="56"/>
      <c r="F183" s="30"/>
      <c r="G183" s="30"/>
      <c r="H183" s="30"/>
      <c r="I183" s="780" t="s">
        <v>916</v>
      </c>
      <c r="J183" s="780"/>
      <c r="K183" s="780"/>
      <c r="L183" s="780"/>
      <c r="M183" s="780"/>
      <c r="N183" s="780"/>
      <c r="O183" s="780"/>
      <c r="P183" s="780"/>
      <c r="Q183" s="780"/>
      <c r="R183" s="780"/>
      <c r="S183" s="780"/>
      <c r="T183" s="780"/>
      <c r="U183" s="67"/>
      <c r="V183" s="756">
        <f>SUM(V181:V182)</f>
        <v>0</v>
      </c>
      <c r="W183" s="74"/>
      <c r="X183" s="784"/>
      <c r="Y183"/>
      <c r="Z183"/>
    </row>
    <row r="184" spans="5:26" ht="13.5">
      <c r="E184" s="30"/>
      <c r="F184" s="30"/>
      <c r="G184" s="30"/>
      <c r="H184" s="30"/>
      <c r="I184" s="70"/>
      <c r="J184" s="70"/>
      <c r="K184" s="71"/>
      <c r="L184" s="70"/>
      <c r="M184" s="70"/>
      <c r="N184" s="70"/>
      <c r="O184" s="70"/>
      <c r="P184" s="70"/>
      <c r="Q184" s="70"/>
      <c r="R184" s="788" t="s">
        <v>343</v>
      </c>
      <c r="S184" s="788"/>
      <c r="T184" s="788"/>
      <c r="U184" s="72"/>
      <c r="V184" s="759">
        <f>IF(P20="Yes",(Bolts!D1160*Bolts!K1167),0)</f>
        <v>0</v>
      </c>
      <c r="W184" s="85"/>
      <c r="X184" s="784"/>
      <c r="Y184"/>
      <c r="Z184"/>
    </row>
    <row r="185" spans="5:26" ht="13.5">
      <c r="E185" s="30"/>
      <c r="F185" s="30"/>
      <c r="G185" s="30"/>
      <c r="H185" s="30"/>
      <c r="I185" s="76"/>
      <c r="J185" s="76"/>
      <c r="K185" s="77"/>
      <c r="L185" s="76"/>
      <c r="M185" s="76"/>
      <c r="N185" s="76"/>
      <c r="O185" s="76"/>
      <c r="P185" s="76"/>
      <c r="Q185" s="76"/>
      <c r="R185" s="788" t="s">
        <v>344</v>
      </c>
      <c r="S185" s="788"/>
      <c r="T185" s="788"/>
      <c r="U185" s="69"/>
      <c r="V185" s="759"/>
      <c r="W185" s="85"/>
      <c r="X185" s="784"/>
      <c r="Y185"/>
      <c r="Z185"/>
    </row>
    <row r="186" spans="5:26" ht="13.5">
      <c r="E186" s="30"/>
      <c r="F186" s="30"/>
      <c r="G186" s="30"/>
      <c r="H186" s="30"/>
      <c r="I186" s="780" t="s">
        <v>345</v>
      </c>
      <c r="J186" s="780"/>
      <c r="K186" s="789"/>
      <c r="L186" s="780"/>
      <c r="M186" s="780"/>
      <c r="N186" s="780"/>
      <c r="O186" s="780"/>
      <c r="P186" s="780"/>
      <c r="Q186" s="780"/>
      <c r="R186" s="780"/>
      <c r="S186" s="780"/>
      <c r="T186" s="780"/>
      <c r="U186" s="69"/>
      <c r="V186" s="760">
        <f>SUM(V183:V185)</f>
        <v>0</v>
      </c>
      <c r="W186" s="85"/>
      <c r="X186" s="784"/>
      <c r="Y186"/>
      <c r="Z186"/>
    </row>
    <row r="187" spans="5:26" ht="13.5">
      <c r="E187" s="30"/>
      <c r="F187" s="30"/>
      <c r="G187" s="30"/>
      <c r="H187" s="30"/>
      <c r="I187" s="786" t="s">
        <v>446</v>
      </c>
      <c r="J187" s="786"/>
      <c r="K187" s="787"/>
      <c r="L187" s="786"/>
      <c r="M187" s="786"/>
      <c r="N187" s="786"/>
      <c r="O187" s="786"/>
      <c r="P187" s="786"/>
      <c r="Q187" s="786"/>
      <c r="R187" s="786"/>
      <c r="S187" s="786"/>
      <c r="T187" s="786"/>
      <c r="U187" s="221">
        <v>0</v>
      </c>
      <c r="V187" s="760">
        <f>V186*U187</f>
        <v>0</v>
      </c>
      <c r="W187" s="85"/>
      <c r="X187" s="784"/>
      <c r="Y187"/>
      <c r="Z187"/>
    </row>
    <row r="188" spans="5:26" ht="14" thickBot="1">
      <c r="E188" s="30"/>
      <c r="F188" s="30"/>
      <c r="G188" s="30"/>
      <c r="H188" s="30"/>
      <c r="I188" s="790" t="s">
        <v>346</v>
      </c>
      <c r="J188" s="790"/>
      <c r="K188" s="791"/>
      <c r="L188" s="790"/>
      <c r="M188" s="790"/>
      <c r="N188" s="790"/>
      <c r="O188" s="790"/>
      <c r="P188" s="790"/>
      <c r="Q188" s="790"/>
      <c r="R188" s="790"/>
      <c r="S188" s="790"/>
      <c r="T188" s="790"/>
      <c r="U188" s="67"/>
      <c r="V188" s="759">
        <f>100*Bolts!J1154</f>
        <v>0</v>
      </c>
      <c r="W188" s="85"/>
      <c r="X188" s="784"/>
      <c r="Y188"/>
      <c r="Z188"/>
    </row>
    <row r="189" spans="5:26" ht="14" thickBot="1">
      <c r="E189" s="30"/>
      <c r="F189" s="30"/>
      <c r="G189" s="30"/>
      <c r="H189" s="30"/>
      <c r="I189" s="82"/>
      <c r="J189" s="790" t="s">
        <v>347</v>
      </c>
      <c r="K189" s="791"/>
      <c r="L189" s="790"/>
      <c r="M189" s="790"/>
      <c r="N189" s="790"/>
      <c r="O189" s="790"/>
      <c r="P189" s="790"/>
      <c r="Q189" s="790"/>
      <c r="R189" s="790"/>
      <c r="S189" s="790"/>
      <c r="T189" s="790"/>
      <c r="U189" s="67"/>
      <c r="V189" s="760">
        <v>0</v>
      </c>
      <c r="W189" s="85"/>
      <c r="X189" s="784"/>
      <c r="Y189" s="83" t="s">
        <v>935</v>
      </c>
      <c r="Z189" s="761">
        <f>SUMIF(E36:E149,"Walltopia",W36:W149)</f>
        <v>0</v>
      </c>
    </row>
    <row r="190" spans="5:26" ht="20.5" thickBot="1">
      <c r="I190" s="792" t="s">
        <v>348</v>
      </c>
      <c r="J190" s="792"/>
      <c r="K190" s="793"/>
      <c r="L190" s="792"/>
      <c r="M190" s="792"/>
      <c r="N190" s="792"/>
      <c r="O190" s="792"/>
      <c r="P190" s="792"/>
      <c r="Q190" s="792"/>
      <c r="R190" s="792"/>
      <c r="S190" s="792"/>
      <c r="T190" s="792"/>
      <c r="U190" s="67"/>
      <c r="V190" s="759">
        <f>SUM(V186:V189)</f>
        <v>0</v>
      </c>
      <c r="W190"/>
      <c r="X190" s="784"/>
      <c r="Y190" s="83" t="s">
        <v>934</v>
      </c>
      <c r="Z190" s="761">
        <f>Z189*Bolts!E1157</f>
        <v>0</v>
      </c>
    </row>
    <row r="191" spans="5:26" ht="13.5">
      <c r="I191" s="790" t="s">
        <v>349</v>
      </c>
      <c r="J191" s="790"/>
      <c r="K191" s="791"/>
      <c r="L191" s="790"/>
      <c r="M191" s="790"/>
      <c r="N191" s="790"/>
      <c r="O191" s="790"/>
      <c r="P191" s="790"/>
      <c r="Q191" s="790"/>
      <c r="R191" s="790"/>
      <c r="S191" s="790"/>
      <c r="T191" s="790"/>
      <c r="U191" s="67"/>
      <c r="V191" s="759">
        <v>0</v>
      </c>
      <c r="W191"/>
      <c r="X191" s="784"/>
      <c r="Y191" s="83" t="s">
        <v>920</v>
      </c>
      <c r="Z191" s="84">
        <f>SUMIF(E36:E149,"Walltopia",L36:L149)</f>
        <v>0</v>
      </c>
    </row>
    <row r="192" spans="5:26" ht="13.5">
      <c r="I192" s="790"/>
      <c r="J192" s="790"/>
      <c r="K192" s="791"/>
      <c r="L192" s="790"/>
      <c r="M192" s="790"/>
      <c r="N192" s="790"/>
      <c r="O192" s="790"/>
      <c r="P192" s="790"/>
      <c r="Q192" s="790"/>
      <c r="R192" s="790"/>
      <c r="S192" s="790"/>
      <c r="T192" s="790"/>
      <c r="U192" s="67"/>
      <c r="V192" s="759"/>
      <c r="W192"/>
      <c r="X192" s="784"/>
      <c r="Y192" s="86" t="s">
        <v>921</v>
      </c>
      <c r="Z192" s="87">
        <f>SUMIF(E36:E149,"Walltopia",V36:V149)</f>
        <v>0</v>
      </c>
    </row>
    <row r="193" spans="9:26" ht="14" thickBot="1">
      <c r="I193" s="792" t="s">
        <v>350</v>
      </c>
      <c r="J193" s="792"/>
      <c r="K193" s="793"/>
      <c r="L193" s="792"/>
      <c r="M193" s="792"/>
      <c r="N193" s="792"/>
      <c r="O193" s="792"/>
      <c r="P193" s="792"/>
      <c r="Q193" s="792"/>
      <c r="R193" s="792"/>
      <c r="S193" s="792"/>
      <c r="T193" s="792"/>
      <c r="U193" s="67"/>
      <c r="V193" s="759">
        <f>SUM(V190-V191)</f>
        <v>0</v>
      </c>
      <c r="W193"/>
      <c r="X193" s="785"/>
      <c r="Y193" s="88" t="s">
        <v>340</v>
      </c>
      <c r="Z193" s="89">
        <f>SUMIF(E36:E149,"Walltopia",Y36:Y149)</f>
        <v>0</v>
      </c>
    </row>
    <row r="194" spans="9:26" ht="14" thickBot="1">
      <c r="I194"/>
      <c r="J194"/>
      <c r="K194"/>
      <c r="L194"/>
      <c r="M194"/>
      <c r="N194"/>
      <c r="O194"/>
      <c r="P194"/>
      <c r="Q194"/>
      <c r="R194"/>
      <c r="S194"/>
      <c r="T194"/>
      <c r="U194"/>
      <c r="V194"/>
      <c r="W194"/>
      <c r="X194" s="91"/>
      <c r="Y194"/>
      <c r="Z194"/>
    </row>
    <row r="195" spans="9:26" ht="13.5">
      <c r="I195" s="780" t="s">
        <v>345</v>
      </c>
      <c r="J195" s="780"/>
      <c r="K195" s="789"/>
      <c r="L195" s="780"/>
      <c r="M195" s="780"/>
      <c r="N195" s="780"/>
      <c r="O195" s="780"/>
      <c r="P195" s="780"/>
      <c r="Q195" s="780"/>
      <c r="R195" s="780"/>
      <c r="S195" s="780"/>
      <c r="T195" s="780"/>
      <c r="U195" s="69"/>
      <c r="V195" s="759">
        <f>V158+V172+V186</f>
        <v>151263.9736842105</v>
      </c>
      <c r="W195" s="92"/>
      <c r="X195" s="783" t="s">
        <v>924</v>
      </c>
      <c r="Y195"/>
      <c r="Z195"/>
    </row>
    <row r="196" spans="9:26" ht="13.5">
      <c r="I196" s="786" t="s">
        <v>446</v>
      </c>
      <c r="J196" s="786"/>
      <c r="K196" s="787"/>
      <c r="L196" s="786"/>
      <c r="M196" s="786"/>
      <c r="N196" s="786"/>
      <c r="O196" s="786"/>
      <c r="P196" s="786"/>
      <c r="Q196" s="786"/>
      <c r="R196" s="786"/>
      <c r="S196" s="786"/>
      <c r="T196" s="786"/>
      <c r="U196" s="221">
        <v>0</v>
      </c>
      <c r="V196" s="759">
        <f>V159+V173+V187</f>
        <v>0</v>
      </c>
      <c r="W196"/>
      <c r="X196" s="784"/>
      <c r="Y196"/>
      <c r="Z196"/>
    </row>
    <row r="197" spans="9:26" ht="14" thickBot="1">
      <c r="I197" s="790" t="s">
        <v>346</v>
      </c>
      <c r="J197" s="790"/>
      <c r="K197" s="791"/>
      <c r="L197" s="790"/>
      <c r="M197" s="790"/>
      <c r="N197" s="790"/>
      <c r="O197" s="790"/>
      <c r="P197" s="790"/>
      <c r="Q197" s="790"/>
      <c r="R197" s="790"/>
      <c r="S197" s="790"/>
      <c r="T197" s="790"/>
      <c r="U197" s="67"/>
      <c r="V197" s="759">
        <f>V160+V174+V188</f>
        <v>9.1613287100005518</v>
      </c>
      <c r="W197"/>
      <c r="X197" s="784"/>
    </row>
    <row r="198" spans="9:26" ht="14" thickBot="1">
      <c r="I198" s="82"/>
      <c r="J198" s="790" t="s">
        <v>347</v>
      </c>
      <c r="K198" s="791"/>
      <c r="L198" s="790"/>
      <c r="M198" s="790"/>
      <c r="N198" s="790"/>
      <c r="O198" s="790"/>
      <c r="P198" s="790"/>
      <c r="Q198" s="790"/>
      <c r="R198" s="790"/>
      <c r="S198" s="790"/>
      <c r="T198" s="790"/>
      <c r="U198" s="67"/>
      <c r="V198" s="759">
        <f>V161+V175+V189</f>
        <v>4940.6000489648895</v>
      </c>
      <c r="W198"/>
      <c r="X198" s="784"/>
      <c r="Y198" s="83" t="s">
        <v>935</v>
      </c>
      <c r="Z198" s="761">
        <f>Z161+Z175+Z189</f>
        <v>151263.9736842105</v>
      </c>
    </row>
    <row r="199" spans="9:26" ht="20.5" thickBot="1">
      <c r="I199" s="792" t="s">
        <v>348</v>
      </c>
      <c r="J199" s="792"/>
      <c r="K199" s="793"/>
      <c r="L199" s="792"/>
      <c r="M199" s="792"/>
      <c r="N199" s="792"/>
      <c r="O199" s="792"/>
      <c r="P199" s="792"/>
      <c r="Q199" s="792"/>
      <c r="R199" s="792"/>
      <c r="S199" s="792"/>
      <c r="T199" s="792"/>
      <c r="U199" s="67"/>
      <c r="V199" s="759">
        <f>SUM(V195:V198)</f>
        <v>156213.73506188541</v>
      </c>
      <c r="W199"/>
      <c r="X199" s="784"/>
      <c r="Y199" s="83" t="s">
        <v>934</v>
      </c>
      <c r="Z199" s="761">
        <f>Z162+Z176+Z190</f>
        <v>0</v>
      </c>
    </row>
    <row r="200" spans="9:26" ht="13.5">
      <c r="I200" s="790" t="s">
        <v>349</v>
      </c>
      <c r="J200" s="790"/>
      <c r="K200" s="791"/>
      <c r="L200" s="790"/>
      <c r="M200" s="790"/>
      <c r="N200" s="790"/>
      <c r="O200" s="790"/>
      <c r="P200" s="790"/>
      <c r="Q200" s="790"/>
      <c r="R200" s="790"/>
      <c r="S200" s="790"/>
      <c r="T200" s="790"/>
      <c r="U200" s="67"/>
      <c r="V200" s="759">
        <v>0</v>
      </c>
      <c r="W200"/>
      <c r="X200" s="784"/>
      <c r="Y200" s="83" t="s">
        <v>920</v>
      </c>
      <c r="Z200" s="84">
        <f>Z163+Z177+Z191</f>
        <v>828</v>
      </c>
    </row>
    <row r="201" spans="9:26" ht="13.5">
      <c r="I201" s="790"/>
      <c r="J201" s="790"/>
      <c r="K201" s="791"/>
      <c r="L201" s="790"/>
      <c r="M201" s="790"/>
      <c r="N201" s="790"/>
      <c r="O201" s="790"/>
      <c r="P201" s="790"/>
      <c r="Q201" s="790"/>
      <c r="R201" s="790"/>
      <c r="S201" s="790"/>
      <c r="T201" s="790"/>
      <c r="U201" s="67"/>
      <c r="V201" s="759"/>
      <c r="W201"/>
      <c r="X201" s="784"/>
      <c r="Y201" s="86" t="s">
        <v>921</v>
      </c>
      <c r="Z201" s="87">
        <f>Z164+Z178+Z192</f>
        <v>6722</v>
      </c>
    </row>
    <row r="202" spans="9:26" ht="14" thickBot="1">
      <c r="I202" s="792" t="s">
        <v>350</v>
      </c>
      <c r="J202" s="792"/>
      <c r="K202" s="793"/>
      <c r="L202" s="792"/>
      <c r="M202" s="792"/>
      <c r="N202" s="792"/>
      <c r="O202" s="792"/>
      <c r="P202" s="792"/>
      <c r="Q202" s="792"/>
      <c r="R202" s="792"/>
      <c r="S202" s="792"/>
      <c r="T202" s="792"/>
      <c r="U202" s="67"/>
      <c r="V202" s="759">
        <f>SUM(V199-V200)</f>
        <v>156213.73506188541</v>
      </c>
      <c r="W202"/>
      <c r="X202" s="785"/>
      <c r="Y202" s="88" t="s">
        <v>340</v>
      </c>
      <c r="Z202" s="89">
        <f>Z165+Z179+Z193</f>
        <v>2744.7778049804942</v>
      </c>
    </row>
    <row r="203" spans="9:26" ht="13.5">
      <c r="X203" s="33"/>
    </row>
    <row r="204" spans="9:26" ht="13.5">
      <c r="X204" s="33"/>
    </row>
    <row r="205" spans="9:26" ht="13.5">
      <c r="X205" s="33"/>
    </row>
    <row r="206" spans="9:26" ht="13.5">
      <c r="X206" s="33"/>
    </row>
    <row r="207" spans="9:26" ht="13.5">
      <c r="X207" s="33"/>
    </row>
    <row r="208" spans="9:26" ht="13.5">
      <c r="X208" s="33"/>
    </row>
    <row r="209" spans="24:24" ht="13.5">
      <c r="X209" s="33"/>
    </row>
    <row r="210" spans="24:24" ht="13.5">
      <c r="X210" s="33"/>
    </row>
    <row r="211" spans="24:24" ht="13.5">
      <c r="X211" s="33"/>
    </row>
    <row r="212" spans="24:24" ht="13.5">
      <c r="X212" s="33"/>
    </row>
    <row r="213" spans="24:24" ht="13.5">
      <c r="X213" s="33"/>
    </row>
    <row r="214" spans="24:24" ht="13.5">
      <c r="X214" s="33"/>
    </row>
    <row r="215" spans="24:24" ht="13.5">
      <c r="X215" s="33"/>
    </row>
    <row r="216" spans="24:24" ht="13.5">
      <c r="X216" s="33"/>
    </row>
    <row r="217" spans="24:24" ht="13.5">
      <c r="X217" s="33"/>
    </row>
    <row r="218" spans="24:24" ht="13.5">
      <c r="X218" s="33"/>
    </row>
    <row r="219" spans="24:24" ht="13.5">
      <c r="X219" s="33"/>
    </row>
    <row r="220" spans="24:24" ht="13.5">
      <c r="X220" s="33"/>
    </row>
    <row r="221" spans="24:24" ht="13.5">
      <c r="X221" s="33"/>
    </row>
    <row r="222" spans="24:24" ht="13.5">
      <c r="X222" s="33"/>
    </row>
    <row r="223" spans="24:24" ht="13.5">
      <c r="X223" s="33"/>
    </row>
    <row r="224" spans="24:24" ht="13.5">
      <c r="X224" s="33"/>
    </row>
    <row r="225" spans="24:24" ht="13.5">
      <c r="X225" s="33"/>
    </row>
    <row r="226" spans="24:24" ht="13.5">
      <c r="X226" s="33"/>
    </row>
    <row r="227" spans="24:24" ht="13.5">
      <c r="X227" s="33"/>
    </row>
    <row r="228" spans="24:24" ht="13.5">
      <c r="X228" s="33"/>
    </row>
    <row r="229" spans="24:24" ht="13.5">
      <c r="X229" s="33"/>
    </row>
    <row r="230" spans="24:24" ht="13.5">
      <c r="X230" s="33"/>
    </row>
    <row r="231" spans="24:24" ht="13.5">
      <c r="X231" s="33"/>
    </row>
    <row r="232" spans="24:24" ht="13.5">
      <c r="X232" s="33"/>
    </row>
    <row r="233" spans="24:24" ht="13.5">
      <c r="X233" s="33"/>
    </row>
    <row r="234" spans="24:24" ht="13.5">
      <c r="X234" s="33"/>
    </row>
    <row r="235" spans="24:24" ht="13.5">
      <c r="X235" s="33"/>
    </row>
    <row r="236" spans="24:24" ht="13.5">
      <c r="X236" s="33"/>
    </row>
    <row r="237" spans="24:24" ht="13.5">
      <c r="X237" s="33"/>
    </row>
    <row r="238" spans="24:24" ht="13.5">
      <c r="X238" s="33"/>
    </row>
    <row r="239" spans="24:24" ht="13.5">
      <c r="X239" s="33"/>
    </row>
    <row r="240" spans="24:24" ht="13.5">
      <c r="X240" s="33"/>
    </row>
    <row r="241" spans="24:24" ht="13.5">
      <c r="X241" s="33"/>
    </row>
    <row r="242" spans="24:24" ht="13.5">
      <c r="X242" s="33"/>
    </row>
    <row r="243" spans="24:24" ht="13.5">
      <c r="X243" s="33"/>
    </row>
    <row r="244" spans="24:24" ht="13.5">
      <c r="X244" s="33"/>
    </row>
    <row r="245" spans="24:24" ht="13.5">
      <c r="X245" s="33"/>
    </row>
    <row r="246" spans="24:24" ht="13.5">
      <c r="X246" s="33"/>
    </row>
    <row r="247" spans="24:24" ht="13.5">
      <c r="X247" s="33"/>
    </row>
    <row r="248" spans="24:24" ht="13.5">
      <c r="X248" s="33"/>
    </row>
    <row r="249" spans="24:24" ht="13.5">
      <c r="X249" s="33"/>
    </row>
    <row r="250" spans="24:24" ht="13.5">
      <c r="X250" s="33"/>
    </row>
    <row r="251" spans="24:24" ht="13.5">
      <c r="X251" s="33"/>
    </row>
    <row r="252" spans="24:24" ht="13.5">
      <c r="X252" s="33"/>
    </row>
    <row r="253" spans="24:24" ht="13.5">
      <c r="X253" s="33"/>
    </row>
    <row r="254" spans="24:24" ht="13.5">
      <c r="X254" s="33"/>
    </row>
    <row r="255" spans="24:24" ht="13.5">
      <c r="X255" s="33"/>
    </row>
    <row r="256" spans="24:24" ht="13.5">
      <c r="X256" s="33"/>
    </row>
    <row r="257" spans="24:24" ht="13.5">
      <c r="X257" s="33"/>
    </row>
    <row r="258" spans="24:24" ht="13.5">
      <c r="X258" s="33"/>
    </row>
    <row r="259" spans="24:24" ht="13.5">
      <c r="X259" s="33"/>
    </row>
    <row r="260" spans="24:24" ht="13.5">
      <c r="X260" s="33"/>
    </row>
    <row r="261" spans="24:24" ht="13.5">
      <c r="X261" s="33"/>
    </row>
    <row r="262" spans="24:24" ht="13.5">
      <c r="X262" s="33"/>
    </row>
    <row r="263" spans="24:24" ht="13.5">
      <c r="X263" s="33"/>
    </row>
    <row r="264" spans="24:24" ht="13.5">
      <c r="X264" s="33"/>
    </row>
    <row r="265" spans="24:24" ht="13.5">
      <c r="X265" s="33"/>
    </row>
    <row r="266" spans="24:24" ht="13.5">
      <c r="X266" s="33"/>
    </row>
    <row r="267" spans="24:24" ht="13.5">
      <c r="X267" s="33"/>
    </row>
    <row r="268" spans="24:24" ht="13.5">
      <c r="X268" s="33"/>
    </row>
    <row r="269" spans="24:24" ht="13.5">
      <c r="X269" s="33"/>
    </row>
    <row r="270" spans="24:24" ht="13.5">
      <c r="X270" s="33"/>
    </row>
    <row r="271" spans="24:24" ht="13.5">
      <c r="X271" s="33"/>
    </row>
    <row r="272" spans="24:24" ht="13.5">
      <c r="X272" s="33"/>
    </row>
    <row r="273" spans="24:24" ht="13.5">
      <c r="X273" s="33"/>
    </row>
    <row r="274" spans="24:24" ht="13.5">
      <c r="X274" s="33"/>
    </row>
    <row r="275" spans="24:24" ht="13.5">
      <c r="X275" s="33"/>
    </row>
    <row r="276" spans="24:24" ht="13.5">
      <c r="X276" s="33"/>
    </row>
    <row r="277" spans="24:24" ht="13.5">
      <c r="X277" s="33"/>
    </row>
    <row r="278" spans="24:24" ht="13.5">
      <c r="X278" s="33"/>
    </row>
    <row r="279" spans="24:24" ht="13.5">
      <c r="X279" s="33"/>
    </row>
    <row r="280" spans="24:24" ht="13.5">
      <c r="X280" s="33"/>
    </row>
    <row r="281" spans="24:24" ht="13.5">
      <c r="X281" s="33"/>
    </row>
    <row r="282" spans="24:24" ht="13.5">
      <c r="X282" s="33"/>
    </row>
    <row r="283" spans="24:24" ht="13.5">
      <c r="X283" s="33"/>
    </row>
    <row r="284" spans="24:24" ht="13.5">
      <c r="X284" s="33"/>
    </row>
    <row r="285" spans="24:24" ht="13.5">
      <c r="X285" s="33"/>
    </row>
    <row r="286" spans="24:24" ht="13.5">
      <c r="X286" s="33"/>
    </row>
    <row r="287" spans="24:24" ht="13.5">
      <c r="X287" s="33"/>
    </row>
    <row r="288" spans="24:24" ht="13.5">
      <c r="X288" s="33"/>
    </row>
    <row r="289" spans="24:24" ht="13.5">
      <c r="X289" s="33"/>
    </row>
    <row r="290" spans="24:24" ht="13.5">
      <c r="X290" s="33"/>
    </row>
    <row r="291" spans="24:24" ht="13.5">
      <c r="X291" s="33"/>
    </row>
    <row r="292" spans="24:24" ht="13.5">
      <c r="X292" s="33"/>
    </row>
    <row r="293" spans="24:24" ht="13.5">
      <c r="X293" s="33"/>
    </row>
    <row r="294" spans="24:24" ht="13.5">
      <c r="X294" s="33"/>
    </row>
    <row r="295" spans="24:24" ht="13.5">
      <c r="X295" s="33"/>
    </row>
    <row r="296" spans="24:24" ht="13.5">
      <c r="X296" s="33"/>
    </row>
    <row r="297" spans="24:24" ht="13.5">
      <c r="X297" s="33"/>
    </row>
    <row r="298" spans="24:24" ht="13.5">
      <c r="X298" s="33"/>
    </row>
    <row r="299" spans="24:24" ht="13.5">
      <c r="X299" s="33"/>
    </row>
    <row r="300" spans="24:24" ht="13.5">
      <c r="X300" s="33"/>
    </row>
    <row r="301" spans="24:24" ht="13.5">
      <c r="X301" s="33"/>
    </row>
    <row r="302" spans="24:24" ht="13.5">
      <c r="X302" s="33"/>
    </row>
    <row r="303" spans="24:24" ht="13.5">
      <c r="X303" s="33"/>
    </row>
    <row r="304" spans="24:24" ht="13.5">
      <c r="X304" s="33"/>
    </row>
    <row r="305" spans="24:24" ht="13.5">
      <c r="X305" s="33"/>
    </row>
    <row r="306" spans="24:24" ht="13.5">
      <c r="X306" s="33"/>
    </row>
    <row r="307" spans="24:24" ht="13.5">
      <c r="X307" s="33"/>
    </row>
    <row r="308" spans="24:24" ht="13.5">
      <c r="X308" s="33"/>
    </row>
    <row r="309" spans="24:24" ht="13.5">
      <c r="X309" s="33"/>
    </row>
    <row r="310" spans="24:24" ht="13.5">
      <c r="X310" s="33"/>
    </row>
    <row r="311" spans="24:24" ht="13.5">
      <c r="X311" s="33"/>
    </row>
    <row r="312" spans="24:24" ht="13.5">
      <c r="X312" s="33"/>
    </row>
    <row r="313" spans="24:24" ht="13.5">
      <c r="X313" s="33"/>
    </row>
    <row r="314" spans="24:24" ht="13.5">
      <c r="X314" s="33"/>
    </row>
    <row r="315" spans="24:24" ht="13.5">
      <c r="X315" s="33"/>
    </row>
    <row r="316" spans="24:24" ht="13.5">
      <c r="X316" s="33"/>
    </row>
    <row r="317" spans="24:24" ht="13.5">
      <c r="X317" s="33"/>
    </row>
    <row r="318" spans="24:24" ht="13.5">
      <c r="X318" s="33"/>
    </row>
    <row r="319" spans="24:24" ht="13.5">
      <c r="X319" s="33"/>
    </row>
    <row r="320" spans="24:24" ht="13.5">
      <c r="X320" s="33"/>
    </row>
    <row r="321" spans="24:24" ht="13.5">
      <c r="X321" s="33"/>
    </row>
    <row r="322" spans="24:24" ht="13.5">
      <c r="X322" s="33"/>
    </row>
    <row r="323" spans="24:24" ht="13.5">
      <c r="X323" s="33"/>
    </row>
    <row r="324" spans="24:24" ht="13.5">
      <c r="X324" s="33"/>
    </row>
    <row r="325" spans="24:24" ht="13.5">
      <c r="X325" s="33"/>
    </row>
    <row r="326" spans="24:24" ht="13.5">
      <c r="X326" s="33"/>
    </row>
    <row r="327" spans="24:24" ht="13.5">
      <c r="X327" s="33"/>
    </row>
    <row r="328" spans="24:24" ht="13.5">
      <c r="X328" s="33"/>
    </row>
    <row r="329" spans="24:24" ht="13.5">
      <c r="X329" s="33"/>
    </row>
    <row r="330" spans="24:24" ht="13.5">
      <c r="X330" s="33"/>
    </row>
    <row r="331" spans="24:24" ht="13.5">
      <c r="X331" s="33"/>
    </row>
    <row r="332" spans="24:24" ht="13.5">
      <c r="X332" s="33"/>
    </row>
    <row r="333" spans="24:24" ht="13.5">
      <c r="X333" s="33"/>
    </row>
    <row r="334" spans="24:24" ht="13.5">
      <c r="X334" s="33"/>
    </row>
    <row r="335" spans="24:24" ht="13.5">
      <c r="X335" s="33"/>
    </row>
    <row r="336" spans="24:24" ht="13.5">
      <c r="X336" s="33"/>
    </row>
    <row r="337" spans="24:24" ht="13.5">
      <c r="X337" s="33"/>
    </row>
    <row r="338" spans="24:24" ht="13.5">
      <c r="X338" s="33"/>
    </row>
    <row r="339" spans="24:24" ht="13.5">
      <c r="X339" s="33"/>
    </row>
    <row r="340" spans="24:24" ht="13.5">
      <c r="X340" s="33"/>
    </row>
    <row r="341" spans="24:24" ht="13.5">
      <c r="X341" s="33"/>
    </row>
    <row r="342" spans="24:24" ht="13.5">
      <c r="X342" s="33"/>
    </row>
    <row r="343" spans="24:24" ht="13.5">
      <c r="X343" s="33"/>
    </row>
    <row r="344" spans="24:24" ht="13.5">
      <c r="X344" s="33"/>
    </row>
    <row r="345" spans="24:24" ht="13.5">
      <c r="X345" s="33"/>
    </row>
    <row r="346" spans="24:24" ht="13.5">
      <c r="X346" s="33"/>
    </row>
    <row r="347" spans="24:24" ht="13.5">
      <c r="X347" s="33"/>
    </row>
    <row r="348" spans="24:24" ht="13.5">
      <c r="X348" s="33"/>
    </row>
    <row r="349" spans="24:24" ht="13.5">
      <c r="X349" s="33"/>
    </row>
    <row r="350" spans="24:24" ht="13.5">
      <c r="X350" s="33"/>
    </row>
    <row r="351" spans="24:24" ht="13.5">
      <c r="X351" s="33"/>
    </row>
    <row r="352" spans="24:24" ht="13.5">
      <c r="X352" s="33"/>
    </row>
    <row r="353" spans="24:24" ht="13.5">
      <c r="X353" s="33"/>
    </row>
    <row r="354" spans="24:24" ht="13.5">
      <c r="X354" s="33"/>
    </row>
    <row r="355" spans="24:24" ht="13.5">
      <c r="X355" s="33"/>
    </row>
    <row r="356" spans="24:24" ht="13.5">
      <c r="X356" s="33"/>
    </row>
    <row r="357" spans="24:24" ht="13.5">
      <c r="X357" s="33"/>
    </row>
    <row r="358" spans="24:24" ht="13.5">
      <c r="X358" s="33"/>
    </row>
    <row r="359" spans="24:24" ht="13.5">
      <c r="X359" s="33"/>
    </row>
    <row r="360" spans="24:24" ht="13.5">
      <c r="X360" s="33"/>
    </row>
    <row r="361" spans="24:24" ht="13.5">
      <c r="X361" s="33"/>
    </row>
    <row r="362" spans="24:24" ht="13.5">
      <c r="X362" s="33"/>
    </row>
    <row r="363" spans="24:24" ht="13.5">
      <c r="X363" s="33"/>
    </row>
    <row r="364" spans="24:24" ht="13.5">
      <c r="X364" s="33"/>
    </row>
    <row r="365" spans="24:24" ht="13.5">
      <c r="X365" s="33"/>
    </row>
    <row r="366" spans="24:24" ht="13.5">
      <c r="X366" s="33"/>
    </row>
    <row r="367" spans="24:24" ht="13.5">
      <c r="X367" s="33"/>
    </row>
    <row r="368" spans="24:24" ht="13.5">
      <c r="X368" s="33"/>
    </row>
    <row r="369" spans="24:24" ht="13.5">
      <c r="X369" s="33"/>
    </row>
    <row r="370" spans="24:24" ht="13.5">
      <c r="X370" s="33"/>
    </row>
    <row r="371" spans="24:24" ht="13.5">
      <c r="X371" s="33"/>
    </row>
    <row r="372" spans="24:24" ht="13.5">
      <c r="X372" s="33"/>
    </row>
    <row r="373" spans="24:24" ht="13.5">
      <c r="X373" s="33"/>
    </row>
    <row r="374" spans="24:24" ht="13.5">
      <c r="X374" s="33"/>
    </row>
    <row r="375" spans="24:24" ht="13.5">
      <c r="X375" s="33"/>
    </row>
    <row r="376" spans="24:24" ht="13.5">
      <c r="X376" s="33"/>
    </row>
    <row r="377" spans="24:24" ht="13.5">
      <c r="X377" s="33"/>
    </row>
    <row r="378" spans="24:24" ht="13.5">
      <c r="X378" s="33"/>
    </row>
    <row r="379" spans="24:24" ht="13.5">
      <c r="X379" s="33"/>
    </row>
    <row r="380" spans="24:24" ht="13.5">
      <c r="X380" s="33"/>
    </row>
    <row r="381" spans="24:24" ht="13.5">
      <c r="X381" s="33"/>
    </row>
    <row r="382" spans="24:24" ht="13.5">
      <c r="X382" s="33"/>
    </row>
    <row r="383" spans="24:24" ht="13.5">
      <c r="X383" s="33"/>
    </row>
    <row r="384" spans="24:24" ht="13.5">
      <c r="X384" s="33"/>
    </row>
    <row r="385" spans="24:24" ht="13.5">
      <c r="X385" s="33"/>
    </row>
    <row r="386" spans="24:24" ht="13.5">
      <c r="X386" s="33"/>
    </row>
    <row r="387" spans="24:24" ht="13.5">
      <c r="X387" s="33"/>
    </row>
    <row r="388" spans="24:24" ht="13.5">
      <c r="X388" s="33"/>
    </row>
    <row r="389" spans="24:24" ht="13.5">
      <c r="X389" s="33"/>
    </row>
    <row r="390" spans="24:24" ht="13.5">
      <c r="X390" s="33"/>
    </row>
    <row r="391" spans="24:24" ht="13.5">
      <c r="X391" s="33"/>
    </row>
    <row r="392" spans="24:24" ht="13.5">
      <c r="X392" s="33"/>
    </row>
    <row r="393" spans="24:24" ht="13.5">
      <c r="X393" s="33"/>
    </row>
    <row r="394" spans="24:24" ht="13.5">
      <c r="X394" s="33"/>
    </row>
    <row r="395" spans="24:24" ht="13.5">
      <c r="X395" s="33"/>
    </row>
    <row r="396" spans="24:24" ht="13.5">
      <c r="X396" s="33"/>
    </row>
    <row r="397" spans="24:24" ht="13.5">
      <c r="X397" s="33"/>
    </row>
    <row r="398" spans="24:24" ht="13.5">
      <c r="X398" s="33"/>
    </row>
    <row r="399" spans="24:24" ht="13.5">
      <c r="X399" s="33"/>
    </row>
    <row r="400" spans="24:24" ht="13.5">
      <c r="X400" s="33"/>
    </row>
    <row r="401" spans="24:24" ht="13.5">
      <c r="X401" s="33"/>
    </row>
    <row r="402" spans="24:24" ht="13.5">
      <c r="X402" s="33"/>
    </row>
    <row r="403" spans="24:24" ht="13.5">
      <c r="X403" s="33"/>
    </row>
    <row r="404" spans="24:24" ht="13.5">
      <c r="X404" s="33"/>
    </row>
    <row r="405" spans="24:24" ht="13.5">
      <c r="X405" s="33"/>
    </row>
    <row r="406" spans="24:24" ht="13.5">
      <c r="X406" s="33"/>
    </row>
    <row r="407" spans="24:24" ht="13.5">
      <c r="X407" s="33"/>
    </row>
    <row r="408" spans="24:24" ht="13.5">
      <c r="X408" s="33"/>
    </row>
    <row r="409" spans="24:24" ht="13.5">
      <c r="X409" s="33"/>
    </row>
    <row r="410" spans="24:24" ht="13.5">
      <c r="X410" s="33"/>
    </row>
    <row r="411" spans="24:24" ht="13.5">
      <c r="X411" s="33"/>
    </row>
    <row r="412" spans="24:24" ht="13.5">
      <c r="X412" s="33"/>
    </row>
    <row r="413" spans="24:24" ht="13.5">
      <c r="X413" s="33"/>
    </row>
    <row r="414" spans="24:24" ht="13.5">
      <c r="X414" s="33"/>
    </row>
    <row r="415" spans="24:24" ht="13.5">
      <c r="X415" s="33"/>
    </row>
    <row r="416" spans="24:24" ht="13.5">
      <c r="X416" s="33"/>
    </row>
    <row r="417" spans="24:24" ht="13.5">
      <c r="X417" s="33"/>
    </row>
    <row r="418" spans="24:24" ht="13.5">
      <c r="X418" s="33"/>
    </row>
    <row r="419" spans="24:24" ht="13.5">
      <c r="X419" s="33"/>
    </row>
    <row r="420" spans="24:24" ht="13.5">
      <c r="X420" s="33"/>
    </row>
    <row r="421" spans="24:24" ht="13.5">
      <c r="X421" s="33"/>
    </row>
    <row r="422" spans="24:24" ht="13.5">
      <c r="X422" s="33"/>
    </row>
    <row r="423" spans="24:24" ht="13.5">
      <c r="X423" s="33"/>
    </row>
    <row r="424" spans="24:24" ht="13.5">
      <c r="X424" s="33"/>
    </row>
    <row r="425" spans="24:24" ht="13.5">
      <c r="X425" s="33"/>
    </row>
    <row r="426" spans="24:24" ht="13.5">
      <c r="X426" s="33"/>
    </row>
    <row r="427" spans="24:24" ht="13.5">
      <c r="X427" s="33"/>
    </row>
    <row r="428" spans="24:24" ht="13.5">
      <c r="X428" s="33"/>
    </row>
    <row r="429" spans="24:24" ht="13.5">
      <c r="X429" s="33"/>
    </row>
    <row r="430" spans="24:24" ht="13.5">
      <c r="X430" s="33"/>
    </row>
    <row r="431" spans="24:24" ht="13.5">
      <c r="X431" s="33"/>
    </row>
    <row r="432" spans="24:24" ht="13.5">
      <c r="X432" s="33"/>
    </row>
    <row r="433" spans="24:24" ht="13.5">
      <c r="X433" s="33"/>
    </row>
    <row r="434" spans="24:24" ht="13.5">
      <c r="X434" s="33"/>
    </row>
    <row r="435" spans="24:24" ht="13.5">
      <c r="X435" s="33"/>
    </row>
    <row r="436" spans="24:24" ht="13.5">
      <c r="X436" s="33"/>
    </row>
    <row r="437" spans="24:24" ht="13.5">
      <c r="X437" s="33"/>
    </row>
    <row r="438" spans="24:24" ht="13.5">
      <c r="X438" s="33"/>
    </row>
    <row r="439" spans="24:24" ht="13.5">
      <c r="X439" s="33"/>
    </row>
    <row r="440" spans="24:24" ht="13.5">
      <c r="X440" s="33"/>
    </row>
    <row r="441" spans="24:24" ht="13.5">
      <c r="X441" s="33"/>
    </row>
    <row r="442" spans="24:24" ht="13.5">
      <c r="X442" s="33"/>
    </row>
    <row r="443" spans="24:24" ht="13.5">
      <c r="X443" s="33"/>
    </row>
    <row r="444" spans="24:24" ht="13.5">
      <c r="X444" s="33"/>
    </row>
    <row r="445" spans="24:24" ht="13.5">
      <c r="X445" s="33"/>
    </row>
    <row r="446" spans="24:24" ht="13.5">
      <c r="X446" s="33"/>
    </row>
    <row r="447" spans="24:24" ht="13.5">
      <c r="X447" s="33"/>
    </row>
    <row r="448" spans="24:24" ht="13.5">
      <c r="X448" s="33"/>
    </row>
    <row r="449" spans="24:24" ht="13.5">
      <c r="X449" s="33"/>
    </row>
    <row r="450" spans="24:24" ht="13.5">
      <c r="X450" s="33"/>
    </row>
    <row r="451" spans="24:24" ht="13.5">
      <c r="X451" s="33"/>
    </row>
    <row r="452" spans="24:24" ht="13.5">
      <c r="X452" s="33"/>
    </row>
    <row r="453" spans="24:24" ht="13.5">
      <c r="X453" s="33"/>
    </row>
    <row r="454" spans="24:24" ht="13.5">
      <c r="X454" s="33"/>
    </row>
    <row r="455" spans="24:24" ht="13.5">
      <c r="X455" s="33"/>
    </row>
    <row r="456" spans="24:24" ht="13.5">
      <c r="X456" s="33"/>
    </row>
    <row r="457" spans="24:24" ht="13.5">
      <c r="X457" s="33"/>
    </row>
    <row r="458" spans="24:24" ht="13.5">
      <c r="X458" s="33"/>
    </row>
    <row r="459" spans="24:24" ht="13.5">
      <c r="X459" s="33"/>
    </row>
    <row r="460" spans="24:24" ht="13.5">
      <c r="X460" s="33"/>
    </row>
    <row r="461" spans="24:24" ht="13.5">
      <c r="X461" s="33"/>
    </row>
    <row r="462" spans="24:24" ht="13.5">
      <c r="X462" s="33"/>
    </row>
    <row r="463" spans="24:24" ht="13.5">
      <c r="X463" s="33"/>
    </row>
    <row r="464" spans="24:24" ht="13.5">
      <c r="X464" s="33"/>
    </row>
    <row r="465" spans="24:24" ht="13.5">
      <c r="X465" s="33"/>
    </row>
    <row r="466" spans="24:24" ht="13.5">
      <c r="X466" s="33"/>
    </row>
    <row r="467" spans="24:24" ht="13.5">
      <c r="X467" s="33"/>
    </row>
    <row r="468" spans="24:24" ht="13.5">
      <c r="X468" s="33"/>
    </row>
    <row r="469" spans="24:24" ht="13.5">
      <c r="X469" s="33"/>
    </row>
    <row r="470" spans="24:24" ht="13.5">
      <c r="X470" s="33"/>
    </row>
    <row r="471" spans="24:24" ht="13.5">
      <c r="X471" s="33"/>
    </row>
    <row r="472" spans="24:24" ht="13.5">
      <c r="X472" s="33"/>
    </row>
    <row r="473" spans="24:24" ht="13.5">
      <c r="X473" s="33"/>
    </row>
    <row r="474" spans="24:24" ht="13.5">
      <c r="X474" s="33"/>
    </row>
    <row r="475" spans="24:24" ht="13.5">
      <c r="X475" s="33"/>
    </row>
    <row r="476" spans="24:24" ht="13.5">
      <c r="X476" s="33"/>
    </row>
    <row r="477" spans="24:24" ht="13.5">
      <c r="X477" s="33"/>
    </row>
    <row r="478" spans="24:24" ht="13.5">
      <c r="X478" s="33"/>
    </row>
    <row r="479" spans="24:24" ht="13.5">
      <c r="X479" s="33"/>
    </row>
    <row r="480" spans="24:24" ht="13.5">
      <c r="X480" s="33"/>
    </row>
    <row r="481" spans="24:24" ht="13.5">
      <c r="X481" s="33"/>
    </row>
    <row r="482" spans="24:24" ht="13.5">
      <c r="X482" s="33"/>
    </row>
    <row r="483" spans="24:24" ht="13.5">
      <c r="X483" s="33"/>
    </row>
    <row r="484" spans="24:24" ht="13.5">
      <c r="X484" s="33"/>
    </row>
    <row r="485" spans="24:24" ht="13.5">
      <c r="X485" s="33"/>
    </row>
    <row r="486" spans="24:24" ht="13.5">
      <c r="X486" s="33"/>
    </row>
    <row r="487" spans="24:24" ht="13.5">
      <c r="X487" s="33"/>
    </row>
    <row r="488" spans="24:24" ht="13.5">
      <c r="X488" s="33"/>
    </row>
    <row r="489" spans="24:24" ht="13.5">
      <c r="X489" s="33"/>
    </row>
    <row r="490" spans="24:24" ht="13.5">
      <c r="X490" s="33"/>
    </row>
    <row r="491" spans="24:24" ht="13.5">
      <c r="X491" s="33"/>
    </row>
    <row r="492" spans="24:24" ht="13.5">
      <c r="X492" s="33"/>
    </row>
    <row r="493" spans="24:24" ht="13.5">
      <c r="X493" s="33"/>
    </row>
    <row r="494" spans="24:24" ht="13.5">
      <c r="X494" s="33"/>
    </row>
    <row r="495" spans="24:24" ht="13.5">
      <c r="X495" s="33"/>
    </row>
    <row r="496" spans="24:24" ht="13.5">
      <c r="X496" s="33"/>
    </row>
    <row r="497" spans="24:24" ht="13.5">
      <c r="X497" s="33"/>
    </row>
    <row r="498" spans="24:24" ht="13.5">
      <c r="X498" s="33"/>
    </row>
    <row r="499" spans="24:24" ht="13.5">
      <c r="X499" s="33"/>
    </row>
    <row r="500" spans="24:24" ht="13.5">
      <c r="X500" s="33"/>
    </row>
    <row r="501" spans="24:24" ht="13.5">
      <c r="X501" s="33"/>
    </row>
    <row r="502" spans="24:24" ht="13.5">
      <c r="X502" s="33"/>
    </row>
    <row r="503" spans="24:24" ht="13.5">
      <c r="X503" s="33"/>
    </row>
    <row r="504" spans="24:24" ht="13.5">
      <c r="X504" s="33"/>
    </row>
    <row r="505" spans="24:24" ht="13.5">
      <c r="X505" s="33"/>
    </row>
    <row r="506" spans="24:24" ht="13.5">
      <c r="X506" s="33"/>
    </row>
    <row r="507" spans="24:24" ht="13.5">
      <c r="X507" s="33"/>
    </row>
    <row r="508" spans="24:24" ht="13.5">
      <c r="X508" s="33"/>
    </row>
    <row r="509" spans="24:24" ht="13.5">
      <c r="X509" s="33"/>
    </row>
    <row r="510" spans="24:24" ht="13.5">
      <c r="X510" s="33"/>
    </row>
    <row r="511" spans="24:24" ht="13.5">
      <c r="X511" s="33"/>
    </row>
    <row r="512" spans="24:24" ht="13.5">
      <c r="X512" s="33"/>
    </row>
    <row r="513" spans="24:24" ht="13.5">
      <c r="X513" s="33"/>
    </row>
    <row r="514" spans="24:24" ht="13.5">
      <c r="X514" s="33"/>
    </row>
    <row r="515" spans="24:24" ht="13.5">
      <c r="X515" s="33"/>
    </row>
    <row r="516" spans="24:24" ht="13.5">
      <c r="X516" s="33"/>
    </row>
    <row r="517" spans="24:24" ht="13.5">
      <c r="X517" s="33"/>
    </row>
    <row r="518" spans="24:24" ht="13.5">
      <c r="X518" s="33"/>
    </row>
    <row r="519" spans="24:24" ht="13.5">
      <c r="X519" s="33"/>
    </row>
    <row r="520" spans="24:24" ht="13.5">
      <c r="X520" s="33"/>
    </row>
    <row r="521" spans="24:24" ht="13.5">
      <c r="X521" s="33"/>
    </row>
    <row r="522" spans="24:24" ht="13.5">
      <c r="X522" s="33"/>
    </row>
    <row r="523" spans="24:24" ht="13.5">
      <c r="X523" s="33"/>
    </row>
    <row r="524" spans="24:24" ht="13.5">
      <c r="X524" s="33"/>
    </row>
    <row r="525" spans="24:24" ht="13.5">
      <c r="X525" s="33"/>
    </row>
    <row r="526" spans="24:24" ht="13.5">
      <c r="X526" s="33"/>
    </row>
    <row r="527" spans="24:24" ht="13.5">
      <c r="X527" s="33"/>
    </row>
    <row r="528" spans="24:24" ht="13.5">
      <c r="X528" s="33"/>
    </row>
    <row r="529" spans="24:24" ht="13.5">
      <c r="X529" s="33"/>
    </row>
    <row r="530" spans="24:24" ht="13.5">
      <c r="X530" s="33"/>
    </row>
    <row r="531" spans="24:24" ht="13.5">
      <c r="X531" s="33"/>
    </row>
    <row r="532" spans="24:24" ht="13.5">
      <c r="X532" s="33"/>
    </row>
    <row r="533" spans="24:24" ht="13.5">
      <c r="X533" s="33"/>
    </row>
    <row r="534" spans="24:24" ht="13.5">
      <c r="X534" s="33"/>
    </row>
    <row r="535" spans="24:24" ht="13.5">
      <c r="X535" s="33"/>
    </row>
    <row r="536" spans="24:24" ht="13.5">
      <c r="X536" s="33"/>
    </row>
    <row r="537" spans="24:24" ht="13.5">
      <c r="X537" s="33"/>
    </row>
    <row r="538" spans="24:24" ht="13.5">
      <c r="X538" s="33"/>
    </row>
    <row r="539" spans="24:24" ht="13.5">
      <c r="X539" s="33"/>
    </row>
    <row r="540" spans="24:24" ht="13.5">
      <c r="X540" s="33"/>
    </row>
    <row r="541" spans="24:24" ht="13.5">
      <c r="X541" s="33"/>
    </row>
    <row r="542" spans="24:24" ht="13.5">
      <c r="X542" s="33"/>
    </row>
    <row r="543" spans="24:24" ht="13.5">
      <c r="X543" s="33"/>
    </row>
    <row r="544" spans="24:24" ht="13.5">
      <c r="X544" s="33"/>
    </row>
    <row r="545" spans="24:24" ht="13.5">
      <c r="X545" s="33"/>
    </row>
    <row r="546" spans="24:24" ht="13.5">
      <c r="X546" s="33"/>
    </row>
    <row r="547" spans="24:24" ht="13.5">
      <c r="X547" s="33"/>
    </row>
    <row r="548" spans="24:24" ht="13.5">
      <c r="X548" s="33"/>
    </row>
    <row r="549" spans="24:24" ht="13.5">
      <c r="X549" s="33"/>
    </row>
    <row r="550" spans="24:24" ht="13.5">
      <c r="X550" s="33"/>
    </row>
    <row r="551" spans="24:24" ht="13.5">
      <c r="X551" s="33"/>
    </row>
    <row r="552" spans="24:24" ht="13.5">
      <c r="X552" s="33"/>
    </row>
    <row r="553" spans="24:24" ht="13.5">
      <c r="X553" s="33"/>
    </row>
    <row r="554" spans="24:24" ht="13.5">
      <c r="X554" s="33"/>
    </row>
    <row r="555" spans="24:24" ht="13.5">
      <c r="X555" s="33"/>
    </row>
    <row r="556" spans="24:24" ht="13.5">
      <c r="X556" s="33"/>
    </row>
    <row r="557" spans="24:24" ht="13.5">
      <c r="X557" s="33"/>
    </row>
    <row r="558" spans="24:24" ht="13.5">
      <c r="X558" s="33"/>
    </row>
    <row r="559" spans="24:24" ht="13.5">
      <c r="X559" s="33"/>
    </row>
    <row r="560" spans="24:24" ht="13.5">
      <c r="X560" s="33"/>
    </row>
    <row r="561" spans="24:24" ht="13.5">
      <c r="X561" s="33"/>
    </row>
    <row r="562" spans="24:24" ht="13.5">
      <c r="X562" s="33"/>
    </row>
    <row r="563" spans="24:24" ht="13.5">
      <c r="X563" s="33"/>
    </row>
    <row r="564" spans="24:24" ht="13.5">
      <c r="X564" s="33"/>
    </row>
    <row r="565" spans="24:24" ht="13.5">
      <c r="X565" s="33"/>
    </row>
    <row r="566" spans="24:24" ht="13.5">
      <c r="X566" s="33"/>
    </row>
    <row r="567" spans="24:24" ht="13.5">
      <c r="X567" s="33"/>
    </row>
    <row r="568" spans="24:24" ht="13.5">
      <c r="X568" s="33"/>
    </row>
    <row r="569" spans="24:24" ht="13.5">
      <c r="X569" s="33"/>
    </row>
    <row r="570" spans="24:24" ht="13.5">
      <c r="X570" s="33"/>
    </row>
    <row r="571" spans="24:24" ht="13.5">
      <c r="X571" s="33"/>
    </row>
    <row r="572" spans="24:24" ht="13.5">
      <c r="X572" s="33"/>
    </row>
    <row r="573" spans="24:24" ht="13.5">
      <c r="X573" s="33"/>
    </row>
    <row r="574" spans="24:24" ht="13.5">
      <c r="X574" s="33"/>
    </row>
    <row r="575" spans="24:24" ht="13.5">
      <c r="X575" s="33"/>
    </row>
    <row r="576" spans="24:24" ht="13.5">
      <c r="X576" s="33"/>
    </row>
    <row r="577" spans="24:24" ht="13.5">
      <c r="X577" s="33"/>
    </row>
    <row r="578" spans="24:24" ht="13.5">
      <c r="X578" s="33"/>
    </row>
    <row r="579" spans="24:24" ht="13.5">
      <c r="X579" s="33"/>
    </row>
    <row r="580" spans="24:24" ht="13.5">
      <c r="X580" s="33"/>
    </row>
    <row r="581" spans="24:24" ht="13.5">
      <c r="X581" s="33"/>
    </row>
    <row r="582" spans="24:24" ht="13.5">
      <c r="X582" s="33"/>
    </row>
    <row r="583" spans="24:24" ht="13.5">
      <c r="X583" s="33"/>
    </row>
    <row r="584" spans="24:24" ht="13.5">
      <c r="X584" s="33"/>
    </row>
    <row r="585" spans="24:24" ht="13.5">
      <c r="X585" s="33"/>
    </row>
    <row r="586" spans="24:24" ht="13.5">
      <c r="X586" s="33"/>
    </row>
    <row r="587" spans="24:24" ht="13.5">
      <c r="X587" s="33"/>
    </row>
    <row r="588" spans="24:24" ht="13.5">
      <c r="X588" s="33"/>
    </row>
    <row r="589" spans="24:24" ht="13.5">
      <c r="X589" s="33"/>
    </row>
    <row r="590" spans="24:24" ht="13.5">
      <c r="X590" s="33"/>
    </row>
    <row r="591" spans="24:24" ht="13.5">
      <c r="X591" s="33"/>
    </row>
    <row r="592" spans="24:24" ht="13.5">
      <c r="X592" s="33"/>
    </row>
    <row r="593" spans="24:24" ht="13.5">
      <c r="X593" s="33"/>
    </row>
    <row r="594" spans="24:24" ht="13.5">
      <c r="X594" s="33"/>
    </row>
    <row r="595" spans="24:24" ht="13.5">
      <c r="X595" s="33"/>
    </row>
    <row r="596" spans="24:24" ht="13.5">
      <c r="X596" s="33"/>
    </row>
    <row r="597" spans="24:24" ht="13.5">
      <c r="X597" s="33"/>
    </row>
    <row r="598" spans="24:24" ht="13.5">
      <c r="X598" s="33"/>
    </row>
    <row r="599" spans="24:24" ht="13.5">
      <c r="X599" s="33"/>
    </row>
    <row r="600" spans="24:24" ht="13.5">
      <c r="X600" s="33"/>
    </row>
    <row r="601" spans="24:24" ht="13.5">
      <c r="X601" s="33"/>
    </row>
    <row r="602" spans="24:24" ht="13.5">
      <c r="X602" s="33"/>
    </row>
    <row r="603" spans="24:24" ht="13.5">
      <c r="X603" s="33"/>
    </row>
    <row r="604" spans="24:24" ht="13.5">
      <c r="X604" s="33"/>
    </row>
    <row r="605" spans="24:24" ht="13.5">
      <c r="X605" s="33"/>
    </row>
    <row r="606" spans="24:24" ht="13.5">
      <c r="X606" s="33"/>
    </row>
    <row r="607" spans="24:24" ht="13.5">
      <c r="X607" s="33"/>
    </row>
    <row r="608" spans="24:24" ht="13.5">
      <c r="X608" s="33"/>
    </row>
    <row r="609" spans="24:24" ht="13.5">
      <c r="X609" s="33"/>
    </row>
    <row r="610" spans="24:24" ht="13.5">
      <c r="X610" s="33"/>
    </row>
    <row r="611" spans="24:24" ht="13.5">
      <c r="X611" s="33"/>
    </row>
    <row r="612" spans="24:24" ht="13.5">
      <c r="X612" s="33"/>
    </row>
    <row r="613" spans="24:24" ht="13.5">
      <c r="X613" s="33"/>
    </row>
    <row r="614" spans="24:24" ht="13.5">
      <c r="X614" s="33"/>
    </row>
    <row r="615" spans="24:24" ht="13.5">
      <c r="X615" s="33"/>
    </row>
    <row r="616" spans="24:24" ht="13.5">
      <c r="X616" s="33"/>
    </row>
    <row r="617" spans="24:24" ht="13.5">
      <c r="X617" s="33"/>
    </row>
    <row r="618" spans="24:24" ht="13.5">
      <c r="X618" s="33"/>
    </row>
    <row r="619" spans="24:24" ht="13.5">
      <c r="X619" s="33"/>
    </row>
    <row r="620" spans="24:24" ht="13.5">
      <c r="X620" s="33"/>
    </row>
    <row r="621" spans="24:24" ht="13.5">
      <c r="X621" s="33"/>
    </row>
    <row r="622" spans="24:24" ht="13.5">
      <c r="X622" s="33"/>
    </row>
    <row r="623" spans="24:24" ht="13.5">
      <c r="X623" s="33"/>
    </row>
    <row r="624" spans="24:24" ht="13.5">
      <c r="X624" s="33"/>
    </row>
    <row r="625" spans="24:24" ht="13.5">
      <c r="X625" s="33"/>
    </row>
    <row r="626" spans="24:24" ht="13.5">
      <c r="X626" s="33"/>
    </row>
    <row r="627" spans="24:24" ht="13.5">
      <c r="X627" s="33"/>
    </row>
    <row r="628" spans="24:24" ht="13.5">
      <c r="X628" s="33"/>
    </row>
    <row r="629" spans="24:24" ht="13.5">
      <c r="X629" s="33"/>
    </row>
    <row r="630" spans="24:24" ht="13.5">
      <c r="X630" s="33"/>
    </row>
    <row r="631" spans="24:24" ht="13.5">
      <c r="X631" s="33"/>
    </row>
    <row r="632" spans="24:24" ht="13.5">
      <c r="X632" s="33"/>
    </row>
    <row r="633" spans="24:24" ht="13.5">
      <c r="X633" s="33"/>
    </row>
    <row r="634" spans="24:24" ht="13.5">
      <c r="X634" s="33"/>
    </row>
    <row r="635" spans="24:24" ht="13.5">
      <c r="X635" s="33"/>
    </row>
    <row r="636" spans="24:24" ht="13.5">
      <c r="X636" s="33"/>
    </row>
    <row r="637" spans="24:24" ht="13.5">
      <c r="X637" s="33"/>
    </row>
    <row r="638" spans="24:24" ht="13.5">
      <c r="X638" s="33"/>
    </row>
    <row r="639" spans="24:24" ht="13.5">
      <c r="X639" s="33"/>
    </row>
    <row r="640" spans="24:24" ht="13.5">
      <c r="X640" s="33"/>
    </row>
    <row r="641" spans="24:24" ht="13.5">
      <c r="X641" s="33"/>
    </row>
    <row r="642" spans="24:24" ht="13.5">
      <c r="X642" s="33"/>
    </row>
    <row r="643" spans="24:24" ht="13.5">
      <c r="X643" s="33"/>
    </row>
    <row r="644" spans="24:24" ht="13.5">
      <c r="X644" s="33"/>
    </row>
    <row r="645" spans="24:24" ht="13.5">
      <c r="X645" s="33"/>
    </row>
    <row r="646" spans="24:24" ht="13.5">
      <c r="X646" s="33"/>
    </row>
    <row r="647" spans="24:24" ht="13.5">
      <c r="X647" s="33"/>
    </row>
    <row r="648" spans="24:24" ht="13.5">
      <c r="X648" s="33"/>
    </row>
    <row r="649" spans="24:24" ht="13.5">
      <c r="X649" s="33"/>
    </row>
    <row r="650" spans="24:24" ht="13.5">
      <c r="X650" s="33"/>
    </row>
    <row r="651" spans="24:24" ht="13.5">
      <c r="X651" s="33"/>
    </row>
    <row r="652" spans="24:24" ht="13.5">
      <c r="X652" s="33"/>
    </row>
    <row r="653" spans="24:24" ht="13.5">
      <c r="X653" s="33"/>
    </row>
    <row r="654" spans="24:24" ht="13.5">
      <c r="X654" s="33"/>
    </row>
    <row r="655" spans="24:24" ht="13.5">
      <c r="X655" s="33"/>
    </row>
    <row r="656" spans="24:24" ht="13.5">
      <c r="X656" s="33"/>
    </row>
    <row r="657" spans="24:24" ht="13.5">
      <c r="X657" s="33"/>
    </row>
    <row r="658" spans="24:24" ht="13.5">
      <c r="X658" s="33"/>
    </row>
    <row r="659" spans="24:24" ht="13.5">
      <c r="X659" s="33"/>
    </row>
    <row r="660" spans="24:24" ht="13.5">
      <c r="X660" s="33"/>
    </row>
    <row r="661" spans="24:24" ht="13.5">
      <c r="X661" s="33"/>
    </row>
    <row r="662" spans="24:24" ht="13.5">
      <c r="X662" s="33"/>
    </row>
    <row r="663" spans="24:24" ht="13.5">
      <c r="X663" s="33"/>
    </row>
    <row r="664" spans="24:24" ht="13.5">
      <c r="X664" s="33"/>
    </row>
    <row r="665" spans="24:24" ht="13.5">
      <c r="X665" s="33"/>
    </row>
    <row r="666" spans="24:24" ht="13.5">
      <c r="X666" s="33"/>
    </row>
    <row r="667" spans="24:24" ht="13.5">
      <c r="X667" s="33"/>
    </row>
    <row r="668" spans="24:24" ht="13.5">
      <c r="X668" s="33"/>
    </row>
    <row r="669" spans="24:24" ht="13.5">
      <c r="X669" s="33"/>
    </row>
    <row r="670" spans="24:24" ht="13.5">
      <c r="X670" s="33"/>
    </row>
    <row r="671" spans="24:24" ht="13.5">
      <c r="X671" s="33"/>
    </row>
    <row r="672" spans="24:24" ht="13.5">
      <c r="X672" s="33"/>
    </row>
    <row r="673" spans="24:24" ht="13.5">
      <c r="X673" s="33"/>
    </row>
    <row r="674" spans="24:24" ht="13.5">
      <c r="X674" s="33"/>
    </row>
    <row r="675" spans="24:24" ht="13.5">
      <c r="X675" s="33"/>
    </row>
    <row r="676" spans="24:24" ht="13.5">
      <c r="X676" s="33"/>
    </row>
    <row r="677" spans="24:24" ht="13.5">
      <c r="X677" s="33"/>
    </row>
    <row r="678" spans="24:24" ht="13.5">
      <c r="X678" s="33"/>
    </row>
    <row r="679" spans="24:24" ht="13.5">
      <c r="X679" s="33"/>
    </row>
    <row r="680" spans="24:24" ht="13.5">
      <c r="X680" s="33"/>
    </row>
    <row r="681" spans="24:24" ht="13.5">
      <c r="X681" s="33"/>
    </row>
    <row r="682" spans="24:24" ht="13.5">
      <c r="X682" s="33"/>
    </row>
    <row r="683" spans="24:24" ht="13.5">
      <c r="X683" s="33"/>
    </row>
    <row r="684" spans="24:24" ht="13.5">
      <c r="X684" s="33"/>
    </row>
    <row r="685" spans="24:24" ht="13.5">
      <c r="X685" s="33"/>
    </row>
    <row r="686" spans="24:24" ht="13.5">
      <c r="X686" s="33"/>
    </row>
    <row r="687" spans="24:24" ht="13.5">
      <c r="X687" s="33"/>
    </row>
    <row r="688" spans="24:24" ht="13.5">
      <c r="X688" s="33"/>
    </row>
    <row r="689" spans="24:24" ht="13.5">
      <c r="X689" s="33"/>
    </row>
    <row r="690" spans="24:24" ht="13.5">
      <c r="X690" s="33"/>
    </row>
    <row r="691" spans="24:24" ht="13.5">
      <c r="X691" s="33"/>
    </row>
    <row r="692" spans="24:24" ht="13.5">
      <c r="X692" s="33"/>
    </row>
    <row r="693" spans="24:24" ht="13.5">
      <c r="X693" s="33"/>
    </row>
    <row r="694" spans="24:24" ht="13.5">
      <c r="X694" s="33"/>
    </row>
    <row r="695" spans="24:24" ht="13.5">
      <c r="X695" s="33"/>
    </row>
    <row r="696" spans="24:24" ht="13.5">
      <c r="X696" s="33"/>
    </row>
    <row r="697" spans="24:24" ht="13.5">
      <c r="X697" s="33"/>
    </row>
    <row r="698" spans="24:24" ht="13.5">
      <c r="X698" s="33"/>
    </row>
    <row r="699" spans="24:24" ht="13.5">
      <c r="X699" s="33"/>
    </row>
    <row r="700" spans="24:24" ht="13.5">
      <c r="X700" s="33"/>
    </row>
    <row r="701" spans="24:24" ht="13.5">
      <c r="X701" s="33"/>
    </row>
    <row r="702" spans="24:24" ht="13.5">
      <c r="X702" s="33"/>
    </row>
    <row r="703" spans="24:24" ht="13.5">
      <c r="X703" s="33"/>
    </row>
    <row r="704" spans="24:24" ht="13.5">
      <c r="X704" s="33"/>
    </row>
    <row r="705" spans="24:24" ht="13.5">
      <c r="X705" s="33"/>
    </row>
    <row r="706" spans="24:24" ht="13.5">
      <c r="X706" s="33"/>
    </row>
    <row r="707" spans="24:24" ht="13.5">
      <c r="X707" s="33"/>
    </row>
    <row r="708" spans="24:24" ht="13.5">
      <c r="X708" s="33"/>
    </row>
    <row r="709" spans="24:24" ht="13.5">
      <c r="X709" s="33"/>
    </row>
    <row r="710" spans="24:24" ht="13.5">
      <c r="X710" s="33"/>
    </row>
    <row r="711" spans="24:24" ht="13.5">
      <c r="X711" s="33"/>
    </row>
  </sheetData>
  <protectedRanges>
    <protectedRange algorithmName="SHA-512" hashValue="5EDU7/hB43IpJxsgNAp4PltWxis6JYQPgHKfHEcrJ3ooCyIshPNtVMoJTBWbShdDV4sV0nG6o/iipKITK1GICA==" saltValue="GEmy5Hae7/jHsbvCAhHhtA==" spinCount="100000" sqref="V124:Y124 V111:Y111 V115:Y115 V117:Y117 V120:Y120" name="Total Holds Weight Total Weight_21"/>
    <protectedRange algorithmName="SHA-512" hashValue="4b4OYWsbr8QYbWJLQtkY7kghkUwFWlGtz3Jnn7yR6265/ERRTBRvSG78obwvqQGYDCwSyDCJysspxEAQzcbefQ==" saltValue="TE8Q0zay6LgmIfoug7EZXQ==" spinCount="100000" sqref="L124 J111 J115 J117 J120 J124 L111 L115 L117 L120" name="Your Price Retail Price Total Sets_21"/>
    <protectedRange algorithmName="SHA-512" hashValue="5EDU7/hB43IpJxsgNAp4PltWxis6JYQPgHKfHEcrJ3ooCyIshPNtVMoJTBWbShdDV4sV0nG6o/iipKITK1GICA==" saltValue="GEmy5Hae7/jHsbvCAhHhtA==" spinCount="100000" sqref="V146:Y147" name="Total Holds Weight Total Weight_13"/>
  </protectedRanges>
  <mergeCells count="64">
    <mergeCell ref="I181:T181"/>
    <mergeCell ref="X181:X193"/>
    <mergeCell ref="I182:T182"/>
    <mergeCell ref="I183:T183"/>
    <mergeCell ref="R184:T184"/>
    <mergeCell ref="R185:T185"/>
    <mergeCell ref="I186:T186"/>
    <mergeCell ref="I187:T187"/>
    <mergeCell ref="I188:T188"/>
    <mergeCell ref="J189:T189"/>
    <mergeCell ref="I190:T190"/>
    <mergeCell ref="I191:T191"/>
    <mergeCell ref="I192:T192"/>
    <mergeCell ref="I193:T193"/>
    <mergeCell ref="I195:T195"/>
    <mergeCell ref="X195:X202"/>
    <mergeCell ref="I196:T196"/>
    <mergeCell ref="I197:T197"/>
    <mergeCell ref="J198:T198"/>
    <mergeCell ref="I199:T199"/>
    <mergeCell ref="I200:T200"/>
    <mergeCell ref="I201:T201"/>
    <mergeCell ref="I202:T202"/>
    <mergeCell ref="I179:T179"/>
    <mergeCell ref="I165:T165"/>
    <mergeCell ref="I167:T167"/>
    <mergeCell ref="X167:X179"/>
    <mergeCell ref="I168:T168"/>
    <mergeCell ref="I169:T169"/>
    <mergeCell ref="R170:T170"/>
    <mergeCell ref="R171:T171"/>
    <mergeCell ref="I172:T172"/>
    <mergeCell ref="I173:T173"/>
    <mergeCell ref="I174:T174"/>
    <mergeCell ref="J175:T175"/>
    <mergeCell ref="I176:T176"/>
    <mergeCell ref="I177:T177"/>
    <mergeCell ref="I178:T178"/>
    <mergeCell ref="I164:T164"/>
    <mergeCell ref="I151:T151"/>
    <mergeCell ref="X151:X165"/>
    <mergeCell ref="I152:T152"/>
    <mergeCell ref="I153:T153"/>
    <mergeCell ref="I154:T154"/>
    <mergeCell ref="R155:T155"/>
    <mergeCell ref="I156:T156"/>
    <mergeCell ref="R157:T157"/>
    <mergeCell ref="I158:T158"/>
    <mergeCell ref="I159:T159"/>
    <mergeCell ref="I160:T160"/>
    <mergeCell ref="J161:T161"/>
    <mergeCell ref="I162:T162"/>
    <mergeCell ref="I163:T163"/>
    <mergeCell ref="W33:X33"/>
    <mergeCell ref="J13:P20"/>
    <mergeCell ref="H22:L22"/>
    <mergeCell ref="H23:L23"/>
    <mergeCell ref="B26:V31"/>
    <mergeCell ref="B1:U1"/>
    <mergeCell ref="F2:M2"/>
    <mergeCell ref="O7:O8"/>
    <mergeCell ref="P7:P8"/>
    <mergeCell ref="M9:N9"/>
    <mergeCell ref="O9:P9"/>
  </mergeCells>
  <phoneticPr fontId="39" type="noConversion"/>
  <conditionalFormatting sqref="T151:T152 U149">
    <cfRule type="cellIs" dxfId="153" priority="778" stopIfTrue="1" operator="equal">
      <formula>0</formula>
    </cfRule>
  </conditionalFormatting>
  <conditionalFormatting sqref="V157:W157">
    <cfRule type="cellIs" dxfId="152" priority="779" stopIfTrue="1" operator="greaterThan">
      <formula>0</formula>
    </cfRule>
  </conditionalFormatting>
  <conditionalFormatting sqref="V171">
    <cfRule type="cellIs" dxfId="151" priority="777" stopIfTrue="1" operator="greaterThan">
      <formula>0</formula>
    </cfRule>
  </conditionalFormatting>
  <conditionalFormatting sqref="T169">
    <cfRule type="cellIs" dxfId="150" priority="761" stopIfTrue="1" operator="equal">
      <formula>0</formula>
    </cfRule>
  </conditionalFormatting>
  <conditionalFormatting sqref="T167">
    <cfRule type="cellIs" dxfId="149" priority="762" stopIfTrue="1" operator="equal">
      <formula>0</formula>
    </cfRule>
  </conditionalFormatting>
  <conditionalFormatting sqref="T154">
    <cfRule type="cellIs" dxfId="148" priority="763" stopIfTrue="1" operator="equal">
      <formula>0</formula>
    </cfRule>
  </conditionalFormatting>
  <conditionalFormatting sqref="U37:U145">
    <cfRule type="cellIs" dxfId="143" priority="539" stopIfTrue="1" operator="equal">
      <formula>0</formula>
    </cfRule>
  </conditionalFormatting>
  <conditionalFormatting sqref="U37:U145">
    <cfRule type="cellIs" dxfId="142" priority="538" stopIfTrue="1" operator="equal">
      <formula>0</formula>
    </cfRule>
  </conditionalFormatting>
  <conditionalFormatting sqref="U148">
    <cfRule type="cellIs" dxfId="129" priority="470" stopIfTrue="1" operator="equal">
      <formula>0</formula>
    </cfRule>
  </conditionalFormatting>
  <conditionalFormatting sqref="U148">
    <cfRule type="cellIs" dxfId="128" priority="469" stopIfTrue="1" operator="equal">
      <formula>0</formula>
    </cfRule>
  </conditionalFormatting>
  <conditionalFormatting sqref="T181">
    <cfRule type="cellIs" dxfId="127" priority="467" stopIfTrue="1" operator="equal">
      <formula>0</formula>
    </cfRule>
  </conditionalFormatting>
  <conditionalFormatting sqref="T183">
    <cfRule type="cellIs" dxfId="126" priority="466" stopIfTrue="1" operator="equal">
      <formula>0</formula>
    </cfRule>
  </conditionalFormatting>
  <conditionalFormatting sqref="V185">
    <cfRule type="cellIs" dxfId="125" priority="468" stopIfTrue="1" operator="greaterThan">
      <formula>0</formula>
    </cfRule>
  </conditionalFormatting>
  <dataValidations count="3">
    <dataValidation allowBlank="1" showInputMessage="1" showErrorMessage="1" promptTitle="Red Matching" prompt="Warning: please review the color options on the cover page or consult your local sales rep as this color does not match between manufacturers" sqref="M148 M37:M145" xr:uid="{2874E611-39D2-43C5-8795-0797DA51537A}"/>
    <dataValidation allowBlank="1" showInputMessage="1" showErrorMessage="1" promptTitle="Blue Matching" prompt="Warning: please review the color options on the cover page or consult your local sales rep as this color does not match between manufacturers" sqref="Q148 Q37:Q145" xr:uid="{302D6EB7-AB3A-414B-9BFF-320742B21A5F}"/>
    <dataValidation allowBlank="1" showInputMessage="1" showErrorMessage="1" promptTitle="Pink Matching" prompt="Warning: please review the color options on the cover page or consult your local sales rep as this color does not match between manufacturers" sqref="S148 S37:S145" xr:uid="{3B8AF941-E29F-4DEC-9CA7-ECD2DD1FB16E}"/>
  </dataValidations>
  <hyperlinks>
    <hyperlink ref="J7" r:id="rId1" xr:uid="{00000000-0004-0000-0300-000000000000}"/>
    <hyperlink ref="B44" r:id="rId2" xr:uid="{6E089A39-29FE-4CBB-A53B-922AC311836F}"/>
    <hyperlink ref="B43" r:id="rId3" xr:uid="{DDA020B2-3D89-4370-BA54-42A8C653FA39}"/>
    <hyperlink ref="B42" r:id="rId4" xr:uid="{170DD3BA-053C-47D6-8009-E2E26F7034F5}"/>
    <hyperlink ref="B41" r:id="rId5" xr:uid="{7E330974-7232-44B0-ACC4-2785D9170762}"/>
    <hyperlink ref="B40" r:id="rId6" xr:uid="{0392AD7D-37A6-48D7-AF3E-AA0CED9D63F8}"/>
    <hyperlink ref="B39" r:id="rId7" xr:uid="{C589910D-1F77-492A-A7F9-B2B577CB23BB}"/>
    <hyperlink ref="B38" r:id="rId8" xr:uid="{0FA8977F-7C4A-4732-A167-38A3CC197D0D}"/>
    <hyperlink ref="B37" r:id="rId9" xr:uid="{397DDA51-CC10-4276-AFBA-1F1F46BF5EF2}"/>
    <hyperlink ref="B58" r:id="rId10" xr:uid="{1DED6B55-6650-4F68-B547-0654918C0798}"/>
    <hyperlink ref="B57" r:id="rId11" xr:uid="{BC55C51A-B246-4F46-9BF6-8FFA85A02A74}"/>
    <hyperlink ref="B56" r:id="rId12" xr:uid="{9385BAA1-386E-401E-AB5C-318DEFE25597}"/>
    <hyperlink ref="B55" r:id="rId13" xr:uid="{1D5DFB76-176A-4A27-B2B6-B2D55E435500}"/>
    <hyperlink ref="B54" r:id="rId14" xr:uid="{10467DAC-2066-4574-965E-A8A9F24BB5E8}"/>
    <hyperlink ref="B53" r:id="rId15" xr:uid="{D35EABB3-D19F-45FE-9649-BB42FA3534C2}"/>
    <hyperlink ref="B52" r:id="rId16" xr:uid="{26C8512F-A379-4619-95AE-22F3090A0411}"/>
    <hyperlink ref="B51" r:id="rId17" xr:uid="{872E752F-797A-4ECE-BD6E-A9FF1BE9A217}"/>
    <hyperlink ref="B50" r:id="rId18" xr:uid="{3FA92CD6-B14E-4E96-BFDF-40389CA1C1ED}"/>
    <hyperlink ref="B49" r:id="rId19" xr:uid="{26CE3C2D-2724-48EB-B0DF-85E6303DAC02}"/>
    <hyperlink ref="B48" r:id="rId20" xr:uid="{C52F6B02-EB51-4FAD-B428-06B6FF447F2E}"/>
    <hyperlink ref="B47" r:id="rId21" xr:uid="{961F129B-04A6-49C5-8F23-772232B966EC}"/>
    <hyperlink ref="B46" r:id="rId22" xr:uid="{C724AA9F-1B4B-4419-BA33-BD43D62294BA}"/>
    <hyperlink ref="B71" r:id="rId23" xr:uid="{B67B51CA-C3E2-4393-932A-7024FAC0BE4D}"/>
    <hyperlink ref="B68" r:id="rId24" xr:uid="{005E8717-F57C-4780-BA19-533DD777B7AC}"/>
    <hyperlink ref="B67" r:id="rId25" xr:uid="{01964665-4EF1-4454-AB7E-3220B27A939E}"/>
    <hyperlink ref="B60" r:id="rId26" display="Reg XL1 - Jugs" xr:uid="{E4BC820C-D111-42E6-9E83-170C891D08EF}"/>
    <hyperlink ref="B103" r:id="rId27" xr:uid="{6959E1A2-8D16-47B6-9567-68150D4742A7}"/>
    <hyperlink ref="B102" r:id="rId28" xr:uid="{0ACA8E3E-0D6D-491C-93F4-FABD0FC60867}"/>
    <hyperlink ref="B100" r:id="rId29" xr:uid="{94BAF4A2-5945-4108-88F1-21BFC1676F5B}"/>
    <hyperlink ref="B98" r:id="rId30" xr:uid="{39E4E53B-B49B-4E7D-B841-BFB9969684EA}"/>
    <hyperlink ref="B97" r:id="rId31" xr:uid="{6F46EC43-9B0F-4D5B-9BA9-08C280C31803}"/>
    <hyperlink ref="B96" r:id="rId32" xr:uid="{FE211E6F-41B6-4C83-BB8A-2F7D3BD1F302}"/>
    <hyperlink ref="B93" r:id="rId33" xr:uid="{93C67F49-F45D-40F1-9587-4EB7C00CB8F7}"/>
    <hyperlink ref="B92" r:id="rId34" xr:uid="{0135ACB5-B6E0-425D-8A01-1E285211BD7F}"/>
    <hyperlink ref="B91" r:id="rId35" xr:uid="{DCCD81D0-5F79-4FE4-8622-50F1E924AE1B}"/>
    <hyperlink ref="B90" r:id="rId36" xr:uid="{A3422B32-F909-4182-8A9E-7857843CB5E0}"/>
    <hyperlink ref="B88" r:id="rId37" xr:uid="{35C59A20-1736-4368-9059-0FC0C71ED5BC}"/>
    <hyperlink ref="B87" r:id="rId38" xr:uid="{75806752-FD73-4050-8F57-56062D500C59}"/>
    <hyperlink ref="B136" r:id="rId39" xr:uid="{1B49E9E8-3E38-4365-8ECF-8AB6652FD740}"/>
    <hyperlink ref="B135" r:id="rId40" xr:uid="{B99A65A5-1A29-4B20-B5D4-A24A3FEEC546}"/>
    <hyperlink ref="B134" r:id="rId41" xr:uid="{F0A2FF9C-B8FD-489E-8EAC-9113DF4D7019}"/>
    <hyperlink ref="B133" r:id="rId42" xr:uid="{B4532499-50CA-4852-BD63-E960F6C202AC}"/>
    <hyperlink ref="B132" r:id="rId43" xr:uid="{FE8F35FE-2B11-4587-8B68-F3F4D1081516}"/>
    <hyperlink ref="B131" r:id="rId44" xr:uid="{4C47018D-8834-46BB-A6FB-75D85476E25E}"/>
    <hyperlink ref="B130" r:id="rId45" xr:uid="{6388D98B-E22C-4358-AD62-E161B42BD16D}"/>
    <hyperlink ref="B129" r:id="rId46" xr:uid="{90A35C27-C759-4AD2-A0E2-C6A674195D6F}"/>
    <hyperlink ref="B127" r:id="rId47" xr:uid="{507C7A5D-99D5-4D18-9971-78B6381EB182}"/>
    <hyperlink ref="B128" r:id="rId48" xr:uid="{AFFA0724-CBA0-4FF4-BFC2-CCAA1B4C3C83}"/>
    <hyperlink ref="B144" r:id="rId49" xr:uid="{763D366B-F791-49A4-A026-5234A7A96AA3}"/>
    <hyperlink ref="B143" r:id="rId50" xr:uid="{AA519944-E159-4D30-B780-6CE6AD83B025}"/>
    <hyperlink ref="B142" r:id="rId51" xr:uid="{C4B5AD1D-24A9-412B-9183-88EDB0C30386}"/>
    <hyperlink ref="B141" r:id="rId52" xr:uid="{B8CF31C2-4792-4A6D-B70F-DEBC979CC618}"/>
    <hyperlink ref="B140" r:id="rId53" xr:uid="{D2851F91-7FE3-4FAF-A2B5-142731E39AA2}"/>
    <hyperlink ref="B139" r:id="rId54" xr:uid="{A089D0D3-CAE4-47D6-BD00-B6F648547141}"/>
    <hyperlink ref="B138" r:id="rId55" xr:uid="{93F1D5D4-6650-45D5-BEBD-661DD522D362}"/>
    <hyperlink ref="B145" r:id="rId56" xr:uid="{B3D31FA7-E3B6-4595-A0BE-8467F2474FF5}"/>
    <hyperlink ref="A126" r:id="rId57" xr:uid="{3E11C72E-0D7C-4254-9833-E0905F049BC1}"/>
    <hyperlink ref="A36" r:id="rId58" xr:uid="{F770A633-BD89-44F9-B0E1-A05D43FA3496}"/>
    <hyperlink ref="A59" r:id="rId59" xr:uid="{8D6F9DAF-3FB1-4EAC-AEB8-D0918426EEF6}"/>
    <hyperlink ref="A45" r:id="rId60" xr:uid="{F650A9E8-DB66-44E7-9F55-A361AF84C218}"/>
    <hyperlink ref="A86" r:id="rId61" xr:uid="{865B9210-7757-437F-8A71-69AB46A5BF27}"/>
    <hyperlink ref="A137" r:id="rId62" xr:uid="{8B99C070-5BCA-4895-B244-6DADBCBFD0D5}"/>
    <hyperlink ref="A146" r:id="rId63" xr:uid="{E7CE319C-B07F-4D23-A4F7-E847CCB4C7B1}"/>
    <hyperlink ref="B148" r:id="rId64" xr:uid="{B6F80E0D-24FF-4BA0-A610-7311C6165675}"/>
    <hyperlink ref="B125" r:id="rId65" display="Stratos XS1- Feet" xr:uid="{783B02E9-6AF3-4821-B8EA-991C32BB8F1E}"/>
    <hyperlink ref="B121" r:id="rId66" xr:uid="{E855372E-98E6-4C60-BBC9-F56F42C3DD31}"/>
    <hyperlink ref="B122" r:id="rId67" xr:uid="{AD7EFFA5-DDDC-41F9-9449-16768C25E475}"/>
    <hyperlink ref="B123" r:id="rId68" xr:uid="{D17DE6A0-9469-447A-9A1B-3C7620A5A611}"/>
    <hyperlink ref="B76" r:id="rId69" xr:uid="{1DFBD669-4F55-4AF6-AFAE-6DEFCE6E7DD7}"/>
    <hyperlink ref="B118" r:id="rId70" xr:uid="{5F6B4EEC-FD2F-4FB8-8800-4DA1EDB17F7D}"/>
    <hyperlink ref="B119" r:id="rId71" xr:uid="{E100CEF5-0700-4F2F-ADE7-30664AF20061}"/>
    <hyperlink ref="B112" r:id="rId72" xr:uid="{A8B9E3CA-0407-4472-A3EA-4C926B5A74F9}"/>
    <hyperlink ref="B61" r:id="rId73" xr:uid="{842C9436-093A-4FD3-8F1A-2BC43F6D73C5}"/>
    <hyperlink ref="B77" r:id="rId74" xr:uid="{50E77C7D-F2E4-449B-BE3F-B057D594CC8C}"/>
    <hyperlink ref="B64" r:id="rId75" xr:uid="{DE6C7BDD-607A-4ED5-A137-3B383325A057}"/>
    <hyperlink ref="B116" r:id="rId76" display="Stratos XL 1 - Over Jugs" xr:uid="{3CC0F467-2E48-46F5-957C-913360A097BE}"/>
    <hyperlink ref="B95" r:id="rId77" xr:uid="{A7768ADD-F980-42B3-8BCA-8CBAA12D9EFD}"/>
    <hyperlink ref="B65" r:id="rId78" xr:uid="{3DAA5A94-001F-4B4F-A412-3FB13ECEBE76}"/>
    <hyperlink ref="B69" r:id="rId79" xr:uid="{1C133CB7-D27F-4058-B13E-08B54A75AA40}"/>
    <hyperlink ref="B78" r:id="rId80" xr:uid="{CFF49C4E-311D-4F93-9356-2AD5FFBA1034}"/>
    <hyperlink ref="B113" r:id="rId81" xr:uid="{6D16357C-B44A-4521-87A1-0D0EC056F073}"/>
    <hyperlink ref="B114" r:id="rId82" xr:uid="{2CDED61E-11AC-4DF3-9E2F-D7E8916DAAB8}"/>
    <hyperlink ref="B72" r:id="rId83" xr:uid="{7196CB36-3474-4581-AE8E-E37048FD1901}"/>
    <hyperlink ref="B73" r:id="rId84" xr:uid="{45914A36-E88C-46B9-81FF-65BFA48C2D0C}"/>
    <hyperlink ref="B110" r:id="rId85" xr:uid="{58798746-417E-4C58-8E5F-FCD0FE64596E}"/>
    <hyperlink ref="B62" r:id="rId86" xr:uid="{953E0DAE-BC65-4010-B345-B68DB78EA309}"/>
    <hyperlink ref="B63" r:id="rId87" xr:uid="{227CF732-2F85-4836-AB57-E8CEBADCAFE6}"/>
  </hyperlinks>
  <pageMargins left="0.7" right="0.7" top="0.75" bottom="0.75" header="0.3" footer="0.3"/>
  <pageSetup scale="34" orientation="portrait" r:id="rId88"/>
  <drawing r:id="rId89"/>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Bolts!$A$1133:$A$1134</xm:f>
          </x14:formula1>
          <xm:sqref>P6:P8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0D399-2A99-4520-9107-E82969F3B0EF}">
  <dimension ref="A1:M30"/>
  <sheetViews>
    <sheetView topLeftCell="A19" workbookViewId="0">
      <selection activeCell="L26" sqref="L26"/>
    </sheetView>
  </sheetViews>
  <sheetFormatPr defaultRowHeight="13.5"/>
  <cols>
    <col min="1" max="1" width="23.4609375" bestFit="1" customWidth="1"/>
    <col min="2" max="2" width="12.15234375" customWidth="1"/>
    <col min="3" max="3" width="12.15234375" style="1" customWidth="1"/>
    <col min="4" max="4" width="12.15234375" style="444" customWidth="1"/>
    <col min="5" max="10" width="12.15234375" customWidth="1"/>
    <col min="12" max="12" width="10.61328125" bestFit="1" customWidth="1"/>
    <col min="13" max="13" width="9.61328125" bestFit="1" customWidth="1"/>
  </cols>
  <sheetData>
    <row r="1" spans="1:13" ht="14" thickBot="1">
      <c r="A1" s="3" t="s">
        <v>1926</v>
      </c>
      <c r="B1" s="3" t="s">
        <v>1933</v>
      </c>
      <c r="C1" s="823" t="s">
        <v>1934</v>
      </c>
      <c r="D1" s="823"/>
    </row>
    <row r="2" spans="1:13" ht="14" thickBot="1">
      <c r="A2" s="3" t="s">
        <v>1927</v>
      </c>
      <c r="B2" s="439"/>
    </row>
    <row r="3" spans="1:13">
      <c r="A3" s="3" t="s">
        <v>1929</v>
      </c>
      <c r="C3" s="822" t="str">
        <f>IF(B2&gt;0,B2*0.4,"Needs Climbable Square Feet Input")</f>
        <v>Needs Climbable Square Feet Input</v>
      </c>
      <c r="D3" s="822"/>
      <c r="E3" s="822"/>
    </row>
    <row r="4" spans="1:13">
      <c r="A4" s="3" t="s">
        <v>1930</v>
      </c>
      <c r="C4" s="822" t="str">
        <f>IF(B2&gt;0,B2*0.1,"Needs Climbable Square Feet Input")</f>
        <v>Needs Climbable Square Feet Input</v>
      </c>
      <c r="D4" s="822"/>
      <c r="E4" s="822"/>
    </row>
    <row r="5" spans="1:13" ht="14" thickBot="1">
      <c r="A5" s="441" t="s">
        <v>1951</v>
      </c>
      <c r="C5" s="822">
        <f>SUM(C3:E4)</f>
        <v>0</v>
      </c>
      <c r="D5" s="822"/>
      <c r="E5" s="822">
        <f>SUM(C3:E4)</f>
        <v>0</v>
      </c>
    </row>
    <row r="6" spans="1:13" ht="14" thickBot="1">
      <c r="A6" s="3" t="s">
        <v>1931</v>
      </c>
      <c r="B6" s="440"/>
    </row>
    <row r="7" spans="1:13" ht="14" thickBot="1">
      <c r="A7" s="441" t="s">
        <v>1932</v>
      </c>
      <c r="B7" s="439"/>
    </row>
    <row r="8" spans="1:13" ht="14" thickBot="1">
      <c r="A8" s="441" t="s">
        <v>1939</v>
      </c>
      <c r="B8" s="439"/>
    </row>
    <row r="9" spans="1:13" ht="14" thickBot="1">
      <c r="A9" s="441" t="s">
        <v>1952</v>
      </c>
      <c r="B9" s="439"/>
    </row>
    <row r="10" spans="1:13">
      <c r="A10" s="3" t="s">
        <v>1938</v>
      </c>
      <c r="C10" s="822" t="str">
        <f>IF(B7&gt;0,_xlfn.IFNA(_xlfn.IFS(B6="Low",B7*0.02,B6="Medium",B7*0.025,B6="High",B7*0.03),"Needs Boulder Square Feet Input"),"Needs Boulder Density and Boulder Square Feet Input")</f>
        <v>Needs Boulder Density and Boulder Square Feet Input</v>
      </c>
      <c r="D10" s="822"/>
      <c r="E10" s="822"/>
      <c r="M10" s="438"/>
    </row>
    <row r="11" spans="1:13" ht="14" thickBot="1">
      <c r="A11" s="441" t="s">
        <v>1940</v>
      </c>
      <c r="C11" s="822" t="str">
        <f>IF(B8&gt;0,B8/10,"Needs Boulder Linear Feet Input")</f>
        <v>Needs Boulder Linear Feet Input</v>
      </c>
      <c r="D11" s="822"/>
      <c r="E11" s="822"/>
    </row>
    <row r="12" spans="1:13" ht="14" thickBot="1">
      <c r="A12" s="441" t="s">
        <v>1941</v>
      </c>
      <c r="B12" s="440"/>
    </row>
    <row r="13" spans="1:13" ht="14" thickBot="1">
      <c r="A13" s="441" t="s">
        <v>1943</v>
      </c>
      <c r="B13" s="439"/>
    </row>
    <row r="14" spans="1:13" ht="14" thickBot="1">
      <c r="A14" s="441" t="s">
        <v>1942</v>
      </c>
      <c r="C14" s="822" t="str">
        <f>IF(B13&gt;0,_xlfn.IFNA(_xlfn.IFS(B12="Low",B13*1,B12="Medium",B13*2,B12="High",B13*3),"Needs Both Route Density Goal and Route Zones Input"),"Needs Both Route Density Goal and Route Zones Input")</f>
        <v>Needs Both Route Density Goal and Route Zones Input</v>
      </c>
      <c r="D14" s="822"/>
      <c r="E14" s="822"/>
    </row>
    <row r="15" spans="1:13" ht="14" thickBot="1">
      <c r="A15" s="441" t="s">
        <v>1957</v>
      </c>
      <c r="B15" s="439"/>
      <c r="C15" s="444"/>
      <c r="E15" s="444"/>
    </row>
    <row r="16" spans="1:13" ht="14" thickBot="1">
      <c r="A16" s="441" t="s">
        <v>1945</v>
      </c>
      <c r="B16" s="440"/>
      <c r="C16" s="443"/>
    </row>
    <row r="17" spans="1:12">
      <c r="A17" s="441" t="s">
        <v>1944</v>
      </c>
      <c r="C17" s="822" t="str">
        <f>_xlfn.IFNA(_xlfn.IFS(B16="Low",6,B16="Medium",8,B16="High",9),"Needs Overall Density Goal Input")</f>
        <v>Needs Overall Density Goal Input</v>
      </c>
      <c r="D17" s="822"/>
      <c r="E17" s="822"/>
    </row>
    <row r="19" spans="1:12">
      <c r="A19" s="443" t="s">
        <v>1946</v>
      </c>
      <c r="C19"/>
      <c r="D19"/>
    </row>
    <row r="20" spans="1:12">
      <c r="A20" s="444"/>
      <c r="B20" s="174" t="s">
        <v>467</v>
      </c>
      <c r="C20" s="175" t="s">
        <v>468</v>
      </c>
      <c r="D20" s="176" t="s">
        <v>469</v>
      </c>
      <c r="E20" s="177" t="s">
        <v>482</v>
      </c>
      <c r="F20" s="178" t="s">
        <v>470</v>
      </c>
      <c r="G20" s="179" t="s">
        <v>471</v>
      </c>
      <c r="H20" s="180" t="s">
        <v>472</v>
      </c>
      <c r="I20" s="181" t="s">
        <v>473</v>
      </c>
      <c r="J20" s="182" t="s">
        <v>33</v>
      </c>
      <c r="K20" s="3" t="s">
        <v>1948</v>
      </c>
    </row>
    <row r="21" spans="1:12" ht="78.75" customHeight="1">
      <c r="A21" s="443" t="s">
        <v>1947</v>
      </c>
      <c r="B21" s="445" t="str">
        <f>_xlfn.IFNA(_xlfn.IFS($B$16="Low","No",$B$16="Medium","No",$B$16="High","Yes"),"Needs Overall Density Goal Input")</f>
        <v>Needs Overall Density Goal Input</v>
      </c>
      <c r="C21" s="445" t="str">
        <f>_xlfn.IFNA(_xlfn.IFS($B$16="Low","Yes",$B$16="Medium","Yes",$B$16="High","Yes"),"Needs Overall Density Goal Input")</f>
        <v>Needs Overall Density Goal Input</v>
      </c>
      <c r="D21" s="445" t="str">
        <f>_xlfn.IFNA(_xlfn.IFS($B$16="Low","Yes",$B$16="Medium","Yes",$B$16="High","Yes"),"Needs Overall Density Goal Input")</f>
        <v>Needs Overall Density Goal Input</v>
      </c>
      <c r="E21" s="445" t="str">
        <f>_xlfn.IFNA(_xlfn.IFS($B$16="Low","Yes",$B$16="Medium","Yes",$B$16="High","Yes"),"Needs Overall Density Goal Input")</f>
        <v>Needs Overall Density Goal Input</v>
      </c>
      <c r="F21" s="445" t="str">
        <f>_xlfn.IFNA(_xlfn.IFS($B$16="Low","Yes",$B$16="Medium","Yes",$B$16="High","Yes"),"Needs Overall Density Goal Input")</f>
        <v>Needs Overall Density Goal Input</v>
      </c>
      <c r="G21" s="445" t="str">
        <f>_xlfn.IFNA(_xlfn.IFS($B$16="Low","No",$B$16="Medium","Yes",$B$16="High","Yes"),"Needs Overall Density Goal Input")</f>
        <v>Needs Overall Density Goal Input</v>
      </c>
      <c r="H21" s="445" t="str">
        <f>_xlfn.IFNA(_xlfn.IFS($B$16="Low","Yes",$B$16="Medium","Yes",$B$16="High","Yes"),"Needs Overall Density Goal Input")</f>
        <v>Needs Overall Density Goal Input</v>
      </c>
      <c r="I21" s="445" t="str">
        <f>_xlfn.IFNA(_xlfn.IFS($B$16="Low","Yes",$B$16="Medium","Yes",$B$16="High","Yes"),"Needs Overall Density Goal Input")</f>
        <v>Needs Overall Density Goal Input</v>
      </c>
      <c r="J21" s="445" t="str">
        <f>_xlfn.IFNA(_xlfn.IFS($B$16="Low","No",$B$16="Medium","Yes",$B$16="High","Yes"),"Needs Overall Density Goal Input")</f>
        <v>Needs Overall Density Goal Input</v>
      </c>
      <c r="K21" s="445">
        <f>_xlfn.IFNA(COUNTIF(B21:J21,"Yes"),"Needs Overall Density Goal Input")</f>
        <v>0</v>
      </c>
    </row>
    <row r="22" spans="1:12" ht="78.75" customHeight="1">
      <c r="A22" s="446" t="s">
        <v>1949</v>
      </c>
      <c r="B22" s="448" t="str">
        <f t="shared" ref="B22:J22" si="0">_xlfn.IFNA(_xlfn.IFS(B21="Yes",$E$5/$K$21,B21="No",0),"Needs Climbable Square Feet and Overall Density Goal Input")</f>
        <v>Needs Climbable Square Feet and Overall Density Goal Input</v>
      </c>
      <c r="C22" s="448" t="str">
        <f t="shared" si="0"/>
        <v>Needs Climbable Square Feet and Overall Density Goal Input</v>
      </c>
      <c r="D22" s="448" t="str">
        <f t="shared" si="0"/>
        <v>Needs Climbable Square Feet and Overall Density Goal Input</v>
      </c>
      <c r="E22" s="448" t="str">
        <f t="shared" si="0"/>
        <v>Needs Climbable Square Feet and Overall Density Goal Input</v>
      </c>
      <c r="F22" s="448" t="str">
        <f t="shared" si="0"/>
        <v>Needs Climbable Square Feet and Overall Density Goal Input</v>
      </c>
      <c r="G22" s="448" t="str">
        <f t="shared" si="0"/>
        <v>Needs Climbable Square Feet and Overall Density Goal Input</v>
      </c>
      <c r="H22" s="448" t="str">
        <f t="shared" si="0"/>
        <v>Needs Climbable Square Feet and Overall Density Goal Input</v>
      </c>
      <c r="I22" s="448" t="str">
        <f t="shared" si="0"/>
        <v>Needs Climbable Square Feet and Overall Density Goal Input</v>
      </c>
      <c r="J22" s="448" t="str">
        <f t="shared" si="0"/>
        <v>Needs Climbable Square Feet and Overall Density Goal Input</v>
      </c>
      <c r="K22" s="445"/>
      <c r="L22" s="447">
        <f>SUM(B22:J22)-C5</f>
        <v>0</v>
      </c>
    </row>
    <row r="23" spans="1:12" ht="78.75" customHeight="1">
      <c r="A23" s="446" t="s">
        <v>1073</v>
      </c>
      <c r="B23" s="448" t="str">
        <f>IFERROR(B22*0.67,"Needs Climbable Square Feet and Overall Density Goal Input")</f>
        <v>Needs Climbable Square Feet and Overall Density Goal Input</v>
      </c>
      <c r="C23" s="448" t="str">
        <f t="shared" ref="C23:J23" si="1">IFERROR(C22*0.67,"Needs Climbable Square Feet and Overall Density Goal Input")</f>
        <v>Needs Climbable Square Feet and Overall Density Goal Input</v>
      </c>
      <c r="D23" s="448" t="str">
        <f t="shared" si="1"/>
        <v>Needs Climbable Square Feet and Overall Density Goal Input</v>
      </c>
      <c r="E23" s="448" t="str">
        <f t="shared" si="1"/>
        <v>Needs Climbable Square Feet and Overall Density Goal Input</v>
      </c>
      <c r="F23" s="448" t="str">
        <f t="shared" si="1"/>
        <v>Needs Climbable Square Feet and Overall Density Goal Input</v>
      </c>
      <c r="G23" s="448" t="str">
        <f t="shared" si="1"/>
        <v>Needs Climbable Square Feet and Overall Density Goal Input</v>
      </c>
      <c r="H23" s="448" t="str">
        <f t="shared" si="1"/>
        <v>Needs Climbable Square Feet and Overall Density Goal Input</v>
      </c>
      <c r="I23" s="448" t="str">
        <f t="shared" si="1"/>
        <v>Needs Climbable Square Feet and Overall Density Goal Input</v>
      </c>
      <c r="J23" s="448" t="str">
        <f t="shared" si="1"/>
        <v>Needs Climbable Square Feet and Overall Density Goal Input</v>
      </c>
      <c r="K23" s="445"/>
      <c r="L23" s="438">
        <f>SUM(B23:J23)-(C5*0.67)</f>
        <v>0</v>
      </c>
    </row>
    <row r="24" spans="1:12" ht="78.75" customHeight="1">
      <c r="A24" s="446" t="s">
        <v>1950</v>
      </c>
      <c r="B24" s="448" t="str">
        <f>IFERROR(B22*0.33,"Needs Climbable Square Feet and Overall Density Goal Input")</f>
        <v>Needs Climbable Square Feet and Overall Density Goal Input</v>
      </c>
      <c r="C24" s="448" t="str">
        <f t="shared" ref="C24:J24" si="2">IFERROR(C22*0.33,"Needs Climbable Square Feet and Overall Density Goal Input")</f>
        <v>Needs Climbable Square Feet and Overall Density Goal Input</v>
      </c>
      <c r="D24" s="448" t="str">
        <f t="shared" si="2"/>
        <v>Needs Climbable Square Feet and Overall Density Goal Input</v>
      </c>
      <c r="E24" s="448" t="str">
        <f t="shared" si="2"/>
        <v>Needs Climbable Square Feet and Overall Density Goal Input</v>
      </c>
      <c r="F24" s="448" t="str">
        <f t="shared" si="2"/>
        <v>Needs Climbable Square Feet and Overall Density Goal Input</v>
      </c>
      <c r="G24" s="448" t="str">
        <f t="shared" si="2"/>
        <v>Needs Climbable Square Feet and Overall Density Goal Input</v>
      </c>
      <c r="H24" s="448" t="str">
        <f t="shared" si="2"/>
        <v>Needs Climbable Square Feet and Overall Density Goal Input</v>
      </c>
      <c r="I24" s="448" t="str">
        <f t="shared" si="2"/>
        <v>Needs Climbable Square Feet and Overall Density Goal Input</v>
      </c>
      <c r="J24" s="448" t="str">
        <f t="shared" si="2"/>
        <v>Needs Climbable Square Feet and Overall Density Goal Input</v>
      </c>
      <c r="K24" s="445"/>
      <c r="L24" s="438">
        <f>SUM(B24:J24)-(C5*0.33)</f>
        <v>0</v>
      </c>
    </row>
    <row r="25" spans="1:12" ht="78.75" customHeight="1">
      <c r="A25" s="446" t="s">
        <v>1953</v>
      </c>
      <c r="B25" s="1">
        <f>IF(B21="Yes",_xlfn.IFNA($C$10/$K$21,"Needs Boulder Density Goal, Boulder Square Feet Input, and Overall Density Goal Input"),0)</f>
        <v>0</v>
      </c>
      <c r="C25" s="1">
        <f t="shared" ref="C25:J25" si="3">IF(C21="Yes",_xlfn.IFNA($C$10/$K$21,"Needs Boulder Density Goal, Boulder Square Feet Input, and Overall Density Goal Input"),0)</f>
        <v>0</v>
      </c>
      <c r="D25" s="1">
        <f t="shared" si="3"/>
        <v>0</v>
      </c>
      <c r="E25" s="1">
        <f t="shared" si="3"/>
        <v>0</v>
      </c>
      <c r="F25" s="1">
        <f t="shared" si="3"/>
        <v>0</v>
      </c>
      <c r="G25" s="1">
        <f t="shared" si="3"/>
        <v>0</v>
      </c>
      <c r="H25" s="1">
        <f t="shared" si="3"/>
        <v>0</v>
      </c>
      <c r="I25" s="1">
        <f t="shared" si="3"/>
        <v>0</v>
      </c>
      <c r="J25" s="1">
        <f t="shared" si="3"/>
        <v>0</v>
      </c>
      <c r="L25" s="447" t="e">
        <f>SUM(B25:J25)-C10</f>
        <v>#VALUE!</v>
      </c>
    </row>
    <row r="26" spans="1:12" ht="78.75" customHeight="1">
      <c r="A26" s="446" t="s">
        <v>1954</v>
      </c>
      <c r="B26" s="1">
        <f>IF(B21="Yes",IF($B$9&gt;0,$B$9,"Needs Average Boulder Height"),0)</f>
        <v>0</v>
      </c>
      <c r="C26" s="1">
        <f t="shared" ref="C26:J26" si="4">IF(C21="Yes",IF($B$9&gt;0,$B$9,"Needs Average Boulder Height"),0)</f>
        <v>0</v>
      </c>
      <c r="D26" s="1">
        <f t="shared" si="4"/>
        <v>0</v>
      </c>
      <c r="E26" s="1">
        <f t="shared" si="4"/>
        <v>0</v>
      </c>
      <c r="F26" s="1">
        <f t="shared" si="4"/>
        <v>0</v>
      </c>
      <c r="G26" s="1">
        <f t="shared" si="4"/>
        <v>0</v>
      </c>
      <c r="H26" s="1">
        <f t="shared" si="4"/>
        <v>0</v>
      </c>
      <c r="I26" s="1">
        <f t="shared" si="4"/>
        <v>0</v>
      </c>
      <c r="J26" s="1">
        <f t="shared" si="4"/>
        <v>0</v>
      </c>
      <c r="L26" s="447">
        <f>SUM(B26:J26)-(B9*K21)</f>
        <v>0</v>
      </c>
    </row>
    <row r="27" spans="1:12" ht="78.75" customHeight="1">
      <c r="A27" s="446" t="s">
        <v>1958</v>
      </c>
      <c r="B27" s="1">
        <f>IF(B21="Yes",B25*B26,0)</f>
        <v>0</v>
      </c>
      <c r="C27" s="1">
        <f t="shared" ref="C27:J27" si="5">IF(C21="Yes",C25*C26,0)</f>
        <v>0</v>
      </c>
      <c r="D27" s="1">
        <f t="shared" si="5"/>
        <v>0</v>
      </c>
      <c r="E27" s="1">
        <f t="shared" si="5"/>
        <v>0</v>
      </c>
      <c r="F27" s="1">
        <f t="shared" si="5"/>
        <v>0</v>
      </c>
      <c r="G27" s="1">
        <f t="shared" si="5"/>
        <v>0</v>
      </c>
      <c r="H27" s="1">
        <f t="shared" si="5"/>
        <v>0</v>
      </c>
      <c r="I27" s="1">
        <f t="shared" si="5"/>
        <v>0</v>
      </c>
      <c r="J27" s="1">
        <f t="shared" si="5"/>
        <v>0</v>
      </c>
      <c r="L27" s="447"/>
    </row>
    <row r="28" spans="1:12" ht="78.75" customHeight="1">
      <c r="A28" s="446" t="s">
        <v>1955</v>
      </c>
      <c r="B28" s="1"/>
      <c r="E28" s="1"/>
      <c r="F28" s="1"/>
      <c r="G28" s="1"/>
      <c r="H28" s="1"/>
      <c r="I28" s="1"/>
      <c r="J28" s="1"/>
    </row>
    <row r="29" spans="1:12" ht="78.75" customHeight="1">
      <c r="A29" s="446" t="s">
        <v>1956</v>
      </c>
      <c r="B29" s="1"/>
      <c r="E29" s="1"/>
      <c r="F29" s="1"/>
      <c r="G29" s="1"/>
      <c r="H29" s="1"/>
      <c r="I29" s="1"/>
      <c r="J29" s="1"/>
    </row>
    <row r="30" spans="1:12" ht="78.75" customHeight="1">
      <c r="A30" s="446" t="s">
        <v>1959</v>
      </c>
      <c r="B30" s="1"/>
      <c r="D30" s="1"/>
      <c r="E30" s="1"/>
      <c r="F30" s="1"/>
      <c r="G30" s="1"/>
      <c r="H30" s="1"/>
      <c r="I30" s="1"/>
      <c r="J30" s="1"/>
      <c r="L30" s="447"/>
    </row>
  </sheetData>
  <mergeCells count="8">
    <mergeCell ref="C14:E14"/>
    <mergeCell ref="C5:E5"/>
    <mergeCell ref="C17:E17"/>
    <mergeCell ref="C1:D1"/>
    <mergeCell ref="C3:E3"/>
    <mergeCell ref="C4:E4"/>
    <mergeCell ref="C10:E10"/>
    <mergeCell ref="C11:E11"/>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1AFCA6FF-0431-45AA-B1EF-A90239390B56}">
          <x14:formula1>
            <xm:f>Bolts!$K$1166:$K$1168</xm:f>
          </x14:formula1>
          <xm:sqref>B6 B12 B16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V1196"/>
  <sheetViews>
    <sheetView workbookViewId="0">
      <pane ySplit="3" topLeftCell="A1131" activePane="bottomLeft" state="frozen"/>
      <selection pane="bottomLeft" sqref="A1:V2"/>
    </sheetView>
  </sheetViews>
  <sheetFormatPr defaultColWidth="7.61328125" defaultRowHeight="14.5"/>
  <cols>
    <col min="1" max="1" width="13.84375" style="93" bestFit="1" customWidth="1"/>
    <col min="2" max="2" width="9" style="101" bestFit="1" customWidth="1"/>
    <col min="3" max="3" width="6.3828125" style="93" bestFit="1" customWidth="1"/>
    <col min="4" max="5" width="10.15234375" style="93" bestFit="1" customWidth="1"/>
    <col min="6" max="7" width="9.15234375" style="93" bestFit="1" customWidth="1"/>
    <col min="8" max="11" width="10.15234375" style="93" bestFit="1" customWidth="1"/>
    <col min="12" max="12" width="10.15234375" style="93" customWidth="1"/>
    <col min="13" max="13" width="11.61328125" style="93" bestFit="1" customWidth="1"/>
    <col min="14" max="15" width="9.15234375" style="93" bestFit="1" customWidth="1"/>
    <col min="16" max="16" width="6.4609375" style="93" bestFit="1" customWidth="1"/>
    <col min="17" max="17" width="9.15234375" style="93" bestFit="1" customWidth="1"/>
    <col min="18" max="18" width="8.84375" style="93" bestFit="1" customWidth="1"/>
    <col min="19" max="21" width="7.84375" style="93" customWidth="1"/>
    <col min="22" max="22" width="7.15234375" style="93" bestFit="1" customWidth="1"/>
    <col min="23" max="16384" width="7.61328125" style="93"/>
  </cols>
  <sheetData>
    <row r="1" spans="1:22">
      <c r="A1" s="824" t="s">
        <v>1731</v>
      </c>
      <c r="B1" s="825"/>
      <c r="C1" s="825"/>
      <c r="D1" s="825"/>
      <c r="E1" s="825"/>
      <c r="F1" s="825"/>
      <c r="G1" s="825"/>
      <c r="H1" s="825"/>
      <c r="I1" s="825"/>
      <c r="J1" s="825"/>
      <c r="K1" s="825"/>
      <c r="L1" s="825"/>
      <c r="M1" s="825"/>
      <c r="N1" s="825"/>
      <c r="O1" s="825"/>
      <c r="P1" s="825"/>
      <c r="Q1" s="825"/>
      <c r="R1" s="825"/>
      <c r="S1" s="825"/>
      <c r="T1" s="825"/>
      <c r="U1" s="825"/>
      <c r="V1" s="826"/>
    </row>
    <row r="2" spans="1:22" ht="15" thickBot="1">
      <c r="A2" s="827"/>
      <c r="B2" s="828"/>
      <c r="C2" s="828"/>
      <c r="D2" s="828"/>
      <c r="E2" s="828"/>
      <c r="F2" s="828"/>
      <c r="G2" s="828"/>
      <c r="H2" s="828"/>
      <c r="I2" s="828"/>
      <c r="J2" s="828"/>
      <c r="K2" s="828"/>
      <c r="L2" s="828"/>
      <c r="M2" s="828"/>
      <c r="N2" s="828"/>
      <c r="O2" s="828"/>
      <c r="P2" s="828"/>
      <c r="Q2" s="828"/>
      <c r="R2" s="828"/>
      <c r="S2" s="828"/>
      <c r="T2" s="828"/>
      <c r="U2" s="828"/>
      <c r="V2" s="829"/>
    </row>
    <row r="3" spans="1:22" ht="29">
      <c r="A3" s="94" t="s">
        <v>31</v>
      </c>
      <c r="B3" s="95" t="s">
        <v>503</v>
      </c>
      <c r="C3" s="96" t="s">
        <v>504</v>
      </c>
      <c r="D3" s="97" t="s">
        <v>505</v>
      </c>
      <c r="E3" s="98" t="s">
        <v>506</v>
      </c>
      <c r="F3" s="98" t="s">
        <v>507</v>
      </c>
      <c r="G3" s="98" t="s">
        <v>508</v>
      </c>
      <c r="H3" s="98" t="s">
        <v>509</v>
      </c>
      <c r="I3" s="98" t="s">
        <v>510</v>
      </c>
      <c r="J3" s="98" t="s">
        <v>511</v>
      </c>
      <c r="K3" s="98" t="s">
        <v>512</v>
      </c>
      <c r="L3" s="98" t="s">
        <v>2252</v>
      </c>
      <c r="M3" s="98" t="s">
        <v>513</v>
      </c>
      <c r="N3" s="98" t="s">
        <v>514</v>
      </c>
      <c r="O3" s="98" t="s">
        <v>515</v>
      </c>
      <c r="P3" s="98" t="s">
        <v>516</v>
      </c>
      <c r="Q3" s="99" t="s">
        <v>2280</v>
      </c>
      <c r="R3" s="100" t="s">
        <v>2281</v>
      </c>
      <c r="S3" s="100" t="s">
        <v>941</v>
      </c>
      <c r="T3" s="100" t="s">
        <v>2013</v>
      </c>
      <c r="U3" s="100" t="s">
        <v>2014</v>
      </c>
      <c r="V3" s="100" t="s">
        <v>517</v>
      </c>
    </row>
    <row r="4" spans="1:22" hidden="1">
      <c r="A4" s="459" t="s">
        <v>168</v>
      </c>
      <c r="B4" s="114">
        <f>_xlfn.IFNA(VLOOKUP(Table1[[#This Row],[SKU]],'Kilter Holds'!$P$36:$S$370,4,0),0)</f>
        <v>0</v>
      </c>
      <c r="C4" s="115">
        <v>5</v>
      </c>
      <c r="D4" s="116">
        <v>0</v>
      </c>
      <c r="E4" s="117">
        <f>IFERROR(1*B4,0)</f>
        <v>0</v>
      </c>
      <c r="F4" s="117">
        <f>IFERROR(2*B4,0)</f>
        <v>0</v>
      </c>
      <c r="G4" s="117">
        <f>IFERROR(2*B4,0)</f>
        <v>0</v>
      </c>
      <c r="H4" s="117">
        <v>0</v>
      </c>
      <c r="I4" s="117">
        <v>0</v>
      </c>
      <c r="J4" s="117">
        <v>0</v>
      </c>
      <c r="K4" s="117">
        <v>0</v>
      </c>
      <c r="L4" s="123">
        <v>0</v>
      </c>
      <c r="M4" s="117">
        <v>0</v>
      </c>
      <c r="N4" s="117">
        <v>0</v>
      </c>
      <c r="O4" s="117">
        <v>0</v>
      </c>
      <c r="P4" s="117">
        <v>0</v>
      </c>
      <c r="Q4" s="118">
        <v>0</v>
      </c>
      <c r="R4" s="119">
        <v>0</v>
      </c>
      <c r="S4" s="119">
        <v>0</v>
      </c>
      <c r="T4" s="119">
        <v>0</v>
      </c>
      <c r="U4" s="119">
        <v>0</v>
      </c>
      <c r="V4" s="119" t="str">
        <f t="shared" ref="V4:V67" si="0">IF(B4&gt;0,"Added"," ")</f>
        <v xml:space="preserve"> </v>
      </c>
    </row>
    <row r="5" spans="1:22" hidden="1">
      <c r="A5" s="450" t="s">
        <v>246</v>
      </c>
      <c r="B5" s="114">
        <f>_xlfn.IFNA(VLOOKUP(Table1[[#This Row],[SKU]],'Kilter Holds'!$P$36:$S$370,4,0),0)</f>
        <v>0</v>
      </c>
      <c r="C5" s="115">
        <v>12</v>
      </c>
      <c r="D5" s="118">
        <f>IFERROR(12*B5,0)</f>
        <v>0</v>
      </c>
      <c r="E5" s="118">
        <v>0</v>
      </c>
      <c r="F5" s="118">
        <v>0</v>
      </c>
      <c r="G5" s="118">
        <v>0</v>
      </c>
      <c r="H5" s="118">
        <v>0</v>
      </c>
      <c r="I5" s="118">
        <v>0</v>
      </c>
      <c r="J5" s="118">
        <v>0</v>
      </c>
      <c r="K5" s="118">
        <v>0</v>
      </c>
      <c r="L5" s="123">
        <v>0</v>
      </c>
      <c r="M5" s="118">
        <v>0</v>
      </c>
      <c r="N5" s="118">
        <v>0</v>
      </c>
      <c r="O5" s="118">
        <v>0</v>
      </c>
      <c r="P5" s="118">
        <v>0</v>
      </c>
      <c r="Q5" s="118">
        <v>0</v>
      </c>
      <c r="R5" s="118">
        <v>0</v>
      </c>
      <c r="S5" s="119">
        <v>0</v>
      </c>
      <c r="T5" s="119">
        <v>0</v>
      </c>
      <c r="U5" s="119">
        <v>0</v>
      </c>
      <c r="V5" s="119" t="str">
        <f t="shared" si="0"/>
        <v xml:space="preserve"> </v>
      </c>
    </row>
    <row r="6" spans="1:22" hidden="1">
      <c r="A6" s="449" t="s">
        <v>178</v>
      </c>
      <c r="B6" s="114">
        <f>_xlfn.IFNA(VLOOKUP(Table1[[#This Row],[SKU]],'Kilter Holds'!$P$36:$S$370,4,0),0)</f>
        <v>0</v>
      </c>
      <c r="C6" s="115">
        <v>10</v>
      </c>
      <c r="D6" s="117">
        <f>IFERROR(10*B6,0)</f>
        <v>0</v>
      </c>
      <c r="E6" s="117">
        <v>0</v>
      </c>
      <c r="F6" s="117">
        <v>0</v>
      </c>
      <c r="G6" s="117">
        <v>0</v>
      </c>
      <c r="H6" s="117">
        <v>0</v>
      </c>
      <c r="I6" s="117">
        <v>0</v>
      </c>
      <c r="J6" s="117">
        <v>0</v>
      </c>
      <c r="K6" s="117">
        <v>0</v>
      </c>
      <c r="L6" s="123">
        <v>0</v>
      </c>
      <c r="M6" s="117">
        <v>0</v>
      </c>
      <c r="N6" s="117">
        <v>0</v>
      </c>
      <c r="O6" s="117">
        <v>0</v>
      </c>
      <c r="P6" s="117">
        <v>0</v>
      </c>
      <c r="Q6" s="117">
        <v>0</v>
      </c>
      <c r="R6" s="117">
        <v>0</v>
      </c>
      <c r="S6" s="119">
        <v>0</v>
      </c>
      <c r="T6" s="119">
        <v>0</v>
      </c>
      <c r="U6" s="119">
        <v>0</v>
      </c>
      <c r="V6" s="119" t="str">
        <f t="shared" si="0"/>
        <v xml:space="preserve"> </v>
      </c>
    </row>
    <row r="7" spans="1:22" hidden="1">
      <c r="A7" s="450" t="s">
        <v>328</v>
      </c>
      <c r="B7" s="114">
        <f>_xlfn.IFNA(VLOOKUP(Table1[[#This Row],[SKU]],'Kilter Holds'!$P$36:$S$370,4,0),0)</f>
        <v>0</v>
      </c>
      <c r="C7" s="115">
        <v>10</v>
      </c>
      <c r="D7" s="117">
        <f>IFERROR(10*B7,0)</f>
        <v>0</v>
      </c>
      <c r="E7" s="118">
        <v>0</v>
      </c>
      <c r="F7" s="118">
        <v>0</v>
      </c>
      <c r="G7" s="118">
        <v>0</v>
      </c>
      <c r="H7" s="118">
        <v>0</v>
      </c>
      <c r="I7" s="118">
        <v>0</v>
      </c>
      <c r="J7" s="118">
        <v>0</v>
      </c>
      <c r="K7" s="118">
        <v>0</v>
      </c>
      <c r="L7" s="123">
        <v>0</v>
      </c>
      <c r="M7" s="118">
        <v>0</v>
      </c>
      <c r="N7" s="118">
        <v>0</v>
      </c>
      <c r="O7" s="118">
        <v>0</v>
      </c>
      <c r="P7" s="118">
        <v>0</v>
      </c>
      <c r="Q7" s="118">
        <v>0</v>
      </c>
      <c r="R7" s="118">
        <v>0</v>
      </c>
      <c r="S7" s="119">
        <v>0</v>
      </c>
      <c r="T7" s="119">
        <v>0</v>
      </c>
      <c r="U7" s="119">
        <v>0</v>
      </c>
      <c r="V7" s="119" t="str">
        <f t="shared" si="0"/>
        <v xml:space="preserve"> </v>
      </c>
    </row>
    <row r="8" spans="1:22" hidden="1">
      <c r="A8" s="449" t="s">
        <v>298</v>
      </c>
      <c r="B8" s="114">
        <f>_xlfn.IFNA(VLOOKUP(Table1[[#This Row],[SKU]],'Kilter Holds'!$P$36:$S$370,4,0),0)</f>
        <v>0</v>
      </c>
      <c r="C8" s="115">
        <v>5</v>
      </c>
      <c r="D8" s="116">
        <v>0</v>
      </c>
      <c r="E8" s="117">
        <f>IFERROR(5*B8,0)</f>
        <v>0</v>
      </c>
      <c r="F8" s="117">
        <v>0</v>
      </c>
      <c r="G8" s="117">
        <v>0</v>
      </c>
      <c r="H8" s="117">
        <v>0</v>
      </c>
      <c r="I8" s="117">
        <v>0</v>
      </c>
      <c r="J8" s="117">
        <v>0</v>
      </c>
      <c r="K8" s="117">
        <v>0</v>
      </c>
      <c r="L8" s="123">
        <v>0</v>
      </c>
      <c r="M8" s="117">
        <v>0</v>
      </c>
      <c r="N8" s="117">
        <v>0</v>
      </c>
      <c r="O8" s="117">
        <v>0</v>
      </c>
      <c r="P8" s="117">
        <v>0</v>
      </c>
      <c r="Q8" s="117">
        <v>0</v>
      </c>
      <c r="R8" s="117">
        <v>0</v>
      </c>
      <c r="S8" s="119">
        <v>0</v>
      </c>
      <c r="T8" s="119">
        <v>0</v>
      </c>
      <c r="U8" s="119">
        <v>0</v>
      </c>
      <c r="V8" s="119" t="str">
        <f t="shared" si="0"/>
        <v xml:space="preserve"> </v>
      </c>
    </row>
    <row r="9" spans="1:22" hidden="1">
      <c r="A9" s="450" t="s">
        <v>299</v>
      </c>
      <c r="B9" s="114">
        <f>_xlfn.IFNA(VLOOKUP(Table1[[#This Row],[SKU]],'Kilter Holds'!$P$36:$S$370,4,0),0)</f>
        <v>0</v>
      </c>
      <c r="C9" s="115">
        <v>5</v>
      </c>
      <c r="D9" s="120">
        <v>0</v>
      </c>
      <c r="E9" s="117">
        <f>IFERROR(5*B9,0)</f>
        <v>0</v>
      </c>
      <c r="F9" s="118">
        <v>0</v>
      </c>
      <c r="G9" s="118">
        <v>0</v>
      </c>
      <c r="H9" s="118">
        <v>0</v>
      </c>
      <c r="I9" s="118">
        <v>0</v>
      </c>
      <c r="J9" s="118">
        <v>0</v>
      </c>
      <c r="K9" s="118">
        <v>0</v>
      </c>
      <c r="L9" s="123">
        <v>0</v>
      </c>
      <c r="M9" s="118">
        <v>0</v>
      </c>
      <c r="N9" s="118">
        <v>0</v>
      </c>
      <c r="O9" s="118">
        <v>0</v>
      </c>
      <c r="P9" s="118">
        <v>0</v>
      </c>
      <c r="Q9" s="118">
        <v>0</v>
      </c>
      <c r="R9" s="118">
        <v>0</v>
      </c>
      <c r="S9" s="119">
        <v>0</v>
      </c>
      <c r="T9" s="119">
        <v>0</v>
      </c>
      <c r="U9" s="119">
        <v>0</v>
      </c>
      <c r="V9" s="119" t="str">
        <f t="shared" si="0"/>
        <v xml:space="preserve"> </v>
      </c>
    </row>
    <row r="10" spans="1:22" hidden="1">
      <c r="A10" s="449" t="s">
        <v>169</v>
      </c>
      <c r="B10" s="114">
        <f>_xlfn.IFNA(VLOOKUP(Table1[[#This Row],[SKU]],'Kilter Holds'!$P$36:$S$370,4,0),0)</f>
        <v>0</v>
      </c>
      <c r="C10" s="115">
        <v>5</v>
      </c>
      <c r="D10" s="116">
        <v>0</v>
      </c>
      <c r="E10" s="117">
        <f>IFERROR(5*B10,0)</f>
        <v>0</v>
      </c>
      <c r="F10" s="117">
        <v>0</v>
      </c>
      <c r="G10" s="117">
        <v>0</v>
      </c>
      <c r="H10" s="117">
        <v>0</v>
      </c>
      <c r="I10" s="117">
        <v>0</v>
      </c>
      <c r="J10" s="117">
        <v>0</v>
      </c>
      <c r="K10" s="117">
        <v>0</v>
      </c>
      <c r="L10" s="123">
        <v>0</v>
      </c>
      <c r="M10" s="117">
        <v>0</v>
      </c>
      <c r="N10" s="117">
        <v>0</v>
      </c>
      <c r="O10" s="117">
        <v>0</v>
      </c>
      <c r="P10" s="117">
        <v>0</v>
      </c>
      <c r="Q10" s="117">
        <v>0</v>
      </c>
      <c r="R10" s="117">
        <v>0</v>
      </c>
      <c r="S10" s="119">
        <v>0</v>
      </c>
      <c r="T10" s="119">
        <v>0</v>
      </c>
      <c r="U10" s="119">
        <v>0</v>
      </c>
      <c r="V10" s="119" t="str">
        <f t="shared" si="0"/>
        <v xml:space="preserve"> </v>
      </c>
    </row>
    <row r="11" spans="1:22" hidden="1">
      <c r="A11" s="450" t="s">
        <v>170</v>
      </c>
      <c r="B11" s="114">
        <f>_xlfn.IFNA(VLOOKUP(Table1[[#This Row],[SKU]],'Kilter Holds'!$P$36:$S$370,4,0),0)</f>
        <v>0</v>
      </c>
      <c r="C11" s="115">
        <v>5</v>
      </c>
      <c r="D11" s="120">
        <v>0</v>
      </c>
      <c r="E11" s="117">
        <f>IFERROR(5*B11,0)</f>
        <v>0</v>
      </c>
      <c r="F11" s="118">
        <v>0</v>
      </c>
      <c r="G11" s="120">
        <f>IFERROR(1*A11,0)</f>
        <v>0</v>
      </c>
      <c r="H11" s="120">
        <f>IFERROR(2*A11,0)</f>
        <v>0</v>
      </c>
      <c r="I11" s="118">
        <v>0</v>
      </c>
      <c r="J11" s="118">
        <v>0</v>
      </c>
      <c r="K11" s="118">
        <v>0</v>
      </c>
      <c r="L11" s="123">
        <v>0</v>
      </c>
      <c r="M11" s="118">
        <v>0</v>
      </c>
      <c r="N11" s="118">
        <v>0</v>
      </c>
      <c r="O11" s="118">
        <v>0</v>
      </c>
      <c r="P11" s="118">
        <v>0</v>
      </c>
      <c r="Q11" s="118">
        <v>0</v>
      </c>
      <c r="R11" s="119">
        <v>0</v>
      </c>
      <c r="S11" s="119">
        <v>0</v>
      </c>
      <c r="T11" s="119">
        <v>0</v>
      </c>
      <c r="U11" s="119">
        <v>0</v>
      </c>
      <c r="V11" s="119" t="str">
        <f t="shared" si="0"/>
        <v xml:space="preserve"> </v>
      </c>
    </row>
    <row r="12" spans="1:22" hidden="1">
      <c r="A12" s="449" t="s">
        <v>179</v>
      </c>
      <c r="B12" s="114">
        <f>_xlfn.IFNA(VLOOKUP(Table1[[#This Row],[SKU]],'Kilter Holds'!$P$36:$S$370,4,0),0)</f>
        <v>0</v>
      </c>
      <c r="C12" s="115">
        <v>10</v>
      </c>
      <c r="D12" s="117">
        <f>IFERROR(10*B12,0)</f>
        <v>0</v>
      </c>
      <c r="E12" s="117">
        <v>0</v>
      </c>
      <c r="F12" s="117">
        <v>0</v>
      </c>
      <c r="G12" s="117">
        <v>0</v>
      </c>
      <c r="H12" s="117">
        <v>0</v>
      </c>
      <c r="I12" s="117">
        <v>0</v>
      </c>
      <c r="J12" s="117">
        <v>0</v>
      </c>
      <c r="K12" s="117">
        <v>0</v>
      </c>
      <c r="L12" s="123">
        <v>0</v>
      </c>
      <c r="M12" s="117">
        <v>0</v>
      </c>
      <c r="N12" s="117">
        <v>0</v>
      </c>
      <c r="O12" s="117">
        <v>0</v>
      </c>
      <c r="P12" s="117">
        <v>0</v>
      </c>
      <c r="Q12" s="117">
        <v>0</v>
      </c>
      <c r="R12" s="117">
        <v>0</v>
      </c>
      <c r="S12" s="119">
        <v>0</v>
      </c>
      <c r="T12" s="119">
        <v>0</v>
      </c>
      <c r="U12" s="119">
        <v>0</v>
      </c>
      <c r="V12" s="119" t="str">
        <f t="shared" si="0"/>
        <v xml:space="preserve"> </v>
      </c>
    </row>
    <row r="13" spans="1:22" hidden="1">
      <c r="A13" s="450" t="s">
        <v>309</v>
      </c>
      <c r="B13" s="114">
        <f>_xlfn.IFNA(VLOOKUP(Table1[[#This Row],[SKU]],'Kilter Holds'!$P$36:$S$370,4,0),0)</f>
        <v>0</v>
      </c>
      <c r="C13" s="115">
        <v>10</v>
      </c>
      <c r="D13" s="117">
        <f>IFERROR(10*B13,0)</f>
        <v>0</v>
      </c>
      <c r="E13" s="118">
        <v>0</v>
      </c>
      <c r="F13" s="118">
        <v>0</v>
      </c>
      <c r="G13" s="118">
        <v>0</v>
      </c>
      <c r="H13" s="118">
        <v>0</v>
      </c>
      <c r="I13" s="118">
        <v>0</v>
      </c>
      <c r="J13" s="118">
        <v>0</v>
      </c>
      <c r="K13" s="118">
        <v>0</v>
      </c>
      <c r="L13" s="123">
        <v>0</v>
      </c>
      <c r="M13" s="118">
        <v>0</v>
      </c>
      <c r="N13" s="118">
        <v>0</v>
      </c>
      <c r="O13" s="118">
        <v>0</v>
      </c>
      <c r="P13" s="118">
        <v>0</v>
      </c>
      <c r="Q13" s="118">
        <v>0</v>
      </c>
      <c r="R13" s="118">
        <v>0</v>
      </c>
      <c r="S13" s="119">
        <v>0</v>
      </c>
      <c r="T13" s="119">
        <v>0</v>
      </c>
      <c r="U13" s="119">
        <v>0</v>
      </c>
      <c r="V13" s="119" t="str">
        <f t="shared" si="0"/>
        <v xml:space="preserve"> </v>
      </c>
    </row>
    <row r="14" spans="1:22" hidden="1">
      <c r="A14" s="449" t="s">
        <v>171</v>
      </c>
      <c r="B14" s="114">
        <f>_xlfn.IFNA(VLOOKUP(Table1[[#This Row],[SKU]],'Kilter Holds'!$P$36:$S$370,4,0),0)</f>
        <v>0</v>
      </c>
      <c r="C14" s="115">
        <v>5</v>
      </c>
      <c r="D14" s="116">
        <v>0</v>
      </c>
      <c r="E14" s="117">
        <f>IFERROR(2*B14,0)</f>
        <v>0</v>
      </c>
      <c r="F14" s="117">
        <f>IFERROR(3*B14,0)</f>
        <v>0</v>
      </c>
      <c r="G14" s="117">
        <v>0</v>
      </c>
      <c r="H14" s="117">
        <v>0</v>
      </c>
      <c r="I14" s="117">
        <v>0</v>
      </c>
      <c r="J14" s="117">
        <v>0</v>
      </c>
      <c r="K14" s="117">
        <v>0</v>
      </c>
      <c r="L14" s="123">
        <v>0</v>
      </c>
      <c r="M14" s="117">
        <v>0</v>
      </c>
      <c r="N14" s="117">
        <v>0</v>
      </c>
      <c r="O14" s="117">
        <v>0</v>
      </c>
      <c r="P14" s="117">
        <v>0</v>
      </c>
      <c r="Q14" s="117">
        <v>0</v>
      </c>
      <c r="R14" s="117">
        <v>0</v>
      </c>
      <c r="S14" s="119">
        <v>0</v>
      </c>
      <c r="T14" s="119">
        <v>0</v>
      </c>
      <c r="U14" s="119">
        <v>0</v>
      </c>
      <c r="V14" s="119" t="str">
        <f t="shared" si="0"/>
        <v xml:space="preserve"> </v>
      </c>
    </row>
    <row r="15" spans="1:22" hidden="1">
      <c r="A15" s="450" t="s">
        <v>180</v>
      </c>
      <c r="B15" s="114">
        <f>_xlfn.IFNA(VLOOKUP(Table1[[#This Row],[SKU]],'Kilter Holds'!$P$36:$S$370,4,0),0)</f>
        <v>0</v>
      </c>
      <c r="C15" s="115">
        <v>10</v>
      </c>
      <c r="D15" s="117">
        <f t="shared" ref="D15:D20" si="1">IFERROR(10*B15,0)</f>
        <v>0</v>
      </c>
      <c r="E15" s="118">
        <v>0</v>
      </c>
      <c r="F15" s="118">
        <v>0</v>
      </c>
      <c r="G15" s="118">
        <v>0</v>
      </c>
      <c r="H15" s="118">
        <v>0</v>
      </c>
      <c r="I15" s="118">
        <v>0</v>
      </c>
      <c r="J15" s="118">
        <v>0</v>
      </c>
      <c r="K15" s="118">
        <v>0</v>
      </c>
      <c r="L15" s="123">
        <v>0</v>
      </c>
      <c r="M15" s="118">
        <v>0</v>
      </c>
      <c r="N15" s="118">
        <v>0</v>
      </c>
      <c r="O15" s="118">
        <v>0</v>
      </c>
      <c r="P15" s="118">
        <v>0</v>
      </c>
      <c r="Q15" s="118">
        <v>0</v>
      </c>
      <c r="R15" s="118">
        <v>0</v>
      </c>
      <c r="S15" s="119">
        <v>0</v>
      </c>
      <c r="T15" s="119">
        <v>0</v>
      </c>
      <c r="U15" s="119">
        <v>0</v>
      </c>
      <c r="V15" s="119" t="str">
        <f t="shared" si="0"/>
        <v xml:space="preserve"> </v>
      </c>
    </row>
    <row r="16" spans="1:22" hidden="1">
      <c r="A16" s="449" t="s">
        <v>279</v>
      </c>
      <c r="B16" s="114">
        <f>_xlfn.IFNA(VLOOKUP(Table1[[#This Row],[SKU]],'Kilter Holds'!$P$36:$S$370,4,0),0)</f>
        <v>0</v>
      </c>
      <c r="C16" s="115">
        <v>10</v>
      </c>
      <c r="D16" s="117">
        <f t="shared" si="1"/>
        <v>0</v>
      </c>
      <c r="E16" s="117">
        <v>0</v>
      </c>
      <c r="F16" s="117">
        <v>0</v>
      </c>
      <c r="G16" s="117">
        <v>0</v>
      </c>
      <c r="H16" s="117">
        <v>0</v>
      </c>
      <c r="I16" s="117">
        <v>0</v>
      </c>
      <c r="J16" s="117">
        <v>0</v>
      </c>
      <c r="K16" s="117">
        <v>0</v>
      </c>
      <c r="L16" s="123">
        <v>0</v>
      </c>
      <c r="M16" s="117">
        <v>0</v>
      </c>
      <c r="N16" s="117">
        <v>0</v>
      </c>
      <c r="O16" s="117">
        <v>0</v>
      </c>
      <c r="P16" s="117">
        <v>0</v>
      </c>
      <c r="Q16" s="117">
        <v>0</v>
      </c>
      <c r="R16" s="117">
        <v>0</v>
      </c>
      <c r="S16" s="119">
        <v>0</v>
      </c>
      <c r="T16" s="119">
        <v>0</v>
      </c>
      <c r="U16" s="119">
        <v>0</v>
      </c>
      <c r="V16" s="119" t="str">
        <f t="shared" si="0"/>
        <v xml:space="preserve"> </v>
      </c>
    </row>
    <row r="17" spans="1:22" hidden="1">
      <c r="A17" s="450" t="s">
        <v>181</v>
      </c>
      <c r="B17" s="114">
        <f>_xlfn.IFNA(VLOOKUP(Table1[[#This Row],[SKU]],'Kilter Holds'!$P$36:$S$370,4,0),0)</f>
        <v>0</v>
      </c>
      <c r="C17" s="115">
        <v>10</v>
      </c>
      <c r="D17" s="117">
        <f t="shared" si="1"/>
        <v>0</v>
      </c>
      <c r="E17" s="118">
        <v>0</v>
      </c>
      <c r="F17" s="118">
        <v>0</v>
      </c>
      <c r="G17" s="118">
        <v>0</v>
      </c>
      <c r="H17" s="118">
        <v>0</v>
      </c>
      <c r="I17" s="118">
        <v>0</v>
      </c>
      <c r="J17" s="118">
        <v>0</v>
      </c>
      <c r="K17" s="118">
        <v>0</v>
      </c>
      <c r="L17" s="123">
        <v>0</v>
      </c>
      <c r="M17" s="118">
        <v>0</v>
      </c>
      <c r="N17" s="118">
        <v>0</v>
      </c>
      <c r="O17" s="118">
        <v>0</v>
      </c>
      <c r="P17" s="118">
        <v>0</v>
      </c>
      <c r="Q17" s="118">
        <v>0</v>
      </c>
      <c r="R17" s="118">
        <v>0</v>
      </c>
      <c r="S17" s="119">
        <v>0</v>
      </c>
      <c r="T17" s="119">
        <v>0</v>
      </c>
      <c r="U17" s="119">
        <v>0</v>
      </c>
      <c r="V17" s="119" t="str">
        <f t="shared" si="0"/>
        <v xml:space="preserve"> </v>
      </c>
    </row>
    <row r="18" spans="1:22" hidden="1">
      <c r="A18" s="449" t="s">
        <v>310</v>
      </c>
      <c r="B18" s="114">
        <f>_xlfn.IFNA(VLOOKUP(Table1[[#This Row],[SKU]],'Kilter Holds'!$P$36:$S$370,4,0),0)</f>
        <v>0</v>
      </c>
      <c r="C18" s="115">
        <v>10</v>
      </c>
      <c r="D18" s="117">
        <f t="shared" si="1"/>
        <v>0</v>
      </c>
      <c r="E18" s="117">
        <v>0</v>
      </c>
      <c r="F18" s="117">
        <v>0</v>
      </c>
      <c r="G18" s="117">
        <v>0</v>
      </c>
      <c r="H18" s="117">
        <v>0</v>
      </c>
      <c r="I18" s="117">
        <v>0</v>
      </c>
      <c r="J18" s="117">
        <v>0</v>
      </c>
      <c r="K18" s="117">
        <v>0</v>
      </c>
      <c r="L18" s="123">
        <v>0</v>
      </c>
      <c r="M18" s="117">
        <v>0</v>
      </c>
      <c r="N18" s="117">
        <v>0</v>
      </c>
      <c r="O18" s="117">
        <v>0</v>
      </c>
      <c r="P18" s="117">
        <v>0</v>
      </c>
      <c r="Q18" s="117">
        <v>0</v>
      </c>
      <c r="R18" s="117">
        <v>0</v>
      </c>
      <c r="S18" s="119">
        <v>0</v>
      </c>
      <c r="T18" s="119">
        <v>0</v>
      </c>
      <c r="U18" s="119">
        <v>0</v>
      </c>
      <c r="V18" s="119" t="str">
        <f t="shared" si="0"/>
        <v xml:space="preserve"> </v>
      </c>
    </row>
    <row r="19" spans="1:22" hidden="1">
      <c r="A19" s="450" t="s">
        <v>329</v>
      </c>
      <c r="B19" s="114">
        <f>_xlfn.IFNA(VLOOKUP(Table1[[#This Row],[SKU]],'Kilter Holds'!$P$36:$S$370,4,0),0)</f>
        <v>0</v>
      </c>
      <c r="C19" s="115">
        <v>10</v>
      </c>
      <c r="D19" s="117">
        <f t="shared" si="1"/>
        <v>0</v>
      </c>
      <c r="E19" s="118">
        <v>0</v>
      </c>
      <c r="F19" s="118">
        <v>0</v>
      </c>
      <c r="G19" s="118">
        <v>0</v>
      </c>
      <c r="H19" s="118">
        <v>0</v>
      </c>
      <c r="I19" s="118">
        <v>0</v>
      </c>
      <c r="J19" s="118">
        <v>0</v>
      </c>
      <c r="K19" s="118">
        <v>0</v>
      </c>
      <c r="L19" s="123">
        <v>0</v>
      </c>
      <c r="M19" s="118">
        <v>0</v>
      </c>
      <c r="N19" s="118">
        <v>0</v>
      </c>
      <c r="O19" s="118">
        <v>0</v>
      </c>
      <c r="P19" s="118">
        <v>0</v>
      </c>
      <c r="Q19" s="118">
        <v>0</v>
      </c>
      <c r="R19" s="118">
        <v>0</v>
      </c>
      <c r="S19" s="119">
        <v>0</v>
      </c>
      <c r="T19" s="119">
        <v>0</v>
      </c>
      <c r="U19" s="119">
        <v>0</v>
      </c>
      <c r="V19" s="119" t="str">
        <f t="shared" si="0"/>
        <v xml:space="preserve"> </v>
      </c>
    </row>
    <row r="20" spans="1:22" hidden="1">
      <c r="A20" s="449" t="s">
        <v>330</v>
      </c>
      <c r="B20" s="114">
        <f>_xlfn.IFNA(VLOOKUP(Table1[[#This Row],[SKU]],'Kilter Holds'!$P$36:$S$370,4,0),0)</f>
        <v>0</v>
      </c>
      <c r="C20" s="115">
        <v>10</v>
      </c>
      <c r="D20" s="117">
        <f t="shared" si="1"/>
        <v>0</v>
      </c>
      <c r="E20" s="117">
        <v>0</v>
      </c>
      <c r="F20" s="117">
        <v>0</v>
      </c>
      <c r="G20" s="117">
        <v>0</v>
      </c>
      <c r="H20" s="117">
        <v>0</v>
      </c>
      <c r="I20" s="117">
        <v>0</v>
      </c>
      <c r="J20" s="117">
        <v>0</v>
      </c>
      <c r="K20" s="117">
        <v>0</v>
      </c>
      <c r="L20" s="123">
        <v>0</v>
      </c>
      <c r="M20" s="117">
        <v>0</v>
      </c>
      <c r="N20" s="117">
        <v>0</v>
      </c>
      <c r="O20" s="117">
        <v>0</v>
      </c>
      <c r="P20" s="117">
        <v>0</v>
      </c>
      <c r="Q20" s="117">
        <v>0</v>
      </c>
      <c r="R20" s="117">
        <v>0</v>
      </c>
      <c r="S20" s="119">
        <v>0</v>
      </c>
      <c r="T20" s="119">
        <v>0</v>
      </c>
      <c r="U20" s="119">
        <v>0</v>
      </c>
      <c r="V20" s="119" t="str">
        <f t="shared" si="0"/>
        <v xml:space="preserve"> </v>
      </c>
    </row>
    <row r="21" spans="1:22" hidden="1">
      <c r="A21" s="450" t="s">
        <v>285</v>
      </c>
      <c r="B21" s="114">
        <f>_xlfn.IFNA(VLOOKUP(Table1[[#This Row],[SKU]],'Kilter Holds'!$P$36:$S$370,4,0),0)</f>
        <v>0</v>
      </c>
      <c r="C21" s="115">
        <v>20</v>
      </c>
      <c r="D21" s="117">
        <f>IFERROR(20*B21,0)</f>
        <v>0</v>
      </c>
      <c r="E21" s="118">
        <v>0</v>
      </c>
      <c r="F21" s="118">
        <v>0</v>
      </c>
      <c r="G21" s="118">
        <v>0</v>
      </c>
      <c r="H21" s="118">
        <v>0</v>
      </c>
      <c r="I21" s="118">
        <v>0</v>
      </c>
      <c r="J21" s="118">
        <v>0</v>
      </c>
      <c r="K21" s="118">
        <v>0</v>
      </c>
      <c r="L21" s="123">
        <v>0</v>
      </c>
      <c r="M21" s="118">
        <v>0</v>
      </c>
      <c r="N21" s="118">
        <v>0</v>
      </c>
      <c r="O21" s="118">
        <v>0</v>
      </c>
      <c r="P21" s="118">
        <v>0</v>
      </c>
      <c r="Q21" s="118">
        <v>0</v>
      </c>
      <c r="R21" s="118">
        <v>0</v>
      </c>
      <c r="S21" s="119">
        <v>0</v>
      </c>
      <c r="T21" s="119">
        <v>0</v>
      </c>
      <c r="U21" s="119">
        <v>0</v>
      </c>
      <c r="V21" s="119" t="str">
        <f t="shared" si="0"/>
        <v xml:space="preserve"> </v>
      </c>
    </row>
    <row r="22" spans="1:22" hidden="1">
      <c r="A22" s="449" t="s">
        <v>286</v>
      </c>
      <c r="B22" s="114">
        <f>_xlfn.IFNA(VLOOKUP(Table1[[#This Row],[SKU]],'Kilter Holds'!$P$36:$S$370,4,0),0)</f>
        <v>0</v>
      </c>
      <c r="C22" s="115">
        <v>20</v>
      </c>
      <c r="D22" s="117">
        <f>IFERROR(20*B22,0)</f>
        <v>0</v>
      </c>
      <c r="E22" s="117">
        <v>0</v>
      </c>
      <c r="F22" s="117">
        <v>0</v>
      </c>
      <c r="G22" s="117">
        <v>0</v>
      </c>
      <c r="H22" s="117">
        <v>0</v>
      </c>
      <c r="I22" s="117">
        <v>0</v>
      </c>
      <c r="J22" s="117">
        <v>0</v>
      </c>
      <c r="K22" s="117">
        <v>0</v>
      </c>
      <c r="L22" s="123">
        <v>0</v>
      </c>
      <c r="M22" s="117">
        <v>0</v>
      </c>
      <c r="N22" s="117">
        <v>0</v>
      </c>
      <c r="O22" s="117">
        <v>0</v>
      </c>
      <c r="P22" s="117">
        <v>0</v>
      </c>
      <c r="Q22" s="117">
        <v>0</v>
      </c>
      <c r="R22" s="117">
        <v>0</v>
      </c>
      <c r="S22" s="119">
        <v>0</v>
      </c>
      <c r="T22" s="119">
        <v>0</v>
      </c>
      <c r="U22" s="119">
        <v>0</v>
      </c>
      <c r="V22" s="119" t="str">
        <f t="shared" si="0"/>
        <v xml:space="preserve"> </v>
      </c>
    </row>
    <row r="23" spans="1:22" hidden="1">
      <c r="A23" s="450" t="s">
        <v>212</v>
      </c>
      <c r="B23" s="114">
        <f>_xlfn.IFNA(VLOOKUP(Table1[[#This Row],[SKU]],'Kilter Holds'!$P$36:$S$370,4,0),0)</f>
        <v>0</v>
      </c>
      <c r="C23" s="115">
        <v>20</v>
      </c>
      <c r="D23" s="117">
        <f>IFERROR(20*B23,0)</f>
        <v>0</v>
      </c>
      <c r="E23" s="118">
        <v>0</v>
      </c>
      <c r="F23" s="118">
        <v>0</v>
      </c>
      <c r="G23" s="118">
        <v>0</v>
      </c>
      <c r="H23" s="118">
        <v>0</v>
      </c>
      <c r="I23" s="118">
        <v>0</v>
      </c>
      <c r="J23" s="118">
        <v>0</v>
      </c>
      <c r="K23" s="118">
        <v>0</v>
      </c>
      <c r="L23" s="123">
        <v>0</v>
      </c>
      <c r="M23" s="118">
        <v>0</v>
      </c>
      <c r="N23" s="118">
        <v>0</v>
      </c>
      <c r="O23" s="118">
        <v>0</v>
      </c>
      <c r="P23" s="118">
        <v>0</v>
      </c>
      <c r="Q23" s="118">
        <v>0</v>
      </c>
      <c r="R23" s="118">
        <v>0</v>
      </c>
      <c r="S23" s="119">
        <v>0</v>
      </c>
      <c r="T23" s="119">
        <v>0</v>
      </c>
      <c r="U23" s="119">
        <v>0</v>
      </c>
      <c r="V23" s="119" t="str">
        <f t="shared" si="0"/>
        <v xml:space="preserve"> </v>
      </c>
    </row>
    <row r="24" spans="1:22" hidden="1">
      <c r="A24" s="449" t="s">
        <v>213</v>
      </c>
      <c r="B24" s="114">
        <f>_xlfn.IFNA(VLOOKUP(Table1[[#This Row],[SKU]],'Kilter Holds'!$P$36:$S$370,4,0),0)</f>
        <v>0</v>
      </c>
      <c r="C24" s="115">
        <v>20</v>
      </c>
      <c r="D24" s="117">
        <f>IFERROR(20*B24,0)</f>
        <v>0</v>
      </c>
      <c r="E24" s="117">
        <v>0</v>
      </c>
      <c r="F24" s="117">
        <v>0</v>
      </c>
      <c r="G24" s="117">
        <v>0</v>
      </c>
      <c r="H24" s="117">
        <v>0</v>
      </c>
      <c r="I24" s="117">
        <v>0</v>
      </c>
      <c r="J24" s="117">
        <v>0</v>
      </c>
      <c r="K24" s="117">
        <v>0</v>
      </c>
      <c r="L24" s="123">
        <v>0</v>
      </c>
      <c r="M24" s="117">
        <v>0</v>
      </c>
      <c r="N24" s="117">
        <v>0</v>
      </c>
      <c r="O24" s="117">
        <v>0</v>
      </c>
      <c r="P24" s="117">
        <v>0</v>
      </c>
      <c r="Q24" s="117">
        <v>0</v>
      </c>
      <c r="R24" s="117">
        <v>0</v>
      </c>
      <c r="S24" s="119">
        <v>0</v>
      </c>
      <c r="T24" s="119">
        <v>0</v>
      </c>
      <c r="U24" s="119">
        <v>0</v>
      </c>
      <c r="V24" s="119" t="str">
        <f t="shared" si="0"/>
        <v xml:space="preserve"> </v>
      </c>
    </row>
    <row r="25" spans="1:22" hidden="1">
      <c r="A25" s="450" t="s">
        <v>280</v>
      </c>
      <c r="B25" s="114">
        <f>_xlfn.IFNA(VLOOKUP(Table1[[#This Row],[SKU]],'Kilter Holds'!$P$36:$S$370,4,0),0)</f>
        <v>0</v>
      </c>
      <c r="C25" s="115">
        <v>10</v>
      </c>
      <c r="D25" s="117">
        <f>IFERROR(10*B25,0)</f>
        <v>0</v>
      </c>
      <c r="E25" s="118">
        <v>0</v>
      </c>
      <c r="F25" s="118">
        <v>0</v>
      </c>
      <c r="G25" s="118">
        <v>0</v>
      </c>
      <c r="H25" s="118">
        <v>0</v>
      </c>
      <c r="I25" s="118">
        <v>0</v>
      </c>
      <c r="J25" s="118">
        <v>0</v>
      </c>
      <c r="K25" s="118">
        <v>0</v>
      </c>
      <c r="L25" s="123">
        <v>0</v>
      </c>
      <c r="M25" s="118">
        <v>0</v>
      </c>
      <c r="N25" s="118">
        <v>0</v>
      </c>
      <c r="O25" s="118">
        <v>0</v>
      </c>
      <c r="P25" s="118">
        <v>0</v>
      </c>
      <c r="Q25" s="118">
        <v>0</v>
      </c>
      <c r="R25" s="118">
        <v>0</v>
      </c>
      <c r="S25" s="119">
        <v>0</v>
      </c>
      <c r="T25" s="119">
        <v>0</v>
      </c>
      <c r="U25" s="119">
        <v>0</v>
      </c>
      <c r="V25" s="119" t="str">
        <f t="shared" si="0"/>
        <v xml:space="preserve"> </v>
      </c>
    </row>
    <row r="26" spans="1:22" hidden="1">
      <c r="A26" s="449" t="s">
        <v>311</v>
      </c>
      <c r="B26" s="114">
        <f>_xlfn.IFNA(VLOOKUP(Table1[[#This Row],[SKU]],'Kilter Holds'!$P$36:$S$370,4,0),0)</f>
        <v>0</v>
      </c>
      <c r="C26" s="115">
        <v>10</v>
      </c>
      <c r="D26" s="117">
        <f>IFERROR(10*B26,0)</f>
        <v>0</v>
      </c>
      <c r="E26" s="117">
        <v>0</v>
      </c>
      <c r="F26" s="117">
        <v>0</v>
      </c>
      <c r="G26" s="117">
        <v>0</v>
      </c>
      <c r="H26" s="117">
        <v>0</v>
      </c>
      <c r="I26" s="117">
        <v>0</v>
      </c>
      <c r="J26" s="117">
        <v>0</v>
      </c>
      <c r="K26" s="117">
        <v>0</v>
      </c>
      <c r="L26" s="123">
        <v>0</v>
      </c>
      <c r="M26" s="117">
        <v>0</v>
      </c>
      <c r="N26" s="117">
        <v>0</v>
      </c>
      <c r="O26" s="117">
        <v>0</v>
      </c>
      <c r="P26" s="117">
        <v>0</v>
      </c>
      <c r="Q26" s="117">
        <v>0</v>
      </c>
      <c r="R26" s="117">
        <v>0</v>
      </c>
      <c r="S26" s="119">
        <v>0</v>
      </c>
      <c r="T26" s="119">
        <v>0</v>
      </c>
      <c r="U26" s="119">
        <v>0</v>
      </c>
      <c r="V26" s="119" t="str">
        <f t="shared" si="0"/>
        <v xml:space="preserve"> </v>
      </c>
    </row>
    <row r="27" spans="1:22" hidden="1">
      <c r="A27" s="450" t="s">
        <v>204</v>
      </c>
      <c r="B27" s="114">
        <f>_xlfn.IFNA(VLOOKUP(Table1[[#This Row],[SKU]],'Kilter Holds'!$P$36:$S$370,4,0),0)</f>
        <v>0</v>
      </c>
      <c r="C27" s="115">
        <v>10</v>
      </c>
      <c r="D27" s="117">
        <f>IFERROR(10*B27,0)</f>
        <v>0</v>
      </c>
      <c r="E27" s="118">
        <v>0</v>
      </c>
      <c r="F27" s="118">
        <v>0</v>
      </c>
      <c r="G27" s="118">
        <v>0</v>
      </c>
      <c r="H27" s="118">
        <v>0</v>
      </c>
      <c r="I27" s="118">
        <v>0</v>
      </c>
      <c r="J27" s="118">
        <v>0</v>
      </c>
      <c r="K27" s="118">
        <v>0</v>
      </c>
      <c r="L27" s="123">
        <v>0</v>
      </c>
      <c r="M27" s="118">
        <v>0</v>
      </c>
      <c r="N27" s="118">
        <v>0</v>
      </c>
      <c r="O27" s="118">
        <v>0</v>
      </c>
      <c r="P27" s="118">
        <v>0</v>
      </c>
      <c r="Q27" s="118">
        <v>0</v>
      </c>
      <c r="R27" s="118">
        <v>0</v>
      </c>
      <c r="S27" s="119">
        <v>0</v>
      </c>
      <c r="T27" s="119">
        <v>0</v>
      </c>
      <c r="U27" s="119">
        <v>0</v>
      </c>
      <c r="V27" s="119" t="str">
        <f t="shared" si="0"/>
        <v xml:space="preserve"> </v>
      </c>
    </row>
    <row r="28" spans="1:22" hidden="1">
      <c r="A28" s="449" t="s">
        <v>205</v>
      </c>
      <c r="B28" s="114">
        <f>_xlfn.IFNA(VLOOKUP(Table1[[#This Row],[SKU]],'Kilter Holds'!$P$36:$S$370,4,0),0)</f>
        <v>0</v>
      </c>
      <c r="C28" s="115">
        <v>10</v>
      </c>
      <c r="D28" s="117">
        <f>IFERROR(10*B28,0)</f>
        <v>0</v>
      </c>
      <c r="E28" s="117">
        <v>0</v>
      </c>
      <c r="F28" s="117">
        <v>0</v>
      </c>
      <c r="G28" s="117">
        <v>0</v>
      </c>
      <c r="H28" s="117">
        <v>0</v>
      </c>
      <c r="I28" s="117">
        <v>0</v>
      </c>
      <c r="J28" s="117">
        <v>0</v>
      </c>
      <c r="K28" s="117">
        <v>0</v>
      </c>
      <c r="L28" s="123">
        <v>0</v>
      </c>
      <c r="M28" s="117">
        <v>0</v>
      </c>
      <c r="N28" s="117">
        <v>0</v>
      </c>
      <c r="O28" s="117">
        <v>0</v>
      </c>
      <c r="P28" s="117">
        <v>0</v>
      </c>
      <c r="Q28" s="117">
        <v>0</v>
      </c>
      <c r="R28" s="117">
        <v>0</v>
      </c>
      <c r="S28" s="119">
        <v>0</v>
      </c>
      <c r="T28" s="119">
        <v>0</v>
      </c>
      <c r="U28" s="119">
        <v>0</v>
      </c>
      <c r="V28" s="119" t="str">
        <f t="shared" si="0"/>
        <v xml:space="preserve"> </v>
      </c>
    </row>
    <row r="29" spans="1:22" hidden="1">
      <c r="A29" s="450" t="s">
        <v>281</v>
      </c>
      <c r="B29" s="114">
        <f>_xlfn.IFNA(VLOOKUP(Table1[[#This Row],[SKU]],'Kilter Holds'!$P$36:$S$370,4,0),0)</f>
        <v>0</v>
      </c>
      <c r="C29" s="115">
        <v>10</v>
      </c>
      <c r="D29" s="117">
        <f>IFERROR(10*B29,0)</f>
        <v>0</v>
      </c>
      <c r="E29" s="118">
        <v>0</v>
      </c>
      <c r="F29" s="118">
        <v>0</v>
      </c>
      <c r="G29" s="118">
        <v>0</v>
      </c>
      <c r="H29" s="118">
        <v>0</v>
      </c>
      <c r="I29" s="118">
        <v>0</v>
      </c>
      <c r="J29" s="118">
        <v>0</v>
      </c>
      <c r="K29" s="118">
        <v>0</v>
      </c>
      <c r="L29" s="123">
        <v>0</v>
      </c>
      <c r="M29" s="118">
        <v>0</v>
      </c>
      <c r="N29" s="118">
        <v>0</v>
      </c>
      <c r="O29" s="118">
        <v>0</v>
      </c>
      <c r="P29" s="118">
        <v>0</v>
      </c>
      <c r="Q29" s="118">
        <v>0</v>
      </c>
      <c r="R29" s="118">
        <v>0</v>
      </c>
      <c r="S29" s="119">
        <v>0</v>
      </c>
      <c r="T29" s="119">
        <v>0</v>
      </c>
      <c r="U29" s="119">
        <v>0</v>
      </c>
      <c r="V29" s="119" t="str">
        <f t="shared" si="0"/>
        <v xml:space="preserve"> </v>
      </c>
    </row>
    <row r="30" spans="1:22" hidden="1">
      <c r="A30" s="449" t="s">
        <v>337</v>
      </c>
      <c r="B30" s="114">
        <f>_xlfn.IFNA(VLOOKUP(Table1[[#This Row],[SKU]],'Kilter Holds'!$P$36:$S$370,4,0),0)</f>
        <v>0</v>
      </c>
      <c r="C30" s="115">
        <v>20</v>
      </c>
      <c r="D30" s="117">
        <f>IFERROR(20*B30,0)</f>
        <v>0</v>
      </c>
      <c r="E30" s="117">
        <v>0</v>
      </c>
      <c r="F30" s="117">
        <v>0</v>
      </c>
      <c r="G30" s="117">
        <v>0</v>
      </c>
      <c r="H30" s="117">
        <v>0</v>
      </c>
      <c r="I30" s="117">
        <v>0</v>
      </c>
      <c r="J30" s="117">
        <v>0</v>
      </c>
      <c r="K30" s="117">
        <v>0</v>
      </c>
      <c r="L30" s="123">
        <v>0</v>
      </c>
      <c r="M30" s="117">
        <v>0</v>
      </c>
      <c r="N30" s="117">
        <v>0</v>
      </c>
      <c r="O30" s="117">
        <v>0</v>
      </c>
      <c r="P30" s="117">
        <v>0</v>
      </c>
      <c r="Q30" s="117">
        <v>0</v>
      </c>
      <c r="R30" s="117">
        <v>0</v>
      </c>
      <c r="S30" s="119">
        <v>0</v>
      </c>
      <c r="T30" s="119">
        <v>0</v>
      </c>
      <c r="U30" s="119">
        <v>0</v>
      </c>
      <c r="V30" s="119" t="str">
        <f t="shared" si="0"/>
        <v xml:space="preserve"> </v>
      </c>
    </row>
    <row r="31" spans="1:22" hidden="1">
      <c r="A31" s="450" t="s">
        <v>338</v>
      </c>
      <c r="B31" s="114">
        <f>_xlfn.IFNA(VLOOKUP(Table1[[#This Row],[SKU]],'Kilter Holds'!$P$36:$S$370,4,0),0)</f>
        <v>0</v>
      </c>
      <c r="C31" s="115">
        <v>20</v>
      </c>
      <c r="D31" s="117">
        <f>IFERROR(20*B31,0)</f>
        <v>0</v>
      </c>
      <c r="E31" s="118">
        <v>0</v>
      </c>
      <c r="F31" s="118">
        <v>0</v>
      </c>
      <c r="G31" s="118">
        <v>0</v>
      </c>
      <c r="H31" s="118">
        <v>0</v>
      </c>
      <c r="I31" s="118">
        <v>0</v>
      </c>
      <c r="J31" s="118">
        <v>0</v>
      </c>
      <c r="K31" s="118">
        <v>0</v>
      </c>
      <c r="L31" s="123">
        <v>0</v>
      </c>
      <c r="M31" s="118">
        <v>0</v>
      </c>
      <c r="N31" s="118">
        <v>0</v>
      </c>
      <c r="O31" s="118">
        <v>0</v>
      </c>
      <c r="P31" s="118">
        <v>0</v>
      </c>
      <c r="Q31" s="118">
        <v>0</v>
      </c>
      <c r="R31" s="118">
        <v>0</v>
      </c>
      <c r="S31" s="119">
        <v>0</v>
      </c>
      <c r="T31" s="119">
        <v>0</v>
      </c>
      <c r="U31" s="119">
        <v>0</v>
      </c>
      <c r="V31" s="119" t="str">
        <f t="shared" si="0"/>
        <v xml:space="preserve"> </v>
      </c>
    </row>
    <row r="32" spans="1:22" hidden="1">
      <c r="A32" s="449" t="s">
        <v>247</v>
      </c>
      <c r="B32" s="114">
        <f>_xlfn.IFNA(VLOOKUP(Table1[[#This Row],[SKU]],'Kilter Holds'!$P$36:$S$370,4,0),0)</f>
        <v>0</v>
      </c>
      <c r="C32" s="115">
        <v>10</v>
      </c>
      <c r="D32" s="117">
        <f>IFERROR(10*B32,0)</f>
        <v>0</v>
      </c>
      <c r="E32" s="117">
        <v>0</v>
      </c>
      <c r="F32" s="117">
        <v>0</v>
      </c>
      <c r="G32" s="117">
        <v>0</v>
      </c>
      <c r="H32" s="117">
        <v>0</v>
      </c>
      <c r="I32" s="117">
        <v>0</v>
      </c>
      <c r="J32" s="117">
        <v>0</v>
      </c>
      <c r="K32" s="117">
        <v>0</v>
      </c>
      <c r="L32" s="123">
        <v>0</v>
      </c>
      <c r="M32" s="117">
        <v>0</v>
      </c>
      <c r="N32" s="117">
        <v>0</v>
      </c>
      <c r="O32" s="117">
        <v>0</v>
      </c>
      <c r="P32" s="117">
        <v>0</v>
      </c>
      <c r="Q32" s="117">
        <v>0</v>
      </c>
      <c r="R32" s="117">
        <v>0</v>
      </c>
      <c r="S32" s="119">
        <v>0</v>
      </c>
      <c r="T32" s="119">
        <v>0</v>
      </c>
      <c r="U32" s="119">
        <v>0</v>
      </c>
      <c r="V32" s="119" t="str">
        <f t="shared" si="0"/>
        <v xml:space="preserve"> </v>
      </c>
    </row>
    <row r="33" spans="1:22" hidden="1">
      <c r="A33" s="450" t="s">
        <v>300</v>
      </c>
      <c r="B33" s="114">
        <f>_xlfn.IFNA(VLOOKUP(Table1[[#This Row],[SKU]],'Kilter Holds'!$P$36:$S$370,4,0),0)</f>
        <v>0</v>
      </c>
      <c r="C33" s="115">
        <v>5</v>
      </c>
      <c r="D33" s="120">
        <v>0</v>
      </c>
      <c r="E33" s="117">
        <f>IFERROR(5*B33,0)</f>
        <v>0</v>
      </c>
      <c r="F33" s="118">
        <v>0</v>
      </c>
      <c r="G33" s="118">
        <v>0</v>
      </c>
      <c r="H33" s="118">
        <v>0</v>
      </c>
      <c r="I33" s="118">
        <v>0</v>
      </c>
      <c r="J33" s="118">
        <v>0</v>
      </c>
      <c r="K33" s="118">
        <v>0</v>
      </c>
      <c r="L33" s="123">
        <v>0</v>
      </c>
      <c r="M33" s="118">
        <v>0</v>
      </c>
      <c r="N33" s="118">
        <v>0</v>
      </c>
      <c r="O33" s="118">
        <v>0</v>
      </c>
      <c r="P33" s="118">
        <v>0</v>
      </c>
      <c r="Q33" s="118">
        <v>0</v>
      </c>
      <c r="R33" s="118">
        <v>0</v>
      </c>
      <c r="S33" s="119">
        <v>0</v>
      </c>
      <c r="T33" s="119">
        <v>0</v>
      </c>
      <c r="U33" s="119">
        <v>0</v>
      </c>
      <c r="V33" s="119" t="str">
        <f t="shared" si="0"/>
        <v xml:space="preserve"> </v>
      </c>
    </row>
    <row r="34" spans="1:22" hidden="1">
      <c r="A34" s="449" t="s">
        <v>301</v>
      </c>
      <c r="B34" s="114">
        <f>_xlfn.IFNA(VLOOKUP(Table1[[#This Row],[SKU]],'Kilter Holds'!$P$36:$S$370,4,0),0)</f>
        <v>0</v>
      </c>
      <c r="C34" s="115">
        <v>5</v>
      </c>
      <c r="D34" s="116">
        <v>0</v>
      </c>
      <c r="E34" s="117">
        <f>IFERROR(4*B34,0)</f>
        <v>0</v>
      </c>
      <c r="F34" s="117">
        <f>IFERROR(1*B34,0)</f>
        <v>0</v>
      </c>
      <c r="G34" s="117">
        <v>0</v>
      </c>
      <c r="H34" s="117">
        <v>0</v>
      </c>
      <c r="I34" s="117">
        <v>0</v>
      </c>
      <c r="J34" s="117">
        <v>0</v>
      </c>
      <c r="K34" s="117">
        <v>0</v>
      </c>
      <c r="L34" s="123">
        <v>0</v>
      </c>
      <c r="M34" s="117">
        <v>0</v>
      </c>
      <c r="N34" s="117">
        <v>0</v>
      </c>
      <c r="O34" s="117">
        <v>0</v>
      </c>
      <c r="P34" s="117">
        <v>0</v>
      </c>
      <c r="Q34" s="117">
        <v>0</v>
      </c>
      <c r="R34" s="117">
        <v>0</v>
      </c>
      <c r="S34" s="119">
        <v>0</v>
      </c>
      <c r="T34" s="119">
        <v>0</v>
      </c>
      <c r="U34" s="119">
        <v>0</v>
      </c>
      <c r="V34" s="119" t="str">
        <f t="shared" si="0"/>
        <v xml:space="preserve"> </v>
      </c>
    </row>
    <row r="35" spans="1:22" hidden="1">
      <c r="A35" s="450" t="s">
        <v>248</v>
      </c>
      <c r="B35" s="114">
        <f>_xlfn.IFNA(VLOOKUP(Table1[[#This Row],[SKU]],'Kilter Holds'!$P$36:$S$370,4,0),0)</f>
        <v>0</v>
      </c>
      <c r="C35" s="115">
        <v>10</v>
      </c>
      <c r="D35" s="117">
        <f>IFERROR(10*B35,0)</f>
        <v>0</v>
      </c>
      <c r="E35" s="118">
        <v>0</v>
      </c>
      <c r="F35" s="118">
        <v>0</v>
      </c>
      <c r="G35" s="118">
        <v>0</v>
      </c>
      <c r="H35" s="118">
        <v>0</v>
      </c>
      <c r="I35" s="118">
        <v>0</v>
      </c>
      <c r="J35" s="118">
        <v>0</v>
      </c>
      <c r="K35" s="118">
        <v>0</v>
      </c>
      <c r="L35" s="123">
        <v>0</v>
      </c>
      <c r="M35" s="118">
        <v>0</v>
      </c>
      <c r="N35" s="118">
        <v>0</v>
      </c>
      <c r="O35" s="118">
        <v>0</v>
      </c>
      <c r="P35" s="118">
        <v>0</v>
      </c>
      <c r="Q35" s="118">
        <v>0</v>
      </c>
      <c r="R35" s="118">
        <v>0</v>
      </c>
      <c r="S35" s="119">
        <v>0</v>
      </c>
      <c r="T35" s="119">
        <v>0</v>
      </c>
      <c r="U35" s="119">
        <v>0</v>
      </c>
      <c r="V35" s="119" t="str">
        <f t="shared" si="0"/>
        <v xml:space="preserve"> </v>
      </c>
    </row>
    <row r="36" spans="1:22" hidden="1">
      <c r="A36" s="449" t="s">
        <v>234</v>
      </c>
      <c r="B36" s="114">
        <f>_xlfn.IFNA(VLOOKUP(Table1[[#This Row],[SKU]],'Kilter Holds'!$P$36:$S$370,4,0),0)</f>
        <v>0</v>
      </c>
      <c r="C36" s="115">
        <v>5</v>
      </c>
      <c r="D36" s="117">
        <f>IFERROR(5*B36,0)</f>
        <v>0</v>
      </c>
      <c r="E36" s="117">
        <v>0</v>
      </c>
      <c r="F36" s="117">
        <v>0</v>
      </c>
      <c r="G36" s="117">
        <v>0</v>
      </c>
      <c r="H36" s="117">
        <v>0</v>
      </c>
      <c r="I36" s="117">
        <v>0</v>
      </c>
      <c r="J36" s="117">
        <v>0</v>
      </c>
      <c r="K36" s="117">
        <v>0</v>
      </c>
      <c r="L36" s="123">
        <v>0</v>
      </c>
      <c r="M36" s="117">
        <v>0</v>
      </c>
      <c r="N36" s="117">
        <v>0</v>
      </c>
      <c r="O36" s="117">
        <v>0</v>
      </c>
      <c r="P36" s="117">
        <v>0</v>
      </c>
      <c r="Q36" s="117">
        <v>0</v>
      </c>
      <c r="R36" s="117">
        <v>0</v>
      </c>
      <c r="S36" s="119">
        <v>0</v>
      </c>
      <c r="T36" s="119">
        <v>0</v>
      </c>
      <c r="U36" s="119">
        <v>0</v>
      </c>
      <c r="V36" s="119" t="str">
        <f t="shared" si="0"/>
        <v xml:space="preserve"> </v>
      </c>
    </row>
    <row r="37" spans="1:22" hidden="1">
      <c r="A37" s="449" t="s">
        <v>276</v>
      </c>
      <c r="B37" s="114">
        <f>_xlfn.IFNA(VLOOKUP(Table1[[#This Row],[SKU]],'Kilter Holds'!$P$36:$S$370,4,0),0)</f>
        <v>0</v>
      </c>
      <c r="C37" s="115">
        <v>5</v>
      </c>
      <c r="D37" s="116">
        <v>0</v>
      </c>
      <c r="E37" s="117">
        <f>IFERROR(2*B37,0)</f>
        <v>0</v>
      </c>
      <c r="F37" s="117">
        <f>IFERROR(3*B37,0)</f>
        <v>0</v>
      </c>
      <c r="G37" s="117">
        <v>0</v>
      </c>
      <c r="H37" s="117">
        <v>0</v>
      </c>
      <c r="I37" s="117">
        <v>0</v>
      </c>
      <c r="J37" s="117">
        <v>0</v>
      </c>
      <c r="K37" s="117">
        <v>0</v>
      </c>
      <c r="L37" s="123">
        <v>0</v>
      </c>
      <c r="M37" s="117">
        <v>0</v>
      </c>
      <c r="N37" s="117">
        <v>0</v>
      </c>
      <c r="O37" s="117">
        <v>0</v>
      </c>
      <c r="P37" s="117">
        <v>0</v>
      </c>
      <c r="Q37" s="117">
        <v>0</v>
      </c>
      <c r="R37" s="117">
        <v>0</v>
      </c>
      <c r="S37" s="119">
        <v>0</v>
      </c>
      <c r="T37" s="119">
        <v>0</v>
      </c>
      <c r="U37" s="119">
        <v>0</v>
      </c>
      <c r="V37" s="119" t="str">
        <f t="shared" si="0"/>
        <v xml:space="preserve"> </v>
      </c>
    </row>
    <row r="38" spans="1:22" hidden="1">
      <c r="A38" s="450" t="s">
        <v>235</v>
      </c>
      <c r="B38" s="114">
        <f>_xlfn.IFNA(VLOOKUP(Table1[[#This Row],[SKU]],'Kilter Holds'!$P$36:$S$370,4,0),0)</f>
        <v>0</v>
      </c>
      <c r="C38" s="115">
        <v>5</v>
      </c>
      <c r="D38" s="120">
        <v>0</v>
      </c>
      <c r="E38" s="117">
        <f>IFERROR(5*B38,0)</f>
        <v>0</v>
      </c>
      <c r="F38" s="118">
        <v>0</v>
      </c>
      <c r="G38" s="118">
        <v>0</v>
      </c>
      <c r="H38" s="118">
        <v>0</v>
      </c>
      <c r="I38" s="118">
        <v>0</v>
      </c>
      <c r="J38" s="118">
        <v>0</v>
      </c>
      <c r="K38" s="118">
        <v>0</v>
      </c>
      <c r="L38" s="123">
        <v>0</v>
      </c>
      <c r="M38" s="118">
        <v>0</v>
      </c>
      <c r="N38" s="118">
        <v>0</v>
      </c>
      <c r="O38" s="118">
        <v>0</v>
      </c>
      <c r="P38" s="118">
        <v>0</v>
      </c>
      <c r="Q38" s="118">
        <v>0</v>
      </c>
      <c r="R38" s="118">
        <v>0</v>
      </c>
      <c r="S38" s="119">
        <v>0</v>
      </c>
      <c r="T38" s="119">
        <v>0</v>
      </c>
      <c r="U38" s="119">
        <v>0</v>
      </c>
      <c r="V38" s="119" t="str">
        <f t="shared" si="0"/>
        <v xml:space="preserve"> </v>
      </c>
    </row>
    <row r="39" spans="1:22" hidden="1">
      <c r="A39" s="449" t="s">
        <v>277</v>
      </c>
      <c r="B39" s="114">
        <f>_xlfn.IFNA(VLOOKUP(Table1[[#This Row],[SKU]],'Kilter Holds'!$P$36:$S$370,4,0),0)</f>
        <v>0</v>
      </c>
      <c r="C39" s="115">
        <v>5</v>
      </c>
      <c r="D39" s="116">
        <v>0</v>
      </c>
      <c r="E39" s="117">
        <f>IFERROR(3*B39,0)</f>
        <v>0</v>
      </c>
      <c r="F39" s="117">
        <f>IFERROR(2*B39,0)</f>
        <v>0</v>
      </c>
      <c r="G39" s="117">
        <v>0</v>
      </c>
      <c r="H39" s="117">
        <v>0</v>
      </c>
      <c r="I39" s="117">
        <v>0</v>
      </c>
      <c r="J39" s="117">
        <v>0</v>
      </c>
      <c r="K39" s="117">
        <v>0</v>
      </c>
      <c r="L39" s="123">
        <v>0</v>
      </c>
      <c r="M39" s="117">
        <v>0</v>
      </c>
      <c r="N39" s="117">
        <v>0</v>
      </c>
      <c r="O39" s="117">
        <v>0</v>
      </c>
      <c r="P39" s="117">
        <v>0</v>
      </c>
      <c r="Q39" s="117">
        <v>0</v>
      </c>
      <c r="R39" s="117">
        <v>0</v>
      </c>
      <c r="S39" s="119">
        <v>0</v>
      </c>
      <c r="T39" s="119">
        <v>0</v>
      </c>
      <c r="U39" s="119">
        <v>0</v>
      </c>
      <c r="V39" s="119" t="str">
        <f t="shared" si="0"/>
        <v xml:space="preserve"> </v>
      </c>
    </row>
    <row r="40" spans="1:22" hidden="1">
      <c r="A40" s="450" t="s">
        <v>182</v>
      </c>
      <c r="B40" s="114">
        <f>_xlfn.IFNA(VLOOKUP(Table1[[#This Row],[SKU]],'Kilter Holds'!$P$36:$S$370,4,0),0)</f>
        <v>0</v>
      </c>
      <c r="C40" s="115">
        <v>10</v>
      </c>
      <c r="D40" s="117">
        <f>IFERROR(10*B40,0)</f>
        <v>0</v>
      </c>
      <c r="E40" s="118">
        <v>0</v>
      </c>
      <c r="F40" s="118">
        <v>0</v>
      </c>
      <c r="G40" s="118">
        <v>0</v>
      </c>
      <c r="H40" s="118">
        <v>0</v>
      </c>
      <c r="I40" s="118">
        <v>0</v>
      </c>
      <c r="J40" s="118">
        <v>0</v>
      </c>
      <c r="K40" s="118">
        <v>0</v>
      </c>
      <c r="L40" s="123">
        <v>0</v>
      </c>
      <c r="M40" s="118">
        <v>0</v>
      </c>
      <c r="N40" s="118">
        <v>0</v>
      </c>
      <c r="O40" s="118">
        <v>0</v>
      </c>
      <c r="P40" s="118">
        <v>0</v>
      </c>
      <c r="Q40" s="118">
        <v>0</v>
      </c>
      <c r="R40" s="118">
        <v>0</v>
      </c>
      <c r="S40" s="119">
        <v>0</v>
      </c>
      <c r="T40" s="119">
        <v>0</v>
      </c>
      <c r="U40" s="119">
        <v>0</v>
      </c>
      <c r="V40" s="119" t="str">
        <f t="shared" si="0"/>
        <v xml:space="preserve"> </v>
      </c>
    </row>
    <row r="41" spans="1:22" hidden="1">
      <c r="A41" s="449" t="s">
        <v>183</v>
      </c>
      <c r="B41" s="114">
        <f>_xlfn.IFNA(VLOOKUP(Table1[[#This Row],[SKU]],'Kilter Holds'!$P$36:$S$370,4,0),0)</f>
        <v>0</v>
      </c>
      <c r="C41" s="115">
        <v>10</v>
      </c>
      <c r="D41" s="117">
        <f>IFERROR(10*B41,0)</f>
        <v>0</v>
      </c>
      <c r="E41" s="117">
        <v>0</v>
      </c>
      <c r="F41" s="117">
        <v>0</v>
      </c>
      <c r="G41" s="117">
        <v>0</v>
      </c>
      <c r="H41" s="117">
        <v>0</v>
      </c>
      <c r="I41" s="117">
        <v>0</v>
      </c>
      <c r="J41" s="117">
        <v>0</v>
      </c>
      <c r="K41" s="117">
        <v>0</v>
      </c>
      <c r="L41" s="123">
        <v>0</v>
      </c>
      <c r="M41" s="117">
        <v>0</v>
      </c>
      <c r="N41" s="117">
        <v>0</v>
      </c>
      <c r="O41" s="117">
        <v>0</v>
      </c>
      <c r="P41" s="117">
        <v>0</v>
      </c>
      <c r="Q41" s="117">
        <v>0</v>
      </c>
      <c r="R41" s="117">
        <v>0</v>
      </c>
      <c r="S41" s="119">
        <v>0</v>
      </c>
      <c r="T41" s="119">
        <v>0</v>
      </c>
      <c r="U41" s="119">
        <v>0</v>
      </c>
      <c r="V41" s="119" t="str">
        <f t="shared" si="0"/>
        <v xml:space="preserve"> </v>
      </c>
    </row>
    <row r="42" spans="1:22" hidden="1">
      <c r="A42" s="450" t="s">
        <v>331</v>
      </c>
      <c r="B42" s="114">
        <f>_xlfn.IFNA(VLOOKUP(Table1[[#This Row],[SKU]],'Kilter Holds'!$P$36:$S$370,4,0),0)</f>
        <v>0</v>
      </c>
      <c r="C42" s="115">
        <v>10</v>
      </c>
      <c r="D42" s="117">
        <f>IFERROR(10*B42,0)</f>
        <v>0</v>
      </c>
      <c r="E42" s="118">
        <v>0</v>
      </c>
      <c r="F42" s="118">
        <v>0</v>
      </c>
      <c r="G42" s="118">
        <v>0</v>
      </c>
      <c r="H42" s="118">
        <v>0</v>
      </c>
      <c r="I42" s="118">
        <v>0</v>
      </c>
      <c r="J42" s="118">
        <v>0</v>
      </c>
      <c r="K42" s="118">
        <v>0</v>
      </c>
      <c r="L42" s="123">
        <v>0</v>
      </c>
      <c r="M42" s="118">
        <v>0</v>
      </c>
      <c r="N42" s="118">
        <v>0</v>
      </c>
      <c r="O42" s="118">
        <v>0</v>
      </c>
      <c r="P42" s="118">
        <v>0</v>
      </c>
      <c r="Q42" s="118">
        <v>0</v>
      </c>
      <c r="R42" s="118">
        <v>0</v>
      </c>
      <c r="S42" s="119">
        <v>0</v>
      </c>
      <c r="T42" s="119">
        <v>0</v>
      </c>
      <c r="U42" s="119">
        <v>0</v>
      </c>
      <c r="V42" s="119" t="str">
        <f t="shared" si="0"/>
        <v xml:space="preserve"> </v>
      </c>
    </row>
    <row r="43" spans="1:22" hidden="1">
      <c r="A43" s="449" t="s">
        <v>214</v>
      </c>
      <c r="B43" s="114">
        <f>_xlfn.IFNA(VLOOKUP(Table1[[#This Row],[SKU]],'Kilter Holds'!$P$36:$S$370,4,0),0)</f>
        <v>0</v>
      </c>
      <c r="C43" s="115">
        <v>20</v>
      </c>
      <c r="D43" s="117">
        <f>IFERROR(20*B43,0)</f>
        <v>0</v>
      </c>
      <c r="E43" s="117">
        <v>0</v>
      </c>
      <c r="F43" s="117">
        <v>0</v>
      </c>
      <c r="G43" s="117">
        <v>0</v>
      </c>
      <c r="H43" s="117">
        <v>0</v>
      </c>
      <c r="I43" s="117">
        <v>0</v>
      </c>
      <c r="J43" s="117">
        <v>0</v>
      </c>
      <c r="K43" s="117">
        <v>0</v>
      </c>
      <c r="L43" s="123">
        <v>0</v>
      </c>
      <c r="M43" s="117">
        <v>0</v>
      </c>
      <c r="N43" s="117">
        <v>0</v>
      </c>
      <c r="O43" s="117">
        <v>0</v>
      </c>
      <c r="P43" s="117">
        <v>0</v>
      </c>
      <c r="Q43" s="117">
        <v>0</v>
      </c>
      <c r="R43" s="117">
        <v>0</v>
      </c>
      <c r="S43" s="119">
        <v>0</v>
      </c>
      <c r="T43" s="119">
        <v>0</v>
      </c>
      <c r="U43" s="119">
        <v>0</v>
      </c>
      <c r="V43" s="119" t="str">
        <f t="shared" si="0"/>
        <v xml:space="preserve"> </v>
      </c>
    </row>
    <row r="44" spans="1:22" hidden="1">
      <c r="A44" s="450" t="s">
        <v>282</v>
      </c>
      <c r="B44" s="114">
        <f>_xlfn.IFNA(VLOOKUP(Table1[[#This Row],[SKU]],'Kilter Holds'!$P$36:$S$370,4,0),0)</f>
        <v>0</v>
      </c>
      <c r="C44" s="115">
        <v>10</v>
      </c>
      <c r="D44" s="117">
        <f t="shared" ref="D44:D49" si="2">IFERROR(10*B44,0)</f>
        <v>0</v>
      </c>
      <c r="E44" s="118">
        <v>0</v>
      </c>
      <c r="F44" s="118">
        <v>0</v>
      </c>
      <c r="G44" s="118">
        <v>0</v>
      </c>
      <c r="H44" s="118">
        <v>0</v>
      </c>
      <c r="I44" s="118">
        <v>0</v>
      </c>
      <c r="J44" s="118">
        <v>0</v>
      </c>
      <c r="K44" s="118">
        <v>0</v>
      </c>
      <c r="L44" s="123">
        <v>0</v>
      </c>
      <c r="M44" s="118">
        <v>0</v>
      </c>
      <c r="N44" s="118">
        <v>0</v>
      </c>
      <c r="O44" s="118">
        <v>0</v>
      </c>
      <c r="P44" s="118">
        <v>0</v>
      </c>
      <c r="Q44" s="118">
        <v>0</v>
      </c>
      <c r="R44" s="118">
        <v>0</v>
      </c>
      <c r="S44" s="119">
        <v>0</v>
      </c>
      <c r="T44" s="119">
        <v>0</v>
      </c>
      <c r="U44" s="119">
        <v>0</v>
      </c>
      <c r="V44" s="119" t="str">
        <f t="shared" si="0"/>
        <v xml:space="preserve"> </v>
      </c>
    </row>
    <row r="45" spans="1:22" hidden="1">
      <c r="A45" s="449" t="s">
        <v>184</v>
      </c>
      <c r="B45" s="114">
        <f>_xlfn.IFNA(VLOOKUP(Table1[[#This Row],[SKU]],'Kilter Holds'!$P$36:$S$370,4,0),0)</f>
        <v>0</v>
      </c>
      <c r="C45" s="115">
        <v>10</v>
      </c>
      <c r="D45" s="117">
        <f t="shared" si="2"/>
        <v>0</v>
      </c>
      <c r="E45" s="117">
        <v>0</v>
      </c>
      <c r="F45" s="117">
        <v>0</v>
      </c>
      <c r="G45" s="117">
        <v>0</v>
      </c>
      <c r="H45" s="117">
        <v>0</v>
      </c>
      <c r="I45" s="117">
        <v>0</v>
      </c>
      <c r="J45" s="117">
        <v>0</v>
      </c>
      <c r="K45" s="117">
        <v>0</v>
      </c>
      <c r="L45" s="123">
        <v>0</v>
      </c>
      <c r="M45" s="117">
        <v>0</v>
      </c>
      <c r="N45" s="117">
        <v>0</v>
      </c>
      <c r="O45" s="117">
        <v>0</v>
      </c>
      <c r="P45" s="117">
        <v>0</v>
      </c>
      <c r="Q45" s="117">
        <v>0</v>
      </c>
      <c r="R45" s="117">
        <v>0</v>
      </c>
      <c r="S45" s="119">
        <v>0</v>
      </c>
      <c r="T45" s="119">
        <v>0</v>
      </c>
      <c r="U45" s="119">
        <v>0</v>
      </c>
      <c r="V45" s="119" t="str">
        <f t="shared" si="0"/>
        <v xml:space="preserve"> </v>
      </c>
    </row>
    <row r="46" spans="1:22" hidden="1">
      <c r="A46" s="450" t="s">
        <v>283</v>
      </c>
      <c r="B46" s="114">
        <f>_xlfn.IFNA(VLOOKUP(Table1[[#This Row],[SKU]],'Kilter Holds'!$P$36:$S$370,4,0),0)</f>
        <v>0</v>
      </c>
      <c r="C46" s="115">
        <v>10</v>
      </c>
      <c r="D46" s="117">
        <f t="shared" si="2"/>
        <v>0</v>
      </c>
      <c r="E46" s="118">
        <v>0</v>
      </c>
      <c r="F46" s="118">
        <v>0</v>
      </c>
      <c r="G46" s="118">
        <v>0</v>
      </c>
      <c r="H46" s="118">
        <v>0</v>
      </c>
      <c r="I46" s="118">
        <v>0</v>
      </c>
      <c r="J46" s="118">
        <v>0</v>
      </c>
      <c r="K46" s="118">
        <v>0</v>
      </c>
      <c r="L46" s="123">
        <v>0</v>
      </c>
      <c r="M46" s="118">
        <v>0</v>
      </c>
      <c r="N46" s="118">
        <v>0</v>
      </c>
      <c r="O46" s="118">
        <v>0</v>
      </c>
      <c r="P46" s="118">
        <v>0</v>
      </c>
      <c r="Q46" s="118">
        <v>0</v>
      </c>
      <c r="R46" s="118">
        <v>0</v>
      </c>
      <c r="S46" s="119">
        <v>0</v>
      </c>
      <c r="T46" s="119">
        <v>0</v>
      </c>
      <c r="U46" s="119">
        <v>0</v>
      </c>
      <c r="V46" s="119" t="str">
        <f t="shared" si="0"/>
        <v xml:space="preserve"> </v>
      </c>
    </row>
    <row r="47" spans="1:22" hidden="1">
      <c r="A47" s="449" t="s">
        <v>185</v>
      </c>
      <c r="B47" s="114">
        <f>_xlfn.IFNA(VLOOKUP(Table1[[#This Row],[SKU]],'Kilter Holds'!$P$36:$S$370,4,0),0)</f>
        <v>0</v>
      </c>
      <c r="C47" s="115">
        <v>10</v>
      </c>
      <c r="D47" s="117">
        <f t="shared" si="2"/>
        <v>0</v>
      </c>
      <c r="E47" s="117">
        <v>0</v>
      </c>
      <c r="F47" s="117">
        <v>0</v>
      </c>
      <c r="G47" s="117">
        <v>0</v>
      </c>
      <c r="H47" s="117">
        <v>0</v>
      </c>
      <c r="I47" s="117">
        <v>0</v>
      </c>
      <c r="J47" s="117">
        <v>0</v>
      </c>
      <c r="K47" s="117">
        <v>0</v>
      </c>
      <c r="L47" s="123">
        <v>0</v>
      </c>
      <c r="M47" s="117">
        <v>0</v>
      </c>
      <c r="N47" s="117">
        <v>0</v>
      </c>
      <c r="O47" s="117">
        <v>0</v>
      </c>
      <c r="P47" s="117">
        <v>0</v>
      </c>
      <c r="Q47" s="117">
        <v>0</v>
      </c>
      <c r="R47" s="117">
        <v>0</v>
      </c>
      <c r="S47" s="119">
        <v>0</v>
      </c>
      <c r="T47" s="119">
        <v>0</v>
      </c>
      <c r="U47" s="119">
        <v>0</v>
      </c>
      <c r="V47" s="119" t="str">
        <f t="shared" si="0"/>
        <v xml:space="preserve"> </v>
      </c>
    </row>
    <row r="48" spans="1:22" hidden="1">
      <c r="A48" s="450" t="s">
        <v>284</v>
      </c>
      <c r="B48" s="114">
        <f>_xlfn.IFNA(VLOOKUP(Table1[[#This Row],[SKU]],'Kilter Holds'!$P$36:$S$370,4,0),0)</f>
        <v>0</v>
      </c>
      <c r="C48" s="115">
        <v>10</v>
      </c>
      <c r="D48" s="117">
        <f t="shared" si="2"/>
        <v>0</v>
      </c>
      <c r="E48" s="118">
        <v>0</v>
      </c>
      <c r="F48" s="118">
        <v>0</v>
      </c>
      <c r="G48" s="118">
        <v>0</v>
      </c>
      <c r="H48" s="118">
        <v>0</v>
      </c>
      <c r="I48" s="118">
        <v>0</v>
      </c>
      <c r="J48" s="118">
        <v>0</v>
      </c>
      <c r="K48" s="118">
        <v>0</v>
      </c>
      <c r="L48" s="123">
        <v>0</v>
      </c>
      <c r="M48" s="118">
        <v>0</v>
      </c>
      <c r="N48" s="118">
        <v>0</v>
      </c>
      <c r="O48" s="118">
        <v>0</v>
      </c>
      <c r="P48" s="118">
        <v>0</v>
      </c>
      <c r="Q48" s="118">
        <v>0</v>
      </c>
      <c r="R48" s="118">
        <v>0</v>
      </c>
      <c r="S48" s="119">
        <v>0</v>
      </c>
      <c r="T48" s="119">
        <v>0</v>
      </c>
      <c r="U48" s="119">
        <v>0</v>
      </c>
      <c r="V48" s="119" t="str">
        <f t="shared" si="0"/>
        <v xml:space="preserve"> </v>
      </c>
    </row>
    <row r="49" spans="1:22" hidden="1">
      <c r="A49" s="449" t="s">
        <v>332</v>
      </c>
      <c r="B49" s="114">
        <f>_xlfn.IFNA(VLOOKUP(Table1[[#This Row],[SKU]],'Kilter Holds'!$P$36:$S$370,4,0),0)</f>
        <v>0</v>
      </c>
      <c r="C49" s="115">
        <v>10</v>
      </c>
      <c r="D49" s="117">
        <f t="shared" si="2"/>
        <v>0</v>
      </c>
      <c r="E49" s="117">
        <v>0</v>
      </c>
      <c r="F49" s="117">
        <v>0</v>
      </c>
      <c r="G49" s="117">
        <v>0</v>
      </c>
      <c r="H49" s="117">
        <v>0</v>
      </c>
      <c r="I49" s="117">
        <v>0</v>
      </c>
      <c r="J49" s="117">
        <v>0</v>
      </c>
      <c r="K49" s="117">
        <v>0</v>
      </c>
      <c r="L49" s="123">
        <v>0</v>
      </c>
      <c r="M49" s="117">
        <v>0</v>
      </c>
      <c r="N49" s="117">
        <v>0</v>
      </c>
      <c r="O49" s="117">
        <v>0</v>
      </c>
      <c r="P49" s="117">
        <v>0</v>
      </c>
      <c r="Q49" s="117">
        <v>0</v>
      </c>
      <c r="R49" s="117">
        <v>0</v>
      </c>
      <c r="S49" s="119">
        <v>0</v>
      </c>
      <c r="T49" s="119">
        <v>0</v>
      </c>
      <c r="U49" s="119">
        <v>0</v>
      </c>
      <c r="V49" s="119" t="str">
        <f t="shared" si="0"/>
        <v xml:space="preserve"> </v>
      </c>
    </row>
    <row r="50" spans="1:22" hidden="1">
      <c r="A50" s="452" t="s">
        <v>885</v>
      </c>
      <c r="B50" s="114">
        <f>_xlfn.IFNA(VLOOKUP(Table1[[#This Row],[SKU]],'Kilter Holds'!$P$36:$S$370,4,0),0)</f>
        <v>0</v>
      </c>
      <c r="C50" s="115">
        <v>3</v>
      </c>
      <c r="D50" s="116">
        <v>0</v>
      </c>
      <c r="E50" s="116">
        <v>0</v>
      </c>
      <c r="F50" s="116">
        <v>0</v>
      </c>
      <c r="G50" s="116">
        <v>0</v>
      </c>
      <c r="H50" s="116">
        <v>0</v>
      </c>
      <c r="I50" s="117">
        <f>IFERROR(1*B50,0)</f>
        <v>0</v>
      </c>
      <c r="J50" s="116">
        <v>0</v>
      </c>
      <c r="K50" s="116">
        <v>0</v>
      </c>
      <c r="L50" s="123">
        <v>0</v>
      </c>
      <c r="M50" s="117">
        <f>IFERROR(1*B50,0)</f>
        <v>0</v>
      </c>
      <c r="N50" s="117">
        <f>IFERROR(1*B50,0)</f>
        <v>0</v>
      </c>
      <c r="O50" s="117">
        <v>0</v>
      </c>
      <c r="P50" s="117">
        <v>0</v>
      </c>
      <c r="Q50" s="117">
        <v>0</v>
      </c>
      <c r="R50" s="117">
        <v>0</v>
      </c>
      <c r="S50" s="119">
        <v>0</v>
      </c>
      <c r="T50" s="119">
        <v>0</v>
      </c>
      <c r="U50" s="119">
        <v>0</v>
      </c>
      <c r="V50" s="119" t="str">
        <f t="shared" si="0"/>
        <v xml:space="preserve"> </v>
      </c>
    </row>
    <row r="51" spans="1:22" hidden="1">
      <c r="A51" s="450" t="s">
        <v>272</v>
      </c>
      <c r="B51" s="114">
        <f>_xlfn.IFNA(VLOOKUP(Table1[[#This Row],[SKU]],'Kilter Holds'!$P$36:$S$370,4,0),0)</f>
        <v>0</v>
      </c>
      <c r="C51" s="115">
        <v>1</v>
      </c>
      <c r="D51" s="120">
        <v>0</v>
      </c>
      <c r="E51" s="120">
        <v>0</v>
      </c>
      <c r="F51" s="120">
        <v>0</v>
      </c>
      <c r="G51" s="120">
        <v>0</v>
      </c>
      <c r="H51" s="120">
        <v>0</v>
      </c>
      <c r="I51" s="120">
        <v>0</v>
      </c>
      <c r="J51" s="120">
        <v>0</v>
      </c>
      <c r="K51" s="120">
        <v>0</v>
      </c>
      <c r="L51" s="123">
        <v>0</v>
      </c>
      <c r="M51" s="120">
        <v>0</v>
      </c>
      <c r="N51" s="117">
        <f>IFERROR(1*B51,0)</f>
        <v>0</v>
      </c>
      <c r="O51" s="118">
        <v>0</v>
      </c>
      <c r="P51" s="118">
        <v>0</v>
      </c>
      <c r="Q51" s="118">
        <v>0</v>
      </c>
      <c r="R51" s="118">
        <v>0</v>
      </c>
      <c r="S51" s="119">
        <v>0</v>
      </c>
      <c r="T51" s="119">
        <v>0</v>
      </c>
      <c r="U51" s="119">
        <v>0</v>
      </c>
      <c r="V51" s="119" t="str">
        <f t="shared" si="0"/>
        <v xml:space="preserve"> </v>
      </c>
    </row>
    <row r="52" spans="1:22" hidden="1">
      <c r="A52" s="449" t="s">
        <v>273</v>
      </c>
      <c r="B52" s="114">
        <f>_xlfn.IFNA(VLOOKUP(Table1[[#This Row],[SKU]],'Kilter Holds'!$P$36:$S$370,4,0),0)</f>
        <v>0</v>
      </c>
      <c r="C52" s="115">
        <v>1</v>
      </c>
      <c r="D52" s="116">
        <v>0</v>
      </c>
      <c r="E52" s="116">
        <v>0</v>
      </c>
      <c r="F52" s="116">
        <v>0</v>
      </c>
      <c r="G52" s="116">
        <v>0</v>
      </c>
      <c r="H52" s="116">
        <v>0</v>
      </c>
      <c r="I52" s="116">
        <v>0</v>
      </c>
      <c r="J52" s="116">
        <v>0</v>
      </c>
      <c r="K52" s="116">
        <v>0</v>
      </c>
      <c r="L52" s="123">
        <v>0</v>
      </c>
      <c r="M52" s="117">
        <f>IFERROR(1*B52,0)</f>
        <v>0</v>
      </c>
      <c r="N52" s="117">
        <v>0</v>
      </c>
      <c r="O52" s="117">
        <v>0</v>
      </c>
      <c r="P52" s="117">
        <v>0</v>
      </c>
      <c r="Q52" s="117">
        <v>0</v>
      </c>
      <c r="R52" s="117">
        <v>0</v>
      </c>
      <c r="S52" s="119">
        <v>0</v>
      </c>
      <c r="T52" s="119">
        <v>0</v>
      </c>
      <c r="U52" s="119">
        <v>0</v>
      </c>
      <c r="V52" s="119" t="str">
        <f t="shared" si="0"/>
        <v xml:space="preserve"> </v>
      </c>
    </row>
    <row r="53" spans="1:22" hidden="1">
      <c r="A53" s="450" t="s">
        <v>274</v>
      </c>
      <c r="B53" s="114">
        <f>_xlfn.IFNA(VLOOKUP(Table1[[#This Row],[SKU]],'Kilter Holds'!$P$36:$S$370,4,0),0)</f>
        <v>0</v>
      </c>
      <c r="C53" s="115">
        <v>1</v>
      </c>
      <c r="D53" s="120">
        <v>0</v>
      </c>
      <c r="E53" s="120">
        <v>0</v>
      </c>
      <c r="F53" s="120">
        <v>0</v>
      </c>
      <c r="G53" s="120">
        <v>0</v>
      </c>
      <c r="H53" s="120">
        <v>0</v>
      </c>
      <c r="I53" s="117">
        <f>IFERROR(1*B53,0)</f>
        <v>0</v>
      </c>
      <c r="J53" s="118">
        <v>0</v>
      </c>
      <c r="K53" s="118">
        <v>0</v>
      </c>
      <c r="L53" s="123">
        <v>0</v>
      </c>
      <c r="M53" s="118">
        <v>0</v>
      </c>
      <c r="N53" s="118">
        <v>0</v>
      </c>
      <c r="O53" s="118">
        <v>0</v>
      </c>
      <c r="P53" s="118">
        <v>0</v>
      </c>
      <c r="Q53" s="118">
        <v>0</v>
      </c>
      <c r="R53" s="118">
        <v>0</v>
      </c>
      <c r="S53" s="119">
        <v>0</v>
      </c>
      <c r="T53" s="119">
        <v>0</v>
      </c>
      <c r="U53" s="119">
        <v>0</v>
      </c>
      <c r="V53" s="119" t="str">
        <f t="shared" si="0"/>
        <v xml:space="preserve"> </v>
      </c>
    </row>
    <row r="54" spans="1:22" hidden="1">
      <c r="A54" s="453" t="s">
        <v>886</v>
      </c>
      <c r="B54" s="114">
        <f>_xlfn.IFNA(VLOOKUP(Table1[[#This Row],[SKU]],'Kilter Holds'!$P$36:$S$370,4,0),0)</f>
        <v>0</v>
      </c>
      <c r="C54" s="115">
        <v>3</v>
      </c>
      <c r="D54" s="120">
        <v>0</v>
      </c>
      <c r="E54" s="120">
        <v>0</v>
      </c>
      <c r="F54" s="120">
        <v>0</v>
      </c>
      <c r="G54" s="120">
        <v>0</v>
      </c>
      <c r="H54" s="117">
        <f>IFERROR(1*B54,0)</f>
        <v>0</v>
      </c>
      <c r="I54" s="120">
        <v>0</v>
      </c>
      <c r="J54" s="120">
        <v>0</v>
      </c>
      <c r="K54" s="117">
        <f>IFERROR(1*B54,0)</f>
        <v>0</v>
      </c>
      <c r="L54" s="123">
        <v>0</v>
      </c>
      <c r="M54" s="117">
        <f>IFERROR(1*B54,0)</f>
        <v>0</v>
      </c>
      <c r="N54" s="118">
        <v>0</v>
      </c>
      <c r="O54" s="118">
        <v>0</v>
      </c>
      <c r="P54" s="118">
        <v>0</v>
      </c>
      <c r="Q54" s="118">
        <v>0</v>
      </c>
      <c r="R54" s="118">
        <v>0</v>
      </c>
      <c r="S54" s="119">
        <v>0</v>
      </c>
      <c r="T54" s="119">
        <v>0</v>
      </c>
      <c r="U54" s="119">
        <v>0</v>
      </c>
      <c r="V54" s="119" t="str">
        <f t="shared" si="0"/>
        <v xml:space="preserve"> </v>
      </c>
    </row>
    <row r="55" spans="1:22" hidden="1">
      <c r="A55" s="449" t="s">
        <v>287</v>
      </c>
      <c r="B55" s="114">
        <f>_xlfn.IFNA(VLOOKUP(Table1[[#This Row],[SKU]],'Kilter Holds'!$P$36:$S$370,4,0),0)</f>
        <v>0</v>
      </c>
      <c r="C55" s="115">
        <v>1</v>
      </c>
      <c r="D55" s="116">
        <v>0</v>
      </c>
      <c r="E55" s="116">
        <v>0</v>
      </c>
      <c r="F55" s="116">
        <v>0</v>
      </c>
      <c r="G55" s="116">
        <v>0</v>
      </c>
      <c r="H55" s="116">
        <v>0</v>
      </c>
      <c r="I55" s="116">
        <v>0</v>
      </c>
      <c r="J55" s="116">
        <v>0</v>
      </c>
      <c r="K55" s="117">
        <f>IFERROR(1*B55,0)</f>
        <v>0</v>
      </c>
      <c r="L55" s="123">
        <v>0</v>
      </c>
      <c r="M55" s="117">
        <v>0</v>
      </c>
      <c r="N55" s="117">
        <v>0</v>
      </c>
      <c r="O55" s="117">
        <v>0</v>
      </c>
      <c r="P55" s="117">
        <v>0</v>
      </c>
      <c r="Q55" s="117">
        <v>0</v>
      </c>
      <c r="R55" s="117">
        <v>0</v>
      </c>
      <c r="S55" s="119">
        <v>0</v>
      </c>
      <c r="T55" s="119">
        <v>0</v>
      </c>
      <c r="U55" s="119">
        <v>0</v>
      </c>
      <c r="V55" s="119" t="str">
        <f t="shared" si="0"/>
        <v xml:space="preserve"> </v>
      </c>
    </row>
    <row r="56" spans="1:22" hidden="1">
      <c r="A56" s="450" t="s">
        <v>288</v>
      </c>
      <c r="B56" s="114">
        <f>_xlfn.IFNA(VLOOKUP(Table1[[#This Row],[SKU]],'Kilter Holds'!$P$36:$S$370,4,0),0)</f>
        <v>0</v>
      </c>
      <c r="C56" s="115">
        <v>1</v>
      </c>
      <c r="D56" s="120">
        <v>0</v>
      </c>
      <c r="E56" s="120">
        <v>0</v>
      </c>
      <c r="F56" s="120">
        <v>0</v>
      </c>
      <c r="G56" s="120">
        <v>0</v>
      </c>
      <c r="H56" s="117">
        <f>IFERROR(1*B56,0)</f>
        <v>0</v>
      </c>
      <c r="I56" s="118">
        <v>0</v>
      </c>
      <c r="J56" s="118">
        <v>0</v>
      </c>
      <c r="K56" s="118">
        <v>0</v>
      </c>
      <c r="L56" s="123">
        <v>0</v>
      </c>
      <c r="M56" s="118">
        <v>0</v>
      </c>
      <c r="N56" s="118">
        <v>0</v>
      </c>
      <c r="O56" s="118">
        <v>0</v>
      </c>
      <c r="P56" s="118">
        <v>0</v>
      </c>
      <c r="Q56" s="118">
        <v>0</v>
      </c>
      <c r="R56" s="118">
        <v>0</v>
      </c>
      <c r="S56" s="119">
        <v>0</v>
      </c>
      <c r="T56" s="119">
        <v>0</v>
      </c>
      <c r="U56" s="119">
        <v>0</v>
      </c>
      <c r="V56" s="119" t="str">
        <f t="shared" si="0"/>
        <v xml:space="preserve"> </v>
      </c>
    </row>
    <row r="57" spans="1:22" hidden="1">
      <c r="A57" s="449" t="s">
        <v>289</v>
      </c>
      <c r="B57" s="114">
        <f>_xlfn.IFNA(VLOOKUP(Table1[[#This Row],[SKU]],'Kilter Holds'!$P$36:$S$370,4,0),0)</f>
        <v>0</v>
      </c>
      <c r="C57" s="115">
        <v>1</v>
      </c>
      <c r="D57" s="116">
        <v>0</v>
      </c>
      <c r="E57" s="116">
        <v>0</v>
      </c>
      <c r="F57" s="116">
        <v>0</v>
      </c>
      <c r="G57" s="116">
        <v>0</v>
      </c>
      <c r="H57" s="116">
        <v>0</v>
      </c>
      <c r="I57" s="116">
        <v>0</v>
      </c>
      <c r="J57" s="116">
        <v>0</v>
      </c>
      <c r="K57" s="116">
        <v>0</v>
      </c>
      <c r="L57" s="123">
        <v>0</v>
      </c>
      <c r="M57" s="117">
        <f>IFERROR(1*B57,0)</f>
        <v>0</v>
      </c>
      <c r="N57" s="117">
        <v>0</v>
      </c>
      <c r="O57" s="117">
        <v>0</v>
      </c>
      <c r="P57" s="117">
        <v>0</v>
      </c>
      <c r="Q57" s="117">
        <v>0</v>
      </c>
      <c r="R57" s="117">
        <v>0</v>
      </c>
      <c r="S57" s="119">
        <v>0</v>
      </c>
      <c r="T57" s="119">
        <v>0</v>
      </c>
      <c r="U57" s="119">
        <v>0</v>
      </c>
      <c r="V57" s="119" t="str">
        <f t="shared" si="0"/>
        <v xml:space="preserve"> </v>
      </c>
    </row>
    <row r="58" spans="1:22" hidden="1">
      <c r="A58" s="452" t="s">
        <v>879</v>
      </c>
      <c r="B58" s="114">
        <f>_xlfn.IFNA(VLOOKUP(Table1[[#This Row],[SKU]],'Kilter Holds'!$P$36:$S$370,4,0),0)</f>
        <v>0</v>
      </c>
      <c r="C58" s="115">
        <v>3</v>
      </c>
      <c r="D58" s="116">
        <v>0</v>
      </c>
      <c r="E58" s="116">
        <v>0</v>
      </c>
      <c r="F58" s="116">
        <v>0</v>
      </c>
      <c r="G58" s="116">
        <v>0</v>
      </c>
      <c r="H58" s="116">
        <v>0</v>
      </c>
      <c r="I58" s="117">
        <f>IFERROR(1*B58,0)</f>
        <v>0</v>
      </c>
      <c r="J58" s="117">
        <f>IFERROR(1*B58,0)</f>
        <v>0</v>
      </c>
      <c r="K58" s="116">
        <v>0</v>
      </c>
      <c r="L58" s="123">
        <v>0</v>
      </c>
      <c r="M58" s="117">
        <f>IFERROR(1*B58,0)</f>
        <v>0</v>
      </c>
      <c r="N58" s="117">
        <v>0</v>
      </c>
      <c r="O58" s="117">
        <v>0</v>
      </c>
      <c r="P58" s="117">
        <v>0</v>
      </c>
      <c r="Q58" s="117">
        <v>0</v>
      </c>
      <c r="R58" s="117">
        <v>0</v>
      </c>
      <c r="S58" s="119">
        <v>0</v>
      </c>
      <c r="T58" s="119">
        <v>0</v>
      </c>
      <c r="U58" s="119">
        <v>0</v>
      </c>
      <c r="V58" s="119" t="str">
        <f t="shared" si="0"/>
        <v xml:space="preserve"> </v>
      </c>
    </row>
    <row r="59" spans="1:22" hidden="1">
      <c r="A59" s="450" t="s">
        <v>146</v>
      </c>
      <c r="B59" s="114">
        <f>_xlfn.IFNA(VLOOKUP(Table1[[#This Row],[SKU]],'Kilter Holds'!$P$36:$S$370,4,0),0)</f>
        <v>0</v>
      </c>
      <c r="C59" s="115">
        <v>1</v>
      </c>
      <c r="D59" s="120">
        <v>0</v>
      </c>
      <c r="E59" s="120">
        <v>0</v>
      </c>
      <c r="F59" s="120">
        <v>0</v>
      </c>
      <c r="G59" s="120">
        <v>0</v>
      </c>
      <c r="H59" s="120">
        <v>0</v>
      </c>
      <c r="I59" s="117">
        <f>IFERROR(1*B59,0)</f>
        <v>0</v>
      </c>
      <c r="J59" s="118">
        <v>0</v>
      </c>
      <c r="K59" s="118">
        <v>0</v>
      </c>
      <c r="L59" s="123">
        <v>0</v>
      </c>
      <c r="M59" s="118">
        <v>0</v>
      </c>
      <c r="N59" s="118">
        <v>0</v>
      </c>
      <c r="O59" s="118">
        <v>0</v>
      </c>
      <c r="P59" s="118">
        <v>0</v>
      </c>
      <c r="Q59" s="118">
        <v>0</v>
      </c>
      <c r="R59" s="118">
        <v>0</v>
      </c>
      <c r="S59" s="119">
        <v>0</v>
      </c>
      <c r="T59" s="119">
        <v>0</v>
      </c>
      <c r="U59" s="119">
        <v>0</v>
      </c>
      <c r="V59" s="119" t="str">
        <f t="shared" si="0"/>
        <v xml:space="preserve"> </v>
      </c>
    </row>
    <row r="60" spans="1:22" hidden="1">
      <c r="A60" s="449" t="s">
        <v>147</v>
      </c>
      <c r="B60" s="114">
        <f>_xlfn.IFNA(VLOOKUP(Table1[[#This Row],[SKU]],'Kilter Holds'!$P$36:$S$370,4,0),0)</f>
        <v>0</v>
      </c>
      <c r="C60" s="115">
        <v>1</v>
      </c>
      <c r="D60" s="116">
        <v>0</v>
      </c>
      <c r="E60" s="116">
        <v>0</v>
      </c>
      <c r="F60" s="116">
        <v>0</v>
      </c>
      <c r="G60" s="116">
        <v>0</v>
      </c>
      <c r="H60" s="116">
        <v>0</v>
      </c>
      <c r="I60" s="116">
        <v>0</v>
      </c>
      <c r="J60" s="117">
        <f>IFERROR(1*B60,0)</f>
        <v>0</v>
      </c>
      <c r="K60" s="117">
        <v>0</v>
      </c>
      <c r="L60" s="123">
        <v>0</v>
      </c>
      <c r="M60" s="117">
        <v>0</v>
      </c>
      <c r="N60" s="117">
        <v>0</v>
      </c>
      <c r="O60" s="117">
        <v>0</v>
      </c>
      <c r="P60" s="117">
        <v>0</v>
      </c>
      <c r="Q60" s="117">
        <v>0</v>
      </c>
      <c r="R60" s="117">
        <v>0</v>
      </c>
      <c r="S60" s="119">
        <v>0</v>
      </c>
      <c r="T60" s="119">
        <v>0</v>
      </c>
      <c r="U60" s="119">
        <v>0</v>
      </c>
      <c r="V60" s="119" t="str">
        <f t="shared" si="0"/>
        <v xml:space="preserve"> </v>
      </c>
    </row>
    <row r="61" spans="1:22" hidden="1">
      <c r="A61" s="450" t="s">
        <v>148</v>
      </c>
      <c r="B61" s="114">
        <f>_xlfn.IFNA(VLOOKUP(Table1[[#This Row],[SKU]],'Kilter Holds'!$P$36:$S$370,4,0),0)</f>
        <v>0</v>
      </c>
      <c r="C61" s="115">
        <v>1</v>
      </c>
      <c r="D61" s="120">
        <v>0</v>
      </c>
      <c r="E61" s="120">
        <v>0</v>
      </c>
      <c r="F61" s="120">
        <v>0</v>
      </c>
      <c r="G61" s="120">
        <v>0</v>
      </c>
      <c r="H61" s="120">
        <v>0</v>
      </c>
      <c r="I61" s="120">
        <v>0</v>
      </c>
      <c r="J61" s="120">
        <v>0</v>
      </c>
      <c r="K61" s="120">
        <v>0</v>
      </c>
      <c r="L61" s="123">
        <v>0</v>
      </c>
      <c r="M61" s="117">
        <f>IFERROR(1*B61,0)</f>
        <v>0</v>
      </c>
      <c r="N61" s="118">
        <v>0</v>
      </c>
      <c r="O61" s="118">
        <v>0</v>
      </c>
      <c r="P61" s="118">
        <v>0</v>
      </c>
      <c r="Q61" s="118">
        <v>0</v>
      </c>
      <c r="R61" s="118">
        <v>0</v>
      </c>
      <c r="S61" s="119">
        <v>0</v>
      </c>
      <c r="T61" s="119">
        <v>0</v>
      </c>
      <c r="U61" s="119">
        <v>0</v>
      </c>
      <c r="V61" s="119" t="str">
        <f t="shared" si="0"/>
        <v xml:space="preserve"> </v>
      </c>
    </row>
    <row r="62" spans="1:22" hidden="1">
      <c r="A62" s="449" t="s">
        <v>312</v>
      </c>
      <c r="B62" s="114">
        <f>_xlfn.IFNA(VLOOKUP(Table1[[#This Row],[SKU]],'Kilter Holds'!$P$36:$S$370,4,0),0)</f>
        <v>0</v>
      </c>
      <c r="C62" s="115">
        <v>10</v>
      </c>
      <c r="D62" s="117">
        <f>IFERROR(3*B62,0)</f>
        <v>0</v>
      </c>
      <c r="E62" s="117">
        <f>IFERROR(7*B62,0)</f>
        <v>0</v>
      </c>
      <c r="F62" s="117">
        <v>0</v>
      </c>
      <c r="G62" s="117">
        <v>0</v>
      </c>
      <c r="H62" s="117">
        <v>0</v>
      </c>
      <c r="I62" s="117">
        <v>0</v>
      </c>
      <c r="J62" s="117">
        <v>0</v>
      </c>
      <c r="K62" s="117">
        <v>0</v>
      </c>
      <c r="L62" s="123">
        <v>0</v>
      </c>
      <c r="M62" s="117">
        <v>0</v>
      </c>
      <c r="N62" s="117">
        <v>0</v>
      </c>
      <c r="O62" s="117">
        <v>0</v>
      </c>
      <c r="P62" s="117">
        <v>0</v>
      </c>
      <c r="Q62" s="117">
        <v>0</v>
      </c>
      <c r="R62" s="117">
        <v>0</v>
      </c>
      <c r="S62" s="119">
        <v>0</v>
      </c>
      <c r="T62" s="119">
        <v>0</v>
      </c>
      <c r="U62" s="119">
        <v>0</v>
      </c>
      <c r="V62" s="119" t="str">
        <f t="shared" si="0"/>
        <v xml:space="preserve"> </v>
      </c>
    </row>
    <row r="63" spans="1:22" hidden="1">
      <c r="A63" s="450" t="s">
        <v>302</v>
      </c>
      <c r="B63" s="114">
        <f>_xlfn.IFNA(VLOOKUP(Table1[[#This Row],[SKU]],'Kilter Holds'!$P$36:$S$370,4,0),0)</f>
        <v>0</v>
      </c>
      <c r="C63" s="115">
        <v>5</v>
      </c>
      <c r="D63" s="120">
        <v>0</v>
      </c>
      <c r="E63" s="117">
        <f>IFERROR(5*B63,0)</f>
        <v>0</v>
      </c>
      <c r="F63" s="118">
        <v>0</v>
      </c>
      <c r="G63" s="118">
        <v>0</v>
      </c>
      <c r="H63" s="118">
        <v>0</v>
      </c>
      <c r="I63" s="118">
        <v>0</v>
      </c>
      <c r="J63" s="118">
        <v>0</v>
      </c>
      <c r="K63" s="118">
        <v>0</v>
      </c>
      <c r="L63" s="123">
        <v>0</v>
      </c>
      <c r="M63" s="118">
        <v>0</v>
      </c>
      <c r="N63" s="118">
        <v>0</v>
      </c>
      <c r="O63" s="118">
        <v>0</v>
      </c>
      <c r="P63" s="118">
        <v>0</v>
      </c>
      <c r="Q63" s="118">
        <v>0</v>
      </c>
      <c r="R63" s="118">
        <v>0</v>
      </c>
      <c r="S63" s="119">
        <v>0</v>
      </c>
      <c r="T63" s="119">
        <v>0</v>
      </c>
      <c r="U63" s="119">
        <v>0</v>
      </c>
      <c r="V63" s="119" t="str">
        <f t="shared" si="0"/>
        <v xml:space="preserve"> </v>
      </c>
    </row>
    <row r="64" spans="1:22" hidden="1">
      <c r="A64" s="449" t="s">
        <v>186</v>
      </c>
      <c r="B64" s="114">
        <f>_xlfn.IFNA(VLOOKUP(Table1[[#This Row],[SKU]],'Kilter Holds'!$P$36:$S$370,4,0),0)</f>
        <v>0</v>
      </c>
      <c r="C64" s="115">
        <v>10</v>
      </c>
      <c r="D64" s="117">
        <f>IFERROR(10*B64,0)</f>
        <v>0</v>
      </c>
      <c r="E64" s="117">
        <v>0</v>
      </c>
      <c r="F64" s="117">
        <v>0</v>
      </c>
      <c r="G64" s="117">
        <v>0</v>
      </c>
      <c r="H64" s="117">
        <v>0</v>
      </c>
      <c r="I64" s="117">
        <v>0</v>
      </c>
      <c r="J64" s="117">
        <v>0</v>
      </c>
      <c r="K64" s="117">
        <v>0</v>
      </c>
      <c r="L64" s="123">
        <v>0</v>
      </c>
      <c r="M64" s="117">
        <v>0</v>
      </c>
      <c r="N64" s="117">
        <v>0</v>
      </c>
      <c r="O64" s="117">
        <v>0</v>
      </c>
      <c r="P64" s="117">
        <v>0</v>
      </c>
      <c r="Q64" s="117">
        <v>0</v>
      </c>
      <c r="R64" s="117">
        <v>0</v>
      </c>
      <c r="S64" s="119">
        <v>0</v>
      </c>
      <c r="T64" s="119">
        <v>0</v>
      </c>
      <c r="U64" s="119">
        <v>0</v>
      </c>
      <c r="V64" s="119" t="str">
        <f t="shared" si="0"/>
        <v xml:space="preserve"> </v>
      </c>
    </row>
    <row r="65" spans="1:22" hidden="1">
      <c r="A65" s="452" t="s">
        <v>883</v>
      </c>
      <c r="B65" s="114">
        <f>_xlfn.IFNA(VLOOKUP(Table1[[#This Row],[SKU]],'Kilter Holds'!$P$36:$S$370,4,0),0)</f>
        <v>0</v>
      </c>
      <c r="C65" s="115">
        <v>3</v>
      </c>
      <c r="D65" s="116">
        <v>0</v>
      </c>
      <c r="E65" s="116">
        <v>0</v>
      </c>
      <c r="F65" s="116">
        <v>0</v>
      </c>
      <c r="G65" s="116">
        <v>0</v>
      </c>
      <c r="H65" s="116">
        <v>0</v>
      </c>
      <c r="I65" s="116">
        <v>0</v>
      </c>
      <c r="J65" s="116">
        <v>0</v>
      </c>
      <c r="K65" s="116">
        <v>0</v>
      </c>
      <c r="L65" s="123">
        <v>0</v>
      </c>
      <c r="M65" s="117">
        <f>IFERROR(3*B65,0)</f>
        <v>0</v>
      </c>
      <c r="N65" s="117">
        <v>0</v>
      </c>
      <c r="O65" s="117">
        <v>0</v>
      </c>
      <c r="P65" s="117">
        <v>0</v>
      </c>
      <c r="Q65" s="117">
        <v>0</v>
      </c>
      <c r="R65" s="117">
        <v>0</v>
      </c>
      <c r="S65" s="119">
        <v>0</v>
      </c>
      <c r="T65" s="119">
        <v>0</v>
      </c>
      <c r="U65" s="119">
        <v>0</v>
      </c>
      <c r="V65" s="119" t="str">
        <f t="shared" si="0"/>
        <v xml:space="preserve"> </v>
      </c>
    </row>
    <row r="66" spans="1:22" hidden="1">
      <c r="A66" s="450" t="s">
        <v>161</v>
      </c>
      <c r="B66" s="114">
        <f>_xlfn.IFNA(VLOOKUP(Table1[[#This Row],[SKU]],'Kilter Holds'!$P$36:$S$370,4,0),0)</f>
        <v>0</v>
      </c>
      <c r="C66" s="115">
        <v>1</v>
      </c>
      <c r="D66" s="120">
        <v>0</v>
      </c>
      <c r="E66" s="120">
        <v>0</v>
      </c>
      <c r="F66" s="120">
        <v>0</v>
      </c>
      <c r="G66" s="120">
        <v>0</v>
      </c>
      <c r="H66" s="120">
        <v>0</v>
      </c>
      <c r="I66" s="120">
        <v>0</v>
      </c>
      <c r="J66" s="120">
        <v>0</v>
      </c>
      <c r="K66" s="120">
        <v>0</v>
      </c>
      <c r="L66" s="123">
        <v>0</v>
      </c>
      <c r="M66" s="117">
        <f>IFERROR(1*B66,0)</f>
        <v>0</v>
      </c>
      <c r="N66" s="118">
        <v>0</v>
      </c>
      <c r="O66" s="118">
        <v>0</v>
      </c>
      <c r="P66" s="118">
        <v>0</v>
      </c>
      <c r="Q66" s="118">
        <v>0</v>
      </c>
      <c r="R66" s="118">
        <v>0</v>
      </c>
      <c r="S66" s="119">
        <v>0</v>
      </c>
      <c r="T66" s="119">
        <v>0</v>
      </c>
      <c r="U66" s="119">
        <v>0</v>
      </c>
      <c r="V66" s="119" t="str">
        <f t="shared" si="0"/>
        <v xml:space="preserve"> </v>
      </c>
    </row>
    <row r="67" spans="1:22" hidden="1">
      <c r="A67" s="449" t="s">
        <v>162</v>
      </c>
      <c r="B67" s="114">
        <f>_xlfn.IFNA(VLOOKUP(Table1[[#This Row],[SKU]],'Kilter Holds'!$P$36:$S$370,4,0),0)</f>
        <v>0</v>
      </c>
      <c r="C67" s="115">
        <v>1</v>
      </c>
      <c r="D67" s="116">
        <v>0</v>
      </c>
      <c r="E67" s="116">
        <v>0</v>
      </c>
      <c r="F67" s="116">
        <v>0</v>
      </c>
      <c r="G67" s="116">
        <v>0</v>
      </c>
      <c r="H67" s="116">
        <v>0</v>
      </c>
      <c r="I67" s="116">
        <v>0</v>
      </c>
      <c r="J67" s="116">
        <v>0</v>
      </c>
      <c r="K67" s="116">
        <v>0</v>
      </c>
      <c r="L67" s="123">
        <v>0</v>
      </c>
      <c r="M67" s="117">
        <f>IFERROR(1*B67,0)</f>
        <v>0</v>
      </c>
      <c r="N67" s="117">
        <v>0</v>
      </c>
      <c r="O67" s="117">
        <v>0</v>
      </c>
      <c r="P67" s="117">
        <v>0</v>
      </c>
      <c r="Q67" s="117">
        <v>0</v>
      </c>
      <c r="R67" s="117">
        <v>0</v>
      </c>
      <c r="S67" s="119">
        <v>0</v>
      </c>
      <c r="T67" s="119">
        <v>0</v>
      </c>
      <c r="U67" s="119">
        <v>0</v>
      </c>
      <c r="V67" s="119" t="str">
        <f t="shared" si="0"/>
        <v xml:space="preserve"> </v>
      </c>
    </row>
    <row r="68" spans="1:22" hidden="1">
      <c r="A68" s="450" t="s">
        <v>163</v>
      </c>
      <c r="B68" s="114">
        <f>_xlfn.IFNA(VLOOKUP(Table1[[#This Row],[SKU]],'Kilter Holds'!$P$36:$S$370,4,0),0)</f>
        <v>0</v>
      </c>
      <c r="C68" s="115">
        <v>1</v>
      </c>
      <c r="D68" s="120">
        <v>0</v>
      </c>
      <c r="E68" s="120">
        <v>0</v>
      </c>
      <c r="F68" s="120">
        <v>0</v>
      </c>
      <c r="G68" s="120">
        <v>0</v>
      </c>
      <c r="H68" s="120">
        <v>0</v>
      </c>
      <c r="I68" s="120">
        <v>0</v>
      </c>
      <c r="J68" s="120">
        <v>0</v>
      </c>
      <c r="K68" s="120">
        <v>0</v>
      </c>
      <c r="L68" s="123">
        <v>0</v>
      </c>
      <c r="M68" s="117">
        <f>IFERROR(1*B68,0)</f>
        <v>0</v>
      </c>
      <c r="N68" s="118">
        <v>0</v>
      </c>
      <c r="O68" s="118">
        <v>0</v>
      </c>
      <c r="P68" s="118">
        <v>0</v>
      </c>
      <c r="Q68" s="118">
        <v>0</v>
      </c>
      <c r="R68" s="118">
        <v>0</v>
      </c>
      <c r="S68" s="119">
        <v>0</v>
      </c>
      <c r="T68" s="119">
        <v>0</v>
      </c>
      <c r="U68" s="119">
        <v>0</v>
      </c>
      <c r="V68" s="119" t="str">
        <f t="shared" ref="V68:V131" si="3">IF(B68&gt;0,"Added"," ")</f>
        <v xml:space="preserve"> </v>
      </c>
    </row>
    <row r="69" spans="1:22" hidden="1">
      <c r="A69" s="449" t="s">
        <v>172</v>
      </c>
      <c r="B69" s="114">
        <f>_xlfn.IFNA(VLOOKUP(Table1[[#This Row],[SKU]],'Kilter Holds'!$P$36:$S$370,4,0),0)</f>
        <v>0</v>
      </c>
      <c r="C69" s="115">
        <v>5</v>
      </c>
      <c r="D69" s="117">
        <f>IFERROR(3*B69,0)</f>
        <v>0</v>
      </c>
      <c r="E69" s="117">
        <f>IFERROR(2*B69,0)</f>
        <v>0</v>
      </c>
      <c r="F69" s="117">
        <v>0</v>
      </c>
      <c r="G69" s="117">
        <v>0</v>
      </c>
      <c r="H69" s="117">
        <v>0</v>
      </c>
      <c r="I69" s="117">
        <v>0</v>
      </c>
      <c r="J69" s="117">
        <v>0</v>
      </c>
      <c r="K69" s="117">
        <v>0</v>
      </c>
      <c r="L69" s="123">
        <v>0</v>
      </c>
      <c r="M69" s="117">
        <v>0</v>
      </c>
      <c r="N69" s="117">
        <v>0</v>
      </c>
      <c r="O69" s="117">
        <v>0</v>
      </c>
      <c r="P69" s="117">
        <v>0</v>
      </c>
      <c r="Q69" s="117">
        <v>0</v>
      </c>
      <c r="R69" s="117">
        <v>0</v>
      </c>
      <c r="S69" s="119">
        <v>0</v>
      </c>
      <c r="T69" s="119">
        <v>0</v>
      </c>
      <c r="U69" s="119">
        <v>0</v>
      </c>
      <c r="V69" s="119" t="str">
        <f t="shared" si="3"/>
        <v xml:space="preserve"> </v>
      </c>
    </row>
    <row r="70" spans="1:22" hidden="1">
      <c r="A70" s="450" t="s">
        <v>313</v>
      </c>
      <c r="B70" s="114">
        <f>_xlfn.IFNA(VLOOKUP(Table1[[#This Row],[SKU]],'Kilter Holds'!$P$36:$S$370,4,0),0)</f>
        <v>0</v>
      </c>
      <c r="C70" s="115">
        <v>10</v>
      </c>
      <c r="D70" s="117">
        <f>IFERROR(10*B70,0)</f>
        <v>0</v>
      </c>
      <c r="E70" s="118">
        <v>0</v>
      </c>
      <c r="F70" s="118">
        <v>0</v>
      </c>
      <c r="G70" s="118">
        <v>0</v>
      </c>
      <c r="H70" s="118">
        <v>0</v>
      </c>
      <c r="I70" s="118">
        <v>0</v>
      </c>
      <c r="J70" s="118">
        <v>0</v>
      </c>
      <c r="K70" s="118">
        <v>0</v>
      </c>
      <c r="L70" s="123">
        <v>0</v>
      </c>
      <c r="M70" s="118">
        <v>0</v>
      </c>
      <c r="N70" s="118">
        <v>0</v>
      </c>
      <c r="O70" s="118">
        <v>0</v>
      </c>
      <c r="P70" s="118">
        <v>0</v>
      </c>
      <c r="Q70" s="118">
        <v>0</v>
      </c>
      <c r="R70" s="118">
        <v>0</v>
      </c>
      <c r="S70" s="119">
        <v>0</v>
      </c>
      <c r="T70" s="119">
        <v>0</v>
      </c>
      <c r="U70" s="119">
        <v>0</v>
      </c>
      <c r="V70" s="119" t="str">
        <f t="shared" si="3"/>
        <v xml:space="preserve"> </v>
      </c>
    </row>
    <row r="71" spans="1:22" hidden="1">
      <c r="A71" s="449" t="s">
        <v>314</v>
      </c>
      <c r="B71" s="114">
        <f>_xlfn.IFNA(VLOOKUP(Table1[[#This Row],[SKU]],'Kilter Holds'!$P$36:$S$370,4,0),0)</f>
        <v>0</v>
      </c>
      <c r="C71" s="115">
        <v>10</v>
      </c>
      <c r="D71" s="117">
        <f>IFERROR(8*B71,0)</f>
        <v>0</v>
      </c>
      <c r="E71" s="117">
        <f>IFERROR(2*B71,0)</f>
        <v>0</v>
      </c>
      <c r="F71" s="117">
        <v>0</v>
      </c>
      <c r="G71" s="117">
        <v>0</v>
      </c>
      <c r="H71" s="117">
        <v>0</v>
      </c>
      <c r="I71" s="117">
        <v>0</v>
      </c>
      <c r="J71" s="117">
        <v>0</v>
      </c>
      <c r="K71" s="117">
        <v>0</v>
      </c>
      <c r="L71" s="123">
        <v>0</v>
      </c>
      <c r="M71" s="117">
        <v>0</v>
      </c>
      <c r="N71" s="117">
        <v>0</v>
      </c>
      <c r="O71" s="117">
        <v>0</v>
      </c>
      <c r="P71" s="117">
        <v>0</v>
      </c>
      <c r="Q71" s="117">
        <v>0</v>
      </c>
      <c r="R71" s="117">
        <v>0</v>
      </c>
      <c r="S71" s="119">
        <v>0</v>
      </c>
      <c r="T71" s="119">
        <v>0</v>
      </c>
      <c r="U71" s="119">
        <v>0</v>
      </c>
      <c r="V71" s="119" t="str">
        <f t="shared" si="3"/>
        <v xml:space="preserve"> </v>
      </c>
    </row>
    <row r="72" spans="1:22" hidden="1">
      <c r="A72" s="450" t="s">
        <v>315</v>
      </c>
      <c r="B72" s="114">
        <f>_xlfn.IFNA(VLOOKUP(Table1[[#This Row],[SKU]],'Kilter Holds'!$P$36:$S$370,4,0),0)</f>
        <v>0</v>
      </c>
      <c r="C72" s="115">
        <v>10</v>
      </c>
      <c r="D72" s="120">
        <v>0</v>
      </c>
      <c r="E72" s="117">
        <f>IFERROR(10*B72,0)</f>
        <v>0</v>
      </c>
      <c r="F72" s="118">
        <v>0</v>
      </c>
      <c r="G72" s="118">
        <v>0</v>
      </c>
      <c r="H72" s="118">
        <v>0</v>
      </c>
      <c r="I72" s="118">
        <v>0</v>
      </c>
      <c r="J72" s="118">
        <v>0</v>
      </c>
      <c r="K72" s="118">
        <v>0</v>
      </c>
      <c r="L72" s="123">
        <v>0</v>
      </c>
      <c r="M72" s="118">
        <v>0</v>
      </c>
      <c r="N72" s="118">
        <v>0</v>
      </c>
      <c r="O72" s="118">
        <v>0</v>
      </c>
      <c r="P72" s="118">
        <v>0</v>
      </c>
      <c r="Q72" s="118">
        <v>0</v>
      </c>
      <c r="R72" s="118">
        <v>0</v>
      </c>
      <c r="S72" s="119">
        <v>0</v>
      </c>
      <c r="T72" s="119">
        <v>0</v>
      </c>
      <c r="U72" s="119">
        <v>0</v>
      </c>
      <c r="V72" s="119" t="str">
        <f t="shared" si="3"/>
        <v xml:space="preserve"> </v>
      </c>
    </row>
    <row r="73" spans="1:22" hidden="1">
      <c r="A73" s="449" t="s">
        <v>303</v>
      </c>
      <c r="B73" s="114">
        <f>_xlfn.IFNA(VLOOKUP(Table1[[#This Row],[SKU]],'Kilter Holds'!$P$36:$S$370,4,0),0)</f>
        <v>0</v>
      </c>
      <c r="C73" s="115">
        <v>5</v>
      </c>
      <c r="D73" s="116">
        <v>0</v>
      </c>
      <c r="E73" s="117">
        <f>IFERROR(5*B73,0)</f>
        <v>0</v>
      </c>
      <c r="F73" s="117">
        <v>0</v>
      </c>
      <c r="G73" s="117">
        <v>0</v>
      </c>
      <c r="H73" s="117">
        <v>0</v>
      </c>
      <c r="I73" s="117">
        <v>0</v>
      </c>
      <c r="J73" s="117">
        <v>0</v>
      </c>
      <c r="K73" s="117">
        <v>0</v>
      </c>
      <c r="L73" s="123">
        <v>0</v>
      </c>
      <c r="M73" s="117">
        <v>0</v>
      </c>
      <c r="N73" s="117">
        <v>0</v>
      </c>
      <c r="O73" s="117">
        <v>0</v>
      </c>
      <c r="P73" s="117">
        <v>0</v>
      </c>
      <c r="Q73" s="117">
        <v>0</v>
      </c>
      <c r="R73" s="117">
        <v>0</v>
      </c>
      <c r="S73" s="119">
        <v>0</v>
      </c>
      <c r="T73" s="119">
        <v>0</v>
      </c>
      <c r="U73" s="119">
        <v>0</v>
      </c>
      <c r="V73" s="119" t="str">
        <f t="shared" si="3"/>
        <v xml:space="preserve"> </v>
      </c>
    </row>
    <row r="74" spans="1:22" hidden="1">
      <c r="A74" s="449" t="s">
        <v>187</v>
      </c>
      <c r="B74" s="114">
        <f>_xlfn.IFNA(VLOOKUP(Table1[[#This Row],[SKU]],'Kilter Holds'!$P$36:$S$370,4,0),0)</f>
        <v>0</v>
      </c>
      <c r="C74" s="115">
        <v>10</v>
      </c>
      <c r="D74" s="116">
        <v>0</v>
      </c>
      <c r="E74" s="117">
        <f>IFERROR(10*B74,0)</f>
        <v>0</v>
      </c>
      <c r="F74" s="117">
        <v>0</v>
      </c>
      <c r="G74" s="117">
        <v>0</v>
      </c>
      <c r="H74" s="117">
        <v>0</v>
      </c>
      <c r="I74" s="117">
        <v>0</v>
      </c>
      <c r="J74" s="117">
        <v>0</v>
      </c>
      <c r="K74" s="117">
        <v>0</v>
      </c>
      <c r="L74" s="123">
        <v>0</v>
      </c>
      <c r="M74" s="117">
        <v>0</v>
      </c>
      <c r="N74" s="117">
        <v>0</v>
      </c>
      <c r="O74" s="117">
        <v>0</v>
      </c>
      <c r="P74" s="117">
        <v>0</v>
      </c>
      <c r="Q74" s="117">
        <v>0</v>
      </c>
      <c r="R74" s="117">
        <v>0</v>
      </c>
      <c r="S74" s="119">
        <v>0</v>
      </c>
      <c r="T74" s="119">
        <v>0</v>
      </c>
      <c r="U74" s="119">
        <v>0</v>
      </c>
      <c r="V74" s="119" t="str">
        <f t="shared" si="3"/>
        <v xml:space="preserve"> </v>
      </c>
    </row>
    <row r="75" spans="1:22" hidden="1">
      <c r="A75" s="450" t="s">
        <v>174</v>
      </c>
      <c r="B75" s="114">
        <f>_xlfn.IFNA(VLOOKUP(Table1[[#This Row],[SKU]],'Kilter Holds'!$P$36:$S$370,4,0),0)</f>
        <v>0</v>
      </c>
      <c r="C75" s="115">
        <v>5</v>
      </c>
      <c r="D75" s="120">
        <v>0</v>
      </c>
      <c r="E75" s="117">
        <f>IFERROR(5*B75,0)</f>
        <v>0</v>
      </c>
      <c r="F75" s="118">
        <v>0</v>
      </c>
      <c r="G75" s="118">
        <v>0</v>
      </c>
      <c r="H75" s="118">
        <v>0</v>
      </c>
      <c r="I75" s="118">
        <v>0</v>
      </c>
      <c r="J75" s="118">
        <v>0</v>
      </c>
      <c r="K75" s="118">
        <v>0</v>
      </c>
      <c r="L75" s="123">
        <v>0</v>
      </c>
      <c r="M75" s="118">
        <v>0</v>
      </c>
      <c r="N75" s="118">
        <v>0</v>
      </c>
      <c r="O75" s="118">
        <v>0</v>
      </c>
      <c r="P75" s="118">
        <v>0</v>
      </c>
      <c r="Q75" s="118">
        <v>0</v>
      </c>
      <c r="R75" s="118">
        <v>0</v>
      </c>
      <c r="S75" s="119">
        <v>0</v>
      </c>
      <c r="T75" s="119">
        <v>0</v>
      </c>
      <c r="U75" s="119">
        <v>0</v>
      </c>
      <c r="V75" s="119" t="str">
        <f t="shared" si="3"/>
        <v xml:space="preserve"> </v>
      </c>
    </row>
    <row r="76" spans="1:22" hidden="1">
      <c r="A76" s="449" t="s">
        <v>226</v>
      </c>
      <c r="B76" s="114">
        <f>_xlfn.IFNA(VLOOKUP(Table1[[#This Row],[SKU]],'Kilter Holds'!$P$36:$S$370,4,0),0)</f>
        <v>0</v>
      </c>
      <c r="C76" s="115">
        <v>5</v>
      </c>
      <c r="D76" s="116">
        <v>0</v>
      </c>
      <c r="E76" s="117">
        <v>0</v>
      </c>
      <c r="F76" s="117">
        <v>0</v>
      </c>
      <c r="G76" s="117">
        <f>IFERROR(2*B76,0)</f>
        <v>0</v>
      </c>
      <c r="H76" s="117">
        <f>IFERROR(2*B76,0)</f>
        <v>0</v>
      </c>
      <c r="I76" s="117">
        <f>IFERROR(1*B76,0)</f>
        <v>0</v>
      </c>
      <c r="J76" s="117">
        <v>0</v>
      </c>
      <c r="K76" s="117">
        <v>0</v>
      </c>
      <c r="L76" s="123">
        <v>0</v>
      </c>
      <c r="M76" s="117">
        <v>0</v>
      </c>
      <c r="N76" s="117">
        <v>0</v>
      </c>
      <c r="O76" s="117">
        <v>0</v>
      </c>
      <c r="P76" s="117">
        <v>0</v>
      </c>
      <c r="Q76" s="117">
        <v>0</v>
      </c>
      <c r="R76" s="117">
        <v>0</v>
      </c>
      <c r="S76" s="119">
        <v>0</v>
      </c>
      <c r="T76" s="119">
        <v>0</v>
      </c>
      <c r="U76" s="119">
        <v>0</v>
      </c>
      <c r="V76" s="119" t="str">
        <f t="shared" si="3"/>
        <v xml:space="preserve"> </v>
      </c>
    </row>
    <row r="77" spans="1:22" hidden="1">
      <c r="A77" s="452" t="s">
        <v>880</v>
      </c>
      <c r="B77" s="114">
        <f>_xlfn.IFNA(VLOOKUP(Table1[[#This Row],[SKU]],'Kilter Holds'!$P$36:$S$370,4,0),0)</f>
        <v>0</v>
      </c>
      <c r="C77" s="115">
        <v>3</v>
      </c>
      <c r="D77" s="116">
        <v>0</v>
      </c>
      <c r="E77" s="117">
        <v>0</v>
      </c>
      <c r="F77" s="117">
        <v>0</v>
      </c>
      <c r="G77" s="117">
        <v>0</v>
      </c>
      <c r="H77" s="117">
        <v>0</v>
      </c>
      <c r="I77" s="117">
        <v>0</v>
      </c>
      <c r="J77" s="117">
        <f>IFERROR(1*B77,0)</f>
        <v>0</v>
      </c>
      <c r="K77" s="117">
        <f>IFERROR(2*B77,0)</f>
        <v>0</v>
      </c>
      <c r="L77" s="123">
        <v>0</v>
      </c>
      <c r="M77" s="117">
        <v>0</v>
      </c>
      <c r="N77" s="117">
        <v>0</v>
      </c>
      <c r="O77" s="117">
        <v>0</v>
      </c>
      <c r="P77" s="117">
        <v>0</v>
      </c>
      <c r="Q77" s="117">
        <v>0</v>
      </c>
      <c r="R77" s="117">
        <v>0</v>
      </c>
      <c r="S77" s="119">
        <v>0</v>
      </c>
      <c r="T77" s="119">
        <v>0</v>
      </c>
      <c r="U77" s="119">
        <v>0</v>
      </c>
      <c r="V77" s="119" t="str">
        <f t="shared" si="3"/>
        <v xml:space="preserve"> </v>
      </c>
    </row>
    <row r="78" spans="1:22" hidden="1">
      <c r="A78" s="450" t="s">
        <v>152</v>
      </c>
      <c r="B78" s="114">
        <f>_xlfn.IFNA(VLOOKUP(Table1[[#This Row],[SKU]],'Kilter Holds'!$P$36:$S$370,4,0),0)</f>
        <v>0</v>
      </c>
      <c r="C78" s="115">
        <v>1</v>
      </c>
      <c r="D78" s="116">
        <v>0</v>
      </c>
      <c r="E78" s="116">
        <v>0</v>
      </c>
      <c r="F78" s="116">
        <v>0</v>
      </c>
      <c r="G78" s="116">
        <v>0</v>
      </c>
      <c r="H78" s="116">
        <v>0</v>
      </c>
      <c r="I78" s="116">
        <v>0</v>
      </c>
      <c r="J78" s="117">
        <v>0</v>
      </c>
      <c r="K78" s="117">
        <f>IFERROR(1*B78,0)</f>
        <v>0</v>
      </c>
      <c r="L78" s="123">
        <v>0</v>
      </c>
      <c r="M78" s="117">
        <v>0</v>
      </c>
      <c r="N78" s="117">
        <v>0</v>
      </c>
      <c r="O78" s="117">
        <v>0</v>
      </c>
      <c r="P78" s="117">
        <v>0</v>
      </c>
      <c r="Q78" s="117">
        <v>0</v>
      </c>
      <c r="R78" s="117">
        <v>0</v>
      </c>
      <c r="S78" s="119">
        <v>0</v>
      </c>
      <c r="T78" s="119">
        <v>0</v>
      </c>
      <c r="U78" s="119">
        <v>0</v>
      </c>
      <c r="V78" s="119" t="str">
        <f t="shared" si="3"/>
        <v xml:space="preserve"> </v>
      </c>
    </row>
    <row r="79" spans="1:22" hidden="1">
      <c r="A79" s="450" t="s">
        <v>153</v>
      </c>
      <c r="B79" s="114">
        <f>_xlfn.IFNA(VLOOKUP(Table1[[#This Row],[SKU]],'Kilter Holds'!$P$36:$S$370,4,0),0)</f>
        <v>0</v>
      </c>
      <c r="C79" s="115">
        <v>1</v>
      </c>
      <c r="D79" s="120">
        <v>0</v>
      </c>
      <c r="E79" s="120">
        <v>0</v>
      </c>
      <c r="F79" s="120">
        <v>0</v>
      </c>
      <c r="G79" s="120">
        <v>0</v>
      </c>
      <c r="H79" s="120">
        <v>0</v>
      </c>
      <c r="I79" s="120">
        <v>0</v>
      </c>
      <c r="J79" s="117">
        <f>IFERROR(1*B79,0)</f>
        <v>0</v>
      </c>
      <c r="K79" s="118">
        <v>0</v>
      </c>
      <c r="L79" s="123">
        <v>0</v>
      </c>
      <c r="M79" s="118">
        <v>0</v>
      </c>
      <c r="N79" s="118">
        <v>0</v>
      </c>
      <c r="O79" s="118">
        <v>0</v>
      </c>
      <c r="P79" s="118">
        <v>0</v>
      </c>
      <c r="Q79" s="118">
        <v>0</v>
      </c>
      <c r="R79" s="118">
        <v>0</v>
      </c>
      <c r="S79" s="119">
        <v>0</v>
      </c>
      <c r="T79" s="119">
        <v>0</v>
      </c>
      <c r="U79" s="119">
        <v>0</v>
      </c>
      <c r="V79" s="119" t="str">
        <f t="shared" si="3"/>
        <v xml:space="preserve"> </v>
      </c>
    </row>
    <row r="80" spans="1:22" hidden="1">
      <c r="A80" s="450" t="s">
        <v>154</v>
      </c>
      <c r="B80" s="114">
        <f>_xlfn.IFNA(VLOOKUP(Table1[[#This Row],[SKU]],'Kilter Holds'!$P$36:$S$370,4,0),0)</f>
        <v>0</v>
      </c>
      <c r="C80" s="115">
        <v>1</v>
      </c>
      <c r="D80" s="116">
        <v>0</v>
      </c>
      <c r="E80" s="116">
        <v>0</v>
      </c>
      <c r="F80" s="116">
        <v>0</v>
      </c>
      <c r="G80" s="116">
        <v>0</v>
      </c>
      <c r="H80" s="116">
        <v>0</v>
      </c>
      <c r="I80" s="116">
        <v>0</v>
      </c>
      <c r="J80" s="117">
        <v>0</v>
      </c>
      <c r="K80" s="117">
        <f>IFERROR(1*B80,0)</f>
        <v>0</v>
      </c>
      <c r="L80" s="123">
        <v>0</v>
      </c>
      <c r="M80" s="117">
        <v>0</v>
      </c>
      <c r="N80" s="117">
        <v>0</v>
      </c>
      <c r="O80" s="117">
        <v>0</v>
      </c>
      <c r="P80" s="117">
        <v>0</v>
      </c>
      <c r="Q80" s="117">
        <v>0</v>
      </c>
      <c r="R80" s="117">
        <v>0</v>
      </c>
      <c r="S80" s="119">
        <v>0</v>
      </c>
      <c r="T80" s="119">
        <v>0</v>
      </c>
      <c r="U80" s="119">
        <v>0</v>
      </c>
      <c r="V80" s="119" t="str">
        <f t="shared" si="3"/>
        <v xml:space="preserve"> </v>
      </c>
    </row>
    <row r="81" spans="1:22" hidden="1">
      <c r="A81" s="453" t="s">
        <v>881</v>
      </c>
      <c r="B81" s="114">
        <f>_xlfn.IFNA(VLOOKUP(Table1[[#This Row],[SKU]],'Kilter Holds'!$P$36:$S$370,4,0),0)</f>
        <v>0</v>
      </c>
      <c r="C81" s="115">
        <v>3</v>
      </c>
      <c r="D81" s="116">
        <v>0</v>
      </c>
      <c r="E81" s="116">
        <v>0</v>
      </c>
      <c r="F81" s="116">
        <v>0</v>
      </c>
      <c r="G81" s="116">
        <v>0</v>
      </c>
      <c r="H81" s="116">
        <v>0</v>
      </c>
      <c r="I81" s="117">
        <f>IFERROR(2*B81,0)</f>
        <v>0</v>
      </c>
      <c r="J81" s="117">
        <v>0</v>
      </c>
      <c r="K81" s="117">
        <v>0</v>
      </c>
      <c r="L81" s="123">
        <v>0</v>
      </c>
      <c r="M81" s="117">
        <f>IFERROR(1*B81,0)</f>
        <v>0</v>
      </c>
      <c r="N81" s="117">
        <v>0</v>
      </c>
      <c r="O81" s="117">
        <v>0</v>
      </c>
      <c r="P81" s="117">
        <v>0</v>
      </c>
      <c r="Q81" s="117">
        <v>0</v>
      </c>
      <c r="R81" s="117">
        <v>0</v>
      </c>
      <c r="S81" s="119">
        <v>0</v>
      </c>
      <c r="T81" s="119">
        <v>0</v>
      </c>
      <c r="U81" s="119">
        <v>0</v>
      </c>
      <c r="V81" s="119" t="str">
        <f t="shared" si="3"/>
        <v xml:space="preserve"> </v>
      </c>
    </row>
    <row r="82" spans="1:22" hidden="1">
      <c r="A82" s="449" t="s">
        <v>155</v>
      </c>
      <c r="B82" s="114">
        <f>_xlfn.IFNA(VLOOKUP(Table1[[#This Row],[SKU]],'Kilter Holds'!$P$36:$S$370,4,0),0)</f>
        <v>0</v>
      </c>
      <c r="C82" s="115">
        <v>1</v>
      </c>
      <c r="D82" s="116">
        <v>0</v>
      </c>
      <c r="E82" s="116">
        <v>0</v>
      </c>
      <c r="F82" s="116">
        <v>0</v>
      </c>
      <c r="G82" s="116">
        <v>0</v>
      </c>
      <c r="H82" s="116">
        <v>0</v>
      </c>
      <c r="I82" s="117">
        <f>IFERROR(1*B82,0)</f>
        <v>0</v>
      </c>
      <c r="J82" s="117">
        <v>0</v>
      </c>
      <c r="K82" s="117">
        <v>0</v>
      </c>
      <c r="L82" s="123">
        <v>0</v>
      </c>
      <c r="M82" s="117">
        <v>0</v>
      </c>
      <c r="N82" s="117">
        <v>0</v>
      </c>
      <c r="O82" s="117">
        <v>0</v>
      </c>
      <c r="P82" s="117">
        <v>0</v>
      </c>
      <c r="Q82" s="117">
        <v>0</v>
      </c>
      <c r="R82" s="117">
        <v>0</v>
      </c>
      <c r="S82" s="119">
        <v>0</v>
      </c>
      <c r="T82" s="119">
        <v>0</v>
      </c>
      <c r="U82" s="119">
        <v>0</v>
      </c>
      <c r="V82" s="119" t="str">
        <f t="shared" si="3"/>
        <v xml:space="preserve"> </v>
      </c>
    </row>
    <row r="83" spans="1:22" hidden="1">
      <c r="A83" s="450" t="s">
        <v>156</v>
      </c>
      <c r="B83" s="114">
        <f>_xlfn.IFNA(VLOOKUP(Table1[[#This Row],[SKU]],'Kilter Holds'!$P$36:$S$370,4,0),0)</f>
        <v>0</v>
      </c>
      <c r="C83" s="115">
        <v>1</v>
      </c>
      <c r="D83" s="120">
        <v>0</v>
      </c>
      <c r="E83" s="120">
        <v>0</v>
      </c>
      <c r="F83" s="120">
        <v>0</v>
      </c>
      <c r="G83" s="120">
        <v>0</v>
      </c>
      <c r="H83" s="120">
        <v>0</v>
      </c>
      <c r="I83" s="117">
        <f>IFERROR(1*B83,0)</f>
        <v>0</v>
      </c>
      <c r="J83" s="118">
        <v>0</v>
      </c>
      <c r="K83" s="118">
        <v>0</v>
      </c>
      <c r="L83" s="123">
        <v>0</v>
      </c>
      <c r="M83" s="118">
        <v>0</v>
      </c>
      <c r="N83" s="118">
        <v>0</v>
      </c>
      <c r="O83" s="118">
        <v>0</v>
      </c>
      <c r="P83" s="118">
        <v>0</v>
      </c>
      <c r="Q83" s="118">
        <v>0</v>
      </c>
      <c r="R83" s="118">
        <v>0</v>
      </c>
      <c r="S83" s="119">
        <v>0</v>
      </c>
      <c r="T83" s="119">
        <v>0</v>
      </c>
      <c r="U83" s="119">
        <v>0</v>
      </c>
      <c r="V83" s="119" t="str">
        <f t="shared" si="3"/>
        <v xml:space="preserve"> </v>
      </c>
    </row>
    <row r="84" spans="1:22" hidden="1">
      <c r="A84" s="449" t="s">
        <v>157</v>
      </c>
      <c r="B84" s="114">
        <f>_xlfn.IFNA(VLOOKUP(Table1[[#This Row],[SKU]],'Kilter Holds'!$P$36:$S$370,4,0),0)</f>
        <v>0</v>
      </c>
      <c r="C84" s="115">
        <v>1</v>
      </c>
      <c r="D84" s="116">
        <v>0</v>
      </c>
      <c r="E84" s="116">
        <v>0</v>
      </c>
      <c r="F84" s="116">
        <v>0</v>
      </c>
      <c r="G84" s="116">
        <v>0</v>
      </c>
      <c r="H84" s="116">
        <v>0</v>
      </c>
      <c r="I84" s="117">
        <v>0</v>
      </c>
      <c r="J84" s="117">
        <v>0</v>
      </c>
      <c r="K84" s="117">
        <v>0</v>
      </c>
      <c r="L84" s="123">
        <v>0</v>
      </c>
      <c r="M84" s="117">
        <f>IFERROR(1*B84,0)</f>
        <v>0</v>
      </c>
      <c r="N84" s="117">
        <v>0</v>
      </c>
      <c r="O84" s="117">
        <v>0</v>
      </c>
      <c r="P84" s="117">
        <v>0</v>
      </c>
      <c r="Q84" s="117">
        <v>0</v>
      </c>
      <c r="R84" s="117">
        <v>0</v>
      </c>
      <c r="S84" s="119">
        <v>0</v>
      </c>
      <c r="T84" s="119">
        <v>0</v>
      </c>
      <c r="U84" s="119">
        <v>0</v>
      </c>
      <c r="V84" s="119" t="str">
        <f t="shared" si="3"/>
        <v xml:space="preserve"> </v>
      </c>
    </row>
    <row r="85" spans="1:22" hidden="1">
      <c r="A85" s="452" t="s">
        <v>878</v>
      </c>
      <c r="B85" s="114">
        <f>_xlfn.IFNA(VLOOKUP(Table1[[#This Row],[SKU]],'Kilter Holds'!$P$36:$S$370,4,0),0)</f>
        <v>0</v>
      </c>
      <c r="C85" s="115">
        <v>3</v>
      </c>
      <c r="D85" s="116">
        <v>0</v>
      </c>
      <c r="E85" s="116">
        <v>0</v>
      </c>
      <c r="F85" s="116">
        <v>0</v>
      </c>
      <c r="G85" s="116">
        <v>0</v>
      </c>
      <c r="H85" s="116">
        <v>0</v>
      </c>
      <c r="I85" s="117">
        <v>0</v>
      </c>
      <c r="J85" s="117">
        <f>IFERROR(1*B85,0)</f>
        <v>0</v>
      </c>
      <c r="K85" s="117">
        <f>IFERROR(1*B85,0)</f>
        <v>0</v>
      </c>
      <c r="L85" s="123">
        <v>0</v>
      </c>
      <c r="M85" s="117">
        <f>IFERROR(1*B85,0)</f>
        <v>0</v>
      </c>
      <c r="N85" s="117">
        <v>0</v>
      </c>
      <c r="O85" s="117">
        <v>0</v>
      </c>
      <c r="P85" s="117">
        <v>0</v>
      </c>
      <c r="Q85" s="117">
        <v>0</v>
      </c>
      <c r="R85" s="117">
        <v>0</v>
      </c>
      <c r="S85" s="119">
        <v>0</v>
      </c>
      <c r="T85" s="119">
        <v>0</v>
      </c>
      <c r="U85" s="119">
        <v>0</v>
      </c>
      <c r="V85" s="119" t="str">
        <f t="shared" si="3"/>
        <v xml:space="preserve"> </v>
      </c>
    </row>
    <row r="86" spans="1:22" hidden="1">
      <c r="A86" s="450" t="s">
        <v>149</v>
      </c>
      <c r="B86" s="114">
        <f>_xlfn.IFNA(VLOOKUP(Table1[[#This Row],[SKU]],'Kilter Holds'!$P$36:$S$370,4,0),0)</f>
        <v>0</v>
      </c>
      <c r="C86" s="115">
        <v>1</v>
      </c>
      <c r="D86" s="120">
        <v>0</v>
      </c>
      <c r="E86" s="120">
        <v>0</v>
      </c>
      <c r="F86" s="120">
        <v>0</v>
      </c>
      <c r="G86" s="120">
        <v>0</v>
      </c>
      <c r="H86" s="120">
        <v>0</v>
      </c>
      <c r="I86" s="118">
        <v>0</v>
      </c>
      <c r="J86" s="118">
        <v>0</v>
      </c>
      <c r="K86" s="117">
        <f>IFERROR(1*B86,0)</f>
        <v>0</v>
      </c>
      <c r="L86" s="123">
        <v>0</v>
      </c>
      <c r="M86" s="118">
        <v>0</v>
      </c>
      <c r="N86" s="118">
        <v>0</v>
      </c>
      <c r="O86" s="118">
        <v>0</v>
      </c>
      <c r="P86" s="118">
        <v>0</v>
      </c>
      <c r="Q86" s="118">
        <v>0</v>
      </c>
      <c r="R86" s="118">
        <v>0</v>
      </c>
      <c r="S86" s="119">
        <v>0</v>
      </c>
      <c r="T86" s="119">
        <v>0</v>
      </c>
      <c r="U86" s="119">
        <v>0</v>
      </c>
      <c r="V86" s="119" t="str">
        <f t="shared" si="3"/>
        <v xml:space="preserve"> </v>
      </c>
    </row>
    <row r="87" spans="1:22" hidden="1">
      <c r="A87" s="449" t="s">
        <v>150</v>
      </c>
      <c r="B87" s="114">
        <f>_xlfn.IFNA(VLOOKUP(Table1[[#This Row],[SKU]],'Kilter Holds'!$P$36:$S$370,4,0),0)</f>
        <v>0</v>
      </c>
      <c r="C87" s="115">
        <v>1</v>
      </c>
      <c r="D87" s="116">
        <v>0</v>
      </c>
      <c r="E87" s="116">
        <v>0</v>
      </c>
      <c r="F87" s="116">
        <v>0</v>
      </c>
      <c r="G87" s="116">
        <v>0</v>
      </c>
      <c r="H87" s="116">
        <v>0</v>
      </c>
      <c r="I87" s="117">
        <v>0</v>
      </c>
      <c r="J87" s="117">
        <f>IFERROR(1*B87,0)</f>
        <v>0</v>
      </c>
      <c r="K87" s="117">
        <v>0</v>
      </c>
      <c r="L87" s="123">
        <v>0</v>
      </c>
      <c r="M87" s="117">
        <v>0</v>
      </c>
      <c r="N87" s="117">
        <v>0</v>
      </c>
      <c r="O87" s="117">
        <v>0</v>
      </c>
      <c r="P87" s="117">
        <v>0</v>
      </c>
      <c r="Q87" s="117">
        <v>0</v>
      </c>
      <c r="R87" s="117">
        <v>0</v>
      </c>
      <c r="S87" s="119">
        <v>0</v>
      </c>
      <c r="T87" s="119">
        <v>0</v>
      </c>
      <c r="U87" s="119">
        <v>0</v>
      </c>
      <c r="V87" s="119" t="str">
        <f t="shared" si="3"/>
        <v xml:space="preserve"> </v>
      </c>
    </row>
    <row r="88" spans="1:22" hidden="1">
      <c r="A88" s="450" t="s">
        <v>151</v>
      </c>
      <c r="B88" s="114">
        <f>_xlfn.IFNA(VLOOKUP(Table1[[#This Row],[SKU]],'Kilter Holds'!$P$36:$S$370,4,0),0)</f>
        <v>0</v>
      </c>
      <c r="C88" s="115">
        <v>1</v>
      </c>
      <c r="D88" s="120">
        <v>0</v>
      </c>
      <c r="E88" s="120">
        <v>0</v>
      </c>
      <c r="F88" s="120">
        <v>0</v>
      </c>
      <c r="G88" s="120">
        <v>0</v>
      </c>
      <c r="H88" s="120">
        <v>0</v>
      </c>
      <c r="I88" s="120">
        <v>0</v>
      </c>
      <c r="J88" s="120">
        <v>0</v>
      </c>
      <c r="K88" s="120">
        <v>0</v>
      </c>
      <c r="L88" s="123">
        <v>0</v>
      </c>
      <c r="M88" s="117">
        <f>IFERROR(1*B88,0)</f>
        <v>0</v>
      </c>
      <c r="N88" s="118">
        <v>0</v>
      </c>
      <c r="O88" s="118">
        <v>0</v>
      </c>
      <c r="P88" s="118">
        <v>0</v>
      </c>
      <c r="Q88" s="118">
        <v>0</v>
      </c>
      <c r="R88" s="119">
        <v>0</v>
      </c>
      <c r="S88" s="119">
        <v>0</v>
      </c>
      <c r="T88" s="119">
        <v>0</v>
      </c>
      <c r="U88" s="119">
        <v>0</v>
      </c>
      <c r="V88" s="119" t="str">
        <f t="shared" si="3"/>
        <v xml:space="preserve"> </v>
      </c>
    </row>
    <row r="89" spans="1:22" hidden="1">
      <c r="A89" s="453" t="s">
        <v>888</v>
      </c>
      <c r="B89" s="114">
        <f>_xlfn.IFNA(VLOOKUP(Table1[[#This Row],[SKU]],'Kilter Holds'!$P$36:$S$370,4,0),0)</f>
        <v>0</v>
      </c>
      <c r="C89" s="115">
        <v>3</v>
      </c>
      <c r="D89" s="120">
        <v>0</v>
      </c>
      <c r="E89" s="120">
        <v>0</v>
      </c>
      <c r="F89" s="120">
        <v>0</v>
      </c>
      <c r="G89" s="120">
        <v>0</v>
      </c>
      <c r="H89" s="120">
        <v>0</v>
      </c>
      <c r="I89" s="120">
        <v>0</v>
      </c>
      <c r="J89" s="120">
        <v>0</v>
      </c>
      <c r="K89" s="117">
        <f>IFERROR(1*B89,0)</f>
        <v>0</v>
      </c>
      <c r="L89" s="123">
        <v>0</v>
      </c>
      <c r="M89" s="117">
        <f>IFERROR(2*B89,0)</f>
        <v>0</v>
      </c>
      <c r="N89" s="118">
        <v>0</v>
      </c>
      <c r="O89" s="118">
        <v>0</v>
      </c>
      <c r="P89" s="118">
        <v>0</v>
      </c>
      <c r="Q89" s="118">
        <v>0</v>
      </c>
      <c r="R89" s="119">
        <v>0</v>
      </c>
      <c r="S89" s="119">
        <v>0</v>
      </c>
      <c r="T89" s="119">
        <v>0</v>
      </c>
      <c r="U89" s="119">
        <v>0</v>
      </c>
      <c r="V89" s="119" t="str">
        <f t="shared" si="3"/>
        <v xml:space="preserve"> </v>
      </c>
    </row>
    <row r="90" spans="1:22" hidden="1">
      <c r="A90" s="449" t="s">
        <v>293</v>
      </c>
      <c r="B90" s="114">
        <f>_xlfn.IFNA(VLOOKUP(Table1[[#This Row],[SKU]],'Kilter Holds'!$P$36:$S$370,4,0),0)</f>
        <v>0</v>
      </c>
      <c r="C90" s="115">
        <v>1</v>
      </c>
      <c r="D90" s="116">
        <v>0</v>
      </c>
      <c r="E90" s="116">
        <v>0</v>
      </c>
      <c r="F90" s="116">
        <v>0</v>
      </c>
      <c r="G90" s="116">
        <v>0</v>
      </c>
      <c r="H90" s="116">
        <v>0</v>
      </c>
      <c r="I90" s="116">
        <v>0</v>
      </c>
      <c r="J90" s="116">
        <v>0</v>
      </c>
      <c r="K90" s="117">
        <f>IFERROR(1*B90,0)</f>
        <v>0</v>
      </c>
      <c r="L90" s="123">
        <v>0</v>
      </c>
      <c r="M90" s="117">
        <v>0</v>
      </c>
      <c r="N90" s="117">
        <v>0</v>
      </c>
      <c r="O90" s="117">
        <v>0</v>
      </c>
      <c r="P90" s="117">
        <v>0</v>
      </c>
      <c r="Q90" s="117">
        <v>0</v>
      </c>
      <c r="R90" s="117">
        <v>0</v>
      </c>
      <c r="S90" s="119">
        <v>0</v>
      </c>
      <c r="T90" s="119">
        <v>0</v>
      </c>
      <c r="U90" s="119">
        <v>0</v>
      </c>
      <c r="V90" s="119" t="str">
        <f t="shared" si="3"/>
        <v xml:space="preserve"> </v>
      </c>
    </row>
    <row r="91" spans="1:22" hidden="1">
      <c r="A91" s="450" t="s">
        <v>294</v>
      </c>
      <c r="B91" s="114">
        <f>_xlfn.IFNA(VLOOKUP(Table1[[#This Row],[SKU]],'Kilter Holds'!$P$36:$S$370,4,0),0)</f>
        <v>0</v>
      </c>
      <c r="C91" s="115">
        <v>1</v>
      </c>
      <c r="D91" s="120">
        <v>0</v>
      </c>
      <c r="E91" s="120">
        <v>0</v>
      </c>
      <c r="F91" s="120">
        <v>0</v>
      </c>
      <c r="G91" s="120">
        <v>0</v>
      </c>
      <c r="H91" s="120">
        <v>0</v>
      </c>
      <c r="I91" s="120">
        <v>0</v>
      </c>
      <c r="J91" s="120">
        <v>0</v>
      </c>
      <c r="K91" s="120">
        <v>0</v>
      </c>
      <c r="L91" s="123">
        <v>0</v>
      </c>
      <c r="M91" s="117">
        <f>IFERROR(1*B91,0)</f>
        <v>0</v>
      </c>
      <c r="N91" s="118">
        <v>0</v>
      </c>
      <c r="O91" s="118">
        <v>0</v>
      </c>
      <c r="P91" s="118">
        <v>0</v>
      </c>
      <c r="Q91" s="118">
        <v>0</v>
      </c>
      <c r="R91" s="118">
        <v>0</v>
      </c>
      <c r="S91" s="119">
        <v>0</v>
      </c>
      <c r="T91" s="119">
        <v>0</v>
      </c>
      <c r="U91" s="119">
        <v>0</v>
      </c>
      <c r="V91" s="119" t="str">
        <f t="shared" si="3"/>
        <v xml:space="preserve"> </v>
      </c>
    </row>
    <row r="92" spans="1:22" hidden="1">
      <c r="A92" s="449" t="s">
        <v>295</v>
      </c>
      <c r="B92" s="114">
        <f>_xlfn.IFNA(VLOOKUP(Table1[[#This Row],[SKU]],'Kilter Holds'!$P$36:$S$370,4,0),0)</f>
        <v>0</v>
      </c>
      <c r="C92" s="115">
        <v>1</v>
      </c>
      <c r="D92" s="116">
        <v>0</v>
      </c>
      <c r="E92" s="116">
        <v>0</v>
      </c>
      <c r="F92" s="116">
        <v>0</v>
      </c>
      <c r="G92" s="116">
        <v>0</v>
      </c>
      <c r="H92" s="116">
        <v>0</v>
      </c>
      <c r="I92" s="116">
        <v>0</v>
      </c>
      <c r="J92" s="116">
        <v>0</v>
      </c>
      <c r="K92" s="116">
        <v>0</v>
      </c>
      <c r="L92" s="123">
        <v>0</v>
      </c>
      <c r="M92" s="117">
        <f>IFERROR(1*B92,0)</f>
        <v>0</v>
      </c>
      <c r="N92" s="117">
        <v>0</v>
      </c>
      <c r="O92" s="117">
        <v>0</v>
      </c>
      <c r="P92" s="117">
        <v>0</v>
      </c>
      <c r="Q92" s="117">
        <v>0</v>
      </c>
      <c r="R92" s="117">
        <v>0</v>
      </c>
      <c r="S92" s="119">
        <v>0</v>
      </c>
      <c r="T92" s="119">
        <v>0</v>
      </c>
      <c r="U92" s="119">
        <v>0</v>
      </c>
      <c r="V92" s="119" t="str">
        <f t="shared" si="3"/>
        <v xml:space="preserve"> </v>
      </c>
    </row>
    <row r="93" spans="1:22" hidden="1">
      <c r="A93" s="452" t="s">
        <v>887</v>
      </c>
      <c r="B93" s="114">
        <f>_xlfn.IFNA(VLOOKUP(Table1[[#This Row],[SKU]],'Kilter Holds'!$P$36:$S$370,4,0),0)</f>
        <v>0</v>
      </c>
      <c r="C93" s="115">
        <v>3</v>
      </c>
      <c r="D93" s="116">
        <v>0</v>
      </c>
      <c r="E93" s="116">
        <v>0</v>
      </c>
      <c r="F93" s="116">
        <v>0</v>
      </c>
      <c r="G93" s="116">
        <v>0</v>
      </c>
      <c r="H93" s="116">
        <v>0</v>
      </c>
      <c r="I93" s="116">
        <v>0</v>
      </c>
      <c r="J93" s="116">
        <v>0</v>
      </c>
      <c r="K93" s="116">
        <v>0</v>
      </c>
      <c r="L93" s="123">
        <v>0</v>
      </c>
      <c r="M93" s="117">
        <f>IFERROR(3*B93,0)</f>
        <v>0</v>
      </c>
      <c r="N93" s="117">
        <v>0</v>
      </c>
      <c r="O93" s="117">
        <v>0</v>
      </c>
      <c r="P93" s="117">
        <v>0</v>
      </c>
      <c r="Q93" s="117">
        <v>0</v>
      </c>
      <c r="R93" s="117">
        <v>0</v>
      </c>
      <c r="S93" s="119">
        <v>0</v>
      </c>
      <c r="T93" s="119">
        <v>0</v>
      </c>
      <c r="U93" s="119">
        <v>0</v>
      </c>
      <c r="V93" s="119" t="str">
        <f t="shared" si="3"/>
        <v xml:space="preserve"> </v>
      </c>
    </row>
    <row r="94" spans="1:22" hidden="1">
      <c r="A94" s="450" t="s">
        <v>290</v>
      </c>
      <c r="B94" s="114">
        <f>_xlfn.IFNA(VLOOKUP(Table1[[#This Row],[SKU]],'Kilter Holds'!$P$36:$S$370,4,0),0)</f>
        <v>0</v>
      </c>
      <c r="C94" s="115">
        <v>1</v>
      </c>
      <c r="D94" s="120">
        <v>0</v>
      </c>
      <c r="E94" s="120">
        <v>0</v>
      </c>
      <c r="F94" s="120">
        <v>0</v>
      </c>
      <c r="G94" s="120">
        <v>0</v>
      </c>
      <c r="H94" s="120">
        <v>0</v>
      </c>
      <c r="I94" s="120">
        <v>0</v>
      </c>
      <c r="J94" s="120">
        <v>0</v>
      </c>
      <c r="K94" s="120">
        <v>0</v>
      </c>
      <c r="L94" s="123">
        <v>0</v>
      </c>
      <c r="M94" s="117">
        <f>IFERROR(1*B94,0)</f>
        <v>0</v>
      </c>
      <c r="N94" s="118">
        <v>0</v>
      </c>
      <c r="O94" s="118">
        <v>0</v>
      </c>
      <c r="P94" s="118">
        <v>0</v>
      </c>
      <c r="Q94" s="118">
        <v>0</v>
      </c>
      <c r="R94" s="118">
        <v>0</v>
      </c>
      <c r="S94" s="119">
        <v>0</v>
      </c>
      <c r="T94" s="119">
        <v>0</v>
      </c>
      <c r="U94" s="119">
        <v>0</v>
      </c>
      <c r="V94" s="119" t="str">
        <f t="shared" si="3"/>
        <v xml:space="preserve"> </v>
      </c>
    </row>
    <row r="95" spans="1:22" hidden="1">
      <c r="A95" s="449" t="s">
        <v>291</v>
      </c>
      <c r="B95" s="114">
        <f>_xlfn.IFNA(VLOOKUP(Table1[[#This Row],[SKU]],'Kilter Holds'!$P$36:$S$370,4,0),0)</f>
        <v>0</v>
      </c>
      <c r="C95" s="115">
        <v>1</v>
      </c>
      <c r="D95" s="116">
        <v>0</v>
      </c>
      <c r="E95" s="116">
        <v>0</v>
      </c>
      <c r="F95" s="116">
        <v>0</v>
      </c>
      <c r="G95" s="116">
        <v>0</v>
      </c>
      <c r="H95" s="116">
        <v>0</v>
      </c>
      <c r="I95" s="116">
        <v>0</v>
      </c>
      <c r="J95" s="116">
        <v>0</v>
      </c>
      <c r="K95" s="116">
        <v>0</v>
      </c>
      <c r="L95" s="123">
        <v>0</v>
      </c>
      <c r="M95" s="117">
        <f>IFERROR(1*B95,0)</f>
        <v>0</v>
      </c>
      <c r="N95" s="117">
        <v>0</v>
      </c>
      <c r="O95" s="117">
        <v>0</v>
      </c>
      <c r="P95" s="117">
        <v>0</v>
      </c>
      <c r="Q95" s="117">
        <v>0</v>
      </c>
      <c r="R95" s="117">
        <v>0</v>
      </c>
      <c r="S95" s="119">
        <v>0</v>
      </c>
      <c r="T95" s="119">
        <v>0</v>
      </c>
      <c r="U95" s="119">
        <v>0</v>
      </c>
      <c r="V95" s="119" t="str">
        <f t="shared" si="3"/>
        <v xml:space="preserve"> </v>
      </c>
    </row>
    <row r="96" spans="1:22" hidden="1">
      <c r="A96" s="450" t="s">
        <v>292</v>
      </c>
      <c r="B96" s="114">
        <f>_xlfn.IFNA(VLOOKUP(Table1[[#This Row],[SKU]],'Kilter Holds'!$P$36:$S$370,4,0),0)</f>
        <v>0</v>
      </c>
      <c r="C96" s="115">
        <v>1</v>
      </c>
      <c r="D96" s="120">
        <v>0</v>
      </c>
      <c r="E96" s="120">
        <v>0</v>
      </c>
      <c r="F96" s="120">
        <v>0</v>
      </c>
      <c r="G96" s="120">
        <v>0</v>
      </c>
      <c r="H96" s="120">
        <v>0</v>
      </c>
      <c r="I96" s="120">
        <v>0</v>
      </c>
      <c r="J96" s="120">
        <v>0</v>
      </c>
      <c r="K96" s="120">
        <v>0</v>
      </c>
      <c r="L96" s="123">
        <v>0</v>
      </c>
      <c r="M96" s="117">
        <f>IFERROR(1*B96,0)</f>
        <v>0</v>
      </c>
      <c r="N96" s="118">
        <v>0</v>
      </c>
      <c r="O96" s="118">
        <v>0</v>
      </c>
      <c r="P96" s="118">
        <v>0</v>
      </c>
      <c r="Q96" s="118">
        <v>0</v>
      </c>
      <c r="R96" s="118">
        <v>0</v>
      </c>
      <c r="S96" s="119">
        <v>0</v>
      </c>
      <c r="T96" s="119">
        <v>0</v>
      </c>
      <c r="U96" s="119">
        <v>0</v>
      </c>
      <c r="V96" s="119" t="str">
        <f t="shared" si="3"/>
        <v xml:space="preserve"> </v>
      </c>
    </row>
    <row r="97" spans="1:22" hidden="1">
      <c r="A97" s="453" t="s">
        <v>882</v>
      </c>
      <c r="B97" s="114">
        <f>_xlfn.IFNA(VLOOKUP(Table1[[#This Row],[SKU]],'Kilter Holds'!$P$36:$S$370,4,0),0)</f>
        <v>0</v>
      </c>
      <c r="C97" s="115">
        <v>3</v>
      </c>
      <c r="D97" s="120">
        <v>0</v>
      </c>
      <c r="E97" s="120">
        <v>0</v>
      </c>
      <c r="F97" s="120">
        <v>0</v>
      </c>
      <c r="G97" s="120">
        <v>0</v>
      </c>
      <c r="H97" s="120">
        <v>0</v>
      </c>
      <c r="I97" s="117">
        <f>IFERROR(1*B97,0)</f>
        <v>0</v>
      </c>
      <c r="J97" s="117">
        <f>IFERROR(1*B97,0)</f>
        <v>0</v>
      </c>
      <c r="K97" s="117">
        <f>IFERROR(1*B97,0)</f>
        <v>0</v>
      </c>
      <c r="L97" s="123">
        <v>0</v>
      </c>
      <c r="M97" s="118">
        <v>0</v>
      </c>
      <c r="N97" s="118">
        <v>0</v>
      </c>
      <c r="O97" s="118">
        <v>0</v>
      </c>
      <c r="P97" s="118">
        <v>0</v>
      </c>
      <c r="Q97" s="118">
        <v>0</v>
      </c>
      <c r="R97" s="118">
        <v>0</v>
      </c>
      <c r="S97" s="119">
        <v>0</v>
      </c>
      <c r="T97" s="119">
        <v>0</v>
      </c>
      <c r="U97" s="119">
        <v>0</v>
      </c>
      <c r="V97" s="119" t="str">
        <f t="shared" si="3"/>
        <v xml:space="preserve"> </v>
      </c>
    </row>
    <row r="98" spans="1:22" hidden="1">
      <c r="A98" s="449" t="s">
        <v>158</v>
      </c>
      <c r="B98" s="114">
        <f>_xlfn.IFNA(VLOOKUP(Table1[[#This Row],[SKU]],'Kilter Holds'!$P$36:$S$370,4,0),0)</f>
        <v>0</v>
      </c>
      <c r="C98" s="115">
        <v>1</v>
      </c>
      <c r="D98" s="116">
        <v>0</v>
      </c>
      <c r="E98" s="116">
        <v>0</v>
      </c>
      <c r="F98" s="116">
        <v>0</v>
      </c>
      <c r="G98" s="116">
        <v>0</v>
      </c>
      <c r="H98" s="116">
        <v>0</v>
      </c>
      <c r="I98" s="117">
        <f>IFERROR(1*B98,0)</f>
        <v>0</v>
      </c>
      <c r="J98" s="117">
        <v>0</v>
      </c>
      <c r="K98" s="117">
        <v>0</v>
      </c>
      <c r="L98" s="123">
        <v>0</v>
      </c>
      <c r="M98" s="117">
        <v>0</v>
      </c>
      <c r="N98" s="117">
        <v>0</v>
      </c>
      <c r="O98" s="117">
        <v>0</v>
      </c>
      <c r="P98" s="117">
        <v>0</v>
      </c>
      <c r="Q98" s="117">
        <v>0</v>
      </c>
      <c r="R98" s="117">
        <v>0</v>
      </c>
      <c r="S98" s="119">
        <v>0</v>
      </c>
      <c r="T98" s="119">
        <v>0</v>
      </c>
      <c r="U98" s="119">
        <v>0</v>
      </c>
      <c r="V98" s="119" t="str">
        <f t="shared" si="3"/>
        <v xml:space="preserve"> </v>
      </c>
    </row>
    <row r="99" spans="1:22" hidden="1">
      <c r="A99" s="450" t="s">
        <v>159</v>
      </c>
      <c r="B99" s="114">
        <f>_xlfn.IFNA(VLOOKUP(Table1[[#This Row],[SKU]],'Kilter Holds'!$P$36:$S$370,4,0),0)</f>
        <v>0</v>
      </c>
      <c r="C99" s="115">
        <v>1</v>
      </c>
      <c r="D99" s="120">
        <v>0</v>
      </c>
      <c r="E99" s="120">
        <v>0</v>
      </c>
      <c r="F99" s="120">
        <v>0</v>
      </c>
      <c r="G99" s="120">
        <v>0</v>
      </c>
      <c r="H99" s="120">
        <v>0</v>
      </c>
      <c r="I99" s="120">
        <v>0</v>
      </c>
      <c r="J99" s="117">
        <f>IFERROR(1*B99,0)</f>
        <v>0</v>
      </c>
      <c r="K99" s="118">
        <v>0</v>
      </c>
      <c r="L99" s="123">
        <v>0</v>
      </c>
      <c r="M99" s="118">
        <v>0</v>
      </c>
      <c r="N99" s="118">
        <v>0</v>
      </c>
      <c r="O99" s="118">
        <v>0</v>
      </c>
      <c r="P99" s="118">
        <v>0</v>
      </c>
      <c r="Q99" s="118">
        <v>0</v>
      </c>
      <c r="R99" s="118">
        <v>0</v>
      </c>
      <c r="S99" s="119">
        <v>0</v>
      </c>
      <c r="T99" s="119">
        <v>0</v>
      </c>
      <c r="U99" s="119">
        <v>0</v>
      </c>
      <c r="V99" s="119" t="str">
        <f t="shared" si="3"/>
        <v xml:space="preserve"> </v>
      </c>
    </row>
    <row r="100" spans="1:22" hidden="1">
      <c r="A100" s="449" t="s">
        <v>160</v>
      </c>
      <c r="B100" s="114">
        <f>_xlfn.IFNA(VLOOKUP(Table1[[#This Row],[SKU]],'Kilter Holds'!$P$36:$S$370,4,0),0)</f>
        <v>0</v>
      </c>
      <c r="C100" s="115">
        <v>1</v>
      </c>
      <c r="D100" s="116">
        <v>0</v>
      </c>
      <c r="E100" s="116">
        <v>0</v>
      </c>
      <c r="F100" s="116">
        <v>0</v>
      </c>
      <c r="G100" s="116">
        <v>0</v>
      </c>
      <c r="H100" s="116">
        <v>0</v>
      </c>
      <c r="I100" s="116">
        <v>0</v>
      </c>
      <c r="J100" s="117">
        <v>0</v>
      </c>
      <c r="K100" s="117">
        <f>IFERROR(1*B100,0)</f>
        <v>0</v>
      </c>
      <c r="L100" s="123">
        <v>0</v>
      </c>
      <c r="M100" s="117">
        <v>0</v>
      </c>
      <c r="N100" s="117">
        <v>0</v>
      </c>
      <c r="O100" s="117">
        <v>0</v>
      </c>
      <c r="P100" s="117">
        <v>0</v>
      </c>
      <c r="Q100" s="117">
        <v>0</v>
      </c>
      <c r="R100" s="117">
        <v>0</v>
      </c>
      <c r="S100" s="119">
        <v>0</v>
      </c>
      <c r="T100" s="119">
        <v>0</v>
      </c>
      <c r="U100" s="119">
        <v>0</v>
      </c>
      <c r="V100" s="119" t="str">
        <f t="shared" si="3"/>
        <v xml:space="preserve"> </v>
      </c>
    </row>
    <row r="101" spans="1:22" hidden="1">
      <c r="A101" s="450" t="s">
        <v>164</v>
      </c>
      <c r="B101" s="114">
        <f>_xlfn.IFNA(VLOOKUP(Table1[[#This Row],[SKU]],'Kilter Holds'!$P$36:$S$370,4,0),0)</f>
        <v>0</v>
      </c>
      <c r="C101" s="115">
        <v>4</v>
      </c>
      <c r="D101" s="120">
        <v>0</v>
      </c>
      <c r="E101" s="118">
        <v>0</v>
      </c>
      <c r="F101" s="117">
        <f>IFERROR(2*B101,0)</f>
        <v>0</v>
      </c>
      <c r="G101" s="117">
        <f>IFERROR(2*B101,0)</f>
        <v>0</v>
      </c>
      <c r="H101" s="118">
        <v>0</v>
      </c>
      <c r="I101" s="118">
        <v>0</v>
      </c>
      <c r="J101" s="118">
        <v>0</v>
      </c>
      <c r="K101" s="118">
        <v>0</v>
      </c>
      <c r="L101" s="123">
        <v>0</v>
      </c>
      <c r="M101" s="118">
        <v>0</v>
      </c>
      <c r="N101" s="118">
        <v>0</v>
      </c>
      <c r="O101" s="118">
        <v>0</v>
      </c>
      <c r="P101" s="118">
        <v>0</v>
      </c>
      <c r="Q101" s="118">
        <v>0</v>
      </c>
      <c r="R101" s="118">
        <v>0</v>
      </c>
      <c r="S101" s="119">
        <v>0</v>
      </c>
      <c r="T101" s="119">
        <v>0</v>
      </c>
      <c r="U101" s="119">
        <v>0</v>
      </c>
      <c r="V101" s="119" t="str">
        <f t="shared" si="3"/>
        <v xml:space="preserve"> </v>
      </c>
    </row>
    <row r="102" spans="1:22" hidden="1">
      <c r="A102" s="449" t="s">
        <v>165</v>
      </c>
      <c r="B102" s="114">
        <f>_xlfn.IFNA(VLOOKUP(Table1[[#This Row],[SKU]],'Kilter Holds'!$P$36:$S$370,4,0),0)</f>
        <v>0</v>
      </c>
      <c r="C102" s="115">
        <v>4</v>
      </c>
      <c r="D102" s="116">
        <v>0</v>
      </c>
      <c r="E102" s="117">
        <v>0</v>
      </c>
      <c r="F102" s="117">
        <f>IFERROR(2*B102,0)</f>
        <v>0</v>
      </c>
      <c r="G102" s="117">
        <f>IFERROR(2*B102,0)</f>
        <v>0</v>
      </c>
      <c r="H102" s="117">
        <v>0</v>
      </c>
      <c r="I102" s="117">
        <v>0</v>
      </c>
      <c r="J102" s="117">
        <v>0</v>
      </c>
      <c r="K102" s="117">
        <v>0</v>
      </c>
      <c r="L102" s="123">
        <v>0</v>
      </c>
      <c r="M102" s="117">
        <v>0</v>
      </c>
      <c r="N102" s="117">
        <v>0</v>
      </c>
      <c r="O102" s="117">
        <v>0</v>
      </c>
      <c r="P102" s="117">
        <v>0</v>
      </c>
      <c r="Q102" s="117">
        <v>0</v>
      </c>
      <c r="R102" s="117">
        <v>0</v>
      </c>
      <c r="S102" s="119">
        <v>0</v>
      </c>
      <c r="T102" s="119">
        <v>0</v>
      </c>
      <c r="U102" s="119">
        <v>0</v>
      </c>
      <c r="V102" s="119" t="str">
        <f t="shared" si="3"/>
        <v xml:space="preserve"> </v>
      </c>
    </row>
    <row r="103" spans="1:22" hidden="1">
      <c r="A103" s="450" t="s">
        <v>275</v>
      </c>
      <c r="B103" s="114">
        <f>_xlfn.IFNA(VLOOKUP(Table1[[#This Row],[SKU]],'Kilter Holds'!$P$36:$S$370,4,0),0)</f>
        <v>0</v>
      </c>
      <c r="C103" s="115">
        <v>4</v>
      </c>
      <c r="D103" s="120">
        <v>0</v>
      </c>
      <c r="E103" s="118">
        <v>0</v>
      </c>
      <c r="F103" s="118">
        <v>0</v>
      </c>
      <c r="G103" s="117">
        <f>IFERROR(1*B103,0)</f>
        <v>0</v>
      </c>
      <c r="H103" s="117">
        <f>IFERROR(2*B103,0)</f>
        <v>0</v>
      </c>
      <c r="I103" s="117">
        <f>IFERROR(1*B103,0)</f>
        <v>0</v>
      </c>
      <c r="J103" s="118">
        <v>0</v>
      </c>
      <c r="K103" s="118">
        <v>0</v>
      </c>
      <c r="L103" s="123">
        <v>0</v>
      </c>
      <c r="M103" s="118">
        <v>0</v>
      </c>
      <c r="N103" s="118">
        <v>0</v>
      </c>
      <c r="O103" s="118">
        <v>0</v>
      </c>
      <c r="P103" s="118">
        <v>0</v>
      </c>
      <c r="Q103" s="118">
        <v>0</v>
      </c>
      <c r="R103" s="118">
        <v>0</v>
      </c>
      <c r="S103" s="119">
        <v>0</v>
      </c>
      <c r="T103" s="119">
        <v>0</v>
      </c>
      <c r="U103" s="119">
        <v>0</v>
      </c>
      <c r="V103" s="119" t="str">
        <f t="shared" si="3"/>
        <v xml:space="preserve"> </v>
      </c>
    </row>
    <row r="104" spans="1:22" hidden="1">
      <c r="A104" s="450" t="s">
        <v>297</v>
      </c>
      <c r="B104" s="114">
        <f>_xlfn.IFNA(VLOOKUP(Table1[[#This Row],[SKU]],'Kilter Holds'!$P$36:$S$370,4,0),0)</f>
        <v>0</v>
      </c>
      <c r="C104" s="115">
        <v>5</v>
      </c>
      <c r="D104" s="120">
        <v>0</v>
      </c>
      <c r="E104" s="118">
        <v>0</v>
      </c>
      <c r="F104" s="118">
        <v>0</v>
      </c>
      <c r="G104" s="117">
        <f>IFERROR(5*B104,0)</f>
        <v>0</v>
      </c>
      <c r="H104" s="118">
        <v>0</v>
      </c>
      <c r="I104" s="118">
        <v>0</v>
      </c>
      <c r="J104" s="118">
        <v>0</v>
      </c>
      <c r="K104" s="118">
        <v>0</v>
      </c>
      <c r="L104" s="123">
        <v>0</v>
      </c>
      <c r="M104" s="118">
        <v>0</v>
      </c>
      <c r="N104" s="118">
        <v>0</v>
      </c>
      <c r="O104" s="118">
        <v>0</v>
      </c>
      <c r="P104" s="118">
        <v>0</v>
      </c>
      <c r="Q104" s="118">
        <v>0</v>
      </c>
      <c r="R104" s="118">
        <v>0</v>
      </c>
      <c r="S104" s="119">
        <v>0</v>
      </c>
      <c r="T104" s="119">
        <v>0</v>
      </c>
      <c r="U104" s="119">
        <v>0</v>
      </c>
      <c r="V104" s="119" t="str">
        <f t="shared" si="3"/>
        <v xml:space="preserve"> </v>
      </c>
    </row>
    <row r="105" spans="1:22" hidden="1">
      <c r="A105" s="449" t="s">
        <v>316</v>
      </c>
      <c r="B105" s="114">
        <f>_xlfn.IFNA(VLOOKUP(Table1[[#This Row],[SKU]],'Kilter Holds'!$P$36:$S$370,4,0),0)</f>
        <v>0</v>
      </c>
      <c r="C105" s="115">
        <v>10</v>
      </c>
      <c r="D105" s="116">
        <v>0</v>
      </c>
      <c r="E105" s="117">
        <f>IFERROR(10*B105,0)</f>
        <v>0</v>
      </c>
      <c r="F105" s="117">
        <v>0</v>
      </c>
      <c r="G105" s="117">
        <v>0</v>
      </c>
      <c r="H105" s="117">
        <v>0</v>
      </c>
      <c r="I105" s="117">
        <v>0</v>
      </c>
      <c r="J105" s="117">
        <v>0</v>
      </c>
      <c r="K105" s="117">
        <v>0</v>
      </c>
      <c r="L105" s="123">
        <v>0</v>
      </c>
      <c r="M105" s="117">
        <v>0</v>
      </c>
      <c r="N105" s="117">
        <v>0</v>
      </c>
      <c r="O105" s="117">
        <v>0</v>
      </c>
      <c r="P105" s="117">
        <v>0</v>
      </c>
      <c r="Q105" s="117">
        <v>0</v>
      </c>
      <c r="R105" s="117">
        <v>0</v>
      </c>
      <c r="S105" s="119">
        <v>0</v>
      </c>
      <c r="T105" s="119">
        <v>0</v>
      </c>
      <c r="U105" s="119">
        <v>0</v>
      </c>
      <c r="V105" s="119" t="str">
        <f t="shared" si="3"/>
        <v xml:space="preserve"> </v>
      </c>
    </row>
    <row r="106" spans="1:22" hidden="1">
      <c r="A106" s="453" t="s">
        <v>892</v>
      </c>
      <c r="B106" s="114">
        <f>_xlfn.IFNA(VLOOKUP(Table1[[#This Row],[SKU]],'Kilter Holds'!$P$36:$S$370,4,0),0)</f>
        <v>0</v>
      </c>
      <c r="C106" s="115">
        <v>20</v>
      </c>
      <c r="D106" s="117">
        <f>IFERROR(20*B106,0)</f>
        <v>0</v>
      </c>
      <c r="E106" s="118">
        <v>0</v>
      </c>
      <c r="F106" s="118">
        <v>0</v>
      </c>
      <c r="G106" s="118">
        <v>0</v>
      </c>
      <c r="H106" s="118">
        <v>0</v>
      </c>
      <c r="I106" s="118">
        <v>0</v>
      </c>
      <c r="J106" s="118">
        <v>0</v>
      </c>
      <c r="K106" s="118">
        <v>0</v>
      </c>
      <c r="L106" s="123">
        <v>0</v>
      </c>
      <c r="M106" s="118">
        <v>0</v>
      </c>
      <c r="N106" s="118">
        <v>0</v>
      </c>
      <c r="O106" s="118">
        <v>0</v>
      </c>
      <c r="P106" s="118">
        <v>0</v>
      </c>
      <c r="Q106" s="118">
        <v>0</v>
      </c>
      <c r="R106" s="118">
        <v>0</v>
      </c>
      <c r="S106" s="119">
        <v>0</v>
      </c>
      <c r="T106" s="119">
        <v>0</v>
      </c>
      <c r="U106" s="119">
        <v>0</v>
      </c>
      <c r="V106" s="119" t="str">
        <f t="shared" si="3"/>
        <v xml:space="preserve"> </v>
      </c>
    </row>
    <row r="107" spans="1:22" hidden="1">
      <c r="A107" s="449" t="s">
        <v>333</v>
      </c>
      <c r="B107" s="114">
        <f>_xlfn.IFNA(VLOOKUP(Table1[[#This Row],[SKU]],'Kilter Holds'!$P$36:$S$370,4,0),0)</f>
        <v>0</v>
      </c>
      <c r="C107" s="115">
        <v>10</v>
      </c>
      <c r="D107" s="117">
        <f t="shared" ref="D107:D114" si="4">IFERROR(10*B107,0)</f>
        <v>0</v>
      </c>
      <c r="E107" s="117">
        <v>0</v>
      </c>
      <c r="F107" s="117">
        <v>0</v>
      </c>
      <c r="G107" s="117">
        <v>0</v>
      </c>
      <c r="H107" s="117">
        <v>0</v>
      </c>
      <c r="I107" s="117">
        <v>0</v>
      </c>
      <c r="J107" s="117">
        <v>0</v>
      </c>
      <c r="K107" s="117">
        <v>0</v>
      </c>
      <c r="L107" s="123">
        <v>0</v>
      </c>
      <c r="M107" s="117">
        <v>0</v>
      </c>
      <c r="N107" s="117">
        <v>0</v>
      </c>
      <c r="O107" s="117">
        <v>0</v>
      </c>
      <c r="P107" s="117">
        <v>0</v>
      </c>
      <c r="Q107" s="117">
        <v>0</v>
      </c>
      <c r="R107" s="117">
        <v>0</v>
      </c>
      <c r="S107" s="119">
        <v>0</v>
      </c>
      <c r="T107" s="119">
        <v>0</v>
      </c>
      <c r="U107" s="119">
        <v>0</v>
      </c>
      <c r="V107" s="119" t="str">
        <f t="shared" si="3"/>
        <v xml:space="preserve"> </v>
      </c>
    </row>
    <row r="108" spans="1:22" hidden="1">
      <c r="A108" s="450" t="s">
        <v>188</v>
      </c>
      <c r="B108" s="114">
        <f>_xlfn.IFNA(VLOOKUP(Table1[[#This Row],[SKU]],'Kilter Holds'!$P$36:$S$370,4,0),0)</f>
        <v>0</v>
      </c>
      <c r="C108" s="115">
        <v>10</v>
      </c>
      <c r="D108" s="117">
        <f t="shared" si="4"/>
        <v>0</v>
      </c>
      <c r="E108" s="118">
        <v>0</v>
      </c>
      <c r="F108" s="118">
        <v>0</v>
      </c>
      <c r="G108" s="118">
        <v>0</v>
      </c>
      <c r="H108" s="118">
        <v>0</v>
      </c>
      <c r="I108" s="118">
        <v>0</v>
      </c>
      <c r="J108" s="118">
        <v>0</v>
      </c>
      <c r="K108" s="118">
        <v>0</v>
      </c>
      <c r="L108" s="123">
        <v>0</v>
      </c>
      <c r="M108" s="118">
        <v>0</v>
      </c>
      <c r="N108" s="118">
        <v>0</v>
      </c>
      <c r="O108" s="118">
        <v>0</v>
      </c>
      <c r="P108" s="118">
        <v>0</v>
      </c>
      <c r="Q108" s="118">
        <v>0</v>
      </c>
      <c r="R108" s="118">
        <v>0</v>
      </c>
      <c r="S108" s="119">
        <v>0</v>
      </c>
      <c r="T108" s="119">
        <v>0</v>
      </c>
      <c r="U108" s="119">
        <v>0</v>
      </c>
      <c r="V108" s="119" t="str">
        <f t="shared" si="3"/>
        <v xml:space="preserve"> </v>
      </c>
    </row>
    <row r="109" spans="1:22" hidden="1">
      <c r="A109" s="449" t="s">
        <v>189</v>
      </c>
      <c r="B109" s="114">
        <f>_xlfn.IFNA(VLOOKUP(Table1[[#This Row],[SKU]],'Kilter Holds'!$P$36:$S$370,4,0),0)</f>
        <v>0</v>
      </c>
      <c r="C109" s="115">
        <v>10</v>
      </c>
      <c r="D109" s="117">
        <f t="shared" si="4"/>
        <v>0</v>
      </c>
      <c r="E109" s="117">
        <v>0</v>
      </c>
      <c r="F109" s="117">
        <v>0</v>
      </c>
      <c r="G109" s="117">
        <v>0</v>
      </c>
      <c r="H109" s="117">
        <v>0</v>
      </c>
      <c r="I109" s="117">
        <v>0</v>
      </c>
      <c r="J109" s="117">
        <v>0</v>
      </c>
      <c r="K109" s="117">
        <v>0</v>
      </c>
      <c r="L109" s="123">
        <v>0</v>
      </c>
      <c r="M109" s="117">
        <v>0</v>
      </c>
      <c r="N109" s="117">
        <v>0</v>
      </c>
      <c r="O109" s="117">
        <v>0</v>
      </c>
      <c r="P109" s="117">
        <v>0</v>
      </c>
      <c r="Q109" s="117">
        <v>0</v>
      </c>
      <c r="R109" s="117">
        <v>0</v>
      </c>
      <c r="S109" s="119">
        <v>0</v>
      </c>
      <c r="T109" s="119">
        <v>0</v>
      </c>
      <c r="U109" s="119">
        <v>0</v>
      </c>
      <c r="V109" s="119" t="str">
        <f t="shared" si="3"/>
        <v xml:space="preserve"> </v>
      </c>
    </row>
    <row r="110" spans="1:22" hidden="1">
      <c r="A110" s="450" t="s">
        <v>317</v>
      </c>
      <c r="B110" s="114">
        <f>_xlfn.IFNA(VLOOKUP(Table1[[#This Row],[SKU]],'Kilter Holds'!$P$36:$S$370,4,0),0)</f>
        <v>0</v>
      </c>
      <c r="C110" s="115">
        <v>10</v>
      </c>
      <c r="D110" s="117">
        <f t="shared" si="4"/>
        <v>0</v>
      </c>
      <c r="E110" s="117">
        <f>IFERROR(3*A110,0)</f>
        <v>0</v>
      </c>
      <c r="F110" s="118">
        <v>0</v>
      </c>
      <c r="G110" s="118">
        <v>0</v>
      </c>
      <c r="H110" s="118">
        <v>0</v>
      </c>
      <c r="I110" s="118">
        <v>0</v>
      </c>
      <c r="J110" s="118">
        <v>0</v>
      </c>
      <c r="K110" s="118">
        <v>0</v>
      </c>
      <c r="L110" s="123">
        <v>0</v>
      </c>
      <c r="M110" s="118">
        <v>0</v>
      </c>
      <c r="N110" s="118">
        <v>0</v>
      </c>
      <c r="O110" s="118">
        <v>0</v>
      </c>
      <c r="P110" s="118">
        <v>0</v>
      </c>
      <c r="Q110" s="118">
        <v>0</v>
      </c>
      <c r="R110" s="118">
        <v>0</v>
      </c>
      <c r="S110" s="119">
        <v>0</v>
      </c>
      <c r="T110" s="119">
        <v>0</v>
      </c>
      <c r="U110" s="119">
        <v>0</v>
      </c>
      <c r="V110" s="119" t="str">
        <f t="shared" si="3"/>
        <v xml:space="preserve"> </v>
      </c>
    </row>
    <row r="111" spans="1:22" hidden="1">
      <c r="A111" s="449" t="s">
        <v>318</v>
      </c>
      <c r="B111" s="114">
        <f>_xlfn.IFNA(VLOOKUP(Table1[[#This Row],[SKU]],'Kilter Holds'!$P$36:$S$370,4,0),0)</f>
        <v>0</v>
      </c>
      <c r="C111" s="115">
        <v>10</v>
      </c>
      <c r="D111" s="117">
        <f t="shared" si="4"/>
        <v>0</v>
      </c>
      <c r="E111" s="117">
        <v>0</v>
      </c>
      <c r="F111" s="117">
        <v>0</v>
      </c>
      <c r="G111" s="117">
        <v>0</v>
      </c>
      <c r="H111" s="117">
        <v>0</v>
      </c>
      <c r="I111" s="117">
        <v>0</v>
      </c>
      <c r="J111" s="117">
        <v>0</v>
      </c>
      <c r="K111" s="117">
        <v>0</v>
      </c>
      <c r="L111" s="123">
        <v>0</v>
      </c>
      <c r="M111" s="117">
        <v>0</v>
      </c>
      <c r="N111" s="117">
        <v>0</v>
      </c>
      <c r="O111" s="117">
        <v>0</v>
      </c>
      <c r="P111" s="117">
        <v>0</v>
      </c>
      <c r="Q111" s="117">
        <v>0</v>
      </c>
      <c r="R111" s="117">
        <v>0</v>
      </c>
      <c r="S111" s="119">
        <v>0</v>
      </c>
      <c r="T111" s="119">
        <v>0</v>
      </c>
      <c r="U111" s="119">
        <v>0</v>
      </c>
      <c r="V111" s="119" t="str">
        <f t="shared" si="3"/>
        <v xml:space="preserve"> </v>
      </c>
    </row>
    <row r="112" spans="1:22" hidden="1">
      <c r="A112" s="450" t="s">
        <v>190</v>
      </c>
      <c r="B112" s="114">
        <f>_xlfn.IFNA(VLOOKUP(Table1[[#This Row],[SKU]],'Kilter Holds'!$P$36:$S$370,4,0),0)</f>
        <v>0</v>
      </c>
      <c r="C112" s="115">
        <v>10</v>
      </c>
      <c r="D112" s="117">
        <f t="shared" si="4"/>
        <v>0</v>
      </c>
      <c r="E112" s="118">
        <v>0</v>
      </c>
      <c r="F112" s="118">
        <v>0</v>
      </c>
      <c r="G112" s="118">
        <v>0</v>
      </c>
      <c r="H112" s="118">
        <v>0</v>
      </c>
      <c r="I112" s="118">
        <v>0</v>
      </c>
      <c r="J112" s="118">
        <v>0</v>
      </c>
      <c r="K112" s="118">
        <v>0</v>
      </c>
      <c r="L112" s="123">
        <v>0</v>
      </c>
      <c r="M112" s="118">
        <v>0</v>
      </c>
      <c r="N112" s="118">
        <v>0</v>
      </c>
      <c r="O112" s="118">
        <v>0</v>
      </c>
      <c r="P112" s="118">
        <v>0</v>
      </c>
      <c r="Q112" s="118">
        <v>0</v>
      </c>
      <c r="R112" s="118">
        <v>0</v>
      </c>
      <c r="S112" s="119">
        <v>0</v>
      </c>
      <c r="T112" s="119">
        <v>0</v>
      </c>
      <c r="U112" s="119">
        <v>0</v>
      </c>
      <c r="V112" s="119" t="str">
        <f t="shared" si="3"/>
        <v xml:space="preserve"> </v>
      </c>
    </row>
    <row r="113" spans="1:22" hidden="1">
      <c r="A113" s="449" t="s">
        <v>191</v>
      </c>
      <c r="B113" s="114">
        <f>_xlfn.IFNA(VLOOKUP(Table1[[#This Row],[SKU]],'Kilter Holds'!$P$36:$S$370,4,0),0)</f>
        <v>0</v>
      </c>
      <c r="C113" s="115">
        <v>10</v>
      </c>
      <c r="D113" s="117">
        <f t="shared" si="4"/>
        <v>0</v>
      </c>
      <c r="E113" s="117">
        <v>0</v>
      </c>
      <c r="F113" s="117">
        <v>0</v>
      </c>
      <c r="G113" s="117">
        <v>0</v>
      </c>
      <c r="H113" s="117">
        <v>0</v>
      </c>
      <c r="I113" s="117">
        <v>0</v>
      </c>
      <c r="J113" s="117">
        <v>0</v>
      </c>
      <c r="K113" s="117">
        <v>0</v>
      </c>
      <c r="L113" s="123">
        <v>0</v>
      </c>
      <c r="M113" s="117">
        <v>0</v>
      </c>
      <c r="N113" s="117">
        <v>0</v>
      </c>
      <c r="O113" s="117">
        <v>0</v>
      </c>
      <c r="P113" s="117">
        <v>0</v>
      </c>
      <c r="Q113" s="117">
        <v>0</v>
      </c>
      <c r="R113" s="117">
        <v>0</v>
      </c>
      <c r="S113" s="119">
        <v>0</v>
      </c>
      <c r="T113" s="119">
        <v>0</v>
      </c>
      <c r="U113" s="119">
        <v>0</v>
      </c>
      <c r="V113" s="119" t="str">
        <f t="shared" si="3"/>
        <v xml:space="preserve"> </v>
      </c>
    </row>
    <row r="114" spans="1:22" hidden="1">
      <c r="A114" s="450" t="s">
        <v>192</v>
      </c>
      <c r="B114" s="114">
        <f>_xlfn.IFNA(VLOOKUP(Table1[[#This Row],[SKU]],'Kilter Holds'!$P$36:$S$370,4,0),0)</f>
        <v>0</v>
      </c>
      <c r="C114" s="115">
        <v>10</v>
      </c>
      <c r="D114" s="117">
        <f t="shared" si="4"/>
        <v>0</v>
      </c>
      <c r="E114" s="118">
        <v>0</v>
      </c>
      <c r="F114" s="118">
        <v>0</v>
      </c>
      <c r="G114" s="118">
        <v>0</v>
      </c>
      <c r="H114" s="118">
        <v>0</v>
      </c>
      <c r="I114" s="118">
        <v>0</v>
      </c>
      <c r="J114" s="118">
        <v>0</v>
      </c>
      <c r="K114" s="118">
        <v>0</v>
      </c>
      <c r="L114" s="123">
        <v>0</v>
      </c>
      <c r="M114" s="118">
        <v>0</v>
      </c>
      <c r="N114" s="118">
        <v>0</v>
      </c>
      <c r="O114" s="118">
        <v>0</v>
      </c>
      <c r="P114" s="118">
        <v>0</v>
      </c>
      <c r="Q114" s="118">
        <v>0</v>
      </c>
      <c r="R114" s="118">
        <v>0</v>
      </c>
      <c r="S114" s="119">
        <v>0</v>
      </c>
      <c r="T114" s="119">
        <v>0</v>
      </c>
      <c r="U114" s="119">
        <v>0</v>
      </c>
      <c r="V114" s="119" t="str">
        <f t="shared" si="3"/>
        <v xml:space="preserve"> </v>
      </c>
    </row>
    <row r="115" spans="1:22" hidden="1">
      <c r="A115" s="449" t="s">
        <v>193</v>
      </c>
      <c r="B115" s="114">
        <f>_xlfn.IFNA(VLOOKUP(Table1[[#This Row],[SKU]],'Kilter Holds'!$P$36:$S$370,4,0),0)</f>
        <v>0</v>
      </c>
      <c r="C115" s="115">
        <v>10</v>
      </c>
      <c r="D115" s="117">
        <f>IFERROR(9*B115,0)</f>
        <v>0</v>
      </c>
      <c r="E115" s="117">
        <f>IFERROR(1*B115,0)</f>
        <v>0</v>
      </c>
      <c r="F115" s="117">
        <v>0</v>
      </c>
      <c r="G115" s="117">
        <v>0</v>
      </c>
      <c r="H115" s="117">
        <v>0</v>
      </c>
      <c r="I115" s="117">
        <v>0</v>
      </c>
      <c r="J115" s="117">
        <v>0</v>
      </c>
      <c r="K115" s="117">
        <v>0</v>
      </c>
      <c r="L115" s="123">
        <v>0</v>
      </c>
      <c r="M115" s="117">
        <v>0</v>
      </c>
      <c r="N115" s="117">
        <v>0</v>
      </c>
      <c r="O115" s="117">
        <v>0</v>
      </c>
      <c r="P115" s="117">
        <v>0</v>
      </c>
      <c r="Q115" s="117">
        <v>0</v>
      </c>
      <c r="R115" s="117">
        <v>0</v>
      </c>
      <c r="S115" s="119">
        <v>0</v>
      </c>
      <c r="T115" s="119">
        <v>0</v>
      </c>
      <c r="U115" s="119">
        <v>0</v>
      </c>
      <c r="V115" s="119" t="str">
        <f t="shared" si="3"/>
        <v xml:space="preserve"> </v>
      </c>
    </row>
    <row r="116" spans="1:22" hidden="1">
      <c r="A116" s="450" t="s">
        <v>304</v>
      </c>
      <c r="B116" s="114">
        <f>_xlfn.IFNA(VLOOKUP(Table1[[#This Row],[SKU]],'Kilter Holds'!$P$36:$S$370,4,0),0)</f>
        <v>0</v>
      </c>
      <c r="C116" s="115">
        <v>5</v>
      </c>
      <c r="D116" s="117">
        <f>IFERROR(5*B116,0)</f>
        <v>0</v>
      </c>
      <c r="E116" s="118">
        <v>0</v>
      </c>
      <c r="F116" s="118">
        <v>0</v>
      </c>
      <c r="G116" s="118">
        <v>0</v>
      </c>
      <c r="H116" s="118">
        <v>0</v>
      </c>
      <c r="I116" s="118">
        <v>0</v>
      </c>
      <c r="J116" s="118">
        <v>0</v>
      </c>
      <c r="K116" s="118">
        <v>0</v>
      </c>
      <c r="L116" s="123">
        <v>0</v>
      </c>
      <c r="M116" s="118">
        <v>0</v>
      </c>
      <c r="N116" s="118">
        <v>0</v>
      </c>
      <c r="O116" s="118">
        <v>0</v>
      </c>
      <c r="P116" s="118">
        <v>0</v>
      </c>
      <c r="Q116" s="118">
        <v>0</v>
      </c>
      <c r="R116" s="118">
        <v>0</v>
      </c>
      <c r="S116" s="119">
        <v>0</v>
      </c>
      <c r="T116" s="119">
        <v>0</v>
      </c>
      <c r="U116" s="119">
        <v>0</v>
      </c>
      <c r="V116" s="119" t="str">
        <f t="shared" si="3"/>
        <v xml:space="preserve"> </v>
      </c>
    </row>
    <row r="117" spans="1:22" hidden="1">
      <c r="A117" s="450" t="s">
        <v>206</v>
      </c>
      <c r="B117" s="114">
        <f>_xlfn.IFNA(VLOOKUP(Table1[[#This Row],[SKU]],'Kilter Holds'!$P$36:$S$370,4,0),0)</f>
        <v>0</v>
      </c>
      <c r="C117" s="115">
        <v>10</v>
      </c>
      <c r="D117" s="117">
        <f t="shared" ref="D117:D122" si="5">IFERROR(10*B117,0)</f>
        <v>0</v>
      </c>
      <c r="E117" s="118">
        <v>0</v>
      </c>
      <c r="F117" s="118">
        <v>0</v>
      </c>
      <c r="G117" s="118">
        <v>0</v>
      </c>
      <c r="H117" s="118">
        <v>0</v>
      </c>
      <c r="I117" s="118">
        <v>0</v>
      </c>
      <c r="J117" s="118">
        <v>0</v>
      </c>
      <c r="K117" s="118">
        <v>0</v>
      </c>
      <c r="L117" s="123">
        <v>0</v>
      </c>
      <c r="M117" s="118">
        <v>0</v>
      </c>
      <c r="N117" s="118">
        <v>0</v>
      </c>
      <c r="O117" s="118">
        <v>0</v>
      </c>
      <c r="P117" s="118">
        <v>0</v>
      </c>
      <c r="Q117" s="118">
        <v>0</v>
      </c>
      <c r="R117" s="118">
        <v>0</v>
      </c>
      <c r="S117" s="119">
        <v>0</v>
      </c>
      <c r="T117" s="119">
        <v>0</v>
      </c>
      <c r="U117" s="119">
        <v>0</v>
      </c>
      <c r="V117" s="119" t="str">
        <f t="shared" si="3"/>
        <v xml:space="preserve"> </v>
      </c>
    </row>
    <row r="118" spans="1:22" hidden="1">
      <c r="A118" s="449" t="s">
        <v>334</v>
      </c>
      <c r="B118" s="114">
        <f>_xlfn.IFNA(VLOOKUP(Table1[[#This Row],[SKU]],'Kilter Holds'!$P$36:$S$370,4,0),0)</f>
        <v>0</v>
      </c>
      <c r="C118" s="115">
        <v>10</v>
      </c>
      <c r="D118" s="117">
        <f t="shared" si="5"/>
        <v>0</v>
      </c>
      <c r="E118" s="117">
        <v>0</v>
      </c>
      <c r="F118" s="117">
        <v>0</v>
      </c>
      <c r="G118" s="117">
        <v>0</v>
      </c>
      <c r="H118" s="117">
        <v>0</v>
      </c>
      <c r="I118" s="117">
        <v>0</v>
      </c>
      <c r="J118" s="117">
        <v>0</v>
      </c>
      <c r="K118" s="117">
        <v>0</v>
      </c>
      <c r="L118" s="123">
        <v>0</v>
      </c>
      <c r="M118" s="117">
        <v>0</v>
      </c>
      <c r="N118" s="117">
        <v>0</v>
      </c>
      <c r="O118" s="117">
        <v>0</v>
      </c>
      <c r="P118" s="117">
        <v>0</v>
      </c>
      <c r="Q118" s="117">
        <v>0</v>
      </c>
      <c r="R118" s="117">
        <v>0</v>
      </c>
      <c r="S118" s="119">
        <v>0</v>
      </c>
      <c r="T118" s="119">
        <v>0</v>
      </c>
      <c r="U118" s="119">
        <v>0</v>
      </c>
      <c r="V118" s="119" t="str">
        <f t="shared" si="3"/>
        <v xml:space="preserve"> </v>
      </c>
    </row>
    <row r="119" spans="1:22" hidden="1">
      <c r="A119" s="450" t="s">
        <v>207</v>
      </c>
      <c r="B119" s="114">
        <f>_xlfn.IFNA(VLOOKUP(Table1[[#This Row],[SKU]],'Kilter Holds'!$P$36:$S$370,4,0),0)</f>
        <v>0</v>
      </c>
      <c r="C119" s="115">
        <v>10</v>
      </c>
      <c r="D119" s="117">
        <f t="shared" si="5"/>
        <v>0</v>
      </c>
      <c r="E119" s="118">
        <v>0</v>
      </c>
      <c r="F119" s="118">
        <v>0</v>
      </c>
      <c r="G119" s="118">
        <v>0</v>
      </c>
      <c r="H119" s="118">
        <v>0</v>
      </c>
      <c r="I119" s="118">
        <v>0</v>
      </c>
      <c r="J119" s="118">
        <v>0</v>
      </c>
      <c r="K119" s="118">
        <v>0</v>
      </c>
      <c r="L119" s="123">
        <v>0</v>
      </c>
      <c r="M119" s="118">
        <v>0</v>
      </c>
      <c r="N119" s="118">
        <v>0</v>
      </c>
      <c r="O119" s="118">
        <v>0</v>
      </c>
      <c r="P119" s="118">
        <v>0</v>
      </c>
      <c r="Q119" s="118">
        <v>0</v>
      </c>
      <c r="R119" s="118">
        <v>0</v>
      </c>
      <c r="S119" s="119">
        <v>0</v>
      </c>
      <c r="T119" s="119">
        <v>0</v>
      </c>
      <c r="U119" s="119">
        <v>0</v>
      </c>
      <c r="V119" s="119" t="str">
        <f t="shared" si="3"/>
        <v xml:space="preserve"> </v>
      </c>
    </row>
    <row r="120" spans="1:22" hidden="1">
      <c r="A120" s="449" t="s">
        <v>335</v>
      </c>
      <c r="B120" s="114">
        <f>_xlfn.IFNA(VLOOKUP(Table1[[#This Row],[SKU]],'Kilter Holds'!$P$36:$S$370,4,0),0)</f>
        <v>0</v>
      </c>
      <c r="C120" s="115">
        <v>10</v>
      </c>
      <c r="D120" s="117">
        <f t="shared" si="5"/>
        <v>0</v>
      </c>
      <c r="E120" s="117">
        <v>0</v>
      </c>
      <c r="F120" s="117">
        <v>0</v>
      </c>
      <c r="G120" s="117">
        <v>0</v>
      </c>
      <c r="H120" s="117">
        <v>0</v>
      </c>
      <c r="I120" s="117">
        <v>0</v>
      </c>
      <c r="J120" s="117">
        <v>0</v>
      </c>
      <c r="K120" s="117">
        <v>0</v>
      </c>
      <c r="L120" s="123">
        <v>0</v>
      </c>
      <c r="M120" s="117">
        <v>0</v>
      </c>
      <c r="N120" s="117">
        <v>0</v>
      </c>
      <c r="O120" s="117">
        <v>0</v>
      </c>
      <c r="P120" s="117">
        <v>0</v>
      </c>
      <c r="Q120" s="117">
        <v>0</v>
      </c>
      <c r="R120" s="117">
        <v>0</v>
      </c>
      <c r="S120" s="119">
        <v>0</v>
      </c>
      <c r="T120" s="119">
        <v>0</v>
      </c>
      <c r="U120" s="119">
        <v>0</v>
      </c>
      <c r="V120" s="119" t="str">
        <f t="shared" si="3"/>
        <v xml:space="preserve"> </v>
      </c>
    </row>
    <row r="121" spans="1:22" hidden="1">
      <c r="A121" s="450" t="s">
        <v>319</v>
      </c>
      <c r="B121" s="114">
        <f>_xlfn.IFNA(VLOOKUP(Table1[[#This Row],[SKU]],'Kilter Holds'!$P$36:$S$370,4,0),0)</f>
        <v>0</v>
      </c>
      <c r="C121" s="115">
        <v>10</v>
      </c>
      <c r="D121" s="117">
        <f t="shared" si="5"/>
        <v>0</v>
      </c>
      <c r="E121" s="118">
        <v>0</v>
      </c>
      <c r="F121" s="118">
        <v>0</v>
      </c>
      <c r="G121" s="118">
        <v>0</v>
      </c>
      <c r="H121" s="118">
        <v>0</v>
      </c>
      <c r="I121" s="118">
        <v>0</v>
      </c>
      <c r="J121" s="118">
        <v>0</v>
      </c>
      <c r="K121" s="118">
        <v>0</v>
      </c>
      <c r="L121" s="123">
        <v>0</v>
      </c>
      <c r="M121" s="118">
        <v>0</v>
      </c>
      <c r="N121" s="118">
        <v>0</v>
      </c>
      <c r="O121" s="118">
        <v>0</v>
      </c>
      <c r="P121" s="118">
        <v>0</v>
      </c>
      <c r="Q121" s="118">
        <v>0</v>
      </c>
      <c r="R121" s="118">
        <v>0</v>
      </c>
      <c r="S121" s="119">
        <v>0</v>
      </c>
      <c r="T121" s="119">
        <v>0</v>
      </c>
      <c r="U121" s="119">
        <v>0</v>
      </c>
      <c r="V121" s="119" t="str">
        <f t="shared" si="3"/>
        <v xml:space="preserve"> </v>
      </c>
    </row>
    <row r="122" spans="1:22" hidden="1">
      <c r="A122" s="449" t="s">
        <v>194</v>
      </c>
      <c r="B122" s="114">
        <f>_xlfn.IFNA(VLOOKUP(Table1[[#This Row],[SKU]],'Kilter Holds'!$P$36:$S$370,4,0),0)</f>
        <v>0</v>
      </c>
      <c r="C122" s="115">
        <v>10</v>
      </c>
      <c r="D122" s="117">
        <f t="shared" si="5"/>
        <v>0</v>
      </c>
      <c r="E122" s="117">
        <v>0</v>
      </c>
      <c r="F122" s="117">
        <v>0</v>
      </c>
      <c r="G122" s="117">
        <v>0</v>
      </c>
      <c r="H122" s="117">
        <v>0</v>
      </c>
      <c r="I122" s="117">
        <v>0</v>
      </c>
      <c r="J122" s="117">
        <v>0</v>
      </c>
      <c r="K122" s="117">
        <v>0</v>
      </c>
      <c r="L122" s="123">
        <v>0</v>
      </c>
      <c r="M122" s="117">
        <v>0</v>
      </c>
      <c r="N122" s="117">
        <v>0</v>
      </c>
      <c r="O122" s="117">
        <v>0</v>
      </c>
      <c r="P122" s="117">
        <v>0</v>
      </c>
      <c r="Q122" s="117">
        <v>0</v>
      </c>
      <c r="R122" s="117">
        <v>0</v>
      </c>
      <c r="S122" s="119">
        <v>0</v>
      </c>
      <c r="T122" s="119">
        <v>0</v>
      </c>
      <c r="U122" s="119">
        <v>0</v>
      </c>
      <c r="V122" s="119" t="str">
        <f t="shared" si="3"/>
        <v xml:space="preserve"> </v>
      </c>
    </row>
    <row r="123" spans="1:22" hidden="1">
      <c r="A123" s="450" t="s">
        <v>305</v>
      </c>
      <c r="B123" s="114">
        <f>_xlfn.IFNA(VLOOKUP(Table1[[#This Row],[SKU]],'Kilter Holds'!$P$36:$S$370,4,0),0)</f>
        <v>0</v>
      </c>
      <c r="C123" s="115">
        <v>5</v>
      </c>
      <c r="D123" s="118">
        <v>0</v>
      </c>
      <c r="E123" s="117">
        <f>IFERROR(5*B123,0)</f>
        <v>0</v>
      </c>
      <c r="F123" s="118">
        <v>0</v>
      </c>
      <c r="G123" s="118">
        <v>0</v>
      </c>
      <c r="H123" s="118">
        <v>0</v>
      </c>
      <c r="I123" s="118">
        <v>0</v>
      </c>
      <c r="J123" s="118">
        <v>0</v>
      </c>
      <c r="K123" s="118">
        <v>0</v>
      </c>
      <c r="L123" s="123">
        <v>0</v>
      </c>
      <c r="M123" s="118">
        <v>0</v>
      </c>
      <c r="N123" s="118">
        <v>0</v>
      </c>
      <c r="O123" s="118">
        <v>0</v>
      </c>
      <c r="P123" s="118">
        <v>0</v>
      </c>
      <c r="Q123" s="118">
        <v>0</v>
      </c>
      <c r="R123" s="118">
        <v>0</v>
      </c>
      <c r="S123" s="119">
        <v>0</v>
      </c>
      <c r="T123" s="119">
        <v>0</v>
      </c>
      <c r="U123" s="119">
        <v>0</v>
      </c>
      <c r="V123" s="119" t="str">
        <f t="shared" si="3"/>
        <v xml:space="preserve"> </v>
      </c>
    </row>
    <row r="124" spans="1:22" hidden="1">
      <c r="A124" s="449" t="s">
        <v>306</v>
      </c>
      <c r="B124" s="114">
        <f>_xlfn.IFNA(VLOOKUP(Table1[[#This Row],[SKU]],'Kilter Holds'!$P$36:$S$370,4,0),0)</f>
        <v>0</v>
      </c>
      <c r="C124" s="115">
        <v>5</v>
      </c>
      <c r="D124" s="117">
        <f>IFERROR(5*B124,0)</f>
        <v>0</v>
      </c>
      <c r="E124" s="117">
        <v>0</v>
      </c>
      <c r="F124" s="117">
        <v>0</v>
      </c>
      <c r="G124" s="117">
        <v>0</v>
      </c>
      <c r="H124" s="117">
        <v>0</v>
      </c>
      <c r="I124" s="117">
        <v>0</v>
      </c>
      <c r="J124" s="117">
        <v>0</v>
      </c>
      <c r="K124" s="117">
        <v>0</v>
      </c>
      <c r="L124" s="123">
        <v>0</v>
      </c>
      <c r="M124" s="117">
        <v>0</v>
      </c>
      <c r="N124" s="117">
        <v>0</v>
      </c>
      <c r="O124" s="117">
        <v>0</v>
      </c>
      <c r="P124" s="117">
        <v>0</v>
      </c>
      <c r="Q124" s="117">
        <v>0</v>
      </c>
      <c r="R124" s="117">
        <v>0</v>
      </c>
      <c r="S124" s="119">
        <v>0</v>
      </c>
      <c r="T124" s="119">
        <v>0</v>
      </c>
      <c r="U124" s="119">
        <v>0</v>
      </c>
      <c r="V124" s="119" t="str">
        <f t="shared" si="3"/>
        <v xml:space="preserve"> </v>
      </c>
    </row>
    <row r="125" spans="1:22" hidden="1">
      <c r="A125" s="450" t="s">
        <v>307</v>
      </c>
      <c r="B125" s="114">
        <f>_xlfn.IFNA(VLOOKUP(Table1[[#This Row],[SKU]],'Kilter Holds'!$P$36:$S$370,4,0),0)</f>
        <v>0</v>
      </c>
      <c r="C125" s="115">
        <v>5</v>
      </c>
      <c r="D125" s="117">
        <f>IFERROR(4*B125,0)</f>
        <v>0</v>
      </c>
      <c r="E125" s="117">
        <f>IFERROR(1*B125,0)</f>
        <v>0</v>
      </c>
      <c r="F125" s="118">
        <v>0</v>
      </c>
      <c r="G125" s="118">
        <v>0</v>
      </c>
      <c r="H125" s="118">
        <v>0</v>
      </c>
      <c r="I125" s="118">
        <v>0</v>
      </c>
      <c r="J125" s="118">
        <v>0</v>
      </c>
      <c r="K125" s="118">
        <v>0</v>
      </c>
      <c r="L125" s="123">
        <v>0</v>
      </c>
      <c r="M125" s="118">
        <v>0</v>
      </c>
      <c r="N125" s="118">
        <v>0</v>
      </c>
      <c r="O125" s="118">
        <v>0</v>
      </c>
      <c r="P125" s="118">
        <v>0</v>
      </c>
      <c r="Q125" s="118">
        <v>0</v>
      </c>
      <c r="R125" s="118">
        <v>0</v>
      </c>
      <c r="S125" s="119">
        <v>0</v>
      </c>
      <c r="T125" s="119">
        <v>0</v>
      </c>
      <c r="U125" s="119">
        <v>0</v>
      </c>
      <c r="V125" s="119" t="str">
        <f t="shared" si="3"/>
        <v xml:space="preserve"> </v>
      </c>
    </row>
    <row r="126" spans="1:22" hidden="1">
      <c r="A126" s="449" t="s">
        <v>208</v>
      </c>
      <c r="B126" s="114">
        <f>_xlfn.IFNA(VLOOKUP(Table1[[#This Row],[SKU]],'Kilter Holds'!$P$36:$S$370,4,0),0)</f>
        <v>0</v>
      </c>
      <c r="C126" s="115">
        <v>10</v>
      </c>
      <c r="D126" s="117">
        <f>IFERROR(10*B126,0)</f>
        <v>0</v>
      </c>
      <c r="E126" s="117">
        <v>0</v>
      </c>
      <c r="F126" s="117">
        <v>0</v>
      </c>
      <c r="G126" s="117">
        <v>0</v>
      </c>
      <c r="H126" s="117">
        <v>0</v>
      </c>
      <c r="I126" s="117">
        <v>0</v>
      </c>
      <c r="J126" s="117">
        <v>0</v>
      </c>
      <c r="K126" s="117">
        <v>0</v>
      </c>
      <c r="L126" s="123">
        <v>0</v>
      </c>
      <c r="M126" s="117">
        <v>0</v>
      </c>
      <c r="N126" s="117">
        <v>0</v>
      </c>
      <c r="O126" s="117">
        <v>0</v>
      </c>
      <c r="P126" s="117">
        <v>0</v>
      </c>
      <c r="Q126" s="117">
        <v>0</v>
      </c>
      <c r="R126" s="117">
        <v>0</v>
      </c>
      <c r="S126" s="119">
        <v>0</v>
      </c>
      <c r="T126" s="119">
        <v>0</v>
      </c>
      <c r="U126" s="119">
        <v>0</v>
      </c>
      <c r="V126" s="119" t="str">
        <f t="shared" si="3"/>
        <v xml:space="preserve"> </v>
      </c>
    </row>
    <row r="127" spans="1:22" hidden="1">
      <c r="A127" s="450" t="s">
        <v>320</v>
      </c>
      <c r="B127" s="114">
        <f>_xlfn.IFNA(VLOOKUP(Table1[[#This Row],[SKU]],'Kilter Holds'!$P$36:$S$370,4,0),0)</f>
        <v>0</v>
      </c>
      <c r="C127" s="115">
        <v>10</v>
      </c>
      <c r="D127" s="117">
        <f>IFERROR(10*B127,0)</f>
        <v>0</v>
      </c>
      <c r="E127" s="118">
        <v>0</v>
      </c>
      <c r="F127" s="118">
        <v>0</v>
      </c>
      <c r="G127" s="118">
        <v>0</v>
      </c>
      <c r="H127" s="118">
        <v>0</v>
      </c>
      <c r="I127" s="118">
        <v>0</v>
      </c>
      <c r="J127" s="118">
        <v>0</v>
      </c>
      <c r="K127" s="118">
        <v>0</v>
      </c>
      <c r="L127" s="123">
        <v>0</v>
      </c>
      <c r="M127" s="118">
        <v>0</v>
      </c>
      <c r="N127" s="118">
        <v>0</v>
      </c>
      <c r="O127" s="118">
        <v>0</v>
      </c>
      <c r="P127" s="118">
        <v>0</v>
      </c>
      <c r="Q127" s="118">
        <v>0</v>
      </c>
      <c r="R127" s="118">
        <v>0</v>
      </c>
      <c r="S127" s="119">
        <v>0</v>
      </c>
      <c r="T127" s="119">
        <v>0</v>
      </c>
      <c r="U127" s="119">
        <v>0</v>
      </c>
      <c r="V127" s="119" t="str">
        <f t="shared" si="3"/>
        <v xml:space="preserve"> </v>
      </c>
    </row>
    <row r="128" spans="1:22" hidden="1">
      <c r="A128" s="449" t="s">
        <v>339</v>
      </c>
      <c r="B128" s="114">
        <f>_xlfn.IFNA(VLOOKUP(Table1[[#This Row],[SKU]],'Kilter Holds'!$P$36:$S$370,4,0),0)</f>
        <v>0</v>
      </c>
      <c r="C128" s="115">
        <v>20</v>
      </c>
      <c r="D128" s="117">
        <f>IFERROR(20*B128,0)</f>
        <v>0</v>
      </c>
      <c r="E128" s="117">
        <v>0</v>
      </c>
      <c r="F128" s="117">
        <v>0</v>
      </c>
      <c r="G128" s="117">
        <v>0</v>
      </c>
      <c r="H128" s="117">
        <v>0</v>
      </c>
      <c r="I128" s="117">
        <v>0</v>
      </c>
      <c r="J128" s="117">
        <v>0</v>
      </c>
      <c r="K128" s="117">
        <v>0</v>
      </c>
      <c r="L128" s="123">
        <v>0</v>
      </c>
      <c r="M128" s="117">
        <v>0</v>
      </c>
      <c r="N128" s="117">
        <v>0</v>
      </c>
      <c r="O128" s="117">
        <v>0</v>
      </c>
      <c r="P128" s="117">
        <v>0</v>
      </c>
      <c r="Q128" s="117">
        <v>0</v>
      </c>
      <c r="R128" s="117">
        <v>0</v>
      </c>
      <c r="S128" s="119">
        <v>0</v>
      </c>
      <c r="T128" s="119">
        <v>0</v>
      </c>
      <c r="U128" s="119">
        <v>0</v>
      </c>
      <c r="V128" s="119" t="str">
        <f t="shared" si="3"/>
        <v xml:space="preserve"> </v>
      </c>
    </row>
    <row r="129" spans="1:22" hidden="1">
      <c r="A129" s="450" t="s">
        <v>336</v>
      </c>
      <c r="B129" s="114">
        <f>_xlfn.IFNA(VLOOKUP(Table1[[#This Row],[SKU]],'Kilter Holds'!$P$36:$S$370,4,0),0)</f>
        <v>0</v>
      </c>
      <c r="C129" s="115">
        <v>10</v>
      </c>
      <c r="D129" s="117">
        <f>IFERROR(10*B129,0)</f>
        <v>0</v>
      </c>
      <c r="E129" s="118">
        <v>0</v>
      </c>
      <c r="F129" s="118">
        <v>0</v>
      </c>
      <c r="G129" s="118">
        <v>0</v>
      </c>
      <c r="H129" s="118">
        <v>0</v>
      </c>
      <c r="I129" s="118">
        <v>0</v>
      </c>
      <c r="J129" s="118">
        <v>0</v>
      </c>
      <c r="K129" s="118">
        <v>0</v>
      </c>
      <c r="L129" s="123">
        <v>0</v>
      </c>
      <c r="M129" s="118">
        <v>0</v>
      </c>
      <c r="N129" s="118">
        <v>0</v>
      </c>
      <c r="O129" s="118">
        <v>0</v>
      </c>
      <c r="P129" s="118">
        <v>0</v>
      </c>
      <c r="Q129" s="118">
        <v>0</v>
      </c>
      <c r="R129" s="118">
        <v>0</v>
      </c>
      <c r="S129" s="119">
        <v>0</v>
      </c>
      <c r="T129" s="119">
        <v>0</v>
      </c>
      <c r="U129" s="119">
        <v>0</v>
      </c>
      <c r="V129" s="119" t="str">
        <f t="shared" si="3"/>
        <v xml:space="preserve"> </v>
      </c>
    </row>
    <row r="130" spans="1:22" hidden="1">
      <c r="A130" s="449" t="s">
        <v>209</v>
      </c>
      <c r="B130" s="114">
        <f>_xlfn.IFNA(VLOOKUP(Table1[[#This Row],[SKU]],'Kilter Holds'!$P$36:$S$370,4,0),0)</f>
        <v>0</v>
      </c>
      <c r="C130" s="115">
        <v>10</v>
      </c>
      <c r="D130" s="117">
        <f>IFERROR(10*B130,0)</f>
        <v>0</v>
      </c>
      <c r="E130" s="117">
        <v>0</v>
      </c>
      <c r="F130" s="117">
        <v>0</v>
      </c>
      <c r="G130" s="117">
        <v>0</v>
      </c>
      <c r="H130" s="117">
        <v>0</v>
      </c>
      <c r="I130" s="117">
        <v>0</v>
      </c>
      <c r="J130" s="117">
        <v>0</v>
      </c>
      <c r="K130" s="117">
        <v>0</v>
      </c>
      <c r="L130" s="123">
        <v>0</v>
      </c>
      <c r="M130" s="117">
        <v>0</v>
      </c>
      <c r="N130" s="117">
        <v>0</v>
      </c>
      <c r="O130" s="117">
        <v>0</v>
      </c>
      <c r="P130" s="117">
        <v>0</v>
      </c>
      <c r="Q130" s="117">
        <v>0</v>
      </c>
      <c r="R130" s="117">
        <v>0</v>
      </c>
      <c r="S130" s="119">
        <v>0</v>
      </c>
      <c r="T130" s="119">
        <v>0</v>
      </c>
      <c r="U130" s="119">
        <v>0</v>
      </c>
      <c r="V130" s="119" t="str">
        <f t="shared" si="3"/>
        <v xml:space="preserve"> </v>
      </c>
    </row>
    <row r="131" spans="1:22" hidden="1">
      <c r="A131" s="450" t="s">
        <v>249</v>
      </c>
      <c r="B131" s="114">
        <f>_xlfn.IFNA(VLOOKUP(Table1[[#This Row],[SKU]],'Kilter Holds'!$P$36:$S$370,4,0),0)</f>
        <v>0</v>
      </c>
      <c r="C131" s="115">
        <v>10</v>
      </c>
      <c r="D131" s="117">
        <f>IFERROR(10*B131,0)</f>
        <v>0</v>
      </c>
      <c r="E131" s="118">
        <v>0</v>
      </c>
      <c r="F131" s="118">
        <v>0</v>
      </c>
      <c r="G131" s="118">
        <v>0</v>
      </c>
      <c r="H131" s="118">
        <v>0</v>
      </c>
      <c r="I131" s="118">
        <v>0</v>
      </c>
      <c r="J131" s="118">
        <v>0</v>
      </c>
      <c r="K131" s="118">
        <v>0</v>
      </c>
      <c r="L131" s="123">
        <v>0</v>
      </c>
      <c r="M131" s="118">
        <v>0</v>
      </c>
      <c r="N131" s="118">
        <v>0</v>
      </c>
      <c r="O131" s="118">
        <v>0</v>
      </c>
      <c r="P131" s="118">
        <v>0</v>
      </c>
      <c r="Q131" s="118">
        <v>0</v>
      </c>
      <c r="R131" s="118">
        <v>0</v>
      </c>
      <c r="S131" s="119">
        <v>0</v>
      </c>
      <c r="T131" s="119">
        <v>0</v>
      </c>
      <c r="U131" s="119">
        <v>0</v>
      </c>
      <c r="V131" s="119" t="str">
        <f t="shared" si="3"/>
        <v xml:space="preserve"> </v>
      </c>
    </row>
    <row r="132" spans="1:22" hidden="1">
      <c r="A132" s="449" t="s">
        <v>321</v>
      </c>
      <c r="B132" s="114">
        <f>_xlfn.IFNA(VLOOKUP(Table1[[#This Row],[SKU]],'Kilter Holds'!$P$36:$S$370,4,0),0)</f>
        <v>0</v>
      </c>
      <c r="C132" s="115">
        <v>10</v>
      </c>
      <c r="D132" s="117">
        <f>IFERROR(10*B132,0)</f>
        <v>0</v>
      </c>
      <c r="E132" s="117">
        <v>0</v>
      </c>
      <c r="F132" s="117">
        <v>0</v>
      </c>
      <c r="G132" s="117">
        <v>0</v>
      </c>
      <c r="H132" s="117">
        <v>0</v>
      </c>
      <c r="I132" s="117">
        <v>0</v>
      </c>
      <c r="J132" s="117">
        <v>0</v>
      </c>
      <c r="K132" s="117">
        <v>0</v>
      </c>
      <c r="L132" s="123">
        <v>0</v>
      </c>
      <c r="M132" s="117">
        <v>0</v>
      </c>
      <c r="N132" s="117">
        <v>0</v>
      </c>
      <c r="O132" s="117">
        <v>0</v>
      </c>
      <c r="P132" s="117">
        <v>0</v>
      </c>
      <c r="Q132" s="117">
        <v>0</v>
      </c>
      <c r="R132" s="117">
        <v>0</v>
      </c>
      <c r="S132" s="119">
        <v>0</v>
      </c>
      <c r="T132" s="119">
        <v>0</v>
      </c>
      <c r="U132" s="119">
        <v>0</v>
      </c>
      <c r="V132" s="119" t="str">
        <f t="shared" ref="V132:V195" si="6">IF(B132&gt;0,"Added"," ")</f>
        <v xml:space="preserve"> </v>
      </c>
    </row>
    <row r="133" spans="1:22" hidden="1">
      <c r="A133" s="450" t="s">
        <v>210</v>
      </c>
      <c r="B133" s="114">
        <f>_xlfn.IFNA(VLOOKUP(Table1[[#This Row],[SKU]],'Kilter Holds'!$P$36:$S$370,4,0),0)</f>
        <v>0</v>
      </c>
      <c r="C133" s="115">
        <v>10</v>
      </c>
      <c r="D133" s="117">
        <f>IFERROR(10*B133,0)</f>
        <v>0</v>
      </c>
      <c r="E133" s="118">
        <v>0</v>
      </c>
      <c r="F133" s="118">
        <v>0</v>
      </c>
      <c r="G133" s="118">
        <v>0</v>
      </c>
      <c r="H133" s="118">
        <v>0</v>
      </c>
      <c r="I133" s="118">
        <v>0</v>
      </c>
      <c r="J133" s="118">
        <v>0</v>
      </c>
      <c r="K133" s="118">
        <v>0</v>
      </c>
      <c r="L133" s="123">
        <v>0</v>
      </c>
      <c r="M133" s="118">
        <v>0</v>
      </c>
      <c r="N133" s="118">
        <v>0</v>
      </c>
      <c r="O133" s="118">
        <v>0</v>
      </c>
      <c r="P133" s="118">
        <v>0</v>
      </c>
      <c r="Q133" s="118">
        <v>0</v>
      </c>
      <c r="R133" s="118">
        <v>0</v>
      </c>
      <c r="S133" s="119">
        <v>0</v>
      </c>
      <c r="T133" s="119">
        <v>0</v>
      </c>
      <c r="U133" s="119">
        <v>0</v>
      </c>
      <c r="V133" s="119" t="str">
        <f t="shared" si="6"/>
        <v xml:space="preserve"> </v>
      </c>
    </row>
    <row r="134" spans="1:22" hidden="1">
      <c r="A134" s="449" t="s">
        <v>236</v>
      </c>
      <c r="B134" s="114">
        <f>_xlfn.IFNA(VLOOKUP(Table1[[#This Row],[SKU]],'Kilter Holds'!$P$36:$S$370,4,0),0)</f>
        <v>0</v>
      </c>
      <c r="C134" s="115">
        <v>5</v>
      </c>
      <c r="D134" s="117">
        <f>IFERROR(5*B134,0)</f>
        <v>0</v>
      </c>
      <c r="E134" s="117">
        <v>0</v>
      </c>
      <c r="F134" s="117">
        <v>0</v>
      </c>
      <c r="G134" s="117">
        <v>0</v>
      </c>
      <c r="H134" s="117">
        <v>0</v>
      </c>
      <c r="I134" s="117">
        <v>0</v>
      </c>
      <c r="J134" s="117">
        <v>0</v>
      </c>
      <c r="K134" s="117">
        <v>0</v>
      </c>
      <c r="L134" s="123">
        <v>0</v>
      </c>
      <c r="M134" s="117">
        <v>0</v>
      </c>
      <c r="N134" s="117">
        <v>0</v>
      </c>
      <c r="O134" s="117">
        <v>0</v>
      </c>
      <c r="P134" s="117">
        <v>0</v>
      </c>
      <c r="Q134" s="117">
        <v>0</v>
      </c>
      <c r="R134" s="117">
        <v>0</v>
      </c>
      <c r="S134" s="119">
        <v>0</v>
      </c>
      <c r="T134" s="119">
        <v>0</v>
      </c>
      <c r="U134" s="119">
        <v>0</v>
      </c>
      <c r="V134" s="119" t="str">
        <f t="shared" si="6"/>
        <v xml:space="preserve"> </v>
      </c>
    </row>
    <row r="135" spans="1:22" hidden="1">
      <c r="A135" s="450" t="s">
        <v>237</v>
      </c>
      <c r="B135" s="114">
        <f>_xlfn.IFNA(VLOOKUP(Table1[[#This Row],[SKU]],'Kilter Holds'!$P$36:$S$370,4,0),0)</f>
        <v>0</v>
      </c>
      <c r="C135" s="115">
        <v>10</v>
      </c>
      <c r="D135" s="117">
        <f>IFERROR(9*B135,0)</f>
        <v>0</v>
      </c>
      <c r="E135" s="117">
        <f>IFERROR(1*B135,0)</f>
        <v>0</v>
      </c>
      <c r="F135" s="118">
        <v>0</v>
      </c>
      <c r="G135" s="118">
        <v>0</v>
      </c>
      <c r="H135" s="118">
        <v>0</v>
      </c>
      <c r="I135" s="118">
        <v>0</v>
      </c>
      <c r="J135" s="118">
        <v>0</v>
      </c>
      <c r="K135" s="118">
        <v>0</v>
      </c>
      <c r="L135" s="123">
        <v>0</v>
      </c>
      <c r="M135" s="118">
        <v>0</v>
      </c>
      <c r="N135" s="118">
        <v>0</v>
      </c>
      <c r="O135" s="118">
        <v>0</v>
      </c>
      <c r="P135" s="118">
        <v>0</v>
      </c>
      <c r="Q135" s="118">
        <v>0</v>
      </c>
      <c r="R135" s="118">
        <v>0</v>
      </c>
      <c r="S135" s="119">
        <v>0</v>
      </c>
      <c r="T135" s="119">
        <v>0</v>
      </c>
      <c r="U135" s="119">
        <v>0</v>
      </c>
      <c r="V135" s="119" t="str">
        <f t="shared" si="6"/>
        <v xml:space="preserve"> </v>
      </c>
    </row>
    <row r="136" spans="1:22" hidden="1">
      <c r="A136" s="449" t="s">
        <v>175</v>
      </c>
      <c r="B136" s="114">
        <f>_xlfn.IFNA(VLOOKUP(Table1[[#This Row],[SKU]],'Kilter Holds'!$P$36:$S$370,4,0),0)</f>
        <v>0</v>
      </c>
      <c r="C136" s="115">
        <v>10</v>
      </c>
      <c r="D136" s="117">
        <f>IFERROR(10*B136,0)</f>
        <v>0</v>
      </c>
      <c r="E136" s="117">
        <v>0</v>
      </c>
      <c r="F136" s="117">
        <v>0</v>
      </c>
      <c r="G136" s="117">
        <v>0</v>
      </c>
      <c r="H136" s="117">
        <v>0</v>
      </c>
      <c r="I136" s="117">
        <v>0</v>
      </c>
      <c r="J136" s="117">
        <v>0</v>
      </c>
      <c r="K136" s="117">
        <v>0</v>
      </c>
      <c r="L136" s="123">
        <v>0</v>
      </c>
      <c r="M136" s="117">
        <v>0</v>
      </c>
      <c r="N136" s="117">
        <v>0</v>
      </c>
      <c r="O136" s="117">
        <v>0</v>
      </c>
      <c r="P136" s="117">
        <v>0</v>
      </c>
      <c r="Q136" s="117">
        <v>0</v>
      </c>
      <c r="R136" s="117">
        <v>0</v>
      </c>
      <c r="S136" s="119">
        <v>0</v>
      </c>
      <c r="T136" s="119">
        <v>0</v>
      </c>
      <c r="U136" s="119">
        <v>0</v>
      </c>
      <c r="V136" s="119" t="str">
        <f t="shared" si="6"/>
        <v xml:space="preserve"> </v>
      </c>
    </row>
    <row r="137" spans="1:22" hidden="1">
      <c r="A137" s="450" t="s">
        <v>308</v>
      </c>
      <c r="B137" s="114">
        <f>_xlfn.IFNA(VLOOKUP(Table1[[#This Row],[SKU]],'Kilter Holds'!$P$36:$S$370,4,0),0)</f>
        <v>0</v>
      </c>
      <c r="C137" s="115">
        <v>10</v>
      </c>
      <c r="D137" s="117">
        <f>IFERROR(9*B137,0)</f>
        <v>0</v>
      </c>
      <c r="E137" s="117">
        <f>IFERROR(1*B137,0)</f>
        <v>0</v>
      </c>
      <c r="F137" s="118">
        <v>0</v>
      </c>
      <c r="G137" s="118">
        <v>0</v>
      </c>
      <c r="H137" s="118">
        <v>0</v>
      </c>
      <c r="I137" s="118">
        <v>0</v>
      </c>
      <c r="J137" s="118">
        <v>0</v>
      </c>
      <c r="K137" s="118">
        <v>0</v>
      </c>
      <c r="L137" s="123">
        <v>0</v>
      </c>
      <c r="M137" s="118">
        <v>0</v>
      </c>
      <c r="N137" s="118">
        <v>0</v>
      </c>
      <c r="O137" s="118">
        <v>0</v>
      </c>
      <c r="P137" s="118">
        <v>0</v>
      </c>
      <c r="Q137" s="118">
        <v>0</v>
      </c>
      <c r="R137" s="118">
        <v>0</v>
      </c>
      <c r="S137" s="119">
        <v>0</v>
      </c>
      <c r="T137" s="119">
        <v>0</v>
      </c>
      <c r="U137" s="119">
        <v>0</v>
      </c>
      <c r="V137" s="119" t="str">
        <f t="shared" si="6"/>
        <v xml:space="preserve"> </v>
      </c>
    </row>
    <row r="138" spans="1:22" hidden="1">
      <c r="A138" s="449" t="s">
        <v>176</v>
      </c>
      <c r="B138" s="114">
        <f>_xlfn.IFNA(VLOOKUP(Table1[[#This Row],[SKU]],'Kilter Holds'!$P$36:$S$370,4,0),0)</f>
        <v>0</v>
      </c>
      <c r="C138" s="115">
        <v>5</v>
      </c>
      <c r="D138" s="117">
        <f>IFERROR(5*B138,0)</f>
        <v>0</v>
      </c>
      <c r="E138" s="117">
        <v>0</v>
      </c>
      <c r="F138" s="117">
        <v>0</v>
      </c>
      <c r="G138" s="117">
        <v>0</v>
      </c>
      <c r="H138" s="117">
        <v>0</v>
      </c>
      <c r="I138" s="117">
        <v>0</v>
      </c>
      <c r="J138" s="117">
        <v>0</v>
      </c>
      <c r="K138" s="117">
        <v>0</v>
      </c>
      <c r="L138" s="123">
        <v>0</v>
      </c>
      <c r="M138" s="117">
        <v>0</v>
      </c>
      <c r="N138" s="117">
        <v>0</v>
      </c>
      <c r="O138" s="117">
        <v>0</v>
      </c>
      <c r="P138" s="117">
        <v>0</v>
      </c>
      <c r="Q138" s="117">
        <v>0</v>
      </c>
      <c r="R138" s="117">
        <v>0</v>
      </c>
      <c r="S138" s="119">
        <v>0</v>
      </c>
      <c r="T138" s="119">
        <v>0</v>
      </c>
      <c r="U138" s="119">
        <v>0</v>
      </c>
      <c r="V138" s="119" t="str">
        <f t="shared" si="6"/>
        <v xml:space="preserve"> </v>
      </c>
    </row>
    <row r="139" spans="1:22" hidden="1">
      <c r="A139" s="450" t="s">
        <v>322</v>
      </c>
      <c r="B139" s="114">
        <f>_xlfn.IFNA(VLOOKUP(Table1[[#This Row],[SKU]],'Kilter Holds'!$P$36:$S$370,4,0),0)</f>
        <v>0</v>
      </c>
      <c r="C139" s="115">
        <v>10</v>
      </c>
      <c r="D139" s="117">
        <f>IFERROR(10*B139,0)</f>
        <v>0</v>
      </c>
      <c r="E139" s="118">
        <v>0</v>
      </c>
      <c r="F139" s="118">
        <v>0</v>
      </c>
      <c r="G139" s="118">
        <v>0</v>
      </c>
      <c r="H139" s="118">
        <v>0</v>
      </c>
      <c r="I139" s="118">
        <v>0</v>
      </c>
      <c r="J139" s="118">
        <v>0</v>
      </c>
      <c r="K139" s="118">
        <v>0</v>
      </c>
      <c r="L139" s="123">
        <v>0</v>
      </c>
      <c r="M139" s="118">
        <v>0</v>
      </c>
      <c r="N139" s="118">
        <v>0</v>
      </c>
      <c r="O139" s="118">
        <v>0</v>
      </c>
      <c r="P139" s="118">
        <v>0</v>
      </c>
      <c r="Q139" s="118">
        <v>0</v>
      </c>
      <c r="R139" s="118">
        <v>0</v>
      </c>
      <c r="S139" s="119">
        <v>0</v>
      </c>
      <c r="T139" s="119">
        <v>0</v>
      </c>
      <c r="U139" s="119">
        <v>0</v>
      </c>
      <c r="V139" s="119" t="str">
        <f t="shared" si="6"/>
        <v xml:space="preserve"> </v>
      </c>
    </row>
    <row r="140" spans="1:22" hidden="1">
      <c r="A140" s="449" t="s">
        <v>195</v>
      </c>
      <c r="B140" s="114">
        <f>_xlfn.IFNA(VLOOKUP(Table1[[#This Row],[SKU]],'Kilter Holds'!$P$36:$S$370,4,0),0)</f>
        <v>0</v>
      </c>
      <c r="C140" s="115">
        <v>10</v>
      </c>
      <c r="D140" s="117">
        <f>IFERROR(3*B140,0)</f>
        <v>0</v>
      </c>
      <c r="E140" s="117">
        <f>IFERROR(7*B140,0)</f>
        <v>0</v>
      </c>
      <c r="F140" s="117">
        <v>0</v>
      </c>
      <c r="G140" s="117">
        <v>0</v>
      </c>
      <c r="H140" s="117">
        <v>0</v>
      </c>
      <c r="I140" s="117">
        <v>0</v>
      </c>
      <c r="J140" s="117">
        <v>0</v>
      </c>
      <c r="K140" s="117">
        <v>0</v>
      </c>
      <c r="L140" s="123">
        <v>0</v>
      </c>
      <c r="M140" s="117">
        <v>0</v>
      </c>
      <c r="N140" s="117">
        <v>0</v>
      </c>
      <c r="O140" s="117">
        <v>0</v>
      </c>
      <c r="P140" s="117">
        <v>0</v>
      </c>
      <c r="Q140" s="117">
        <v>0</v>
      </c>
      <c r="R140" s="117">
        <v>0</v>
      </c>
      <c r="S140" s="119">
        <v>0</v>
      </c>
      <c r="T140" s="119">
        <v>0</v>
      </c>
      <c r="U140" s="119">
        <v>0</v>
      </c>
      <c r="V140" s="119" t="str">
        <f t="shared" si="6"/>
        <v xml:space="preserve"> </v>
      </c>
    </row>
    <row r="141" spans="1:22" hidden="1">
      <c r="A141" s="450" t="s">
        <v>196</v>
      </c>
      <c r="B141" s="114">
        <f>_xlfn.IFNA(VLOOKUP(Table1[[#This Row],[SKU]],'Kilter Holds'!$P$36:$S$370,4,0),0)</f>
        <v>0</v>
      </c>
      <c r="C141" s="115">
        <v>10</v>
      </c>
      <c r="D141" s="117">
        <f>IFERROR(3*B141,0)</f>
        <v>0</v>
      </c>
      <c r="E141" s="117">
        <f>IFERROR(7*B141,0)</f>
        <v>0</v>
      </c>
      <c r="F141" s="118">
        <v>0</v>
      </c>
      <c r="G141" s="118">
        <v>0</v>
      </c>
      <c r="H141" s="118">
        <v>0</v>
      </c>
      <c r="I141" s="118">
        <v>0</v>
      </c>
      <c r="J141" s="118">
        <v>0</v>
      </c>
      <c r="K141" s="118">
        <v>0</v>
      </c>
      <c r="L141" s="123">
        <v>0</v>
      </c>
      <c r="M141" s="118">
        <v>0</v>
      </c>
      <c r="N141" s="118">
        <v>0</v>
      </c>
      <c r="O141" s="118">
        <v>0</v>
      </c>
      <c r="P141" s="118">
        <v>0</v>
      </c>
      <c r="Q141" s="118">
        <v>0</v>
      </c>
      <c r="R141" s="118">
        <v>0</v>
      </c>
      <c r="S141" s="119">
        <v>0</v>
      </c>
      <c r="T141" s="119">
        <v>0</v>
      </c>
      <c r="U141" s="119">
        <v>0</v>
      </c>
      <c r="V141" s="119" t="str">
        <f t="shared" si="6"/>
        <v xml:space="preserve"> </v>
      </c>
    </row>
    <row r="142" spans="1:22" hidden="1">
      <c r="A142" s="449" t="s">
        <v>250</v>
      </c>
      <c r="B142" s="114">
        <f>_xlfn.IFNA(VLOOKUP(Table1[[#This Row],[SKU]],'Kilter Holds'!$P$36:$S$370,4,0),0)</f>
        <v>0</v>
      </c>
      <c r="C142" s="115">
        <v>10</v>
      </c>
      <c r="D142" s="117">
        <f>IFERROR(10*B142,0)</f>
        <v>0</v>
      </c>
      <c r="E142" s="117">
        <v>0</v>
      </c>
      <c r="F142" s="117">
        <v>0</v>
      </c>
      <c r="G142" s="117">
        <v>0</v>
      </c>
      <c r="H142" s="117">
        <v>0</v>
      </c>
      <c r="I142" s="117">
        <v>0</v>
      </c>
      <c r="J142" s="117">
        <v>0</v>
      </c>
      <c r="K142" s="117">
        <v>0</v>
      </c>
      <c r="L142" s="123">
        <v>0</v>
      </c>
      <c r="M142" s="117">
        <v>0</v>
      </c>
      <c r="N142" s="117">
        <v>0</v>
      </c>
      <c r="O142" s="117">
        <v>0</v>
      </c>
      <c r="P142" s="117">
        <v>0</v>
      </c>
      <c r="Q142" s="117">
        <v>0</v>
      </c>
      <c r="R142" s="117">
        <v>0</v>
      </c>
      <c r="S142" s="119">
        <v>0</v>
      </c>
      <c r="T142" s="119">
        <v>0</v>
      </c>
      <c r="U142" s="119">
        <v>0</v>
      </c>
      <c r="V142" s="119" t="str">
        <f t="shared" si="6"/>
        <v xml:space="preserve"> </v>
      </c>
    </row>
    <row r="143" spans="1:22" hidden="1">
      <c r="A143" s="450" t="s">
        <v>177</v>
      </c>
      <c r="B143" s="114">
        <f>_xlfn.IFNA(VLOOKUP(Table1[[#This Row],[SKU]],'Kilter Holds'!$P$36:$S$370,4,0),0)</f>
        <v>0</v>
      </c>
      <c r="C143" s="115">
        <v>5</v>
      </c>
      <c r="D143" s="117">
        <f>IFERROR(5*B143,0)</f>
        <v>0</v>
      </c>
      <c r="E143" s="118">
        <v>0</v>
      </c>
      <c r="F143" s="118">
        <v>0</v>
      </c>
      <c r="G143" s="118">
        <v>0</v>
      </c>
      <c r="H143" s="118">
        <v>0</v>
      </c>
      <c r="I143" s="118">
        <v>0</v>
      </c>
      <c r="J143" s="118">
        <v>0</v>
      </c>
      <c r="K143" s="118">
        <v>0</v>
      </c>
      <c r="L143" s="123">
        <v>0</v>
      </c>
      <c r="M143" s="118">
        <v>0</v>
      </c>
      <c r="N143" s="118">
        <v>0</v>
      </c>
      <c r="O143" s="118">
        <v>0</v>
      </c>
      <c r="P143" s="118">
        <v>0</v>
      </c>
      <c r="Q143" s="118">
        <v>0</v>
      </c>
      <c r="R143" s="118">
        <v>0</v>
      </c>
      <c r="S143" s="119">
        <v>0</v>
      </c>
      <c r="T143" s="119">
        <v>0</v>
      </c>
      <c r="U143" s="119">
        <v>0</v>
      </c>
      <c r="V143" s="119" t="str">
        <f t="shared" si="6"/>
        <v xml:space="preserve"> </v>
      </c>
    </row>
    <row r="144" spans="1:22" hidden="1">
      <c r="A144" s="449" t="s">
        <v>323</v>
      </c>
      <c r="B144" s="114">
        <f>_xlfn.IFNA(VLOOKUP(Table1[[#This Row],[SKU]],'Kilter Holds'!$P$36:$S$370,4,0),0)</f>
        <v>0</v>
      </c>
      <c r="C144" s="115">
        <v>10</v>
      </c>
      <c r="D144" s="117">
        <f>IFERROR(9*B144,0)</f>
        <v>0</v>
      </c>
      <c r="E144" s="117">
        <f>IFERROR(1*B144,0)</f>
        <v>0</v>
      </c>
      <c r="F144" s="117">
        <v>0</v>
      </c>
      <c r="G144" s="117">
        <v>0</v>
      </c>
      <c r="H144" s="117">
        <v>0</v>
      </c>
      <c r="I144" s="117">
        <v>0</v>
      </c>
      <c r="J144" s="117">
        <v>0</v>
      </c>
      <c r="K144" s="117">
        <v>0</v>
      </c>
      <c r="L144" s="123">
        <v>0</v>
      </c>
      <c r="M144" s="117">
        <v>0</v>
      </c>
      <c r="N144" s="117">
        <v>0</v>
      </c>
      <c r="O144" s="117">
        <v>0</v>
      </c>
      <c r="P144" s="117">
        <v>0</v>
      </c>
      <c r="Q144" s="117">
        <v>0</v>
      </c>
      <c r="R144" s="117">
        <v>0</v>
      </c>
      <c r="S144" s="119">
        <v>0</v>
      </c>
      <c r="T144" s="119">
        <v>0</v>
      </c>
      <c r="U144" s="119">
        <v>0</v>
      </c>
      <c r="V144" s="119" t="str">
        <f t="shared" si="6"/>
        <v xml:space="preserve"> </v>
      </c>
    </row>
    <row r="145" spans="1:22" hidden="1">
      <c r="A145" s="450" t="s">
        <v>278</v>
      </c>
      <c r="B145" s="114">
        <f>_xlfn.IFNA(VLOOKUP(Table1[[#This Row],[SKU]],'Kilter Holds'!$P$36:$S$370,4,0),0)</f>
        <v>0</v>
      </c>
      <c r="C145" s="115">
        <v>5</v>
      </c>
      <c r="D145" s="117">
        <f>IFERROR(5*B145,0)</f>
        <v>0</v>
      </c>
      <c r="E145" s="118">
        <v>0</v>
      </c>
      <c r="F145" s="118">
        <v>0</v>
      </c>
      <c r="G145" s="118">
        <v>0</v>
      </c>
      <c r="H145" s="118">
        <v>0</v>
      </c>
      <c r="I145" s="118">
        <v>0</v>
      </c>
      <c r="J145" s="118">
        <v>0</v>
      </c>
      <c r="K145" s="118">
        <v>0</v>
      </c>
      <c r="L145" s="123">
        <v>0</v>
      </c>
      <c r="M145" s="118">
        <v>0</v>
      </c>
      <c r="N145" s="118">
        <v>0</v>
      </c>
      <c r="O145" s="118">
        <v>0</v>
      </c>
      <c r="P145" s="118">
        <v>0</v>
      </c>
      <c r="Q145" s="118">
        <v>0</v>
      </c>
      <c r="R145" s="118">
        <v>0</v>
      </c>
      <c r="S145" s="119">
        <v>0</v>
      </c>
      <c r="T145" s="119">
        <v>0</v>
      </c>
      <c r="U145" s="119">
        <v>0</v>
      </c>
      <c r="V145" s="119" t="str">
        <f t="shared" si="6"/>
        <v xml:space="preserve"> </v>
      </c>
    </row>
    <row r="146" spans="1:22" hidden="1">
      <c r="A146" s="449" t="s">
        <v>197</v>
      </c>
      <c r="B146" s="114">
        <f>_xlfn.IFNA(VLOOKUP(Table1[[#This Row],[SKU]],'Kilter Holds'!$P$36:$S$370,4,0),0)</f>
        <v>0</v>
      </c>
      <c r="C146" s="115">
        <v>10</v>
      </c>
      <c r="D146" s="117">
        <f>IFERROR(10*B146,0)</f>
        <v>0</v>
      </c>
      <c r="E146" s="117">
        <v>0</v>
      </c>
      <c r="F146" s="117">
        <v>0</v>
      </c>
      <c r="G146" s="117">
        <v>0</v>
      </c>
      <c r="H146" s="117">
        <v>0</v>
      </c>
      <c r="I146" s="117">
        <v>0</v>
      </c>
      <c r="J146" s="117">
        <v>0</v>
      </c>
      <c r="K146" s="117">
        <v>0</v>
      </c>
      <c r="L146" s="123">
        <v>0</v>
      </c>
      <c r="M146" s="117">
        <v>0</v>
      </c>
      <c r="N146" s="117">
        <v>0</v>
      </c>
      <c r="O146" s="117">
        <v>0</v>
      </c>
      <c r="P146" s="117">
        <v>0</v>
      </c>
      <c r="Q146" s="117">
        <v>0</v>
      </c>
      <c r="R146" s="117">
        <v>0</v>
      </c>
      <c r="S146" s="119">
        <v>0</v>
      </c>
      <c r="T146" s="119">
        <v>0</v>
      </c>
      <c r="U146" s="119">
        <v>0</v>
      </c>
      <c r="V146" s="119" t="str">
        <f t="shared" si="6"/>
        <v xml:space="preserve"> </v>
      </c>
    </row>
    <row r="147" spans="1:22" hidden="1">
      <c r="A147" s="450" t="s">
        <v>198</v>
      </c>
      <c r="B147" s="114">
        <f>_xlfn.IFNA(VLOOKUP(Table1[[#This Row],[SKU]],'Kilter Holds'!$P$36:$S$370,4,0),0)</f>
        <v>0</v>
      </c>
      <c r="C147" s="115">
        <v>10</v>
      </c>
      <c r="D147" s="117">
        <f>IFERROR(10*B147,0)</f>
        <v>0</v>
      </c>
      <c r="E147" s="118">
        <v>0</v>
      </c>
      <c r="F147" s="118">
        <v>0</v>
      </c>
      <c r="G147" s="118">
        <v>0</v>
      </c>
      <c r="H147" s="118">
        <v>0</v>
      </c>
      <c r="I147" s="118">
        <v>0</v>
      </c>
      <c r="J147" s="118">
        <v>0</v>
      </c>
      <c r="K147" s="118">
        <v>0</v>
      </c>
      <c r="L147" s="123">
        <v>0</v>
      </c>
      <c r="M147" s="118">
        <v>0</v>
      </c>
      <c r="N147" s="118">
        <v>0</v>
      </c>
      <c r="O147" s="118">
        <v>0</v>
      </c>
      <c r="P147" s="118">
        <v>0</v>
      </c>
      <c r="Q147" s="118">
        <v>0</v>
      </c>
      <c r="R147" s="118">
        <v>0</v>
      </c>
      <c r="S147" s="119">
        <v>0</v>
      </c>
      <c r="T147" s="119">
        <v>0</v>
      </c>
      <c r="U147" s="119">
        <v>0</v>
      </c>
      <c r="V147" s="119" t="str">
        <f t="shared" si="6"/>
        <v xml:space="preserve"> </v>
      </c>
    </row>
    <row r="148" spans="1:22" hidden="1">
      <c r="A148" s="449" t="s">
        <v>166</v>
      </c>
      <c r="B148" s="114">
        <f>_xlfn.IFNA(VLOOKUP(Table1[[#This Row],[SKU]],'Kilter Holds'!$P$36:$S$370,4,0),0)</f>
        <v>0</v>
      </c>
      <c r="C148" s="115">
        <v>5</v>
      </c>
      <c r="D148" s="117">
        <v>0</v>
      </c>
      <c r="E148" s="117">
        <f>IFERROR(5*B148,0)</f>
        <v>0</v>
      </c>
      <c r="F148" s="117">
        <v>0</v>
      </c>
      <c r="G148" s="117">
        <v>0</v>
      </c>
      <c r="H148" s="117">
        <v>0</v>
      </c>
      <c r="I148" s="117">
        <v>0</v>
      </c>
      <c r="J148" s="117">
        <v>0</v>
      </c>
      <c r="K148" s="117">
        <v>0</v>
      </c>
      <c r="L148" s="123">
        <v>0</v>
      </c>
      <c r="M148" s="117">
        <v>0</v>
      </c>
      <c r="N148" s="117">
        <v>0</v>
      </c>
      <c r="O148" s="117">
        <v>0</v>
      </c>
      <c r="P148" s="117">
        <v>0</v>
      </c>
      <c r="Q148" s="117">
        <v>0</v>
      </c>
      <c r="R148" s="117">
        <v>0</v>
      </c>
      <c r="S148" s="119">
        <v>0</v>
      </c>
      <c r="T148" s="119">
        <v>0</v>
      </c>
      <c r="U148" s="119">
        <v>0</v>
      </c>
      <c r="V148" s="119" t="str">
        <f t="shared" si="6"/>
        <v xml:space="preserve"> </v>
      </c>
    </row>
    <row r="149" spans="1:22" hidden="1">
      <c r="A149" s="450" t="s">
        <v>227</v>
      </c>
      <c r="B149" s="114">
        <f>_xlfn.IFNA(VLOOKUP(Table1[[#This Row],[SKU]],'Kilter Holds'!$P$36:$S$370,4,0),0)</f>
        <v>0</v>
      </c>
      <c r="C149" s="115">
        <v>5</v>
      </c>
      <c r="D149" s="118">
        <v>0</v>
      </c>
      <c r="E149" s="118">
        <v>0</v>
      </c>
      <c r="F149" s="118">
        <v>0</v>
      </c>
      <c r="G149" s="118">
        <v>0</v>
      </c>
      <c r="H149" s="118">
        <v>0</v>
      </c>
      <c r="I149" s="117">
        <f>IFERROR(3*B149,0)</f>
        <v>0</v>
      </c>
      <c r="J149" s="117">
        <f>IFERROR(2*B149,0)</f>
        <v>0</v>
      </c>
      <c r="K149" s="118">
        <v>0</v>
      </c>
      <c r="L149" s="123">
        <v>0</v>
      </c>
      <c r="M149" s="118">
        <v>0</v>
      </c>
      <c r="N149" s="118">
        <v>0</v>
      </c>
      <c r="O149" s="118">
        <v>0</v>
      </c>
      <c r="P149" s="118">
        <v>0</v>
      </c>
      <c r="Q149" s="118">
        <v>0</v>
      </c>
      <c r="R149" s="119">
        <v>0</v>
      </c>
      <c r="S149" s="119">
        <v>0</v>
      </c>
      <c r="T149" s="119">
        <v>0</v>
      </c>
      <c r="U149" s="119">
        <v>0</v>
      </c>
      <c r="V149" s="119" t="str">
        <f t="shared" si="6"/>
        <v xml:space="preserve"> </v>
      </c>
    </row>
    <row r="150" spans="1:22" hidden="1">
      <c r="A150" s="450" t="s">
        <v>224</v>
      </c>
      <c r="B150" s="114">
        <f>_xlfn.IFNA(VLOOKUP(Table1[[#This Row],[SKU]],'Kilter Holds'!$P$36:$S$370,4,0),0)</f>
        <v>0</v>
      </c>
      <c r="C150" s="115">
        <v>4</v>
      </c>
      <c r="D150" s="118">
        <v>0</v>
      </c>
      <c r="E150" s="118">
        <v>0</v>
      </c>
      <c r="F150" s="118">
        <v>0</v>
      </c>
      <c r="G150" s="118">
        <v>0</v>
      </c>
      <c r="H150" s="118">
        <v>0</v>
      </c>
      <c r="I150" s="118">
        <v>0</v>
      </c>
      <c r="J150" s="118">
        <v>0</v>
      </c>
      <c r="K150" s="117">
        <f>IFERROR(4*B150,0)</f>
        <v>0</v>
      </c>
      <c r="L150" s="123">
        <v>0</v>
      </c>
      <c r="M150" s="118">
        <v>0</v>
      </c>
      <c r="N150" s="118">
        <v>0</v>
      </c>
      <c r="O150" s="118">
        <v>0</v>
      </c>
      <c r="P150" s="118">
        <v>0</v>
      </c>
      <c r="Q150" s="118">
        <v>0</v>
      </c>
      <c r="R150" s="119">
        <v>0</v>
      </c>
      <c r="S150" s="119">
        <v>0</v>
      </c>
      <c r="T150" s="119">
        <v>0</v>
      </c>
      <c r="U150" s="119">
        <v>0</v>
      </c>
      <c r="V150" s="119" t="str">
        <f t="shared" si="6"/>
        <v xml:space="preserve"> </v>
      </c>
    </row>
    <row r="151" spans="1:22" hidden="1">
      <c r="A151" s="450" t="s">
        <v>223</v>
      </c>
      <c r="B151" s="114">
        <f>_xlfn.IFNA(VLOOKUP(Table1[[#This Row],[SKU]],'Kilter Holds'!$P$36:$S$370,4,0),0)</f>
        <v>0</v>
      </c>
      <c r="C151" s="115">
        <v>4</v>
      </c>
      <c r="D151" s="118">
        <v>0</v>
      </c>
      <c r="E151" s="118">
        <v>0</v>
      </c>
      <c r="F151" s="118">
        <v>0</v>
      </c>
      <c r="G151" s="118">
        <v>0</v>
      </c>
      <c r="H151" s="118">
        <v>0</v>
      </c>
      <c r="I151" s="117">
        <f>IFERROR(1*B151,0)</f>
        <v>0</v>
      </c>
      <c r="J151" s="117">
        <f>IFERROR(2*B151,0)</f>
        <v>0</v>
      </c>
      <c r="K151" s="117">
        <f>IFERROR(1*B151,0)</f>
        <v>0</v>
      </c>
      <c r="L151" s="123">
        <v>0</v>
      </c>
      <c r="M151" s="118">
        <v>0</v>
      </c>
      <c r="N151" s="118">
        <v>0</v>
      </c>
      <c r="O151" s="118">
        <v>0</v>
      </c>
      <c r="P151" s="118">
        <v>0</v>
      </c>
      <c r="Q151" s="118">
        <v>0</v>
      </c>
      <c r="R151" s="119">
        <v>0</v>
      </c>
      <c r="S151" s="119">
        <v>0</v>
      </c>
      <c r="T151" s="119">
        <v>0</v>
      </c>
      <c r="U151" s="119">
        <v>0</v>
      </c>
      <c r="V151" s="119" t="str">
        <f t="shared" si="6"/>
        <v xml:space="preserve"> </v>
      </c>
    </row>
    <row r="152" spans="1:22" hidden="1">
      <c r="A152" s="449" t="s">
        <v>296</v>
      </c>
      <c r="B152" s="114">
        <f>_xlfn.IFNA(VLOOKUP(Table1[[#This Row],[SKU]],'Kilter Holds'!$P$36:$S$370,4,0),0)</f>
        <v>0</v>
      </c>
      <c r="C152" s="115">
        <v>4</v>
      </c>
      <c r="D152" s="117">
        <v>0</v>
      </c>
      <c r="E152" s="117">
        <v>0</v>
      </c>
      <c r="F152" s="117">
        <f>IFERROR(4*B152,0)</f>
        <v>0</v>
      </c>
      <c r="G152" s="117">
        <v>0</v>
      </c>
      <c r="H152" s="117">
        <v>0</v>
      </c>
      <c r="I152" s="117">
        <v>0</v>
      </c>
      <c r="J152" s="117">
        <v>0</v>
      </c>
      <c r="K152" s="117">
        <v>0</v>
      </c>
      <c r="L152" s="123">
        <v>0</v>
      </c>
      <c r="M152" s="117">
        <v>0</v>
      </c>
      <c r="N152" s="117">
        <v>0</v>
      </c>
      <c r="O152" s="117">
        <v>0</v>
      </c>
      <c r="P152" s="117">
        <v>0</v>
      </c>
      <c r="Q152" s="117">
        <v>0</v>
      </c>
      <c r="R152" s="117">
        <v>0</v>
      </c>
      <c r="S152" s="119">
        <v>0</v>
      </c>
      <c r="T152" s="119">
        <v>0</v>
      </c>
      <c r="U152" s="119">
        <v>0</v>
      </c>
      <c r="V152" s="119" t="str">
        <f t="shared" si="6"/>
        <v xml:space="preserve"> </v>
      </c>
    </row>
    <row r="153" spans="1:22" hidden="1">
      <c r="A153" s="452" t="s">
        <v>884</v>
      </c>
      <c r="B153" s="114">
        <f>_xlfn.IFNA(VLOOKUP(Table1[[#This Row],[SKU]],'Kilter Holds'!$P$36:$S$370,4,0),0)</f>
        <v>0</v>
      </c>
      <c r="C153" s="115">
        <v>3</v>
      </c>
      <c r="D153" s="117">
        <v>0</v>
      </c>
      <c r="E153" s="117">
        <v>0</v>
      </c>
      <c r="F153" s="117">
        <v>0</v>
      </c>
      <c r="G153" s="117">
        <v>0</v>
      </c>
      <c r="H153" s="117">
        <v>0</v>
      </c>
      <c r="I153" s="117">
        <f>IFERROR(1*B153,0)</f>
        <v>0</v>
      </c>
      <c r="J153" s="117">
        <v>0</v>
      </c>
      <c r="K153" s="117">
        <f>IFERROR(1*B153,0)</f>
        <v>0</v>
      </c>
      <c r="L153" s="123">
        <v>0</v>
      </c>
      <c r="M153" s="117">
        <v>0</v>
      </c>
      <c r="N153" s="117">
        <f>IFERROR(1*B153,0)</f>
        <v>0</v>
      </c>
      <c r="O153" s="117">
        <v>0</v>
      </c>
      <c r="P153" s="117">
        <v>0</v>
      </c>
      <c r="Q153" s="117">
        <v>0</v>
      </c>
      <c r="R153" s="117">
        <v>0</v>
      </c>
      <c r="S153" s="119">
        <v>0</v>
      </c>
      <c r="T153" s="119">
        <v>0</v>
      </c>
      <c r="U153" s="119">
        <v>0</v>
      </c>
      <c r="V153" s="119" t="str">
        <f t="shared" si="6"/>
        <v xml:space="preserve"> </v>
      </c>
    </row>
    <row r="154" spans="1:22" hidden="1">
      <c r="A154" s="450" t="s">
        <v>215</v>
      </c>
      <c r="B154" s="114">
        <f>_xlfn.IFNA(VLOOKUP(Table1[[#This Row],[SKU]],'Kilter Holds'!$P$36:$S$370,4,0),0)</f>
        <v>0</v>
      </c>
      <c r="C154" s="115">
        <v>1</v>
      </c>
      <c r="D154" s="118">
        <v>0</v>
      </c>
      <c r="E154" s="118">
        <v>0</v>
      </c>
      <c r="F154" s="118">
        <v>0</v>
      </c>
      <c r="G154" s="118">
        <v>0</v>
      </c>
      <c r="H154" s="118">
        <v>0</v>
      </c>
      <c r="I154" s="117">
        <f>IFERROR(1*B154,0)</f>
        <v>0</v>
      </c>
      <c r="J154" s="118">
        <v>0</v>
      </c>
      <c r="K154" s="118">
        <v>0</v>
      </c>
      <c r="L154" s="123">
        <v>0</v>
      </c>
      <c r="M154" s="118">
        <v>0</v>
      </c>
      <c r="N154" s="118">
        <v>0</v>
      </c>
      <c r="O154" s="118">
        <v>0</v>
      </c>
      <c r="P154" s="118">
        <v>0</v>
      </c>
      <c r="Q154" s="118">
        <v>0</v>
      </c>
      <c r="R154" s="118">
        <v>0</v>
      </c>
      <c r="S154" s="119">
        <v>0</v>
      </c>
      <c r="T154" s="119">
        <v>0</v>
      </c>
      <c r="U154" s="119">
        <v>0</v>
      </c>
      <c r="V154" s="119" t="str">
        <f t="shared" si="6"/>
        <v xml:space="preserve"> </v>
      </c>
    </row>
    <row r="155" spans="1:22" hidden="1">
      <c r="A155" s="449" t="s">
        <v>216</v>
      </c>
      <c r="B155" s="114">
        <f>_xlfn.IFNA(VLOOKUP(Table1[[#This Row],[SKU]],'Kilter Holds'!$P$36:$S$370,4,0),0)</f>
        <v>0</v>
      </c>
      <c r="C155" s="115">
        <v>1</v>
      </c>
      <c r="D155" s="117">
        <v>0</v>
      </c>
      <c r="E155" s="117">
        <v>0</v>
      </c>
      <c r="F155" s="117">
        <v>0</v>
      </c>
      <c r="G155" s="117">
        <v>0</v>
      </c>
      <c r="H155" s="117">
        <v>0</v>
      </c>
      <c r="I155" s="117">
        <v>0</v>
      </c>
      <c r="J155" s="117">
        <v>0</v>
      </c>
      <c r="K155" s="117">
        <v>0</v>
      </c>
      <c r="L155" s="123">
        <v>0</v>
      </c>
      <c r="M155" s="117">
        <v>0</v>
      </c>
      <c r="N155" s="117">
        <f>IFERROR(1*B155,0)</f>
        <v>0</v>
      </c>
      <c r="O155" s="117">
        <v>0</v>
      </c>
      <c r="P155" s="117">
        <v>0</v>
      </c>
      <c r="Q155" s="117">
        <v>0</v>
      </c>
      <c r="R155" s="117">
        <v>0</v>
      </c>
      <c r="S155" s="119">
        <v>0</v>
      </c>
      <c r="T155" s="119">
        <v>0</v>
      </c>
      <c r="U155" s="119">
        <v>0</v>
      </c>
      <c r="V155" s="119" t="str">
        <f t="shared" si="6"/>
        <v xml:space="preserve"> </v>
      </c>
    </row>
    <row r="156" spans="1:22" hidden="1">
      <c r="A156" s="450" t="s">
        <v>217</v>
      </c>
      <c r="B156" s="114">
        <f>_xlfn.IFNA(VLOOKUP(Table1[[#This Row],[SKU]],'Kilter Holds'!$P$36:$S$370,4,0),0)</f>
        <v>0</v>
      </c>
      <c r="C156" s="115">
        <v>1</v>
      </c>
      <c r="D156" s="118">
        <v>0</v>
      </c>
      <c r="E156" s="118">
        <v>0</v>
      </c>
      <c r="F156" s="118">
        <v>0</v>
      </c>
      <c r="G156" s="118">
        <v>0</v>
      </c>
      <c r="H156" s="118">
        <v>0</v>
      </c>
      <c r="I156" s="118">
        <v>0</v>
      </c>
      <c r="J156" s="118">
        <v>0</v>
      </c>
      <c r="K156" s="117">
        <f>IFERROR(1*B156,0)</f>
        <v>0</v>
      </c>
      <c r="L156" s="123">
        <v>0</v>
      </c>
      <c r="M156" s="118">
        <v>0</v>
      </c>
      <c r="N156" s="118">
        <v>0</v>
      </c>
      <c r="O156" s="118">
        <v>0</v>
      </c>
      <c r="P156" s="118">
        <v>0</v>
      </c>
      <c r="Q156" s="118">
        <v>0</v>
      </c>
      <c r="R156" s="118">
        <v>0</v>
      </c>
      <c r="S156" s="119">
        <v>0</v>
      </c>
      <c r="T156" s="119">
        <v>0</v>
      </c>
      <c r="U156" s="119">
        <v>0</v>
      </c>
      <c r="V156" s="119" t="str">
        <f t="shared" si="6"/>
        <v xml:space="preserve"> </v>
      </c>
    </row>
    <row r="157" spans="1:22" hidden="1">
      <c r="A157" s="450" t="s">
        <v>225</v>
      </c>
      <c r="B157" s="114">
        <f>_xlfn.IFNA(VLOOKUP(Table1[[#This Row],[SKU]],'Kilter Holds'!$P$36:$S$370,4,0),0)</f>
        <v>0</v>
      </c>
      <c r="C157" s="115">
        <v>4</v>
      </c>
      <c r="D157" s="118">
        <v>0</v>
      </c>
      <c r="E157" s="118">
        <v>0</v>
      </c>
      <c r="F157" s="118">
        <v>0</v>
      </c>
      <c r="G157" s="118">
        <v>0</v>
      </c>
      <c r="H157" s="118">
        <v>0</v>
      </c>
      <c r="I157" s="118">
        <v>0</v>
      </c>
      <c r="J157" s="117">
        <f>IFERROR(2*B157,0)</f>
        <v>0</v>
      </c>
      <c r="K157" s="117">
        <f>IFERROR(1*B157,0)</f>
        <v>0</v>
      </c>
      <c r="L157" s="123">
        <v>0</v>
      </c>
      <c r="M157" s="117">
        <f>IFERROR(1*B157,0)</f>
        <v>0</v>
      </c>
      <c r="N157" s="118">
        <v>0</v>
      </c>
      <c r="O157" s="118">
        <v>0</v>
      </c>
      <c r="P157" s="118">
        <v>0</v>
      </c>
      <c r="Q157" s="118">
        <v>0</v>
      </c>
      <c r="R157" s="118">
        <v>0</v>
      </c>
      <c r="S157" s="119">
        <v>0</v>
      </c>
      <c r="T157" s="119">
        <v>0</v>
      </c>
      <c r="U157" s="119">
        <v>0</v>
      </c>
      <c r="V157" s="119" t="str">
        <f t="shared" si="6"/>
        <v xml:space="preserve"> </v>
      </c>
    </row>
    <row r="158" spans="1:22" hidden="1">
      <c r="A158" s="449" t="s">
        <v>222</v>
      </c>
      <c r="B158" s="114">
        <f>_xlfn.IFNA(VLOOKUP(Table1[[#This Row],[SKU]],'Kilter Holds'!$P$36:$S$370,4,0),0)</f>
        <v>0</v>
      </c>
      <c r="C158" s="115">
        <v>4</v>
      </c>
      <c r="D158" s="117">
        <v>0</v>
      </c>
      <c r="E158" s="117">
        <v>0</v>
      </c>
      <c r="F158" s="117">
        <v>0</v>
      </c>
      <c r="G158" s="117">
        <v>0</v>
      </c>
      <c r="H158" s="117">
        <f>IFERROR(1*B158,0)</f>
        <v>0</v>
      </c>
      <c r="I158" s="117">
        <f>IFERROR(1*B158,0)</f>
        <v>0</v>
      </c>
      <c r="J158" s="117">
        <f>IFERROR(2*B158,0)</f>
        <v>0</v>
      </c>
      <c r="K158" s="117">
        <v>0</v>
      </c>
      <c r="L158" s="123">
        <v>0</v>
      </c>
      <c r="M158" s="117">
        <v>0</v>
      </c>
      <c r="N158" s="117">
        <v>0</v>
      </c>
      <c r="O158" s="117">
        <v>0</v>
      </c>
      <c r="P158" s="117">
        <v>0</v>
      </c>
      <c r="Q158" s="117">
        <v>0</v>
      </c>
      <c r="R158" s="117">
        <v>0</v>
      </c>
      <c r="S158" s="119">
        <v>0</v>
      </c>
      <c r="T158" s="119">
        <v>0</v>
      </c>
      <c r="U158" s="119">
        <v>0</v>
      </c>
      <c r="V158" s="119" t="str">
        <f t="shared" si="6"/>
        <v xml:space="preserve"> </v>
      </c>
    </row>
    <row r="159" spans="1:22" hidden="1">
      <c r="A159" s="449" t="s">
        <v>228</v>
      </c>
      <c r="B159" s="114">
        <f>_xlfn.IFNA(VLOOKUP(Table1[[#This Row],[SKU]],'Kilter Holds'!$P$36:$S$370,4,0),0)</f>
        <v>0</v>
      </c>
      <c r="C159" s="115">
        <v>5</v>
      </c>
      <c r="D159" s="117">
        <v>0</v>
      </c>
      <c r="E159" s="117">
        <v>0</v>
      </c>
      <c r="F159" s="117">
        <v>0</v>
      </c>
      <c r="G159" s="117">
        <v>0</v>
      </c>
      <c r="H159" s="117">
        <f>IFERROR(2*B159,0)</f>
        <v>0</v>
      </c>
      <c r="I159" s="117">
        <f>IFERROR(2*B159,0)</f>
        <v>0</v>
      </c>
      <c r="J159" s="117">
        <f>IFERROR(1*B159,0)</f>
        <v>0</v>
      </c>
      <c r="K159" s="117">
        <v>0</v>
      </c>
      <c r="L159" s="123">
        <v>0</v>
      </c>
      <c r="M159" s="117">
        <v>0</v>
      </c>
      <c r="N159" s="117">
        <v>0</v>
      </c>
      <c r="O159" s="117">
        <v>0</v>
      </c>
      <c r="P159" s="117">
        <v>0</v>
      </c>
      <c r="Q159" s="117">
        <v>0</v>
      </c>
      <c r="R159" s="117">
        <v>0</v>
      </c>
      <c r="S159" s="119">
        <v>0</v>
      </c>
      <c r="T159" s="119">
        <v>0</v>
      </c>
      <c r="U159" s="119">
        <v>0</v>
      </c>
      <c r="V159" s="119" t="str">
        <f t="shared" si="6"/>
        <v xml:space="preserve"> </v>
      </c>
    </row>
    <row r="160" spans="1:22" hidden="1">
      <c r="A160" s="452" t="s">
        <v>890</v>
      </c>
      <c r="B160" s="114">
        <f>_xlfn.IFNA(VLOOKUP(Table1[[#This Row],[SKU]],'Kilter Holds'!$P$36:$S$370,4,0),0)</f>
        <v>0</v>
      </c>
      <c r="C160" s="115">
        <v>2</v>
      </c>
      <c r="D160" s="117">
        <v>0</v>
      </c>
      <c r="E160" s="117">
        <v>0</v>
      </c>
      <c r="F160" s="117">
        <v>0</v>
      </c>
      <c r="G160" s="117">
        <v>0</v>
      </c>
      <c r="H160" s="117">
        <v>0</v>
      </c>
      <c r="I160" s="117">
        <v>0</v>
      </c>
      <c r="J160" s="117">
        <v>0</v>
      </c>
      <c r="K160" s="117">
        <v>0</v>
      </c>
      <c r="L160" s="123">
        <v>0</v>
      </c>
      <c r="M160" s="117">
        <f>Table1[[#This Row],[Quantity of Sets]]*2</f>
        <v>0</v>
      </c>
      <c r="N160" s="117">
        <v>0</v>
      </c>
      <c r="O160" s="117">
        <v>0</v>
      </c>
      <c r="P160" s="117">
        <v>0</v>
      </c>
      <c r="Q160" s="117">
        <v>0</v>
      </c>
      <c r="R160" s="117">
        <v>0</v>
      </c>
      <c r="S160" s="119">
        <v>0</v>
      </c>
      <c r="T160" s="119">
        <v>0</v>
      </c>
      <c r="U160" s="119">
        <v>0</v>
      </c>
      <c r="V160" s="119" t="str">
        <f t="shared" si="6"/>
        <v xml:space="preserve"> </v>
      </c>
    </row>
    <row r="161" spans="1:22" hidden="1">
      <c r="A161" s="449" t="s">
        <v>218</v>
      </c>
      <c r="B161" s="114">
        <f>_xlfn.IFNA(VLOOKUP(Table1[[#This Row],[SKU]],'Kilter Holds'!$P$36:$S$370,4,0),0)</f>
        <v>0</v>
      </c>
      <c r="C161" s="115">
        <v>1</v>
      </c>
      <c r="D161" s="117">
        <v>0</v>
      </c>
      <c r="E161" s="117">
        <v>0</v>
      </c>
      <c r="F161" s="117">
        <v>0</v>
      </c>
      <c r="G161" s="117">
        <v>0</v>
      </c>
      <c r="H161" s="117">
        <v>0</v>
      </c>
      <c r="I161" s="117">
        <v>0</v>
      </c>
      <c r="J161" s="117">
        <v>0</v>
      </c>
      <c r="K161" s="117">
        <v>0</v>
      </c>
      <c r="L161" s="123">
        <v>0</v>
      </c>
      <c r="M161" s="117">
        <f>Table1[[#This Row],[Quantity of Sets]]*1</f>
        <v>0</v>
      </c>
      <c r="N161" s="117">
        <v>0</v>
      </c>
      <c r="O161" s="117">
        <v>0</v>
      </c>
      <c r="P161" s="117">
        <v>0</v>
      </c>
      <c r="Q161" s="117">
        <v>0</v>
      </c>
      <c r="R161" s="117">
        <v>0</v>
      </c>
      <c r="S161" s="119">
        <v>0</v>
      </c>
      <c r="T161" s="119">
        <v>0</v>
      </c>
      <c r="U161" s="119">
        <v>0</v>
      </c>
      <c r="V161" s="119" t="str">
        <f t="shared" si="6"/>
        <v xml:space="preserve"> </v>
      </c>
    </row>
    <row r="162" spans="1:22" hidden="1">
      <c r="A162" s="449" t="s">
        <v>219</v>
      </c>
      <c r="B162" s="114">
        <f>_xlfn.IFNA(VLOOKUP(Table1[[#This Row],[SKU]],'Kilter Holds'!$P$36:$S$370,4,0),0)</f>
        <v>0</v>
      </c>
      <c r="C162" s="115">
        <v>1</v>
      </c>
      <c r="D162" s="117">
        <v>0</v>
      </c>
      <c r="E162" s="117">
        <v>0</v>
      </c>
      <c r="F162" s="117">
        <v>0</v>
      </c>
      <c r="G162" s="117">
        <v>0</v>
      </c>
      <c r="H162" s="117">
        <v>0</v>
      </c>
      <c r="I162" s="117">
        <v>0</v>
      </c>
      <c r="J162" s="117">
        <v>0</v>
      </c>
      <c r="K162" s="117">
        <v>0</v>
      </c>
      <c r="L162" s="123">
        <v>0</v>
      </c>
      <c r="M162" s="117">
        <f>Table1[[#This Row],[Quantity of Sets]]*1</f>
        <v>0</v>
      </c>
      <c r="N162" s="117">
        <v>0</v>
      </c>
      <c r="O162" s="117">
        <v>0</v>
      </c>
      <c r="P162" s="117">
        <v>0</v>
      </c>
      <c r="Q162" s="117">
        <v>0</v>
      </c>
      <c r="R162" s="117">
        <v>0</v>
      </c>
      <c r="S162" s="119">
        <v>0</v>
      </c>
      <c r="T162" s="119">
        <v>0</v>
      </c>
      <c r="U162" s="119">
        <v>0</v>
      </c>
      <c r="V162" s="119" t="str">
        <f t="shared" si="6"/>
        <v xml:space="preserve"> </v>
      </c>
    </row>
    <row r="163" spans="1:22" hidden="1">
      <c r="A163" s="452" t="s">
        <v>238</v>
      </c>
      <c r="B163" s="114">
        <f>_xlfn.IFNA(VLOOKUP(Table1[[#This Row],[SKU]],'Kilter Holds'!$P$36:$S$370,4,0),0)</f>
        <v>0</v>
      </c>
      <c r="C163" s="115">
        <v>5</v>
      </c>
      <c r="D163" s="117">
        <f>IFERROR(5*B163,0)</f>
        <v>0</v>
      </c>
      <c r="E163" s="117">
        <v>0</v>
      </c>
      <c r="F163" s="117">
        <v>0</v>
      </c>
      <c r="G163" s="117">
        <v>0</v>
      </c>
      <c r="H163" s="117">
        <v>0</v>
      </c>
      <c r="I163" s="117">
        <v>0</v>
      </c>
      <c r="J163" s="117">
        <v>0</v>
      </c>
      <c r="K163" s="117">
        <v>0</v>
      </c>
      <c r="L163" s="123">
        <v>0</v>
      </c>
      <c r="M163" s="117">
        <v>0</v>
      </c>
      <c r="N163" s="117">
        <v>0</v>
      </c>
      <c r="O163" s="117">
        <v>0</v>
      </c>
      <c r="P163" s="117">
        <v>0</v>
      </c>
      <c r="Q163" s="117">
        <v>0</v>
      </c>
      <c r="R163" s="117">
        <v>0</v>
      </c>
      <c r="S163" s="119">
        <v>0</v>
      </c>
      <c r="T163" s="119">
        <v>0</v>
      </c>
      <c r="U163" s="119">
        <v>0</v>
      </c>
      <c r="V163" s="119" t="str">
        <f t="shared" si="6"/>
        <v xml:space="preserve"> </v>
      </c>
    </row>
    <row r="164" spans="1:22" hidden="1">
      <c r="A164" s="452" t="s">
        <v>239</v>
      </c>
      <c r="B164" s="114">
        <f>_xlfn.IFNA(VLOOKUP(Table1[[#This Row],[SKU]],'Kilter Holds'!$P$36:$S$370,4,0),0)</f>
        <v>0</v>
      </c>
      <c r="C164" s="115">
        <v>5</v>
      </c>
      <c r="D164" s="117">
        <f>IFERROR(5*B164,0)</f>
        <v>0</v>
      </c>
      <c r="E164" s="117">
        <v>0</v>
      </c>
      <c r="F164" s="117">
        <v>0</v>
      </c>
      <c r="G164" s="117">
        <v>0</v>
      </c>
      <c r="H164" s="117">
        <v>0</v>
      </c>
      <c r="I164" s="117">
        <v>0</v>
      </c>
      <c r="J164" s="117">
        <v>0</v>
      </c>
      <c r="K164" s="117">
        <v>0</v>
      </c>
      <c r="L164" s="123">
        <v>0</v>
      </c>
      <c r="M164" s="117">
        <v>0</v>
      </c>
      <c r="N164" s="117">
        <v>0</v>
      </c>
      <c r="O164" s="117">
        <v>0</v>
      </c>
      <c r="P164" s="117">
        <v>0</v>
      </c>
      <c r="Q164" s="117">
        <v>0</v>
      </c>
      <c r="R164" s="117">
        <v>0</v>
      </c>
      <c r="S164" s="119">
        <v>0</v>
      </c>
      <c r="T164" s="119">
        <v>0</v>
      </c>
      <c r="U164" s="119">
        <v>0</v>
      </c>
      <c r="V164" s="119" t="str">
        <f t="shared" si="6"/>
        <v xml:space="preserve"> </v>
      </c>
    </row>
    <row r="165" spans="1:22" hidden="1">
      <c r="A165" s="452" t="s">
        <v>251</v>
      </c>
      <c r="B165" s="114">
        <f>_xlfn.IFNA(VLOOKUP(Table1[[#This Row],[SKU]],'Kilter Holds'!$P$36:$S$370,4,0),0)</f>
        <v>0</v>
      </c>
      <c r="C165" s="115">
        <v>10</v>
      </c>
      <c r="D165" s="117">
        <f>IFERROR(10*B165,0)</f>
        <v>0</v>
      </c>
      <c r="E165" s="117">
        <v>0</v>
      </c>
      <c r="F165" s="117">
        <v>0</v>
      </c>
      <c r="G165" s="117">
        <v>0</v>
      </c>
      <c r="H165" s="117">
        <v>0</v>
      </c>
      <c r="I165" s="117">
        <v>0</v>
      </c>
      <c r="J165" s="117">
        <v>0</v>
      </c>
      <c r="K165" s="117">
        <v>0</v>
      </c>
      <c r="L165" s="123">
        <v>0</v>
      </c>
      <c r="M165" s="117">
        <v>0</v>
      </c>
      <c r="N165" s="117">
        <v>0</v>
      </c>
      <c r="O165" s="117">
        <v>0</v>
      </c>
      <c r="P165" s="117">
        <v>0</v>
      </c>
      <c r="Q165" s="117">
        <v>0</v>
      </c>
      <c r="R165" s="117">
        <v>0</v>
      </c>
      <c r="S165" s="119">
        <v>0</v>
      </c>
      <c r="T165" s="119">
        <v>0</v>
      </c>
      <c r="U165" s="119">
        <v>0</v>
      </c>
      <c r="V165" s="119" t="str">
        <f t="shared" si="6"/>
        <v xml:space="preserve"> </v>
      </c>
    </row>
    <row r="166" spans="1:22" hidden="1">
      <c r="A166" s="452" t="s">
        <v>240</v>
      </c>
      <c r="B166" s="114">
        <f>_xlfn.IFNA(VLOOKUP(Table1[[#This Row],[SKU]],'Kilter Holds'!$P$36:$S$370,4,0),0)</f>
        <v>0</v>
      </c>
      <c r="C166" s="115">
        <v>5</v>
      </c>
      <c r="D166" s="117">
        <v>0</v>
      </c>
      <c r="E166" s="117">
        <f>IFERROR(5*B166,0)</f>
        <v>0</v>
      </c>
      <c r="F166" s="117">
        <v>0</v>
      </c>
      <c r="G166" s="117">
        <v>0</v>
      </c>
      <c r="H166" s="117">
        <v>0</v>
      </c>
      <c r="I166" s="117">
        <v>0</v>
      </c>
      <c r="J166" s="117">
        <v>0</v>
      </c>
      <c r="K166" s="117">
        <v>0</v>
      </c>
      <c r="L166" s="123">
        <v>0</v>
      </c>
      <c r="M166" s="117">
        <v>0</v>
      </c>
      <c r="N166" s="117">
        <v>0</v>
      </c>
      <c r="O166" s="117">
        <v>0</v>
      </c>
      <c r="P166" s="117">
        <v>0</v>
      </c>
      <c r="Q166" s="117">
        <v>0</v>
      </c>
      <c r="R166" s="117">
        <v>0</v>
      </c>
      <c r="S166" s="119">
        <v>0</v>
      </c>
      <c r="T166" s="119">
        <v>0</v>
      </c>
      <c r="U166" s="119">
        <v>0</v>
      </c>
      <c r="V166" s="119" t="str">
        <f t="shared" si="6"/>
        <v xml:space="preserve"> </v>
      </c>
    </row>
    <row r="167" spans="1:22" hidden="1">
      <c r="A167" s="452" t="s">
        <v>252</v>
      </c>
      <c r="B167" s="114">
        <f>_xlfn.IFNA(VLOOKUP(Table1[[#This Row],[SKU]],'Kilter Holds'!$P$36:$S$370,4,0),0)</f>
        <v>0</v>
      </c>
      <c r="C167" s="115">
        <v>10</v>
      </c>
      <c r="D167" s="117">
        <f>IFERROR(10*B167,0)</f>
        <v>0</v>
      </c>
      <c r="E167" s="117">
        <v>0</v>
      </c>
      <c r="F167" s="117">
        <v>0</v>
      </c>
      <c r="G167" s="117">
        <v>0</v>
      </c>
      <c r="H167" s="117">
        <v>0</v>
      </c>
      <c r="I167" s="117">
        <v>0</v>
      </c>
      <c r="J167" s="117">
        <v>0</v>
      </c>
      <c r="K167" s="117">
        <v>0</v>
      </c>
      <c r="L167" s="123">
        <v>0</v>
      </c>
      <c r="M167" s="117">
        <v>0</v>
      </c>
      <c r="N167" s="117">
        <v>0</v>
      </c>
      <c r="O167" s="117">
        <v>0</v>
      </c>
      <c r="P167" s="117">
        <v>0</v>
      </c>
      <c r="Q167" s="117">
        <v>0</v>
      </c>
      <c r="R167" s="117">
        <v>0</v>
      </c>
      <c r="S167" s="119">
        <v>0</v>
      </c>
      <c r="T167" s="119">
        <v>0</v>
      </c>
      <c r="U167" s="119">
        <v>0</v>
      </c>
      <c r="V167" s="119" t="str">
        <f t="shared" si="6"/>
        <v xml:space="preserve"> </v>
      </c>
    </row>
    <row r="168" spans="1:22" hidden="1">
      <c r="A168" s="452" t="s">
        <v>230</v>
      </c>
      <c r="B168" s="114">
        <f>_xlfn.IFNA(VLOOKUP(Table1[[#This Row],[SKU]],'Kilter Holds'!$P$36:$S$370,4,0),0)</f>
        <v>0</v>
      </c>
      <c r="C168" s="115">
        <v>5</v>
      </c>
      <c r="D168" s="117">
        <f>IFERROR(4*B168,0)</f>
        <v>0</v>
      </c>
      <c r="E168" s="117">
        <f>IFERROR(1*B168,0)</f>
        <v>0</v>
      </c>
      <c r="F168" s="117">
        <v>0</v>
      </c>
      <c r="G168" s="117">
        <v>0</v>
      </c>
      <c r="H168" s="117">
        <v>0</v>
      </c>
      <c r="I168" s="117">
        <v>0</v>
      </c>
      <c r="J168" s="117">
        <v>0</v>
      </c>
      <c r="K168" s="117">
        <v>0</v>
      </c>
      <c r="L168" s="123">
        <v>0</v>
      </c>
      <c r="M168" s="117">
        <v>0</v>
      </c>
      <c r="N168" s="117">
        <v>0</v>
      </c>
      <c r="O168" s="117">
        <v>0</v>
      </c>
      <c r="P168" s="117">
        <v>0</v>
      </c>
      <c r="Q168" s="117">
        <v>0</v>
      </c>
      <c r="R168" s="117">
        <v>0</v>
      </c>
      <c r="S168" s="119">
        <v>0</v>
      </c>
      <c r="T168" s="119">
        <v>0</v>
      </c>
      <c r="U168" s="119">
        <v>0</v>
      </c>
      <c r="V168" s="119" t="str">
        <f t="shared" si="6"/>
        <v xml:space="preserve"> </v>
      </c>
    </row>
    <row r="169" spans="1:22" hidden="1">
      <c r="A169" s="452" t="s">
        <v>232</v>
      </c>
      <c r="B169" s="114">
        <f>_xlfn.IFNA(VLOOKUP(Table1[[#This Row],[SKU]],'Kilter Holds'!$P$36:$S$370,4,0),0)</f>
        <v>0</v>
      </c>
      <c r="C169" s="115">
        <v>5</v>
      </c>
      <c r="D169" s="117">
        <f>IFERROR(4*B169,0)</f>
        <v>0</v>
      </c>
      <c r="E169" s="117">
        <f>IFERROR(1*B169,0)</f>
        <v>0</v>
      </c>
      <c r="F169" s="117">
        <v>0</v>
      </c>
      <c r="G169" s="117">
        <v>0</v>
      </c>
      <c r="H169" s="117">
        <v>0</v>
      </c>
      <c r="I169" s="117">
        <v>0</v>
      </c>
      <c r="J169" s="117">
        <v>0</v>
      </c>
      <c r="K169" s="117">
        <v>0</v>
      </c>
      <c r="L169" s="123">
        <v>0</v>
      </c>
      <c r="M169" s="117">
        <v>0</v>
      </c>
      <c r="N169" s="117">
        <v>0</v>
      </c>
      <c r="O169" s="117">
        <v>0</v>
      </c>
      <c r="P169" s="117">
        <v>0</v>
      </c>
      <c r="Q169" s="117">
        <v>0</v>
      </c>
      <c r="R169" s="117">
        <v>0</v>
      </c>
      <c r="S169" s="119">
        <v>0</v>
      </c>
      <c r="T169" s="119">
        <v>0</v>
      </c>
      <c r="U169" s="119">
        <v>0</v>
      </c>
      <c r="V169" s="119" t="str">
        <f t="shared" si="6"/>
        <v xml:space="preserve"> </v>
      </c>
    </row>
    <row r="170" spans="1:22" hidden="1">
      <c r="A170" s="452" t="s">
        <v>253</v>
      </c>
      <c r="B170" s="114">
        <f>_xlfn.IFNA(VLOOKUP(Table1[[#This Row],[SKU]],'Kilter Holds'!$P$36:$S$370,4,0),0)</f>
        <v>0</v>
      </c>
      <c r="C170" s="115">
        <v>10</v>
      </c>
      <c r="D170" s="117">
        <f t="shared" ref="D170:D175" si="7">IFERROR(10*B170,0)</f>
        <v>0</v>
      </c>
      <c r="E170" s="117">
        <v>0</v>
      </c>
      <c r="F170" s="117">
        <v>0</v>
      </c>
      <c r="G170" s="117">
        <v>0</v>
      </c>
      <c r="H170" s="117">
        <v>0</v>
      </c>
      <c r="I170" s="117">
        <v>0</v>
      </c>
      <c r="J170" s="117">
        <v>0</v>
      </c>
      <c r="K170" s="117">
        <v>0</v>
      </c>
      <c r="L170" s="123">
        <v>0</v>
      </c>
      <c r="M170" s="117">
        <v>0</v>
      </c>
      <c r="N170" s="117">
        <v>0</v>
      </c>
      <c r="O170" s="117">
        <v>0</v>
      </c>
      <c r="P170" s="117">
        <v>0</v>
      </c>
      <c r="Q170" s="117">
        <v>0</v>
      </c>
      <c r="R170" s="117">
        <v>0</v>
      </c>
      <c r="S170" s="119">
        <v>0</v>
      </c>
      <c r="T170" s="119">
        <v>0</v>
      </c>
      <c r="U170" s="119">
        <v>0</v>
      </c>
      <c r="V170" s="119" t="str">
        <f t="shared" si="6"/>
        <v xml:space="preserve"> </v>
      </c>
    </row>
    <row r="171" spans="1:22" hidden="1">
      <c r="A171" s="449" t="s">
        <v>254</v>
      </c>
      <c r="B171" s="114">
        <f>_xlfn.IFNA(VLOOKUP(Table1[[#This Row],[SKU]],'Kilter Holds'!$P$36:$S$370,4,0),0)</f>
        <v>0</v>
      </c>
      <c r="C171" s="115">
        <v>10</v>
      </c>
      <c r="D171" s="117">
        <f t="shared" si="7"/>
        <v>0</v>
      </c>
      <c r="E171" s="117">
        <v>0</v>
      </c>
      <c r="F171" s="117">
        <v>0</v>
      </c>
      <c r="G171" s="117">
        <v>0</v>
      </c>
      <c r="H171" s="117">
        <v>0</v>
      </c>
      <c r="I171" s="117">
        <v>0</v>
      </c>
      <c r="J171" s="117">
        <v>0</v>
      </c>
      <c r="K171" s="117">
        <v>0</v>
      </c>
      <c r="L171" s="123">
        <v>0</v>
      </c>
      <c r="M171" s="117">
        <v>0</v>
      </c>
      <c r="N171" s="117">
        <v>0</v>
      </c>
      <c r="O171" s="117">
        <v>0</v>
      </c>
      <c r="P171" s="117">
        <v>0</v>
      </c>
      <c r="Q171" s="117">
        <v>0</v>
      </c>
      <c r="R171" s="117">
        <v>0</v>
      </c>
      <c r="S171" s="119">
        <v>0</v>
      </c>
      <c r="T171" s="119">
        <v>0</v>
      </c>
      <c r="U171" s="119">
        <v>0</v>
      </c>
      <c r="V171" s="119" t="str">
        <f t="shared" si="6"/>
        <v xml:space="preserve"> </v>
      </c>
    </row>
    <row r="172" spans="1:22" hidden="1">
      <c r="A172" s="452" t="s">
        <v>255</v>
      </c>
      <c r="B172" s="114">
        <f>_xlfn.IFNA(VLOOKUP(Table1[[#This Row],[SKU]],'Kilter Holds'!$P$36:$S$370,4,0),0)</f>
        <v>0</v>
      </c>
      <c r="C172" s="115">
        <v>10</v>
      </c>
      <c r="D172" s="117">
        <f t="shared" si="7"/>
        <v>0</v>
      </c>
      <c r="E172" s="117">
        <v>0</v>
      </c>
      <c r="F172" s="117">
        <v>0</v>
      </c>
      <c r="G172" s="117">
        <v>0</v>
      </c>
      <c r="H172" s="117">
        <v>0</v>
      </c>
      <c r="I172" s="117">
        <v>0</v>
      </c>
      <c r="J172" s="117">
        <v>0</v>
      </c>
      <c r="K172" s="117">
        <v>0</v>
      </c>
      <c r="L172" s="123">
        <v>0</v>
      </c>
      <c r="M172" s="117">
        <v>0</v>
      </c>
      <c r="N172" s="117">
        <v>0</v>
      </c>
      <c r="O172" s="117">
        <v>0</v>
      </c>
      <c r="P172" s="117">
        <v>0</v>
      </c>
      <c r="Q172" s="117">
        <v>0</v>
      </c>
      <c r="R172" s="117">
        <v>0</v>
      </c>
      <c r="S172" s="119">
        <v>0</v>
      </c>
      <c r="T172" s="119">
        <v>0</v>
      </c>
      <c r="U172" s="119">
        <v>0</v>
      </c>
      <c r="V172" s="119" t="str">
        <f t="shared" si="6"/>
        <v xml:space="preserve"> </v>
      </c>
    </row>
    <row r="173" spans="1:22" hidden="1">
      <c r="A173" s="449" t="s">
        <v>256</v>
      </c>
      <c r="B173" s="114">
        <f>_xlfn.IFNA(VLOOKUP(Table1[[#This Row],[SKU]],'Kilter Holds'!$P$36:$S$370,4,0),0)</f>
        <v>0</v>
      </c>
      <c r="C173" s="115">
        <v>10</v>
      </c>
      <c r="D173" s="117">
        <f t="shared" si="7"/>
        <v>0</v>
      </c>
      <c r="E173" s="117">
        <v>0</v>
      </c>
      <c r="F173" s="117">
        <v>0</v>
      </c>
      <c r="G173" s="117">
        <v>0</v>
      </c>
      <c r="H173" s="117">
        <v>0</v>
      </c>
      <c r="I173" s="117">
        <v>0</v>
      </c>
      <c r="J173" s="117">
        <v>0</v>
      </c>
      <c r="K173" s="117">
        <v>0</v>
      </c>
      <c r="L173" s="123">
        <v>0</v>
      </c>
      <c r="M173" s="117">
        <v>0</v>
      </c>
      <c r="N173" s="117">
        <v>0</v>
      </c>
      <c r="O173" s="117">
        <v>0</v>
      </c>
      <c r="P173" s="117">
        <v>0</v>
      </c>
      <c r="Q173" s="117">
        <v>0</v>
      </c>
      <c r="R173" s="117">
        <v>0</v>
      </c>
      <c r="S173" s="119">
        <v>0</v>
      </c>
      <c r="T173" s="119">
        <v>0</v>
      </c>
      <c r="U173" s="119">
        <v>0</v>
      </c>
      <c r="V173" s="119" t="str">
        <f t="shared" si="6"/>
        <v xml:space="preserve"> </v>
      </c>
    </row>
    <row r="174" spans="1:22" hidden="1">
      <c r="A174" s="452" t="s">
        <v>261</v>
      </c>
      <c r="B174" s="114">
        <f>_xlfn.IFNA(VLOOKUP(Table1[[#This Row],[SKU]],'Kilter Holds'!$P$36:$S$370,4,0),0)</f>
        <v>0</v>
      </c>
      <c r="C174" s="115">
        <v>10</v>
      </c>
      <c r="D174" s="117">
        <f t="shared" si="7"/>
        <v>0</v>
      </c>
      <c r="E174" s="117">
        <v>0</v>
      </c>
      <c r="F174" s="117">
        <v>0</v>
      </c>
      <c r="G174" s="117">
        <v>0</v>
      </c>
      <c r="H174" s="117">
        <v>0</v>
      </c>
      <c r="I174" s="117">
        <v>0</v>
      </c>
      <c r="J174" s="117">
        <v>0</v>
      </c>
      <c r="K174" s="117">
        <v>0</v>
      </c>
      <c r="L174" s="123">
        <v>0</v>
      </c>
      <c r="M174" s="117">
        <v>0</v>
      </c>
      <c r="N174" s="117">
        <v>0</v>
      </c>
      <c r="O174" s="117">
        <v>0</v>
      </c>
      <c r="P174" s="117">
        <v>0</v>
      </c>
      <c r="Q174" s="117">
        <v>0</v>
      </c>
      <c r="R174" s="117">
        <v>0</v>
      </c>
      <c r="S174" s="119">
        <v>0</v>
      </c>
      <c r="T174" s="119">
        <v>0</v>
      </c>
      <c r="U174" s="119">
        <v>0</v>
      </c>
      <c r="V174" s="119" t="str">
        <f t="shared" si="6"/>
        <v xml:space="preserve"> </v>
      </c>
    </row>
    <row r="175" spans="1:22" hidden="1">
      <c r="A175" s="449" t="s">
        <v>257</v>
      </c>
      <c r="B175" s="114">
        <f>_xlfn.IFNA(VLOOKUP(Table1[[#This Row],[SKU]],'Kilter Holds'!$P$36:$S$370,4,0),0)</f>
        <v>0</v>
      </c>
      <c r="C175" s="115">
        <v>10</v>
      </c>
      <c r="D175" s="117">
        <f t="shared" si="7"/>
        <v>0</v>
      </c>
      <c r="E175" s="117">
        <v>0</v>
      </c>
      <c r="F175" s="117">
        <v>0</v>
      </c>
      <c r="G175" s="117">
        <v>0</v>
      </c>
      <c r="H175" s="117">
        <v>0</v>
      </c>
      <c r="I175" s="117">
        <v>0</v>
      </c>
      <c r="J175" s="117">
        <v>0</v>
      </c>
      <c r="K175" s="117">
        <v>0</v>
      </c>
      <c r="L175" s="123">
        <v>0</v>
      </c>
      <c r="M175" s="117">
        <v>0</v>
      </c>
      <c r="N175" s="117">
        <v>0</v>
      </c>
      <c r="O175" s="117">
        <v>0</v>
      </c>
      <c r="P175" s="117">
        <v>0</v>
      </c>
      <c r="Q175" s="117">
        <v>0</v>
      </c>
      <c r="R175" s="117">
        <v>0</v>
      </c>
      <c r="S175" s="119">
        <v>0</v>
      </c>
      <c r="T175" s="119">
        <v>0</v>
      </c>
      <c r="U175" s="119">
        <v>0</v>
      </c>
      <c r="V175" s="119" t="str">
        <f t="shared" si="6"/>
        <v xml:space="preserve"> </v>
      </c>
    </row>
    <row r="176" spans="1:22" hidden="1">
      <c r="A176" s="452" t="s">
        <v>267</v>
      </c>
      <c r="B176" s="114">
        <f>_xlfn.IFNA(VLOOKUP(Table1[[#This Row],[SKU]],'Kilter Holds'!$P$36:$S$370,4,0),0)</f>
        <v>0</v>
      </c>
      <c r="C176" s="115">
        <v>20</v>
      </c>
      <c r="D176" s="117">
        <f>IFERROR(20*B176,0)</f>
        <v>0</v>
      </c>
      <c r="E176" s="117">
        <v>0</v>
      </c>
      <c r="F176" s="117">
        <v>0</v>
      </c>
      <c r="G176" s="117">
        <v>0</v>
      </c>
      <c r="H176" s="117">
        <v>0</v>
      </c>
      <c r="I176" s="117">
        <v>0</v>
      </c>
      <c r="J176" s="117">
        <v>0</v>
      </c>
      <c r="K176" s="117">
        <v>0</v>
      </c>
      <c r="L176" s="123">
        <v>0</v>
      </c>
      <c r="M176" s="117">
        <v>0</v>
      </c>
      <c r="N176" s="117">
        <v>0</v>
      </c>
      <c r="O176" s="117">
        <v>0</v>
      </c>
      <c r="P176" s="117">
        <v>0</v>
      </c>
      <c r="Q176" s="117">
        <v>0</v>
      </c>
      <c r="R176" s="117">
        <v>0</v>
      </c>
      <c r="S176" s="119">
        <v>0</v>
      </c>
      <c r="T176" s="119">
        <v>0</v>
      </c>
      <c r="U176" s="119">
        <v>0</v>
      </c>
      <c r="V176" s="119" t="str">
        <f t="shared" si="6"/>
        <v xml:space="preserve"> </v>
      </c>
    </row>
    <row r="177" spans="1:22" hidden="1">
      <c r="A177" s="452" t="s">
        <v>241</v>
      </c>
      <c r="B177" s="114">
        <f>_xlfn.IFNA(VLOOKUP(Table1[[#This Row],[SKU]],'Kilter Holds'!$P$36:$S$370,4,0),0)</f>
        <v>0</v>
      </c>
      <c r="C177" s="115">
        <v>5</v>
      </c>
      <c r="D177" s="117">
        <f>IFERROR(1*B177,0)</f>
        <v>0</v>
      </c>
      <c r="E177" s="117">
        <f>IFERROR(4*B177,0)</f>
        <v>0</v>
      </c>
      <c r="F177" s="117">
        <v>0</v>
      </c>
      <c r="G177" s="117">
        <v>0</v>
      </c>
      <c r="H177" s="117">
        <v>0</v>
      </c>
      <c r="I177" s="117">
        <v>0</v>
      </c>
      <c r="J177" s="117">
        <v>0</v>
      </c>
      <c r="K177" s="117">
        <v>0</v>
      </c>
      <c r="L177" s="123">
        <v>0</v>
      </c>
      <c r="M177" s="117">
        <v>0</v>
      </c>
      <c r="N177" s="117">
        <v>0</v>
      </c>
      <c r="O177" s="117">
        <v>0</v>
      </c>
      <c r="P177" s="117">
        <v>0</v>
      </c>
      <c r="Q177" s="117">
        <v>0</v>
      </c>
      <c r="R177" s="117">
        <v>0</v>
      </c>
      <c r="S177" s="119">
        <v>0</v>
      </c>
      <c r="T177" s="119">
        <v>0</v>
      </c>
      <c r="U177" s="119">
        <v>0</v>
      </c>
      <c r="V177" s="119" t="str">
        <f t="shared" si="6"/>
        <v xml:space="preserve"> </v>
      </c>
    </row>
    <row r="178" spans="1:22" hidden="1">
      <c r="A178" s="452" t="s">
        <v>268</v>
      </c>
      <c r="B178" s="114">
        <f>_xlfn.IFNA(VLOOKUP(Table1[[#This Row],[SKU]],'Kilter Holds'!$P$36:$S$370,4,0),0)</f>
        <v>0</v>
      </c>
      <c r="C178" s="115">
        <v>20</v>
      </c>
      <c r="D178" s="117">
        <f>IFERROR(20*B178,0)</f>
        <v>0</v>
      </c>
      <c r="E178" s="117">
        <v>0</v>
      </c>
      <c r="F178" s="117">
        <v>0</v>
      </c>
      <c r="G178" s="117">
        <v>0</v>
      </c>
      <c r="H178" s="117">
        <v>0</v>
      </c>
      <c r="I178" s="117">
        <v>0</v>
      </c>
      <c r="J178" s="117">
        <v>0</v>
      </c>
      <c r="K178" s="117">
        <v>0</v>
      </c>
      <c r="L178" s="123">
        <v>0</v>
      </c>
      <c r="M178" s="117">
        <v>0</v>
      </c>
      <c r="N178" s="117">
        <v>0</v>
      </c>
      <c r="O178" s="117">
        <v>0</v>
      </c>
      <c r="P178" s="117">
        <v>0</v>
      </c>
      <c r="Q178" s="117">
        <v>0</v>
      </c>
      <c r="R178" s="117">
        <v>0</v>
      </c>
      <c r="S178" s="119">
        <v>0</v>
      </c>
      <c r="T178" s="119">
        <v>0</v>
      </c>
      <c r="U178" s="119">
        <v>0</v>
      </c>
      <c r="V178" s="119" t="str">
        <f t="shared" si="6"/>
        <v xml:space="preserve"> </v>
      </c>
    </row>
    <row r="179" spans="1:22" hidden="1">
      <c r="A179" s="452" t="s">
        <v>486</v>
      </c>
      <c r="B179" s="114">
        <f>_xlfn.IFNA(VLOOKUP(Table1[[#This Row],[SKU]],'Kilter Holds'!$P$36:$S$370,4,0),0)</f>
        <v>0</v>
      </c>
      <c r="C179" s="115">
        <v>20</v>
      </c>
      <c r="D179" s="117">
        <f>IFERROR(20*B179,0)</f>
        <v>0</v>
      </c>
      <c r="E179" s="117">
        <v>0</v>
      </c>
      <c r="F179" s="117">
        <v>0</v>
      </c>
      <c r="G179" s="117">
        <v>0</v>
      </c>
      <c r="H179" s="117">
        <v>0</v>
      </c>
      <c r="I179" s="117">
        <v>0</v>
      </c>
      <c r="J179" s="117">
        <v>0</v>
      </c>
      <c r="K179" s="117">
        <v>0</v>
      </c>
      <c r="L179" s="123">
        <v>0</v>
      </c>
      <c r="M179" s="117">
        <v>0</v>
      </c>
      <c r="N179" s="117">
        <v>0</v>
      </c>
      <c r="O179" s="117">
        <v>0</v>
      </c>
      <c r="P179" s="117">
        <v>0</v>
      </c>
      <c r="Q179" s="117">
        <v>0</v>
      </c>
      <c r="R179" s="117">
        <v>0</v>
      </c>
      <c r="S179" s="119">
        <v>0</v>
      </c>
      <c r="T179" s="119">
        <v>0</v>
      </c>
      <c r="U179" s="119">
        <v>0</v>
      </c>
      <c r="V179" s="119" t="str">
        <f t="shared" si="6"/>
        <v xml:space="preserve"> </v>
      </c>
    </row>
    <row r="180" spans="1:22" hidden="1">
      <c r="A180" s="449" t="s">
        <v>258</v>
      </c>
      <c r="B180" s="114">
        <f>_xlfn.IFNA(VLOOKUP(Table1[[#This Row],[SKU]],'Kilter Holds'!$P$36:$S$370,4,0),0)</f>
        <v>0</v>
      </c>
      <c r="C180" s="115">
        <v>10</v>
      </c>
      <c r="D180" s="117">
        <f>IFERROR(10*B180,0)</f>
        <v>0</v>
      </c>
      <c r="E180" s="117">
        <v>0</v>
      </c>
      <c r="F180" s="117">
        <v>0</v>
      </c>
      <c r="G180" s="117">
        <v>0</v>
      </c>
      <c r="H180" s="117">
        <v>0</v>
      </c>
      <c r="I180" s="117">
        <v>0</v>
      </c>
      <c r="J180" s="117">
        <v>0</v>
      </c>
      <c r="K180" s="117">
        <v>0</v>
      </c>
      <c r="L180" s="123">
        <v>0</v>
      </c>
      <c r="M180" s="117">
        <v>0</v>
      </c>
      <c r="N180" s="117">
        <v>0</v>
      </c>
      <c r="O180" s="117">
        <v>0</v>
      </c>
      <c r="P180" s="117">
        <v>0</v>
      </c>
      <c r="Q180" s="117">
        <v>0</v>
      </c>
      <c r="R180" s="117">
        <v>0</v>
      </c>
      <c r="S180" s="119">
        <v>0</v>
      </c>
      <c r="T180" s="119">
        <v>0</v>
      </c>
      <c r="U180" s="119">
        <v>0</v>
      </c>
      <c r="V180" s="119" t="str">
        <f t="shared" si="6"/>
        <v xml:space="preserve"> </v>
      </c>
    </row>
    <row r="181" spans="1:22" hidden="1">
      <c r="A181" s="452" t="s">
        <v>259</v>
      </c>
      <c r="B181" s="114">
        <f>_xlfn.IFNA(VLOOKUP(Table1[[#This Row],[SKU]],'Kilter Holds'!$P$36:$S$370,4,0),0)</f>
        <v>0</v>
      </c>
      <c r="C181" s="115">
        <v>10</v>
      </c>
      <c r="D181" s="117">
        <f>IFERROR(10*B181,0)</f>
        <v>0</v>
      </c>
      <c r="E181" s="117">
        <v>0</v>
      </c>
      <c r="F181" s="117">
        <v>0</v>
      </c>
      <c r="G181" s="117">
        <v>0</v>
      </c>
      <c r="H181" s="117">
        <v>0</v>
      </c>
      <c r="I181" s="117">
        <v>0</v>
      </c>
      <c r="J181" s="117">
        <v>0</v>
      </c>
      <c r="K181" s="117">
        <v>0</v>
      </c>
      <c r="L181" s="123">
        <v>0</v>
      </c>
      <c r="M181" s="117">
        <v>0</v>
      </c>
      <c r="N181" s="117">
        <v>0</v>
      </c>
      <c r="O181" s="117">
        <v>0</v>
      </c>
      <c r="P181" s="117">
        <v>0</v>
      </c>
      <c r="Q181" s="117">
        <v>0</v>
      </c>
      <c r="R181" s="117">
        <v>0</v>
      </c>
      <c r="S181" s="119">
        <v>0</v>
      </c>
      <c r="T181" s="119">
        <v>0</v>
      </c>
      <c r="U181" s="119">
        <v>0</v>
      </c>
      <c r="V181" s="119" t="str">
        <f t="shared" si="6"/>
        <v xml:space="preserve"> </v>
      </c>
    </row>
    <row r="182" spans="1:22" hidden="1">
      <c r="A182" s="449" t="s">
        <v>242</v>
      </c>
      <c r="B182" s="114">
        <f>_xlfn.IFNA(VLOOKUP(Table1[[#This Row],[SKU]],'Kilter Holds'!$P$36:$S$370,4,0),0)</f>
        <v>0</v>
      </c>
      <c r="C182" s="115">
        <v>5</v>
      </c>
      <c r="D182" s="117">
        <f>IFERROR(5*B182,0)</f>
        <v>0</v>
      </c>
      <c r="E182" s="117">
        <v>0</v>
      </c>
      <c r="F182" s="117">
        <v>0</v>
      </c>
      <c r="G182" s="117">
        <v>0</v>
      </c>
      <c r="H182" s="117">
        <v>0</v>
      </c>
      <c r="I182" s="117">
        <v>0</v>
      </c>
      <c r="J182" s="117">
        <v>0</v>
      </c>
      <c r="K182" s="117">
        <v>0</v>
      </c>
      <c r="L182" s="123">
        <v>0</v>
      </c>
      <c r="M182" s="117">
        <v>0</v>
      </c>
      <c r="N182" s="117">
        <v>0</v>
      </c>
      <c r="O182" s="117">
        <v>0</v>
      </c>
      <c r="P182" s="117">
        <v>0</v>
      </c>
      <c r="Q182" s="117">
        <v>0</v>
      </c>
      <c r="R182" s="117">
        <v>0</v>
      </c>
      <c r="S182" s="119">
        <v>0</v>
      </c>
      <c r="T182" s="119">
        <v>0</v>
      </c>
      <c r="U182" s="119">
        <v>0</v>
      </c>
      <c r="V182" s="119" t="str">
        <f t="shared" si="6"/>
        <v xml:space="preserve"> </v>
      </c>
    </row>
    <row r="183" spans="1:22" hidden="1">
      <c r="A183" s="452" t="s">
        <v>260</v>
      </c>
      <c r="B183" s="114">
        <f>_xlfn.IFNA(VLOOKUP(Table1[[#This Row],[SKU]],'Kilter Holds'!$P$36:$S$370,4,0),0)</f>
        <v>0</v>
      </c>
      <c r="C183" s="115">
        <v>10</v>
      </c>
      <c r="D183" s="117">
        <f t="shared" ref="D183:D189" si="8">IFERROR(10*B183,0)</f>
        <v>0</v>
      </c>
      <c r="E183" s="117">
        <v>0</v>
      </c>
      <c r="F183" s="117">
        <v>0</v>
      </c>
      <c r="G183" s="117">
        <v>0</v>
      </c>
      <c r="H183" s="117">
        <v>0</v>
      </c>
      <c r="I183" s="117">
        <v>0</v>
      </c>
      <c r="J183" s="117">
        <v>0</v>
      </c>
      <c r="K183" s="117">
        <v>0</v>
      </c>
      <c r="L183" s="123">
        <v>0</v>
      </c>
      <c r="M183" s="117">
        <v>0</v>
      </c>
      <c r="N183" s="117">
        <v>0</v>
      </c>
      <c r="O183" s="117">
        <v>0</v>
      </c>
      <c r="P183" s="117">
        <v>0</v>
      </c>
      <c r="Q183" s="117">
        <v>0</v>
      </c>
      <c r="R183" s="117">
        <v>0</v>
      </c>
      <c r="S183" s="119">
        <v>0</v>
      </c>
      <c r="T183" s="119">
        <v>0</v>
      </c>
      <c r="U183" s="119">
        <v>0</v>
      </c>
      <c r="V183" s="119" t="str">
        <f t="shared" si="6"/>
        <v xml:space="preserve"> </v>
      </c>
    </row>
    <row r="184" spans="1:22" hidden="1">
      <c r="A184" s="449" t="s">
        <v>199</v>
      </c>
      <c r="B184" s="114">
        <f>_xlfn.IFNA(VLOOKUP(Table1[[#This Row],[SKU]],'Kilter Holds'!$P$36:$S$370,4,0),0)</f>
        <v>0</v>
      </c>
      <c r="C184" s="115">
        <v>10</v>
      </c>
      <c r="D184" s="117">
        <f t="shared" si="8"/>
        <v>0</v>
      </c>
      <c r="E184" s="117">
        <v>0</v>
      </c>
      <c r="F184" s="117">
        <v>0</v>
      </c>
      <c r="G184" s="117">
        <v>0</v>
      </c>
      <c r="H184" s="117">
        <v>0</v>
      </c>
      <c r="I184" s="117">
        <v>0</v>
      </c>
      <c r="J184" s="117">
        <v>0</v>
      </c>
      <c r="K184" s="117">
        <v>0</v>
      </c>
      <c r="L184" s="123">
        <v>0</v>
      </c>
      <c r="M184" s="117">
        <v>0</v>
      </c>
      <c r="N184" s="117">
        <v>0</v>
      </c>
      <c r="O184" s="117">
        <v>0</v>
      </c>
      <c r="P184" s="117">
        <v>0</v>
      </c>
      <c r="Q184" s="117">
        <v>0</v>
      </c>
      <c r="R184" s="117">
        <v>0</v>
      </c>
      <c r="S184" s="119">
        <v>0</v>
      </c>
      <c r="T184" s="119">
        <v>0</v>
      </c>
      <c r="U184" s="119">
        <v>0</v>
      </c>
      <c r="V184" s="119" t="str">
        <f t="shared" si="6"/>
        <v xml:space="preserve"> </v>
      </c>
    </row>
    <row r="185" spans="1:22" hidden="1">
      <c r="A185" s="452" t="s">
        <v>200</v>
      </c>
      <c r="B185" s="114">
        <f>_xlfn.IFNA(VLOOKUP(Table1[[#This Row],[SKU]],'Kilter Holds'!$P$36:$S$370,4,0),0)</f>
        <v>0</v>
      </c>
      <c r="C185" s="115">
        <v>10</v>
      </c>
      <c r="D185" s="117">
        <f t="shared" si="8"/>
        <v>0</v>
      </c>
      <c r="E185" s="117">
        <v>0</v>
      </c>
      <c r="F185" s="117">
        <v>0</v>
      </c>
      <c r="G185" s="117">
        <v>0</v>
      </c>
      <c r="H185" s="117">
        <v>0</v>
      </c>
      <c r="I185" s="117">
        <v>0</v>
      </c>
      <c r="J185" s="117">
        <v>0</v>
      </c>
      <c r="K185" s="117">
        <v>0</v>
      </c>
      <c r="L185" s="123">
        <v>0</v>
      </c>
      <c r="M185" s="117">
        <v>0</v>
      </c>
      <c r="N185" s="117">
        <v>0</v>
      </c>
      <c r="O185" s="117">
        <v>0</v>
      </c>
      <c r="P185" s="117">
        <v>0</v>
      </c>
      <c r="Q185" s="117">
        <v>0</v>
      </c>
      <c r="R185" s="117">
        <v>0</v>
      </c>
      <c r="S185" s="119">
        <v>0</v>
      </c>
      <c r="T185" s="119">
        <v>0</v>
      </c>
      <c r="U185" s="119">
        <v>0</v>
      </c>
      <c r="V185" s="119" t="str">
        <f t="shared" si="6"/>
        <v xml:space="preserve"> </v>
      </c>
    </row>
    <row r="186" spans="1:22" hidden="1">
      <c r="A186" s="449" t="s">
        <v>201</v>
      </c>
      <c r="B186" s="114">
        <f>_xlfn.IFNA(VLOOKUP(Table1[[#This Row],[SKU]],'Kilter Holds'!$P$36:$S$370,4,0),0)</f>
        <v>0</v>
      </c>
      <c r="C186" s="115">
        <v>10</v>
      </c>
      <c r="D186" s="117">
        <f t="shared" si="8"/>
        <v>0</v>
      </c>
      <c r="E186" s="117">
        <v>0</v>
      </c>
      <c r="F186" s="117">
        <v>0</v>
      </c>
      <c r="G186" s="117">
        <v>0</v>
      </c>
      <c r="H186" s="117">
        <v>0</v>
      </c>
      <c r="I186" s="117">
        <v>0</v>
      </c>
      <c r="J186" s="117">
        <v>0</v>
      </c>
      <c r="K186" s="117">
        <v>0</v>
      </c>
      <c r="L186" s="123">
        <v>0</v>
      </c>
      <c r="M186" s="117">
        <v>0</v>
      </c>
      <c r="N186" s="117">
        <v>0</v>
      </c>
      <c r="O186" s="117">
        <v>0</v>
      </c>
      <c r="P186" s="117">
        <v>0</v>
      </c>
      <c r="Q186" s="117">
        <v>0</v>
      </c>
      <c r="R186" s="117">
        <v>0</v>
      </c>
      <c r="S186" s="119">
        <v>0</v>
      </c>
      <c r="T186" s="119">
        <v>0</v>
      </c>
      <c r="U186" s="119">
        <v>0</v>
      </c>
      <c r="V186" s="119" t="str">
        <f t="shared" si="6"/>
        <v xml:space="preserve"> </v>
      </c>
    </row>
    <row r="187" spans="1:22" hidden="1">
      <c r="A187" s="452" t="s">
        <v>262</v>
      </c>
      <c r="B187" s="114">
        <f>_xlfn.IFNA(VLOOKUP(Table1[[#This Row],[SKU]],'Kilter Holds'!$P$36:$S$370,4,0),0)</f>
        <v>0</v>
      </c>
      <c r="C187" s="115">
        <v>10</v>
      </c>
      <c r="D187" s="117">
        <f t="shared" si="8"/>
        <v>0</v>
      </c>
      <c r="E187" s="117">
        <v>0</v>
      </c>
      <c r="F187" s="117">
        <v>0</v>
      </c>
      <c r="G187" s="117">
        <v>0</v>
      </c>
      <c r="H187" s="117">
        <v>0</v>
      </c>
      <c r="I187" s="117">
        <v>0</v>
      </c>
      <c r="J187" s="117">
        <v>0</v>
      </c>
      <c r="K187" s="117">
        <v>0</v>
      </c>
      <c r="L187" s="123">
        <v>0</v>
      </c>
      <c r="M187" s="117">
        <v>0</v>
      </c>
      <c r="N187" s="117">
        <v>0</v>
      </c>
      <c r="O187" s="117">
        <v>0</v>
      </c>
      <c r="P187" s="117">
        <v>0</v>
      </c>
      <c r="Q187" s="117">
        <v>0</v>
      </c>
      <c r="R187" s="117">
        <v>0</v>
      </c>
      <c r="S187" s="119">
        <v>0</v>
      </c>
      <c r="T187" s="119">
        <v>0</v>
      </c>
      <c r="U187" s="119">
        <v>0</v>
      </c>
      <c r="V187" s="119" t="str">
        <f t="shared" si="6"/>
        <v xml:space="preserve"> </v>
      </c>
    </row>
    <row r="188" spans="1:22" hidden="1">
      <c r="A188" s="449" t="s">
        <v>263</v>
      </c>
      <c r="B188" s="114">
        <f>_xlfn.IFNA(VLOOKUP(Table1[[#This Row],[SKU]],'Kilter Holds'!$P$36:$S$370,4,0),0)</f>
        <v>0</v>
      </c>
      <c r="C188" s="115">
        <v>10</v>
      </c>
      <c r="D188" s="117">
        <f t="shared" si="8"/>
        <v>0</v>
      </c>
      <c r="E188" s="117">
        <v>0</v>
      </c>
      <c r="F188" s="117">
        <v>0</v>
      </c>
      <c r="G188" s="117">
        <v>0</v>
      </c>
      <c r="H188" s="117">
        <v>0</v>
      </c>
      <c r="I188" s="117">
        <v>0</v>
      </c>
      <c r="J188" s="117">
        <v>0</v>
      </c>
      <c r="K188" s="117">
        <v>0</v>
      </c>
      <c r="L188" s="123">
        <v>0</v>
      </c>
      <c r="M188" s="117">
        <v>0</v>
      </c>
      <c r="N188" s="117">
        <v>0</v>
      </c>
      <c r="O188" s="117">
        <v>0</v>
      </c>
      <c r="P188" s="117">
        <v>0</v>
      </c>
      <c r="Q188" s="117">
        <v>0</v>
      </c>
      <c r="R188" s="117">
        <v>0</v>
      </c>
      <c r="S188" s="119">
        <v>0</v>
      </c>
      <c r="T188" s="119">
        <v>0</v>
      </c>
      <c r="U188" s="119">
        <v>0</v>
      </c>
      <c r="V188" s="119" t="str">
        <f t="shared" si="6"/>
        <v xml:space="preserve"> </v>
      </c>
    </row>
    <row r="189" spans="1:22" hidden="1">
      <c r="A189" s="452" t="s">
        <v>202</v>
      </c>
      <c r="B189" s="114">
        <f>_xlfn.IFNA(VLOOKUP(Table1[[#This Row],[SKU]],'Kilter Holds'!$P$36:$S$370,4,0),0)</f>
        <v>0</v>
      </c>
      <c r="C189" s="115">
        <v>10</v>
      </c>
      <c r="D189" s="117">
        <f t="shared" si="8"/>
        <v>0</v>
      </c>
      <c r="E189" s="117">
        <v>0</v>
      </c>
      <c r="F189" s="117">
        <v>0</v>
      </c>
      <c r="G189" s="117">
        <v>0</v>
      </c>
      <c r="H189" s="117">
        <v>0</v>
      </c>
      <c r="I189" s="117">
        <v>0</v>
      </c>
      <c r="J189" s="117">
        <v>0</v>
      </c>
      <c r="K189" s="117">
        <v>0</v>
      </c>
      <c r="L189" s="123">
        <v>0</v>
      </c>
      <c r="M189" s="117">
        <v>0</v>
      </c>
      <c r="N189" s="117">
        <v>0</v>
      </c>
      <c r="O189" s="117">
        <v>0</v>
      </c>
      <c r="P189" s="117">
        <v>0</v>
      </c>
      <c r="Q189" s="117">
        <v>0</v>
      </c>
      <c r="R189" s="117">
        <v>0</v>
      </c>
      <c r="S189" s="119">
        <v>0</v>
      </c>
      <c r="T189" s="119">
        <v>0</v>
      </c>
      <c r="U189" s="119">
        <v>0</v>
      </c>
      <c r="V189" s="119" t="str">
        <f t="shared" si="6"/>
        <v xml:space="preserve"> </v>
      </c>
    </row>
    <row r="190" spans="1:22" hidden="1">
      <c r="A190" s="452" t="s">
        <v>233</v>
      </c>
      <c r="B190" s="114">
        <f>_xlfn.IFNA(VLOOKUP(Table1[[#This Row],[SKU]],'Kilter Holds'!$P$36:$S$370,4,0),0)</f>
        <v>0</v>
      </c>
      <c r="C190" s="115">
        <v>4</v>
      </c>
      <c r="D190" s="117">
        <v>0</v>
      </c>
      <c r="E190" s="117">
        <v>0</v>
      </c>
      <c r="F190" s="117">
        <f>IFERROR(4*B190,0)</f>
        <v>0</v>
      </c>
      <c r="G190" s="117">
        <v>0</v>
      </c>
      <c r="H190" s="117">
        <v>0</v>
      </c>
      <c r="I190" s="117">
        <v>0</v>
      </c>
      <c r="J190" s="117">
        <v>0</v>
      </c>
      <c r="K190" s="117">
        <v>0</v>
      </c>
      <c r="L190" s="123">
        <v>0</v>
      </c>
      <c r="M190" s="117">
        <v>0</v>
      </c>
      <c r="N190" s="117">
        <v>0</v>
      </c>
      <c r="O190" s="117">
        <v>0</v>
      </c>
      <c r="P190" s="117">
        <v>0</v>
      </c>
      <c r="Q190" s="117">
        <v>0</v>
      </c>
      <c r="R190" s="117">
        <v>0</v>
      </c>
      <c r="S190" s="119">
        <v>0</v>
      </c>
      <c r="T190" s="119">
        <v>0</v>
      </c>
      <c r="U190" s="119">
        <v>0</v>
      </c>
      <c r="V190" s="119" t="str">
        <f t="shared" si="6"/>
        <v xml:space="preserve"> </v>
      </c>
    </row>
    <row r="191" spans="1:22" hidden="1">
      <c r="A191" s="452" t="s">
        <v>891</v>
      </c>
      <c r="B191" s="114">
        <f>_xlfn.IFNA(VLOOKUP(Table1[[#This Row],[SKU]],'Kilter Holds'!$P$36:$S$370,4,0),0)</f>
        <v>0</v>
      </c>
      <c r="C191" s="115">
        <v>2</v>
      </c>
      <c r="D191" s="117">
        <v>0</v>
      </c>
      <c r="E191" s="117">
        <v>0</v>
      </c>
      <c r="F191" s="117">
        <v>0</v>
      </c>
      <c r="G191" s="117">
        <f>IFERROR(2*B191,0)</f>
        <v>0</v>
      </c>
      <c r="H191" s="117">
        <v>0</v>
      </c>
      <c r="I191" s="117">
        <v>0</v>
      </c>
      <c r="J191" s="117">
        <v>0</v>
      </c>
      <c r="K191" s="117">
        <v>0</v>
      </c>
      <c r="L191" s="123">
        <v>0</v>
      </c>
      <c r="M191" s="117">
        <v>0</v>
      </c>
      <c r="N191" s="117">
        <v>0</v>
      </c>
      <c r="O191" s="117">
        <v>0</v>
      </c>
      <c r="P191" s="117">
        <v>0</v>
      </c>
      <c r="Q191" s="117">
        <v>0</v>
      </c>
      <c r="R191" s="117">
        <v>0</v>
      </c>
      <c r="S191" s="119">
        <v>0</v>
      </c>
      <c r="T191" s="119">
        <v>0</v>
      </c>
      <c r="U191" s="119">
        <v>0</v>
      </c>
      <c r="V191" s="119" t="str">
        <f t="shared" si="6"/>
        <v xml:space="preserve"> </v>
      </c>
    </row>
    <row r="192" spans="1:22" hidden="1">
      <c r="A192" s="452" t="s">
        <v>220</v>
      </c>
      <c r="B192" s="114">
        <f>_xlfn.IFNA(VLOOKUP(Table1[[#This Row],[SKU]],'Kilter Holds'!$P$36:$S$370,4,0),0)</f>
        <v>0</v>
      </c>
      <c r="C192" s="115">
        <v>1</v>
      </c>
      <c r="D192" s="117">
        <v>0</v>
      </c>
      <c r="E192" s="117">
        <v>0</v>
      </c>
      <c r="F192" s="117">
        <v>0</v>
      </c>
      <c r="G192" s="117">
        <f>IFERROR(1*B192,0)</f>
        <v>0</v>
      </c>
      <c r="H192" s="117">
        <v>0</v>
      </c>
      <c r="I192" s="117">
        <v>0</v>
      </c>
      <c r="J192" s="117">
        <v>0</v>
      </c>
      <c r="K192" s="117">
        <v>0</v>
      </c>
      <c r="L192" s="123">
        <v>0</v>
      </c>
      <c r="M192" s="117">
        <v>0</v>
      </c>
      <c r="N192" s="117">
        <v>0</v>
      </c>
      <c r="O192" s="117">
        <v>0</v>
      </c>
      <c r="P192" s="117">
        <v>0</v>
      </c>
      <c r="Q192" s="117">
        <v>0</v>
      </c>
      <c r="R192" s="117">
        <v>0</v>
      </c>
      <c r="S192" s="119">
        <v>0</v>
      </c>
      <c r="T192" s="119">
        <v>0</v>
      </c>
      <c r="U192" s="119">
        <v>0</v>
      </c>
      <c r="V192" s="119" t="str">
        <f t="shared" si="6"/>
        <v xml:space="preserve"> </v>
      </c>
    </row>
    <row r="193" spans="1:22" hidden="1">
      <c r="A193" s="452" t="s">
        <v>221</v>
      </c>
      <c r="B193" s="114">
        <f>_xlfn.IFNA(VLOOKUP(Table1[[#This Row],[SKU]],'Kilter Holds'!$P$36:$S$370,4,0),0)</f>
        <v>0</v>
      </c>
      <c r="C193" s="115">
        <v>1</v>
      </c>
      <c r="D193" s="117">
        <v>0</v>
      </c>
      <c r="E193" s="117">
        <v>0</v>
      </c>
      <c r="F193" s="117">
        <v>0</v>
      </c>
      <c r="G193" s="117">
        <f>IFERROR(1*B193,0)</f>
        <v>0</v>
      </c>
      <c r="H193" s="117">
        <v>0</v>
      </c>
      <c r="I193" s="117">
        <v>0</v>
      </c>
      <c r="J193" s="117">
        <v>0</v>
      </c>
      <c r="K193" s="117">
        <v>0</v>
      </c>
      <c r="L193" s="123">
        <v>0</v>
      </c>
      <c r="M193" s="117">
        <v>0</v>
      </c>
      <c r="N193" s="117">
        <v>0</v>
      </c>
      <c r="O193" s="117">
        <v>0</v>
      </c>
      <c r="P193" s="117">
        <v>0</v>
      </c>
      <c r="Q193" s="117">
        <v>0</v>
      </c>
      <c r="R193" s="117">
        <v>0</v>
      </c>
      <c r="S193" s="119">
        <v>0</v>
      </c>
      <c r="T193" s="119">
        <v>0</v>
      </c>
      <c r="U193" s="119">
        <v>0</v>
      </c>
      <c r="V193" s="119" t="str">
        <f t="shared" si="6"/>
        <v xml:space="preserve"> </v>
      </c>
    </row>
    <row r="194" spans="1:22" hidden="1">
      <c r="A194" s="452" t="s">
        <v>893</v>
      </c>
      <c r="B194" s="114">
        <f>_xlfn.IFNA(VLOOKUP(Table1[[#This Row],[SKU]],'Kilter Holds'!$P$36:$S$370,4,0),0)</f>
        <v>0</v>
      </c>
      <c r="C194" s="115">
        <v>3</v>
      </c>
      <c r="D194" s="117">
        <v>0</v>
      </c>
      <c r="E194" s="117">
        <v>0</v>
      </c>
      <c r="F194" s="117">
        <v>0</v>
      </c>
      <c r="G194" s="117">
        <f>IFERROR(3*B194,0)</f>
        <v>0</v>
      </c>
      <c r="H194" s="117">
        <v>0</v>
      </c>
      <c r="I194" s="117">
        <v>0</v>
      </c>
      <c r="J194" s="117">
        <v>0</v>
      </c>
      <c r="K194" s="117">
        <v>0</v>
      </c>
      <c r="L194" s="123">
        <v>0</v>
      </c>
      <c r="M194" s="117">
        <v>0</v>
      </c>
      <c r="N194" s="117">
        <v>0</v>
      </c>
      <c r="O194" s="117">
        <v>0</v>
      </c>
      <c r="P194" s="117">
        <v>0</v>
      </c>
      <c r="Q194" s="117">
        <v>0</v>
      </c>
      <c r="R194" s="117">
        <v>0</v>
      </c>
      <c r="S194" s="119">
        <v>0</v>
      </c>
      <c r="T194" s="119">
        <v>0</v>
      </c>
      <c r="U194" s="119">
        <v>0</v>
      </c>
      <c r="V194" s="119" t="str">
        <f t="shared" si="6"/>
        <v xml:space="preserve"> </v>
      </c>
    </row>
    <row r="195" spans="1:22" hidden="1">
      <c r="A195" s="452" t="s">
        <v>487</v>
      </c>
      <c r="B195" s="114">
        <f>_xlfn.IFNA(VLOOKUP(Table1[[#This Row],[SKU]],'Kilter Holds'!$P$36:$S$370,4,0),0)</f>
        <v>0</v>
      </c>
      <c r="C195" s="115">
        <v>1</v>
      </c>
      <c r="D195" s="117">
        <v>0</v>
      </c>
      <c r="E195" s="117">
        <v>0</v>
      </c>
      <c r="F195" s="117">
        <v>0</v>
      </c>
      <c r="G195" s="117">
        <f>IFERROR(1*B195,0)</f>
        <v>0</v>
      </c>
      <c r="H195" s="117">
        <v>0</v>
      </c>
      <c r="I195" s="117">
        <v>0</v>
      </c>
      <c r="J195" s="117">
        <v>0</v>
      </c>
      <c r="K195" s="117">
        <v>0</v>
      </c>
      <c r="L195" s="123">
        <v>0</v>
      </c>
      <c r="M195" s="117">
        <v>0</v>
      </c>
      <c r="N195" s="117">
        <v>0</v>
      </c>
      <c r="O195" s="117">
        <v>0</v>
      </c>
      <c r="P195" s="117">
        <v>0</v>
      </c>
      <c r="Q195" s="117">
        <v>0</v>
      </c>
      <c r="R195" s="117">
        <v>0</v>
      </c>
      <c r="S195" s="119">
        <v>0</v>
      </c>
      <c r="T195" s="119">
        <v>0</v>
      </c>
      <c r="U195" s="119">
        <v>0</v>
      </c>
      <c r="V195" s="119" t="str">
        <f t="shared" si="6"/>
        <v xml:space="preserve"> </v>
      </c>
    </row>
    <row r="196" spans="1:22" hidden="1">
      <c r="A196" s="452" t="s">
        <v>488</v>
      </c>
      <c r="B196" s="114">
        <f>_xlfn.IFNA(VLOOKUP(Table1[[#This Row],[SKU]],'Kilter Holds'!$P$36:$S$370,4,0),0)</f>
        <v>0</v>
      </c>
      <c r="C196" s="115">
        <v>1</v>
      </c>
      <c r="D196" s="117">
        <v>0</v>
      </c>
      <c r="E196" s="117">
        <v>0</v>
      </c>
      <c r="F196" s="117">
        <v>0</v>
      </c>
      <c r="G196" s="117">
        <f>IFERROR(1*B196,0)</f>
        <v>0</v>
      </c>
      <c r="H196" s="117">
        <v>0</v>
      </c>
      <c r="I196" s="117">
        <v>0</v>
      </c>
      <c r="J196" s="117">
        <v>0</v>
      </c>
      <c r="K196" s="117">
        <v>0</v>
      </c>
      <c r="L196" s="123">
        <v>0</v>
      </c>
      <c r="M196" s="117">
        <v>0</v>
      </c>
      <c r="N196" s="117">
        <v>0</v>
      </c>
      <c r="O196" s="117">
        <v>0</v>
      </c>
      <c r="P196" s="117">
        <v>0</v>
      </c>
      <c r="Q196" s="117">
        <v>0</v>
      </c>
      <c r="R196" s="117">
        <v>0</v>
      </c>
      <c r="S196" s="119">
        <v>0</v>
      </c>
      <c r="T196" s="119">
        <v>0</v>
      </c>
      <c r="U196" s="119">
        <v>0</v>
      </c>
      <c r="V196" s="119" t="str">
        <f t="shared" ref="V196:V361" si="9">IF(B196&gt;0,"Added"," ")</f>
        <v xml:space="preserve"> </v>
      </c>
    </row>
    <row r="197" spans="1:22" hidden="1">
      <c r="A197" s="452" t="s">
        <v>489</v>
      </c>
      <c r="B197" s="114">
        <f>_xlfn.IFNA(VLOOKUP(Table1[[#This Row],[SKU]],'Kilter Holds'!$P$36:$S$370,4,0),0)</f>
        <v>0</v>
      </c>
      <c r="C197" s="115">
        <v>1</v>
      </c>
      <c r="D197" s="117">
        <v>0</v>
      </c>
      <c r="E197" s="117">
        <v>0</v>
      </c>
      <c r="F197" s="117">
        <v>0</v>
      </c>
      <c r="G197" s="117">
        <f>IFERROR(1*B197,0)</f>
        <v>0</v>
      </c>
      <c r="H197" s="117">
        <v>0</v>
      </c>
      <c r="I197" s="117">
        <v>0</v>
      </c>
      <c r="J197" s="117">
        <v>0</v>
      </c>
      <c r="K197" s="117">
        <v>0</v>
      </c>
      <c r="L197" s="123">
        <v>0</v>
      </c>
      <c r="M197" s="117">
        <v>0</v>
      </c>
      <c r="N197" s="117">
        <v>0</v>
      </c>
      <c r="O197" s="117">
        <v>0</v>
      </c>
      <c r="P197" s="117">
        <v>0</v>
      </c>
      <c r="Q197" s="117">
        <v>0</v>
      </c>
      <c r="R197" s="117">
        <v>0</v>
      </c>
      <c r="S197" s="119">
        <v>0</v>
      </c>
      <c r="T197" s="119">
        <v>0</v>
      </c>
      <c r="U197" s="119">
        <v>0</v>
      </c>
      <c r="V197" s="119" t="str">
        <f t="shared" si="9"/>
        <v xml:space="preserve"> </v>
      </c>
    </row>
    <row r="198" spans="1:22" hidden="1">
      <c r="A198" s="455" t="s">
        <v>894</v>
      </c>
      <c r="B198" s="114">
        <f>_xlfn.IFNA(VLOOKUP(Table1[[#This Row],[SKU]],'Kilter Holds'!$P$36:$S$370,4,0),0)</f>
        <v>0</v>
      </c>
      <c r="C198" s="115">
        <v>3</v>
      </c>
      <c r="D198" s="117">
        <v>0</v>
      </c>
      <c r="E198" s="117">
        <v>0</v>
      </c>
      <c r="F198" s="117">
        <v>0</v>
      </c>
      <c r="G198" s="117">
        <f>IFERROR(1*B198,0)</f>
        <v>0</v>
      </c>
      <c r="H198" s="117">
        <f>IFERROR(1*B198,0)</f>
        <v>0</v>
      </c>
      <c r="I198" s="117">
        <f>IFERROR(1*B198,0)</f>
        <v>0</v>
      </c>
      <c r="J198" s="117">
        <v>0</v>
      </c>
      <c r="K198" s="117">
        <v>0</v>
      </c>
      <c r="L198" s="123">
        <v>0</v>
      </c>
      <c r="M198" s="117">
        <v>0</v>
      </c>
      <c r="N198" s="117">
        <v>0</v>
      </c>
      <c r="O198" s="117">
        <v>0</v>
      </c>
      <c r="P198" s="117">
        <v>0</v>
      </c>
      <c r="Q198" s="117">
        <v>0</v>
      </c>
      <c r="R198" s="117">
        <v>0</v>
      </c>
      <c r="S198" s="119">
        <v>0</v>
      </c>
      <c r="T198" s="119">
        <v>0</v>
      </c>
      <c r="U198" s="119">
        <v>0</v>
      </c>
      <c r="V198" s="119" t="str">
        <f t="shared" si="9"/>
        <v xml:space="preserve"> </v>
      </c>
    </row>
    <row r="199" spans="1:22" hidden="1">
      <c r="A199" s="455" t="s">
        <v>490</v>
      </c>
      <c r="B199" s="114">
        <f>_xlfn.IFNA(VLOOKUP(Table1[[#This Row],[SKU]],'Kilter Holds'!$P$36:$S$370,4,0),0)</f>
        <v>0</v>
      </c>
      <c r="C199" s="115">
        <v>1</v>
      </c>
      <c r="D199" s="117">
        <v>0</v>
      </c>
      <c r="E199" s="117">
        <v>0</v>
      </c>
      <c r="F199" s="117">
        <v>0</v>
      </c>
      <c r="G199" s="117">
        <f>IFERROR(1*B199,0)</f>
        <v>0</v>
      </c>
      <c r="H199" s="117">
        <v>0</v>
      </c>
      <c r="I199" s="117">
        <v>0</v>
      </c>
      <c r="J199" s="117">
        <v>0</v>
      </c>
      <c r="K199" s="117">
        <v>0</v>
      </c>
      <c r="L199" s="123">
        <v>0</v>
      </c>
      <c r="M199" s="117">
        <v>0</v>
      </c>
      <c r="N199" s="117">
        <v>0</v>
      </c>
      <c r="O199" s="117">
        <v>0</v>
      </c>
      <c r="P199" s="117">
        <v>0</v>
      </c>
      <c r="Q199" s="117">
        <v>0</v>
      </c>
      <c r="R199" s="117">
        <v>0</v>
      </c>
      <c r="S199" s="119">
        <v>0</v>
      </c>
      <c r="T199" s="119">
        <v>0</v>
      </c>
      <c r="U199" s="119">
        <v>0</v>
      </c>
      <c r="V199" s="119" t="str">
        <f t="shared" si="9"/>
        <v xml:space="preserve"> </v>
      </c>
    </row>
    <row r="200" spans="1:22" hidden="1">
      <c r="A200" s="455" t="s">
        <v>491</v>
      </c>
      <c r="B200" s="114">
        <f>_xlfn.IFNA(VLOOKUP(Table1[[#This Row],[SKU]],'Kilter Holds'!$P$36:$S$370,4,0),0)</f>
        <v>0</v>
      </c>
      <c r="C200" s="115">
        <v>1</v>
      </c>
      <c r="D200" s="117">
        <v>0</v>
      </c>
      <c r="E200" s="117">
        <v>0</v>
      </c>
      <c r="F200" s="117">
        <v>0</v>
      </c>
      <c r="G200" s="117">
        <v>0</v>
      </c>
      <c r="H200" s="117">
        <f>IFERROR(1*B200,0)</f>
        <v>0</v>
      </c>
      <c r="I200" s="117">
        <v>0</v>
      </c>
      <c r="J200" s="117">
        <v>0</v>
      </c>
      <c r="K200" s="117">
        <v>0</v>
      </c>
      <c r="L200" s="123">
        <v>0</v>
      </c>
      <c r="M200" s="117">
        <v>0</v>
      </c>
      <c r="N200" s="117">
        <v>0</v>
      </c>
      <c r="O200" s="117">
        <v>0</v>
      </c>
      <c r="P200" s="117">
        <v>0</v>
      </c>
      <c r="Q200" s="117">
        <v>0</v>
      </c>
      <c r="R200" s="117">
        <v>0</v>
      </c>
      <c r="S200" s="119">
        <v>0</v>
      </c>
      <c r="T200" s="119">
        <v>0</v>
      </c>
      <c r="U200" s="119">
        <v>0</v>
      </c>
      <c r="V200" s="119" t="str">
        <f t="shared" si="9"/>
        <v xml:space="preserve"> </v>
      </c>
    </row>
    <row r="201" spans="1:22" hidden="1">
      <c r="A201" s="455" t="s">
        <v>492</v>
      </c>
      <c r="B201" s="114">
        <f>_xlfn.IFNA(VLOOKUP(Table1[[#This Row],[SKU]],'Kilter Holds'!$P$36:$S$370,4,0),0)</f>
        <v>0</v>
      </c>
      <c r="C201" s="115">
        <v>1</v>
      </c>
      <c r="D201" s="117">
        <v>0</v>
      </c>
      <c r="E201" s="117">
        <v>0</v>
      </c>
      <c r="F201" s="117">
        <v>0</v>
      </c>
      <c r="G201" s="117">
        <v>0</v>
      </c>
      <c r="H201" s="117">
        <v>0</v>
      </c>
      <c r="I201" s="117">
        <f>IFERROR(1*B201,0)</f>
        <v>0</v>
      </c>
      <c r="J201" s="117">
        <v>0</v>
      </c>
      <c r="K201" s="117">
        <v>0</v>
      </c>
      <c r="L201" s="123">
        <v>0</v>
      </c>
      <c r="M201" s="117">
        <v>0</v>
      </c>
      <c r="N201" s="117">
        <v>0</v>
      </c>
      <c r="O201" s="117">
        <v>0</v>
      </c>
      <c r="P201" s="117">
        <v>0</v>
      </c>
      <c r="Q201" s="117">
        <v>0</v>
      </c>
      <c r="R201" s="117">
        <v>0</v>
      </c>
      <c r="S201" s="119">
        <v>0</v>
      </c>
      <c r="T201" s="119">
        <v>0</v>
      </c>
      <c r="U201" s="119">
        <v>0</v>
      </c>
      <c r="V201" s="119" t="str">
        <f t="shared" si="9"/>
        <v xml:space="preserve"> </v>
      </c>
    </row>
    <row r="202" spans="1:22" hidden="1">
      <c r="A202" s="452" t="s">
        <v>167</v>
      </c>
      <c r="B202" s="114">
        <f>_xlfn.IFNA(VLOOKUP(Table1[[#This Row],[SKU]],'Kilter Holds'!$P$36:$S$370,4,0),0)</f>
        <v>0</v>
      </c>
      <c r="C202" s="115">
        <v>5</v>
      </c>
      <c r="D202" s="117">
        <v>0</v>
      </c>
      <c r="E202" s="117">
        <f>IFERROR(5*B202,0)</f>
        <v>0</v>
      </c>
      <c r="F202" s="117">
        <v>0</v>
      </c>
      <c r="G202" s="117">
        <v>0</v>
      </c>
      <c r="H202" s="117">
        <v>0</v>
      </c>
      <c r="I202" s="117">
        <v>0</v>
      </c>
      <c r="J202" s="117">
        <v>0</v>
      </c>
      <c r="K202" s="117">
        <v>0</v>
      </c>
      <c r="L202" s="123">
        <v>0</v>
      </c>
      <c r="M202" s="117">
        <v>0</v>
      </c>
      <c r="N202" s="117">
        <v>0</v>
      </c>
      <c r="O202" s="117">
        <v>0</v>
      </c>
      <c r="P202" s="117">
        <v>0</v>
      </c>
      <c r="Q202" s="117">
        <v>0</v>
      </c>
      <c r="R202" s="117">
        <v>0</v>
      </c>
      <c r="S202" s="119">
        <v>0</v>
      </c>
      <c r="T202" s="119">
        <v>0</v>
      </c>
      <c r="U202" s="119">
        <v>0</v>
      </c>
      <c r="V202" s="119" t="str">
        <f t="shared" si="9"/>
        <v xml:space="preserve"> </v>
      </c>
    </row>
    <row r="203" spans="1:22" hidden="1">
      <c r="A203" s="452" t="s">
        <v>324</v>
      </c>
      <c r="B203" s="114">
        <f>_xlfn.IFNA(VLOOKUP(Table1[[#This Row],[SKU]],'Kilter Holds'!$P$36:$S$370,4,0),0)</f>
        <v>0</v>
      </c>
      <c r="C203" s="115">
        <v>10</v>
      </c>
      <c r="D203" s="117">
        <f>IFERROR(10*B203,0)</f>
        <v>0</v>
      </c>
      <c r="E203" s="117">
        <v>0</v>
      </c>
      <c r="F203" s="117">
        <v>0</v>
      </c>
      <c r="G203" s="117">
        <v>0</v>
      </c>
      <c r="H203" s="117">
        <v>0</v>
      </c>
      <c r="I203" s="117">
        <v>0</v>
      </c>
      <c r="J203" s="117">
        <v>0</v>
      </c>
      <c r="K203" s="117">
        <v>0</v>
      </c>
      <c r="L203" s="123">
        <v>0</v>
      </c>
      <c r="M203" s="117">
        <v>0</v>
      </c>
      <c r="N203" s="117">
        <v>0</v>
      </c>
      <c r="O203" s="117">
        <v>0</v>
      </c>
      <c r="P203" s="117">
        <v>0</v>
      </c>
      <c r="Q203" s="117">
        <v>0</v>
      </c>
      <c r="R203" s="117">
        <v>0</v>
      </c>
      <c r="S203" s="119">
        <v>0</v>
      </c>
      <c r="T203" s="119">
        <v>0</v>
      </c>
      <c r="U203" s="119">
        <v>0</v>
      </c>
      <c r="V203" s="119" t="str">
        <f t="shared" si="9"/>
        <v xml:space="preserve"> </v>
      </c>
    </row>
    <row r="204" spans="1:22" hidden="1">
      <c r="A204" s="452" t="s">
        <v>325</v>
      </c>
      <c r="B204" s="114">
        <f>_xlfn.IFNA(VLOOKUP(Table1[[#This Row],[SKU]],'Kilter Holds'!$P$36:$S$370,4,0),0)</f>
        <v>0</v>
      </c>
      <c r="C204" s="115">
        <v>10</v>
      </c>
      <c r="D204" s="117">
        <f>IFERROR(10*B204,0)</f>
        <v>0</v>
      </c>
      <c r="E204" s="117">
        <v>0</v>
      </c>
      <c r="F204" s="117">
        <v>0</v>
      </c>
      <c r="G204" s="117">
        <v>0</v>
      </c>
      <c r="H204" s="117">
        <v>0</v>
      </c>
      <c r="I204" s="117">
        <v>0</v>
      </c>
      <c r="J204" s="117">
        <v>0</v>
      </c>
      <c r="K204" s="117">
        <v>0</v>
      </c>
      <c r="L204" s="123">
        <v>0</v>
      </c>
      <c r="M204" s="117">
        <v>0</v>
      </c>
      <c r="N204" s="117">
        <v>0</v>
      </c>
      <c r="O204" s="117">
        <v>0</v>
      </c>
      <c r="P204" s="117">
        <v>0</v>
      </c>
      <c r="Q204" s="117">
        <v>0</v>
      </c>
      <c r="R204" s="117">
        <v>0</v>
      </c>
      <c r="S204" s="119">
        <v>0</v>
      </c>
      <c r="T204" s="119">
        <v>0</v>
      </c>
      <c r="U204" s="119">
        <v>0</v>
      </c>
      <c r="V204" s="119" t="str">
        <f t="shared" si="9"/>
        <v xml:space="preserve"> </v>
      </c>
    </row>
    <row r="205" spans="1:22" hidden="1">
      <c r="A205" s="452" t="s">
        <v>326</v>
      </c>
      <c r="B205" s="114">
        <f>_xlfn.IFNA(VLOOKUP(Table1[[#This Row],[SKU]],'Kilter Holds'!$P$36:$S$370,4,0),0)</f>
        <v>0</v>
      </c>
      <c r="C205" s="115">
        <v>10</v>
      </c>
      <c r="D205" s="117">
        <f>IFERROR(10*B205,0)</f>
        <v>0</v>
      </c>
      <c r="E205" s="117">
        <v>0</v>
      </c>
      <c r="F205" s="117">
        <v>0</v>
      </c>
      <c r="G205" s="117">
        <v>0</v>
      </c>
      <c r="H205" s="117">
        <v>0</v>
      </c>
      <c r="I205" s="117">
        <v>0</v>
      </c>
      <c r="J205" s="117">
        <v>0</v>
      </c>
      <c r="K205" s="117">
        <v>0</v>
      </c>
      <c r="L205" s="123">
        <v>0</v>
      </c>
      <c r="M205" s="117">
        <v>0</v>
      </c>
      <c r="N205" s="117">
        <v>0</v>
      </c>
      <c r="O205" s="117">
        <v>0</v>
      </c>
      <c r="P205" s="117">
        <v>0</v>
      </c>
      <c r="Q205" s="117">
        <v>0</v>
      </c>
      <c r="R205" s="117">
        <v>0</v>
      </c>
      <c r="S205" s="119">
        <v>0</v>
      </c>
      <c r="T205" s="119">
        <v>0</v>
      </c>
      <c r="U205" s="119">
        <v>0</v>
      </c>
      <c r="V205" s="119" t="str">
        <f t="shared" si="9"/>
        <v xml:space="preserve"> </v>
      </c>
    </row>
    <row r="206" spans="1:22" hidden="1">
      <c r="A206" s="452" t="s">
        <v>243</v>
      </c>
      <c r="B206" s="114">
        <f>_xlfn.IFNA(VLOOKUP(Table1[[#This Row],[SKU]],'Kilter Holds'!$P$36:$S$370,4,0),0)</f>
        <v>0</v>
      </c>
      <c r="C206" s="115">
        <v>4</v>
      </c>
      <c r="D206" s="117">
        <f>IFERROR(4*B206,0)</f>
        <v>0</v>
      </c>
      <c r="E206" s="117">
        <v>0</v>
      </c>
      <c r="F206" s="117">
        <v>0</v>
      </c>
      <c r="G206" s="117">
        <v>0</v>
      </c>
      <c r="H206" s="117">
        <v>0</v>
      </c>
      <c r="I206" s="117">
        <v>0</v>
      </c>
      <c r="J206" s="117">
        <v>0</v>
      </c>
      <c r="K206" s="117">
        <v>0</v>
      </c>
      <c r="L206" s="123">
        <v>0</v>
      </c>
      <c r="M206" s="117">
        <v>0</v>
      </c>
      <c r="N206" s="117">
        <v>0</v>
      </c>
      <c r="O206" s="117">
        <v>0</v>
      </c>
      <c r="P206" s="117">
        <v>0</v>
      </c>
      <c r="Q206" s="117">
        <v>0</v>
      </c>
      <c r="R206" s="117">
        <v>0</v>
      </c>
      <c r="S206" s="119">
        <v>0</v>
      </c>
      <c r="T206" s="119">
        <v>0</v>
      </c>
      <c r="U206" s="119">
        <v>0</v>
      </c>
      <c r="V206" s="119" t="str">
        <f t="shared" si="9"/>
        <v xml:space="preserve"> </v>
      </c>
    </row>
    <row r="207" spans="1:22" hidden="1">
      <c r="A207" s="452" t="s">
        <v>327</v>
      </c>
      <c r="B207" s="114">
        <f>_xlfn.IFNA(VLOOKUP(Table1[[#This Row],[SKU]],'Kilter Holds'!$P$36:$S$370,4,0),0)</f>
        <v>0</v>
      </c>
      <c r="C207" s="115">
        <v>10</v>
      </c>
      <c r="D207" s="117">
        <f>IFERROR(10*B207,0)</f>
        <v>0</v>
      </c>
      <c r="E207" s="117">
        <v>0</v>
      </c>
      <c r="F207" s="117">
        <v>0</v>
      </c>
      <c r="G207" s="117">
        <v>0</v>
      </c>
      <c r="H207" s="117">
        <v>0</v>
      </c>
      <c r="I207" s="117">
        <v>0</v>
      </c>
      <c r="J207" s="117">
        <v>0</v>
      </c>
      <c r="K207" s="117">
        <v>0</v>
      </c>
      <c r="L207" s="123">
        <v>0</v>
      </c>
      <c r="M207" s="117">
        <v>0</v>
      </c>
      <c r="N207" s="117">
        <v>0</v>
      </c>
      <c r="O207" s="117">
        <v>0</v>
      </c>
      <c r="P207" s="117">
        <v>0</v>
      </c>
      <c r="Q207" s="117">
        <v>0</v>
      </c>
      <c r="R207" s="117">
        <v>0</v>
      </c>
      <c r="S207" s="119">
        <v>0</v>
      </c>
      <c r="T207" s="119">
        <v>0</v>
      </c>
      <c r="U207" s="119">
        <v>0</v>
      </c>
      <c r="V207" s="119" t="str">
        <f t="shared" si="9"/>
        <v xml:space="preserve"> </v>
      </c>
    </row>
    <row r="208" spans="1:22" hidden="1">
      <c r="A208" s="452" t="s">
        <v>244</v>
      </c>
      <c r="B208" s="114">
        <f>_xlfn.IFNA(VLOOKUP(Table1[[#This Row],[SKU]],'Kilter Holds'!$P$36:$S$370,4,0),0)</f>
        <v>0</v>
      </c>
      <c r="C208" s="115">
        <v>4</v>
      </c>
      <c r="D208" s="117">
        <f>IFERROR(4*B208,0)</f>
        <v>0</v>
      </c>
      <c r="E208" s="117">
        <v>0</v>
      </c>
      <c r="F208" s="117">
        <v>0</v>
      </c>
      <c r="G208" s="117">
        <v>0</v>
      </c>
      <c r="H208" s="117">
        <v>0</v>
      </c>
      <c r="I208" s="117">
        <v>0</v>
      </c>
      <c r="J208" s="117">
        <v>0</v>
      </c>
      <c r="K208" s="117">
        <v>0</v>
      </c>
      <c r="L208" s="123">
        <v>0</v>
      </c>
      <c r="M208" s="117">
        <v>0</v>
      </c>
      <c r="N208" s="117">
        <v>0</v>
      </c>
      <c r="O208" s="117">
        <v>0</v>
      </c>
      <c r="P208" s="117">
        <v>0</v>
      </c>
      <c r="Q208" s="117">
        <v>0</v>
      </c>
      <c r="R208" s="117">
        <v>0</v>
      </c>
      <c r="S208" s="119">
        <v>0</v>
      </c>
      <c r="T208" s="119">
        <v>0</v>
      </c>
      <c r="U208" s="119">
        <v>0</v>
      </c>
      <c r="V208" s="119" t="str">
        <f t="shared" si="9"/>
        <v xml:space="preserve"> </v>
      </c>
    </row>
    <row r="209" spans="1:22" hidden="1">
      <c r="A209" s="452" t="s">
        <v>269</v>
      </c>
      <c r="B209" s="114">
        <f>_xlfn.IFNA(VLOOKUP(Table1[[#This Row],[SKU]],'Kilter Holds'!$P$36:$S$370,4,0),0)</f>
        <v>0</v>
      </c>
      <c r="C209" s="115">
        <v>4</v>
      </c>
      <c r="D209" s="117">
        <f>IFERROR(4*B209,0)</f>
        <v>0</v>
      </c>
      <c r="E209" s="117">
        <v>0</v>
      </c>
      <c r="F209" s="117">
        <v>0</v>
      </c>
      <c r="G209" s="117">
        <v>0</v>
      </c>
      <c r="H209" s="117">
        <v>0</v>
      </c>
      <c r="I209" s="117">
        <v>0</v>
      </c>
      <c r="J209" s="117">
        <v>0</v>
      </c>
      <c r="K209" s="117">
        <v>0</v>
      </c>
      <c r="L209" s="123">
        <v>0</v>
      </c>
      <c r="M209" s="117">
        <v>0</v>
      </c>
      <c r="N209" s="117">
        <v>0</v>
      </c>
      <c r="O209" s="117">
        <v>0</v>
      </c>
      <c r="P209" s="117">
        <v>0</v>
      </c>
      <c r="Q209" s="117">
        <v>0</v>
      </c>
      <c r="R209" s="117">
        <v>0</v>
      </c>
      <c r="S209" s="119">
        <v>0</v>
      </c>
      <c r="T209" s="119">
        <v>0</v>
      </c>
      <c r="U209" s="119">
        <v>0</v>
      </c>
      <c r="V209" s="119" t="str">
        <f t="shared" si="9"/>
        <v xml:space="preserve"> </v>
      </c>
    </row>
    <row r="210" spans="1:22" hidden="1">
      <c r="A210" s="452" t="s">
        <v>245</v>
      </c>
      <c r="B210" s="114">
        <f>_xlfn.IFNA(VLOOKUP(Table1[[#This Row],[SKU]],'Kilter Holds'!$P$36:$S$370,4,0),0)</f>
        <v>0</v>
      </c>
      <c r="C210" s="115">
        <v>5</v>
      </c>
      <c r="D210" s="117">
        <v>0</v>
      </c>
      <c r="E210" s="117">
        <f>IFERROR(5*B210,0)</f>
        <v>0</v>
      </c>
      <c r="F210" s="117">
        <v>0</v>
      </c>
      <c r="G210" s="117">
        <v>0</v>
      </c>
      <c r="H210" s="117">
        <v>0</v>
      </c>
      <c r="I210" s="117">
        <v>0</v>
      </c>
      <c r="J210" s="117">
        <v>0</v>
      </c>
      <c r="K210" s="117">
        <v>0</v>
      </c>
      <c r="L210" s="123">
        <v>0</v>
      </c>
      <c r="M210" s="117">
        <v>0</v>
      </c>
      <c r="N210" s="117">
        <v>0</v>
      </c>
      <c r="O210" s="117">
        <v>0</v>
      </c>
      <c r="P210" s="117">
        <v>0</v>
      </c>
      <c r="Q210" s="117">
        <v>0</v>
      </c>
      <c r="R210" s="117">
        <v>0</v>
      </c>
      <c r="S210" s="119">
        <v>0</v>
      </c>
      <c r="T210" s="119">
        <v>0</v>
      </c>
      <c r="U210" s="119">
        <v>0</v>
      </c>
      <c r="V210" s="119" t="str">
        <f t="shared" si="9"/>
        <v xml:space="preserve"> </v>
      </c>
    </row>
    <row r="211" spans="1:22" hidden="1">
      <c r="A211" s="452" t="s">
        <v>203</v>
      </c>
      <c r="B211" s="114">
        <f>_xlfn.IFNA(VLOOKUP(Table1[[#This Row],[SKU]],'Kilter Holds'!$P$36:$S$370,4,0),0)</f>
        <v>0</v>
      </c>
      <c r="C211" s="115">
        <v>10</v>
      </c>
      <c r="D211" s="117">
        <f>IFERROR(10*B211,0)</f>
        <v>0</v>
      </c>
      <c r="E211" s="117">
        <v>0</v>
      </c>
      <c r="F211" s="117">
        <v>0</v>
      </c>
      <c r="G211" s="117">
        <v>0</v>
      </c>
      <c r="H211" s="117">
        <v>0</v>
      </c>
      <c r="I211" s="117">
        <v>0</v>
      </c>
      <c r="J211" s="117">
        <v>0</v>
      </c>
      <c r="K211" s="117">
        <v>0</v>
      </c>
      <c r="L211" s="123">
        <v>0</v>
      </c>
      <c r="M211" s="117">
        <v>0</v>
      </c>
      <c r="N211" s="117">
        <v>0</v>
      </c>
      <c r="O211" s="117">
        <v>0</v>
      </c>
      <c r="P211" s="117">
        <v>0</v>
      </c>
      <c r="Q211" s="117">
        <v>0</v>
      </c>
      <c r="R211" s="117">
        <v>0</v>
      </c>
      <c r="S211" s="119">
        <v>0</v>
      </c>
      <c r="T211" s="119">
        <v>0</v>
      </c>
      <c r="U211" s="119">
        <v>0</v>
      </c>
      <c r="V211" s="119" t="str">
        <f t="shared" si="9"/>
        <v xml:space="preserve"> </v>
      </c>
    </row>
    <row r="212" spans="1:22" hidden="1">
      <c r="A212" s="452" t="s">
        <v>211</v>
      </c>
      <c r="B212" s="114">
        <f>_xlfn.IFNA(VLOOKUP(Table1[[#This Row],[SKU]],'Kilter Holds'!$P$36:$S$370,4,0),0)</f>
        <v>0</v>
      </c>
      <c r="C212" s="115">
        <v>10</v>
      </c>
      <c r="D212" s="117">
        <f>IFERROR(10*B212,0)</f>
        <v>0</v>
      </c>
      <c r="E212" s="117">
        <v>0</v>
      </c>
      <c r="F212" s="117">
        <v>0</v>
      </c>
      <c r="G212" s="117">
        <v>0</v>
      </c>
      <c r="H212" s="117">
        <v>0</v>
      </c>
      <c r="I212" s="117">
        <v>0</v>
      </c>
      <c r="J212" s="117">
        <v>0</v>
      </c>
      <c r="K212" s="117">
        <v>0</v>
      </c>
      <c r="L212" s="123">
        <v>0</v>
      </c>
      <c r="M212" s="117">
        <v>0</v>
      </c>
      <c r="N212" s="117">
        <v>0</v>
      </c>
      <c r="O212" s="117">
        <v>0</v>
      </c>
      <c r="P212" s="117">
        <v>0</v>
      </c>
      <c r="Q212" s="117">
        <v>0</v>
      </c>
      <c r="R212" s="117">
        <v>0</v>
      </c>
      <c r="S212" s="119">
        <v>0</v>
      </c>
      <c r="T212" s="119">
        <v>0</v>
      </c>
      <c r="U212" s="119">
        <v>0</v>
      </c>
      <c r="V212" s="119" t="str">
        <f t="shared" si="9"/>
        <v xml:space="preserve"> </v>
      </c>
    </row>
    <row r="213" spans="1:22" hidden="1">
      <c r="A213" s="452" t="s">
        <v>264</v>
      </c>
      <c r="B213" s="114">
        <f>_xlfn.IFNA(VLOOKUP(Table1[[#This Row],[SKU]],'Kilter Holds'!$P$36:$S$370,4,0),0)</f>
        <v>0</v>
      </c>
      <c r="C213" s="115">
        <v>20</v>
      </c>
      <c r="D213" s="117">
        <f>IFERROR(20*B213,0)</f>
        <v>0</v>
      </c>
      <c r="E213" s="117">
        <v>0</v>
      </c>
      <c r="F213" s="117">
        <v>0</v>
      </c>
      <c r="G213" s="117">
        <v>0</v>
      </c>
      <c r="H213" s="117">
        <v>0</v>
      </c>
      <c r="I213" s="117">
        <v>0</v>
      </c>
      <c r="J213" s="117">
        <v>0</v>
      </c>
      <c r="K213" s="117">
        <v>0</v>
      </c>
      <c r="L213" s="123">
        <v>0</v>
      </c>
      <c r="M213" s="117">
        <v>0</v>
      </c>
      <c r="N213" s="117">
        <v>0</v>
      </c>
      <c r="O213" s="117">
        <v>0</v>
      </c>
      <c r="P213" s="117">
        <v>0</v>
      </c>
      <c r="Q213" s="117">
        <v>0</v>
      </c>
      <c r="R213" s="117">
        <v>0</v>
      </c>
      <c r="S213" s="119">
        <v>0</v>
      </c>
      <c r="T213" s="119">
        <v>0</v>
      </c>
      <c r="U213" s="119">
        <v>0</v>
      </c>
      <c r="V213" s="119" t="str">
        <f t="shared" si="9"/>
        <v xml:space="preserve"> </v>
      </c>
    </row>
    <row r="214" spans="1:22" hidden="1">
      <c r="A214" s="452" t="s">
        <v>265</v>
      </c>
      <c r="B214" s="114">
        <f>_xlfn.IFNA(VLOOKUP(Table1[[#This Row],[SKU]],'Kilter Holds'!$P$36:$S$370,4,0),0)</f>
        <v>0</v>
      </c>
      <c r="C214" s="115">
        <v>10</v>
      </c>
      <c r="D214" s="117">
        <f>IFERROR(10*B214,0)</f>
        <v>0</v>
      </c>
      <c r="E214" s="117">
        <v>0</v>
      </c>
      <c r="F214" s="117">
        <v>0</v>
      </c>
      <c r="G214" s="117">
        <v>0</v>
      </c>
      <c r="H214" s="117">
        <v>0</v>
      </c>
      <c r="I214" s="117">
        <v>0</v>
      </c>
      <c r="J214" s="117">
        <v>0</v>
      </c>
      <c r="K214" s="117">
        <v>0</v>
      </c>
      <c r="L214" s="123">
        <v>0</v>
      </c>
      <c r="M214" s="117">
        <v>0</v>
      </c>
      <c r="N214" s="117">
        <v>0</v>
      </c>
      <c r="O214" s="117">
        <v>0</v>
      </c>
      <c r="P214" s="117">
        <v>0</v>
      </c>
      <c r="Q214" s="117">
        <v>0</v>
      </c>
      <c r="R214" s="117">
        <v>0</v>
      </c>
      <c r="S214" s="119">
        <v>0</v>
      </c>
      <c r="T214" s="119">
        <v>0</v>
      </c>
      <c r="U214" s="119">
        <v>0</v>
      </c>
      <c r="V214" s="119" t="str">
        <f t="shared" si="9"/>
        <v xml:space="preserve"> </v>
      </c>
    </row>
    <row r="215" spans="1:22" hidden="1">
      <c r="A215" s="452" t="s">
        <v>266</v>
      </c>
      <c r="B215" s="114">
        <f>_xlfn.IFNA(VLOOKUP(Table1[[#This Row],[SKU]],'Kilter Holds'!$P$36:$S$370,4,0),0)</f>
        <v>0</v>
      </c>
      <c r="C215" s="115">
        <v>10</v>
      </c>
      <c r="D215" s="117">
        <f>IFERROR(10*B215,0)</f>
        <v>0</v>
      </c>
      <c r="E215" s="117">
        <v>0</v>
      </c>
      <c r="F215" s="117">
        <v>0</v>
      </c>
      <c r="G215" s="117">
        <v>0</v>
      </c>
      <c r="H215" s="117">
        <v>0</v>
      </c>
      <c r="I215" s="117">
        <v>0</v>
      </c>
      <c r="J215" s="117">
        <v>0</v>
      </c>
      <c r="K215" s="117">
        <v>0</v>
      </c>
      <c r="L215" s="123">
        <v>0</v>
      </c>
      <c r="M215" s="117">
        <v>0</v>
      </c>
      <c r="N215" s="117">
        <v>0</v>
      </c>
      <c r="O215" s="117">
        <v>0</v>
      </c>
      <c r="P215" s="117">
        <v>0</v>
      </c>
      <c r="Q215" s="117">
        <v>0</v>
      </c>
      <c r="R215" s="117">
        <v>0</v>
      </c>
      <c r="S215" s="119">
        <v>0</v>
      </c>
      <c r="T215" s="119">
        <v>0</v>
      </c>
      <c r="U215" s="119">
        <v>0</v>
      </c>
      <c r="V215" s="119" t="str">
        <f t="shared" si="9"/>
        <v xml:space="preserve"> </v>
      </c>
    </row>
    <row r="216" spans="1:22" hidden="1">
      <c r="A216" s="452" t="s">
        <v>936</v>
      </c>
      <c r="B216" s="114">
        <f>_xlfn.IFNA(VLOOKUP(Table1[[#This Row],[SKU]],'Kilter Holds'!$P$36:$S$370,4,0),0)</f>
        <v>0</v>
      </c>
      <c r="C216" s="115">
        <v>3</v>
      </c>
      <c r="D216" s="117">
        <v>0</v>
      </c>
      <c r="E216" s="117">
        <v>0</v>
      </c>
      <c r="F216" s="117">
        <v>0</v>
      </c>
      <c r="G216" s="117">
        <v>0</v>
      </c>
      <c r="H216" s="117">
        <v>0</v>
      </c>
      <c r="I216" s="117">
        <v>0</v>
      </c>
      <c r="J216" s="117">
        <v>0</v>
      </c>
      <c r="K216" s="117">
        <f>IFERROR(2*B216,0)</f>
        <v>0</v>
      </c>
      <c r="L216" s="123">
        <v>0</v>
      </c>
      <c r="M216" s="117">
        <f>IFERROR(1*B216,0)</f>
        <v>0</v>
      </c>
      <c r="N216" s="117">
        <v>0</v>
      </c>
      <c r="O216" s="117">
        <v>0</v>
      </c>
      <c r="P216" s="117">
        <v>0</v>
      </c>
      <c r="Q216" s="117">
        <v>0</v>
      </c>
      <c r="R216" s="117">
        <v>0</v>
      </c>
      <c r="S216" s="117">
        <v>0</v>
      </c>
      <c r="T216" s="119">
        <v>0</v>
      </c>
      <c r="U216" s="119">
        <v>0</v>
      </c>
      <c r="V216" s="119" t="str">
        <f t="shared" si="9"/>
        <v xml:space="preserve"> </v>
      </c>
    </row>
    <row r="217" spans="1:22" hidden="1">
      <c r="A217" s="452" t="s">
        <v>937</v>
      </c>
      <c r="B217" s="114">
        <f>_xlfn.IFNA(VLOOKUP(Table1[[#This Row],[SKU]],'Kilter Holds'!$P$36:$S$370,4,0),0)</f>
        <v>0</v>
      </c>
      <c r="C217" s="115">
        <v>1</v>
      </c>
      <c r="D217" s="117">
        <v>0</v>
      </c>
      <c r="E217" s="117">
        <v>0</v>
      </c>
      <c r="F217" s="117">
        <v>0</v>
      </c>
      <c r="G217" s="117">
        <v>0</v>
      </c>
      <c r="H217" s="117">
        <v>0</v>
      </c>
      <c r="I217" s="117">
        <v>0</v>
      </c>
      <c r="J217" s="117">
        <v>0</v>
      </c>
      <c r="K217" s="117">
        <f>IFERROR(1*B217,0)</f>
        <v>0</v>
      </c>
      <c r="L217" s="123">
        <v>0</v>
      </c>
      <c r="M217" s="117">
        <v>0</v>
      </c>
      <c r="N217" s="117">
        <v>0</v>
      </c>
      <c r="O217" s="117">
        <v>0</v>
      </c>
      <c r="P217" s="117">
        <v>0</v>
      </c>
      <c r="Q217" s="117">
        <v>0</v>
      </c>
      <c r="R217" s="117">
        <v>0</v>
      </c>
      <c r="S217" s="117">
        <v>0</v>
      </c>
      <c r="T217" s="119">
        <v>0</v>
      </c>
      <c r="U217" s="119">
        <v>0</v>
      </c>
      <c r="V217" s="119" t="str">
        <f t="shared" si="9"/>
        <v xml:space="preserve"> </v>
      </c>
    </row>
    <row r="218" spans="1:22" hidden="1">
      <c r="A218" s="452" t="s">
        <v>938</v>
      </c>
      <c r="B218" s="114">
        <f>_xlfn.IFNA(VLOOKUP(Table1[[#This Row],[SKU]],'Kilter Holds'!$P$36:$S$370,4,0),0)</f>
        <v>0</v>
      </c>
      <c r="C218" s="115">
        <v>1</v>
      </c>
      <c r="D218" s="117">
        <v>0</v>
      </c>
      <c r="E218" s="117">
        <v>0</v>
      </c>
      <c r="F218" s="117">
        <v>0</v>
      </c>
      <c r="G218" s="117">
        <v>0</v>
      </c>
      <c r="H218" s="117">
        <v>0</v>
      </c>
      <c r="I218" s="117">
        <v>0</v>
      </c>
      <c r="J218" s="117">
        <v>0</v>
      </c>
      <c r="K218" s="117">
        <f>IFERROR(1*B218,0)</f>
        <v>0</v>
      </c>
      <c r="L218" s="123">
        <v>0</v>
      </c>
      <c r="M218" s="117">
        <v>0</v>
      </c>
      <c r="N218" s="117">
        <v>0</v>
      </c>
      <c r="O218" s="117">
        <v>0</v>
      </c>
      <c r="P218" s="117">
        <v>0</v>
      </c>
      <c r="Q218" s="117">
        <v>0</v>
      </c>
      <c r="R218" s="117">
        <v>0</v>
      </c>
      <c r="S218" s="117">
        <v>0</v>
      </c>
      <c r="T218" s="119">
        <v>0</v>
      </c>
      <c r="U218" s="119">
        <v>0</v>
      </c>
      <c r="V218" s="119" t="str">
        <f t="shared" si="9"/>
        <v xml:space="preserve"> </v>
      </c>
    </row>
    <row r="219" spans="1:22" hidden="1">
      <c r="A219" s="452" t="s">
        <v>939</v>
      </c>
      <c r="B219" s="114">
        <f>_xlfn.IFNA(VLOOKUP(Table1[[#This Row],[SKU]],'Kilter Holds'!$P$36:$S$370,4,0),0)</f>
        <v>0</v>
      </c>
      <c r="C219" s="115">
        <v>1</v>
      </c>
      <c r="D219" s="117">
        <v>0</v>
      </c>
      <c r="E219" s="117">
        <v>0</v>
      </c>
      <c r="F219" s="117">
        <v>0</v>
      </c>
      <c r="G219" s="117">
        <v>0</v>
      </c>
      <c r="H219" s="117">
        <v>0</v>
      </c>
      <c r="I219" s="117">
        <v>0</v>
      </c>
      <c r="J219" s="117">
        <v>0</v>
      </c>
      <c r="K219" s="117">
        <v>0</v>
      </c>
      <c r="L219" s="123">
        <v>0</v>
      </c>
      <c r="M219" s="117">
        <f>IFERROR(1*B219,0)</f>
        <v>0</v>
      </c>
      <c r="N219" s="117">
        <v>0</v>
      </c>
      <c r="O219" s="117">
        <v>0</v>
      </c>
      <c r="P219" s="117">
        <v>0</v>
      </c>
      <c r="Q219" s="117">
        <v>0</v>
      </c>
      <c r="R219" s="117">
        <v>0</v>
      </c>
      <c r="S219" s="117">
        <v>0</v>
      </c>
      <c r="T219" s="119">
        <v>0</v>
      </c>
      <c r="U219" s="119">
        <v>0</v>
      </c>
      <c r="V219" s="119" t="str">
        <f t="shared" si="9"/>
        <v xml:space="preserve"> </v>
      </c>
    </row>
    <row r="220" spans="1:22" hidden="1">
      <c r="A220" s="452" t="s">
        <v>948</v>
      </c>
      <c r="B220" s="114">
        <f>_xlfn.IFNA(VLOOKUP(Table1[[#This Row],[SKU]],'Kilter Holds'!$P$36:$S$370,4,0),0)</f>
        <v>0</v>
      </c>
      <c r="C220" s="115">
        <v>10</v>
      </c>
      <c r="D220" s="117">
        <f>IFERROR(10*B220,0)</f>
        <v>0</v>
      </c>
      <c r="E220" s="117">
        <v>0</v>
      </c>
      <c r="F220" s="117">
        <v>0</v>
      </c>
      <c r="G220" s="117">
        <v>0</v>
      </c>
      <c r="H220" s="117">
        <v>0</v>
      </c>
      <c r="I220" s="117">
        <v>0</v>
      </c>
      <c r="J220" s="117">
        <v>0</v>
      </c>
      <c r="K220" s="117">
        <v>0</v>
      </c>
      <c r="L220" s="123">
        <v>0</v>
      </c>
      <c r="M220" s="117">
        <v>0</v>
      </c>
      <c r="N220" s="117">
        <v>0</v>
      </c>
      <c r="O220" s="117">
        <v>0</v>
      </c>
      <c r="P220" s="117">
        <v>0</v>
      </c>
      <c r="Q220" s="117">
        <v>0</v>
      </c>
      <c r="R220" s="117">
        <v>0</v>
      </c>
      <c r="S220" s="117">
        <v>0</v>
      </c>
      <c r="T220" s="119">
        <v>0</v>
      </c>
      <c r="U220" s="119">
        <v>0</v>
      </c>
      <c r="V220" s="119" t="str">
        <f t="shared" si="9"/>
        <v xml:space="preserve"> </v>
      </c>
    </row>
    <row r="221" spans="1:22" hidden="1">
      <c r="A221" s="452" t="s">
        <v>949</v>
      </c>
      <c r="B221" s="114">
        <f>_xlfn.IFNA(VLOOKUP(Table1[[#This Row],[SKU]],'Kilter Holds'!$P$36:$S$370,4,0),0)</f>
        <v>0</v>
      </c>
      <c r="C221" s="115">
        <v>10</v>
      </c>
      <c r="D221" s="117">
        <f>IFERROR(10*B221,0)</f>
        <v>0</v>
      </c>
      <c r="E221" s="117">
        <v>0</v>
      </c>
      <c r="F221" s="117">
        <v>0</v>
      </c>
      <c r="G221" s="117">
        <v>0</v>
      </c>
      <c r="H221" s="117">
        <v>0</v>
      </c>
      <c r="I221" s="117">
        <v>0</v>
      </c>
      <c r="J221" s="117">
        <v>0</v>
      </c>
      <c r="K221" s="117">
        <v>0</v>
      </c>
      <c r="L221" s="123">
        <v>0</v>
      </c>
      <c r="M221" s="117">
        <v>0</v>
      </c>
      <c r="N221" s="117">
        <v>0</v>
      </c>
      <c r="O221" s="117">
        <v>0</v>
      </c>
      <c r="P221" s="117">
        <v>0</v>
      </c>
      <c r="Q221" s="117">
        <v>0</v>
      </c>
      <c r="R221" s="117">
        <v>0</v>
      </c>
      <c r="S221" s="117">
        <v>0</v>
      </c>
      <c r="T221" s="119">
        <v>0</v>
      </c>
      <c r="U221" s="119">
        <v>0</v>
      </c>
      <c r="V221" s="119" t="str">
        <f t="shared" si="9"/>
        <v xml:space="preserve"> </v>
      </c>
    </row>
    <row r="222" spans="1:22" hidden="1">
      <c r="A222" s="452" t="s">
        <v>950</v>
      </c>
      <c r="B222" s="114">
        <f>_xlfn.IFNA(VLOOKUP(Table1[[#This Row],[SKU]],'Kilter Holds'!$P$36:$S$370,4,0),0)</f>
        <v>0</v>
      </c>
      <c r="C222" s="115">
        <v>20</v>
      </c>
      <c r="D222" s="117">
        <f>IFERROR(20*B222,0)</f>
        <v>0</v>
      </c>
      <c r="E222" s="117">
        <v>0</v>
      </c>
      <c r="F222" s="117">
        <v>0</v>
      </c>
      <c r="G222" s="117">
        <v>0</v>
      </c>
      <c r="H222" s="117">
        <v>0</v>
      </c>
      <c r="I222" s="117">
        <v>0</v>
      </c>
      <c r="J222" s="117">
        <v>0</v>
      </c>
      <c r="K222" s="117">
        <v>0</v>
      </c>
      <c r="L222" s="123">
        <v>0</v>
      </c>
      <c r="M222" s="117">
        <v>0</v>
      </c>
      <c r="N222" s="117">
        <v>0</v>
      </c>
      <c r="O222" s="117">
        <v>0</v>
      </c>
      <c r="P222" s="117">
        <v>0</v>
      </c>
      <c r="Q222" s="117">
        <v>0</v>
      </c>
      <c r="R222" s="117">
        <v>0</v>
      </c>
      <c r="S222" s="117">
        <v>0</v>
      </c>
      <c r="T222" s="119">
        <v>0</v>
      </c>
      <c r="U222" s="119">
        <v>0</v>
      </c>
      <c r="V222" s="119" t="str">
        <f t="shared" si="9"/>
        <v xml:space="preserve"> </v>
      </c>
    </row>
    <row r="223" spans="1:22" hidden="1">
      <c r="A223" s="452" t="s">
        <v>951</v>
      </c>
      <c r="B223" s="114">
        <f>_xlfn.IFNA(VLOOKUP(Table1[[#This Row],[SKU]],'Kilter Holds'!$P$36:$S$370,4,0),0)</f>
        <v>0</v>
      </c>
      <c r="C223" s="115">
        <v>20</v>
      </c>
      <c r="D223" s="117">
        <f>IFERROR(20*B223,0)</f>
        <v>0</v>
      </c>
      <c r="E223" s="117">
        <v>0</v>
      </c>
      <c r="F223" s="117">
        <v>0</v>
      </c>
      <c r="G223" s="117">
        <v>0</v>
      </c>
      <c r="H223" s="117">
        <v>0</v>
      </c>
      <c r="I223" s="117">
        <v>0</v>
      </c>
      <c r="J223" s="117">
        <v>0</v>
      </c>
      <c r="K223" s="117">
        <v>0</v>
      </c>
      <c r="L223" s="123">
        <v>0</v>
      </c>
      <c r="M223" s="117">
        <v>0</v>
      </c>
      <c r="N223" s="117">
        <v>0</v>
      </c>
      <c r="O223" s="117">
        <v>0</v>
      </c>
      <c r="P223" s="117">
        <v>0</v>
      </c>
      <c r="Q223" s="117">
        <v>0</v>
      </c>
      <c r="R223" s="117">
        <v>0</v>
      </c>
      <c r="S223" s="117">
        <v>0</v>
      </c>
      <c r="T223" s="119">
        <v>0</v>
      </c>
      <c r="U223" s="119">
        <v>0</v>
      </c>
      <c r="V223" s="119" t="str">
        <f t="shared" si="9"/>
        <v xml:space="preserve"> </v>
      </c>
    </row>
    <row r="224" spans="1:22" hidden="1">
      <c r="A224" s="452" t="s">
        <v>952</v>
      </c>
      <c r="B224" s="114">
        <f>_xlfn.IFNA(VLOOKUP(Table1[[#This Row],[SKU]],'Kilter Holds'!$P$36:$S$370,4,0),0)</f>
        <v>0</v>
      </c>
      <c r="C224" s="115">
        <v>10</v>
      </c>
      <c r="D224" s="117">
        <v>0</v>
      </c>
      <c r="E224" s="117">
        <v>0</v>
      </c>
      <c r="F224" s="117">
        <v>0</v>
      </c>
      <c r="G224" s="117">
        <v>0</v>
      </c>
      <c r="H224" s="117">
        <v>0</v>
      </c>
      <c r="I224" s="117">
        <v>0</v>
      </c>
      <c r="J224" s="117">
        <v>0</v>
      </c>
      <c r="K224" s="117">
        <v>0</v>
      </c>
      <c r="L224" s="123">
        <v>0</v>
      </c>
      <c r="M224" s="117">
        <v>0</v>
      </c>
      <c r="N224" s="117">
        <v>0</v>
      </c>
      <c r="O224" s="117">
        <v>0</v>
      </c>
      <c r="P224" s="117">
        <v>0</v>
      </c>
      <c r="Q224" s="117">
        <f>IFERROR(20*B224,0)</f>
        <v>0</v>
      </c>
      <c r="R224" s="117">
        <v>0</v>
      </c>
      <c r="S224" s="117">
        <v>0</v>
      </c>
      <c r="T224" s="119">
        <v>0</v>
      </c>
      <c r="U224" s="119">
        <v>0</v>
      </c>
      <c r="V224" s="119" t="str">
        <f t="shared" si="9"/>
        <v xml:space="preserve"> </v>
      </c>
    </row>
    <row r="225" spans="1:22" hidden="1">
      <c r="A225" s="452" t="s">
        <v>1581</v>
      </c>
      <c r="B225" s="114">
        <f>_xlfn.IFNA(VLOOKUP(Table1[[#This Row],[SKU]],'Kilter Holds'!$P$36:$S$370,4,0),0)</f>
        <v>0</v>
      </c>
      <c r="C225" s="115">
        <v>6</v>
      </c>
      <c r="D225" s="117">
        <f>IFERROR(6*B225,0)</f>
        <v>0</v>
      </c>
      <c r="E225" s="117">
        <v>0</v>
      </c>
      <c r="F225" s="117">
        <v>0</v>
      </c>
      <c r="G225" s="117">
        <v>0</v>
      </c>
      <c r="H225" s="117">
        <v>0</v>
      </c>
      <c r="I225" s="117">
        <v>0</v>
      </c>
      <c r="J225" s="117">
        <v>0</v>
      </c>
      <c r="K225" s="117">
        <v>0</v>
      </c>
      <c r="L225" s="123">
        <v>0</v>
      </c>
      <c r="M225" s="117">
        <v>0</v>
      </c>
      <c r="N225" s="117">
        <v>0</v>
      </c>
      <c r="O225" s="117">
        <v>0</v>
      </c>
      <c r="P225" s="117">
        <v>0</v>
      </c>
      <c r="Q225" s="117">
        <v>0</v>
      </c>
      <c r="R225" s="117">
        <v>0</v>
      </c>
      <c r="S225" s="117">
        <v>0</v>
      </c>
      <c r="T225" s="119">
        <v>0</v>
      </c>
      <c r="U225" s="119">
        <v>0</v>
      </c>
      <c r="V225" s="119" t="str">
        <f t="shared" si="9"/>
        <v xml:space="preserve"> </v>
      </c>
    </row>
    <row r="226" spans="1:22" hidden="1">
      <c r="A226" s="452" t="s">
        <v>1061</v>
      </c>
      <c r="B226" s="114">
        <f>_xlfn.IFNA(VLOOKUP(Table1[[#This Row],[SKU]],'Kilter Holds'!$P$36:$S$370,4,0),0)</f>
        <v>0</v>
      </c>
      <c r="C226" s="115">
        <v>45</v>
      </c>
      <c r="D226" s="117">
        <f>IFERROR(8*B226,0)*2</f>
        <v>0</v>
      </c>
      <c r="E226" s="117">
        <f>IFERROR(2*B226,0)*2</f>
        <v>0</v>
      </c>
      <c r="F226" s="117">
        <v>0</v>
      </c>
      <c r="G226" s="117">
        <v>0</v>
      </c>
      <c r="H226" s="117">
        <v>0</v>
      </c>
      <c r="I226" s="117">
        <v>0</v>
      </c>
      <c r="J226" s="117">
        <v>0</v>
      </c>
      <c r="K226" s="117">
        <v>0</v>
      </c>
      <c r="L226" s="123">
        <v>0</v>
      </c>
      <c r="M226" s="117">
        <v>0</v>
      </c>
      <c r="N226" s="117">
        <v>0</v>
      </c>
      <c r="O226" s="117">
        <v>0</v>
      </c>
      <c r="P226" s="117">
        <v>0</v>
      </c>
      <c r="Q226" s="117">
        <f>IFERROR(55*B226,0)</f>
        <v>0</v>
      </c>
      <c r="R226" s="117">
        <v>0</v>
      </c>
      <c r="S226" s="117">
        <v>0</v>
      </c>
      <c r="T226" s="119">
        <v>0</v>
      </c>
      <c r="U226" s="119">
        <v>0</v>
      </c>
      <c r="V226" s="119" t="str">
        <f t="shared" si="9"/>
        <v xml:space="preserve"> </v>
      </c>
    </row>
    <row r="227" spans="1:22" hidden="1">
      <c r="A227" s="452" t="s">
        <v>1059</v>
      </c>
      <c r="B227" s="114">
        <f>_xlfn.IFNA(VLOOKUP(Table1[[#This Row],[SKU]],'Kilter Holds'!$P$36:$S$370,4,0),0)</f>
        <v>0</v>
      </c>
      <c r="C227" s="115">
        <v>25</v>
      </c>
      <c r="D227" s="117">
        <v>0</v>
      </c>
      <c r="E227" s="117">
        <v>0</v>
      </c>
      <c r="F227" s="117">
        <v>0</v>
      </c>
      <c r="G227" s="117">
        <v>0</v>
      </c>
      <c r="H227" s="117">
        <v>0</v>
      </c>
      <c r="I227" s="117">
        <v>0</v>
      </c>
      <c r="J227" s="117">
        <v>0</v>
      </c>
      <c r="K227" s="117">
        <v>0</v>
      </c>
      <c r="L227" s="123">
        <v>0</v>
      </c>
      <c r="M227" s="117">
        <v>0</v>
      </c>
      <c r="N227" s="117">
        <v>0</v>
      </c>
      <c r="O227" s="117">
        <v>0</v>
      </c>
      <c r="P227" s="117">
        <v>0</v>
      </c>
      <c r="Q227" s="117">
        <f>IFERROR(55*B227,0)</f>
        <v>0</v>
      </c>
      <c r="R227" s="117">
        <v>0</v>
      </c>
      <c r="S227" s="117">
        <v>0</v>
      </c>
      <c r="T227" s="119">
        <v>0</v>
      </c>
      <c r="U227" s="119">
        <v>0</v>
      </c>
      <c r="V227" s="119" t="str">
        <f t="shared" si="9"/>
        <v xml:space="preserve"> </v>
      </c>
    </row>
    <row r="228" spans="1:22" hidden="1">
      <c r="A228" s="452" t="s">
        <v>1060</v>
      </c>
      <c r="B228" s="114">
        <f>_xlfn.IFNA(VLOOKUP(Table1[[#This Row],[SKU]],'Kilter Holds'!$P$36:$S$370,4,0),0)</f>
        <v>0</v>
      </c>
      <c r="C228" s="115">
        <v>10</v>
      </c>
      <c r="D228" s="117">
        <f>IFERROR(8*B228,0)</f>
        <v>0</v>
      </c>
      <c r="E228" s="117">
        <f>IFERROR(2*B228,0)</f>
        <v>0</v>
      </c>
      <c r="F228" s="117">
        <v>0</v>
      </c>
      <c r="G228" s="117">
        <v>0</v>
      </c>
      <c r="H228" s="117">
        <v>0</v>
      </c>
      <c r="I228" s="117">
        <v>0</v>
      </c>
      <c r="J228" s="117">
        <v>0</v>
      </c>
      <c r="K228" s="117">
        <v>0</v>
      </c>
      <c r="L228" s="123">
        <v>0</v>
      </c>
      <c r="M228" s="117">
        <v>0</v>
      </c>
      <c r="N228" s="117">
        <v>0</v>
      </c>
      <c r="O228" s="117">
        <v>0</v>
      </c>
      <c r="P228" s="117">
        <v>0</v>
      </c>
      <c r="Q228" s="117">
        <v>0</v>
      </c>
      <c r="R228" s="117">
        <v>0</v>
      </c>
      <c r="S228" s="117">
        <v>0</v>
      </c>
      <c r="T228" s="119">
        <v>0</v>
      </c>
      <c r="U228" s="119">
        <v>0</v>
      </c>
      <c r="V228" s="119" t="str">
        <f t="shared" si="9"/>
        <v xml:space="preserve"> </v>
      </c>
    </row>
    <row r="229" spans="1:22" hidden="1">
      <c r="A229" s="452" t="s">
        <v>1064</v>
      </c>
      <c r="B229" s="114">
        <f>_xlfn.IFNA(VLOOKUP(Table1[[#This Row],[SKU]],'Kilter Holds'!$P$36:$S$370,4,0),0)</f>
        <v>0</v>
      </c>
      <c r="C229" s="115">
        <v>5</v>
      </c>
      <c r="D229" s="117">
        <v>0</v>
      </c>
      <c r="E229" s="117">
        <v>0</v>
      </c>
      <c r="F229" s="117">
        <v>0</v>
      </c>
      <c r="G229" s="117">
        <v>0</v>
      </c>
      <c r="H229" s="117">
        <v>0</v>
      </c>
      <c r="I229" s="117">
        <v>0</v>
      </c>
      <c r="J229" s="117">
        <v>0</v>
      </c>
      <c r="K229" s="117">
        <v>0</v>
      </c>
      <c r="L229" s="123">
        <v>0</v>
      </c>
      <c r="M229" s="117">
        <v>0</v>
      </c>
      <c r="N229" s="117">
        <v>0</v>
      </c>
      <c r="O229" s="117">
        <v>0</v>
      </c>
      <c r="P229" s="117">
        <v>0</v>
      </c>
      <c r="Q229" s="117">
        <f>IFERROR(15*B229,0)</f>
        <v>0</v>
      </c>
      <c r="R229" s="117">
        <v>0</v>
      </c>
      <c r="S229" s="117">
        <v>0</v>
      </c>
      <c r="T229" s="119">
        <v>0</v>
      </c>
      <c r="U229" s="119">
        <v>0</v>
      </c>
      <c r="V229" s="119" t="str">
        <f t="shared" si="9"/>
        <v xml:space="preserve"> </v>
      </c>
    </row>
    <row r="230" spans="1:22" hidden="1">
      <c r="A230" s="452" t="s">
        <v>1207</v>
      </c>
      <c r="B230" s="114">
        <f>_xlfn.IFNA(VLOOKUP(Table1[[#This Row],[SKU]],'Kilter Holds'!$P$36:$S$370,4,0),0)</f>
        <v>0</v>
      </c>
      <c r="C230" s="115">
        <v>5</v>
      </c>
      <c r="D230" s="117">
        <v>0</v>
      </c>
      <c r="E230" s="117">
        <f>IFERROR(5*B230,0)</f>
        <v>0</v>
      </c>
      <c r="F230" s="117">
        <v>0</v>
      </c>
      <c r="G230" s="117">
        <v>0</v>
      </c>
      <c r="H230" s="117">
        <v>0</v>
      </c>
      <c r="I230" s="117">
        <v>0</v>
      </c>
      <c r="J230" s="117">
        <v>0</v>
      </c>
      <c r="K230" s="117">
        <v>0</v>
      </c>
      <c r="L230" s="123">
        <v>0</v>
      </c>
      <c r="M230" s="117">
        <v>0</v>
      </c>
      <c r="N230" s="117">
        <v>0</v>
      </c>
      <c r="O230" s="117">
        <v>0</v>
      </c>
      <c r="P230" s="117">
        <v>0</v>
      </c>
      <c r="Q230" s="117">
        <v>0</v>
      </c>
      <c r="R230" s="117">
        <v>0</v>
      </c>
      <c r="S230" s="117">
        <v>0</v>
      </c>
      <c r="T230" s="119">
        <v>0</v>
      </c>
      <c r="U230" s="119">
        <v>0</v>
      </c>
      <c r="V230" s="119" t="str">
        <f t="shared" si="9"/>
        <v xml:space="preserve"> </v>
      </c>
    </row>
    <row r="231" spans="1:22" hidden="1">
      <c r="A231" s="455" t="s">
        <v>1892</v>
      </c>
      <c r="B231" s="114">
        <f>_xlfn.IFNA(VLOOKUP(Table1[[#This Row],[SKU]],'Kilter Holds'!$P$36:$S$370,4,0),0)</f>
        <v>0</v>
      </c>
      <c r="C231" s="115">
        <v>10</v>
      </c>
      <c r="D231" s="117">
        <f>IFERROR(5*B231,0)</f>
        <v>0</v>
      </c>
      <c r="E231" s="117">
        <v>0</v>
      </c>
      <c r="F231" s="117">
        <v>0</v>
      </c>
      <c r="G231" s="117">
        <v>0</v>
      </c>
      <c r="H231" s="117">
        <v>0</v>
      </c>
      <c r="I231" s="117">
        <v>0</v>
      </c>
      <c r="J231" s="117">
        <v>0</v>
      </c>
      <c r="K231" s="117">
        <v>0</v>
      </c>
      <c r="L231" s="123">
        <v>0</v>
      </c>
      <c r="M231" s="117">
        <v>0</v>
      </c>
      <c r="N231" s="117">
        <v>0</v>
      </c>
      <c r="O231" s="117">
        <v>0</v>
      </c>
      <c r="P231" s="117">
        <v>0</v>
      </c>
      <c r="Q231" s="117">
        <f>IFERROR(10*B231,0)</f>
        <v>0</v>
      </c>
      <c r="R231" s="117">
        <v>0</v>
      </c>
      <c r="S231" s="117">
        <v>0</v>
      </c>
      <c r="T231" s="119">
        <v>0</v>
      </c>
      <c r="U231" s="119">
        <v>0</v>
      </c>
      <c r="V231" s="119" t="str">
        <f t="shared" si="9"/>
        <v xml:space="preserve"> </v>
      </c>
    </row>
    <row r="232" spans="1:22" hidden="1">
      <c r="A232" s="452" t="s">
        <v>1891</v>
      </c>
      <c r="B232" s="114">
        <f>_xlfn.IFNA(VLOOKUP(Table1[[#This Row],[SKU]],'Kilter Holds'!$P$36:$S$370,4,0),0)</f>
        <v>0</v>
      </c>
      <c r="C232" s="115">
        <v>3</v>
      </c>
      <c r="D232" s="117">
        <v>0</v>
      </c>
      <c r="E232" s="117">
        <v>0</v>
      </c>
      <c r="F232" s="117">
        <v>0</v>
      </c>
      <c r="G232" s="117">
        <f>IFERROR(1*B232,0)</f>
        <v>0</v>
      </c>
      <c r="H232" s="117">
        <f>IFERROR(2*B232,0)</f>
        <v>0</v>
      </c>
      <c r="I232" s="117">
        <v>0</v>
      </c>
      <c r="J232" s="117">
        <v>0</v>
      </c>
      <c r="K232" s="117">
        <v>0</v>
      </c>
      <c r="L232" s="123">
        <v>0</v>
      </c>
      <c r="M232" s="117">
        <v>0</v>
      </c>
      <c r="N232" s="117">
        <v>0</v>
      </c>
      <c r="O232" s="117">
        <v>0</v>
      </c>
      <c r="P232" s="117">
        <v>0</v>
      </c>
      <c r="Q232" s="117">
        <v>0</v>
      </c>
      <c r="R232" s="117">
        <v>0</v>
      </c>
      <c r="S232" s="117">
        <v>0</v>
      </c>
      <c r="T232" s="119">
        <v>0</v>
      </c>
      <c r="U232" s="119">
        <v>0</v>
      </c>
      <c r="V232" s="119" t="str">
        <f t="shared" si="9"/>
        <v xml:space="preserve"> </v>
      </c>
    </row>
    <row r="233" spans="1:22" hidden="1">
      <c r="A233" s="455" t="s">
        <v>1895</v>
      </c>
      <c r="B233" s="114">
        <f>_xlfn.IFNA(VLOOKUP(Table1[[#This Row],[SKU]],'Kilter Holds'!$P$36:$S$370,4,0),0)</f>
        <v>0</v>
      </c>
      <c r="C233" s="115">
        <v>8</v>
      </c>
      <c r="D233" s="117">
        <v>0</v>
      </c>
      <c r="E233" s="117">
        <v>0</v>
      </c>
      <c r="F233" s="117">
        <v>0</v>
      </c>
      <c r="G233" s="117">
        <f>IFERROR(1*B233,0)</f>
        <v>0</v>
      </c>
      <c r="H233" s="117">
        <f>IFERROR(2*B233,0)</f>
        <v>0</v>
      </c>
      <c r="I233" s="117">
        <v>0</v>
      </c>
      <c r="J233" s="117">
        <v>0</v>
      </c>
      <c r="K233" s="117">
        <v>0</v>
      </c>
      <c r="L233" s="123">
        <v>0</v>
      </c>
      <c r="M233" s="117">
        <v>0</v>
      </c>
      <c r="N233" s="117">
        <v>0</v>
      </c>
      <c r="O233" s="117">
        <v>0</v>
      </c>
      <c r="P233" s="117">
        <v>0</v>
      </c>
      <c r="Q233" s="117">
        <f>IFERROR(18*B233,0)</f>
        <v>0</v>
      </c>
      <c r="R233" s="117">
        <v>0</v>
      </c>
      <c r="S233" s="117">
        <v>0</v>
      </c>
      <c r="T233" s="119">
        <v>0</v>
      </c>
      <c r="U233" s="119">
        <v>0</v>
      </c>
      <c r="V233" s="119" t="str">
        <f t="shared" si="9"/>
        <v xml:space="preserve"> </v>
      </c>
    </row>
    <row r="234" spans="1:22" hidden="1">
      <c r="A234" s="452" t="s">
        <v>1985</v>
      </c>
      <c r="B234" s="114">
        <f>_xlfn.IFNA(VLOOKUP(Table1[[#This Row],[SKU]],'Kilter Holds'!$P$36:$S$370,4,0),0)</f>
        <v>0</v>
      </c>
      <c r="C234" s="115">
        <v>3</v>
      </c>
      <c r="D234" s="117">
        <v>0</v>
      </c>
      <c r="E234" s="117">
        <v>0</v>
      </c>
      <c r="F234" s="117">
        <v>0</v>
      </c>
      <c r="G234" s="117">
        <v>0</v>
      </c>
      <c r="H234" s="117">
        <v>0</v>
      </c>
      <c r="I234" s="117">
        <v>0</v>
      </c>
      <c r="J234" s="117">
        <v>0</v>
      </c>
      <c r="K234" s="117">
        <v>0</v>
      </c>
      <c r="L234" s="123">
        <v>0</v>
      </c>
      <c r="M234" s="117">
        <v>0</v>
      </c>
      <c r="N234" s="117">
        <f>IFERROR(1*B234,0)</f>
        <v>0</v>
      </c>
      <c r="O234" s="117">
        <v>0</v>
      </c>
      <c r="P234" s="117">
        <v>0</v>
      </c>
      <c r="Q234" s="117">
        <f>IFERROR(19*B234,0)</f>
        <v>0</v>
      </c>
      <c r="R234" s="117">
        <f>IFERROR(1*B234,0)</f>
        <v>0</v>
      </c>
      <c r="S234" s="117">
        <v>0</v>
      </c>
      <c r="T234" s="119">
        <v>0</v>
      </c>
      <c r="U234" s="119">
        <v>0</v>
      </c>
      <c r="V234" s="119" t="str">
        <f t="shared" si="9"/>
        <v xml:space="preserve"> </v>
      </c>
    </row>
    <row r="235" spans="1:22" hidden="1">
      <c r="A235" s="455" t="s">
        <v>1987</v>
      </c>
      <c r="B235" s="114">
        <f>_xlfn.IFNA(VLOOKUP(Table1[[#This Row],[SKU]],'Kilter Holds'!$P$36:$S$370,4,0),0)</f>
        <v>0</v>
      </c>
      <c r="C235" s="115">
        <v>13</v>
      </c>
      <c r="D235" s="117">
        <v>0</v>
      </c>
      <c r="E235" s="117">
        <v>0</v>
      </c>
      <c r="F235" s="117">
        <v>0</v>
      </c>
      <c r="G235" s="117">
        <v>0</v>
      </c>
      <c r="H235" s="117">
        <v>0</v>
      </c>
      <c r="I235" s="117">
        <v>0</v>
      </c>
      <c r="J235" s="117">
        <v>0</v>
      </c>
      <c r="K235" s="117">
        <v>0</v>
      </c>
      <c r="L235" s="123">
        <v>0</v>
      </c>
      <c r="M235" s="117">
        <v>0</v>
      </c>
      <c r="N235" s="117">
        <v>0</v>
      </c>
      <c r="O235" s="117">
        <v>0</v>
      </c>
      <c r="P235" s="117">
        <v>0</v>
      </c>
      <c r="Q235" s="117">
        <f>IFERROR(38*B235,0)</f>
        <v>0</v>
      </c>
      <c r="R235" s="117">
        <v>0</v>
      </c>
      <c r="S235" s="117">
        <v>0</v>
      </c>
      <c r="T235" s="119">
        <v>0</v>
      </c>
      <c r="U235" s="119">
        <v>0</v>
      </c>
      <c r="V235" s="119" t="str">
        <f t="shared" si="9"/>
        <v xml:space="preserve"> </v>
      </c>
    </row>
    <row r="236" spans="1:22" hidden="1">
      <c r="A236" s="121" t="s">
        <v>2009</v>
      </c>
      <c r="B236" s="114">
        <f>_xlfn.IFNA(VLOOKUP(Table1[[#This Row],[SKU]],'Kilter Holds'!$P$36:$S$370,4,0),0)</f>
        <v>0</v>
      </c>
      <c r="C236" s="115"/>
      <c r="D236" s="117">
        <v>0</v>
      </c>
      <c r="E236" s="117">
        <v>0</v>
      </c>
      <c r="F236" s="117">
        <v>0</v>
      </c>
      <c r="G236" s="117">
        <v>0</v>
      </c>
      <c r="H236" s="117">
        <v>0</v>
      </c>
      <c r="I236" s="117">
        <v>0</v>
      </c>
      <c r="J236" s="117">
        <v>0</v>
      </c>
      <c r="K236" s="117">
        <v>0</v>
      </c>
      <c r="L236" s="123">
        <v>0</v>
      </c>
      <c r="M236" s="117">
        <v>0</v>
      </c>
      <c r="N236" s="117">
        <v>0</v>
      </c>
      <c r="O236" s="117">
        <v>0</v>
      </c>
      <c r="P236" s="117">
        <v>0</v>
      </c>
      <c r="Q236" s="117">
        <v>0</v>
      </c>
      <c r="R236" s="117">
        <v>0</v>
      </c>
      <c r="S236" s="117">
        <v>0</v>
      </c>
      <c r="T236" s="119">
        <v>0</v>
      </c>
      <c r="U236" s="119">
        <v>0</v>
      </c>
      <c r="V236" s="119" t="str">
        <f t="shared" si="9"/>
        <v xml:space="preserve"> </v>
      </c>
    </row>
    <row r="237" spans="1:22" hidden="1">
      <c r="A237" s="455" t="s">
        <v>1989</v>
      </c>
      <c r="B237" s="114">
        <f>_xlfn.IFNA(VLOOKUP(Table1[[#This Row],[SKU]],'Kilter Holds'!$P$36:$S$370,4,0),0)</f>
        <v>0</v>
      </c>
      <c r="C237" s="115">
        <v>30</v>
      </c>
      <c r="D237" s="117">
        <f>IFERROR(10*B237,0)</f>
        <v>0</v>
      </c>
      <c r="E237" s="117">
        <v>0</v>
      </c>
      <c r="F237" s="117">
        <v>0</v>
      </c>
      <c r="G237" s="117">
        <v>0</v>
      </c>
      <c r="H237" s="117">
        <v>0</v>
      </c>
      <c r="I237" s="117">
        <v>0</v>
      </c>
      <c r="J237" s="117">
        <v>0</v>
      </c>
      <c r="K237" s="117">
        <v>0</v>
      </c>
      <c r="L237" s="123">
        <v>0</v>
      </c>
      <c r="M237" s="117">
        <v>0</v>
      </c>
      <c r="N237" s="117">
        <v>0</v>
      </c>
      <c r="O237" s="117">
        <v>0</v>
      </c>
      <c r="P237" s="117">
        <v>0</v>
      </c>
      <c r="Q237" s="117">
        <f>IFERROR(73*B237,0)</f>
        <v>0</v>
      </c>
      <c r="R237" s="117">
        <v>0</v>
      </c>
      <c r="S237" s="117">
        <v>0</v>
      </c>
      <c r="T237" s="119">
        <v>0</v>
      </c>
      <c r="U237" s="119">
        <v>0</v>
      </c>
      <c r="V237" s="119" t="str">
        <f t="shared" si="9"/>
        <v xml:space="preserve"> </v>
      </c>
    </row>
    <row r="238" spans="1:22" hidden="1">
      <c r="A238" s="455" t="s">
        <v>2058</v>
      </c>
      <c r="B238" s="114">
        <f>_xlfn.IFNA(VLOOKUP(Table1[[#This Row],[SKU]],'Kilter Holds'!$P$36:$S$370,4,0),0)</f>
        <v>0</v>
      </c>
      <c r="C238" s="115">
        <v>4</v>
      </c>
      <c r="D238" s="117">
        <v>0</v>
      </c>
      <c r="E238" s="117">
        <v>0</v>
      </c>
      <c r="F238" s="117">
        <v>0</v>
      </c>
      <c r="G238" s="117">
        <v>0</v>
      </c>
      <c r="H238" s="117">
        <v>0</v>
      </c>
      <c r="I238" s="117">
        <v>0</v>
      </c>
      <c r="J238" s="117">
        <v>0</v>
      </c>
      <c r="K238" s="117">
        <v>0</v>
      </c>
      <c r="L238" s="123">
        <v>0</v>
      </c>
      <c r="M238" s="117">
        <v>0</v>
      </c>
      <c r="N238" s="117">
        <f>IFERROR(1*B238,0)</f>
        <v>0</v>
      </c>
      <c r="O238" s="117">
        <v>0</v>
      </c>
      <c r="P238" s="117">
        <v>0</v>
      </c>
      <c r="Q238" s="117">
        <f>IFERROR(21*B238,0)</f>
        <v>0</v>
      </c>
      <c r="R238" s="117">
        <f>IFERROR(1*B238,0)</f>
        <v>0</v>
      </c>
      <c r="S238" s="117">
        <v>0</v>
      </c>
      <c r="T238" s="119">
        <v>0</v>
      </c>
      <c r="U238" s="119">
        <v>0</v>
      </c>
      <c r="V238" s="119" t="str">
        <f t="shared" si="9"/>
        <v xml:space="preserve"> </v>
      </c>
    </row>
    <row r="239" spans="1:22" hidden="1">
      <c r="A239" s="455" t="s">
        <v>2122</v>
      </c>
      <c r="B239" s="114">
        <f>_xlfn.IFNA(VLOOKUP(Table1[[#This Row],[SKU]],'Kilter Holds'!$P$36:$S$370,4,0),0)</f>
        <v>0</v>
      </c>
      <c r="C239" s="115">
        <v>7</v>
      </c>
      <c r="D239" s="117">
        <v>0</v>
      </c>
      <c r="E239" s="117">
        <v>0</v>
      </c>
      <c r="F239" s="117">
        <v>0</v>
      </c>
      <c r="G239" s="117">
        <v>0</v>
      </c>
      <c r="H239" s="117">
        <v>0</v>
      </c>
      <c r="I239" s="117">
        <v>0</v>
      </c>
      <c r="J239" s="117">
        <f>IFERROR(1*B239,0)</f>
        <v>0</v>
      </c>
      <c r="K239" s="117">
        <v>0</v>
      </c>
      <c r="L239" s="123">
        <v>0</v>
      </c>
      <c r="M239" s="117">
        <f>IFERROR(2*B239,0)</f>
        <v>0</v>
      </c>
      <c r="N239" s="117">
        <v>0</v>
      </c>
      <c r="O239" s="117">
        <v>0</v>
      </c>
      <c r="P239" s="117">
        <v>0</v>
      </c>
      <c r="Q239" s="117">
        <f>IFERROR(35*B239,0)</f>
        <v>0</v>
      </c>
      <c r="R239" s="117">
        <f>IFERROR(3*B239,0)</f>
        <v>0</v>
      </c>
      <c r="S239" s="117">
        <v>0</v>
      </c>
      <c r="T239" s="119">
        <v>0</v>
      </c>
      <c r="U239" s="119">
        <v>0</v>
      </c>
      <c r="V239" s="119" t="str">
        <f t="shared" si="9"/>
        <v xml:space="preserve"> </v>
      </c>
    </row>
    <row r="240" spans="1:22" hidden="1">
      <c r="A240" s="455" t="s">
        <v>2124</v>
      </c>
      <c r="B240" s="114">
        <f>_xlfn.IFNA(VLOOKUP(Table1[[#This Row],[SKU]],'Kilter Holds'!$P$36:$S$370,4,0),0)</f>
        <v>0</v>
      </c>
      <c r="C240" s="115">
        <v>8</v>
      </c>
      <c r="D240" s="117">
        <v>0</v>
      </c>
      <c r="E240" s="117">
        <v>0</v>
      </c>
      <c r="F240" s="117">
        <v>0</v>
      </c>
      <c r="G240" s="117">
        <v>0</v>
      </c>
      <c r="H240" s="117">
        <v>0</v>
      </c>
      <c r="I240" s="117">
        <v>0</v>
      </c>
      <c r="J240" s="117">
        <v>0</v>
      </c>
      <c r="K240" s="117">
        <v>0</v>
      </c>
      <c r="L240" s="123">
        <v>0</v>
      </c>
      <c r="M240" s="117">
        <v>0</v>
      </c>
      <c r="N240" s="117">
        <v>0</v>
      </c>
      <c r="O240" s="117">
        <v>0</v>
      </c>
      <c r="P240" s="117">
        <v>0</v>
      </c>
      <c r="Q240" s="117">
        <f>Table1[[#This Row],[Quantity of Sets]]*30</f>
        <v>0</v>
      </c>
      <c r="R240" s="117">
        <f>Table1[[#This Row],[Quantity of Sets]]*2</f>
        <v>0</v>
      </c>
      <c r="S240" s="594">
        <v>0</v>
      </c>
      <c r="T240" s="119">
        <v>0</v>
      </c>
      <c r="U240" s="119">
        <v>0</v>
      </c>
      <c r="V240" s="119" t="str">
        <f t="shared" ref="V240:V248" si="10">IF(B240&gt;0,"Added"," ")</f>
        <v xml:space="preserve"> </v>
      </c>
    </row>
    <row r="241" spans="1:22" hidden="1">
      <c r="A241" s="455" t="s">
        <v>2225</v>
      </c>
      <c r="B241" s="114">
        <f>_xlfn.IFNA(VLOOKUP(Table1[[#This Row],[SKU]],'Kilter Holds'!$P$36:$S$370,4,0),0)</f>
        <v>0</v>
      </c>
      <c r="C241" s="115">
        <v>3</v>
      </c>
      <c r="D241" s="117">
        <v>0</v>
      </c>
      <c r="E241" s="117">
        <v>0</v>
      </c>
      <c r="F241" s="117">
        <v>0</v>
      </c>
      <c r="G241" s="117">
        <v>0</v>
      </c>
      <c r="H241" s="117">
        <f>Table1[[#This Row],[Quantity of Sets]]*1</f>
        <v>0</v>
      </c>
      <c r="I241" s="117">
        <v>0</v>
      </c>
      <c r="J241" s="117">
        <v>0</v>
      </c>
      <c r="K241" s="117">
        <v>0</v>
      </c>
      <c r="L241" s="123">
        <v>0</v>
      </c>
      <c r="M241" s="117">
        <f>Table1[[#This Row],[Quantity of Sets]]*2</f>
        <v>0</v>
      </c>
      <c r="N241" s="117">
        <v>0</v>
      </c>
      <c r="O241" s="117">
        <v>0</v>
      </c>
      <c r="P241" s="117">
        <v>0</v>
      </c>
      <c r="Q241" s="117">
        <f>Table1[[#This Row],[Quantity of Sets]]*28</f>
        <v>0</v>
      </c>
      <c r="R241" s="117">
        <v>0</v>
      </c>
      <c r="S241" s="594">
        <v>0</v>
      </c>
      <c r="T241" s="119">
        <v>0</v>
      </c>
      <c r="U241" s="119">
        <v>0</v>
      </c>
      <c r="V241" s="119" t="str">
        <f t="shared" si="10"/>
        <v xml:space="preserve"> </v>
      </c>
    </row>
    <row r="242" spans="1:22" hidden="1">
      <c r="A242" s="455" t="s">
        <v>2227</v>
      </c>
      <c r="B242" s="114">
        <f>_xlfn.IFNA(VLOOKUP(Table1[[#This Row],[SKU]],'Kilter Holds'!$P$36:$S$370,4,0),0)</f>
        <v>0</v>
      </c>
      <c r="C242" s="115">
        <v>1</v>
      </c>
      <c r="D242" s="117">
        <v>0</v>
      </c>
      <c r="E242" s="117">
        <v>0</v>
      </c>
      <c r="F242" s="117">
        <v>0</v>
      </c>
      <c r="G242" s="117">
        <v>0</v>
      </c>
      <c r="H242" s="117">
        <v>0</v>
      </c>
      <c r="I242" s="117">
        <v>0</v>
      </c>
      <c r="J242" s="117">
        <v>0</v>
      </c>
      <c r="K242" s="117">
        <v>0</v>
      </c>
      <c r="L242" s="123">
        <v>0</v>
      </c>
      <c r="M242" s="117">
        <v>0</v>
      </c>
      <c r="N242" s="117">
        <v>0</v>
      </c>
      <c r="O242" s="117">
        <v>0</v>
      </c>
      <c r="P242" s="117">
        <f>Table1[[#This Row],[Quantity of Sets]]*1</f>
        <v>0</v>
      </c>
      <c r="Q242" s="117">
        <f>Table1[[#This Row],[Quantity of Sets]]*8</f>
        <v>0</v>
      </c>
      <c r="R242" s="117">
        <v>0</v>
      </c>
      <c r="S242" s="594">
        <v>0</v>
      </c>
      <c r="T242" s="119">
        <v>0</v>
      </c>
      <c r="U242" s="119">
        <v>0</v>
      </c>
      <c r="V242" s="119" t="str">
        <f t="shared" si="10"/>
        <v xml:space="preserve"> </v>
      </c>
    </row>
    <row r="243" spans="1:22" hidden="1">
      <c r="A243" s="455" t="s">
        <v>2229</v>
      </c>
      <c r="B243" s="114">
        <f>_xlfn.IFNA(VLOOKUP(Table1[[#This Row],[SKU]],'Kilter Holds'!$P$36:$S$370,4,0),0)</f>
        <v>0</v>
      </c>
      <c r="C243" s="115">
        <v>10</v>
      </c>
      <c r="D243" s="117">
        <f>Table1[[#This Row],[Quantity of Sets]]*10</f>
        <v>0</v>
      </c>
      <c r="E243" s="117">
        <v>0</v>
      </c>
      <c r="F243" s="117">
        <v>0</v>
      </c>
      <c r="G243" s="117">
        <v>0</v>
      </c>
      <c r="H243" s="117">
        <v>0</v>
      </c>
      <c r="I243" s="117">
        <v>0</v>
      </c>
      <c r="J243" s="117">
        <v>0</v>
      </c>
      <c r="K243" s="117">
        <v>0</v>
      </c>
      <c r="L243" s="123">
        <v>0</v>
      </c>
      <c r="M243" s="117">
        <v>0</v>
      </c>
      <c r="N243" s="117">
        <v>0</v>
      </c>
      <c r="O243" s="117">
        <v>0</v>
      </c>
      <c r="P243" s="117">
        <v>0</v>
      </c>
      <c r="Q243" s="117">
        <f>Table1[[#This Row],[Quantity of Sets]]*22</f>
        <v>0</v>
      </c>
      <c r="R243" s="117">
        <v>0</v>
      </c>
      <c r="S243" s="594">
        <v>0</v>
      </c>
      <c r="T243" s="119">
        <v>0</v>
      </c>
      <c r="U243" s="119">
        <v>0</v>
      </c>
      <c r="V243" s="119" t="str">
        <f t="shared" si="10"/>
        <v xml:space="preserve"> </v>
      </c>
    </row>
    <row r="244" spans="1:22" hidden="1">
      <c r="A244" s="455" t="s">
        <v>2231</v>
      </c>
      <c r="B244" s="114">
        <f>_xlfn.IFNA(VLOOKUP(Table1[[#This Row],[SKU]],'Kilter Holds'!$P$36:$S$370,4,0),0)</f>
        <v>0</v>
      </c>
      <c r="C244" s="115">
        <v>10</v>
      </c>
      <c r="D244" s="117">
        <v>0</v>
      </c>
      <c r="E244" s="117">
        <v>0</v>
      </c>
      <c r="F244" s="117">
        <v>0</v>
      </c>
      <c r="G244" s="117">
        <v>0</v>
      </c>
      <c r="H244" s="117">
        <v>0</v>
      </c>
      <c r="I244" s="117">
        <v>0</v>
      </c>
      <c r="J244" s="117">
        <v>0</v>
      </c>
      <c r="K244" s="117">
        <v>0</v>
      </c>
      <c r="L244" s="123">
        <v>0</v>
      </c>
      <c r="M244" s="117">
        <v>0</v>
      </c>
      <c r="N244" s="117">
        <v>0</v>
      </c>
      <c r="O244" s="117">
        <v>0</v>
      </c>
      <c r="P244" s="117">
        <v>0</v>
      </c>
      <c r="Q244" s="117">
        <f>Table1[[#This Row],[Quantity of Sets]]*28</f>
        <v>0</v>
      </c>
      <c r="R244" s="117">
        <v>0</v>
      </c>
      <c r="S244" s="594">
        <v>0</v>
      </c>
      <c r="T244" s="119">
        <v>0</v>
      </c>
      <c r="U244" s="119">
        <v>0</v>
      </c>
      <c r="V244" s="119" t="str">
        <f t="shared" si="10"/>
        <v xml:space="preserve"> </v>
      </c>
    </row>
    <row r="245" spans="1:22" hidden="1">
      <c r="A245" s="455" t="s">
        <v>2233</v>
      </c>
      <c r="B245" s="114">
        <f>_xlfn.IFNA(VLOOKUP(Table1[[#This Row],[SKU]],'Kilter Holds'!$P$36:$S$370,4,0),0)</f>
        <v>0</v>
      </c>
      <c r="C245" s="115">
        <v>10</v>
      </c>
      <c r="D245" s="117">
        <f>Table1[[#This Row],[Quantity of Sets]]*10</f>
        <v>0</v>
      </c>
      <c r="E245" s="117">
        <v>0</v>
      </c>
      <c r="F245" s="117">
        <v>0</v>
      </c>
      <c r="G245" s="117">
        <v>0</v>
      </c>
      <c r="H245" s="117">
        <v>0</v>
      </c>
      <c r="I245" s="117">
        <v>0</v>
      </c>
      <c r="J245" s="117">
        <v>0</v>
      </c>
      <c r="K245" s="117">
        <v>0</v>
      </c>
      <c r="L245" s="123">
        <v>0</v>
      </c>
      <c r="M245" s="117">
        <v>0</v>
      </c>
      <c r="N245" s="117">
        <v>0</v>
      </c>
      <c r="O245" s="117">
        <v>0</v>
      </c>
      <c r="P245" s="117">
        <v>0</v>
      </c>
      <c r="Q245" s="117">
        <f>Table1[[#This Row],[Quantity of Sets]]*25</f>
        <v>0</v>
      </c>
      <c r="R245" s="117">
        <v>0</v>
      </c>
      <c r="S245" s="594">
        <v>0</v>
      </c>
      <c r="T245" s="119">
        <v>0</v>
      </c>
      <c r="U245" s="119">
        <v>0</v>
      </c>
      <c r="V245" s="119" t="str">
        <f t="shared" si="10"/>
        <v xml:space="preserve"> </v>
      </c>
    </row>
    <row r="246" spans="1:22" hidden="1">
      <c r="A246" s="455" t="s">
        <v>2415</v>
      </c>
      <c r="B246" s="114">
        <f>_xlfn.IFNA(VLOOKUP(Table1[[#This Row],[SKU]],'Kilter Holds'!$P$36:$S$370,4,0),0)</f>
        <v>0</v>
      </c>
      <c r="C246" s="115">
        <v>3</v>
      </c>
      <c r="D246" s="117">
        <v>0</v>
      </c>
      <c r="E246" s="117">
        <v>0</v>
      </c>
      <c r="F246" s="117">
        <v>0</v>
      </c>
      <c r="G246" s="117">
        <v>0</v>
      </c>
      <c r="H246" s="117">
        <v>0</v>
      </c>
      <c r="I246" s="117">
        <v>0</v>
      </c>
      <c r="J246" s="117">
        <v>0</v>
      </c>
      <c r="K246" s="117">
        <v>0</v>
      </c>
      <c r="L246" s="123">
        <v>0</v>
      </c>
      <c r="M246" s="117">
        <v>0</v>
      </c>
      <c r="N246" s="117">
        <v>0</v>
      </c>
      <c r="O246" s="117">
        <v>0</v>
      </c>
      <c r="P246" s="117">
        <v>0</v>
      </c>
      <c r="Q246" s="117">
        <f>17*Table1[[#This Row],[Quantity of Sets]]</f>
        <v>0</v>
      </c>
      <c r="R246" s="117">
        <v>0</v>
      </c>
      <c r="S246" s="594">
        <v>0</v>
      </c>
      <c r="T246" s="119">
        <v>0</v>
      </c>
      <c r="U246" s="119">
        <v>0</v>
      </c>
      <c r="V246" s="119" t="str">
        <f>IF(B246&gt;0,"Added"," ")</f>
        <v xml:space="preserve"> </v>
      </c>
    </row>
    <row r="247" spans="1:22" hidden="1">
      <c r="A247" s="455" t="s">
        <v>2353</v>
      </c>
      <c r="B247" s="114">
        <f>_xlfn.IFNA(VLOOKUP(Table1[[#This Row],[SKU]],'Kilter Holds'!$P$36:$S$370,4,0),0)</f>
        <v>0</v>
      </c>
      <c r="C247" s="115">
        <v>3</v>
      </c>
      <c r="D247" s="117">
        <v>0</v>
      </c>
      <c r="E247" s="117">
        <v>0</v>
      </c>
      <c r="F247" s="117">
        <v>0</v>
      </c>
      <c r="G247" s="117">
        <v>0</v>
      </c>
      <c r="H247" s="117">
        <v>0</v>
      </c>
      <c r="I247" s="117">
        <v>0</v>
      </c>
      <c r="J247" s="117">
        <v>0</v>
      </c>
      <c r="K247" s="117">
        <v>0</v>
      </c>
      <c r="L247" s="123">
        <v>0</v>
      </c>
      <c r="M247" s="117">
        <f>2*Table1[[#This Row],[Quantity of Sets]]</f>
        <v>0</v>
      </c>
      <c r="N247" s="117">
        <v>0</v>
      </c>
      <c r="O247" s="117">
        <v>0</v>
      </c>
      <c r="P247" s="117">
        <f>1*Table1[[#This Row],[Quantity of Sets]]</f>
        <v>0</v>
      </c>
      <c r="Q247" s="117">
        <f>21*Table1[[#This Row],[Quantity of Sets]]</f>
        <v>0</v>
      </c>
      <c r="R247" s="117">
        <f>1*Table1[[#This Row],[Quantity of Sets]]</f>
        <v>0</v>
      </c>
      <c r="S247" s="594">
        <v>0</v>
      </c>
      <c r="T247" s="119">
        <v>0</v>
      </c>
      <c r="U247" s="119">
        <v>0</v>
      </c>
      <c r="V247" s="119" t="str">
        <f>IF(B247&gt;0,"Added"," ")</f>
        <v xml:space="preserve"> </v>
      </c>
    </row>
    <row r="248" spans="1:22" hidden="1">
      <c r="A248" s="455" t="s">
        <v>2239</v>
      </c>
      <c r="B248" s="114">
        <f>_xlfn.IFNA(VLOOKUP(Table1[[#This Row],[SKU]],'Kilter Holds'!$P$36:$S$370,4,0),0)</f>
        <v>0</v>
      </c>
      <c r="C248" s="115">
        <v>10</v>
      </c>
      <c r="D248" s="117">
        <f>Table1[[#This Row],[Quantity of Sets]]*10</f>
        <v>0</v>
      </c>
      <c r="E248" s="117">
        <v>0</v>
      </c>
      <c r="F248" s="117">
        <v>0</v>
      </c>
      <c r="G248" s="117">
        <v>0</v>
      </c>
      <c r="H248" s="117">
        <v>0</v>
      </c>
      <c r="I248" s="117">
        <v>0</v>
      </c>
      <c r="J248" s="117">
        <v>0</v>
      </c>
      <c r="K248" s="117">
        <v>0</v>
      </c>
      <c r="L248" s="123">
        <v>0</v>
      </c>
      <c r="M248" s="117">
        <v>0</v>
      </c>
      <c r="N248" s="117">
        <v>0</v>
      </c>
      <c r="O248" s="117">
        <v>0</v>
      </c>
      <c r="P248" s="117">
        <v>0</v>
      </c>
      <c r="Q248" s="117">
        <f>Table1[[#This Row],[Quantity of Sets]]*10</f>
        <v>0</v>
      </c>
      <c r="R248" s="117">
        <v>0</v>
      </c>
      <c r="S248" s="594">
        <v>0</v>
      </c>
      <c r="T248" s="119">
        <v>0</v>
      </c>
      <c r="U248" s="119">
        <v>0</v>
      </c>
      <c r="V248" s="119" t="str">
        <f t="shared" si="10"/>
        <v xml:space="preserve"> </v>
      </c>
    </row>
    <row r="249" spans="1:22" hidden="1">
      <c r="A249" s="455" t="s">
        <v>2312</v>
      </c>
      <c r="B249" s="114">
        <f>_xlfn.IFNA(VLOOKUP(Table1[[#This Row],[SKU]],'Kilter Holds'!$P$36:$S$370,4,0),0)</f>
        <v>0</v>
      </c>
      <c r="C249" s="115">
        <v>10</v>
      </c>
      <c r="D249" s="117">
        <f>10*Table1[[#This Row],[Quantity of Sets]]</f>
        <v>0</v>
      </c>
      <c r="E249" s="117">
        <v>0</v>
      </c>
      <c r="F249" s="117">
        <v>0</v>
      </c>
      <c r="G249" s="117">
        <v>0</v>
      </c>
      <c r="H249" s="117">
        <v>0</v>
      </c>
      <c r="I249" s="117">
        <v>0</v>
      </c>
      <c r="J249" s="117">
        <v>0</v>
      </c>
      <c r="K249" s="117">
        <v>0</v>
      </c>
      <c r="L249" s="123">
        <v>0</v>
      </c>
      <c r="M249" s="117">
        <v>0</v>
      </c>
      <c r="N249" s="117">
        <v>0</v>
      </c>
      <c r="O249" s="117">
        <v>0</v>
      </c>
      <c r="P249" s="117">
        <v>0</v>
      </c>
      <c r="Q249" s="117">
        <f>20*Table1[[#This Row],[Quantity of Sets]]</f>
        <v>0</v>
      </c>
      <c r="R249" s="117">
        <v>0</v>
      </c>
      <c r="S249" s="594">
        <v>0</v>
      </c>
      <c r="T249" s="119">
        <v>0</v>
      </c>
      <c r="U249" s="119">
        <v>0</v>
      </c>
      <c r="V249" s="119" t="str">
        <f t="shared" ref="V249:V316" si="11">IF(B249&gt;0,"Added"," ")</f>
        <v xml:space="preserve"> </v>
      </c>
    </row>
    <row r="250" spans="1:22" hidden="1">
      <c r="A250" s="455" t="s">
        <v>2313</v>
      </c>
      <c r="B250" s="114">
        <f>_xlfn.IFNA(VLOOKUP(Table1[[#This Row],[SKU]],'Kilter Holds'!$P$36:$S$370,4,0),0)</f>
        <v>0</v>
      </c>
      <c r="C250" s="115">
        <v>4</v>
      </c>
      <c r="D250" s="117">
        <v>0</v>
      </c>
      <c r="E250" s="117">
        <v>0</v>
      </c>
      <c r="F250" s="117">
        <v>0</v>
      </c>
      <c r="G250" s="117">
        <f>3*Table1[[#This Row],[Quantity of Sets]]</f>
        <v>0</v>
      </c>
      <c r="H250" s="117">
        <f>1*Table1[[#This Row],[Quantity of Sets]]</f>
        <v>0</v>
      </c>
      <c r="I250" s="117">
        <v>0</v>
      </c>
      <c r="J250" s="117">
        <v>0</v>
      </c>
      <c r="K250" s="117">
        <v>0</v>
      </c>
      <c r="L250" s="123">
        <v>0</v>
      </c>
      <c r="M250" s="117">
        <v>0</v>
      </c>
      <c r="N250" s="117">
        <v>0</v>
      </c>
      <c r="O250" s="117">
        <v>0</v>
      </c>
      <c r="P250" s="117">
        <v>0</v>
      </c>
      <c r="Q250" s="117">
        <f>24*Table1[[#This Row],[Quantity of Sets]]</f>
        <v>0</v>
      </c>
      <c r="R250" s="117">
        <v>0</v>
      </c>
      <c r="S250" s="594">
        <v>0</v>
      </c>
      <c r="T250" s="119">
        <v>0</v>
      </c>
      <c r="U250" s="119">
        <v>0</v>
      </c>
      <c r="V250" s="119" t="str">
        <f t="shared" si="11"/>
        <v xml:space="preserve"> </v>
      </c>
    </row>
    <row r="251" spans="1:22" hidden="1">
      <c r="A251" s="455" t="s">
        <v>2355</v>
      </c>
      <c r="B251" s="114">
        <f>_xlfn.IFNA(VLOOKUP(Table1[[#This Row],[SKU]],'Kilter Holds'!$P$36:$S$370,4,0),0)</f>
        <v>0</v>
      </c>
      <c r="C251" s="115">
        <v>3</v>
      </c>
      <c r="D251" s="117">
        <v>0</v>
      </c>
      <c r="E251" s="117">
        <v>0</v>
      </c>
      <c r="F251" s="117">
        <v>0</v>
      </c>
      <c r="G251" s="117">
        <f>1*Table1[[#This Row],[Quantity of Sets]]</f>
        <v>0</v>
      </c>
      <c r="H251" s="117">
        <f>1*Table1[[#This Row],[Quantity of Sets]]</f>
        <v>0</v>
      </c>
      <c r="I251" s="117">
        <f>1*Table1[[#This Row],[Quantity of Sets]]</f>
        <v>0</v>
      </c>
      <c r="J251" s="117">
        <v>0</v>
      </c>
      <c r="K251" s="117">
        <v>0</v>
      </c>
      <c r="L251" s="123">
        <v>0</v>
      </c>
      <c r="M251" s="117">
        <v>0</v>
      </c>
      <c r="N251" s="117">
        <v>0</v>
      </c>
      <c r="O251" s="117">
        <v>0</v>
      </c>
      <c r="P251" s="117">
        <v>0</v>
      </c>
      <c r="Q251" s="117">
        <f>18*Table1[[#This Row],[Quantity of Sets]]</f>
        <v>0</v>
      </c>
      <c r="R251" s="117">
        <v>0</v>
      </c>
      <c r="S251" s="594">
        <v>0</v>
      </c>
      <c r="T251" s="119">
        <v>0</v>
      </c>
      <c r="U251" s="119">
        <v>0</v>
      </c>
      <c r="V251" s="119" t="str">
        <f t="shared" si="11"/>
        <v xml:space="preserve"> </v>
      </c>
    </row>
    <row r="252" spans="1:22" hidden="1">
      <c r="A252" s="455" t="s">
        <v>2357</v>
      </c>
      <c r="B252" s="114">
        <f>_xlfn.IFNA(VLOOKUP(Table1[[#This Row],[SKU]],'Kilter Holds'!$P$36:$S$370,4,0),0)</f>
        <v>0</v>
      </c>
      <c r="C252" s="115">
        <v>3</v>
      </c>
      <c r="D252" s="117">
        <v>0</v>
      </c>
      <c r="E252" s="117">
        <v>0</v>
      </c>
      <c r="F252" s="117">
        <v>0</v>
      </c>
      <c r="G252" s="117">
        <f>1*Table1[[#This Row],[Quantity of Sets]]</f>
        <v>0</v>
      </c>
      <c r="H252" s="117">
        <f>1*Table1[[#This Row],[Quantity of Sets]]</f>
        <v>0</v>
      </c>
      <c r="I252" s="117">
        <f>1*Table1[[#This Row],[Quantity of Sets]]</f>
        <v>0</v>
      </c>
      <c r="J252" s="117">
        <v>0</v>
      </c>
      <c r="K252" s="117">
        <v>0</v>
      </c>
      <c r="L252" s="123">
        <v>0</v>
      </c>
      <c r="M252" s="117">
        <v>0</v>
      </c>
      <c r="N252" s="117">
        <v>0</v>
      </c>
      <c r="O252" s="117">
        <v>0</v>
      </c>
      <c r="P252" s="117">
        <v>0</v>
      </c>
      <c r="Q252" s="117">
        <f>18*Table1[[#This Row],[Quantity of Sets]]</f>
        <v>0</v>
      </c>
      <c r="R252" s="117">
        <v>0</v>
      </c>
      <c r="S252" s="594">
        <v>0</v>
      </c>
      <c r="T252" s="119">
        <v>0</v>
      </c>
      <c r="U252" s="119">
        <v>0</v>
      </c>
      <c r="V252" s="119" t="str">
        <f t="shared" si="11"/>
        <v xml:space="preserve"> </v>
      </c>
    </row>
    <row r="253" spans="1:22" hidden="1">
      <c r="A253" s="455" t="s">
        <v>2352</v>
      </c>
      <c r="B253" s="114">
        <f>_xlfn.IFNA(VLOOKUP(Table1[[#This Row],[SKU]],'Kilter Holds'!$P$36:$S$370,4,0),0)</f>
        <v>0</v>
      </c>
      <c r="C253" s="115">
        <v>5</v>
      </c>
      <c r="D253" s="117">
        <v>0</v>
      </c>
      <c r="E253" s="117">
        <f>1*Table1[[#This Row],[Quantity of Sets]]</f>
        <v>0</v>
      </c>
      <c r="F253" s="117">
        <f>4*Table1[[#This Row],[Quantity of Sets]]</f>
        <v>0</v>
      </c>
      <c r="G253" s="117">
        <v>0</v>
      </c>
      <c r="H253" s="117">
        <v>0</v>
      </c>
      <c r="I253" s="117">
        <v>0</v>
      </c>
      <c r="J253" s="117">
        <v>0</v>
      </c>
      <c r="K253" s="117">
        <v>0</v>
      </c>
      <c r="L253" s="123">
        <v>0</v>
      </c>
      <c r="M253" s="117">
        <v>0</v>
      </c>
      <c r="N253" s="117">
        <v>0</v>
      </c>
      <c r="O253" s="117">
        <v>0</v>
      </c>
      <c r="P253" s="117">
        <v>0</v>
      </c>
      <c r="Q253" s="117">
        <v>0</v>
      </c>
      <c r="R253" s="117">
        <f>30*Table1[[#This Row],[Quantity of Sets]]</f>
        <v>0</v>
      </c>
      <c r="S253" s="594">
        <v>0</v>
      </c>
      <c r="T253" s="119">
        <v>0</v>
      </c>
      <c r="U253" s="119">
        <v>0</v>
      </c>
      <c r="V253" s="119" t="str">
        <f t="shared" si="11"/>
        <v xml:space="preserve"> </v>
      </c>
    </row>
    <row r="254" spans="1:22" hidden="1">
      <c r="A254" s="455" t="s">
        <v>2455</v>
      </c>
      <c r="B254" s="114">
        <f>_xlfn.IFNA(VLOOKUP(Table1[[#This Row],[SKU]],'Kilter Holds'!$P$36:$S$370,4,0),0)</f>
        <v>0</v>
      </c>
      <c r="C254" s="115">
        <v>4</v>
      </c>
      <c r="D254" s="117">
        <v>0</v>
      </c>
      <c r="E254" s="117">
        <v>0</v>
      </c>
      <c r="F254" s="117">
        <v>0</v>
      </c>
      <c r="G254" s="117">
        <v>0</v>
      </c>
      <c r="H254" s="117">
        <f>3*Table1[[#This Row],[Quantity of Sets]]</f>
        <v>0</v>
      </c>
      <c r="I254" s="117">
        <f>1*Table1[[#This Row],[Quantity of Sets]]</f>
        <v>0</v>
      </c>
      <c r="J254" s="117">
        <v>0</v>
      </c>
      <c r="K254" s="117">
        <v>0</v>
      </c>
      <c r="L254" s="123">
        <v>0</v>
      </c>
      <c r="M254" s="117">
        <v>0</v>
      </c>
      <c r="N254" s="117">
        <v>0</v>
      </c>
      <c r="O254" s="117">
        <v>0</v>
      </c>
      <c r="P254" s="117">
        <v>0</v>
      </c>
      <c r="Q254" s="117">
        <f>23*Table1[[#This Row],[Quantity of Sets]]</f>
        <v>0</v>
      </c>
      <c r="R254" s="117">
        <f>6*Table1[[#This Row],[Quantity of Sets]]</f>
        <v>0</v>
      </c>
      <c r="S254" s="594">
        <v>0</v>
      </c>
      <c r="T254" s="119">
        <v>0</v>
      </c>
      <c r="U254" s="119">
        <v>0</v>
      </c>
      <c r="V254" s="119" t="str">
        <f t="shared" si="11"/>
        <v xml:space="preserve"> </v>
      </c>
    </row>
    <row r="255" spans="1:22" hidden="1">
      <c r="A255" s="455" t="s">
        <v>2458</v>
      </c>
      <c r="B255" s="114">
        <f>_xlfn.IFNA(VLOOKUP(Table1[[#This Row],[SKU]],'Kilter Holds'!$P$36:$S$370,4,0),0)</f>
        <v>0</v>
      </c>
      <c r="C255" s="636">
        <v>5</v>
      </c>
      <c r="D255" s="117">
        <v>0</v>
      </c>
      <c r="E255" s="117">
        <f>3*Table1[[#This Row],[Quantity of Sets]]</f>
        <v>0</v>
      </c>
      <c r="F255" s="117">
        <f>2*Table1[[#This Row],[Quantity of Sets]]</f>
        <v>0</v>
      </c>
      <c r="G255" s="117">
        <v>0</v>
      </c>
      <c r="H255" s="117">
        <v>0</v>
      </c>
      <c r="I255" s="117">
        <v>0</v>
      </c>
      <c r="J255" s="117">
        <v>0</v>
      </c>
      <c r="K255" s="117">
        <v>0</v>
      </c>
      <c r="L255" s="123">
        <v>0</v>
      </c>
      <c r="M255" s="117">
        <v>0</v>
      </c>
      <c r="N255" s="117">
        <v>0</v>
      </c>
      <c r="O255" s="117">
        <v>0</v>
      </c>
      <c r="P255" s="117">
        <v>0</v>
      </c>
      <c r="Q255" s="117">
        <f>30*Table1[[#This Row],[Quantity of Sets]]</f>
        <v>0</v>
      </c>
      <c r="R255" s="117">
        <v>0</v>
      </c>
      <c r="S255" s="637">
        <v>0</v>
      </c>
      <c r="T255" s="124">
        <v>0</v>
      </c>
      <c r="U255" s="124">
        <v>0</v>
      </c>
      <c r="V255" s="119" t="str">
        <f t="shared" si="11"/>
        <v xml:space="preserve"> </v>
      </c>
    </row>
    <row r="256" spans="1:22" hidden="1">
      <c r="A256" s="455" t="s">
        <v>2493</v>
      </c>
      <c r="B256" s="114">
        <f>_xlfn.IFNA(VLOOKUP(Table1[[#This Row],[SKU]],'Kilter Holds'!$P$36:$S$370,4,0),0)</f>
        <v>0</v>
      </c>
      <c r="C256" s="636">
        <v>4</v>
      </c>
      <c r="D256" s="117">
        <v>0</v>
      </c>
      <c r="E256" s="117">
        <v>0</v>
      </c>
      <c r="F256" s="117">
        <v>0</v>
      </c>
      <c r="G256" s="117">
        <v>0</v>
      </c>
      <c r="H256" s="117">
        <v>0</v>
      </c>
      <c r="I256" s="117">
        <v>0</v>
      </c>
      <c r="J256" s="117">
        <v>0</v>
      </c>
      <c r="K256" s="117">
        <v>0</v>
      </c>
      <c r="L256" s="117">
        <v>0</v>
      </c>
      <c r="M256" s="117">
        <v>0</v>
      </c>
      <c r="N256" s="117">
        <v>0</v>
      </c>
      <c r="O256" s="117">
        <v>0</v>
      </c>
      <c r="P256" s="117">
        <v>0</v>
      </c>
      <c r="Q256" s="117">
        <f>17*Table1[[#This Row],[Quantity of Sets]]</f>
        <v>0</v>
      </c>
      <c r="R256" s="117">
        <v>0</v>
      </c>
      <c r="S256" s="637">
        <v>0</v>
      </c>
      <c r="T256" s="124">
        <v>0</v>
      </c>
      <c r="U256" s="124">
        <v>0</v>
      </c>
      <c r="V256" s="119" t="str">
        <f t="shared" ref="V256:V259" si="12">IF(B256&gt;0,"Added"," ")</f>
        <v xml:space="preserve"> </v>
      </c>
    </row>
    <row r="257" spans="1:22" hidden="1">
      <c r="A257" s="455" t="s">
        <v>2494</v>
      </c>
      <c r="B257" s="114">
        <f>_xlfn.IFNA(VLOOKUP(Table1[[#This Row],[SKU]],'Kilter Holds'!$P$36:$S$370,4,0),0)</f>
        <v>0</v>
      </c>
      <c r="C257" s="636">
        <v>4</v>
      </c>
      <c r="D257" s="117">
        <v>0</v>
      </c>
      <c r="E257" s="117">
        <v>0</v>
      </c>
      <c r="F257" s="117">
        <f>2*Table1[[#This Row],[Quantity of Sets]]</f>
        <v>0</v>
      </c>
      <c r="G257" s="117">
        <f>2*Table1[[#This Row],[Quantity of Sets]]</f>
        <v>0</v>
      </c>
      <c r="H257" s="117">
        <v>0</v>
      </c>
      <c r="I257" s="117">
        <v>0</v>
      </c>
      <c r="J257" s="117">
        <v>0</v>
      </c>
      <c r="K257" s="117">
        <v>0</v>
      </c>
      <c r="L257" s="117">
        <v>0</v>
      </c>
      <c r="M257" s="117">
        <v>0</v>
      </c>
      <c r="N257" s="117">
        <v>0</v>
      </c>
      <c r="O257" s="117">
        <v>0</v>
      </c>
      <c r="P257" s="117">
        <v>0</v>
      </c>
      <c r="Q257" s="117">
        <f>29*Table1[[#This Row],[Quantity of Sets]]</f>
        <v>0</v>
      </c>
      <c r="R257" s="117">
        <v>0</v>
      </c>
      <c r="S257" s="117">
        <v>0</v>
      </c>
      <c r="T257" s="117">
        <v>0</v>
      </c>
      <c r="U257" s="117">
        <v>0</v>
      </c>
      <c r="V257" s="119" t="str">
        <f t="shared" si="12"/>
        <v xml:space="preserve"> </v>
      </c>
    </row>
    <row r="258" spans="1:22" hidden="1">
      <c r="A258" s="455" t="s">
        <v>2495</v>
      </c>
      <c r="B258" s="114">
        <f>_xlfn.IFNA(VLOOKUP(Table1[[#This Row],[SKU]],'Kilter Holds'!$P$36:$S$370,4,0),0)</f>
        <v>0</v>
      </c>
      <c r="C258" s="636">
        <v>5</v>
      </c>
      <c r="D258" s="117">
        <v>0</v>
      </c>
      <c r="E258" s="117">
        <v>0</v>
      </c>
      <c r="F258" s="117">
        <v>0</v>
      </c>
      <c r="G258" s="117">
        <v>0</v>
      </c>
      <c r="H258" s="117">
        <v>0</v>
      </c>
      <c r="I258" s="117">
        <v>0</v>
      </c>
      <c r="J258" s="117">
        <v>0</v>
      </c>
      <c r="K258" s="117">
        <v>0</v>
      </c>
      <c r="L258" s="117">
        <v>0</v>
      </c>
      <c r="M258" s="117">
        <v>0</v>
      </c>
      <c r="N258" s="117">
        <v>0</v>
      </c>
      <c r="O258" s="117">
        <v>0</v>
      </c>
      <c r="P258" s="117">
        <v>0</v>
      </c>
      <c r="Q258" s="117">
        <f>20*Table1[[#This Row],[Quantity of Sets]]</f>
        <v>0</v>
      </c>
      <c r="R258" s="117">
        <v>0</v>
      </c>
      <c r="S258" s="117">
        <v>0</v>
      </c>
      <c r="T258" s="117">
        <v>0</v>
      </c>
      <c r="U258" s="117">
        <v>0</v>
      </c>
      <c r="V258" s="119" t="str">
        <f t="shared" si="12"/>
        <v xml:space="preserve"> </v>
      </c>
    </row>
    <row r="259" spans="1:22" hidden="1">
      <c r="A259" s="455" t="s">
        <v>2496</v>
      </c>
      <c r="B259" s="114">
        <f>_xlfn.IFNA(VLOOKUP(Table1[[#This Row],[SKU]],'Kilter Holds'!$P$36:$S$370,4,0),0)</f>
        <v>0</v>
      </c>
      <c r="C259" s="636">
        <v>5</v>
      </c>
      <c r="D259" s="117">
        <v>0</v>
      </c>
      <c r="E259" s="117">
        <v>0</v>
      </c>
      <c r="F259" s="117">
        <v>0</v>
      </c>
      <c r="G259" s="117">
        <v>0</v>
      </c>
      <c r="H259" s="117">
        <v>0</v>
      </c>
      <c r="I259" s="117">
        <v>0</v>
      </c>
      <c r="J259" s="117">
        <v>0</v>
      </c>
      <c r="K259" s="117">
        <v>0</v>
      </c>
      <c r="L259" s="117">
        <v>0</v>
      </c>
      <c r="M259" s="117">
        <v>0</v>
      </c>
      <c r="N259" s="117">
        <v>0</v>
      </c>
      <c r="O259" s="117">
        <v>0</v>
      </c>
      <c r="P259" s="117">
        <v>0</v>
      </c>
      <c r="Q259" s="117">
        <f>17*Table1[[#This Row],[Quantity of Sets]]</f>
        <v>0</v>
      </c>
      <c r="R259" s="117">
        <v>0</v>
      </c>
      <c r="S259" s="117">
        <v>0</v>
      </c>
      <c r="T259" s="117">
        <v>0</v>
      </c>
      <c r="U259" s="117">
        <v>0</v>
      </c>
      <c r="V259" s="119" t="str">
        <f t="shared" si="12"/>
        <v xml:space="preserve"> </v>
      </c>
    </row>
    <row r="260" spans="1:22" hidden="1">
      <c r="A260" s="455" t="s">
        <v>2525</v>
      </c>
      <c r="B260" s="114">
        <f>_xlfn.IFNA(VLOOKUP(Table1[[#This Row],[SKU]],'Kilter Holds'!$P$36:$S$370,4,0),0)</f>
        <v>0</v>
      </c>
      <c r="C260" s="636">
        <v>5</v>
      </c>
      <c r="D260" s="117">
        <v>0</v>
      </c>
      <c r="E260" s="117">
        <f>1*Table1[[#This Row],[Quantity of Sets]]</f>
        <v>0</v>
      </c>
      <c r="F260" s="117">
        <f>1*Table1[[#This Row],[Quantity of Sets]]</f>
        <v>0</v>
      </c>
      <c r="G260" s="117">
        <f>2*Table1[[#This Row],[Quantity of Sets]]</f>
        <v>0</v>
      </c>
      <c r="H260" s="117">
        <v>0</v>
      </c>
      <c r="I260" s="117">
        <f>1*Table1[[#This Row],[Quantity of Sets]]</f>
        <v>0</v>
      </c>
      <c r="J260" s="117">
        <v>0</v>
      </c>
      <c r="K260" s="117">
        <v>0</v>
      </c>
      <c r="L260" s="117">
        <v>0</v>
      </c>
      <c r="M260" s="117">
        <v>0</v>
      </c>
      <c r="N260" s="117">
        <v>0</v>
      </c>
      <c r="O260" s="117">
        <v>0</v>
      </c>
      <c r="P260" s="117">
        <v>0</v>
      </c>
      <c r="Q260" s="117">
        <v>0</v>
      </c>
      <c r="R260" s="117">
        <v>0</v>
      </c>
      <c r="S260" s="117">
        <v>0</v>
      </c>
      <c r="T260" s="117">
        <v>0</v>
      </c>
      <c r="U260" s="117">
        <v>0</v>
      </c>
      <c r="V260" s="119" t="str">
        <f t="shared" ref="V260:V297" si="13">IF(B260&gt;0,"Added"," ")</f>
        <v xml:space="preserve"> </v>
      </c>
    </row>
    <row r="261" spans="1:22" hidden="1">
      <c r="A261" s="455" t="s">
        <v>2522</v>
      </c>
      <c r="B261" s="114">
        <f>_xlfn.IFNA(VLOOKUP(Table1[[#This Row],[SKU]],'Kilter Holds'!$P$36:$S$370,4,0),0)</f>
        <v>0</v>
      </c>
      <c r="C261" s="636">
        <v>10</v>
      </c>
      <c r="D261" s="117">
        <f>10*Table1[[#This Row],[Quantity of Sets]]</f>
        <v>0</v>
      </c>
      <c r="E261" s="117">
        <v>0</v>
      </c>
      <c r="F261" s="117">
        <v>0</v>
      </c>
      <c r="G261" s="117">
        <v>0</v>
      </c>
      <c r="H261" s="117">
        <v>0</v>
      </c>
      <c r="I261" s="117">
        <v>0</v>
      </c>
      <c r="J261" s="117">
        <v>0</v>
      </c>
      <c r="K261" s="117">
        <v>0</v>
      </c>
      <c r="L261" s="117">
        <v>0</v>
      </c>
      <c r="M261" s="117">
        <v>0</v>
      </c>
      <c r="N261" s="117">
        <v>0</v>
      </c>
      <c r="O261" s="117">
        <v>0</v>
      </c>
      <c r="P261" s="117">
        <v>0</v>
      </c>
      <c r="Q261" s="117">
        <f>22*Table1[[#This Row],[Quantity of Sets]]</f>
        <v>0</v>
      </c>
      <c r="R261" s="117">
        <v>0</v>
      </c>
      <c r="S261" s="637">
        <v>0</v>
      </c>
      <c r="T261" s="637">
        <v>0</v>
      </c>
      <c r="U261" s="637">
        <v>0</v>
      </c>
      <c r="V261" s="119" t="str">
        <f t="shared" si="13"/>
        <v xml:space="preserve"> </v>
      </c>
    </row>
    <row r="262" spans="1:22" hidden="1">
      <c r="A262" s="455" t="s">
        <v>2523</v>
      </c>
      <c r="B262" s="114">
        <f>_xlfn.IFNA(VLOOKUP(Table1[[#This Row],[SKU]],'Kilter Holds'!$P$36:$S$370,4,0),0)</f>
        <v>0</v>
      </c>
      <c r="C262" s="636">
        <v>10</v>
      </c>
      <c r="D262" s="117">
        <f>10*Table1[[#This Row],[Quantity of Sets]]</f>
        <v>0</v>
      </c>
      <c r="E262" s="117">
        <v>0</v>
      </c>
      <c r="F262" s="117">
        <v>0</v>
      </c>
      <c r="G262" s="117">
        <v>0</v>
      </c>
      <c r="H262" s="117">
        <v>0</v>
      </c>
      <c r="I262" s="117">
        <v>0</v>
      </c>
      <c r="J262" s="117">
        <v>0</v>
      </c>
      <c r="K262" s="117">
        <v>0</v>
      </c>
      <c r="L262" s="117">
        <v>0</v>
      </c>
      <c r="M262" s="117">
        <v>0</v>
      </c>
      <c r="N262" s="117">
        <v>0</v>
      </c>
      <c r="O262" s="117">
        <v>0</v>
      </c>
      <c r="P262" s="117">
        <v>0</v>
      </c>
      <c r="Q262" s="117">
        <f>20*Table1[[#This Row],[Quantity of Sets]]</f>
        <v>0</v>
      </c>
      <c r="R262" s="117">
        <v>0</v>
      </c>
      <c r="S262" s="637">
        <v>0</v>
      </c>
      <c r="T262" s="637">
        <v>0</v>
      </c>
      <c r="U262" s="637">
        <v>0</v>
      </c>
      <c r="V262" s="119" t="str">
        <f t="shared" si="13"/>
        <v xml:space="preserve"> </v>
      </c>
    </row>
    <row r="263" spans="1:22" hidden="1">
      <c r="A263" s="455" t="s">
        <v>2520</v>
      </c>
      <c r="B263" s="114">
        <f>_xlfn.IFNA(VLOOKUP(Table1[[#This Row],[SKU]],'Kilter Holds'!$P$36:$S$370,4,0),0)</f>
        <v>0</v>
      </c>
      <c r="C263" s="636">
        <v>10</v>
      </c>
      <c r="D263" s="117">
        <v>0</v>
      </c>
      <c r="E263" s="117">
        <v>0</v>
      </c>
      <c r="F263" s="117">
        <v>0</v>
      </c>
      <c r="G263" s="117">
        <v>0</v>
      </c>
      <c r="H263" s="117">
        <v>0</v>
      </c>
      <c r="I263" s="117">
        <v>0</v>
      </c>
      <c r="J263" s="117">
        <v>0</v>
      </c>
      <c r="K263" s="117">
        <v>0</v>
      </c>
      <c r="L263" s="117">
        <v>0</v>
      </c>
      <c r="M263" s="117">
        <v>0</v>
      </c>
      <c r="N263" s="117">
        <v>0</v>
      </c>
      <c r="O263" s="117">
        <v>0</v>
      </c>
      <c r="P263" s="117">
        <v>0</v>
      </c>
      <c r="Q263" s="117">
        <f>20*Table1[[#This Row],[Quantity of Sets]]</f>
        <v>0</v>
      </c>
      <c r="R263" s="117">
        <v>0</v>
      </c>
      <c r="S263" s="637">
        <v>0</v>
      </c>
      <c r="T263" s="637">
        <v>0</v>
      </c>
      <c r="U263" s="637">
        <v>0</v>
      </c>
      <c r="V263" s="119" t="str">
        <f t="shared" si="13"/>
        <v xml:space="preserve"> </v>
      </c>
    </row>
    <row r="264" spans="1:22" hidden="1">
      <c r="A264" s="455" t="s">
        <v>2521</v>
      </c>
      <c r="B264" s="114">
        <f>_xlfn.IFNA(VLOOKUP(Table1[[#This Row],[SKU]],'Kilter Holds'!$P$36:$S$370,4,0),0)</f>
        <v>0</v>
      </c>
      <c r="C264" s="636">
        <v>10</v>
      </c>
      <c r="D264" s="117">
        <v>0</v>
      </c>
      <c r="E264" s="117">
        <v>0</v>
      </c>
      <c r="F264" s="117">
        <v>0</v>
      </c>
      <c r="G264" s="117">
        <v>0</v>
      </c>
      <c r="H264" s="117">
        <v>0</v>
      </c>
      <c r="I264" s="117">
        <v>0</v>
      </c>
      <c r="J264" s="117">
        <v>0</v>
      </c>
      <c r="K264" s="117">
        <v>0</v>
      </c>
      <c r="L264" s="117">
        <v>0</v>
      </c>
      <c r="M264" s="117">
        <v>0</v>
      </c>
      <c r="N264" s="117">
        <v>0</v>
      </c>
      <c r="O264" s="117">
        <v>0</v>
      </c>
      <c r="P264" s="117">
        <v>0</v>
      </c>
      <c r="Q264" s="117">
        <f>20*Table1[[#This Row],[Quantity of Sets]]</f>
        <v>0</v>
      </c>
      <c r="R264" s="117">
        <v>0</v>
      </c>
      <c r="S264" s="637">
        <v>0</v>
      </c>
      <c r="T264" s="637">
        <v>0</v>
      </c>
      <c r="U264" s="637">
        <v>0</v>
      </c>
      <c r="V264" s="119" t="str">
        <f t="shared" si="13"/>
        <v xml:space="preserve"> </v>
      </c>
    </row>
    <row r="265" spans="1:22" hidden="1">
      <c r="A265" s="455" t="s">
        <v>2542</v>
      </c>
      <c r="B265" s="114">
        <f>_xlfn.IFNA(VLOOKUP(Table1[[#This Row],[SKU]],'Kilter Holds'!$P$36:$S$370,4,0),0)</f>
        <v>0</v>
      </c>
      <c r="C265" s="636">
        <v>20</v>
      </c>
      <c r="D265" s="117">
        <f>10*Table1[[#This Row],[Quantity of Sets]]</f>
        <v>0</v>
      </c>
      <c r="E265" s="117">
        <v>0</v>
      </c>
      <c r="F265" s="117">
        <v>0</v>
      </c>
      <c r="G265" s="117">
        <v>0</v>
      </c>
      <c r="H265" s="117">
        <v>0</v>
      </c>
      <c r="I265" s="117">
        <v>0</v>
      </c>
      <c r="J265" s="117">
        <v>0</v>
      </c>
      <c r="K265" s="117">
        <v>0</v>
      </c>
      <c r="L265" s="117">
        <v>0</v>
      </c>
      <c r="M265" s="117">
        <v>0</v>
      </c>
      <c r="N265" s="117">
        <v>0</v>
      </c>
      <c r="O265" s="117">
        <v>0</v>
      </c>
      <c r="P265" s="117">
        <v>0</v>
      </c>
      <c r="Q265" s="117">
        <f>42*Table1[[#This Row],[Quantity of Sets]]</f>
        <v>0</v>
      </c>
      <c r="R265" s="117">
        <v>0</v>
      </c>
      <c r="S265" s="117">
        <v>0</v>
      </c>
      <c r="T265" s="117">
        <v>0</v>
      </c>
      <c r="U265" s="117">
        <v>0</v>
      </c>
      <c r="V265" s="119" t="str">
        <f>IF(B265&gt;0,"Added"," ")</f>
        <v xml:space="preserve"> </v>
      </c>
    </row>
    <row r="266" spans="1:22" hidden="1">
      <c r="A266" s="455" t="s">
        <v>2543</v>
      </c>
      <c r="B266" s="114">
        <f>_xlfn.IFNA(VLOOKUP(Table1[[#This Row],[SKU]],'Kilter Holds'!$P$36:$S$370,4,0),0)</f>
        <v>0</v>
      </c>
      <c r="C266" s="636">
        <v>20</v>
      </c>
      <c r="D266" s="117">
        <f>10*Table1[[#This Row],[Quantity of Sets]]</f>
        <v>0</v>
      </c>
      <c r="E266" s="117">
        <v>0</v>
      </c>
      <c r="F266" s="117">
        <v>0</v>
      </c>
      <c r="G266" s="117">
        <v>0</v>
      </c>
      <c r="H266" s="117">
        <v>0</v>
      </c>
      <c r="I266" s="117">
        <v>0</v>
      </c>
      <c r="J266" s="117">
        <v>0</v>
      </c>
      <c r="K266" s="117">
        <v>0</v>
      </c>
      <c r="L266" s="117">
        <v>0</v>
      </c>
      <c r="M266" s="117">
        <v>0</v>
      </c>
      <c r="N266" s="117">
        <v>0</v>
      </c>
      <c r="O266" s="117">
        <v>0</v>
      </c>
      <c r="P266" s="117">
        <v>0</v>
      </c>
      <c r="Q266" s="117">
        <f>40*Table1[[#This Row],[Quantity of Sets]]</f>
        <v>0</v>
      </c>
      <c r="R266" s="117">
        <v>0</v>
      </c>
      <c r="S266" s="117">
        <v>0</v>
      </c>
      <c r="T266" s="117">
        <v>0</v>
      </c>
      <c r="U266" s="117">
        <v>0</v>
      </c>
      <c r="V266" s="119" t="str">
        <f>IF(B266&gt;0,"Added"," ")</f>
        <v xml:space="preserve"> </v>
      </c>
    </row>
    <row r="267" spans="1:22" hidden="1">
      <c r="A267" s="455" t="s">
        <v>2549</v>
      </c>
      <c r="B267" s="114">
        <f>_xlfn.IFNA(VLOOKUP(Table1[[#This Row],[SKU]],'Kilter Holds'!$P$36:$S$370,4,0),0)</f>
        <v>0</v>
      </c>
      <c r="C267" s="636">
        <v>4</v>
      </c>
      <c r="D267" s="117">
        <v>0</v>
      </c>
      <c r="E267" s="117">
        <v>0</v>
      </c>
      <c r="F267" s="117">
        <v>0</v>
      </c>
      <c r="G267" s="117">
        <v>0</v>
      </c>
      <c r="H267" s="117">
        <v>0</v>
      </c>
      <c r="I267" s="117">
        <v>0</v>
      </c>
      <c r="J267" s="117">
        <v>0</v>
      </c>
      <c r="K267" s="117">
        <v>0</v>
      </c>
      <c r="L267" s="117">
        <v>0</v>
      </c>
      <c r="M267" s="117">
        <v>0</v>
      </c>
      <c r="N267" s="117">
        <v>0</v>
      </c>
      <c r="O267" s="117">
        <v>0</v>
      </c>
      <c r="P267" s="117">
        <v>0</v>
      </c>
      <c r="Q267" s="117">
        <v>0</v>
      </c>
      <c r="R267" s="117">
        <v>0</v>
      </c>
      <c r="S267" s="637">
        <f>18*Table1[[#This Row],[Quantity of Sets]]</f>
        <v>0</v>
      </c>
      <c r="T267" s="637">
        <v>0</v>
      </c>
      <c r="U267" s="637">
        <v>0</v>
      </c>
      <c r="V267" s="119" t="str">
        <f t="shared" ref="V267" si="14">IF(B267&gt;0,"Added"," ")</f>
        <v xml:space="preserve"> </v>
      </c>
    </row>
    <row r="268" spans="1:22" hidden="1">
      <c r="A268" s="455" t="s">
        <v>2600</v>
      </c>
      <c r="B268" s="114">
        <f>_xlfn.IFNA(VLOOKUP(Table1[[#This Row],[SKU]],'Kilter Holds'!$P$36:$S$370,4,0),0)</f>
        <v>0</v>
      </c>
      <c r="C268" s="636">
        <v>2</v>
      </c>
      <c r="D268" s="117">
        <v>0</v>
      </c>
      <c r="E268" s="117">
        <v>0</v>
      </c>
      <c r="F268" s="117">
        <v>0</v>
      </c>
      <c r="G268" s="117">
        <v>0</v>
      </c>
      <c r="H268" s="117">
        <v>0</v>
      </c>
      <c r="I268" s="117">
        <f>2*Table1[[#This Row],[Quantity of Sets]]</f>
        <v>0</v>
      </c>
      <c r="J268" s="117">
        <v>0</v>
      </c>
      <c r="K268" s="117">
        <v>0</v>
      </c>
      <c r="L268" s="117">
        <v>0</v>
      </c>
      <c r="M268" s="117">
        <v>0</v>
      </c>
      <c r="N268" s="117">
        <v>0</v>
      </c>
      <c r="O268" s="117">
        <v>0</v>
      </c>
      <c r="P268" s="117">
        <v>0</v>
      </c>
      <c r="Q268" s="117">
        <f>9*Table1[[#This Row],[Quantity of Sets]]</f>
        <v>0</v>
      </c>
      <c r="R268" s="117">
        <v>0</v>
      </c>
      <c r="S268" s="637">
        <v>0</v>
      </c>
      <c r="T268" s="637">
        <v>0</v>
      </c>
      <c r="U268" s="637">
        <v>0</v>
      </c>
      <c r="V268" s="119" t="str">
        <f t="shared" ref="V268:V273" si="15">IF(B268&gt;0,"Added"," ")</f>
        <v xml:space="preserve"> </v>
      </c>
    </row>
    <row r="269" spans="1:22" hidden="1">
      <c r="A269" s="455" t="s">
        <v>2602</v>
      </c>
      <c r="B269" s="114">
        <f>_xlfn.IFNA(VLOOKUP(Table1[[#This Row],[SKU]],'Kilter Holds'!$P$36:$S$370,4,0),0)</f>
        <v>0</v>
      </c>
      <c r="C269" s="636">
        <v>4</v>
      </c>
      <c r="D269" s="117">
        <v>0</v>
      </c>
      <c r="E269" s="117">
        <v>0</v>
      </c>
      <c r="F269" s="117">
        <v>0</v>
      </c>
      <c r="G269" s="117">
        <v>0</v>
      </c>
      <c r="H269" s="117">
        <v>0</v>
      </c>
      <c r="I269" s="117">
        <f>4*Table1[[#This Row],[Quantity of Sets]]</f>
        <v>0</v>
      </c>
      <c r="J269" s="117">
        <v>0</v>
      </c>
      <c r="K269" s="117">
        <v>0</v>
      </c>
      <c r="L269" s="117">
        <v>0</v>
      </c>
      <c r="M269" s="117">
        <v>0</v>
      </c>
      <c r="N269" s="117">
        <v>0</v>
      </c>
      <c r="O269" s="117">
        <v>0</v>
      </c>
      <c r="P269" s="117">
        <v>0</v>
      </c>
      <c r="Q269" s="117">
        <f>4*Table1[[#This Row],[Quantity of Sets]]</f>
        <v>0</v>
      </c>
      <c r="R269" s="117">
        <v>0</v>
      </c>
      <c r="S269" s="637">
        <v>0</v>
      </c>
      <c r="T269" s="637">
        <v>0</v>
      </c>
      <c r="U269" s="637">
        <v>0</v>
      </c>
      <c r="V269" s="119" t="str">
        <f t="shared" si="15"/>
        <v xml:space="preserve"> </v>
      </c>
    </row>
    <row r="270" spans="1:22" hidden="1">
      <c r="A270" s="455" t="s">
        <v>2604</v>
      </c>
      <c r="B270" s="114">
        <f>_xlfn.IFNA(VLOOKUP(Table1[[#This Row],[SKU]],'Kilter Holds'!$P$36:$S$370,4,0),0)</f>
        <v>0</v>
      </c>
      <c r="C270" s="636">
        <v>4</v>
      </c>
      <c r="D270" s="117">
        <v>0</v>
      </c>
      <c r="E270" s="117">
        <v>0</v>
      </c>
      <c r="F270" s="117">
        <v>0</v>
      </c>
      <c r="G270" s="117">
        <v>0</v>
      </c>
      <c r="H270" s="117">
        <f>3*Table1[[#This Row],[Quantity of Sets]]</f>
        <v>0</v>
      </c>
      <c r="I270" s="117">
        <v>0</v>
      </c>
      <c r="J270" s="117">
        <f>1*Table1[[#This Row],[Quantity of Sets]]</f>
        <v>0</v>
      </c>
      <c r="K270" s="117">
        <v>0</v>
      </c>
      <c r="L270" s="117">
        <v>0</v>
      </c>
      <c r="M270" s="117">
        <v>0</v>
      </c>
      <c r="N270" s="117">
        <v>0</v>
      </c>
      <c r="O270" s="117">
        <v>0</v>
      </c>
      <c r="P270" s="117">
        <v>0</v>
      </c>
      <c r="Q270" s="117">
        <v>0</v>
      </c>
      <c r="R270" s="117">
        <f>17*Table1[[#This Row],[Quantity of Sets]]</f>
        <v>0</v>
      </c>
      <c r="S270" s="637">
        <v>0</v>
      </c>
      <c r="T270" s="637">
        <v>0</v>
      </c>
      <c r="U270" s="637">
        <v>0</v>
      </c>
      <c r="V270" s="119" t="str">
        <f t="shared" si="15"/>
        <v xml:space="preserve"> </v>
      </c>
    </row>
    <row r="271" spans="1:22" hidden="1">
      <c r="A271" s="455" t="s">
        <v>2606</v>
      </c>
      <c r="B271" s="114">
        <f>_xlfn.IFNA(VLOOKUP(Table1[[#This Row],[SKU]],'Kilter Holds'!$P$36:$S$370,4,0),0)</f>
        <v>0</v>
      </c>
      <c r="C271" s="636">
        <v>5</v>
      </c>
      <c r="D271" s="117">
        <v>0</v>
      </c>
      <c r="E271" s="117">
        <f>4*Table1[[#This Row],[Quantity of Sets]]</f>
        <v>0</v>
      </c>
      <c r="F271" s="117">
        <v>0</v>
      </c>
      <c r="G271" s="117">
        <f>1*Table1[[#This Row],[Quantity of Sets]]</f>
        <v>0</v>
      </c>
      <c r="H271" s="117">
        <v>0</v>
      </c>
      <c r="I271" s="117">
        <v>0</v>
      </c>
      <c r="J271" s="117">
        <v>0</v>
      </c>
      <c r="K271" s="117">
        <v>0</v>
      </c>
      <c r="L271" s="117">
        <v>0</v>
      </c>
      <c r="M271" s="117">
        <v>0</v>
      </c>
      <c r="N271" s="117">
        <v>0</v>
      </c>
      <c r="O271" s="117">
        <v>0</v>
      </c>
      <c r="P271" s="117">
        <v>0</v>
      </c>
      <c r="Q271" s="117">
        <f>25*Table1[[#This Row],[Quantity of Sets]]</f>
        <v>0</v>
      </c>
      <c r="R271" s="117">
        <v>0</v>
      </c>
      <c r="S271" s="637">
        <v>0</v>
      </c>
      <c r="T271" s="637">
        <v>0</v>
      </c>
      <c r="U271" s="637">
        <v>0</v>
      </c>
      <c r="V271" s="119" t="str">
        <f t="shared" si="15"/>
        <v xml:space="preserve"> </v>
      </c>
    </row>
    <row r="272" spans="1:22" hidden="1">
      <c r="A272" s="455" t="s">
        <v>2608</v>
      </c>
      <c r="B272" s="114">
        <f>_xlfn.IFNA(VLOOKUP(Table1[[#This Row],[SKU]],'Kilter Holds'!$P$36:$S$370,4,0),0)</f>
        <v>0</v>
      </c>
      <c r="C272" s="636">
        <v>5</v>
      </c>
      <c r="D272" s="117">
        <f>1*Table1[[#This Row],[Quantity of Sets]]</f>
        <v>0</v>
      </c>
      <c r="E272" s="117">
        <f>1*Table1[[#This Row],[Quantity of Sets]]</f>
        <v>0</v>
      </c>
      <c r="F272" s="117">
        <f>3*Table1[[#This Row],[Quantity of Sets]]</f>
        <v>0</v>
      </c>
      <c r="G272" s="117">
        <v>0</v>
      </c>
      <c r="H272" s="117">
        <v>0</v>
      </c>
      <c r="I272" s="117">
        <v>0</v>
      </c>
      <c r="J272" s="117">
        <v>0</v>
      </c>
      <c r="K272" s="117">
        <v>0</v>
      </c>
      <c r="L272" s="117">
        <v>0</v>
      </c>
      <c r="M272" s="117">
        <v>0</v>
      </c>
      <c r="N272" s="117">
        <v>0</v>
      </c>
      <c r="O272" s="117">
        <v>0</v>
      </c>
      <c r="P272" s="117">
        <v>0</v>
      </c>
      <c r="Q272" s="117">
        <v>0</v>
      </c>
      <c r="R272" s="117">
        <v>0</v>
      </c>
      <c r="S272" s="117">
        <v>0</v>
      </c>
      <c r="T272" s="117">
        <v>0</v>
      </c>
      <c r="U272" s="117">
        <v>0</v>
      </c>
      <c r="V272" s="119" t="str">
        <f t="shared" si="15"/>
        <v xml:space="preserve"> </v>
      </c>
    </row>
    <row r="273" spans="1:22" hidden="1">
      <c r="A273" s="455" t="s">
        <v>2610</v>
      </c>
      <c r="B273" s="114">
        <f>_xlfn.IFNA(VLOOKUP(Table1[[#This Row],[SKU]],'Kilter Holds'!$P$36:$S$370,4,0),0)</f>
        <v>0</v>
      </c>
      <c r="C273" s="636">
        <v>2</v>
      </c>
      <c r="D273" s="117">
        <v>0</v>
      </c>
      <c r="E273" s="117">
        <v>0</v>
      </c>
      <c r="F273" s="117">
        <v>0</v>
      </c>
      <c r="G273" s="117">
        <v>0</v>
      </c>
      <c r="H273" s="117">
        <v>0</v>
      </c>
      <c r="I273" s="117">
        <v>0</v>
      </c>
      <c r="J273" s="117">
        <f>2*Table1[[#This Row],[Quantity of Sets]]</f>
        <v>0</v>
      </c>
      <c r="K273" s="117">
        <v>0</v>
      </c>
      <c r="L273" s="117">
        <v>0</v>
      </c>
      <c r="M273" s="117">
        <v>0</v>
      </c>
      <c r="N273" s="117">
        <v>0</v>
      </c>
      <c r="O273" s="117">
        <v>0</v>
      </c>
      <c r="P273" s="117">
        <v>0</v>
      </c>
      <c r="Q273" s="117">
        <f>15*Table1[[#This Row],[Quantity of Sets]]</f>
        <v>0</v>
      </c>
      <c r="R273" s="117">
        <v>0</v>
      </c>
      <c r="S273" s="117">
        <v>0</v>
      </c>
      <c r="T273" s="117">
        <v>0</v>
      </c>
      <c r="U273" s="117">
        <v>0</v>
      </c>
      <c r="V273" s="119" t="str">
        <f t="shared" si="15"/>
        <v xml:space="preserve"> </v>
      </c>
    </row>
    <row r="274" spans="1:22" hidden="1">
      <c r="A274" s="455" t="s">
        <v>2652</v>
      </c>
      <c r="B274" s="114">
        <f>_xlfn.IFNA(VLOOKUP(Table1[[#This Row],[SKU]],'Kilter Holds'!$P$36:$S$370,4,0),0)</f>
        <v>0</v>
      </c>
      <c r="C274" s="651">
        <v>5</v>
      </c>
      <c r="D274" s="649">
        <v>0</v>
      </c>
      <c r="E274" s="649">
        <v>0</v>
      </c>
      <c r="F274" s="649">
        <f>1*Table1[[#This Row],[Quantity of Sets]]</f>
        <v>0</v>
      </c>
      <c r="G274" s="649">
        <f>4*Table1[[#This Row],[Quantity of Sets]]</f>
        <v>0</v>
      </c>
      <c r="H274" s="649">
        <v>0</v>
      </c>
      <c r="I274" s="649">
        <v>0</v>
      </c>
      <c r="J274" s="649">
        <v>0</v>
      </c>
      <c r="K274" s="649">
        <v>0</v>
      </c>
      <c r="L274" s="652">
        <v>0</v>
      </c>
      <c r="M274" s="649">
        <v>0</v>
      </c>
      <c r="N274" s="649">
        <v>0</v>
      </c>
      <c r="O274" s="649">
        <v>0</v>
      </c>
      <c r="P274" s="649">
        <v>0</v>
      </c>
      <c r="Q274" s="633">
        <f>25*Table1[[#This Row],[Quantity of Sets]]</f>
        <v>0</v>
      </c>
      <c r="R274" s="650">
        <v>0</v>
      </c>
      <c r="S274" s="653">
        <v>0</v>
      </c>
      <c r="T274" s="654">
        <v>0</v>
      </c>
      <c r="U274" s="654">
        <v>0</v>
      </c>
      <c r="V274" s="650" t="str">
        <f>IF(B274&gt;0,"Added"," ")</f>
        <v xml:space="preserve"> </v>
      </c>
    </row>
    <row r="275" spans="1:22" hidden="1">
      <c r="A275" s="455" t="s">
        <v>2673</v>
      </c>
      <c r="B275" s="114">
        <f>_xlfn.IFNA(VLOOKUP(Table1[[#This Row],[SKU]],'Kilter Holds'!$P$36:$S$370,4,0),0)</f>
        <v>0</v>
      </c>
      <c r="C275" s="651">
        <v>10</v>
      </c>
      <c r="D275" s="649">
        <f>10*Table1[[#This Row],[Quantity of Sets]]</f>
        <v>0</v>
      </c>
      <c r="E275" s="649">
        <v>0</v>
      </c>
      <c r="F275" s="649">
        <v>0</v>
      </c>
      <c r="G275" s="649">
        <v>0</v>
      </c>
      <c r="H275" s="649">
        <v>0</v>
      </c>
      <c r="I275" s="649">
        <v>0</v>
      </c>
      <c r="J275" s="649">
        <v>0</v>
      </c>
      <c r="K275" s="649">
        <v>0</v>
      </c>
      <c r="L275" s="649">
        <v>0</v>
      </c>
      <c r="M275" s="649">
        <v>0</v>
      </c>
      <c r="N275" s="649">
        <v>0</v>
      </c>
      <c r="O275" s="649">
        <v>0</v>
      </c>
      <c r="P275" s="649">
        <v>0</v>
      </c>
      <c r="Q275" s="633">
        <f>5*Table1[[#This Row],[Quantity of Sets]]</f>
        <v>0</v>
      </c>
      <c r="R275" s="650">
        <v>0</v>
      </c>
      <c r="S275" s="653">
        <v>0</v>
      </c>
      <c r="T275" s="654">
        <v>0</v>
      </c>
      <c r="U275" s="654">
        <v>0</v>
      </c>
      <c r="V275" s="655" t="str">
        <f t="shared" ref="V275:V276" si="16">IF(B275&gt;0,"Added"," ")</f>
        <v xml:space="preserve"> </v>
      </c>
    </row>
    <row r="276" spans="1:22" hidden="1">
      <c r="A276" s="455" t="s">
        <v>2674</v>
      </c>
      <c r="B276" s="114">
        <f>_xlfn.IFNA(VLOOKUP(Table1[[#This Row],[SKU]],'Kilter Holds'!$P$36:$S$370,4,0),0)</f>
        <v>0</v>
      </c>
      <c r="C276" s="651">
        <v>5</v>
      </c>
      <c r="D276" s="649">
        <v>0</v>
      </c>
      <c r="E276" s="649">
        <f>5*Table1[[#This Row],[Quantity of Sets]]</f>
        <v>0</v>
      </c>
      <c r="F276" s="649">
        <v>0</v>
      </c>
      <c r="G276" s="649">
        <v>0</v>
      </c>
      <c r="H276" s="649">
        <v>0</v>
      </c>
      <c r="I276" s="649">
        <v>0</v>
      </c>
      <c r="J276" s="649">
        <v>0</v>
      </c>
      <c r="K276" s="649">
        <v>0</v>
      </c>
      <c r="L276" s="649">
        <v>0</v>
      </c>
      <c r="M276" s="649">
        <v>0</v>
      </c>
      <c r="N276" s="649">
        <v>0</v>
      </c>
      <c r="O276" s="649">
        <v>0</v>
      </c>
      <c r="P276" s="649">
        <v>0</v>
      </c>
      <c r="Q276" s="633">
        <f>18*Table1[[#This Row],[Quantity of Sets]]</f>
        <v>0</v>
      </c>
      <c r="R276" s="650">
        <v>0</v>
      </c>
      <c r="S276" s="653">
        <v>0</v>
      </c>
      <c r="T276" s="654">
        <v>0</v>
      </c>
      <c r="U276" s="654">
        <v>0</v>
      </c>
      <c r="V276" s="655" t="str">
        <f t="shared" si="16"/>
        <v xml:space="preserve"> </v>
      </c>
    </row>
    <row r="277" spans="1:22" hidden="1">
      <c r="A277" s="455" t="s">
        <v>2704</v>
      </c>
      <c r="B277" s="114">
        <f>_xlfn.IFNA(VLOOKUP(Table1[[#This Row],[SKU]],'Kilter Holds'!$P$36:$S$370,4,0),0)</f>
        <v>0</v>
      </c>
      <c r="C277" s="659">
        <v>3</v>
      </c>
      <c r="D277" s="649">
        <v>0</v>
      </c>
      <c r="E277" s="649">
        <v>0</v>
      </c>
      <c r="F277" s="649">
        <v>0</v>
      </c>
      <c r="G277" s="649">
        <v>0</v>
      </c>
      <c r="H277" s="649">
        <v>0</v>
      </c>
      <c r="I277" s="649">
        <f>1*Table1[[#This Row],[Quantity of Sets]]</f>
        <v>0</v>
      </c>
      <c r="J277" s="649">
        <f>2*Table1[[#This Row],[Quantity of Sets]]</f>
        <v>0</v>
      </c>
      <c r="K277" s="649">
        <v>0</v>
      </c>
      <c r="L277" s="649">
        <v>0</v>
      </c>
      <c r="M277" s="649">
        <v>0</v>
      </c>
      <c r="N277" s="649">
        <v>0</v>
      </c>
      <c r="O277" s="649">
        <v>0</v>
      </c>
      <c r="P277" s="649">
        <v>0</v>
      </c>
      <c r="Q277" s="633">
        <f>19*Table1[[#This Row],[Quantity of Sets]]</f>
        <v>0</v>
      </c>
      <c r="R277" s="650">
        <v>0</v>
      </c>
      <c r="S277" s="653">
        <v>0</v>
      </c>
      <c r="T277" s="654">
        <v>0</v>
      </c>
      <c r="U277" s="654">
        <v>0</v>
      </c>
      <c r="V277" s="655" t="str">
        <f>IF(B277&gt;0,"Added"," ")</f>
        <v xml:space="preserve"> </v>
      </c>
    </row>
    <row r="278" spans="1:22" hidden="1">
      <c r="A278" s="455" t="s">
        <v>2703</v>
      </c>
      <c r="B278" s="114">
        <f>_xlfn.IFNA(VLOOKUP(Table1[[#This Row],[SKU]],'Kilter Holds'!$P$36:$S$370,4,0),0)</f>
        <v>0</v>
      </c>
      <c r="C278" s="659">
        <v>10</v>
      </c>
      <c r="D278" s="649">
        <f>10*Table1[[#This Row],[Quantity of Sets]]</f>
        <v>0</v>
      </c>
      <c r="E278" s="649">
        <v>0</v>
      </c>
      <c r="F278" s="649">
        <v>0</v>
      </c>
      <c r="G278" s="649">
        <v>0</v>
      </c>
      <c r="H278" s="649">
        <v>0</v>
      </c>
      <c r="I278" s="649">
        <v>0</v>
      </c>
      <c r="J278" s="649">
        <v>0</v>
      </c>
      <c r="K278" s="649">
        <v>0</v>
      </c>
      <c r="L278" s="649">
        <v>0</v>
      </c>
      <c r="M278" s="649">
        <v>0</v>
      </c>
      <c r="N278" s="649">
        <v>0</v>
      </c>
      <c r="O278" s="649">
        <v>0</v>
      </c>
      <c r="P278" s="649">
        <v>0</v>
      </c>
      <c r="Q278" s="633">
        <f>20*Table1[[#This Row],[Quantity of Sets]]</f>
        <v>0</v>
      </c>
      <c r="R278" s="650">
        <v>0</v>
      </c>
      <c r="S278" s="653">
        <v>0</v>
      </c>
      <c r="T278" s="654">
        <v>0</v>
      </c>
      <c r="U278" s="654">
        <v>0</v>
      </c>
      <c r="V278" s="655" t="str">
        <f>IF(B278&gt;0,"Added"," ")</f>
        <v xml:space="preserve"> </v>
      </c>
    </row>
    <row r="279" spans="1:22" hidden="1">
      <c r="A279" s="455" t="s">
        <v>2721</v>
      </c>
      <c r="B279" s="114">
        <f>_xlfn.IFNA(VLOOKUP(Table1[[#This Row],[SKU]],'Kilter Holds'!$P$36:$S$370,4,0),0)</f>
        <v>0</v>
      </c>
      <c r="C279" s="659">
        <v>10</v>
      </c>
      <c r="D279" s="649">
        <f>10*Table1[[#This Row],[Quantity of Sets]]</f>
        <v>0</v>
      </c>
      <c r="E279" s="649">
        <v>0</v>
      </c>
      <c r="F279" s="649">
        <v>0</v>
      </c>
      <c r="G279" s="649">
        <v>0</v>
      </c>
      <c r="H279" s="649">
        <v>0</v>
      </c>
      <c r="I279" s="649">
        <v>0</v>
      </c>
      <c r="J279" s="649">
        <v>0</v>
      </c>
      <c r="K279" s="649">
        <v>0</v>
      </c>
      <c r="L279" s="649">
        <v>0</v>
      </c>
      <c r="M279" s="649">
        <v>0</v>
      </c>
      <c r="N279" s="649">
        <v>0</v>
      </c>
      <c r="O279" s="649">
        <v>0</v>
      </c>
      <c r="P279" s="649">
        <v>0</v>
      </c>
      <c r="Q279" s="633">
        <f>20*Table1[[#This Row],[Quantity of Sets]]</f>
        <v>0</v>
      </c>
      <c r="R279" s="650">
        <v>0</v>
      </c>
      <c r="S279" s="653">
        <v>0</v>
      </c>
      <c r="T279" s="654">
        <v>0</v>
      </c>
      <c r="U279" s="654">
        <v>0</v>
      </c>
      <c r="V279" s="655" t="str">
        <f t="shared" ref="V279:V284" si="17">IF(B279&gt;0,"Added"," ")</f>
        <v xml:space="preserve"> </v>
      </c>
    </row>
    <row r="280" spans="1:22" hidden="1">
      <c r="A280" s="455" t="s">
        <v>2723</v>
      </c>
      <c r="B280" s="114">
        <f>_xlfn.IFNA(VLOOKUP(Table1[[#This Row],[SKU]],'Kilter Holds'!$P$36:$S$370,4,0),0)</f>
        <v>0</v>
      </c>
      <c r="C280" s="659">
        <v>10</v>
      </c>
      <c r="D280" s="649">
        <f>10*Table1[[#This Row],[Quantity of Sets]]</f>
        <v>0</v>
      </c>
      <c r="E280" s="649">
        <v>0</v>
      </c>
      <c r="F280" s="649">
        <v>0</v>
      </c>
      <c r="G280" s="649">
        <v>0</v>
      </c>
      <c r="H280" s="649">
        <v>0</v>
      </c>
      <c r="I280" s="649">
        <v>0</v>
      </c>
      <c r="J280" s="649">
        <v>0</v>
      </c>
      <c r="K280" s="649">
        <v>0</v>
      </c>
      <c r="L280" s="649">
        <v>0</v>
      </c>
      <c r="M280" s="649">
        <v>0</v>
      </c>
      <c r="N280" s="649">
        <v>0</v>
      </c>
      <c r="O280" s="649">
        <v>0</v>
      </c>
      <c r="P280" s="649">
        <v>0</v>
      </c>
      <c r="Q280" s="633">
        <f>10*Table1[[#This Row],[Quantity of Sets]]</f>
        <v>0</v>
      </c>
      <c r="R280" s="650">
        <v>0</v>
      </c>
      <c r="S280" s="653">
        <v>0</v>
      </c>
      <c r="T280" s="654">
        <v>0</v>
      </c>
      <c r="U280" s="654">
        <v>0</v>
      </c>
      <c r="V280" s="655" t="str">
        <f t="shared" si="17"/>
        <v xml:space="preserve"> </v>
      </c>
    </row>
    <row r="281" spans="1:22" hidden="1">
      <c r="A281" s="455" t="s">
        <v>2725</v>
      </c>
      <c r="B281" s="114">
        <f>_xlfn.IFNA(VLOOKUP(Table1[[#This Row],[SKU]],'Kilter Holds'!$P$36:$S$370,4,0),0)</f>
        <v>0</v>
      </c>
      <c r="C281" s="659">
        <v>10</v>
      </c>
      <c r="D281" s="649">
        <f>10*Table1[[#This Row],[Quantity of Sets]]</f>
        <v>0</v>
      </c>
      <c r="E281" s="649">
        <v>0</v>
      </c>
      <c r="F281" s="649">
        <v>0</v>
      </c>
      <c r="G281" s="649">
        <v>0</v>
      </c>
      <c r="H281" s="649">
        <v>0</v>
      </c>
      <c r="I281" s="649">
        <v>0</v>
      </c>
      <c r="J281" s="649">
        <v>0</v>
      </c>
      <c r="K281" s="649">
        <v>0</v>
      </c>
      <c r="L281" s="649">
        <v>0</v>
      </c>
      <c r="M281" s="649">
        <v>0</v>
      </c>
      <c r="N281" s="649">
        <v>0</v>
      </c>
      <c r="O281" s="649">
        <v>0</v>
      </c>
      <c r="P281" s="649">
        <v>0</v>
      </c>
      <c r="Q281" s="633">
        <f>20*Table1[[#This Row],[Quantity of Sets]]</f>
        <v>0</v>
      </c>
      <c r="R281" s="650">
        <v>0</v>
      </c>
      <c r="S281" s="653">
        <v>0</v>
      </c>
      <c r="T281" s="654">
        <v>0</v>
      </c>
      <c r="U281" s="654">
        <v>0</v>
      </c>
      <c r="V281" s="655" t="str">
        <f>IF(B281&gt;0,"Added"," ")</f>
        <v xml:space="preserve"> </v>
      </c>
    </row>
    <row r="282" spans="1:22" hidden="1">
      <c r="A282" s="455" t="s">
        <v>2727</v>
      </c>
      <c r="B282" s="114">
        <f>_xlfn.IFNA(VLOOKUP(Table1[[#This Row],[SKU]],'Kilter Holds'!$P$36:$S$370,4,0),0)</f>
        <v>0</v>
      </c>
      <c r="C282" s="659">
        <v>5</v>
      </c>
      <c r="D282" s="649">
        <f>5*Table1[[#This Row],[Quantity of Sets]]</f>
        <v>0</v>
      </c>
      <c r="E282" s="649">
        <v>0</v>
      </c>
      <c r="F282" s="649">
        <v>0</v>
      </c>
      <c r="G282" s="649">
        <v>0</v>
      </c>
      <c r="H282" s="649">
        <v>0</v>
      </c>
      <c r="I282" s="649">
        <v>0</v>
      </c>
      <c r="J282" s="649">
        <v>0</v>
      </c>
      <c r="K282" s="649">
        <v>0</v>
      </c>
      <c r="L282" s="649">
        <v>0</v>
      </c>
      <c r="M282" s="649">
        <v>0</v>
      </c>
      <c r="N282" s="649">
        <v>0</v>
      </c>
      <c r="O282" s="649">
        <v>0</v>
      </c>
      <c r="P282" s="649">
        <v>0</v>
      </c>
      <c r="Q282" s="633">
        <f>5*Table1[[#This Row],[Quantity of Sets]]</f>
        <v>0</v>
      </c>
      <c r="R282" s="650">
        <v>0</v>
      </c>
      <c r="S282" s="653">
        <v>0</v>
      </c>
      <c r="T282" s="654">
        <v>0</v>
      </c>
      <c r="U282" s="654">
        <v>0</v>
      </c>
      <c r="V282" s="655" t="str">
        <f t="shared" si="17"/>
        <v xml:space="preserve"> </v>
      </c>
    </row>
    <row r="283" spans="1:22" hidden="1">
      <c r="A283" s="455" t="s">
        <v>2729</v>
      </c>
      <c r="B283" s="114">
        <f>_xlfn.IFNA(VLOOKUP(Table1[[#This Row],[SKU]],'Kilter Holds'!$P$36:$S$370,4,0),0)</f>
        <v>0</v>
      </c>
      <c r="C283" s="659">
        <v>10</v>
      </c>
      <c r="D283" s="649">
        <f>10*Table1[[#This Row],[Quantity of Sets]]</f>
        <v>0</v>
      </c>
      <c r="E283" s="649">
        <v>0</v>
      </c>
      <c r="F283" s="649">
        <v>0</v>
      </c>
      <c r="G283" s="649">
        <v>0</v>
      </c>
      <c r="H283" s="649">
        <v>0</v>
      </c>
      <c r="I283" s="649">
        <v>0</v>
      </c>
      <c r="J283" s="649">
        <v>0</v>
      </c>
      <c r="K283" s="649">
        <v>0</v>
      </c>
      <c r="L283" s="649">
        <v>0</v>
      </c>
      <c r="M283" s="649">
        <v>0</v>
      </c>
      <c r="N283" s="649">
        <v>0</v>
      </c>
      <c r="O283" s="649">
        <v>0</v>
      </c>
      <c r="P283" s="649">
        <v>0</v>
      </c>
      <c r="Q283" s="633">
        <f>10*Table1[[#This Row],[Quantity of Sets]]</f>
        <v>0</v>
      </c>
      <c r="R283" s="650">
        <v>0</v>
      </c>
      <c r="S283" s="653">
        <v>0</v>
      </c>
      <c r="T283" s="654">
        <v>0</v>
      </c>
      <c r="U283" s="654">
        <v>0</v>
      </c>
      <c r="V283" s="655" t="str">
        <f t="shared" si="17"/>
        <v xml:space="preserve"> </v>
      </c>
    </row>
    <row r="284" spans="1:22" hidden="1">
      <c r="A284" s="455" t="s">
        <v>2731</v>
      </c>
      <c r="B284" s="114">
        <f>_xlfn.IFNA(VLOOKUP(Table1[[#This Row],[SKU]],'Kilter Holds'!$P$36:$S$370,4,0),0)</f>
        <v>0</v>
      </c>
      <c r="C284" s="659">
        <v>10</v>
      </c>
      <c r="D284" s="649">
        <f>10*Table1[[#This Row],[Quantity of Sets]]</f>
        <v>0</v>
      </c>
      <c r="E284" s="649">
        <v>0</v>
      </c>
      <c r="F284" s="649">
        <v>0</v>
      </c>
      <c r="G284" s="649">
        <v>0</v>
      </c>
      <c r="H284" s="649">
        <v>0</v>
      </c>
      <c r="I284" s="649">
        <v>0</v>
      </c>
      <c r="J284" s="649">
        <v>0</v>
      </c>
      <c r="K284" s="649">
        <v>0</v>
      </c>
      <c r="L284" s="649">
        <v>0</v>
      </c>
      <c r="M284" s="649">
        <v>0</v>
      </c>
      <c r="N284" s="649">
        <v>0</v>
      </c>
      <c r="O284" s="649">
        <v>0</v>
      </c>
      <c r="P284" s="649">
        <v>0</v>
      </c>
      <c r="Q284" s="633">
        <f>10*Table1[[#This Row],[Quantity of Sets]]</f>
        <v>0</v>
      </c>
      <c r="R284" s="650">
        <v>0</v>
      </c>
      <c r="S284" s="653">
        <v>0</v>
      </c>
      <c r="T284" s="654">
        <v>0</v>
      </c>
      <c r="U284" s="654">
        <v>0</v>
      </c>
      <c r="V284" s="655" t="str">
        <f t="shared" si="17"/>
        <v xml:space="preserve"> </v>
      </c>
    </row>
    <row r="285" spans="1:22" hidden="1">
      <c r="A285" s="455" t="s">
        <v>2733</v>
      </c>
      <c r="B285" s="114">
        <f>_xlfn.IFNA(VLOOKUP(Table1[[#This Row],[SKU]],'Kilter Holds'!$P$36:$S$370,4,0),0)</f>
        <v>0</v>
      </c>
      <c r="C285" s="659">
        <v>10</v>
      </c>
      <c r="D285" s="649">
        <f>10*Table1[[#This Row],[Quantity of Sets]]</f>
        <v>0</v>
      </c>
      <c r="E285" s="649">
        <v>0</v>
      </c>
      <c r="F285" s="649">
        <v>0</v>
      </c>
      <c r="G285" s="649">
        <v>0</v>
      </c>
      <c r="H285" s="649">
        <v>0</v>
      </c>
      <c r="I285" s="649">
        <v>0</v>
      </c>
      <c r="J285" s="649">
        <v>0</v>
      </c>
      <c r="K285" s="649">
        <v>0</v>
      </c>
      <c r="L285" s="649">
        <v>0</v>
      </c>
      <c r="M285" s="649">
        <v>0</v>
      </c>
      <c r="N285" s="649">
        <v>0</v>
      </c>
      <c r="O285" s="649">
        <v>0</v>
      </c>
      <c r="P285" s="649">
        <v>0</v>
      </c>
      <c r="Q285" s="633">
        <f>20*Table1[[#This Row],[Quantity of Sets]]</f>
        <v>0</v>
      </c>
      <c r="R285" s="650">
        <v>0</v>
      </c>
      <c r="S285" s="653">
        <v>0</v>
      </c>
      <c r="T285" s="654">
        <v>0</v>
      </c>
      <c r="U285" s="654">
        <v>0</v>
      </c>
      <c r="V285" s="655" t="str">
        <f t="shared" ref="V285:V292" si="18">IF(B285&gt;0,"Added"," ")</f>
        <v xml:space="preserve"> </v>
      </c>
    </row>
    <row r="286" spans="1:22" hidden="1">
      <c r="A286" s="455" t="s">
        <v>2735</v>
      </c>
      <c r="B286" s="114">
        <f>_xlfn.IFNA(VLOOKUP(Table1[[#This Row],[SKU]],'Kilter Holds'!$P$36:$S$370,4,0),0)</f>
        <v>0</v>
      </c>
      <c r="C286" s="659">
        <v>10</v>
      </c>
      <c r="D286" s="649">
        <f>10*Table1[[#This Row],[Quantity of Sets]]</f>
        <v>0</v>
      </c>
      <c r="E286" s="649">
        <v>0</v>
      </c>
      <c r="F286" s="649">
        <v>0</v>
      </c>
      <c r="G286" s="649">
        <v>0</v>
      </c>
      <c r="H286" s="649">
        <v>0</v>
      </c>
      <c r="I286" s="649">
        <v>0</v>
      </c>
      <c r="J286" s="649">
        <v>0</v>
      </c>
      <c r="K286" s="649">
        <v>0</v>
      </c>
      <c r="L286" s="649">
        <v>0</v>
      </c>
      <c r="M286" s="649">
        <v>0</v>
      </c>
      <c r="N286" s="649">
        <v>0</v>
      </c>
      <c r="O286" s="649">
        <v>0</v>
      </c>
      <c r="P286" s="649">
        <v>0</v>
      </c>
      <c r="Q286" s="633">
        <f>20*Table1[[#This Row],[Quantity of Sets]]</f>
        <v>0</v>
      </c>
      <c r="R286" s="650">
        <v>0</v>
      </c>
      <c r="S286" s="653">
        <v>0</v>
      </c>
      <c r="T286" s="654">
        <v>0</v>
      </c>
      <c r="U286" s="654">
        <v>0</v>
      </c>
      <c r="V286" s="655" t="str">
        <f t="shared" si="18"/>
        <v xml:space="preserve"> </v>
      </c>
    </row>
    <row r="287" spans="1:22" hidden="1">
      <c r="A287" s="455" t="s">
        <v>2737</v>
      </c>
      <c r="B287" s="114">
        <f>_xlfn.IFNA(VLOOKUP(Table1[[#This Row],[SKU]],'Kilter Holds'!$P$36:$S$370,4,0),0)</f>
        <v>0</v>
      </c>
      <c r="C287" s="659">
        <v>5</v>
      </c>
      <c r="D287" s="649">
        <f>5*Table1[[#This Row],[Quantity of Sets]]</f>
        <v>0</v>
      </c>
      <c r="E287" s="649">
        <v>0</v>
      </c>
      <c r="F287" s="649">
        <v>0</v>
      </c>
      <c r="G287" s="649">
        <v>0</v>
      </c>
      <c r="H287" s="649">
        <v>0</v>
      </c>
      <c r="I287" s="649">
        <v>0</v>
      </c>
      <c r="J287" s="649">
        <v>0</v>
      </c>
      <c r="K287" s="649">
        <v>0</v>
      </c>
      <c r="L287" s="649">
        <v>0</v>
      </c>
      <c r="M287" s="649">
        <v>0</v>
      </c>
      <c r="N287" s="649">
        <v>0</v>
      </c>
      <c r="O287" s="649">
        <v>0</v>
      </c>
      <c r="P287" s="649">
        <v>0</v>
      </c>
      <c r="Q287" s="633">
        <v>0</v>
      </c>
      <c r="R287" s="650">
        <f>9*Table1[[#This Row],[Quantity of Sets]]</f>
        <v>0</v>
      </c>
      <c r="S287" s="653">
        <v>0</v>
      </c>
      <c r="T287" s="654">
        <v>0</v>
      </c>
      <c r="U287" s="654">
        <v>0</v>
      </c>
      <c r="V287" s="655" t="str">
        <f t="shared" si="18"/>
        <v xml:space="preserve"> </v>
      </c>
    </row>
    <row r="288" spans="1:22" hidden="1">
      <c r="A288" s="455" t="s">
        <v>2739</v>
      </c>
      <c r="B288" s="114">
        <f>_xlfn.IFNA(VLOOKUP(Table1[[#This Row],[SKU]],'Kilter Holds'!$P$36:$S$370,4,0),0)</f>
        <v>0</v>
      </c>
      <c r="C288" s="659">
        <v>10</v>
      </c>
      <c r="D288" s="649">
        <f>10*Table1[[#This Row],[Quantity of Sets]]</f>
        <v>0</v>
      </c>
      <c r="E288" s="649">
        <v>0</v>
      </c>
      <c r="F288" s="649">
        <v>0</v>
      </c>
      <c r="G288" s="649">
        <v>0</v>
      </c>
      <c r="H288" s="649">
        <v>0</v>
      </c>
      <c r="I288" s="649">
        <v>0</v>
      </c>
      <c r="J288" s="649">
        <v>0</v>
      </c>
      <c r="K288" s="649">
        <v>0</v>
      </c>
      <c r="L288" s="649">
        <v>0</v>
      </c>
      <c r="M288" s="649">
        <v>0</v>
      </c>
      <c r="N288" s="649">
        <v>0</v>
      </c>
      <c r="O288" s="649">
        <v>0</v>
      </c>
      <c r="P288" s="649">
        <v>0</v>
      </c>
      <c r="Q288" s="633">
        <f>20*Table1[[#This Row],[Quantity of Sets]]</f>
        <v>0</v>
      </c>
      <c r="R288" s="650">
        <v>0</v>
      </c>
      <c r="S288" s="653">
        <v>0</v>
      </c>
      <c r="T288" s="654">
        <v>0</v>
      </c>
      <c r="U288" s="654">
        <v>0</v>
      </c>
      <c r="V288" s="655" t="str">
        <f t="shared" si="18"/>
        <v xml:space="preserve"> </v>
      </c>
    </row>
    <row r="289" spans="1:22" hidden="1">
      <c r="A289" s="455" t="s">
        <v>2763</v>
      </c>
      <c r="B289" s="114">
        <f>_xlfn.IFNA(VLOOKUP(Table1[[#This Row],[SKU]],'Kilter Holds'!$P$36:$S$370,4,0),0)</f>
        <v>0</v>
      </c>
      <c r="C289" s="659">
        <v>10</v>
      </c>
      <c r="D289" s="649">
        <f>10*Table1[[#This Row],[Quantity of Sets]]</f>
        <v>0</v>
      </c>
      <c r="E289" s="649">
        <v>0</v>
      </c>
      <c r="F289" s="649">
        <v>0</v>
      </c>
      <c r="G289" s="649">
        <v>0</v>
      </c>
      <c r="H289" s="649">
        <v>0</v>
      </c>
      <c r="I289" s="649">
        <v>0</v>
      </c>
      <c r="J289" s="649">
        <v>0</v>
      </c>
      <c r="K289" s="649">
        <v>0</v>
      </c>
      <c r="L289" s="649">
        <v>0</v>
      </c>
      <c r="M289" s="649">
        <v>0</v>
      </c>
      <c r="N289" s="649">
        <v>0</v>
      </c>
      <c r="O289" s="649">
        <v>0</v>
      </c>
      <c r="P289" s="649">
        <v>0</v>
      </c>
      <c r="Q289" s="633">
        <f>20*Table1[[#This Row],[Quantity of Sets]]</f>
        <v>0</v>
      </c>
      <c r="R289" s="650">
        <v>0</v>
      </c>
      <c r="S289" s="653">
        <v>0</v>
      </c>
      <c r="T289" s="654">
        <v>0</v>
      </c>
      <c r="U289" s="654">
        <v>0</v>
      </c>
      <c r="V289" s="655" t="str">
        <f t="shared" si="18"/>
        <v xml:space="preserve"> </v>
      </c>
    </row>
    <row r="290" spans="1:22" hidden="1">
      <c r="A290" s="455" t="s">
        <v>2764</v>
      </c>
      <c r="B290" s="114">
        <f>_xlfn.IFNA(VLOOKUP(Table1[[#This Row],[SKU]],'Kilter Holds'!$P$36:$S$370,4,0),0)</f>
        <v>0</v>
      </c>
      <c r="C290" s="659">
        <v>10</v>
      </c>
      <c r="D290" s="649">
        <f>10*Table1[[#This Row],[Quantity of Sets]]</f>
        <v>0</v>
      </c>
      <c r="E290" s="649">
        <v>0</v>
      </c>
      <c r="F290" s="649">
        <v>0</v>
      </c>
      <c r="G290" s="649">
        <v>0</v>
      </c>
      <c r="H290" s="649">
        <v>0</v>
      </c>
      <c r="I290" s="649">
        <v>0</v>
      </c>
      <c r="J290" s="649">
        <v>0</v>
      </c>
      <c r="K290" s="649">
        <v>0</v>
      </c>
      <c r="L290" s="649">
        <v>0</v>
      </c>
      <c r="M290" s="649">
        <v>0</v>
      </c>
      <c r="N290" s="649">
        <v>0</v>
      </c>
      <c r="O290" s="649">
        <v>0</v>
      </c>
      <c r="P290" s="649">
        <v>0</v>
      </c>
      <c r="Q290" s="633">
        <f>20*Table1[[#This Row],[Quantity of Sets]]</f>
        <v>0</v>
      </c>
      <c r="R290" s="650">
        <v>0</v>
      </c>
      <c r="S290" s="653">
        <v>0</v>
      </c>
      <c r="T290" s="654">
        <v>0</v>
      </c>
      <c r="U290" s="654">
        <v>0</v>
      </c>
      <c r="V290" s="655" t="str">
        <f t="shared" si="18"/>
        <v xml:space="preserve"> </v>
      </c>
    </row>
    <row r="291" spans="1:22" hidden="1">
      <c r="A291" s="455" t="s">
        <v>2766</v>
      </c>
      <c r="B291" s="114">
        <f>_xlfn.IFNA(VLOOKUP(Table1[[#This Row],[SKU]],'Kilter Holds'!$P$36:$S$370,4,0),0)</f>
        <v>0</v>
      </c>
      <c r="C291" s="659">
        <v>10</v>
      </c>
      <c r="D291" s="649">
        <f>10*Table1[[#This Row],[Quantity of Sets]]</f>
        <v>0</v>
      </c>
      <c r="E291" s="649">
        <v>0</v>
      </c>
      <c r="F291" s="649">
        <v>0</v>
      </c>
      <c r="G291" s="649">
        <v>0</v>
      </c>
      <c r="H291" s="649">
        <v>0</v>
      </c>
      <c r="I291" s="649">
        <v>0</v>
      </c>
      <c r="J291" s="649">
        <v>0</v>
      </c>
      <c r="K291" s="649">
        <v>0</v>
      </c>
      <c r="L291" s="649">
        <v>0</v>
      </c>
      <c r="M291" s="649">
        <v>0</v>
      </c>
      <c r="N291" s="649">
        <v>0</v>
      </c>
      <c r="O291" s="649">
        <v>0</v>
      </c>
      <c r="P291" s="649">
        <v>0</v>
      </c>
      <c r="Q291" s="633">
        <f>20*Table1[[#This Row],[Quantity of Sets]]</f>
        <v>0</v>
      </c>
      <c r="R291" s="650">
        <v>0</v>
      </c>
      <c r="S291" s="653">
        <v>0</v>
      </c>
      <c r="T291" s="654">
        <v>0</v>
      </c>
      <c r="U291" s="654">
        <v>0</v>
      </c>
      <c r="V291" s="655" t="str">
        <f t="shared" si="18"/>
        <v xml:space="preserve"> </v>
      </c>
    </row>
    <row r="292" spans="1:22" hidden="1">
      <c r="A292" s="455" t="s">
        <v>2765</v>
      </c>
      <c r="B292" s="114">
        <f>_xlfn.IFNA(VLOOKUP(Table1[[#This Row],[SKU]],'Kilter Holds'!$P$36:$S$370,4,0),0)</f>
        <v>0</v>
      </c>
      <c r="C292" s="659">
        <v>10</v>
      </c>
      <c r="D292" s="649">
        <f>10*Table1[[#This Row],[Quantity of Sets]]</f>
        <v>0</v>
      </c>
      <c r="E292" s="649">
        <v>0</v>
      </c>
      <c r="F292" s="649">
        <v>0</v>
      </c>
      <c r="G292" s="649">
        <v>0</v>
      </c>
      <c r="H292" s="649">
        <v>0</v>
      </c>
      <c r="I292" s="649">
        <v>0</v>
      </c>
      <c r="J292" s="649">
        <v>0</v>
      </c>
      <c r="K292" s="649">
        <v>0</v>
      </c>
      <c r="L292" s="649">
        <v>0</v>
      </c>
      <c r="M292" s="649">
        <v>0</v>
      </c>
      <c r="N292" s="649">
        <v>0</v>
      </c>
      <c r="O292" s="649">
        <v>0</v>
      </c>
      <c r="P292" s="649">
        <v>0</v>
      </c>
      <c r="Q292" s="633">
        <f>20*Table1[[#This Row],[Quantity of Sets]]</f>
        <v>0</v>
      </c>
      <c r="R292" s="650">
        <v>0</v>
      </c>
      <c r="S292" s="653">
        <v>0</v>
      </c>
      <c r="T292" s="654">
        <v>0</v>
      </c>
      <c r="U292" s="654">
        <v>0</v>
      </c>
      <c r="V292" s="655" t="str">
        <f t="shared" si="18"/>
        <v xml:space="preserve"> </v>
      </c>
    </row>
    <row r="293" spans="1:22" hidden="1">
      <c r="A293" s="455" t="s">
        <v>2827</v>
      </c>
      <c r="B293" s="114">
        <f>_xlfn.IFNA(VLOOKUP(Table1[[#This Row],[SKU]],'Kilter Holds'!$P$36:$S$370,4,0),0)</f>
        <v>0</v>
      </c>
      <c r="C293" s="659">
        <v>10</v>
      </c>
      <c r="D293" s="649">
        <f>10*Table1[[#This Row],[Quantity of Sets]]</f>
        <v>0</v>
      </c>
      <c r="E293" s="649">
        <v>0</v>
      </c>
      <c r="F293" s="649">
        <v>0</v>
      </c>
      <c r="G293" s="649">
        <v>0</v>
      </c>
      <c r="H293" s="649">
        <v>0</v>
      </c>
      <c r="I293" s="649">
        <v>0</v>
      </c>
      <c r="J293" s="649">
        <v>0</v>
      </c>
      <c r="K293" s="649">
        <v>0</v>
      </c>
      <c r="L293" s="649">
        <v>0</v>
      </c>
      <c r="M293" s="649">
        <v>0</v>
      </c>
      <c r="N293" s="649">
        <v>0</v>
      </c>
      <c r="O293" s="649">
        <v>0</v>
      </c>
      <c r="P293" s="649">
        <v>0</v>
      </c>
      <c r="Q293" s="633">
        <f>10*Table1[[#This Row],[Quantity of Sets]]</f>
        <v>0</v>
      </c>
      <c r="R293" s="650">
        <v>0</v>
      </c>
      <c r="S293" s="653">
        <v>0</v>
      </c>
      <c r="T293" s="654">
        <v>0</v>
      </c>
      <c r="U293" s="654">
        <v>0</v>
      </c>
      <c r="V293" s="655" t="str">
        <f>IF(B293&gt;0,"Added"," ")</f>
        <v xml:space="preserve"> </v>
      </c>
    </row>
    <row r="294" spans="1:22" hidden="1">
      <c r="A294" s="455" t="s">
        <v>2829</v>
      </c>
      <c r="B294" s="114">
        <f>_xlfn.IFNA(VLOOKUP(Table1[[#This Row],[SKU]],'Kilter Holds'!$P$36:$S$370,4,0),0)</f>
        <v>0</v>
      </c>
      <c r="C294" s="659">
        <v>10</v>
      </c>
      <c r="D294" s="649">
        <f>10*Table1[[#This Row],[Quantity of Sets]]</f>
        <v>0</v>
      </c>
      <c r="E294" s="649">
        <v>0</v>
      </c>
      <c r="F294" s="649">
        <v>0</v>
      </c>
      <c r="G294" s="649">
        <v>0</v>
      </c>
      <c r="H294" s="649">
        <v>0</v>
      </c>
      <c r="I294" s="649">
        <v>0</v>
      </c>
      <c r="J294" s="649">
        <v>0</v>
      </c>
      <c r="K294" s="649">
        <v>0</v>
      </c>
      <c r="L294" s="649">
        <v>0</v>
      </c>
      <c r="M294" s="649">
        <v>0</v>
      </c>
      <c r="N294" s="649">
        <v>0</v>
      </c>
      <c r="O294" s="649">
        <v>0</v>
      </c>
      <c r="P294" s="649">
        <v>0</v>
      </c>
      <c r="Q294" s="633">
        <f>18*Table1[[#This Row],[Quantity of Sets]]</f>
        <v>0</v>
      </c>
      <c r="R294" s="650">
        <v>0</v>
      </c>
      <c r="S294" s="653">
        <v>0</v>
      </c>
      <c r="T294" s="654">
        <v>0</v>
      </c>
      <c r="U294" s="654">
        <v>0</v>
      </c>
      <c r="V294" s="655" t="str">
        <f>IF(B294&gt;0,"Added"," ")</f>
        <v xml:space="preserve"> </v>
      </c>
    </row>
    <row r="295" spans="1:22" hidden="1">
      <c r="A295" s="455" t="s">
        <v>2831</v>
      </c>
      <c r="B295" s="114">
        <f>_xlfn.IFNA(VLOOKUP(Table1[[#This Row],[SKU]],'Kilter Holds'!$P$36:$S$370,4,0),0)</f>
        <v>0</v>
      </c>
      <c r="C295" s="659">
        <v>10</v>
      </c>
      <c r="D295" s="649">
        <v>0</v>
      </c>
      <c r="E295" s="649">
        <v>0</v>
      </c>
      <c r="F295" s="649">
        <v>0</v>
      </c>
      <c r="G295" s="649">
        <v>0</v>
      </c>
      <c r="H295" s="649">
        <v>0</v>
      </c>
      <c r="I295" s="649">
        <v>0</v>
      </c>
      <c r="J295" s="649">
        <v>0</v>
      </c>
      <c r="K295" s="649">
        <v>0</v>
      </c>
      <c r="L295" s="649">
        <v>0</v>
      </c>
      <c r="M295" s="649">
        <v>0</v>
      </c>
      <c r="N295" s="649">
        <v>0</v>
      </c>
      <c r="O295" s="649">
        <v>0</v>
      </c>
      <c r="P295" s="649">
        <v>0</v>
      </c>
      <c r="Q295" s="633">
        <f>20*Table1[[#This Row],[Quantity of Sets]]</f>
        <v>0</v>
      </c>
      <c r="R295" s="650">
        <v>0</v>
      </c>
      <c r="S295" s="653">
        <v>0</v>
      </c>
      <c r="T295" s="654">
        <v>0</v>
      </c>
      <c r="U295" s="654">
        <v>0</v>
      </c>
      <c r="V295" s="655" t="str">
        <f>IF(B295&gt;0,"Added"," ")</f>
        <v xml:space="preserve"> </v>
      </c>
    </row>
    <row r="296" spans="1:22" hidden="1">
      <c r="A296" s="455" t="s">
        <v>2997</v>
      </c>
      <c r="B296" s="114">
        <f>_xlfn.IFNA(VLOOKUP(Table1[[#This Row],[SKU]],'Kilter Holds'!$P$36:$S$370,4,0),0)</f>
        <v>0</v>
      </c>
      <c r="C296" s="728">
        <v>8</v>
      </c>
      <c r="D296" s="726">
        <v>0</v>
      </c>
      <c r="E296" s="726">
        <v>0</v>
      </c>
      <c r="F296" s="726">
        <v>0</v>
      </c>
      <c r="G296" s="726">
        <v>0</v>
      </c>
      <c r="H296" s="726">
        <v>0</v>
      </c>
      <c r="I296" s="726">
        <v>0</v>
      </c>
      <c r="J296" s="726">
        <v>0</v>
      </c>
      <c r="K296" s="726">
        <v>0</v>
      </c>
      <c r="L296" s="729">
        <v>0</v>
      </c>
      <c r="M296" s="726">
        <v>0</v>
      </c>
      <c r="N296" s="726">
        <v>0</v>
      </c>
      <c r="O296" s="726">
        <v>0</v>
      </c>
      <c r="P296" s="726">
        <v>0</v>
      </c>
      <c r="Q296" s="633">
        <f>24*Table1[[#This Row],[Quantity of Sets]]</f>
        <v>0</v>
      </c>
      <c r="R296" s="727">
        <v>0</v>
      </c>
      <c r="S296" s="730">
        <v>0</v>
      </c>
      <c r="T296" s="731">
        <v>0</v>
      </c>
      <c r="U296" s="731">
        <v>0</v>
      </c>
      <c r="V296" s="727" t="str">
        <f>IF(B296&gt;0,"Added"," ")</f>
        <v xml:space="preserve"> </v>
      </c>
    </row>
    <row r="297" spans="1:22" hidden="1">
      <c r="A297" s="455" t="s">
        <v>2524</v>
      </c>
      <c r="B297" s="114">
        <f>_xlfn.IFNA(VLOOKUP(Table1[[#This Row],[SKU]],'Kilter Holds'!$P$36:$S$370,4,0),0)</f>
        <v>0</v>
      </c>
      <c r="C297" s="636">
        <v>10</v>
      </c>
      <c r="D297" s="117">
        <f>10*Table1[[#This Row],[Quantity of Sets]]</f>
        <v>0</v>
      </c>
      <c r="E297" s="117">
        <v>0</v>
      </c>
      <c r="F297" s="117">
        <v>0</v>
      </c>
      <c r="G297" s="117">
        <v>0</v>
      </c>
      <c r="H297" s="117">
        <v>0</v>
      </c>
      <c r="I297" s="117">
        <v>0</v>
      </c>
      <c r="J297" s="117">
        <v>0</v>
      </c>
      <c r="K297" s="117">
        <v>0</v>
      </c>
      <c r="L297" s="117">
        <v>0</v>
      </c>
      <c r="M297" s="117">
        <v>0</v>
      </c>
      <c r="N297" s="117">
        <v>0</v>
      </c>
      <c r="O297" s="117">
        <v>0</v>
      </c>
      <c r="P297" s="117">
        <v>0</v>
      </c>
      <c r="Q297" s="117">
        <f>20*Table1[[#This Row],[Quantity of Sets]]</f>
        <v>0</v>
      </c>
      <c r="R297" s="117">
        <v>0</v>
      </c>
      <c r="S297" s="637">
        <v>0</v>
      </c>
      <c r="T297" s="637">
        <v>0</v>
      </c>
      <c r="U297" s="637">
        <v>0</v>
      </c>
      <c r="V297" s="119" t="str">
        <f t="shared" si="13"/>
        <v xml:space="preserve"> </v>
      </c>
    </row>
    <row r="298" spans="1:22" hidden="1">
      <c r="A298" s="455" t="s">
        <v>2548</v>
      </c>
      <c r="B298" s="114">
        <f>_xlfn.IFNA(VLOOKUP(Table1[[#This Row],[SKU]],'Kilter Holds'!$P$36:$S$370,4,0),0)</f>
        <v>0</v>
      </c>
      <c r="C298" s="636">
        <v>4</v>
      </c>
      <c r="D298" s="117">
        <v>0</v>
      </c>
      <c r="E298" s="117">
        <v>0</v>
      </c>
      <c r="F298" s="117">
        <v>0</v>
      </c>
      <c r="G298" s="117">
        <v>0</v>
      </c>
      <c r="H298" s="117">
        <v>0</v>
      </c>
      <c r="I298" s="117">
        <v>0</v>
      </c>
      <c r="J298" s="117">
        <v>0</v>
      </c>
      <c r="K298" s="117">
        <v>0</v>
      </c>
      <c r="L298" s="117">
        <v>0</v>
      </c>
      <c r="M298" s="117">
        <v>0</v>
      </c>
      <c r="N298" s="117">
        <v>0</v>
      </c>
      <c r="O298" s="117">
        <v>0</v>
      </c>
      <c r="P298" s="117">
        <v>0</v>
      </c>
      <c r="Q298" s="117">
        <f>16*Table1[[#This Row],[Quantity of Sets]]</f>
        <v>0</v>
      </c>
      <c r="R298" s="117">
        <v>0</v>
      </c>
      <c r="S298" s="637">
        <v>0</v>
      </c>
      <c r="T298" s="637">
        <v>0</v>
      </c>
      <c r="U298" s="637">
        <v>0</v>
      </c>
      <c r="V298" s="119" t="str">
        <f t="shared" ref="V298" si="19">IF(B298&gt;0,"Added"," ")</f>
        <v xml:space="preserve"> </v>
      </c>
    </row>
    <row r="299" spans="1:22" hidden="1">
      <c r="A299" s="455" t="s">
        <v>2613</v>
      </c>
      <c r="B299" s="114">
        <f>_xlfn.IFNA(VLOOKUP(Table1[[#This Row],[SKU]],'Kilter Holds'!$P$36:$S$370,4,0),0)</f>
        <v>0</v>
      </c>
      <c r="C299" s="636">
        <v>3</v>
      </c>
      <c r="D299" s="117">
        <v>0</v>
      </c>
      <c r="E299" s="117">
        <v>0</v>
      </c>
      <c r="F299" s="117">
        <f>3*Table1[[#This Row],[Quantity of Sets]]</f>
        <v>0</v>
      </c>
      <c r="G299" s="117">
        <v>0</v>
      </c>
      <c r="H299" s="117">
        <v>0</v>
      </c>
      <c r="I299" s="117">
        <v>0</v>
      </c>
      <c r="J299" s="117">
        <v>0</v>
      </c>
      <c r="K299" s="117">
        <v>0</v>
      </c>
      <c r="L299" s="123">
        <v>0</v>
      </c>
      <c r="M299" s="117">
        <v>0</v>
      </c>
      <c r="N299" s="117">
        <v>0</v>
      </c>
      <c r="O299" s="117">
        <v>0</v>
      </c>
      <c r="P299" s="117">
        <v>0</v>
      </c>
      <c r="Q299" s="117">
        <f>11*Table1[[#This Row],[Quantity of Sets]]</f>
        <v>0</v>
      </c>
      <c r="R299" s="117">
        <v>0</v>
      </c>
      <c r="S299" s="637">
        <v>0</v>
      </c>
      <c r="T299" s="637">
        <v>0</v>
      </c>
      <c r="U299" s="637">
        <v>0</v>
      </c>
      <c r="V299" s="119" t="str">
        <f>IF(B299&gt;0,"Added"," ")</f>
        <v xml:space="preserve"> </v>
      </c>
    </row>
    <row r="300" spans="1:22" hidden="1">
      <c r="A300" s="455" t="s">
        <v>2675</v>
      </c>
      <c r="B300" s="114">
        <f>_xlfn.IFNA(VLOOKUP(Table1[[#This Row],[SKU]],'Kilter Holds'!$P$36:$S$370,4,0),0)</f>
        <v>0</v>
      </c>
      <c r="C300" s="636">
        <v>10</v>
      </c>
      <c r="D300" s="117">
        <f>10*Table1[[#This Row],[Quantity of Sets]]</f>
        <v>0</v>
      </c>
      <c r="E300" s="117">
        <v>0</v>
      </c>
      <c r="F300" s="117">
        <v>0</v>
      </c>
      <c r="G300" s="117">
        <v>0</v>
      </c>
      <c r="H300" s="117">
        <v>0</v>
      </c>
      <c r="I300" s="117">
        <v>0</v>
      </c>
      <c r="J300" s="117">
        <v>0</v>
      </c>
      <c r="K300" s="117">
        <v>0</v>
      </c>
      <c r="L300" s="117">
        <v>0</v>
      </c>
      <c r="M300" s="117">
        <v>0</v>
      </c>
      <c r="N300" s="117">
        <v>0</v>
      </c>
      <c r="O300" s="117">
        <v>0</v>
      </c>
      <c r="P300" s="117">
        <v>0</v>
      </c>
      <c r="Q300" s="117">
        <f>20*Table1[[#This Row],[Quantity of Sets]]</f>
        <v>0</v>
      </c>
      <c r="R300" s="117">
        <v>0</v>
      </c>
      <c r="S300" s="637">
        <v>0</v>
      </c>
      <c r="T300" s="637">
        <v>0</v>
      </c>
      <c r="U300" s="637">
        <v>0</v>
      </c>
      <c r="V300" s="119" t="str">
        <f t="shared" ref="V300:V302" si="20">IF(B300&gt;0,"Added"," ")</f>
        <v xml:space="preserve"> </v>
      </c>
    </row>
    <row r="301" spans="1:22" hidden="1">
      <c r="A301" s="455" t="s">
        <v>2676</v>
      </c>
      <c r="B301" s="114">
        <f>_xlfn.IFNA(VLOOKUP(Table1[[#This Row],[SKU]],'Kilter Holds'!$P$36:$S$370,4,0),0)</f>
        <v>0</v>
      </c>
      <c r="C301" s="636">
        <v>2</v>
      </c>
      <c r="D301" s="117">
        <v>0</v>
      </c>
      <c r="E301" s="117">
        <v>0</v>
      </c>
      <c r="F301" s="117">
        <v>0</v>
      </c>
      <c r="G301" s="117">
        <f>1*Table1[[#This Row],[Quantity of Sets]]</f>
        <v>0</v>
      </c>
      <c r="H301" s="117">
        <v>0</v>
      </c>
      <c r="I301" s="117">
        <v>0</v>
      </c>
      <c r="J301" s="117">
        <v>0</v>
      </c>
      <c r="K301" s="117">
        <v>0</v>
      </c>
      <c r="L301" s="123">
        <v>0</v>
      </c>
      <c r="M301" s="117">
        <v>0</v>
      </c>
      <c r="N301" s="117">
        <f>1*Table1[[#This Row],[Quantity of Sets]]</f>
        <v>0</v>
      </c>
      <c r="O301" s="117">
        <v>0</v>
      </c>
      <c r="P301" s="117">
        <v>0</v>
      </c>
      <c r="Q301" s="117">
        <f>13*Table1[[#This Row],[Quantity of Sets]]</f>
        <v>0</v>
      </c>
      <c r="R301" s="117">
        <v>0</v>
      </c>
      <c r="S301" s="637">
        <v>0</v>
      </c>
      <c r="T301" s="637">
        <v>0</v>
      </c>
      <c r="U301" s="637">
        <v>0</v>
      </c>
      <c r="V301" s="119" t="str">
        <f t="shared" si="20"/>
        <v xml:space="preserve"> </v>
      </c>
    </row>
    <row r="302" spans="1:22" hidden="1">
      <c r="A302" s="455" t="s">
        <v>2677</v>
      </c>
      <c r="B302" s="114">
        <f>_xlfn.IFNA(VLOOKUP(Table1[[#This Row],[SKU]],'Kilter Holds'!$P$36:$S$370,4,0),0)</f>
        <v>0</v>
      </c>
      <c r="C302" s="636">
        <v>5</v>
      </c>
      <c r="D302" s="117">
        <v>0</v>
      </c>
      <c r="E302" s="117">
        <v>0</v>
      </c>
      <c r="F302" s="117">
        <v>0</v>
      </c>
      <c r="G302" s="117">
        <v>0</v>
      </c>
      <c r="H302" s="117">
        <f>3*Table1[[#This Row],[Quantity of Sets]]</f>
        <v>0</v>
      </c>
      <c r="I302" s="117">
        <f>2*Table1[[#This Row],[Quantity of Sets]]</f>
        <v>0</v>
      </c>
      <c r="J302" s="117">
        <v>0</v>
      </c>
      <c r="K302" s="117">
        <v>0</v>
      </c>
      <c r="L302" s="123">
        <v>0</v>
      </c>
      <c r="M302" s="117">
        <v>0</v>
      </c>
      <c r="N302" s="117">
        <v>0</v>
      </c>
      <c r="O302" s="117">
        <v>0</v>
      </c>
      <c r="P302" s="117">
        <v>0</v>
      </c>
      <c r="Q302" s="117">
        <f>2*Table1[[#This Row],[Quantity of Sets]]</f>
        <v>0</v>
      </c>
      <c r="R302" s="117">
        <v>0</v>
      </c>
      <c r="S302" s="637">
        <v>0</v>
      </c>
      <c r="T302" s="637">
        <v>0</v>
      </c>
      <c r="U302" s="637">
        <v>0</v>
      </c>
      <c r="V302" s="119" t="str">
        <f t="shared" si="20"/>
        <v xml:space="preserve"> </v>
      </c>
    </row>
    <row r="303" spans="1:22" hidden="1">
      <c r="A303" s="455" t="s">
        <v>2771</v>
      </c>
      <c r="B303" s="114">
        <f>_xlfn.IFNA(VLOOKUP(Table1[[#This Row],[SKU]],'Kilter Holds'!$P$36:$S$370,4,0),0)</f>
        <v>0</v>
      </c>
      <c r="C303" s="636">
        <v>10</v>
      </c>
      <c r="D303" s="117">
        <f>10*Table1[[#This Row],[Quantity of Sets]]</f>
        <v>0</v>
      </c>
      <c r="E303" s="117">
        <v>0</v>
      </c>
      <c r="F303" s="117">
        <v>0</v>
      </c>
      <c r="G303" s="117">
        <v>0</v>
      </c>
      <c r="H303" s="117">
        <v>0</v>
      </c>
      <c r="I303" s="117">
        <v>0</v>
      </c>
      <c r="J303" s="117">
        <v>0</v>
      </c>
      <c r="K303" s="117">
        <v>0</v>
      </c>
      <c r="L303" s="123">
        <v>0</v>
      </c>
      <c r="M303" s="117">
        <v>0</v>
      </c>
      <c r="N303" s="117">
        <v>0</v>
      </c>
      <c r="O303" s="117">
        <v>0</v>
      </c>
      <c r="P303" s="117">
        <v>0</v>
      </c>
      <c r="Q303" s="117">
        <f>10*Table1[[#This Row],[Quantity of Sets]]</f>
        <v>0</v>
      </c>
      <c r="R303" s="117">
        <v>0</v>
      </c>
      <c r="S303" s="637">
        <v>0</v>
      </c>
      <c r="T303" s="637">
        <v>0</v>
      </c>
      <c r="U303" s="637">
        <v>0</v>
      </c>
      <c r="V303" s="119" t="str">
        <f t="shared" ref="V303:V310" si="21">IF(B303&gt;0,"Added"," ")</f>
        <v xml:space="preserve"> </v>
      </c>
    </row>
    <row r="304" spans="1:22" hidden="1">
      <c r="A304" s="455" t="s">
        <v>2772</v>
      </c>
      <c r="B304" s="114">
        <f>_xlfn.IFNA(VLOOKUP(Table1[[#This Row],[SKU]],'Kilter Holds'!$P$36:$S$370,4,0),0)</f>
        <v>0</v>
      </c>
      <c r="C304" s="636">
        <v>10</v>
      </c>
      <c r="D304" s="117">
        <f>10*Table1[[#This Row],[Quantity of Sets]]</f>
        <v>0</v>
      </c>
      <c r="E304" s="117">
        <v>0</v>
      </c>
      <c r="F304" s="117">
        <v>0</v>
      </c>
      <c r="G304" s="117">
        <v>0</v>
      </c>
      <c r="H304" s="117">
        <v>0</v>
      </c>
      <c r="I304" s="117">
        <v>0</v>
      </c>
      <c r="J304" s="117">
        <v>0</v>
      </c>
      <c r="K304" s="117">
        <v>0</v>
      </c>
      <c r="L304" s="123">
        <v>0</v>
      </c>
      <c r="M304" s="117">
        <v>0</v>
      </c>
      <c r="N304" s="117">
        <v>0</v>
      </c>
      <c r="O304" s="117">
        <v>0</v>
      </c>
      <c r="P304" s="117">
        <v>0</v>
      </c>
      <c r="Q304" s="117">
        <f>10*Table1[[#This Row],[Quantity of Sets]]</f>
        <v>0</v>
      </c>
      <c r="R304" s="117">
        <v>0</v>
      </c>
      <c r="S304" s="637">
        <v>0</v>
      </c>
      <c r="T304" s="637">
        <v>0</v>
      </c>
      <c r="U304" s="637">
        <v>0</v>
      </c>
      <c r="V304" s="119" t="str">
        <f t="shared" si="21"/>
        <v xml:space="preserve"> </v>
      </c>
    </row>
    <row r="305" spans="1:22" hidden="1">
      <c r="A305" s="455" t="s">
        <v>2773</v>
      </c>
      <c r="B305" s="114">
        <f>_xlfn.IFNA(VLOOKUP(Table1[[#This Row],[SKU]],'Kilter Holds'!$P$36:$S$370,4,0),0)</f>
        <v>0</v>
      </c>
      <c r="C305" s="636">
        <v>10</v>
      </c>
      <c r="D305" s="117">
        <f>10*Table1[[#This Row],[Quantity of Sets]]</f>
        <v>0</v>
      </c>
      <c r="E305" s="117">
        <v>0</v>
      </c>
      <c r="F305" s="117">
        <v>0</v>
      </c>
      <c r="G305" s="117">
        <v>0</v>
      </c>
      <c r="H305" s="117">
        <v>0</v>
      </c>
      <c r="I305" s="117">
        <v>0</v>
      </c>
      <c r="J305" s="117">
        <v>0</v>
      </c>
      <c r="K305" s="117">
        <v>0</v>
      </c>
      <c r="L305" s="123">
        <v>0</v>
      </c>
      <c r="M305" s="117">
        <v>0</v>
      </c>
      <c r="N305" s="117">
        <v>0</v>
      </c>
      <c r="O305" s="117">
        <v>0</v>
      </c>
      <c r="P305" s="117">
        <v>0</v>
      </c>
      <c r="Q305" s="117">
        <f>10*Table1[[#This Row],[Quantity of Sets]]</f>
        <v>0</v>
      </c>
      <c r="R305" s="117">
        <v>0</v>
      </c>
      <c r="S305" s="637">
        <v>0</v>
      </c>
      <c r="T305" s="637">
        <v>0</v>
      </c>
      <c r="U305" s="637">
        <v>0</v>
      </c>
      <c r="V305" s="119" t="str">
        <f t="shared" si="21"/>
        <v xml:space="preserve"> </v>
      </c>
    </row>
    <row r="306" spans="1:22" hidden="1">
      <c r="A306" s="455" t="s">
        <v>2774</v>
      </c>
      <c r="B306" s="114">
        <f>_xlfn.IFNA(VLOOKUP(Table1[[#This Row],[SKU]],'Kilter Holds'!$P$36:$S$370,4,0),0)</f>
        <v>0</v>
      </c>
      <c r="C306" s="636">
        <v>10</v>
      </c>
      <c r="D306" s="117">
        <f>10*Table1[[#This Row],[Quantity of Sets]]</f>
        <v>0</v>
      </c>
      <c r="E306" s="117">
        <v>0</v>
      </c>
      <c r="F306" s="117">
        <v>0</v>
      </c>
      <c r="G306" s="117">
        <v>0</v>
      </c>
      <c r="H306" s="117">
        <v>0</v>
      </c>
      <c r="I306" s="117">
        <v>0</v>
      </c>
      <c r="J306" s="117">
        <v>0</v>
      </c>
      <c r="K306" s="117">
        <v>0</v>
      </c>
      <c r="L306" s="123">
        <v>0</v>
      </c>
      <c r="M306" s="117">
        <v>0</v>
      </c>
      <c r="N306" s="117">
        <v>0</v>
      </c>
      <c r="O306" s="117">
        <v>0</v>
      </c>
      <c r="P306" s="117">
        <v>0</v>
      </c>
      <c r="Q306" s="117">
        <f>20*Table1[[#This Row],[Quantity of Sets]]</f>
        <v>0</v>
      </c>
      <c r="R306" s="117">
        <v>0</v>
      </c>
      <c r="S306" s="637">
        <v>0</v>
      </c>
      <c r="T306" s="637">
        <v>0</v>
      </c>
      <c r="U306" s="637">
        <v>0</v>
      </c>
      <c r="V306" s="119" t="str">
        <f t="shared" si="21"/>
        <v xml:space="preserve"> </v>
      </c>
    </row>
    <row r="307" spans="1:22" hidden="1">
      <c r="A307" s="455" t="s">
        <v>2775</v>
      </c>
      <c r="B307" s="114">
        <f>_xlfn.IFNA(VLOOKUP(Table1[[#This Row],[SKU]],'Kilter Holds'!$P$36:$S$370,4,0),0)</f>
        <v>0</v>
      </c>
      <c r="C307" s="636">
        <v>10</v>
      </c>
      <c r="D307" s="117">
        <f>10*Table1[[#This Row],[Quantity of Sets]]</f>
        <v>0</v>
      </c>
      <c r="E307" s="117">
        <v>0</v>
      </c>
      <c r="F307" s="117">
        <v>0</v>
      </c>
      <c r="G307" s="117">
        <v>0</v>
      </c>
      <c r="H307" s="117">
        <v>0</v>
      </c>
      <c r="I307" s="117">
        <v>0</v>
      </c>
      <c r="J307" s="117">
        <v>0</v>
      </c>
      <c r="K307" s="117">
        <v>0</v>
      </c>
      <c r="L307" s="123">
        <v>0</v>
      </c>
      <c r="M307" s="117">
        <v>0</v>
      </c>
      <c r="N307" s="117">
        <v>0</v>
      </c>
      <c r="O307" s="117">
        <v>0</v>
      </c>
      <c r="P307" s="117">
        <v>0</v>
      </c>
      <c r="Q307" s="117">
        <f>20*Table1[[#This Row],[Quantity of Sets]]</f>
        <v>0</v>
      </c>
      <c r="R307" s="117">
        <v>0</v>
      </c>
      <c r="S307" s="637">
        <v>0</v>
      </c>
      <c r="T307" s="637">
        <v>0</v>
      </c>
      <c r="U307" s="637">
        <v>0</v>
      </c>
      <c r="V307" s="119" t="str">
        <f t="shared" si="21"/>
        <v xml:space="preserve"> </v>
      </c>
    </row>
    <row r="308" spans="1:22" hidden="1">
      <c r="A308" s="455" t="s">
        <v>2776</v>
      </c>
      <c r="B308" s="114">
        <f>_xlfn.IFNA(VLOOKUP(Table1[[#This Row],[SKU]],'Kilter Holds'!$P$36:$S$370,4,0),0)</f>
        <v>0</v>
      </c>
      <c r="C308" s="636">
        <v>10</v>
      </c>
      <c r="D308" s="117">
        <f>10*Table1[[#This Row],[Quantity of Sets]]</f>
        <v>0</v>
      </c>
      <c r="E308" s="117">
        <v>0</v>
      </c>
      <c r="F308" s="117">
        <v>0</v>
      </c>
      <c r="G308" s="117">
        <v>0</v>
      </c>
      <c r="H308" s="117">
        <v>0</v>
      </c>
      <c r="I308" s="117">
        <v>0</v>
      </c>
      <c r="J308" s="117">
        <v>0</v>
      </c>
      <c r="K308" s="117">
        <v>0</v>
      </c>
      <c r="L308" s="123">
        <v>0</v>
      </c>
      <c r="M308" s="117">
        <v>0</v>
      </c>
      <c r="N308" s="117">
        <v>0</v>
      </c>
      <c r="O308" s="117">
        <v>0</v>
      </c>
      <c r="P308" s="117">
        <v>0</v>
      </c>
      <c r="Q308" s="117">
        <f>20*Table1[[#This Row],[Quantity of Sets]]</f>
        <v>0</v>
      </c>
      <c r="R308" s="117">
        <v>0</v>
      </c>
      <c r="S308" s="637">
        <v>0</v>
      </c>
      <c r="T308" s="637">
        <v>0</v>
      </c>
      <c r="U308" s="637">
        <v>0</v>
      </c>
      <c r="V308" s="119" t="str">
        <f t="shared" si="21"/>
        <v xml:space="preserve"> </v>
      </c>
    </row>
    <row r="309" spans="1:22" hidden="1">
      <c r="A309" s="455" t="s">
        <v>2777</v>
      </c>
      <c r="B309" s="114">
        <f>_xlfn.IFNA(VLOOKUP(Table1[[#This Row],[SKU]],'Kilter Holds'!$P$36:$S$370,4,0),0)</f>
        <v>0</v>
      </c>
      <c r="C309" s="636">
        <v>10</v>
      </c>
      <c r="D309" s="117">
        <f>10*Table1[[#This Row],[Quantity of Sets]]</f>
        <v>0</v>
      </c>
      <c r="E309" s="117">
        <v>0</v>
      </c>
      <c r="F309" s="117">
        <v>0</v>
      </c>
      <c r="G309" s="117">
        <v>0</v>
      </c>
      <c r="H309" s="117">
        <v>0</v>
      </c>
      <c r="I309" s="117">
        <v>0</v>
      </c>
      <c r="J309" s="117">
        <v>0</v>
      </c>
      <c r="K309" s="117">
        <v>0</v>
      </c>
      <c r="L309" s="123">
        <v>0</v>
      </c>
      <c r="M309" s="117">
        <v>0</v>
      </c>
      <c r="N309" s="117">
        <v>0</v>
      </c>
      <c r="O309" s="117">
        <v>0</v>
      </c>
      <c r="P309" s="117">
        <v>0</v>
      </c>
      <c r="Q309" s="117">
        <f>20*Table1[[#This Row],[Quantity of Sets]]</f>
        <v>0</v>
      </c>
      <c r="R309" s="117">
        <v>0</v>
      </c>
      <c r="S309" s="637">
        <v>0</v>
      </c>
      <c r="T309" s="637">
        <v>0</v>
      </c>
      <c r="U309" s="637">
        <v>0</v>
      </c>
      <c r="V309" s="119" t="str">
        <f t="shared" si="21"/>
        <v xml:space="preserve"> </v>
      </c>
    </row>
    <row r="310" spans="1:22" hidden="1">
      <c r="A310" s="455" t="s">
        <v>2778</v>
      </c>
      <c r="B310" s="114">
        <f>_xlfn.IFNA(VLOOKUP(Table1[[#This Row],[SKU]],'Kilter Holds'!$P$36:$S$370,4,0),0)</f>
        <v>0</v>
      </c>
      <c r="C310" s="636">
        <v>10</v>
      </c>
      <c r="D310" s="117">
        <f>10*Table1[[#This Row],[Quantity of Sets]]</f>
        <v>0</v>
      </c>
      <c r="E310" s="117">
        <v>0</v>
      </c>
      <c r="F310" s="117">
        <v>0</v>
      </c>
      <c r="G310" s="117">
        <v>0</v>
      </c>
      <c r="H310" s="117">
        <v>0</v>
      </c>
      <c r="I310" s="117">
        <v>0</v>
      </c>
      <c r="J310" s="117">
        <v>0</v>
      </c>
      <c r="K310" s="117">
        <v>0</v>
      </c>
      <c r="L310" s="123">
        <v>0</v>
      </c>
      <c r="M310" s="117">
        <v>0</v>
      </c>
      <c r="N310" s="117">
        <v>0</v>
      </c>
      <c r="O310" s="117">
        <v>0</v>
      </c>
      <c r="P310" s="117">
        <v>0</v>
      </c>
      <c r="Q310" s="117">
        <f>20*Table1[[#This Row],[Quantity of Sets]]</f>
        <v>0</v>
      </c>
      <c r="R310" s="117">
        <v>0</v>
      </c>
      <c r="S310" s="637">
        <v>0</v>
      </c>
      <c r="T310" s="637">
        <v>0</v>
      </c>
      <c r="U310" s="637">
        <v>0</v>
      </c>
      <c r="V310" s="119" t="str">
        <f t="shared" si="21"/>
        <v xml:space="preserve"> </v>
      </c>
    </row>
    <row r="311" spans="1:22" hidden="1">
      <c r="A311" s="455" t="s">
        <v>2966</v>
      </c>
      <c r="B311" s="114">
        <f>_xlfn.IFNA(VLOOKUP(Table1[[#This Row],[SKU]],'Kilter Holds'!$P$36:$S$370,4,0),0)</f>
        <v>0</v>
      </c>
      <c r="C311" s="636">
        <v>3</v>
      </c>
      <c r="D311" s="117">
        <v>0</v>
      </c>
      <c r="E311" s="117">
        <v>0</v>
      </c>
      <c r="F311" s="117">
        <v>0</v>
      </c>
      <c r="G311" s="117">
        <f>1*Table1[[#This Row],[Quantity of Sets]]</f>
        <v>0</v>
      </c>
      <c r="H311" s="117">
        <v>0</v>
      </c>
      <c r="I311" s="117">
        <f>1*Table1[[#This Row],[Quantity of Sets]]</f>
        <v>0</v>
      </c>
      <c r="J311" s="117">
        <f>1*Table1[[#This Row],[Quantity of Sets]]</f>
        <v>0</v>
      </c>
      <c r="K311" s="117">
        <v>0</v>
      </c>
      <c r="L311" s="123">
        <v>0</v>
      </c>
      <c r="M311" s="117">
        <v>0</v>
      </c>
      <c r="N311" s="117">
        <v>0</v>
      </c>
      <c r="O311" s="117">
        <v>0</v>
      </c>
      <c r="P311" s="117">
        <v>0</v>
      </c>
      <c r="Q311" s="117">
        <f>12*Table1[[#This Row],[Quantity of Sets]]</f>
        <v>0</v>
      </c>
      <c r="R311" s="117">
        <v>0</v>
      </c>
      <c r="S311" s="637">
        <v>0</v>
      </c>
      <c r="T311" s="637">
        <v>0</v>
      </c>
      <c r="U311" s="637">
        <v>0</v>
      </c>
      <c r="V311" s="119" t="str">
        <f t="shared" ref="V311:V312" si="22">IF(B311&gt;0,"Added"," ")</f>
        <v xml:space="preserve"> </v>
      </c>
    </row>
    <row r="312" spans="1:22" hidden="1">
      <c r="A312" s="455" t="s">
        <v>2968</v>
      </c>
      <c r="B312" s="114">
        <f>_xlfn.IFNA(VLOOKUP(Table1[[#This Row],[SKU]],'Kilter Holds'!$P$36:$S$370,4,0),0)</f>
        <v>0</v>
      </c>
      <c r="C312" s="636">
        <v>6</v>
      </c>
      <c r="D312" s="117">
        <v>0</v>
      </c>
      <c r="E312" s="117">
        <f>1*Table1[[#This Row],[Quantity of Sets]]</f>
        <v>0</v>
      </c>
      <c r="F312" s="117">
        <v>0</v>
      </c>
      <c r="G312" s="117">
        <v>0</v>
      </c>
      <c r="H312" s="117">
        <v>0</v>
      </c>
      <c r="I312" s="117">
        <f>1*Table1[[#This Row],[Quantity of Sets]]</f>
        <v>0</v>
      </c>
      <c r="J312" s="117">
        <v>0</v>
      </c>
      <c r="K312" s="117">
        <v>0</v>
      </c>
      <c r="L312" s="123">
        <v>0</v>
      </c>
      <c r="M312" s="117">
        <v>0</v>
      </c>
      <c r="N312" s="117">
        <v>0</v>
      </c>
      <c r="O312" s="117">
        <v>0</v>
      </c>
      <c r="P312" s="117">
        <v>0</v>
      </c>
      <c r="Q312" s="117">
        <f>24*Table1[[#This Row],[Quantity of Sets]]</f>
        <v>0</v>
      </c>
      <c r="R312" s="117">
        <v>0</v>
      </c>
      <c r="S312" s="637">
        <v>0</v>
      </c>
      <c r="T312" s="637">
        <v>0</v>
      </c>
      <c r="U312" s="637">
        <v>0</v>
      </c>
      <c r="V312" s="119" t="str">
        <f t="shared" si="22"/>
        <v xml:space="preserve"> </v>
      </c>
    </row>
    <row r="313" spans="1:22" hidden="1">
      <c r="A313" s="455" t="s">
        <v>2970</v>
      </c>
      <c r="B313" s="114">
        <f>_xlfn.IFNA(VLOOKUP(Table1[[#This Row],[SKU]],'Kilter Holds'!$P$36:$S$370,4,0),0)</f>
        <v>0</v>
      </c>
      <c r="C313" s="636">
        <v>4</v>
      </c>
      <c r="D313" s="117">
        <v>0</v>
      </c>
      <c r="E313" s="117">
        <f>1*Table1[[#This Row],[Quantity of Sets]]</f>
        <v>0</v>
      </c>
      <c r="F313" s="117">
        <f>3*Table1[[#This Row],[Quantity of Sets]]</f>
        <v>0</v>
      </c>
      <c r="G313" s="117">
        <v>0</v>
      </c>
      <c r="H313" s="117">
        <v>0</v>
      </c>
      <c r="I313" s="117">
        <v>0</v>
      </c>
      <c r="J313" s="117">
        <v>0</v>
      </c>
      <c r="K313" s="117">
        <v>0</v>
      </c>
      <c r="L313" s="123">
        <v>0</v>
      </c>
      <c r="M313" s="117">
        <v>0</v>
      </c>
      <c r="N313" s="117">
        <v>0</v>
      </c>
      <c r="O313" s="117">
        <v>0</v>
      </c>
      <c r="P313" s="117">
        <v>0</v>
      </c>
      <c r="Q313" s="117">
        <f>19*Table1[[#This Row],[Quantity of Sets]]</f>
        <v>0</v>
      </c>
      <c r="R313" s="117">
        <v>0</v>
      </c>
      <c r="S313" s="637">
        <v>0</v>
      </c>
      <c r="T313" s="637">
        <v>0</v>
      </c>
      <c r="U313" s="637">
        <v>0</v>
      </c>
      <c r="V313" s="119" t="str">
        <f>IF(B313&gt;0,"Added"," ")</f>
        <v xml:space="preserve"> </v>
      </c>
    </row>
    <row r="314" spans="1:22" hidden="1">
      <c r="A314" s="455" t="s">
        <v>2986</v>
      </c>
      <c r="B314" s="114">
        <f>_xlfn.IFNA(VLOOKUP(Table1[[#This Row],[SKU]],'Kilter Holds'!$P$36:$S$370,4,0),0)</f>
        <v>0</v>
      </c>
      <c r="C314" s="719">
        <v>3</v>
      </c>
      <c r="D314" s="720">
        <v>0</v>
      </c>
      <c r="E314" s="720">
        <v>0</v>
      </c>
      <c r="F314" s="720">
        <v>0</v>
      </c>
      <c r="G314" s="720">
        <f>1*Table1[[#This Row],[Quantity of Sets]]</f>
        <v>0</v>
      </c>
      <c r="H314" s="720">
        <f>1*Table1[[#This Row],[Quantity of Sets]]</f>
        <v>0</v>
      </c>
      <c r="I314" s="720">
        <f>1*Table1[[#This Row],[Quantity of Sets]]</f>
        <v>0</v>
      </c>
      <c r="J314" s="720">
        <v>0</v>
      </c>
      <c r="K314" s="720">
        <v>0</v>
      </c>
      <c r="L314" s="721">
        <v>0</v>
      </c>
      <c r="M314" s="720">
        <v>0</v>
      </c>
      <c r="N314" s="720">
        <v>0</v>
      </c>
      <c r="O314" s="720">
        <v>0</v>
      </c>
      <c r="P314" s="720">
        <v>0</v>
      </c>
      <c r="Q314" s="633">
        <f>12*Table1[[#This Row],[Quantity of Sets]]</f>
        <v>0</v>
      </c>
      <c r="R314" s="722">
        <v>0</v>
      </c>
      <c r="S314" s="723">
        <v>0</v>
      </c>
      <c r="T314" s="724">
        <v>0</v>
      </c>
      <c r="U314" s="724">
        <v>0</v>
      </c>
      <c r="V314" s="722" t="str">
        <f>IF(B314&gt;0,"Added"," ")</f>
        <v xml:space="preserve"> </v>
      </c>
    </row>
    <row r="315" spans="1:22" hidden="1">
      <c r="A315" s="455" t="s">
        <v>2995</v>
      </c>
      <c r="B315" s="114">
        <f>_xlfn.IFNA(VLOOKUP(Table1[[#This Row],[SKU]],'Kilter Holds'!$P$36:$S$370,4,0),0)</f>
        <v>0</v>
      </c>
      <c r="C315" s="719">
        <v>6</v>
      </c>
      <c r="D315" s="720">
        <v>0</v>
      </c>
      <c r="E315" s="720">
        <v>0</v>
      </c>
      <c r="F315" s="720">
        <v>0</v>
      </c>
      <c r="G315" s="720">
        <v>0</v>
      </c>
      <c r="H315" s="720">
        <v>0</v>
      </c>
      <c r="I315" s="720">
        <v>0</v>
      </c>
      <c r="J315" s="720">
        <v>0</v>
      </c>
      <c r="K315" s="720">
        <v>0</v>
      </c>
      <c r="L315" s="721">
        <v>0</v>
      </c>
      <c r="M315" s="720">
        <v>0</v>
      </c>
      <c r="N315" s="720">
        <v>0</v>
      </c>
      <c r="O315" s="720">
        <v>0</v>
      </c>
      <c r="P315" s="720">
        <v>0</v>
      </c>
      <c r="Q315" s="633">
        <f>18*Table1[[#This Row],[Quantity of Sets]]</f>
        <v>0</v>
      </c>
      <c r="R315" s="722">
        <v>0</v>
      </c>
      <c r="S315" s="723">
        <v>0</v>
      </c>
      <c r="T315" s="724">
        <v>0</v>
      </c>
      <c r="U315" s="724">
        <v>0</v>
      </c>
      <c r="V315" s="722" t="str">
        <f>IF(B315&gt;0,"Added"," ")</f>
        <v xml:space="preserve"> </v>
      </c>
    </row>
    <row r="316" spans="1:22" hidden="1">
      <c r="A316" s="455" t="s">
        <v>2457</v>
      </c>
      <c r="B316" s="114">
        <f>_xlfn.IFNA(VLOOKUP(Table1[[#This Row],[SKU]],'Kilter Holds'!$P$36:$S$370,4,0),0)</f>
        <v>0</v>
      </c>
      <c r="C316" s="631">
        <v>6</v>
      </c>
      <c r="D316" s="630">
        <v>0</v>
      </c>
      <c r="E316" s="630">
        <v>0</v>
      </c>
      <c r="F316" s="630">
        <v>0</v>
      </c>
      <c r="G316" s="630">
        <v>0</v>
      </c>
      <c r="H316" s="630">
        <v>0</v>
      </c>
      <c r="I316" s="630">
        <v>0</v>
      </c>
      <c r="J316" s="630">
        <v>0</v>
      </c>
      <c r="K316" s="630">
        <v>0</v>
      </c>
      <c r="L316" s="632">
        <v>0</v>
      </c>
      <c r="M316" s="630">
        <v>0</v>
      </c>
      <c r="N316" s="630">
        <v>0</v>
      </c>
      <c r="O316" s="630">
        <v>0</v>
      </c>
      <c r="P316" s="630">
        <v>0</v>
      </c>
      <c r="Q316" s="633">
        <f>20*Table1[[#This Row],[Quantity of Sets]]</f>
        <v>0</v>
      </c>
      <c r="R316" s="629">
        <v>0</v>
      </c>
      <c r="S316" s="634">
        <v>0</v>
      </c>
      <c r="T316" s="635">
        <v>0</v>
      </c>
      <c r="U316" s="635">
        <v>0</v>
      </c>
      <c r="V316" s="629" t="str">
        <f t="shared" si="11"/>
        <v xml:space="preserve"> </v>
      </c>
    </row>
    <row r="317" spans="1:22" hidden="1">
      <c r="A317" s="455" t="s">
        <v>2980</v>
      </c>
      <c r="B317" s="114">
        <f>_xlfn.IFNA(VLOOKUP(Table1[[#This Row],[SKU]],'Kilter Holds'!$P$36:$S$370,4,0),0)</f>
        <v>0</v>
      </c>
      <c r="C317" s="719">
        <v>1</v>
      </c>
      <c r="D317" s="720">
        <f>1*Table1[[#This Row],[Quantity of Sets]]</f>
        <v>0</v>
      </c>
      <c r="E317" s="720">
        <v>0</v>
      </c>
      <c r="F317" s="720">
        <v>0</v>
      </c>
      <c r="G317" s="720">
        <v>0</v>
      </c>
      <c r="H317" s="720">
        <v>0</v>
      </c>
      <c r="I317" s="720">
        <v>0</v>
      </c>
      <c r="J317" s="720">
        <v>0</v>
      </c>
      <c r="K317" s="720">
        <v>0</v>
      </c>
      <c r="L317" s="721">
        <v>0</v>
      </c>
      <c r="M317" s="720">
        <v>0</v>
      </c>
      <c r="N317" s="720">
        <v>0</v>
      </c>
      <c r="O317" s="720">
        <v>0</v>
      </c>
      <c r="P317" s="720">
        <v>0</v>
      </c>
      <c r="Q317" s="633">
        <f>3*Table1[[#This Row],[Quantity of Sets]]</f>
        <v>0</v>
      </c>
      <c r="R317" s="722">
        <v>0</v>
      </c>
      <c r="S317" s="723">
        <v>0</v>
      </c>
      <c r="T317" s="724">
        <v>0</v>
      </c>
      <c r="U317" s="724">
        <v>0</v>
      </c>
      <c r="V317" s="722" t="str">
        <f>IF(B317&gt;0,"Added"," ")</f>
        <v xml:space="preserve"> </v>
      </c>
    </row>
    <row r="318" spans="1:22" hidden="1">
      <c r="A318" s="455" t="s">
        <v>2982</v>
      </c>
      <c r="B318" s="114">
        <f>_xlfn.IFNA(VLOOKUP(Table1[[#This Row],[SKU]],'Kilter Holds'!$P$36:$S$370,4,0),0)</f>
        <v>0</v>
      </c>
      <c r="C318" s="719">
        <v>1</v>
      </c>
      <c r="D318" s="720">
        <v>0</v>
      </c>
      <c r="E318" s="720">
        <v>0</v>
      </c>
      <c r="F318" s="720">
        <v>0</v>
      </c>
      <c r="G318" s="720">
        <v>0</v>
      </c>
      <c r="H318" s="720">
        <v>0</v>
      </c>
      <c r="I318" s="720">
        <v>0</v>
      </c>
      <c r="J318" s="720">
        <v>0</v>
      </c>
      <c r="K318" s="720">
        <v>0</v>
      </c>
      <c r="L318" s="721">
        <v>0</v>
      </c>
      <c r="M318" s="720">
        <v>0</v>
      </c>
      <c r="N318" s="720">
        <v>0</v>
      </c>
      <c r="O318" s="720">
        <v>0</v>
      </c>
      <c r="P318" s="720">
        <v>0</v>
      </c>
      <c r="Q318" s="633">
        <f>3*Table1[[#This Row],[Quantity of Sets]]</f>
        <v>0</v>
      </c>
      <c r="R318" s="722">
        <v>0</v>
      </c>
      <c r="S318" s="723">
        <v>0</v>
      </c>
      <c r="T318" s="724">
        <v>0</v>
      </c>
      <c r="U318" s="724">
        <v>0</v>
      </c>
      <c r="V318" s="722" t="str">
        <f>IF(B318&gt;0,"Added"," ")</f>
        <v xml:space="preserve"> </v>
      </c>
    </row>
    <row r="319" spans="1:22" hidden="1">
      <c r="A319" s="455" t="s">
        <v>2702</v>
      </c>
      <c r="B319" s="114">
        <f>_xlfn.IFNA(VLOOKUP(Table1[[#This Row],[SKU]],'Kilter Holds'!$P$36:$S$370,4,0),0)</f>
        <v>0</v>
      </c>
      <c r="C319" s="660">
        <v>5</v>
      </c>
      <c r="D319" s="630">
        <f>5*Table1[[#This Row],[Quantity of Sets]]</f>
        <v>0</v>
      </c>
      <c r="E319" s="630">
        <v>0</v>
      </c>
      <c r="F319" s="630">
        <v>0</v>
      </c>
      <c r="G319" s="630">
        <v>0</v>
      </c>
      <c r="H319" s="630">
        <v>0</v>
      </c>
      <c r="I319" s="630">
        <v>0</v>
      </c>
      <c r="J319" s="630">
        <v>0</v>
      </c>
      <c r="K319" s="630">
        <v>0</v>
      </c>
      <c r="L319" s="632">
        <v>0</v>
      </c>
      <c r="M319" s="630">
        <v>0</v>
      </c>
      <c r="N319" s="630">
        <v>0</v>
      </c>
      <c r="O319" s="630">
        <v>0</v>
      </c>
      <c r="P319" s="630">
        <v>0</v>
      </c>
      <c r="Q319" s="633">
        <f>7*Table1[[#This Row],[Quantity of Sets]]</f>
        <v>0</v>
      </c>
      <c r="R319" s="629">
        <v>0</v>
      </c>
      <c r="S319" s="634">
        <v>0</v>
      </c>
      <c r="T319" s="635">
        <v>0</v>
      </c>
      <c r="U319" s="635">
        <v>0</v>
      </c>
      <c r="V319" s="661" t="str">
        <f>IF(B319&gt;0,"Added"," ")</f>
        <v xml:space="preserve"> </v>
      </c>
    </row>
    <row r="320" spans="1:22" hidden="1">
      <c r="A320" s="455" t="s">
        <v>2707</v>
      </c>
      <c r="B320" s="114">
        <f>_xlfn.IFNA(VLOOKUP(Table1[[#This Row],[SKU]],'Kilter Holds'!$P$36:$S$370,4,0),0)</f>
        <v>0</v>
      </c>
      <c r="C320" s="660">
        <v>10</v>
      </c>
      <c r="D320" s="630">
        <v>0</v>
      </c>
      <c r="E320" s="630">
        <v>0</v>
      </c>
      <c r="F320" s="630">
        <v>0</v>
      </c>
      <c r="G320" s="630">
        <v>0</v>
      </c>
      <c r="H320" s="630">
        <v>0</v>
      </c>
      <c r="I320" s="630">
        <v>0</v>
      </c>
      <c r="J320" s="630">
        <v>0</v>
      </c>
      <c r="K320" s="630">
        <v>0</v>
      </c>
      <c r="L320" s="632">
        <v>0</v>
      </c>
      <c r="M320" s="630">
        <v>0</v>
      </c>
      <c r="N320" s="630">
        <v>0</v>
      </c>
      <c r="O320" s="630">
        <v>0</v>
      </c>
      <c r="P320" s="630">
        <v>0</v>
      </c>
      <c r="Q320" s="633">
        <f>22*Table1[[#This Row],[Quantity of Sets]]</f>
        <v>0</v>
      </c>
      <c r="R320" s="629">
        <v>0</v>
      </c>
      <c r="S320" s="634">
        <v>0</v>
      </c>
      <c r="T320" s="635">
        <v>0</v>
      </c>
      <c r="U320" s="635">
        <v>0</v>
      </c>
      <c r="V320" s="661" t="str">
        <f>IF(B320&gt;0,"Added"," ")</f>
        <v xml:space="preserve"> </v>
      </c>
    </row>
    <row r="321" spans="1:22" hidden="1">
      <c r="A321" s="449" t="s">
        <v>101</v>
      </c>
      <c r="B321" s="114">
        <f>_xlfn.IFNA(VLOOKUP(Table1[[#This Row],[SKU]],'Kilter Holds'!$P$36:$S$370,4,0),0)</f>
        <v>0</v>
      </c>
      <c r="C321" s="115">
        <v>4</v>
      </c>
      <c r="D321" s="117">
        <v>0</v>
      </c>
      <c r="E321" s="117">
        <v>0</v>
      </c>
      <c r="F321" s="117">
        <v>0</v>
      </c>
      <c r="G321" s="117">
        <v>0</v>
      </c>
      <c r="H321" s="117">
        <v>0</v>
      </c>
      <c r="I321" s="117">
        <f>IFERROR(1*B321,0)</f>
        <v>0</v>
      </c>
      <c r="J321" s="117">
        <f>IFERROR(1*B321,0)</f>
        <v>0</v>
      </c>
      <c r="K321" s="117">
        <v>0</v>
      </c>
      <c r="L321" s="123">
        <v>0</v>
      </c>
      <c r="M321" s="117">
        <f>IFERROR(2*B321,0)</f>
        <v>0</v>
      </c>
      <c r="N321" s="117">
        <v>0</v>
      </c>
      <c r="O321" s="117">
        <v>0</v>
      </c>
      <c r="P321" s="117">
        <v>0</v>
      </c>
      <c r="Q321" s="117">
        <v>0</v>
      </c>
      <c r="R321" s="117">
        <v>0</v>
      </c>
      <c r="S321" s="119">
        <v>0</v>
      </c>
      <c r="T321" s="119">
        <v>0</v>
      </c>
      <c r="U321" s="119">
        <v>0</v>
      </c>
      <c r="V321" s="119" t="str">
        <f t="shared" si="9"/>
        <v xml:space="preserve"> </v>
      </c>
    </row>
    <row r="322" spans="1:22" hidden="1">
      <c r="A322" s="450" t="s">
        <v>102</v>
      </c>
      <c r="B322" s="114">
        <f>_xlfn.IFNA(VLOOKUP(Table1[[#This Row],[SKU]],'Kilter Holds'!$P$36:$S$370,4,0),0)</f>
        <v>0</v>
      </c>
      <c r="C322" s="115">
        <v>4</v>
      </c>
      <c r="D322" s="118">
        <v>0</v>
      </c>
      <c r="E322" s="118">
        <v>0</v>
      </c>
      <c r="F322" s="118">
        <v>0</v>
      </c>
      <c r="G322" s="118">
        <v>0</v>
      </c>
      <c r="H322" s="117">
        <f>IFERROR(1*B322,0)</f>
        <v>0</v>
      </c>
      <c r="I322" s="118">
        <v>0</v>
      </c>
      <c r="J322" s="118">
        <v>0</v>
      </c>
      <c r="K322" s="118">
        <v>0</v>
      </c>
      <c r="L322" s="123">
        <v>0</v>
      </c>
      <c r="M322" s="117">
        <f>IFERROR(3*B322,0)</f>
        <v>0</v>
      </c>
      <c r="N322" s="118">
        <v>0</v>
      </c>
      <c r="O322" s="118">
        <v>0</v>
      </c>
      <c r="P322" s="118">
        <v>0</v>
      </c>
      <c r="Q322" s="118">
        <v>0</v>
      </c>
      <c r="R322" s="118">
        <v>0</v>
      </c>
      <c r="S322" s="119">
        <v>0</v>
      </c>
      <c r="T322" s="119">
        <v>0</v>
      </c>
      <c r="U322" s="119">
        <v>0</v>
      </c>
      <c r="V322" s="119" t="str">
        <f t="shared" si="9"/>
        <v xml:space="preserve"> </v>
      </c>
    </row>
    <row r="323" spans="1:22" hidden="1">
      <c r="A323" s="592" t="s">
        <v>2208</v>
      </c>
      <c r="B323" s="114">
        <f>_xlfn.IFNA(VLOOKUP(Table1[[#This Row],[SKU]],'Kilter Holds'!$P$36:$S$370,4,0),0)</f>
        <v>0</v>
      </c>
      <c r="C323" s="115">
        <v>6</v>
      </c>
      <c r="D323" s="118">
        <v>0</v>
      </c>
      <c r="E323" s="118">
        <f>Table1[[#This Row],[Quantity of Sets]]*1</f>
        <v>0</v>
      </c>
      <c r="F323" s="118">
        <f>Table1[[#This Row],[Quantity of Sets]]*1</f>
        <v>0</v>
      </c>
      <c r="G323" s="118">
        <f>Table1[[#This Row],[Quantity of Sets]]*2</f>
        <v>0</v>
      </c>
      <c r="H323" s="117">
        <v>0</v>
      </c>
      <c r="I323" s="118">
        <f>Table1[[#This Row],[Quantity of Sets]]*2</f>
        <v>0</v>
      </c>
      <c r="J323" s="118">
        <v>0</v>
      </c>
      <c r="K323" s="118">
        <v>0</v>
      </c>
      <c r="L323" s="123">
        <v>0</v>
      </c>
      <c r="M323" s="117">
        <v>0</v>
      </c>
      <c r="N323" s="118">
        <v>0</v>
      </c>
      <c r="O323" s="118">
        <v>0</v>
      </c>
      <c r="P323" s="118">
        <v>0</v>
      </c>
      <c r="Q323" s="118">
        <f>Table1[[#This Row],[Quantity of Sets]]*2</f>
        <v>0</v>
      </c>
      <c r="R323" s="119">
        <f>Table1[[#This Row],[Quantity of Sets]]*5</f>
        <v>0</v>
      </c>
      <c r="S323" s="119">
        <v>0</v>
      </c>
      <c r="T323" s="119">
        <f>Table1[[#This Row],[Quantity of Sets]]*5</f>
        <v>0</v>
      </c>
      <c r="U323" s="119">
        <v>0</v>
      </c>
      <c r="V323" s="119" t="str">
        <f>IF(B323&gt;0,"Added"," ")</f>
        <v xml:space="preserve"> </v>
      </c>
    </row>
    <row r="324" spans="1:22" hidden="1">
      <c r="A324" s="602" t="s">
        <v>2308</v>
      </c>
      <c r="B324" s="114">
        <f>_xlfn.IFNA(VLOOKUP(Table1[[#This Row],[SKU]],'Kilter Holds'!$P$36:$S$370,4,0),0)</f>
        <v>0</v>
      </c>
      <c r="C324" s="115">
        <v>5</v>
      </c>
      <c r="D324" s="118">
        <v>0</v>
      </c>
      <c r="E324" s="118">
        <v>0</v>
      </c>
      <c r="F324" s="118">
        <f>1*Table1[[#This Row],[Quantity of Sets]]</f>
        <v>0</v>
      </c>
      <c r="G324" s="118">
        <f>4*Table1[[#This Row],[Quantity of Sets]]</f>
        <v>0</v>
      </c>
      <c r="H324" s="117">
        <v>0</v>
      </c>
      <c r="I324" s="118">
        <v>0</v>
      </c>
      <c r="J324" s="118">
        <v>0</v>
      </c>
      <c r="K324" s="118">
        <v>0</v>
      </c>
      <c r="L324" s="123">
        <v>0</v>
      </c>
      <c r="M324" s="117">
        <v>0</v>
      </c>
      <c r="N324" s="118">
        <v>0</v>
      </c>
      <c r="O324" s="118">
        <v>0</v>
      </c>
      <c r="P324" s="118">
        <v>0</v>
      </c>
      <c r="Q324" s="118">
        <f>30*Table1[[#This Row],[Quantity of Sets]]</f>
        <v>0</v>
      </c>
      <c r="R324" s="119">
        <v>0</v>
      </c>
      <c r="S324" s="119">
        <v>0</v>
      </c>
      <c r="T324" s="119">
        <v>0</v>
      </c>
      <c r="U324" s="119">
        <v>0</v>
      </c>
      <c r="V324" s="119" t="str">
        <f t="shared" ref="V324:V330" si="23">IF(B324&gt;0,"Added"," ")</f>
        <v xml:space="preserve"> </v>
      </c>
    </row>
    <row r="325" spans="1:22" hidden="1">
      <c r="A325" s="628" t="s">
        <v>2341</v>
      </c>
      <c r="B325" s="114">
        <f>_xlfn.IFNA(VLOOKUP(Table1[[#This Row],[SKU]],'Kilter Holds'!$P$36:$S$370,4,0),0)</f>
        <v>0</v>
      </c>
      <c r="C325" s="115">
        <v>5</v>
      </c>
      <c r="D325" s="118">
        <v>0</v>
      </c>
      <c r="E325" s="118">
        <f>2*Table1[[#This Row],[Quantity of Sets]]</f>
        <v>0</v>
      </c>
      <c r="F325" s="118">
        <f>3*Table1[[#This Row],[Quantity of Sets]]</f>
        <v>0</v>
      </c>
      <c r="G325" s="118">
        <v>0</v>
      </c>
      <c r="H325" s="117">
        <v>0</v>
      </c>
      <c r="I325" s="118">
        <v>0</v>
      </c>
      <c r="J325" s="118">
        <v>0</v>
      </c>
      <c r="K325" s="118">
        <v>0</v>
      </c>
      <c r="L325" s="123">
        <v>0</v>
      </c>
      <c r="M325" s="117">
        <v>0</v>
      </c>
      <c r="N325" s="118">
        <v>0</v>
      </c>
      <c r="O325" s="118">
        <v>0</v>
      </c>
      <c r="P325" s="118">
        <v>0</v>
      </c>
      <c r="Q325" s="118">
        <f>20*Table1[[#This Row],[Quantity of Sets]]</f>
        <v>0</v>
      </c>
      <c r="R325" s="119">
        <v>0</v>
      </c>
      <c r="S325" s="119">
        <v>0</v>
      </c>
      <c r="T325" s="119">
        <v>0</v>
      </c>
      <c r="U325" s="119">
        <v>0</v>
      </c>
      <c r="V325" s="119" t="str">
        <f>IF(B325&gt;0,"Added"," ")</f>
        <v xml:space="preserve"> </v>
      </c>
    </row>
    <row r="326" spans="1:22" hidden="1">
      <c r="A326" s="621" t="s">
        <v>2417</v>
      </c>
      <c r="B326" s="114">
        <f>_xlfn.IFNA(VLOOKUP(Table1[[#This Row],[SKU]],'Kilter Holds'!$P$36:$S$370,4,0),0)</f>
        <v>0</v>
      </c>
      <c r="C326" s="115">
        <v>3</v>
      </c>
      <c r="D326" s="118">
        <v>0</v>
      </c>
      <c r="E326" s="118">
        <v>0</v>
      </c>
      <c r="F326" s="118">
        <v>0</v>
      </c>
      <c r="G326" s="118">
        <v>0</v>
      </c>
      <c r="H326" s="117">
        <v>0</v>
      </c>
      <c r="I326" s="118">
        <v>0</v>
      </c>
      <c r="J326" s="118">
        <f>2*Table1[[#This Row],[Quantity of Sets]]</f>
        <v>0</v>
      </c>
      <c r="K326" s="118">
        <v>0</v>
      </c>
      <c r="L326" s="123">
        <v>0</v>
      </c>
      <c r="M326" s="117">
        <v>0</v>
      </c>
      <c r="N326" s="118">
        <f>1*Table1[[#This Row],[Quantity of Sets]]</f>
        <v>0</v>
      </c>
      <c r="O326" s="118">
        <v>0</v>
      </c>
      <c r="P326" s="118">
        <v>0</v>
      </c>
      <c r="Q326" s="118">
        <f>23*Table1[[#This Row],[Quantity of Sets]]</f>
        <v>0</v>
      </c>
      <c r="R326" s="119">
        <f>1*Table1[[#This Row],[Quantity of Sets]]</f>
        <v>0</v>
      </c>
      <c r="S326" s="119">
        <v>0</v>
      </c>
      <c r="T326" s="119">
        <v>0</v>
      </c>
      <c r="U326" s="119">
        <v>0</v>
      </c>
      <c r="V326" s="119" t="str">
        <f>IF(B326&gt;0,"Added"," ")</f>
        <v xml:space="preserve"> </v>
      </c>
    </row>
    <row r="327" spans="1:22" hidden="1">
      <c r="A327" s="621" t="s">
        <v>2418</v>
      </c>
      <c r="B327" s="114">
        <f>_xlfn.IFNA(VLOOKUP(Table1[[#This Row],[SKU]],'Kilter Holds'!$P$36:$S$370,4,0),0)</f>
        <v>0</v>
      </c>
      <c r="C327" s="622">
        <v>1</v>
      </c>
      <c r="D327" s="620">
        <v>0</v>
      </c>
      <c r="E327" s="620">
        <v>0</v>
      </c>
      <c r="F327" s="620">
        <v>0</v>
      </c>
      <c r="G327" s="620">
        <v>0</v>
      </c>
      <c r="H327" s="623">
        <v>0</v>
      </c>
      <c r="I327" s="620">
        <v>0</v>
      </c>
      <c r="J327" s="620">
        <v>0</v>
      </c>
      <c r="K327" s="620">
        <v>0</v>
      </c>
      <c r="L327" s="624">
        <v>0</v>
      </c>
      <c r="M327" s="623">
        <v>0</v>
      </c>
      <c r="N327" s="620">
        <f>1*Table1[[#This Row],[Quantity of Sets]]</f>
        <v>0</v>
      </c>
      <c r="O327" s="620">
        <v>0</v>
      </c>
      <c r="P327" s="620">
        <v>0</v>
      </c>
      <c r="Q327" s="607">
        <f>8*Table1[[#This Row],[Quantity of Sets]]</f>
        <v>0</v>
      </c>
      <c r="R327" s="620">
        <f>1*Table1[[#This Row],[Quantity of Sets]]</f>
        <v>0</v>
      </c>
      <c r="S327" s="619">
        <v>0</v>
      </c>
      <c r="T327" s="626">
        <v>0</v>
      </c>
      <c r="U327" s="626">
        <v>0</v>
      </c>
      <c r="V327" s="620" t="str">
        <f t="shared" ref="V327:V329" si="24">IF(B327&gt;0,"Added"," ")</f>
        <v xml:space="preserve"> </v>
      </c>
    </row>
    <row r="328" spans="1:22" hidden="1">
      <c r="A328" s="621" t="s">
        <v>2419</v>
      </c>
      <c r="B328" s="114">
        <f>_xlfn.IFNA(VLOOKUP(Table1[[#This Row],[SKU]],'Kilter Holds'!$P$36:$S$370,4,0),0)</f>
        <v>0</v>
      </c>
      <c r="C328" s="622">
        <v>1</v>
      </c>
      <c r="D328" s="620">
        <v>0</v>
      </c>
      <c r="E328" s="620">
        <v>0</v>
      </c>
      <c r="F328" s="620">
        <v>0</v>
      </c>
      <c r="G328" s="620">
        <v>0</v>
      </c>
      <c r="H328" s="623">
        <v>0</v>
      </c>
      <c r="I328" s="620">
        <v>0</v>
      </c>
      <c r="J328" s="620">
        <f>1*Table1[[#This Row],[Quantity of Sets]]</f>
        <v>0</v>
      </c>
      <c r="K328" s="620">
        <v>0</v>
      </c>
      <c r="L328" s="624">
        <v>0</v>
      </c>
      <c r="M328" s="623">
        <v>0</v>
      </c>
      <c r="N328" s="620">
        <v>0</v>
      </c>
      <c r="O328" s="620">
        <v>0</v>
      </c>
      <c r="P328" s="620">
        <v>0</v>
      </c>
      <c r="Q328" s="607">
        <f>8*Table1[[#This Row],[Quantity of Sets]]</f>
        <v>0</v>
      </c>
      <c r="R328" s="620">
        <v>0</v>
      </c>
      <c r="S328" s="619">
        <v>0</v>
      </c>
      <c r="T328" s="626">
        <v>0</v>
      </c>
      <c r="U328" s="626">
        <v>0</v>
      </c>
      <c r="V328" s="620" t="str">
        <f t="shared" si="24"/>
        <v xml:space="preserve"> </v>
      </c>
    </row>
    <row r="329" spans="1:22" hidden="1">
      <c r="A329" s="621" t="s">
        <v>2420</v>
      </c>
      <c r="B329" s="114">
        <f>_xlfn.IFNA(VLOOKUP(Table1[[#This Row],[SKU]],'Kilter Holds'!$P$36:$S$370,4,0),0)</f>
        <v>0</v>
      </c>
      <c r="C329" s="622">
        <v>1</v>
      </c>
      <c r="D329" s="620">
        <v>0</v>
      </c>
      <c r="E329" s="620">
        <v>0</v>
      </c>
      <c r="F329" s="620">
        <v>0</v>
      </c>
      <c r="G329" s="620">
        <v>0</v>
      </c>
      <c r="H329" s="623">
        <v>0</v>
      </c>
      <c r="I329" s="620">
        <v>0</v>
      </c>
      <c r="J329" s="620">
        <f>1*Table1[[#This Row],[Quantity of Sets]]</f>
        <v>0</v>
      </c>
      <c r="K329" s="620">
        <v>0</v>
      </c>
      <c r="L329" s="624">
        <v>0</v>
      </c>
      <c r="M329" s="623">
        <v>0</v>
      </c>
      <c r="N329" s="620">
        <v>0</v>
      </c>
      <c r="O329" s="620">
        <v>0</v>
      </c>
      <c r="P329" s="620">
        <v>0</v>
      </c>
      <c r="Q329" s="607">
        <f>7*Table1[[#This Row],[Quantity of Sets]]</f>
        <v>0</v>
      </c>
      <c r="R329" s="620">
        <v>0</v>
      </c>
      <c r="S329" s="625">
        <v>0</v>
      </c>
      <c r="T329" s="627">
        <v>0</v>
      </c>
      <c r="U329" s="627">
        <v>0</v>
      </c>
      <c r="V329" s="620" t="str">
        <f t="shared" si="24"/>
        <v xml:space="preserve"> </v>
      </c>
    </row>
    <row r="330" spans="1:22" hidden="1">
      <c r="A330" s="602" t="s">
        <v>2310</v>
      </c>
      <c r="B330" s="114">
        <f>_xlfn.IFNA(VLOOKUP(Table1[[#This Row],[SKU]],'Kilter Holds'!$P$36:$S$370,4,0),0)</f>
        <v>0</v>
      </c>
      <c r="C330" s="115">
        <v>4</v>
      </c>
      <c r="D330" s="118">
        <v>0</v>
      </c>
      <c r="E330" s="118">
        <v>0</v>
      </c>
      <c r="F330" s="118">
        <v>0</v>
      </c>
      <c r="G330" s="118">
        <f>3*Table1[[#This Row],[Quantity of Sets]]</f>
        <v>0</v>
      </c>
      <c r="H330" s="117">
        <f>1*Table1[[#This Row],[Quantity of Sets]]</f>
        <v>0</v>
      </c>
      <c r="I330" s="118">
        <v>0</v>
      </c>
      <c r="J330" s="118">
        <v>0</v>
      </c>
      <c r="K330" s="118">
        <v>0</v>
      </c>
      <c r="L330" s="123">
        <v>0</v>
      </c>
      <c r="M330" s="117">
        <v>0</v>
      </c>
      <c r="N330" s="118">
        <v>0</v>
      </c>
      <c r="O330" s="118">
        <v>0</v>
      </c>
      <c r="P330" s="118">
        <v>0</v>
      </c>
      <c r="Q330" s="118">
        <f>24*Table1[[#This Row],[Quantity of Sets]]</f>
        <v>0</v>
      </c>
      <c r="R330" s="119">
        <v>0</v>
      </c>
      <c r="S330" s="119">
        <v>0</v>
      </c>
      <c r="T330" s="119">
        <v>0</v>
      </c>
      <c r="U330" s="119">
        <v>0</v>
      </c>
      <c r="V330" s="119" t="str">
        <f t="shared" si="23"/>
        <v xml:space="preserve"> </v>
      </c>
    </row>
    <row r="331" spans="1:22" hidden="1">
      <c r="A331" s="602" t="s">
        <v>2338</v>
      </c>
      <c r="B331" s="114">
        <f>_xlfn.IFNA(VLOOKUP(Table1[[#This Row],[SKU]],'Kilter Holds'!$P$36:$S$370,4,0),0)</f>
        <v>0</v>
      </c>
      <c r="C331" s="115">
        <v>4</v>
      </c>
      <c r="D331" s="118">
        <v>0</v>
      </c>
      <c r="E331" s="118">
        <f>1*Table1[[#This Row],[Quantity of Sets]]</f>
        <v>0</v>
      </c>
      <c r="F331" s="118">
        <f>3*Table1[[#This Row],[Quantity of Sets]]</f>
        <v>0</v>
      </c>
      <c r="G331" s="118">
        <v>0</v>
      </c>
      <c r="H331" s="117">
        <v>0</v>
      </c>
      <c r="I331" s="118">
        <v>0</v>
      </c>
      <c r="J331" s="118">
        <v>0</v>
      </c>
      <c r="K331" s="118">
        <v>0</v>
      </c>
      <c r="L331" s="123">
        <v>0</v>
      </c>
      <c r="M331" s="117">
        <v>0</v>
      </c>
      <c r="N331" s="118">
        <v>0</v>
      </c>
      <c r="O331" s="118">
        <v>0</v>
      </c>
      <c r="P331" s="118">
        <v>0</v>
      </c>
      <c r="Q331" s="118">
        <f>23*Table1[[#This Row],[Quantity of Sets]]</f>
        <v>0</v>
      </c>
      <c r="R331" s="119">
        <f>1*Table1[[#This Row],[Quantity of Sets]]</f>
        <v>0</v>
      </c>
      <c r="S331" s="119">
        <v>0</v>
      </c>
      <c r="T331" s="119">
        <v>0</v>
      </c>
      <c r="U331" s="119">
        <v>0</v>
      </c>
      <c r="V331" s="119" t="str">
        <f>IF(B331&gt;0,"Added"," ")</f>
        <v xml:space="preserve"> </v>
      </c>
    </row>
    <row r="332" spans="1:22" hidden="1">
      <c r="A332" s="602" t="s">
        <v>2331</v>
      </c>
      <c r="B332" s="114">
        <f>_xlfn.IFNA(VLOOKUP(Table1[[#This Row],[SKU]],'Kilter Holds'!$P$36:$S$370,4,0),0)</f>
        <v>0</v>
      </c>
      <c r="C332" s="115">
        <v>4</v>
      </c>
      <c r="D332" s="118">
        <v>0</v>
      </c>
      <c r="E332" s="118">
        <v>0</v>
      </c>
      <c r="F332" s="118">
        <f>2*Table1[[#This Row],[Quantity of Sets]]</f>
        <v>0</v>
      </c>
      <c r="G332" s="118">
        <v>0</v>
      </c>
      <c r="H332" s="117">
        <v>0</v>
      </c>
      <c r="I332" s="118">
        <v>0</v>
      </c>
      <c r="J332" s="118">
        <v>0</v>
      </c>
      <c r="K332" s="118">
        <v>0</v>
      </c>
      <c r="L332" s="123">
        <v>0</v>
      </c>
      <c r="M332" s="117">
        <v>0</v>
      </c>
      <c r="N332" s="118">
        <v>0</v>
      </c>
      <c r="O332" s="118">
        <v>0</v>
      </c>
      <c r="P332" s="118">
        <v>0</v>
      </c>
      <c r="Q332" s="118">
        <f>23*Table1[[#This Row],[Quantity of Sets]]</f>
        <v>0</v>
      </c>
      <c r="R332" s="119">
        <f>2*Table1[[#This Row],[Quantity of Sets]]</f>
        <v>0</v>
      </c>
      <c r="S332" s="119">
        <v>0</v>
      </c>
      <c r="T332" s="119">
        <v>0</v>
      </c>
      <c r="U332" s="119">
        <v>0</v>
      </c>
      <c r="V332" s="119" t="str">
        <f t="shared" ref="V332:V335" si="25">IF(B332&gt;0,"Added"," ")</f>
        <v xml:space="preserve"> </v>
      </c>
    </row>
    <row r="333" spans="1:22" hidden="1">
      <c r="A333" s="602" t="s">
        <v>2332</v>
      </c>
      <c r="B333" s="114">
        <f>_xlfn.IFNA(VLOOKUP(Table1[[#This Row],[SKU]],'Kilter Holds'!$P$36:$S$370,4,0),0)</f>
        <v>0</v>
      </c>
      <c r="C333" s="115">
        <v>5</v>
      </c>
      <c r="D333" s="118">
        <v>0</v>
      </c>
      <c r="E333" s="118">
        <v>0</v>
      </c>
      <c r="F333" s="118">
        <v>0</v>
      </c>
      <c r="G333" s="118">
        <v>0</v>
      </c>
      <c r="H333" s="117">
        <v>0</v>
      </c>
      <c r="I333" s="118">
        <v>0</v>
      </c>
      <c r="J333" s="118">
        <v>0</v>
      </c>
      <c r="K333" s="118">
        <v>0</v>
      </c>
      <c r="L333" s="123">
        <v>0</v>
      </c>
      <c r="M333" s="117">
        <v>0</v>
      </c>
      <c r="N333" s="118">
        <v>0</v>
      </c>
      <c r="O333" s="118">
        <v>0</v>
      </c>
      <c r="P333" s="118">
        <v>0</v>
      </c>
      <c r="Q333" s="118">
        <f>20*Table1[[#This Row],[Quantity of Sets]]</f>
        <v>0</v>
      </c>
      <c r="R333" s="119">
        <v>0</v>
      </c>
      <c r="S333" s="119">
        <v>0</v>
      </c>
      <c r="T333" s="119">
        <v>0</v>
      </c>
      <c r="U333" s="119">
        <v>0</v>
      </c>
      <c r="V333" s="119" t="str">
        <f t="shared" si="25"/>
        <v xml:space="preserve"> </v>
      </c>
    </row>
    <row r="334" spans="1:22" hidden="1">
      <c r="A334" s="602" t="s">
        <v>2333</v>
      </c>
      <c r="B334" s="114">
        <f>_xlfn.IFNA(VLOOKUP(Table1[[#This Row],[SKU]],'Kilter Holds'!$P$36:$S$370,4,0),0)</f>
        <v>0</v>
      </c>
      <c r="C334" s="115">
        <v>3</v>
      </c>
      <c r="D334" s="118">
        <v>0</v>
      </c>
      <c r="E334" s="118">
        <v>0</v>
      </c>
      <c r="F334" s="118">
        <v>0</v>
      </c>
      <c r="G334" s="118">
        <v>0</v>
      </c>
      <c r="H334" s="117">
        <v>0</v>
      </c>
      <c r="I334" s="118">
        <v>0</v>
      </c>
      <c r="J334" s="118">
        <v>0</v>
      </c>
      <c r="K334" s="118">
        <v>0</v>
      </c>
      <c r="L334" s="123">
        <v>0</v>
      </c>
      <c r="M334" s="117">
        <v>0</v>
      </c>
      <c r="N334" s="118">
        <v>0</v>
      </c>
      <c r="O334" s="118">
        <v>0</v>
      </c>
      <c r="P334" s="118">
        <v>0</v>
      </c>
      <c r="Q334" s="118">
        <f>14*Table1[[#This Row],[Quantity of Sets]]</f>
        <v>0</v>
      </c>
      <c r="R334" s="119">
        <v>0</v>
      </c>
      <c r="S334" s="119">
        <v>0</v>
      </c>
      <c r="T334" s="119">
        <v>0</v>
      </c>
      <c r="U334" s="119">
        <v>0</v>
      </c>
      <c r="V334" s="119" t="str">
        <f t="shared" si="25"/>
        <v xml:space="preserve"> </v>
      </c>
    </row>
    <row r="335" spans="1:22" hidden="1">
      <c r="A335" s="604" t="s">
        <v>2334</v>
      </c>
      <c r="B335" s="114">
        <f>_xlfn.IFNA(VLOOKUP(Table1[[#This Row],[SKU]],'Kilter Holds'!$P$36:$S$370,4,0),0)</f>
        <v>0</v>
      </c>
      <c r="C335" s="115">
        <v>2</v>
      </c>
      <c r="D335" s="118">
        <v>0</v>
      </c>
      <c r="E335" s="118">
        <v>0</v>
      </c>
      <c r="F335" s="118">
        <v>0</v>
      </c>
      <c r="G335" s="118">
        <v>0</v>
      </c>
      <c r="H335" s="117">
        <f>1*Table1[[#This Row],[Quantity of Sets]]</f>
        <v>0</v>
      </c>
      <c r="I335" s="118">
        <f>1*Table1[[#This Row],[Quantity of Sets]]</f>
        <v>0</v>
      </c>
      <c r="J335" s="118">
        <v>0</v>
      </c>
      <c r="K335" s="118">
        <v>0</v>
      </c>
      <c r="L335" s="123">
        <v>0</v>
      </c>
      <c r="M335" s="117">
        <v>0</v>
      </c>
      <c r="N335" s="118">
        <v>0</v>
      </c>
      <c r="O335" s="118">
        <v>0</v>
      </c>
      <c r="P335" s="118">
        <v>0</v>
      </c>
      <c r="Q335" s="118">
        <f>2*Table1[[#This Row],[Quantity of Sets]]</f>
        <v>0</v>
      </c>
      <c r="R335" s="119">
        <f>2*Table1[[#This Row],[Quantity of Sets]]</f>
        <v>0</v>
      </c>
      <c r="S335" s="119">
        <v>0</v>
      </c>
      <c r="T335" s="119">
        <v>0</v>
      </c>
      <c r="U335" s="119">
        <v>0</v>
      </c>
      <c r="V335" s="119" t="str">
        <f t="shared" si="25"/>
        <v xml:space="preserve"> </v>
      </c>
    </row>
    <row r="336" spans="1:22" hidden="1">
      <c r="A336" s="604" t="s">
        <v>2335</v>
      </c>
      <c r="B336" s="114">
        <f>_xlfn.IFNA(VLOOKUP(Table1[[#This Row],[SKU]],'Kilter Holds'!$P$36:$S$370,4,0),0)</f>
        <v>0</v>
      </c>
      <c r="C336" s="605">
        <v>1</v>
      </c>
      <c r="D336" s="606">
        <v>0</v>
      </c>
      <c r="E336" s="606">
        <v>0</v>
      </c>
      <c r="F336" s="606">
        <v>0</v>
      </c>
      <c r="G336" s="606">
        <v>0</v>
      </c>
      <c r="H336" s="606">
        <v>0</v>
      </c>
      <c r="I336" s="606">
        <f>1*Table1[[#This Row],[Quantity of Sets]]</f>
        <v>0</v>
      </c>
      <c r="J336" s="606">
        <v>0</v>
      </c>
      <c r="K336" s="606">
        <v>0</v>
      </c>
      <c r="L336" s="606">
        <v>0</v>
      </c>
      <c r="M336" s="606">
        <v>0</v>
      </c>
      <c r="N336" s="606">
        <v>0</v>
      </c>
      <c r="O336" s="606">
        <v>0</v>
      </c>
      <c r="P336" s="606">
        <v>0</v>
      </c>
      <c r="Q336" s="607">
        <f>2*Table1[[#This Row],[Quantity of Sets]]</f>
        <v>0</v>
      </c>
      <c r="R336" s="606">
        <f>2*Table1[[#This Row],[Quantity of Sets]]</f>
        <v>0</v>
      </c>
      <c r="S336" s="608">
        <v>0</v>
      </c>
      <c r="T336" s="609">
        <f>IFERROR(1*B336,0)</f>
        <v>0</v>
      </c>
      <c r="U336" s="609">
        <f>IFERROR(2*B336,0)</f>
        <v>0</v>
      </c>
      <c r="V336" s="606" t="str">
        <f t="shared" ref="V336:V341" si="26">IF(B336&gt;0,"Added"," ")</f>
        <v xml:space="preserve"> </v>
      </c>
    </row>
    <row r="337" spans="1:22" hidden="1">
      <c r="A337" s="604" t="s">
        <v>2336</v>
      </c>
      <c r="B337" s="114">
        <f>_xlfn.IFNA(VLOOKUP(Table1[[#This Row],[SKU]],'Kilter Holds'!$P$36:$S$370,4,0),0)</f>
        <v>0</v>
      </c>
      <c r="C337" s="605">
        <v>1</v>
      </c>
      <c r="D337" s="606">
        <v>0</v>
      </c>
      <c r="E337" s="606">
        <v>0</v>
      </c>
      <c r="F337" s="606">
        <v>0</v>
      </c>
      <c r="G337" s="606">
        <v>0</v>
      </c>
      <c r="H337" s="606">
        <v>0</v>
      </c>
      <c r="I337" s="606">
        <f>1*Table1[[#This Row],[Quantity of Sets]]</f>
        <v>0</v>
      </c>
      <c r="J337" s="606">
        <v>0</v>
      </c>
      <c r="K337" s="606">
        <v>0</v>
      </c>
      <c r="L337" s="606">
        <v>0</v>
      </c>
      <c r="M337" s="606">
        <v>0</v>
      </c>
      <c r="N337" s="606">
        <v>0</v>
      </c>
      <c r="O337" s="606">
        <v>0</v>
      </c>
      <c r="P337" s="606">
        <v>0</v>
      </c>
      <c r="Q337" s="607">
        <f>2*Table1[[#This Row],[Quantity of Sets]]</f>
        <v>0</v>
      </c>
      <c r="R337" s="606">
        <f>2*Table1[[#This Row],[Quantity of Sets]]</f>
        <v>0</v>
      </c>
      <c r="S337" s="608">
        <v>0</v>
      </c>
      <c r="T337" s="609">
        <f>IFERROR(1*B337,0)</f>
        <v>0</v>
      </c>
      <c r="U337" s="609">
        <f>IFERROR(2*B337,0)</f>
        <v>0</v>
      </c>
      <c r="V337" s="606" t="str">
        <f t="shared" si="26"/>
        <v xml:space="preserve"> </v>
      </c>
    </row>
    <row r="338" spans="1:22" hidden="1">
      <c r="A338" s="614" t="s">
        <v>2360</v>
      </c>
      <c r="B338" s="114">
        <f>_xlfn.IFNA(VLOOKUP(Table1[[#This Row],[SKU]],'Kilter Holds'!$P$36:$S$370,4,0),0)</f>
        <v>0</v>
      </c>
      <c r="C338" s="611">
        <v>5</v>
      </c>
      <c r="D338" s="606">
        <v>0</v>
      </c>
      <c r="E338" s="606">
        <v>0</v>
      </c>
      <c r="F338" s="606">
        <v>0</v>
      </c>
      <c r="G338" s="606">
        <v>0</v>
      </c>
      <c r="H338" s="606">
        <v>0</v>
      </c>
      <c r="I338" s="606">
        <v>0</v>
      </c>
      <c r="J338" s="606">
        <v>0</v>
      </c>
      <c r="K338" s="606">
        <v>0</v>
      </c>
      <c r="L338" s="612">
        <v>0</v>
      </c>
      <c r="M338" s="606">
        <v>0</v>
      </c>
      <c r="N338" s="606">
        <v>0</v>
      </c>
      <c r="O338" s="606">
        <v>0</v>
      </c>
      <c r="P338" s="606">
        <v>0</v>
      </c>
      <c r="Q338" s="607">
        <f>20*Table1[[#This Row],[Quantity of Sets]]</f>
        <v>0</v>
      </c>
      <c r="R338" s="613">
        <v>0</v>
      </c>
      <c r="S338" s="608">
        <v>0</v>
      </c>
      <c r="T338" s="609">
        <v>0</v>
      </c>
      <c r="U338" s="609">
        <v>0</v>
      </c>
      <c r="V338" s="613" t="str">
        <f t="shared" si="26"/>
        <v xml:space="preserve"> </v>
      </c>
    </row>
    <row r="339" spans="1:22" hidden="1">
      <c r="A339" s="614" t="s">
        <v>2362</v>
      </c>
      <c r="B339" s="114">
        <f>_xlfn.IFNA(VLOOKUP(Table1[[#This Row],[SKU]],'Kilter Holds'!$P$36:$S$370,4,0),0)</f>
        <v>0</v>
      </c>
      <c r="C339" s="611">
        <v>2</v>
      </c>
      <c r="D339" s="606">
        <v>0</v>
      </c>
      <c r="E339" s="606">
        <v>0</v>
      </c>
      <c r="F339" s="606">
        <v>0</v>
      </c>
      <c r="G339" s="606">
        <v>0</v>
      </c>
      <c r="H339" s="606">
        <v>0</v>
      </c>
      <c r="I339" s="606">
        <v>0</v>
      </c>
      <c r="J339" s="606">
        <f>1*Table1[[#This Row],[Quantity of Sets]]</f>
        <v>0</v>
      </c>
      <c r="K339" s="606">
        <v>0</v>
      </c>
      <c r="L339" s="612">
        <v>0</v>
      </c>
      <c r="M339" s="606">
        <v>0</v>
      </c>
      <c r="N339" s="606">
        <f>1*Table1[[#This Row],[Quantity of Sets]]</f>
        <v>0</v>
      </c>
      <c r="O339" s="606">
        <v>0</v>
      </c>
      <c r="P339" s="606">
        <v>0</v>
      </c>
      <c r="Q339" s="607">
        <f>17*Table1[[#This Row],[Quantity of Sets]]</f>
        <v>0</v>
      </c>
      <c r="R339" s="613">
        <v>0</v>
      </c>
      <c r="S339" s="608">
        <v>0</v>
      </c>
      <c r="T339" s="609">
        <v>0</v>
      </c>
      <c r="U339" s="609">
        <v>0</v>
      </c>
      <c r="V339" s="613" t="str">
        <f t="shared" si="26"/>
        <v xml:space="preserve"> </v>
      </c>
    </row>
    <row r="340" spans="1:22" hidden="1">
      <c r="A340" s="614" t="s">
        <v>2363</v>
      </c>
      <c r="B340" s="114">
        <f>_xlfn.IFNA(VLOOKUP(Table1[[#This Row],[SKU]],'Kilter Holds'!$P$36:$S$370,4,0),0)</f>
        <v>0</v>
      </c>
      <c r="C340" s="611">
        <v>1</v>
      </c>
      <c r="D340" s="606">
        <v>0</v>
      </c>
      <c r="E340" s="606">
        <v>0</v>
      </c>
      <c r="F340" s="606">
        <v>0</v>
      </c>
      <c r="G340" s="606">
        <v>0</v>
      </c>
      <c r="H340" s="606">
        <v>0</v>
      </c>
      <c r="I340" s="606">
        <v>0</v>
      </c>
      <c r="J340" s="606">
        <v>0</v>
      </c>
      <c r="K340" s="606">
        <v>0</v>
      </c>
      <c r="L340" s="612">
        <v>0</v>
      </c>
      <c r="M340" s="606">
        <v>0</v>
      </c>
      <c r="N340" s="606">
        <f>1*Table1[[#This Row],[Quantity of Sets]]</f>
        <v>0</v>
      </c>
      <c r="O340" s="606">
        <v>0</v>
      </c>
      <c r="P340" s="606">
        <v>0</v>
      </c>
      <c r="Q340" s="607">
        <f>8*Table1[[#This Row],[Quantity of Sets]]</f>
        <v>0</v>
      </c>
      <c r="R340" s="613">
        <v>0</v>
      </c>
      <c r="S340" s="608">
        <v>0</v>
      </c>
      <c r="T340" s="609">
        <v>0</v>
      </c>
      <c r="U340" s="609">
        <v>0</v>
      </c>
      <c r="V340" s="613" t="str">
        <f t="shared" si="26"/>
        <v xml:space="preserve"> </v>
      </c>
    </row>
    <row r="341" spans="1:22" hidden="1">
      <c r="A341" s="614" t="s">
        <v>2364</v>
      </c>
      <c r="B341" s="114">
        <f>_xlfn.IFNA(VLOOKUP(Table1[[#This Row],[SKU]],'Kilter Holds'!$P$36:$S$370,4,0),0)</f>
        <v>0</v>
      </c>
      <c r="C341" s="611">
        <v>1</v>
      </c>
      <c r="D341" s="606">
        <v>0</v>
      </c>
      <c r="E341" s="606">
        <v>0</v>
      </c>
      <c r="F341" s="606">
        <v>0</v>
      </c>
      <c r="G341" s="606">
        <v>0</v>
      </c>
      <c r="H341" s="606">
        <v>0</v>
      </c>
      <c r="I341" s="606">
        <v>0</v>
      </c>
      <c r="J341" s="606">
        <f>1*Table1[[#This Row],[Quantity of Sets]]</f>
        <v>0</v>
      </c>
      <c r="K341" s="606">
        <v>0</v>
      </c>
      <c r="L341" s="612">
        <v>0</v>
      </c>
      <c r="M341" s="606">
        <v>0</v>
      </c>
      <c r="N341" s="606">
        <v>0</v>
      </c>
      <c r="O341" s="606">
        <v>0</v>
      </c>
      <c r="P341" s="606">
        <v>0</v>
      </c>
      <c r="Q341" s="607">
        <f>8*Table1[[#This Row],[Quantity of Sets]]</f>
        <v>0</v>
      </c>
      <c r="R341" s="613">
        <v>0</v>
      </c>
      <c r="S341" s="608">
        <v>0</v>
      </c>
      <c r="T341" s="609">
        <v>0</v>
      </c>
      <c r="U341" s="609">
        <v>0</v>
      </c>
      <c r="V341" s="613" t="str">
        <f t="shared" si="26"/>
        <v xml:space="preserve"> </v>
      </c>
    </row>
    <row r="342" spans="1:22" hidden="1">
      <c r="A342" s="638" t="s">
        <v>2471</v>
      </c>
      <c r="B342" s="114">
        <f>_xlfn.IFNA(VLOOKUP(Table1[[#This Row],[SKU]],'Kilter Holds'!$P$36:$S$370,4,0),0)</f>
        <v>0</v>
      </c>
      <c r="C342" s="611">
        <v>2</v>
      </c>
      <c r="D342" s="606">
        <v>0</v>
      </c>
      <c r="E342" s="606">
        <v>0</v>
      </c>
      <c r="F342" s="606">
        <v>0</v>
      </c>
      <c r="G342" s="606">
        <v>0</v>
      </c>
      <c r="H342" s="606">
        <v>0</v>
      </c>
      <c r="I342" s="606">
        <v>0</v>
      </c>
      <c r="J342" s="606">
        <v>0</v>
      </c>
      <c r="K342" s="606">
        <v>0</v>
      </c>
      <c r="L342" s="612">
        <v>0</v>
      </c>
      <c r="M342" s="606">
        <f>1*Table1[[#This Row],[Quantity of Sets]]</f>
        <v>0</v>
      </c>
      <c r="N342" s="606">
        <v>0</v>
      </c>
      <c r="O342" s="606">
        <f>1*Table1[[#This Row],[Quantity of Sets]]</f>
        <v>0</v>
      </c>
      <c r="P342" s="606">
        <v>0</v>
      </c>
      <c r="Q342" s="607">
        <f>14*Table1[[#This Row],[Quantity of Sets]]</f>
        <v>0</v>
      </c>
      <c r="R342" s="613">
        <v>0</v>
      </c>
      <c r="S342" s="608">
        <v>0</v>
      </c>
      <c r="T342" s="609">
        <v>0</v>
      </c>
      <c r="U342" s="609">
        <v>0</v>
      </c>
      <c r="V342" s="613" t="str">
        <f>IF(B342&gt;0,"Added"," ")</f>
        <v xml:space="preserve"> </v>
      </c>
    </row>
    <row r="343" spans="1:22" hidden="1">
      <c r="A343" s="638" t="s">
        <v>2472</v>
      </c>
      <c r="B343" s="114">
        <f>_xlfn.IFNA(VLOOKUP(Table1[[#This Row],[SKU]],'Kilter Holds'!$P$36:$S$370,4,0),0)</f>
        <v>0</v>
      </c>
      <c r="C343" s="611">
        <v>5</v>
      </c>
      <c r="D343" s="606">
        <v>0</v>
      </c>
      <c r="E343" s="606">
        <v>0</v>
      </c>
      <c r="F343" s="606">
        <v>0</v>
      </c>
      <c r="G343" s="606">
        <v>0</v>
      </c>
      <c r="H343" s="606">
        <v>0</v>
      </c>
      <c r="I343" s="606">
        <v>0</v>
      </c>
      <c r="J343" s="606">
        <v>0</v>
      </c>
      <c r="K343" s="606">
        <v>0</v>
      </c>
      <c r="L343" s="612">
        <v>0</v>
      </c>
      <c r="M343" s="606">
        <v>0</v>
      </c>
      <c r="N343" s="606">
        <v>0</v>
      </c>
      <c r="O343" s="606">
        <v>0</v>
      </c>
      <c r="P343" s="606">
        <v>0</v>
      </c>
      <c r="Q343" s="607">
        <f>17*Table1[[#This Row],[Quantity of Sets]]</f>
        <v>0</v>
      </c>
      <c r="R343" s="613">
        <v>0</v>
      </c>
      <c r="S343" s="608">
        <v>0</v>
      </c>
      <c r="T343" s="609">
        <v>0</v>
      </c>
      <c r="U343" s="609">
        <v>0</v>
      </c>
      <c r="V343" s="613" t="str">
        <f>IF(B343&gt;0,"Added"," ")</f>
        <v xml:space="preserve"> </v>
      </c>
    </row>
    <row r="344" spans="1:22" hidden="1">
      <c r="A344" s="449" t="s">
        <v>60</v>
      </c>
      <c r="B344" s="114">
        <f>_xlfn.IFNA(VLOOKUP(Table1[[#This Row],[SKU]],'Kilter Holds'!$P$36:$S$370,4,0),0)</f>
        <v>0</v>
      </c>
      <c r="C344" s="115">
        <v>10</v>
      </c>
      <c r="D344" s="117">
        <v>0</v>
      </c>
      <c r="E344" s="117">
        <v>0</v>
      </c>
      <c r="F344" s="117">
        <v>0</v>
      </c>
      <c r="G344" s="117">
        <v>0</v>
      </c>
      <c r="H344" s="117">
        <v>0</v>
      </c>
      <c r="I344" s="117">
        <v>0</v>
      </c>
      <c r="J344" s="117">
        <v>0</v>
      </c>
      <c r="K344" s="117">
        <v>0</v>
      </c>
      <c r="L344" s="123">
        <v>0</v>
      </c>
      <c r="M344" s="117">
        <v>0</v>
      </c>
      <c r="N344" s="117">
        <v>0</v>
      </c>
      <c r="O344" s="117">
        <v>0</v>
      </c>
      <c r="P344" s="117">
        <v>0</v>
      </c>
      <c r="Q344" s="117">
        <f>IFERROR(24*B344,0)</f>
        <v>0</v>
      </c>
      <c r="R344" s="119">
        <v>0</v>
      </c>
      <c r="S344" s="119">
        <v>0</v>
      </c>
      <c r="T344" s="119">
        <v>0</v>
      </c>
      <c r="U344" s="119">
        <v>0</v>
      </c>
      <c r="V344" s="119" t="str">
        <f t="shared" si="9"/>
        <v xml:space="preserve"> </v>
      </c>
    </row>
    <row r="345" spans="1:22" hidden="1">
      <c r="A345" s="450" t="s">
        <v>58</v>
      </c>
      <c r="B345" s="114">
        <f>_xlfn.IFNA(VLOOKUP(Table1[[#This Row],[SKU]],'Kilter Holds'!$P$36:$S$370,4,0),0)</f>
        <v>0</v>
      </c>
      <c r="C345" s="115">
        <v>5</v>
      </c>
      <c r="D345" s="118">
        <v>0</v>
      </c>
      <c r="E345" s="118">
        <v>0</v>
      </c>
      <c r="F345" s="118">
        <v>0</v>
      </c>
      <c r="G345" s="118">
        <v>0</v>
      </c>
      <c r="H345" s="118">
        <v>0</v>
      </c>
      <c r="I345" s="118">
        <v>0</v>
      </c>
      <c r="J345" s="118">
        <v>0</v>
      </c>
      <c r="K345" s="118">
        <v>0</v>
      </c>
      <c r="L345" s="123">
        <v>0</v>
      </c>
      <c r="M345" s="118">
        <v>0</v>
      </c>
      <c r="N345" s="118">
        <v>0</v>
      </c>
      <c r="O345" s="118">
        <v>0</v>
      </c>
      <c r="P345" s="118">
        <v>0</v>
      </c>
      <c r="Q345" s="117">
        <f>IFERROR(15*B345,0)</f>
        <v>0</v>
      </c>
      <c r="R345" s="119">
        <v>0</v>
      </c>
      <c r="S345" s="119">
        <v>0</v>
      </c>
      <c r="T345" s="119">
        <v>0</v>
      </c>
      <c r="U345" s="119">
        <v>0</v>
      </c>
      <c r="V345" s="119" t="str">
        <f t="shared" si="9"/>
        <v xml:space="preserve"> </v>
      </c>
    </row>
    <row r="346" spans="1:22" hidden="1">
      <c r="A346" s="449" t="s">
        <v>59</v>
      </c>
      <c r="B346" s="114">
        <f>_xlfn.IFNA(VLOOKUP(Table1[[#This Row],[SKU]],'Kilter Holds'!$P$36:$S$370,4,0),0)</f>
        <v>0</v>
      </c>
      <c r="C346" s="115">
        <v>11</v>
      </c>
      <c r="D346" s="117">
        <v>0</v>
      </c>
      <c r="E346" s="117">
        <v>0</v>
      </c>
      <c r="F346" s="117">
        <v>0</v>
      </c>
      <c r="G346" s="117">
        <v>0</v>
      </c>
      <c r="H346" s="117">
        <v>0</v>
      </c>
      <c r="I346" s="117">
        <v>0</v>
      </c>
      <c r="J346" s="117">
        <v>0</v>
      </c>
      <c r="K346" s="117">
        <v>0</v>
      </c>
      <c r="L346" s="123">
        <v>0</v>
      </c>
      <c r="M346" s="117">
        <v>0</v>
      </c>
      <c r="N346" s="117">
        <v>0</v>
      </c>
      <c r="O346" s="117">
        <v>0</v>
      </c>
      <c r="P346" s="117">
        <v>0</v>
      </c>
      <c r="Q346" s="117">
        <f>IFERROR(32*B346,0)</f>
        <v>0</v>
      </c>
      <c r="R346" s="119">
        <v>0</v>
      </c>
      <c r="S346" s="119">
        <v>0</v>
      </c>
      <c r="T346" s="119">
        <v>0</v>
      </c>
      <c r="U346" s="119">
        <v>0</v>
      </c>
      <c r="V346" s="119" t="str">
        <f t="shared" si="9"/>
        <v xml:space="preserve"> </v>
      </c>
    </row>
    <row r="347" spans="1:22" hidden="1">
      <c r="A347" s="450" t="s">
        <v>57</v>
      </c>
      <c r="B347" s="114">
        <f>_xlfn.IFNA(VLOOKUP(Table1[[#This Row],[SKU]],'Kilter Holds'!$P$36:$S$370,4,0),0)</f>
        <v>0</v>
      </c>
      <c r="C347" s="115">
        <v>5</v>
      </c>
      <c r="D347" s="118">
        <v>0</v>
      </c>
      <c r="E347" s="118">
        <v>0</v>
      </c>
      <c r="F347" s="118">
        <v>0</v>
      </c>
      <c r="G347" s="118">
        <v>0</v>
      </c>
      <c r="H347" s="118">
        <v>0</v>
      </c>
      <c r="I347" s="118">
        <v>0</v>
      </c>
      <c r="J347" s="118">
        <v>0</v>
      </c>
      <c r="K347" s="118">
        <v>0</v>
      </c>
      <c r="L347" s="123">
        <v>0</v>
      </c>
      <c r="M347" s="118">
        <v>0</v>
      </c>
      <c r="N347" s="118">
        <v>0</v>
      </c>
      <c r="O347" s="118">
        <v>0</v>
      </c>
      <c r="P347" s="118">
        <v>0</v>
      </c>
      <c r="Q347" s="117">
        <f>IFERROR(11*B347,0)</f>
        <v>0</v>
      </c>
      <c r="R347" s="117">
        <f>IFERROR(5*B347,0)</f>
        <v>0</v>
      </c>
      <c r="S347" s="119">
        <v>0</v>
      </c>
      <c r="T347" s="119">
        <v>0</v>
      </c>
      <c r="U347" s="119">
        <v>0</v>
      </c>
      <c r="V347" s="119" t="str">
        <f t="shared" si="9"/>
        <v xml:space="preserve"> </v>
      </c>
    </row>
    <row r="348" spans="1:22" hidden="1">
      <c r="A348" s="449" t="s">
        <v>55</v>
      </c>
      <c r="B348" s="114">
        <f>_xlfn.IFNA(VLOOKUP(Table1[[#This Row],[SKU]],'Kilter Holds'!$P$36:$S$370,4,0),0)</f>
        <v>0</v>
      </c>
      <c r="C348" s="115">
        <v>10</v>
      </c>
      <c r="D348" s="117">
        <v>0</v>
      </c>
      <c r="E348" s="117">
        <v>0</v>
      </c>
      <c r="F348" s="117">
        <v>0</v>
      </c>
      <c r="G348" s="117">
        <v>0</v>
      </c>
      <c r="H348" s="117">
        <v>0</v>
      </c>
      <c r="I348" s="117">
        <v>0</v>
      </c>
      <c r="J348" s="117">
        <v>0</v>
      </c>
      <c r="K348" s="117">
        <v>0</v>
      </c>
      <c r="L348" s="123">
        <v>0</v>
      </c>
      <c r="M348" s="117">
        <v>0</v>
      </c>
      <c r="N348" s="117">
        <v>0</v>
      </c>
      <c r="O348" s="117">
        <v>0</v>
      </c>
      <c r="P348" s="117">
        <v>0</v>
      </c>
      <c r="Q348" s="117">
        <f>IFERROR(31*B348,0)</f>
        <v>0</v>
      </c>
      <c r="R348" s="119">
        <v>0</v>
      </c>
      <c r="S348" s="119">
        <v>0</v>
      </c>
      <c r="T348" s="119">
        <v>0</v>
      </c>
      <c r="U348" s="119">
        <v>0</v>
      </c>
      <c r="V348" s="119" t="str">
        <f t="shared" si="9"/>
        <v xml:space="preserve"> </v>
      </c>
    </row>
    <row r="349" spans="1:22" hidden="1">
      <c r="A349" s="449" t="s">
        <v>270</v>
      </c>
      <c r="B349" s="114">
        <f>_xlfn.IFNA(VLOOKUP(Table1[[#This Row],[SKU]],'Kilter Holds'!$P$36:$S$370,4,0),0)</f>
        <v>0</v>
      </c>
      <c r="C349" s="115">
        <v>3</v>
      </c>
      <c r="D349" s="117">
        <v>0</v>
      </c>
      <c r="E349" s="117">
        <v>0</v>
      </c>
      <c r="F349" s="117">
        <v>0</v>
      </c>
      <c r="G349" s="117">
        <v>0</v>
      </c>
      <c r="H349" s="117">
        <v>0</v>
      </c>
      <c r="I349" s="117">
        <v>0</v>
      </c>
      <c r="J349" s="117">
        <v>0</v>
      </c>
      <c r="K349" s="117">
        <v>0</v>
      </c>
      <c r="L349" s="123">
        <v>0</v>
      </c>
      <c r="M349" s="117">
        <v>0</v>
      </c>
      <c r="N349" s="117">
        <v>0</v>
      </c>
      <c r="O349" s="117">
        <v>0</v>
      </c>
      <c r="P349" s="117">
        <v>0</v>
      </c>
      <c r="Q349" s="117">
        <v>0</v>
      </c>
      <c r="R349" s="117">
        <f>IFERROR(9*B349,0)</f>
        <v>0</v>
      </c>
      <c r="S349" s="119">
        <v>0</v>
      </c>
      <c r="T349" s="119">
        <v>0</v>
      </c>
      <c r="U349" s="119">
        <v>0</v>
      </c>
      <c r="V349" s="119" t="str">
        <f t="shared" si="9"/>
        <v xml:space="preserve"> </v>
      </c>
    </row>
    <row r="350" spans="1:22" hidden="1">
      <c r="A350" s="449" t="s">
        <v>95</v>
      </c>
      <c r="B350" s="114">
        <f>_xlfn.IFNA(VLOOKUP(Table1[[#This Row],[SKU]],'Kilter Holds'!$P$36:$S$370,4,0),0)</f>
        <v>0</v>
      </c>
      <c r="C350" s="115">
        <v>4</v>
      </c>
      <c r="D350" s="117">
        <v>0</v>
      </c>
      <c r="E350" s="117">
        <v>0</v>
      </c>
      <c r="F350" s="117">
        <v>0</v>
      </c>
      <c r="G350" s="117">
        <v>0</v>
      </c>
      <c r="H350" s="117">
        <v>0</v>
      </c>
      <c r="I350" s="117">
        <v>0</v>
      </c>
      <c r="J350" s="117">
        <v>0</v>
      </c>
      <c r="K350" s="117">
        <v>0</v>
      </c>
      <c r="L350" s="123">
        <v>0</v>
      </c>
      <c r="M350" s="117">
        <v>0</v>
      </c>
      <c r="N350" s="117">
        <v>0</v>
      </c>
      <c r="O350" s="117">
        <v>0</v>
      </c>
      <c r="P350" s="117">
        <v>0</v>
      </c>
      <c r="Q350" s="117">
        <f>IFERROR(11*B350,0)</f>
        <v>0</v>
      </c>
      <c r="R350" s="117">
        <f>IFERROR(4*B350,0)</f>
        <v>0</v>
      </c>
      <c r="S350" s="119">
        <v>0</v>
      </c>
      <c r="T350" s="119">
        <v>0</v>
      </c>
      <c r="U350" s="119">
        <v>0</v>
      </c>
      <c r="V350" s="119" t="str">
        <f t="shared" si="9"/>
        <v xml:space="preserve"> </v>
      </c>
    </row>
    <row r="351" spans="1:22" hidden="1">
      <c r="A351" s="450" t="s">
        <v>271</v>
      </c>
      <c r="B351" s="114">
        <f>_xlfn.IFNA(VLOOKUP(Table1[[#This Row],[SKU]],'Kilter Holds'!$P$36:$S$370,4,0),0)</f>
        <v>0</v>
      </c>
      <c r="C351" s="115">
        <v>5</v>
      </c>
      <c r="D351" s="118">
        <v>0</v>
      </c>
      <c r="E351" s="118">
        <v>0</v>
      </c>
      <c r="F351" s="118">
        <v>0</v>
      </c>
      <c r="G351" s="118">
        <v>0</v>
      </c>
      <c r="H351" s="118">
        <v>0</v>
      </c>
      <c r="I351" s="118">
        <v>0</v>
      </c>
      <c r="J351" s="118">
        <v>0</v>
      </c>
      <c r="K351" s="118">
        <v>0</v>
      </c>
      <c r="L351" s="123">
        <v>0</v>
      </c>
      <c r="M351" s="118">
        <v>0</v>
      </c>
      <c r="N351" s="118">
        <v>0</v>
      </c>
      <c r="O351" s="118">
        <v>0</v>
      </c>
      <c r="P351" s="118">
        <v>0</v>
      </c>
      <c r="Q351" s="117">
        <f>IFERROR(20*B351,0)</f>
        <v>0</v>
      </c>
      <c r="R351" s="119">
        <v>0</v>
      </c>
      <c r="S351" s="119">
        <v>0</v>
      </c>
      <c r="T351" s="119">
        <v>0</v>
      </c>
      <c r="U351" s="119">
        <v>0</v>
      </c>
      <c r="V351" s="119" t="str">
        <f t="shared" si="9"/>
        <v xml:space="preserve"> </v>
      </c>
    </row>
    <row r="352" spans="1:22" hidden="1">
      <c r="A352" s="450" t="s">
        <v>96</v>
      </c>
      <c r="B352" s="114">
        <f>_xlfn.IFNA(VLOOKUP(Table1[[#This Row],[SKU]],'Kilter Holds'!$P$36:$S$370,4,0),0)</f>
        <v>0</v>
      </c>
      <c r="C352" s="115">
        <v>4</v>
      </c>
      <c r="D352" s="118">
        <v>0</v>
      </c>
      <c r="E352" s="118">
        <v>0</v>
      </c>
      <c r="F352" s="118">
        <v>0</v>
      </c>
      <c r="G352" s="118">
        <v>0</v>
      </c>
      <c r="H352" s="118">
        <v>0</v>
      </c>
      <c r="I352" s="118">
        <v>0</v>
      </c>
      <c r="J352" s="118">
        <v>0</v>
      </c>
      <c r="K352" s="118">
        <v>0</v>
      </c>
      <c r="L352" s="123">
        <v>0</v>
      </c>
      <c r="M352" s="118">
        <v>0</v>
      </c>
      <c r="N352" s="118">
        <v>0</v>
      </c>
      <c r="O352" s="118">
        <v>0</v>
      </c>
      <c r="P352" s="118">
        <v>0</v>
      </c>
      <c r="Q352" s="117">
        <f>IFERROR(12*B352,0)</f>
        <v>0</v>
      </c>
      <c r="R352" s="119">
        <v>0</v>
      </c>
      <c r="S352" s="119">
        <v>0</v>
      </c>
      <c r="T352" s="119">
        <v>0</v>
      </c>
      <c r="U352" s="119">
        <v>0</v>
      </c>
      <c r="V352" s="119" t="str">
        <f t="shared" si="9"/>
        <v xml:space="preserve"> </v>
      </c>
    </row>
    <row r="353" spans="1:22" hidden="1">
      <c r="A353" s="450" t="s">
        <v>56</v>
      </c>
      <c r="B353" s="114">
        <f>_xlfn.IFNA(VLOOKUP(Table1[[#This Row],[SKU]],'Kilter Holds'!$P$36:$S$370,4,0),0)</f>
        <v>0</v>
      </c>
      <c r="C353" s="115">
        <v>11</v>
      </c>
      <c r="D353" s="118">
        <v>0</v>
      </c>
      <c r="E353" s="118">
        <v>0</v>
      </c>
      <c r="F353" s="118">
        <v>0</v>
      </c>
      <c r="G353" s="118">
        <v>0</v>
      </c>
      <c r="H353" s="118">
        <v>0</v>
      </c>
      <c r="I353" s="118">
        <v>0</v>
      </c>
      <c r="J353" s="118">
        <v>0</v>
      </c>
      <c r="K353" s="118">
        <v>0</v>
      </c>
      <c r="L353" s="123">
        <v>0</v>
      </c>
      <c r="M353" s="118">
        <v>0</v>
      </c>
      <c r="N353" s="118">
        <v>0</v>
      </c>
      <c r="O353" s="118">
        <v>0</v>
      </c>
      <c r="P353" s="118">
        <v>0</v>
      </c>
      <c r="Q353" s="117">
        <f>IFERROR(44*B353,0)</f>
        <v>0</v>
      </c>
      <c r="R353" s="119">
        <v>0</v>
      </c>
      <c r="S353" s="119">
        <v>0</v>
      </c>
      <c r="T353" s="119">
        <v>0</v>
      </c>
      <c r="U353" s="119">
        <v>0</v>
      </c>
      <c r="V353" s="119" t="str">
        <f t="shared" si="9"/>
        <v xml:space="preserve"> </v>
      </c>
    </row>
    <row r="354" spans="1:22" hidden="1">
      <c r="A354" s="452" t="s">
        <v>889</v>
      </c>
      <c r="B354" s="114">
        <f>_xlfn.IFNA(VLOOKUP(Table1[[#This Row],[SKU]],'Kilter Holds'!$P$36:$S$370,4,0),0)</f>
        <v>0</v>
      </c>
      <c r="C354" s="115">
        <v>2</v>
      </c>
      <c r="D354" s="117">
        <v>0</v>
      </c>
      <c r="E354" s="117">
        <v>0</v>
      </c>
      <c r="F354" s="117">
        <v>0</v>
      </c>
      <c r="G354" s="117">
        <v>0</v>
      </c>
      <c r="H354" s="117">
        <v>0</v>
      </c>
      <c r="I354" s="117">
        <v>0</v>
      </c>
      <c r="J354" s="117">
        <v>0</v>
      </c>
      <c r="K354" s="117">
        <v>0</v>
      </c>
      <c r="L354" s="123">
        <v>0</v>
      </c>
      <c r="M354" s="117">
        <f>Table1[[#This Row],[Quantity of Sets]]*1</f>
        <v>0</v>
      </c>
      <c r="N354" s="117">
        <f>Table1[[#This Row],[Quantity of Sets]]*1</f>
        <v>0</v>
      </c>
      <c r="O354" s="117">
        <v>0</v>
      </c>
      <c r="P354" s="117">
        <v>0</v>
      </c>
      <c r="Q354" s="117">
        <v>0</v>
      </c>
      <c r="R354" s="117">
        <v>0</v>
      </c>
      <c r="S354" s="119">
        <v>0</v>
      </c>
      <c r="T354" s="119">
        <v>0</v>
      </c>
      <c r="U354" s="119">
        <v>0</v>
      </c>
      <c r="V354" s="119" t="str">
        <f t="shared" si="9"/>
        <v xml:space="preserve"> </v>
      </c>
    </row>
    <row r="355" spans="1:22" hidden="1">
      <c r="A355" s="449" t="s">
        <v>64</v>
      </c>
      <c r="B355" s="114">
        <f>_xlfn.IFNA(VLOOKUP(Table1[[#This Row],[SKU]],'Kilter Holds'!$P$36:$S$370,4,0),0)</f>
        <v>0</v>
      </c>
      <c r="C355" s="115">
        <v>1</v>
      </c>
      <c r="D355" s="117">
        <v>0</v>
      </c>
      <c r="E355" s="117">
        <v>0</v>
      </c>
      <c r="F355" s="117">
        <v>0</v>
      </c>
      <c r="G355" s="117">
        <v>0</v>
      </c>
      <c r="H355" s="117">
        <v>0</v>
      </c>
      <c r="I355" s="117">
        <v>0</v>
      </c>
      <c r="J355" s="117">
        <v>0</v>
      </c>
      <c r="K355" s="117">
        <v>0</v>
      </c>
      <c r="L355" s="123">
        <v>0</v>
      </c>
      <c r="M355" s="117">
        <f>Table1[[#This Row],[Quantity of Sets]]*1</f>
        <v>0</v>
      </c>
      <c r="N355" s="117">
        <v>0</v>
      </c>
      <c r="O355" s="117">
        <v>0</v>
      </c>
      <c r="P355" s="117">
        <v>0</v>
      </c>
      <c r="Q355" s="117">
        <v>0</v>
      </c>
      <c r="R355" s="117">
        <v>0</v>
      </c>
      <c r="S355" s="119">
        <v>0</v>
      </c>
      <c r="T355" s="119">
        <v>0</v>
      </c>
      <c r="U355" s="119">
        <v>0</v>
      </c>
      <c r="V355" s="119" t="str">
        <f t="shared" si="9"/>
        <v xml:space="preserve"> </v>
      </c>
    </row>
    <row r="356" spans="1:22" hidden="1">
      <c r="A356" s="449" t="s">
        <v>65</v>
      </c>
      <c r="B356" s="114">
        <f>_xlfn.IFNA(VLOOKUP(Table1[[#This Row],[SKU]],'Kilter Holds'!$P$36:$S$370,4,0),0)</f>
        <v>0</v>
      </c>
      <c r="C356" s="115">
        <v>1</v>
      </c>
      <c r="D356" s="117">
        <v>0</v>
      </c>
      <c r="E356" s="117">
        <v>0</v>
      </c>
      <c r="F356" s="117">
        <v>0</v>
      </c>
      <c r="G356" s="117">
        <v>0</v>
      </c>
      <c r="H356" s="117">
        <v>0</v>
      </c>
      <c r="I356" s="117">
        <v>0</v>
      </c>
      <c r="J356" s="117">
        <v>0</v>
      </c>
      <c r="K356" s="117">
        <v>0</v>
      </c>
      <c r="L356" s="123">
        <v>0</v>
      </c>
      <c r="M356" s="117">
        <v>0</v>
      </c>
      <c r="N356" s="117">
        <f>Table1[[#This Row],[Quantity of Sets]]*1</f>
        <v>0</v>
      </c>
      <c r="O356" s="117">
        <v>0</v>
      </c>
      <c r="P356" s="117">
        <v>0</v>
      </c>
      <c r="Q356" s="117">
        <v>0</v>
      </c>
      <c r="R356" s="117">
        <v>0</v>
      </c>
      <c r="S356" s="119">
        <v>0</v>
      </c>
      <c r="T356" s="119">
        <v>0</v>
      </c>
      <c r="U356" s="119">
        <v>0</v>
      </c>
      <c r="V356" s="119" t="str">
        <f t="shared" si="9"/>
        <v xml:space="preserve"> </v>
      </c>
    </row>
    <row r="357" spans="1:22" hidden="1">
      <c r="A357" s="452" t="s">
        <v>92</v>
      </c>
      <c r="B357" s="114">
        <f>_xlfn.IFNA(VLOOKUP(Table1[[#This Row],[SKU]],'Kilter Holds'!$P$36:$S$370,4,0),0)</f>
        <v>0</v>
      </c>
      <c r="C357" s="115">
        <v>20</v>
      </c>
      <c r="D357" s="117">
        <f>IFERROR(20*B357,0)</f>
        <v>0</v>
      </c>
      <c r="E357" s="117">
        <v>0</v>
      </c>
      <c r="F357" s="117">
        <v>0</v>
      </c>
      <c r="G357" s="117">
        <v>0</v>
      </c>
      <c r="H357" s="117">
        <v>0</v>
      </c>
      <c r="I357" s="117">
        <v>0</v>
      </c>
      <c r="J357" s="117">
        <v>0</v>
      </c>
      <c r="K357" s="117">
        <v>0</v>
      </c>
      <c r="L357" s="123">
        <v>0</v>
      </c>
      <c r="M357" s="117">
        <v>0</v>
      </c>
      <c r="N357" s="117">
        <v>0</v>
      </c>
      <c r="O357" s="117">
        <v>0</v>
      </c>
      <c r="P357" s="117">
        <v>0</v>
      </c>
      <c r="Q357" s="117">
        <v>0</v>
      </c>
      <c r="R357" s="117">
        <v>0</v>
      </c>
      <c r="S357" s="119">
        <v>0</v>
      </c>
      <c r="T357" s="119">
        <v>0</v>
      </c>
      <c r="U357" s="119">
        <v>0</v>
      </c>
      <c r="V357" s="119" t="str">
        <f t="shared" si="9"/>
        <v xml:space="preserve"> </v>
      </c>
    </row>
    <row r="358" spans="1:22" hidden="1">
      <c r="A358" s="452" t="s">
        <v>518</v>
      </c>
      <c r="B358" s="114">
        <f>_xlfn.IFNA(VLOOKUP(Table1[[#This Row],[SKU]],'Kilter Holds'!$P$36:$S$370,4,0),0)</f>
        <v>0</v>
      </c>
      <c r="C358" s="115">
        <v>20</v>
      </c>
      <c r="D358" s="117">
        <f>IFERROR(20*B358,0)</f>
        <v>0</v>
      </c>
      <c r="E358" s="117">
        <v>0</v>
      </c>
      <c r="F358" s="117">
        <v>0</v>
      </c>
      <c r="G358" s="117">
        <v>0</v>
      </c>
      <c r="H358" s="117">
        <v>0</v>
      </c>
      <c r="I358" s="117">
        <v>0</v>
      </c>
      <c r="J358" s="117">
        <v>0</v>
      </c>
      <c r="K358" s="117">
        <v>0</v>
      </c>
      <c r="L358" s="123">
        <v>0</v>
      </c>
      <c r="M358" s="117">
        <v>0</v>
      </c>
      <c r="N358" s="117">
        <v>0</v>
      </c>
      <c r="O358" s="117">
        <v>0</v>
      </c>
      <c r="P358" s="117">
        <v>0</v>
      </c>
      <c r="Q358" s="117">
        <v>0</v>
      </c>
      <c r="R358" s="117">
        <v>0</v>
      </c>
      <c r="S358" s="119">
        <v>0</v>
      </c>
      <c r="T358" s="119">
        <v>0</v>
      </c>
      <c r="U358" s="119">
        <v>0</v>
      </c>
      <c r="V358" s="119" t="str">
        <f t="shared" si="9"/>
        <v xml:space="preserve"> </v>
      </c>
    </row>
    <row r="359" spans="1:22" hidden="1">
      <c r="A359" s="452" t="s">
        <v>93</v>
      </c>
      <c r="B359" s="114">
        <f>_xlfn.IFNA(VLOOKUP(Table1[[#This Row],[SKU]],'Kilter Holds'!$P$36:$S$370,4,0),0)</f>
        <v>0</v>
      </c>
      <c r="C359" s="115">
        <v>20</v>
      </c>
      <c r="D359" s="117">
        <f>IFERROR(20*B359,0)</f>
        <v>0</v>
      </c>
      <c r="E359" s="117">
        <v>0</v>
      </c>
      <c r="F359" s="117">
        <v>0</v>
      </c>
      <c r="G359" s="117">
        <v>0</v>
      </c>
      <c r="H359" s="117">
        <v>0</v>
      </c>
      <c r="I359" s="117">
        <v>0</v>
      </c>
      <c r="J359" s="117">
        <v>0</v>
      </c>
      <c r="K359" s="117">
        <v>0</v>
      </c>
      <c r="L359" s="123">
        <v>0</v>
      </c>
      <c r="M359" s="117">
        <v>0</v>
      </c>
      <c r="N359" s="117">
        <v>0</v>
      </c>
      <c r="O359" s="117">
        <v>0</v>
      </c>
      <c r="P359" s="117">
        <v>0</v>
      </c>
      <c r="Q359" s="117">
        <v>0</v>
      </c>
      <c r="R359" s="117">
        <v>0</v>
      </c>
      <c r="S359" s="119">
        <v>0</v>
      </c>
      <c r="T359" s="119">
        <v>0</v>
      </c>
      <c r="U359" s="119">
        <v>0</v>
      </c>
      <c r="V359" s="119" t="str">
        <f t="shared" si="9"/>
        <v xml:space="preserve"> </v>
      </c>
    </row>
    <row r="360" spans="1:22" hidden="1">
      <c r="A360" s="452" t="s">
        <v>94</v>
      </c>
      <c r="B360" s="114">
        <f>_xlfn.IFNA(VLOOKUP(Table1[[#This Row],[SKU]],'Kilter Holds'!$P$36:$S$370,4,0),0)</f>
        <v>0</v>
      </c>
      <c r="C360" s="115">
        <v>20</v>
      </c>
      <c r="D360" s="117">
        <f>IFERROR(20*B360,0)</f>
        <v>0</v>
      </c>
      <c r="E360" s="117">
        <v>0</v>
      </c>
      <c r="F360" s="117">
        <v>0</v>
      </c>
      <c r="G360" s="117">
        <v>0</v>
      </c>
      <c r="H360" s="117">
        <v>0</v>
      </c>
      <c r="I360" s="117">
        <v>0</v>
      </c>
      <c r="J360" s="117">
        <v>0</v>
      </c>
      <c r="K360" s="117">
        <v>0</v>
      </c>
      <c r="L360" s="123">
        <v>0</v>
      </c>
      <c r="M360" s="117">
        <v>0</v>
      </c>
      <c r="N360" s="117">
        <v>0</v>
      </c>
      <c r="O360" s="117">
        <v>0</v>
      </c>
      <c r="P360" s="117">
        <v>0</v>
      </c>
      <c r="Q360" s="117">
        <v>0</v>
      </c>
      <c r="R360" s="117">
        <v>0</v>
      </c>
      <c r="S360" s="119">
        <v>0</v>
      </c>
      <c r="T360" s="119">
        <v>0</v>
      </c>
      <c r="U360" s="119">
        <v>0</v>
      </c>
      <c r="V360" s="119" t="str">
        <f t="shared" si="9"/>
        <v xml:space="preserve"> </v>
      </c>
    </row>
    <row r="361" spans="1:22" hidden="1">
      <c r="A361" s="452" t="s">
        <v>97</v>
      </c>
      <c r="B361" s="114">
        <f>_xlfn.IFNA(VLOOKUP(Table1[[#This Row],[SKU]],'Kilter Holds'!$P$36:$S$370,4,0),0)</f>
        <v>0</v>
      </c>
      <c r="C361" s="115">
        <v>22</v>
      </c>
      <c r="D361" s="117">
        <v>0</v>
      </c>
      <c r="E361" s="117">
        <v>0</v>
      </c>
      <c r="F361" s="117">
        <v>0</v>
      </c>
      <c r="G361" s="117">
        <v>0</v>
      </c>
      <c r="H361" s="117">
        <v>0</v>
      </c>
      <c r="I361" s="117">
        <v>0</v>
      </c>
      <c r="J361" s="117">
        <v>0</v>
      </c>
      <c r="K361" s="117">
        <v>0</v>
      </c>
      <c r="L361" s="123">
        <v>0</v>
      </c>
      <c r="M361" s="117">
        <v>0</v>
      </c>
      <c r="N361" s="117">
        <v>0</v>
      </c>
      <c r="O361" s="117">
        <v>0</v>
      </c>
      <c r="P361" s="117">
        <v>0</v>
      </c>
      <c r="Q361" s="117">
        <v>0</v>
      </c>
      <c r="R361" s="117">
        <f>IFERROR(66*B361,0)</f>
        <v>0</v>
      </c>
      <c r="S361" s="119">
        <v>0</v>
      </c>
      <c r="T361" s="119">
        <v>0</v>
      </c>
      <c r="U361" s="119">
        <v>0</v>
      </c>
      <c r="V361" s="119" t="str">
        <f t="shared" si="9"/>
        <v xml:space="preserve"> </v>
      </c>
    </row>
    <row r="362" spans="1:22" hidden="1">
      <c r="A362" s="452" t="s">
        <v>87</v>
      </c>
      <c r="B362" s="114">
        <f>_xlfn.IFNA(VLOOKUP(Table1[[#This Row],[SKU]],'Kilter Holds'!$P$36:$S$370,4,0),0)</f>
        <v>0</v>
      </c>
      <c r="C362" s="115">
        <v>10</v>
      </c>
      <c r="D362" s="117">
        <f>IFERROR(10*B362,0)</f>
        <v>0</v>
      </c>
      <c r="E362" s="117">
        <v>0</v>
      </c>
      <c r="F362" s="117">
        <v>0</v>
      </c>
      <c r="G362" s="117">
        <v>0</v>
      </c>
      <c r="H362" s="117">
        <v>0</v>
      </c>
      <c r="I362" s="117">
        <v>0</v>
      </c>
      <c r="J362" s="117">
        <v>0</v>
      </c>
      <c r="K362" s="117">
        <v>0</v>
      </c>
      <c r="L362" s="123">
        <v>0</v>
      </c>
      <c r="M362" s="117">
        <v>0</v>
      </c>
      <c r="N362" s="117">
        <v>0</v>
      </c>
      <c r="O362" s="117">
        <v>0</v>
      </c>
      <c r="P362" s="117">
        <v>0</v>
      </c>
      <c r="Q362" s="117">
        <v>0</v>
      </c>
      <c r="R362" s="117">
        <v>0</v>
      </c>
      <c r="S362" s="119">
        <v>0</v>
      </c>
      <c r="T362" s="119">
        <v>0</v>
      </c>
      <c r="U362" s="119">
        <v>0</v>
      </c>
      <c r="V362" s="119" t="str">
        <f t="shared" ref="V362:V445" si="27">IF(B362&gt;0,"Added"," ")</f>
        <v xml:space="preserve"> </v>
      </c>
    </row>
    <row r="363" spans="1:22" hidden="1">
      <c r="A363" s="452" t="s">
        <v>81</v>
      </c>
      <c r="B363" s="114">
        <f>_xlfn.IFNA(VLOOKUP(Table1[[#This Row],[SKU]],'Kilter Holds'!$P$36:$S$370,4,0),0)</f>
        <v>0</v>
      </c>
      <c r="C363" s="115">
        <v>10</v>
      </c>
      <c r="D363" s="117">
        <f>IFERROR(8*B363,0)</f>
        <v>0</v>
      </c>
      <c r="E363" s="117">
        <f>IFERROR(2*B363,0)</f>
        <v>0</v>
      </c>
      <c r="F363" s="117">
        <v>0</v>
      </c>
      <c r="G363" s="117">
        <v>0</v>
      </c>
      <c r="H363" s="117">
        <v>0</v>
      </c>
      <c r="I363" s="117">
        <v>0</v>
      </c>
      <c r="J363" s="117">
        <v>0</v>
      </c>
      <c r="K363" s="117">
        <v>0</v>
      </c>
      <c r="L363" s="123">
        <v>0</v>
      </c>
      <c r="M363" s="117">
        <v>0</v>
      </c>
      <c r="N363" s="117">
        <v>0</v>
      </c>
      <c r="O363" s="117">
        <v>0</v>
      </c>
      <c r="P363" s="117">
        <v>0</v>
      </c>
      <c r="Q363" s="117">
        <v>0</v>
      </c>
      <c r="R363" s="117">
        <v>0</v>
      </c>
      <c r="S363" s="119">
        <v>0</v>
      </c>
      <c r="T363" s="119">
        <v>0</v>
      </c>
      <c r="U363" s="119">
        <v>0</v>
      </c>
      <c r="V363" s="119" t="str">
        <f t="shared" si="27"/>
        <v xml:space="preserve"> </v>
      </c>
    </row>
    <row r="364" spans="1:22" hidden="1">
      <c r="A364" s="452" t="s">
        <v>82</v>
      </c>
      <c r="B364" s="114">
        <f>_xlfn.IFNA(VLOOKUP(Table1[[#This Row],[SKU]],'Kilter Holds'!$P$36:$S$370,4,0),0)</f>
        <v>0</v>
      </c>
      <c r="C364" s="115">
        <v>6</v>
      </c>
      <c r="D364" s="117">
        <f>IFERROR(4*B364,0)</f>
        <v>0</v>
      </c>
      <c r="E364" s="117">
        <f>IFERROR(2*B364,0)</f>
        <v>0</v>
      </c>
      <c r="F364" s="117">
        <v>0</v>
      </c>
      <c r="G364" s="117">
        <v>0</v>
      </c>
      <c r="H364" s="117">
        <v>0</v>
      </c>
      <c r="I364" s="117">
        <v>0</v>
      </c>
      <c r="J364" s="117">
        <v>0</v>
      </c>
      <c r="K364" s="117">
        <v>0</v>
      </c>
      <c r="L364" s="123">
        <v>0</v>
      </c>
      <c r="M364" s="117">
        <v>0</v>
      </c>
      <c r="N364" s="117">
        <v>0</v>
      </c>
      <c r="O364" s="117">
        <v>0</v>
      </c>
      <c r="P364" s="117">
        <v>0</v>
      </c>
      <c r="Q364" s="117">
        <v>0</v>
      </c>
      <c r="R364" s="117">
        <v>0</v>
      </c>
      <c r="S364" s="119">
        <v>0</v>
      </c>
      <c r="T364" s="119">
        <v>0</v>
      </c>
      <c r="U364" s="119">
        <v>0</v>
      </c>
      <c r="V364" s="119" t="str">
        <f t="shared" si="27"/>
        <v xml:space="preserve"> </v>
      </c>
    </row>
    <row r="365" spans="1:22" hidden="1">
      <c r="A365" s="452" t="s">
        <v>88</v>
      </c>
      <c r="B365" s="114">
        <f>_xlfn.IFNA(VLOOKUP(Table1[[#This Row],[SKU]],'Kilter Holds'!$P$36:$S$370,4,0),0)</f>
        <v>0</v>
      </c>
      <c r="C365" s="115">
        <v>14</v>
      </c>
      <c r="D365" s="117">
        <f>IFERROR(13*B365,0)</f>
        <v>0</v>
      </c>
      <c r="E365" s="117">
        <f>IFERROR(1*B365,0)</f>
        <v>0</v>
      </c>
      <c r="F365" s="117">
        <v>0</v>
      </c>
      <c r="G365" s="117">
        <v>0</v>
      </c>
      <c r="H365" s="117">
        <v>0</v>
      </c>
      <c r="I365" s="117">
        <v>0</v>
      </c>
      <c r="J365" s="117">
        <v>0</v>
      </c>
      <c r="K365" s="117">
        <v>0</v>
      </c>
      <c r="L365" s="123">
        <v>0</v>
      </c>
      <c r="M365" s="117">
        <v>0</v>
      </c>
      <c r="N365" s="117">
        <v>0</v>
      </c>
      <c r="O365" s="117">
        <v>0</v>
      </c>
      <c r="P365" s="117">
        <v>0</v>
      </c>
      <c r="Q365" s="117">
        <v>0</v>
      </c>
      <c r="R365" s="117">
        <v>0</v>
      </c>
      <c r="S365" s="119">
        <v>0</v>
      </c>
      <c r="T365" s="119">
        <v>0</v>
      </c>
      <c r="U365" s="119">
        <v>0</v>
      </c>
      <c r="V365" s="119" t="str">
        <f t="shared" si="27"/>
        <v xml:space="preserve"> </v>
      </c>
    </row>
    <row r="366" spans="1:22" hidden="1">
      <c r="A366" s="452" t="s">
        <v>1045</v>
      </c>
      <c r="B366" s="114">
        <f>_xlfn.IFNA(VLOOKUP(Table1[[#This Row],[SKU]],'Kilter Holds'!$P$36:$S$370,4,0),0)</f>
        <v>0</v>
      </c>
      <c r="C366" s="115">
        <v>5</v>
      </c>
      <c r="D366" s="117">
        <v>0</v>
      </c>
      <c r="E366" s="117">
        <v>0</v>
      </c>
      <c r="F366" s="117">
        <f>IFERROR(5*B366,0)</f>
        <v>0</v>
      </c>
      <c r="G366" s="117">
        <v>0</v>
      </c>
      <c r="H366" s="117">
        <v>0</v>
      </c>
      <c r="I366" s="117">
        <v>0</v>
      </c>
      <c r="J366" s="117">
        <v>0</v>
      </c>
      <c r="K366" s="117">
        <v>0</v>
      </c>
      <c r="L366" s="123">
        <v>0</v>
      </c>
      <c r="M366" s="117">
        <v>0</v>
      </c>
      <c r="N366" s="117">
        <v>0</v>
      </c>
      <c r="O366" s="117">
        <v>0</v>
      </c>
      <c r="P366" s="117">
        <v>0</v>
      </c>
      <c r="Q366" s="117">
        <v>0</v>
      </c>
      <c r="R366" s="117">
        <v>0</v>
      </c>
      <c r="S366" s="119">
        <v>0</v>
      </c>
      <c r="T366" s="119">
        <v>0</v>
      </c>
      <c r="U366" s="119">
        <v>0</v>
      </c>
      <c r="V366" s="119" t="str">
        <f t="shared" si="27"/>
        <v xml:space="preserve"> </v>
      </c>
    </row>
    <row r="367" spans="1:22" hidden="1">
      <c r="A367" s="452" t="s">
        <v>1066</v>
      </c>
      <c r="B367" s="114">
        <f>_xlfn.IFNA(VLOOKUP(Table1[[#This Row],[SKU]],'Kilter Holds'!$P$36:$S$370,4,0),0)</f>
        <v>0</v>
      </c>
      <c r="C367" s="115">
        <v>5</v>
      </c>
      <c r="D367" s="117">
        <v>0</v>
      </c>
      <c r="E367" s="117">
        <v>0</v>
      </c>
      <c r="F367" s="117">
        <f>IFERROR(3*B367,0)</f>
        <v>0</v>
      </c>
      <c r="G367" s="117">
        <f>IFERROR(2*B367,0)</f>
        <v>0</v>
      </c>
      <c r="H367" s="117">
        <v>0</v>
      </c>
      <c r="I367" s="117">
        <v>0</v>
      </c>
      <c r="J367" s="117">
        <v>0</v>
      </c>
      <c r="K367" s="117">
        <v>0</v>
      </c>
      <c r="L367" s="123">
        <v>0</v>
      </c>
      <c r="M367" s="117">
        <v>0</v>
      </c>
      <c r="N367" s="117">
        <v>0</v>
      </c>
      <c r="O367" s="117">
        <v>0</v>
      </c>
      <c r="P367" s="117">
        <v>0</v>
      </c>
      <c r="Q367" s="117">
        <v>0</v>
      </c>
      <c r="R367" s="117">
        <v>0</v>
      </c>
      <c r="S367" s="119">
        <v>0</v>
      </c>
      <c r="T367" s="119">
        <v>0</v>
      </c>
      <c r="U367" s="119">
        <v>0</v>
      </c>
      <c r="V367" s="119" t="str">
        <f t="shared" si="27"/>
        <v xml:space="preserve"> </v>
      </c>
    </row>
    <row r="368" spans="1:22" hidden="1">
      <c r="A368" s="452" t="s">
        <v>1067</v>
      </c>
      <c r="B368" s="114">
        <f>_xlfn.IFNA(VLOOKUP(Table1[[#This Row],[SKU]],'Kilter Holds'!$P$36:$S$370,4,0),0)</f>
        <v>0</v>
      </c>
      <c r="C368" s="115">
        <v>5</v>
      </c>
      <c r="D368" s="117">
        <v>0</v>
      </c>
      <c r="E368" s="117">
        <f>IFERROR(4*B368,0)</f>
        <v>0</v>
      </c>
      <c r="F368" s="117">
        <v>0</v>
      </c>
      <c r="G368" s="117">
        <f>IFERROR(1*B368,0)</f>
        <v>0</v>
      </c>
      <c r="H368" s="117">
        <v>0</v>
      </c>
      <c r="I368" s="117">
        <v>0</v>
      </c>
      <c r="J368" s="117">
        <v>0</v>
      </c>
      <c r="K368" s="117">
        <v>0</v>
      </c>
      <c r="L368" s="123">
        <v>0</v>
      </c>
      <c r="M368" s="117">
        <v>0</v>
      </c>
      <c r="N368" s="117">
        <v>0</v>
      </c>
      <c r="O368" s="117">
        <v>0</v>
      </c>
      <c r="P368" s="117">
        <v>0</v>
      </c>
      <c r="Q368" s="117">
        <v>0</v>
      </c>
      <c r="R368" s="117">
        <v>0</v>
      </c>
      <c r="S368" s="119">
        <v>0</v>
      </c>
      <c r="T368" s="119">
        <v>0</v>
      </c>
      <c r="U368" s="119">
        <v>0</v>
      </c>
      <c r="V368" s="119" t="str">
        <f t="shared" si="27"/>
        <v xml:space="preserve"> </v>
      </c>
    </row>
    <row r="369" spans="1:22" hidden="1">
      <c r="A369" s="452" t="s">
        <v>1206</v>
      </c>
      <c r="B369" s="114">
        <f>_xlfn.IFNA(VLOOKUP(Table1[[#This Row],[SKU]],'Kilter Holds'!$P$36:$S$370,4,0),0)</f>
        <v>0</v>
      </c>
      <c r="C369" s="115">
        <v>10</v>
      </c>
      <c r="D369" s="117">
        <f>IFERROR(9*B369,0)</f>
        <v>0</v>
      </c>
      <c r="E369" s="117">
        <f>IFERROR(1*B369,0)</f>
        <v>0</v>
      </c>
      <c r="F369" s="117">
        <v>0</v>
      </c>
      <c r="G369" s="117">
        <v>0</v>
      </c>
      <c r="H369" s="117">
        <v>0</v>
      </c>
      <c r="I369" s="117">
        <v>0</v>
      </c>
      <c r="J369" s="117">
        <v>0</v>
      </c>
      <c r="K369" s="117">
        <v>0</v>
      </c>
      <c r="L369" s="123">
        <v>0</v>
      </c>
      <c r="M369" s="117">
        <v>0</v>
      </c>
      <c r="N369" s="117">
        <v>0</v>
      </c>
      <c r="O369" s="117">
        <v>0</v>
      </c>
      <c r="P369" s="117">
        <v>0</v>
      </c>
      <c r="Q369" s="117">
        <v>0</v>
      </c>
      <c r="R369" s="117">
        <v>0</v>
      </c>
      <c r="S369" s="119">
        <v>0</v>
      </c>
      <c r="T369" s="119">
        <v>0</v>
      </c>
      <c r="U369" s="119">
        <v>0</v>
      </c>
      <c r="V369" s="119" t="str">
        <f t="shared" si="27"/>
        <v xml:space="preserve"> </v>
      </c>
    </row>
    <row r="370" spans="1:22" hidden="1">
      <c r="A370" s="452" t="s">
        <v>1068</v>
      </c>
      <c r="B370" s="114">
        <f>_xlfn.IFNA(VLOOKUP(Table1[[#This Row],[SKU]],'Kilter Holds'!$P$36:$S$370,4,0),0)</f>
        <v>0</v>
      </c>
      <c r="C370" s="115">
        <v>10</v>
      </c>
      <c r="D370" s="117">
        <f>IFERROR(10*B370,0)</f>
        <v>0</v>
      </c>
      <c r="E370" s="117">
        <v>0</v>
      </c>
      <c r="F370" s="117">
        <v>0</v>
      </c>
      <c r="G370" s="117">
        <v>0</v>
      </c>
      <c r="H370" s="117">
        <v>0</v>
      </c>
      <c r="I370" s="117">
        <v>0</v>
      </c>
      <c r="J370" s="117">
        <v>0</v>
      </c>
      <c r="K370" s="117">
        <v>0</v>
      </c>
      <c r="L370" s="123">
        <v>0</v>
      </c>
      <c r="M370" s="117">
        <v>0</v>
      </c>
      <c r="N370" s="117">
        <v>0</v>
      </c>
      <c r="O370" s="117">
        <v>0</v>
      </c>
      <c r="P370" s="117">
        <v>0</v>
      </c>
      <c r="Q370" s="117">
        <v>0</v>
      </c>
      <c r="R370" s="117">
        <v>0</v>
      </c>
      <c r="S370" s="119">
        <v>0</v>
      </c>
      <c r="T370" s="119">
        <v>0</v>
      </c>
      <c r="U370" s="119">
        <v>0</v>
      </c>
      <c r="V370" s="119" t="str">
        <f t="shared" si="27"/>
        <v xml:space="preserve"> </v>
      </c>
    </row>
    <row r="371" spans="1:22" hidden="1">
      <c r="A371" s="455" t="s">
        <v>2001</v>
      </c>
      <c r="B371" s="114">
        <f>_xlfn.IFNA(VLOOKUP(Table1[[#This Row],[SKU]],'Kilter Holds'!$P$36:$S$370,4,0),0)</f>
        <v>0</v>
      </c>
      <c r="C371" s="115">
        <v>21</v>
      </c>
      <c r="D371" s="117">
        <f>IFERROR(5*B371,0)</f>
        <v>0</v>
      </c>
      <c r="E371" s="117">
        <f>IFERROR(5*B371,0)</f>
        <v>0</v>
      </c>
      <c r="F371" s="117">
        <v>0</v>
      </c>
      <c r="G371" s="117">
        <v>0</v>
      </c>
      <c r="H371" s="117">
        <v>0</v>
      </c>
      <c r="I371" s="117">
        <v>0</v>
      </c>
      <c r="J371" s="117">
        <v>0</v>
      </c>
      <c r="K371" s="117">
        <v>0</v>
      </c>
      <c r="L371" s="123">
        <v>0</v>
      </c>
      <c r="M371" s="117">
        <v>0</v>
      </c>
      <c r="N371" s="117">
        <v>0</v>
      </c>
      <c r="O371" s="117">
        <v>0</v>
      </c>
      <c r="P371" s="117">
        <v>0</v>
      </c>
      <c r="Q371" s="117">
        <f>IFERROR(42*B371,0)</f>
        <v>0</v>
      </c>
      <c r="R371" s="117">
        <v>0</v>
      </c>
      <c r="S371" s="119">
        <v>0</v>
      </c>
      <c r="T371" s="119">
        <v>0</v>
      </c>
      <c r="U371" s="119">
        <v>0</v>
      </c>
      <c r="V371" s="119" t="str">
        <f t="shared" si="27"/>
        <v xml:space="preserve"> </v>
      </c>
    </row>
    <row r="372" spans="1:22" hidden="1">
      <c r="A372" s="455" t="s">
        <v>2051</v>
      </c>
      <c r="B372" s="114">
        <f>_xlfn.IFNA(VLOOKUP(Table1[[#This Row],[SKU]],'Kilter Holds'!$P$36:$S$370,4,0),0)</f>
        <v>0</v>
      </c>
      <c r="C372" s="115">
        <v>2</v>
      </c>
      <c r="D372" s="117">
        <v>0</v>
      </c>
      <c r="E372" s="117">
        <v>0</v>
      </c>
      <c r="F372" s="117">
        <v>0</v>
      </c>
      <c r="G372" s="117">
        <v>0</v>
      </c>
      <c r="H372" s="117">
        <v>0</v>
      </c>
      <c r="I372" s="117">
        <f>IFERROR(1*B372,0)</f>
        <v>0</v>
      </c>
      <c r="J372" s="117">
        <v>0</v>
      </c>
      <c r="K372" s="117">
        <v>0</v>
      </c>
      <c r="L372" s="123">
        <v>0</v>
      </c>
      <c r="M372" s="117">
        <v>0</v>
      </c>
      <c r="N372" s="117">
        <v>0</v>
      </c>
      <c r="O372" s="117">
        <f>IFERROR(1*B372,0)</f>
        <v>0</v>
      </c>
      <c r="P372" s="117">
        <v>0</v>
      </c>
      <c r="Q372" s="117">
        <f>IFERROR(5*B372,0)</f>
        <v>0</v>
      </c>
      <c r="R372" s="117">
        <f>IFERROR(2*B372,0)</f>
        <v>0</v>
      </c>
      <c r="S372" s="119">
        <v>0</v>
      </c>
      <c r="T372" s="119">
        <v>0</v>
      </c>
      <c r="U372" s="119">
        <v>0</v>
      </c>
      <c r="V372" s="119" t="str">
        <f t="shared" si="27"/>
        <v xml:space="preserve"> </v>
      </c>
    </row>
    <row r="373" spans="1:22" hidden="1">
      <c r="A373" s="455" t="s">
        <v>2052</v>
      </c>
      <c r="B373" s="114">
        <f>_xlfn.IFNA(VLOOKUP(Table1[[#This Row],[SKU]],'Kilter Holds'!$P$36:$S$370,4,0),0)</f>
        <v>0</v>
      </c>
      <c r="C373" s="115">
        <v>1</v>
      </c>
      <c r="D373" s="117">
        <v>0</v>
      </c>
      <c r="E373" s="117">
        <v>0</v>
      </c>
      <c r="F373" s="117">
        <v>0</v>
      </c>
      <c r="G373" s="117">
        <v>0</v>
      </c>
      <c r="H373" s="117">
        <v>0</v>
      </c>
      <c r="I373" s="117">
        <f>IFERROR(1*B373,0)</f>
        <v>0</v>
      </c>
      <c r="J373" s="117">
        <v>0</v>
      </c>
      <c r="K373" s="117">
        <v>0</v>
      </c>
      <c r="L373" s="123">
        <v>0</v>
      </c>
      <c r="M373" s="117">
        <v>0</v>
      </c>
      <c r="N373" s="117">
        <v>0</v>
      </c>
      <c r="O373" s="117">
        <v>0</v>
      </c>
      <c r="P373" s="117">
        <v>0</v>
      </c>
      <c r="Q373" s="117">
        <f>IFERROR(5*B373,0)</f>
        <v>0</v>
      </c>
      <c r="R373" s="117">
        <f>IFERROR(2*B373,0)</f>
        <v>0</v>
      </c>
      <c r="S373" s="119">
        <v>0</v>
      </c>
      <c r="T373" s="119">
        <v>0</v>
      </c>
      <c r="U373" s="119">
        <v>0</v>
      </c>
      <c r="V373" s="119" t="str">
        <f t="shared" si="27"/>
        <v xml:space="preserve"> </v>
      </c>
    </row>
    <row r="374" spans="1:22" hidden="1">
      <c r="A374" s="455" t="s">
        <v>2053</v>
      </c>
      <c r="B374" s="114">
        <f>_xlfn.IFNA(VLOOKUP(Table1[[#This Row],[SKU]],'Kilter Holds'!$P$36:$S$370,4,0),0)</f>
        <v>0</v>
      </c>
      <c r="C374" s="115">
        <v>1</v>
      </c>
      <c r="D374" s="117">
        <v>0</v>
      </c>
      <c r="E374" s="117">
        <v>0</v>
      </c>
      <c r="F374" s="117">
        <v>0</v>
      </c>
      <c r="G374" s="117">
        <v>0</v>
      </c>
      <c r="H374" s="117">
        <v>0</v>
      </c>
      <c r="I374" s="117">
        <f>IFERROR(1*B374,0)</f>
        <v>0</v>
      </c>
      <c r="J374" s="117">
        <v>0</v>
      </c>
      <c r="K374" s="117">
        <v>0</v>
      </c>
      <c r="L374" s="123">
        <v>0</v>
      </c>
      <c r="M374" s="117">
        <v>0</v>
      </c>
      <c r="N374" s="117">
        <v>0</v>
      </c>
      <c r="O374" s="117">
        <f>IFERROR(1*B374,0)</f>
        <v>0</v>
      </c>
      <c r="P374" s="117">
        <v>0</v>
      </c>
      <c r="Q374" s="117">
        <f>IFERROR(5*B374,0)</f>
        <v>0</v>
      </c>
      <c r="R374" s="117">
        <f>IFERROR(2*B374,0)</f>
        <v>0</v>
      </c>
      <c r="S374" s="119">
        <v>0</v>
      </c>
      <c r="T374" s="119">
        <v>0</v>
      </c>
      <c r="U374" s="119">
        <v>0</v>
      </c>
      <c r="V374" s="119" t="str">
        <f t="shared" si="27"/>
        <v xml:space="preserve"> </v>
      </c>
    </row>
    <row r="375" spans="1:22" hidden="1">
      <c r="A375" s="455" t="s">
        <v>2054</v>
      </c>
      <c r="B375" s="114">
        <f>_xlfn.IFNA(VLOOKUP(Table1[[#This Row],[SKU]],'Kilter Holds'!$P$36:$S$370,4,0),0)</f>
        <v>0</v>
      </c>
      <c r="C375" s="115">
        <v>5</v>
      </c>
      <c r="D375" s="117">
        <v>0</v>
      </c>
      <c r="E375" s="117">
        <v>0</v>
      </c>
      <c r="F375" s="117">
        <v>0</v>
      </c>
      <c r="G375" s="117">
        <v>0</v>
      </c>
      <c r="H375" s="117">
        <v>0</v>
      </c>
      <c r="I375" s="117">
        <f>IFERROR(1*B375,0)</f>
        <v>0</v>
      </c>
      <c r="J375" s="117">
        <f>IFERROR(1*B375,0)</f>
        <v>0</v>
      </c>
      <c r="K375" s="117">
        <v>0</v>
      </c>
      <c r="L375" s="123">
        <v>0</v>
      </c>
      <c r="M375" s="117">
        <v>0</v>
      </c>
      <c r="N375" s="117">
        <v>0</v>
      </c>
      <c r="O375" s="117">
        <v>0</v>
      </c>
      <c r="P375" s="117">
        <v>0</v>
      </c>
      <c r="Q375" s="117">
        <f>IFERROR(19*B375,0)</f>
        <v>0</v>
      </c>
      <c r="R375" s="117">
        <v>0</v>
      </c>
      <c r="S375" s="119">
        <v>0</v>
      </c>
      <c r="T375" s="119">
        <v>0</v>
      </c>
      <c r="U375" s="119">
        <v>0</v>
      </c>
      <c r="V375" s="119" t="str">
        <f t="shared" si="27"/>
        <v xml:space="preserve"> </v>
      </c>
    </row>
    <row r="376" spans="1:22" hidden="1">
      <c r="A376" s="455" t="s">
        <v>2055</v>
      </c>
      <c r="B376" s="114">
        <f>_xlfn.IFNA(VLOOKUP(Table1[[#This Row],[SKU]],'Kilter Holds'!$P$36:$S$370,4,0),0)</f>
        <v>0</v>
      </c>
      <c r="C376" s="115">
        <v>2</v>
      </c>
      <c r="D376" s="117">
        <v>0</v>
      </c>
      <c r="E376" s="117">
        <v>0</v>
      </c>
      <c r="F376" s="117">
        <v>0</v>
      </c>
      <c r="G376" s="117">
        <v>0</v>
      </c>
      <c r="H376" s="117">
        <v>0</v>
      </c>
      <c r="I376" s="117">
        <f>IFERROR(2*B376,0)</f>
        <v>0</v>
      </c>
      <c r="J376" s="117">
        <v>0</v>
      </c>
      <c r="K376" s="117">
        <v>0</v>
      </c>
      <c r="L376" s="123">
        <v>0</v>
      </c>
      <c r="M376" s="117">
        <v>0</v>
      </c>
      <c r="N376" s="117">
        <v>0</v>
      </c>
      <c r="O376" s="117">
        <v>0</v>
      </c>
      <c r="P376" s="117">
        <v>0</v>
      </c>
      <c r="Q376" s="117">
        <f>IFERROR(21*B376,0)</f>
        <v>0</v>
      </c>
      <c r="R376" s="117">
        <f>IFERROR(1*B376,0)</f>
        <v>0</v>
      </c>
      <c r="S376" s="119">
        <v>0</v>
      </c>
      <c r="T376" s="119">
        <v>0</v>
      </c>
      <c r="U376" s="119">
        <v>0</v>
      </c>
      <c r="V376" s="119" t="str">
        <f t="shared" si="27"/>
        <v xml:space="preserve"> </v>
      </c>
    </row>
    <row r="377" spans="1:22" hidden="1">
      <c r="A377" s="455" t="s">
        <v>2210</v>
      </c>
      <c r="B377" s="114">
        <f>_xlfn.IFNA(VLOOKUP(Table1[[#This Row],[SKU]],'Kilter Holds'!$P$36:$S$370,4,0),0)</f>
        <v>0</v>
      </c>
      <c r="C377" s="115">
        <v>4</v>
      </c>
      <c r="D377" s="117">
        <v>0</v>
      </c>
      <c r="E377" s="117">
        <v>0</v>
      </c>
      <c r="F377" s="117">
        <v>0</v>
      </c>
      <c r="G377" s="117">
        <v>0</v>
      </c>
      <c r="H377" s="117">
        <v>0</v>
      </c>
      <c r="I377" s="117">
        <v>0</v>
      </c>
      <c r="J377" s="117">
        <v>0</v>
      </c>
      <c r="K377" s="117">
        <f>Table1[[#This Row],[Quantity of Sets]]*4</f>
        <v>0</v>
      </c>
      <c r="L377" s="123">
        <v>0</v>
      </c>
      <c r="M377" s="117">
        <v>0</v>
      </c>
      <c r="N377" s="117">
        <v>0</v>
      </c>
      <c r="O377" s="117">
        <v>0</v>
      </c>
      <c r="P377" s="117">
        <v>0</v>
      </c>
      <c r="Q377" s="117">
        <v>0</v>
      </c>
      <c r="R377" s="117">
        <v>0</v>
      </c>
      <c r="S377" s="117">
        <v>0</v>
      </c>
      <c r="T377" s="117">
        <v>0</v>
      </c>
      <c r="U377" s="117">
        <v>0</v>
      </c>
      <c r="V377" s="119" t="str">
        <f>IF(B377&gt;0,"Added"," ")</f>
        <v xml:space="preserve"> </v>
      </c>
    </row>
    <row r="378" spans="1:22" hidden="1">
      <c r="A378" s="455" t="s">
        <v>2425</v>
      </c>
      <c r="B378" s="114">
        <f>_xlfn.IFNA(VLOOKUP(Table1[[#This Row],[SKU]],'Kilter Holds'!$P$36:$S$370,4,0),0)</f>
        <v>0</v>
      </c>
      <c r="C378" s="115">
        <v>4</v>
      </c>
      <c r="D378" s="117">
        <v>0</v>
      </c>
      <c r="E378" s="117">
        <v>0</v>
      </c>
      <c r="F378" s="117">
        <v>0</v>
      </c>
      <c r="G378" s="117">
        <v>0</v>
      </c>
      <c r="H378" s="117">
        <f>1*Table1[[#This Row],[Quantity of Sets]]</f>
        <v>0</v>
      </c>
      <c r="I378" s="117">
        <f>1*Table1[[#This Row],[Quantity of Sets]]</f>
        <v>0</v>
      </c>
      <c r="J378" s="117">
        <v>0</v>
      </c>
      <c r="K378" s="117">
        <v>0</v>
      </c>
      <c r="L378" s="123">
        <v>0</v>
      </c>
      <c r="M378" s="117">
        <f>2*Table1[[#This Row],[Quantity of Sets]]</f>
        <v>0</v>
      </c>
      <c r="N378" s="117">
        <v>0</v>
      </c>
      <c r="O378" s="117">
        <v>0</v>
      </c>
      <c r="P378" s="117">
        <v>0</v>
      </c>
      <c r="Q378" s="117">
        <f>4*Table1[[#This Row],[Quantity of Sets]]</f>
        <v>0</v>
      </c>
      <c r="R378" s="117">
        <v>0</v>
      </c>
      <c r="S378" s="594">
        <v>0</v>
      </c>
      <c r="T378" s="594">
        <v>0</v>
      </c>
      <c r="U378" s="594">
        <v>0</v>
      </c>
      <c r="V378" s="119" t="str">
        <f t="shared" ref="V378:V385" si="28">IF(B378&gt;0,"Added"," ")</f>
        <v xml:space="preserve"> </v>
      </c>
    </row>
    <row r="379" spans="1:22" hidden="1">
      <c r="A379" s="455" t="s">
        <v>2427</v>
      </c>
      <c r="B379" s="114">
        <f>_xlfn.IFNA(VLOOKUP(Table1[[#This Row],[SKU]],'Kilter Holds'!$P$36:$S$370,4,0),0)</f>
        <v>0</v>
      </c>
      <c r="C379" s="115">
        <v>4</v>
      </c>
      <c r="D379" s="117">
        <v>0</v>
      </c>
      <c r="E379" s="117">
        <v>0</v>
      </c>
      <c r="F379" s="117">
        <f>2*Table1[[#This Row],[Quantity of Sets]]</f>
        <v>0</v>
      </c>
      <c r="G379" s="117">
        <f>2*Table1[[#This Row],[Quantity of Sets]]</f>
        <v>0</v>
      </c>
      <c r="H379" s="117">
        <v>0</v>
      </c>
      <c r="I379" s="117">
        <v>0</v>
      </c>
      <c r="J379" s="117">
        <v>0</v>
      </c>
      <c r="K379" s="117">
        <v>0</v>
      </c>
      <c r="L379" s="123">
        <v>0</v>
      </c>
      <c r="M379" s="117">
        <v>0</v>
      </c>
      <c r="N379" s="117">
        <v>0</v>
      </c>
      <c r="O379" s="117">
        <v>0</v>
      </c>
      <c r="P379" s="117">
        <v>0</v>
      </c>
      <c r="Q379" s="117">
        <f>27*Table1[[#This Row],[Quantity of Sets]]</f>
        <v>0</v>
      </c>
      <c r="R379" s="117">
        <v>0</v>
      </c>
      <c r="S379" s="594">
        <v>0</v>
      </c>
      <c r="T379" s="594">
        <v>0</v>
      </c>
      <c r="U379" s="594">
        <v>0</v>
      </c>
      <c r="V379" s="119" t="str">
        <f t="shared" si="28"/>
        <v xml:space="preserve"> </v>
      </c>
    </row>
    <row r="380" spans="1:22" hidden="1">
      <c r="A380" s="455" t="s">
        <v>2429</v>
      </c>
      <c r="B380" s="114">
        <f>_xlfn.IFNA(VLOOKUP(Table1[[#This Row],[SKU]],'Kilter Holds'!$P$36:$S$370,4,0),0)</f>
        <v>0</v>
      </c>
      <c r="C380" s="115">
        <v>5</v>
      </c>
      <c r="D380" s="117">
        <v>0</v>
      </c>
      <c r="E380" s="117">
        <v>0</v>
      </c>
      <c r="F380" s="117">
        <f>4*Table1[[#This Row],[Quantity of Sets]]</f>
        <v>0</v>
      </c>
      <c r="G380" s="117">
        <f>1*Table1[[#This Row],[Quantity of Sets]]</f>
        <v>0</v>
      </c>
      <c r="H380" s="117">
        <v>0</v>
      </c>
      <c r="I380" s="117">
        <v>0</v>
      </c>
      <c r="J380" s="117">
        <v>0</v>
      </c>
      <c r="K380" s="117">
        <v>0</v>
      </c>
      <c r="L380" s="123">
        <v>0</v>
      </c>
      <c r="M380" s="117">
        <v>0</v>
      </c>
      <c r="N380" s="117">
        <v>0</v>
      </c>
      <c r="O380" s="117">
        <v>0</v>
      </c>
      <c r="P380" s="117">
        <v>0</v>
      </c>
      <c r="Q380" s="117">
        <f>20*Table1[[#This Row],[Quantity of Sets]]</f>
        <v>0</v>
      </c>
      <c r="R380" s="117">
        <v>0</v>
      </c>
      <c r="S380" s="594">
        <v>0</v>
      </c>
      <c r="T380" s="594">
        <v>0</v>
      </c>
      <c r="U380" s="594">
        <v>0</v>
      </c>
      <c r="V380" s="119" t="str">
        <f t="shared" si="28"/>
        <v xml:space="preserve"> </v>
      </c>
    </row>
    <row r="381" spans="1:22" hidden="1">
      <c r="A381" s="455" t="s">
        <v>2431</v>
      </c>
      <c r="B381" s="114">
        <f>_xlfn.IFNA(VLOOKUP(Table1[[#This Row],[SKU]],'Kilter Holds'!$P$36:$S$370,4,0),0)</f>
        <v>0</v>
      </c>
      <c r="C381" s="115">
        <v>4</v>
      </c>
      <c r="D381" s="117">
        <v>0</v>
      </c>
      <c r="E381" s="117">
        <f>1*Table1[[#This Row],[Quantity of Sets]]</f>
        <v>0</v>
      </c>
      <c r="F381" s="117">
        <f>3*Table1[[#This Row],[Quantity of Sets]]</f>
        <v>0</v>
      </c>
      <c r="G381" s="117">
        <v>0</v>
      </c>
      <c r="H381" s="117">
        <v>0</v>
      </c>
      <c r="I381" s="117">
        <v>0</v>
      </c>
      <c r="J381" s="117">
        <v>0</v>
      </c>
      <c r="K381" s="117">
        <v>0</v>
      </c>
      <c r="L381" s="123">
        <v>0</v>
      </c>
      <c r="M381" s="117">
        <v>0</v>
      </c>
      <c r="N381" s="117">
        <v>0</v>
      </c>
      <c r="O381" s="117">
        <v>0</v>
      </c>
      <c r="P381" s="117">
        <v>0</v>
      </c>
      <c r="Q381" s="117">
        <f>4*Table1[[#This Row],[Quantity of Sets]]</f>
        <v>0</v>
      </c>
      <c r="R381" s="117">
        <v>0</v>
      </c>
      <c r="S381" s="594">
        <v>0</v>
      </c>
      <c r="T381" s="594">
        <v>0</v>
      </c>
      <c r="U381" s="594">
        <v>0</v>
      </c>
      <c r="V381" s="119" t="str">
        <f t="shared" si="28"/>
        <v xml:space="preserve"> </v>
      </c>
    </row>
    <row r="382" spans="1:22" hidden="1">
      <c r="A382" s="455" t="s">
        <v>2433</v>
      </c>
      <c r="B382" s="114">
        <f>_xlfn.IFNA(VLOOKUP(Table1[[#This Row],[SKU]],'Kilter Holds'!$P$36:$S$370,4,0),0)</f>
        <v>0</v>
      </c>
      <c r="C382" s="115">
        <v>5</v>
      </c>
      <c r="D382" s="117">
        <v>0</v>
      </c>
      <c r="E382" s="117">
        <v>0</v>
      </c>
      <c r="F382" s="117">
        <v>0</v>
      </c>
      <c r="G382" s="117">
        <f>2*Table1[[#This Row],[Quantity of Sets]]</f>
        <v>0</v>
      </c>
      <c r="H382" s="117">
        <f>3*Table1[[#This Row],[Quantity of Sets]]</f>
        <v>0</v>
      </c>
      <c r="I382" s="117">
        <v>0</v>
      </c>
      <c r="J382" s="117">
        <v>0</v>
      </c>
      <c r="K382" s="117">
        <v>0</v>
      </c>
      <c r="L382" s="123">
        <v>0</v>
      </c>
      <c r="M382" s="117">
        <v>0</v>
      </c>
      <c r="N382" s="117">
        <v>0</v>
      </c>
      <c r="O382" s="117">
        <v>0</v>
      </c>
      <c r="P382" s="117">
        <v>0</v>
      </c>
      <c r="Q382" s="117">
        <f>20*Table1[[#This Row],[Quantity of Sets]]</f>
        <v>0</v>
      </c>
      <c r="R382" s="117">
        <v>0</v>
      </c>
      <c r="S382" s="594">
        <v>0</v>
      </c>
      <c r="T382" s="594">
        <v>0</v>
      </c>
      <c r="U382" s="594">
        <v>0</v>
      </c>
      <c r="V382" s="119" t="str">
        <f t="shared" si="28"/>
        <v xml:space="preserve"> </v>
      </c>
    </row>
    <row r="383" spans="1:22" hidden="1">
      <c r="A383" s="455" t="s">
        <v>2437</v>
      </c>
      <c r="B383" s="114">
        <f>_xlfn.IFNA(VLOOKUP(Table1[[#This Row],[SKU]],'Kilter Holds'!$P$36:$S$370,4,0),0)</f>
        <v>0</v>
      </c>
      <c r="C383" s="115">
        <v>5</v>
      </c>
      <c r="D383" s="117">
        <v>0</v>
      </c>
      <c r="E383" s="117">
        <f>5*Table1[[#This Row],[Quantity of Sets]]</f>
        <v>0</v>
      </c>
      <c r="F383" s="117">
        <v>0</v>
      </c>
      <c r="G383" s="117">
        <v>0</v>
      </c>
      <c r="H383" s="117">
        <v>0</v>
      </c>
      <c r="I383" s="117">
        <v>0</v>
      </c>
      <c r="J383" s="117">
        <v>0</v>
      </c>
      <c r="K383" s="117">
        <v>0</v>
      </c>
      <c r="L383" s="117">
        <v>0</v>
      </c>
      <c r="M383" s="117">
        <v>0</v>
      </c>
      <c r="N383" s="117">
        <v>0</v>
      </c>
      <c r="O383" s="117">
        <v>0</v>
      </c>
      <c r="P383" s="117">
        <v>0</v>
      </c>
      <c r="Q383" s="117">
        <f>5*Table1[[#This Row],[Quantity of Sets]]</f>
        <v>0</v>
      </c>
      <c r="R383" s="117">
        <v>0</v>
      </c>
      <c r="S383" s="594">
        <v>0</v>
      </c>
      <c r="T383" s="594">
        <v>0</v>
      </c>
      <c r="U383" s="594">
        <v>0</v>
      </c>
      <c r="V383" s="119" t="str">
        <f>IF(B383&gt;0,"Added"," ")</f>
        <v xml:space="preserve"> </v>
      </c>
    </row>
    <row r="384" spans="1:22" hidden="1">
      <c r="A384" s="455" t="s">
        <v>2501</v>
      </c>
      <c r="B384" s="114">
        <f>_xlfn.IFNA(VLOOKUP(Table1[[#This Row],[SKU]],'Kilter Holds'!$P$36:$S$370,4,0),0)</f>
        <v>0</v>
      </c>
      <c r="C384" s="115">
        <v>5</v>
      </c>
      <c r="D384" s="117">
        <v>0</v>
      </c>
      <c r="E384" s="117">
        <f>5*Table1[[#This Row],[Quantity of Sets]]</f>
        <v>0</v>
      </c>
      <c r="F384" s="117">
        <v>0</v>
      </c>
      <c r="G384" s="117">
        <v>0</v>
      </c>
      <c r="H384" s="117">
        <v>0</v>
      </c>
      <c r="I384" s="117">
        <v>0</v>
      </c>
      <c r="J384" s="117">
        <v>0</v>
      </c>
      <c r="K384" s="117">
        <v>0</v>
      </c>
      <c r="L384" s="117">
        <v>0</v>
      </c>
      <c r="M384" s="117">
        <v>0</v>
      </c>
      <c r="N384" s="117">
        <v>0</v>
      </c>
      <c r="O384" s="117">
        <v>0</v>
      </c>
      <c r="P384" s="117">
        <v>0</v>
      </c>
      <c r="Q384" s="117">
        <f>5*Table1[[#This Row],[Quantity of Sets]]</f>
        <v>0</v>
      </c>
      <c r="R384" s="117">
        <v>0</v>
      </c>
      <c r="S384" s="594">
        <v>0</v>
      </c>
      <c r="T384" s="594">
        <v>0</v>
      </c>
      <c r="U384" s="594">
        <v>0</v>
      </c>
      <c r="V384" s="119" t="str">
        <f>IF(B384&gt;0,"Added"," ")</f>
        <v xml:space="preserve"> </v>
      </c>
    </row>
    <row r="385" spans="1:22" hidden="1">
      <c r="A385" s="455" t="s">
        <v>2441</v>
      </c>
      <c r="B385" s="114">
        <f>_xlfn.IFNA(VLOOKUP(Table1[[#This Row],[SKU]],'Kilter Holds'!$P$36:$S$370,4,0),0)</f>
        <v>0</v>
      </c>
      <c r="C385" s="115">
        <v>5</v>
      </c>
      <c r="D385" s="117">
        <f>4*Table1[[#This Row],[Quantity of Sets]]</f>
        <v>0</v>
      </c>
      <c r="E385" s="117">
        <f>1*Table1[[#This Row],[Quantity of Sets]]</f>
        <v>0</v>
      </c>
      <c r="F385" s="117">
        <v>0</v>
      </c>
      <c r="G385" s="117">
        <v>0</v>
      </c>
      <c r="H385" s="117">
        <v>0</v>
      </c>
      <c r="I385" s="117">
        <v>0</v>
      </c>
      <c r="J385" s="117">
        <v>0</v>
      </c>
      <c r="K385" s="117">
        <v>0</v>
      </c>
      <c r="L385" s="123">
        <v>0</v>
      </c>
      <c r="M385" s="117">
        <v>0</v>
      </c>
      <c r="N385" s="117">
        <v>0</v>
      </c>
      <c r="O385" s="117">
        <v>0</v>
      </c>
      <c r="P385" s="117">
        <v>0</v>
      </c>
      <c r="Q385" s="117">
        <f>17*Table1[[#This Row],[Quantity of Sets]]</f>
        <v>0</v>
      </c>
      <c r="R385" s="117">
        <v>0</v>
      </c>
      <c r="S385" s="594">
        <v>0</v>
      </c>
      <c r="T385" s="594">
        <v>0</v>
      </c>
      <c r="U385" s="594">
        <v>0</v>
      </c>
      <c r="V385" s="119" t="str">
        <f t="shared" si="28"/>
        <v xml:space="preserve"> </v>
      </c>
    </row>
    <row r="386" spans="1:22" hidden="1">
      <c r="A386" s="455" t="s">
        <v>2056</v>
      </c>
      <c r="B386" s="114">
        <f>_xlfn.IFNA(VLOOKUP(Table1[[#This Row],[SKU]],'Kilter Holds'!$P$36:$S$370,4,0),0)</f>
        <v>0</v>
      </c>
      <c r="C386" s="115">
        <v>1</v>
      </c>
      <c r="D386" s="117">
        <v>0</v>
      </c>
      <c r="E386" s="117">
        <v>0</v>
      </c>
      <c r="F386" s="117">
        <v>0</v>
      </c>
      <c r="G386" s="117">
        <v>0</v>
      </c>
      <c r="H386" s="117">
        <v>0</v>
      </c>
      <c r="I386" s="117">
        <f>IFERROR(1*B386,0)</f>
        <v>0</v>
      </c>
      <c r="J386" s="117">
        <v>0</v>
      </c>
      <c r="K386" s="117">
        <v>0</v>
      </c>
      <c r="L386" s="123">
        <v>0</v>
      </c>
      <c r="M386" s="117">
        <v>0</v>
      </c>
      <c r="N386" s="117">
        <v>0</v>
      </c>
      <c r="O386" s="117">
        <v>0</v>
      </c>
      <c r="P386" s="117">
        <v>0</v>
      </c>
      <c r="Q386" s="117">
        <f>IFERROR(21*B386,0)</f>
        <v>0</v>
      </c>
      <c r="R386" s="117">
        <f>IFERROR(1*B386,0)</f>
        <v>0</v>
      </c>
      <c r="S386" s="119">
        <v>0</v>
      </c>
      <c r="T386" s="119">
        <v>0</v>
      </c>
      <c r="U386" s="119">
        <v>0</v>
      </c>
      <c r="V386" s="119" t="str">
        <f t="shared" si="27"/>
        <v xml:space="preserve"> </v>
      </c>
    </row>
    <row r="387" spans="1:22" hidden="1">
      <c r="A387" s="455" t="s">
        <v>2057</v>
      </c>
      <c r="B387" s="114">
        <f>_xlfn.IFNA(VLOOKUP(Table1[[#This Row],[SKU]],'Kilter Holds'!$P$36:$S$370,4,0),0)</f>
        <v>0</v>
      </c>
      <c r="C387" s="115">
        <v>1</v>
      </c>
      <c r="D387" s="117">
        <v>0</v>
      </c>
      <c r="E387" s="117">
        <v>0</v>
      </c>
      <c r="F387" s="117">
        <v>0</v>
      </c>
      <c r="G387" s="117">
        <v>0</v>
      </c>
      <c r="H387" s="117">
        <v>0</v>
      </c>
      <c r="I387" s="117">
        <f>IFERROR(1*B387,0)</f>
        <v>0</v>
      </c>
      <c r="J387" s="117">
        <v>0</v>
      </c>
      <c r="K387" s="117">
        <v>0</v>
      </c>
      <c r="L387" s="123">
        <v>0</v>
      </c>
      <c r="M387" s="117">
        <v>0</v>
      </c>
      <c r="N387" s="117">
        <v>0</v>
      </c>
      <c r="O387" s="117">
        <v>0</v>
      </c>
      <c r="P387" s="117">
        <v>0</v>
      </c>
      <c r="Q387" s="117">
        <f>IFERROR(21*B387,0)</f>
        <v>0</v>
      </c>
      <c r="R387" s="117">
        <f>IFERROR(1*B387,0)</f>
        <v>0</v>
      </c>
      <c r="S387" s="119">
        <v>0</v>
      </c>
      <c r="T387" s="119">
        <v>0</v>
      </c>
      <c r="U387" s="119">
        <v>0</v>
      </c>
      <c r="V387" s="119" t="str">
        <f t="shared" si="27"/>
        <v xml:space="preserve"> </v>
      </c>
    </row>
    <row r="388" spans="1:22" hidden="1">
      <c r="A388" s="455" t="s">
        <v>2099</v>
      </c>
      <c r="B388" s="114">
        <f>_xlfn.IFNA(VLOOKUP(Table1[[#This Row],[SKU]],'Kilter Holds'!$P$36:$S$370,4,0),0)</f>
        <v>0</v>
      </c>
      <c r="C388" s="115">
        <v>11</v>
      </c>
      <c r="D388" s="117">
        <v>0</v>
      </c>
      <c r="E388" s="117">
        <v>0</v>
      </c>
      <c r="F388" s="117">
        <v>0</v>
      </c>
      <c r="G388" s="117">
        <f>IFERROR(2*B388,0)</f>
        <v>0</v>
      </c>
      <c r="H388" s="117">
        <v>0</v>
      </c>
      <c r="I388" s="117">
        <f>IFERROR(1*B388,0)</f>
        <v>0</v>
      </c>
      <c r="J388" s="117">
        <v>0</v>
      </c>
      <c r="K388" s="117">
        <v>0</v>
      </c>
      <c r="L388" s="123">
        <v>0</v>
      </c>
      <c r="M388" s="117">
        <v>0</v>
      </c>
      <c r="N388" s="117">
        <v>0</v>
      </c>
      <c r="O388" s="117">
        <v>0</v>
      </c>
      <c r="P388" s="117">
        <v>0</v>
      </c>
      <c r="Q388" s="117">
        <f>IFERROR(43*B388,0)</f>
        <v>0</v>
      </c>
      <c r="R388" s="117">
        <f>IFERROR(2*B388,0)</f>
        <v>0</v>
      </c>
      <c r="S388" s="119">
        <f>IFERROR(2*B388,0)</f>
        <v>0</v>
      </c>
      <c r="T388" s="119">
        <v>0</v>
      </c>
      <c r="U388" s="119">
        <v>0</v>
      </c>
      <c r="V388" s="119" t="str">
        <f t="shared" si="27"/>
        <v xml:space="preserve"> </v>
      </c>
    </row>
    <row r="389" spans="1:22" hidden="1">
      <c r="A389" s="455" t="s">
        <v>2143</v>
      </c>
      <c r="B389" s="114">
        <f>_xlfn.IFNA(VLOOKUP(Table1[[#This Row],[SKU]],'Kilter Holds'!$P$36:$S$370,4,0),0)</f>
        <v>0</v>
      </c>
      <c r="C389" s="115">
        <v>3</v>
      </c>
      <c r="D389" s="117">
        <v>0</v>
      </c>
      <c r="E389" s="117">
        <v>0</v>
      </c>
      <c r="F389" s="117">
        <v>0</v>
      </c>
      <c r="G389" s="117">
        <v>0</v>
      </c>
      <c r="H389" s="117">
        <v>0</v>
      </c>
      <c r="I389" s="117">
        <v>0</v>
      </c>
      <c r="J389" s="117">
        <v>0</v>
      </c>
      <c r="K389" s="117">
        <f>Table1[[#This Row],[Quantity of Sets]]*1</f>
        <v>0</v>
      </c>
      <c r="L389" s="123">
        <v>0</v>
      </c>
      <c r="M389" s="117">
        <f>1*Table1[[#This Row],[Quantity of Sets]]</f>
        <v>0</v>
      </c>
      <c r="N389" s="117">
        <v>0</v>
      </c>
      <c r="O389" s="117">
        <v>0</v>
      </c>
      <c r="P389" s="117">
        <f>Table1[[#This Row],[Quantity of Sets]]*1</f>
        <v>0</v>
      </c>
      <c r="Q389" s="117">
        <f>4*Table1[[#This Row],[Quantity of Sets]]</f>
        <v>0</v>
      </c>
      <c r="R389" s="117">
        <f>3*Table1[[#This Row],[Quantity of Sets]]</f>
        <v>0</v>
      </c>
      <c r="S389" s="119">
        <v>0</v>
      </c>
      <c r="T389" s="119">
        <v>0</v>
      </c>
      <c r="U389" s="119">
        <v>0</v>
      </c>
      <c r="V389" s="119" t="str">
        <f t="shared" si="27"/>
        <v xml:space="preserve"> </v>
      </c>
    </row>
    <row r="390" spans="1:22" hidden="1">
      <c r="A390" s="455" t="s">
        <v>2144</v>
      </c>
      <c r="B390" s="114">
        <f>_xlfn.IFNA(VLOOKUP(Table1[[#This Row],[SKU]],'Kilter Holds'!$P$36:$S$370,4,0),0)</f>
        <v>0</v>
      </c>
      <c r="C390" s="115">
        <v>1</v>
      </c>
      <c r="D390" s="117">
        <v>0</v>
      </c>
      <c r="E390" s="117">
        <v>0</v>
      </c>
      <c r="F390" s="117">
        <v>0</v>
      </c>
      <c r="G390" s="117">
        <v>0</v>
      </c>
      <c r="H390" s="117">
        <v>0</v>
      </c>
      <c r="I390" s="117">
        <v>0</v>
      </c>
      <c r="J390" s="117">
        <v>0</v>
      </c>
      <c r="K390" s="117">
        <v>0</v>
      </c>
      <c r="L390" s="123">
        <v>0</v>
      </c>
      <c r="M390" s="117">
        <v>0</v>
      </c>
      <c r="N390" s="117">
        <v>0</v>
      </c>
      <c r="O390" s="117">
        <v>0</v>
      </c>
      <c r="P390" s="117">
        <f>Table1[[#This Row],[Quantity of Sets]]*1</f>
        <v>0</v>
      </c>
      <c r="Q390" s="117">
        <v>0</v>
      </c>
      <c r="R390" s="117">
        <v>0</v>
      </c>
      <c r="S390" s="119">
        <v>0</v>
      </c>
      <c r="T390" s="119">
        <v>0</v>
      </c>
      <c r="U390" s="119">
        <v>0</v>
      </c>
      <c r="V390" s="119" t="str">
        <f t="shared" si="27"/>
        <v xml:space="preserve"> </v>
      </c>
    </row>
    <row r="391" spans="1:22" hidden="1">
      <c r="A391" s="455" t="s">
        <v>2145</v>
      </c>
      <c r="B391" s="114">
        <f>_xlfn.IFNA(VLOOKUP(Table1[[#This Row],[SKU]],'Kilter Holds'!$P$36:$S$370,4,0),0)</f>
        <v>0</v>
      </c>
      <c r="C391" s="115">
        <v>1</v>
      </c>
      <c r="D391" s="117">
        <v>0</v>
      </c>
      <c r="E391" s="117">
        <v>0</v>
      </c>
      <c r="F391" s="117">
        <v>0</v>
      </c>
      <c r="G391" s="117">
        <v>0</v>
      </c>
      <c r="H391" s="117">
        <v>0</v>
      </c>
      <c r="I391" s="117">
        <v>0</v>
      </c>
      <c r="J391" s="117">
        <v>0</v>
      </c>
      <c r="K391" s="117">
        <f>Table1[[#This Row],[Quantity of Sets]]*1</f>
        <v>0</v>
      </c>
      <c r="L391" s="123">
        <v>0</v>
      </c>
      <c r="M391" s="117">
        <v>0</v>
      </c>
      <c r="N391" s="117">
        <v>0</v>
      </c>
      <c r="O391" s="117">
        <v>0</v>
      </c>
      <c r="P391" s="117">
        <v>0</v>
      </c>
      <c r="Q391" s="117">
        <v>0</v>
      </c>
      <c r="R391" s="117">
        <v>0</v>
      </c>
      <c r="S391" s="119">
        <v>0</v>
      </c>
      <c r="T391" s="119">
        <v>0</v>
      </c>
      <c r="U391" s="119">
        <v>0</v>
      </c>
      <c r="V391" s="119" t="str">
        <f t="shared" si="27"/>
        <v xml:space="preserve"> </v>
      </c>
    </row>
    <row r="392" spans="1:22" hidden="1">
      <c r="A392" s="455" t="s">
        <v>3031</v>
      </c>
      <c r="B392" s="114">
        <f>_xlfn.IFNA(VLOOKUP(Table1[[#This Row],[SKU]],'Kilter Holds'!$P$36:$S$370,4,0),0)</f>
        <v>0</v>
      </c>
      <c r="C392" s="115">
        <v>1</v>
      </c>
      <c r="D392" s="117">
        <v>0</v>
      </c>
      <c r="E392" s="117">
        <v>0</v>
      </c>
      <c r="F392" s="117">
        <v>0</v>
      </c>
      <c r="G392" s="117">
        <v>0</v>
      </c>
      <c r="H392" s="117">
        <v>0</v>
      </c>
      <c r="I392" s="117">
        <v>0</v>
      </c>
      <c r="J392" s="117">
        <v>0</v>
      </c>
      <c r="K392" s="117">
        <v>0</v>
      </c>
      <c r="L392" s="123">
        <v>0</v>
      </c>
      <c r="M392" s="117">
        <f>1*Table1[[#This Row],[Quantity of Sets]]</f>
        <v>0</v>
      </c>
      <c r="N392" s="117">
        <v>0</v>
      </c>
      <c r="O392" s="117">
        <v>0</v>
      </c>
      <c r="P392" s="117">
        <v>0</v>
      </c>
      <c r="Q392" s="117">
        <f>4*Table1[[#This Row],[Quantity of Sets]]</f>
        <v>0</v>
      </c>
      <c r="R392" s="117">
        <f>3*Table1[[#This Row],[Quantity of Sets]]</f>
        <v>0</v>
      </c>
      <c r="S392" s="119">
        <v>0</v>
      </c>
      <c r="T392" s="119">
        <v>0</v>
      </c>
      <c r="U392" s="119">
        <v>0</v>
      </c>
      <c r="V392" s="119" t="str">
        <f t="shared" ref="V392" si="29">IF(B392&gt;0,"Added"," ")</f>
        <v xml:space="preserve"> </v>
      </c>
    </row>
    <row r="393" spans="1:22" hidden="1">
      <c r="A393" s="455" t="s">
        <v>2164</v>
      </c>
      <c r="B393" s="114">
        <f>_xlfn.IFNA(VLOOKUP(Table1[[#This Row],[SKU]],'Kilter Holds'!$P$36:$S$370,4,0),0)</f>
        <v>0</v>
      </c>
      <c r="C393" s="115">
        <v>6</v>
      </c>
      <c r="D393" s="117">
        <v>0</v>
      </c>
      <c r="E393" s="117">
        <v>0</v>
      </c>
      <c r="F393" s="117">
        <f>Table1[[#This Row],[Quantity of Sets]]*2</f>
        <v>0</v>
      </c>
      <c r="G393" s="117">
        <f>IFERROR(2*B393,0)</f>
        <v>0</v>
      </c>
      <c r="H393" s="117">
        <v>0</v>
      </c>
      <c r="I393" s="117">
        <f>IFERROR(1*B393,0)</f>
        <v>0</v>
      </c>
      <c r="J393" s="117">
        <f>Table1[[#This Row],[Quantity of Sets]]*1</f>
        <v>0</v>
      </c>
      <c r="K393" s="117">
        <v>0</v>
      </c>
      <c r="L393" s="123">
        <v>0</v>
      </c>
      <c r="M393" s="117">
        <v>0</v>
      </c>
      <c r="N393" s="117">
        <v>0</v>
      </c>
      <c r="O393" s="117">
        <v>0</v>
      </c>
      <c r="P393" s="117">
        <v>0</v>
      </c>
      <c r="Q393" s="117">
        <f>IFERROR(16*B393,0)</f>
        <v>0</v>
      </c>
      <c r="R393" s="117">
        <f>IFERROR(1*B393,0)</f>
        <v>0</v>
      </c>
      <c r="S393" s="119">
        <f>IFERROR(2*B393,0)</f>
        <v>0</v>
      </c>
      <c r="T393" s="119">
        <f>Table1[[#This Row],[Quantity of Sets]]*5</f>
        <v>0</v>
      </c>
      <c r="U393" s="119">
        <v>0</v>
      </c>
      <c r="V393" s="119" t="str">
        <f t="shared" si="27"/>
        <v xml:space="preserve"> </v>
      </c>
    </row>
    <row r="394" spans="1:22" hidden="1">
      <c r="A394" s="455" t="s">
        <v>2174</v>
      </c>
      <c r="B394" s="114">
        <f>_xlfn.IFNA(VLOOKUP(Table1[[#This Row],[SKU]],'Kilter Holds'!$P$36:$S$370,4,0),0)</f>
        <v>0</v>
      </c>
      <c r="C394" s="115">
        <v>10</v>
      </c>
      <c r="D394" s="117">
        <f>Table1[[#This Row],[Quantity of Sets]]*10</f>
        <v>0</v>
      </c>
      <c r="E394" s="117">
        <v>0</v>
      </c>
      <c r="F394" s="117">
        <v>0</v>
      </c>
      <c r="G394" s="117">
        <v>0</v>
      </c>
      <c r="H394" s="117">
        <v>0</v>
      </c>
      <c r="I394" s="117">
        <v>0</v>
      </c>
      <c r="J394" s="117">
        <v>0</v>
      </c>
      <c r="K394" s="117">
        <v>0</v>
      </c>
      <c r="L394" s="123">
        <v>0</v>
      </c>
      <c r="M394" s="117">
        <v>0</v>
      </c>
      <c r="N394" s="117">
        <v>0</v>
      </c>
      <c r="O394" s="117">
        <v>0</v>
      </c>
      <c r="P394" s="117">
        <v>0</v>
      </c>
      <c r="Q394" s="117">
        <f>IFERROR(10*B394,0)</f>
        <v>0</v>
      </c>
      <c r="R394" s="117">
        <v>0</v>
      </c>
      <c r="S394" s="119">
        <v>0</v>
      </c>
      <c r="T394" s="119">
        <v>0</v>
      </c>
      <c r="U394" s="119">
        <v>0</v>
      </c>
      <c r="V394" s="119" t="str">
        <f t="shared" si="27"/>
        <v xml:space="preserve"> </v>
      </c>
    </row>
    <row r="395" spans="1:22" hidden="1">
      <c r="A395" s="455" t="s">
        <v>2221</v>
      </c>
      <c r="B395" s="114">
        <f>_xlfn.IFNA(VLOOKUP(Table1[[#This Row],[SKU]],'Kilter Holds'!$P$36:$S$370,4,0),0)</f>
        <v>0</v>
      </c>
      <c r="C395" s="115">
        <v>2</v>
      </c>
      <c r="D395" s="117">
        <v>0</v>
      </c>
      <c r="E395" s="117">
        <v>0</v>
      </c>
      <c r="F395" s="117">
        <v>0</v>
      </c>
      <c r="G395" s="117">
        <f>Table1[[#This Row],[Quantity of Sets]]*1</f>
        <v>0</v>
      </c>
      <c r="H395" s="117">
        <f>Table1[[#This Row],[Quantity of Sets]]*1</f>
        <v>0</v>
      </c>
      <c r="I395" s="117">
        <v>0</v>
      </c>
      <c r="J395" s="117">
        <v>0</v>
      </c>
      <c r="K395" s="117">
        <v>0</v>
      </c>
      <c r="L395" s="123">
        <v>0</v>
      </c>
      <c r="M395" s="117">
        <v>0</v>
      </c>
      <c r="N395" s="117">
        <v>0</v>
      </c>
      <c r="O395" s="117">
        <v>0</v>
      </c>
      <c r="P395" s="117">
        <v>0</v>
      </c>
      <c r="Q395" s="117">
        <f>Table1[[#This Row],[Quantity of Sets]]*12</f>
        <v>0</v>
      </c>
      <c r="R395" s="117">
        <f>Table1[[#This Row],[Quantity of Sets]]*1</f>
        <v>0</v>
      </c>
      <c r="S395" s="119">
        <v>0</v>
      </c>
      <c r="T395" s="119">
        <v>0</v>
      </c>
      <c r="U395" s="119">
        <v>0</v>
      </c>
      <c r="V395" s="119" t="str">
        <f>IF(B395&gt;0,"Added"," ")</f>
        <v xml:space="preserve"> </v>
      </c>
    </row>
    <row r="396" spans="1:22" hidden="1">
      <c r="A396" s="455" t="s">
        <v>2223</v>
      </c>
      <c r="B396" s="114">
        <f>_xlfn.IFNA(VLOOKUP(Table1[[#This Row],[SKU]],'Kilter Holds'!$P$36:$S$370,4,0),0)</f>
        <v>0</v>
      </c>
      <c r="C396" s="115">
        <v>10</v>
      </c>
      <c r="D396" s="117">
        <v>0</v>
      </c>
      <c r="E396" s="117">
        <v>0</v>
      </c>
      <c r="F396" s="117">
        <v>0</v>
      </c>
      <c r="G396" s="117">
        <v>0</v>
      </c>
      <c r="H396" s="117">
        <v>0</v>
      </c>
      <c r="I396" s="117">
        <v>0</v>
      </c>
      <c r="J396" s="117">
        <v>0</v>
      </c>
      <c r="K396" s="117">
        <v>0</v>
      </c>
      <c r="L396" s="123">
        <v>0</v>
      </c>
      <c r="M396" s="117">
        <v>0</v>
      </c>
      <c r="N396" s="117">
        <v>0</v>
      </c>
      <c r="O396" s="117">
        <v>0</v>
      </c>
      <c r="P396" s="117">
        <v>0</v>
      </c>
      <c r="Q396" s="117">
        <f>Table1[[#This Row],[Quantity of Sets]]*28</f>
        <v>0</v>
      </c>
      <c r="R396" s="117">
        <v>0</v>
      </c>
      <c r="S396" s="119">
        <v>0</v>
      </c>
      <c r="T396" s="119">
        <v>0</v>
      </c>
      <c r="U396" s="119">
        <v>0</v>
      </c>
      <c r="V396" s="119" t="str">
        <f>IF(B396&gt;0,"Added"," ")</f>
        <v xml:space="preserve"> </v>
      </c>
    </row>
    <row r="397" spans="1:22" hidden="1">
      <c r="A397" s="455" t="s">
        <v>2237</v>
      </c>
      <c r="B397" s="114">
        <f>_xlfn.IFNA(VLOOKUP(Table1[[#This Row],[SKU]],'Kilter Holds'!$P$36:$S$370,4,0),0)</f>
        <v>0</v>
      </c>
      <c r="C397" s="115">
        <v>2</v>
      </c>
      <c r="D397" s="117">
        <v>0</v>
      </c>
      <c r="E397" s="117">
        <v>0</v>
      </c>
      <c r="F397" s="117">
        <v>0</v>
      </c>
      <c r="G397" s="117">
        <f>Table1[[#This Row],[Quantity of Sets]]*1</f>
        <v>0</v>
      </c>
      <c r="H397" s="117">
        <v>0</v>
      </c>
      <c r="I397" s="117">
        <v>0</v>
      </c>
      <c r="J397" s="117">
        <f>Table1[[#This Row],[Quantity of Sets]]*1</f>
        <v>0</v>
      </c>
      <c r="K397" s="117">
        <v>0</v>
      </c>
      <c r="L397" s="123">
        <v>0</v>
      </c>
      <c r="M397" s="117">
        <v>0</v>
      </c>
      <c r="N397" s="117">
        <v>0</v>
      </c>
      <c r="O397" s="117">
        <v>0</v>
      </c>
      <c r="P397" s="117">
        <v>0</v>
      </c>
      <c r="Q397" s="117">
        <f>Table1[[#This Row],[Quantity of Sets]]*11</f>
        <v>0</v>
      </c>
      <c r="R397" s="117">
        <f>Table1[[#This Row],[Quantity of Sets]]*3</f>
        <v>0</v>
      </c>
      <c r="S397" s="119">
        <v>0</v>
      </c>
      <c r="T397" s="119">
        <v>0</v>
      </c>
      <c r="U397" s="119">
        <v>0</v>
      </c>
      <c r="V397" s="119" t="str">
        <f>IF(B397&gt;0,"Added"," ")</f>
        <v xml:space="preserve"> </v>
      </c>
    </row>
    <row r="398" spans="1:22" hidden="1">
      <c r="A398" s="449" t="s">
        <v>103</v>
      </c>
      <c r="B398" s="114">
        <f>_xlfn.IFNA(VLOOKUP(Table1[[#This Row],[SKU]],'Kilter Holds'!$P$36:$S$370,4,0),0)</f>
        <v>0</v>
      </c>
      <c r="C398" s="115">
        <v>4</v>
      </c>
      <c r="D398" s="117">
        <v>0</v>
      </c>
      <c r="E398" s="117">
        <f>IFERROR(1*B398,0)</f>
        <v>0</v>
      </c>
      <c r="F398" s="117">
        <f>IFERROR(3*B398,0)</f>
        <v>0</v>
      </c>
      <c r="G398" s="117">
        <v>0</v>
      </c>
      <c r="H398" s="117">
        <v>0</v>
      </c>
      <c r="I398" s="117">
        <v>0</v>
      </c>
      <c r="J398" s="117">
        <v>0</v>
      </c>
      <c r="K398" s="117">
        <v>0</v>
      </c>
      <c r="L398" s="123">
        <v>0</v>
      </c>
      <c r="M398" s="117">
        <v>0</v>
      </c>
      <c r="N398" s="117">
        <v>0</v>
      </c>
      <c r="O398" s="117">
        <v>0</v>
      </c>
      <c r="P398" s="117">
        <v>0</v>
      </c>
      <c r="Q398" s="117">
        <v>0</v>
      </c>
      <c r="R398" s="117">
        <v>0</v>
      </c>
      <c r="S398" s="119">
        <v>0</v>
      </c>
      <c r="T398" s="119">
        <v>0</v>
      </c>
      <c r="U398" s="119">
        <v>0</v>
      </c>
      <c r="V398" s="119" t="str">
        <f t="shared" si="27"/>
        <v xml:space="preserve"> </v>
      </c>
    </row>
    <row r="399" spans="1:22" hidden="1">
      <c r="A399" s="452" t="s">
        <v>104</v>
      </c>
      <c r="B399" s="114">
        <f>_xlfn.IFNA(VLOOKUP(Table1[[#This Row],[SKU]],'Kilter Holds'!$P$36:$S$370,4,0),0)</f>
        <v>0</v>
      </c>
      <c r="C399" s="115">
        <v>10</v>
      </c>
      <c r="D399" s="117">
        <f>IFERROR(10*B399,0)</f>
        <v>0</v>
      </c>
      <c r="E399" s="117">
        <v>0</v>
      </c>
      <c r="F399" s="117">
        <v>0</v>
      </c>
      <c r="G399" s="117">
        <v>0</v>
      </c>
      <c r="H399" s="117">
        <v>0</v>
      </c>
      <c r="I399" s="117">
        <v>0</v>
      </c>
      <c r="J399" s="117">
        <v>0</v>
      </c>
      <c r="K399" s="117">
        <v>0</v>
      </c>
      <c r="L399" s="123">
        <v>0</v>
      </c>
      <c r="M399" s="117">
        <v>0</v>
      </c>
      <c r="N399" s="117">
        <v>0</v>
      </c>
      <c r="O399" s="117">
        <v>0</v>
      </c>
      <c r="P399" s="117">
        <v>0</v>
      </c>
      <c r="Q399" s="117">
        <v>0</v>
      </c>
      <c r="R399" s="117">
        <v>0</v>
      </c>
      <c r="S399" s="119">
        <v>0</v>
      </c>
      <c r="T399" s="119">
        <v>0</v>
      </c>
      <c r="U399" s="119">
        <v>0</v>
      </c>
      <c r="V399" s="119" t="str">
        <f t="shared" si="27"/>
        <v xml:space="preserve"> </v>
      </c>
    </row>
    <row r="400" spans="1:22" hidden="1">
      <c r="A400" s="452" t="s">
        <v>105</v>
      </c>
      <c r="B400" s="114">
        <f>_xlfn.IFNA(VLOOKUP(Table1[[#This Row],[SKU]],'Kilter Holds'!$P$36:$S$370,4,0),0)</f>
        <v>0</v>
      </c>
      <c r="C400" s="115">
        <v>10</v>
      </c>
      <c r="D400" s="117">
        <f>IFERROR(10*B400,0)</f>
        <v>0</v>
      </c>
      <c r="E400" s="117">
        <v>0</v>
      </c>
      <c r="F400" s="117">
        <v>0</v>
      </c>
      <c r="G400" s="117">
        <v>0</v>
      </c>
      <c r="H400" s="117">
        <v>0</v>
      </c>
      <c r="I400" s="117">
        <v>0</v>
      </c>
      <c r="J400" s="117">
        <v>0</v>
      </c>
      <c r="K400" s="117">
        <v>0</v>
      </c>
      <c r="L400" s="123">
        <v>0</v>
      </c>
      <c r="M400" s="117">
        <v>0</v>
      </c>
      <c r="N400" s="117">
        <v>0</v>
      </c>
      <c r="O400" s="117">
        <v>0</v>
      </c>
      <c r="P400" s="117">
        <v>0</v>
      </c>
      <c r="Q400" s="117">
        <v>0</v>
      </c>
      <c r="R400" s="117">
        <v>0</v>
      </c>
      <c r="S400" s="119">
        <v>0</v>
      </c>
      <c r="T400" s="119">
        <v>0</v>
      </c>
      <c r="U400" s="119">
        <v>0</v>
      </c>
      <c r="V400" s="119" t="str">
        <f t="shared" si="27"/>
        <v xml:space="preserve"> </v>
      </c>
    </row>
    <row r="401" spans="1:22" hidden="1">
      <c r="A401" s="452" t="s">
        <v>106</v>
      </c>
      <c r="B401" s="114">
        <f>_xlfn.IFNA(VLOOKUP(Table1[[#This Row],[SKU]],'Kilter Holds'!$P$36:$S$370,4,0),0)</f>
        <v>0</v>
      </c>
      <c r="C401" s="115">
        <v>10</v>
      </c>
      <c r="D401" s="117">
        <f>IFERROR(6*B401,0)</f>
        <v>0</v>
      </c>
      <c r="E401" s="117">
        <f>IFERROR(4*B401,0)</f>
        <v>0</v>
      </c>
      <c r="F401" s="117">
        <v>0</v>
      </c>
      <c r="G401" s="117">
        <v>0</v>
      </c>
      <c r="H401" s="117">
        <v>0</v>
      </c>
      <c r="I401" s="117">
        <v>0</v>
      </c>
      <c r="J401" s="117">
        <v>0</v>
      </c>
      <c r="K401" s="117">
        <v>0</v>
      </c>
      <c r="L401" s="123">
        <v>0</v>
      </c>
      <c r="M401" s="117">
        <v>0</v>
      </c>
      <c r="N401" s="117">
        <v>0</v>
      </c>
      <c r="O401" s="117">
        <v>0</v>
      </c>
      <c r="P401" s="117">
        <v>0</v>
      </c>
      <c r="Q401" s="117">
        <v>0</v>
      </c>
      <c r="R401" s="117">
        <v>0</v>
      </c>
      <c r="S401" s="119">
        <v>0</v>
      </c>
      <c r="T401" s="119">
        <v>0</v>
      </c>
      <c r="U401" s="119">
        <v>0</v>
      </c>
      <c r="V401" s="119" t="str">
        <f t="shared" si="27"/>
        <v xml:space="preserve"> </v>
      </c>
    </row>
    <row r="402" spans="1:22" hidden="1">
      <c r="A402" s="452" t="s">
        <v>1586</v>
      </c>
      <c r="B402" s="114">
        <f>_xlfn.IFNA(VLOOKUP(Table1[[#This Row],[SKU]],'Kilter Holds'!$P$36:$S$370,4,0),0)</f>
        <v>0</v>
      </c>
      <c r="C402" s="115">
        <v>10</v>
      </c>
      <c r="D402" s="117">
        <f>IFERROR(10*B402,0)</f>
        <v>0</v>
      </c>
      <c r="E402" s="117">
        <v>0</v>
      </c>
      <c r="F402" s="117">
        <v>0</v>
      </c>
      <c r="G402" s="117">
        <v>0</v>
      </c>
      <c r="H402" s="117">
        <v>0</v>
      </c>
      <c r="I402" s="117">
        <v>0</v>
      </c>
      <c r="J402" s="117">
        <v>0</v>
      </c>
      <c r="K402" s="117">
        <v>0</v>
      </c>
      <c r="L402" s="123">
        <v>0</v>
      </c>
      <c r="M402" s="117">
        <v>0</v>
      </c>
      <c r="N402" s="117">
        <v>0</v>
      </c>
      <c r="O402" s="117">
        <v>0</v>
      </c>
      <c r="P402" s="117">
        <v>0</v>
      </c>
      <c r="Q402" s="117">
        <v>0</v>
      </c>
      <c r="R402" s="117">
        <v>0</v>
      </c>
      <c r="S402" s="119">
        <v>0</v>
      </c>
      <c r="T402" s="119">
        <v>0</v>
      </c>
      <c r="U402" s="119">
        <v>0</v>
      </c>
      <c r="V402" s="119" t="str">
        <f t="shared" si="27"/>
        <v xml:space="preserve"> </v>
      </c>
    </row>
    <row r="403" spans="1:22" hidden="1">
      <c r="A403" s="455" t="s">
        <v>2120</v>
      </c>
      <c r="B403" s="114">
        <f>_xlfn.IFNA(VLOOKUP(Table1[[#This Row],[SKU]],'Kilter Holds'!$P$36:$S$370,4,0),0)</f>
        <v>0</v>
      </c>
      <c r="C403" s="115">
        <v>3</v>
      </c>
      <c r="D403" s="117">
        <v>0</v>
      </c>
      <c r="E403" s="117">
        <v>0</v>
      </c>
      <c r="F403" s="117">
        <v>0</v>
      </c>
      <c r="G403" s="117">
        <v>0</v>
      </c>
      <c r="H403" s="117">
        <v>0</v>
      </c>
      <c r="I403" s="117">
        <v>0</v>
      </c>
      <c r="J403" s="117">
        <v>0</v>
      </c>
      <c r="K403" s="117">
        <f>IFERROR(2*B403,0)</f>
        <v>0</v>
      </c>
      <c r="L403" s="123">
        <v>0</v>
      </c>
      <c r="M403" s="117">
        <f>IFERROR(1*B403,0)</f>
        <v>0</v>
      </c>
      <c r="N403" s="117">
        <v>0</v>
      </c>
      <c r="O403" s="117">
        <v>0</v>
      </c>
      <c r="P403" s="117">
        <v>0</v>
      </c>
      <c r="Q403" s="117">
        <f>IFERROR(22*B403,0)</f>
        <v>0</v>
      </c>
      <c r="R403" s="117">
        <v>0</v>
      </c>
      <c r="S403" s="119">
        <v>0</v>
      </c>
      <c r="T403" s="119">
        <v>0</v>
      </c>
      <c r="U403" s="119">
        <v>0</v>
      </c>
      <c r="V403" s="119" t="str">
        <f t="shared" si="27"/>
        <v xml:space="preserve"> </v>
      </c>
    </row>
    <row r="404" spans="1:22" hidden="1">
      <c r="A404" s="449" t="s">
        <v>120</v>
      </c>
      <c r="B404" s="114">
        <f>_xlfn.IFNA(VLOOKUP(Table1[[#This Row],[SKU]],'Kilter Holds'!$P$36:$S$370,4,0),0)</f>
        <v>0</v>
      </c>
      <c r="C404" s="115">
        <v>5</v>
      </c>
      <c r="D404" s="117">
        <f>IFERROR(5*B404,0)</f>
        <v>0</v>
      </c>
      <c r="E404" s="117">
        <v>0</v>
      </c>
      <c r="F404" s="117">
        <v>0</v>
      </c>
      <c r="G404" s="117">
        <v>0</v>
      </c>
      <c r="H404" s="117">
        <v>0</v>
      </c>
      <c r="I404" s="117">
        <v>0</v>
      </c>
      <c r="J404" s="117">
        <v>0</v>
      </c>
      <c r="K404" s="117">
        <v>0</v>
      </c>
      <c r="L404" s="123">
        <v>0</v>
      </c>
      <c r="M404" s="117">
        <v>0</v>
      </c>
      <c r="N404" s="117">
        <v>0</v>
      </c>
      <c r="O404" s="117">
        <v>0</v>
      </c>
      <c r="P404" s="117">
        <v>0</v>
      </c>
      <c r="Q404" s="117">
        <v>0</v>
      </c>
      <c r="R404" s="117">
        <v>0</v>
      </c>
      <c r="S404" s="119">
        <v>0</v>
      </c>
      <c r="T404" s="119">
        <v>0</v>
      </c>
      <c r="U404" s="119">
        <v>0</v>
      </c>
      <c r="V404" s="119" t="str">
        <f t="shared" si="27"/>
        <v xml:space="preserve"> </v>
      </c>
    </row>
    <row r="405" spans="1:22" hidden="1">
      <c r="A405" s="452" t="s">
        <v>876</v>
      </c>
      <c r="B405" s="114">
        <f>_xlfn.IFNA(VLOOKUP(Table1[[#This Row],[SKU]],'Kilter Holds'!$P$36:$S$370,4,0),0)</f>
        <v>0</v>
      </c>
      <c r="C405" s="115">
        <v>3</v>
      </c>
      <c r="D405" s="117">
        <v>0</v>
      </c>
      <c r="E405" s="117">
        <v>0</v>
      </c>
      <c r="F405" s="117">
        <v>0</v>
      </c>
      <c r="G405" s="117">
        <v>0</v>
      </c>
      <c r="H405" s="117">
        <v>0</v>
      </c>
      <c r="I405" s="117">
        <v>0</v>
      </c>
      <c r="J405" s="117">
        <v>0</v>
      </c>
      <c r="K405" s="117">
        <v>0</v>
      </c>
      <c r="L405" s="123">
        <v>0</v>
      </c>
      <c r="M405" s="117">
        <v>0</v>
      </c>
      <c r="N405" s="117">
        <f>Table1[[#This Row],[Quantity of Sets]]*1</f>
        <v>0</v>
      </c>
      <c r="O405" s="117">
        <f>Table1[[#This Row],[Quantity of Sets]]*2</f>
        <v>0</v>
      </c>
      <c r="P405" s="117">
        <v>0</v>
      </c>
      <c r="Q405" s="117">
        <v>0</v>
      </c>
      <c r="R405" s="117">
        <v>0</v>
      </c>
      <c r="S405" s="119">
        <v>0</v>
      </c>
      <c r="T405" s="119">
        <v>0</v>
      </c>
      <c r="U405" s="119">
        <v>0</v>
      </c>
      <c r="V405" s="119" t="str">
        <f t="shared" si="27"/>
        <v xml:space="preserve"> </v>
      </c>
    </row>
    <row r="406" spans="1:22" hidden="1">
      <c r="A406" s="449" t="s">
        <v>113</v>
      </c>
      <c r="B406" s="114">
        <f>_xlfn.IFNA(VLOOKUP(Table1[[#This Row],[SKU]],'Kilter Holds'!$P$36:$S$370,4,0),0)</f>
        <v>0</v>
      </c>
      <c r="C406" s="115">
        <v>1</v>
      </c>
      <c r="D406" s="117">
        <v>0</v>
      </c>
      <c r="E406" s="117">
        <v>0</v>
      </c>
      <c r="F406" s="117">
        <v>0</v>
      </c>
      <c r="G406" s="117">
        <v>0</v>
      </c>
      <c r="H406" s="117">
        <v>0</v>
      </c>
      <c r="I406" s="117">
        <v>0</v>
      </c>
      <c r="J406" s="117">
        <v>0</v>
      </c>
      <c r="K406" s="117">
        <v>0</v>
      </c>
      <c r="L406" s="123">
        <v>0</v>
      </c>
      <c r="M406" s="117">
        <v>0</v>
      </c>
      <c r="N406" s="117">
        <v>0</v>
      </c>
      <c r="O406" s="117">
        <f>Table1[[#This Row],[Quantity of Sets]]*1</f>
        <v>0</v>
      </c>
      <c r="P406" s="117">
        <v>0</v>
      </c>
      <c r="Q406" s="117">
        <v>0</v>
      </c>
      <c r="R406" s="117">
        <v>0</v>
      </c>
      <c r="S406" s="119">
        <v>0</v>
      </c>
      <c r="T406" s="119">
        <v>0</v>
      </c>
      <c r="U406" s="119">
        <v>0</v>
      </c>
      <c r="V406" s="119" t="str">
        <f t="shared" si="27"/>
        <v xml:space="preserve"> </v>
      </c>
    </row>
    <row r="407" spans="1:22" hidden="1">
      <c r="A407" s="449" t="s">
        <v>114</v>
      </c>
      <c r="B407" s="114">
        <f>_xlfn.IFNA(VLOOKUP(Table1[[#This Row],[SKU]],'Kilter Holds'!$P$36:$S$370,4,0),0)</f>
        <v>0</v>
      </c>
      <c r="C407" s="115">
        <v>1</v>
      </c>
      <c r="D407" s="117">
        <v>0</v>
      </c>
      <c r="E407" s="117">
        <v>0</v>
      </c>
      <c r="F407" s="117">
        <v>0</v>
      </c>
      <c r="G407" s="117">
        <v>0</v>
      </c>
      <c r="H407" s="117">
        <v>0</v>
      </c>
      <c r="I407" s="117">
        <v>0</v>
      </c>
      <c r="J407" s="117">
        <v>0</v>
      </c>
      <c r="K407" s="117">
        <v>0</v>
      </c>
      <c r="L407" s="123">
        <v>0</v>
      </c>
      <c r="M407" s="117">
        <v>0</v>
      </c>
      <c r="N407" s="117">
        <f>Table1[[#This Row],[Quantity of Sets]]*1</f>
        <v>0</v>
      </c>
      <c r="O407" s="117">
        <v>0</v>
      </c>
      <c r="P407" s="117">
        <v>0</v>
      </c>
      <c r="Q407" s="117">
        <v>0</v>
      </c>
      <c r="R407" s="117">
        <v>0</v>
      </c>
      <c r="S407" s="119">
        <v>0</v>
      </c>
      <c r="T407" s="119">
        <v>0</v>
      </c>
      <c r="U407" s="119">
        <v>0</v>
      </c>
      <c r="V407" s="119" t="str">
        <f t="shared" si="27"/>
        <v xml:space="preserve"> </v>
      </c>
    </row>
    <row r="408" spans="1:22" hidden="1">
      <c r="A408" s="449" t="s">
        <v>115</v>
      </c>
      <c r="B408" s="114">
        <f>_xlfn.IFNA(VLOOKUP(Table1[[#This Row],[SKU]],'Kilter Holds'!$P$36:$S$370,4,0),0)</f>
        <v>0</v>
      </c>
      <c r="C408" s="115">
        <v>1</v>
      </c>
      <c r="D408" s="117">
        <v>0</v>
      </c>
      <c r="E408" s="117">
        <v>0</v>
      </c>
      <c r="F408" s="117">
        <v>0</v>
      </c>
      <c r="G408" s="117">
        <v>0</v>
      </c>
      <c r="H408" s="117">
        <v>0</v>
      </c>
      <c r="I408" s="117">
        <v>0</v>
      </c>
      <c r="J408" s="117">
        <v>0</v>
      </c>
      <c r="K408" s="117">
        <v>0</v>
      </c>
      <c r="L408" s="123">
        <v>0</v>
      </c>
      <c r="M408" s="117">
        <v>0</v>
      </c>
      <c r="N408" s="117">
        <v>0</v>
      </c>
      <c r="O408" s="117">
        <f>Table1[[#This Row],[Quantity of Sets]]*1</f>
        <v>0</v>
      </c>
      <c r="P408" s="117">
        <v>0</v>
      </c>
      <c r="Q408" s="117">
        <v>0</v>
      </c>
      <c r="R408" s="117">
        <v>0</v>
      </c>
      <c r="S408" s="119">
        <v>0</v>
      </c>
      <c r="T408" s="119">
        <v>0</v>
      </c>
      <c r="U408" s="119">
        <v>0</v>
      </c>
      <c r="V408" s="119" t="str">
        <f t="shared" si="27"/>
        <v xml:space="preserve"> </v>
      </c>
    </row>
    <row r="409" spans="1:22" hidden="1">
      <c r="A409" s="455" t="s">
        <v>2136</v>
      </c>
      <c r="B409" s="114">
        <f>_xlfn.IFNA(VLOOKUP(Table1[[#This Row],[SKU]],'Kilter Holds'!$P$36:$S$370,4,0),0)</f>
        <v>0</v>
      </c>
      <c r="C409" s="115">
        <v>2</v>
      </c>
      <c r="D409" s="117">
        <v>0</v>
      </c>
      <c r="E409" s="117">
        <v>0</v>
      </c>
      <c r="F409" s="117">
        <v>0</v>
      </c>
      <c r="G409" s="117">
        <v>0</v>
      </c>
      <c r="H409" s="117">
        <v>0</v>
      </c>
      <c r="I409" s="117">
        <v>0</v>
      </c>
      <c r="J409" s="117">
        <v>0</v>
      </c>
      <c r="K409" s="117">
        <f>Table1[[#This Row],[Quantity of Sets]]*2</f>
        <v>0</v>
      </c>
      <c r="L409" s="123">
        <v>0</v>
      </c>
      <c r="M409" s="117">
        <v>0</v>
      </c>
      <c r="N409" s="117">
        <v>0</v>
      </c>
      <c r="O409" s="117">
        <v>0</v>
      </c>
      <c r="P409" s="117">
        <v>0</v>
      </c>
      <c r="Q409" s="117">
        <v>0</v>
      </c>
      <c r="R409" s="117">
        <v>0</v>
      </c>
      <c r="S409" s="119">
        <v>0</v>
      </c>
      <c r="T409" s="119">
        <v>0</v>
      </c>
      <c r="U409" s="119">
        <v>0</v>
      </c>
      <c r="V409" s="119" t="str">
        <f t="shared" si="27"/>
        <v xml:space="preserve"> </v>
      </c>
    </row>
    <row r="410" spans="1:22" hidden="1">
      <c r="A410" s="455" t="s">
        <v>2137</v>
      </c>
      <c r="B410" s="114">
        <f>_xlfn.IFNA(VLOOKUP(Table1[[#This Row],[SKU]],'Kilter Holds'!$P$36:$S$370,4,0),0)</f>
        <v>0</v>
      </c>
      <c r="C410" s="115">
        <v>1</v>
      </c>
      <c r="D410" s="117">
        <v>0</v>
      </c>
      <c r="E410" s="117">
        <v>0</v>
      </c>
      <c r="F410" s="117">
        <v>0</v>
      </c>
      <c r="G410" s="117">
        <v>0</v>
      </c>
      <c r="H410" s="117">
        <v>0</v>
      </c>
      <c r="I410" s="117">
        <v>0</v>
      </c>
      <c r="J410" s="117">
        <v>0</v>
      </c>
      <c r="K410" s="117">
        <f>Table1[[#This Row],[Quantity of Sets]]*1</f>
        <v>0</v>
      </c>
      <c r="L410" s="123">
        <v>0</v>
      </c>
      <c r="M410" s="117">
        <v>0</v>
      </c>
      <c r="N410" s="117">
        <v>0</v>
      </c>
      <c r="O410" s="117">
        <v>0</v>
      </c>
      <c r="P410" s="117">
        <v>0</v>
      </c>
      <c r="Q410" s="117">
        <v>0</v>
      </c>
      <c r="R410" s="117">
        <v>0</v>
      </c>
      <c r="S410" s="119">
        <v>0</v>
      </c>
      <c r="T410" s="119">
        <v>0</v>
      </c>
      <c r="U410" s="119">
        <v>0</v>
      </c>
      <c r="V410" s="119" t="str">
        <f t="shared" si="27"/>
        <v xml:space="preserve"> </v>
      </c>
    </row>
    <row r="411" spans="1:22" hidden="1">
      <c r="A411" s="455" t="s">
        <v>2139</v>
      </c>
      <c r="B411" s="114">
        <f>_xlfn.IFNA(VLOOKUP(Table1[[#This Row],[SKU]],'Kilter Holds'!$P$36:$S$370,4,0),0)</f>
        <v>0</v>
      </c>
      <c r="C411" s="115">
        <v>1</v>
      </c>
      <c r="D411" s="117">
        <v>0</v>
      </c>
      <c r="E411" s="117">
        <v>0</v>
      </c>
      <c r="F411" s="117">
        <v>0</v>
      </c>
      <c r="G411" s="117">
        <v>0</v>
      </c>
      <c r="H411" s="117">
        <v>0</v>
      </c>
      <c r="I411" s="117">
        <v>0</v>
      </c>
      <c r="J411" s="117">
        <v>0</v>
      </c>
      <c r="K411" s="117">
        <f>Table1[[#This Row],[Quantity of Sets]]*1</f>
        <v>0</v>
      </c>
      <c r="L411" s="123">
        <v>0</v>
      </c>
      <c r="M411" s="117">
        <v>0</v>
      </c>
      <c r="N411" s="117">
        <v>0</v>
      </c>
      <c r="O411" s="117">
        <v>0</v>
      </c>
      <c r="P411" s="117">
        <v>0</v>
      </c>
      <c r="Q411" s="117">
        <v>0</v>
      </c>
      <c r="R411" s="117">
        <v>0</v>
      </c>
      <c r="S411" s="119">
        <v>0</v>
      </c>
      <c r="T411" s="119">
        <v>0</v>
      </c>
      <c r="U411" s="119">
        <v>0</v>
      </c>
      <c r="V411" s="119" t="str">
        <f t="shared" si="27"/>
        <v xml:space="preserve"> </v>
      </c>
    </row>
    <row r="412" spans="1:22" hidden="1">
      <c r="A412" s="449" t="s">
        <v>118</v>
      </c>
      <c r="B412" s="114">
        <f>_xlfn.IFNA(VLOOKUP(Table1[[#This Row],[SKU]],'Kilter Holds'!$P$36:$S$370,4,0),0)</f>
        <v>0</v>
      </c>
      <c r="C412" s="115">
        <v>5</v>
      </c>
      <c r="D412" s="117">
        <v>0</v>
      </c>
      <c r="E412" s="117">
        <v>0</v>
      </c>
      <c r="F412" s="117">
        <v>0</v>
      </c>
      <c r="G412" s="117">
        <f>IFERROR(3*B412,0)</f>
        <v>0</v>
      </c>
      <c r="H412" s="117">
        <f>IFERROR(1*B412,0)</f>
        <v>0</v>
      </c>
      <c r="I412" s="117">
        <f>IFERROR(1*B412,0)</f>
        <v>0</v>
      </c>
      <c r="J412" s="117">
        <v>0</v>
      </c>
      <c r="K412" s="117">
        <v>0</v>
      </c>
      <c r="L412" s="123">
        <v>0</v>
      </c>
      <c r="M412" s="117">
        <v>0</v>
      </c>
      <c r="N412" s="117">
        <v>0</v>
      </c>
      <c r="O412" s="117">
        <v>0</v>
      </c>
      <c r="P412" s="117">
        <v>0</v>
      </c>
      <c r="Q412" s="117">
        <v>0</v>
      </c>
      <c r="R412" s="117">
        <v>0</v>
      </c>
      <c r="S412" s="119">
        <v>0</v>
      </c>
      <c r="T412" s="119">
        <v>0</v>
      </c>
      <c r="U412" s="119">
        <v>0</v>
      </c>
      <c r="V412" s="119" t="str">
        <f t="shared" si="27"/>
        <v xml:space="preserve"> </v>
      </c>
    </row>
    <row r="413" spans="1:22" hidden="1">
      <c r="A413" s="452" t="s">
        <v>116</v>
      </c>
      <c r="B413" s="114">
        <f>_xlfn.IFNA(VLOOKUP(Table1[[#This Row],[SKU]],'Kilter Holds'!$P$36:$S$370,4,0),0)</f>
        <v>0</v>
      </c>
      <c r="C413" s="115">
        <v>4</v>
      </c>
      <c r="D413" s="117">
        <v>0</v>
      </c>
      <c r="E413" s="117">
        <v>0</v>
      </c>
      <c r="F413" s="117">
        <v>0</v>
      </c>
      <c r="G413" s="117">
        <v>0</v>
      </c>
      <c r="H413" s="117">
        <v>0</v>
      </c>
      <c r="I413" s="117">
        <v>0</v>
      </c>
      <c r="J413" s="117">
        <f>IFERROR(2*B413,0)</f>
        <v>0</v>
      </c>
      <c r="K413" s="117">
        <v>0</v>
      </c>
      <c r="L413" s="123">
        <v>0</v>
      </c>
      <c r="M413" s="117">
        <f>IFERROR(1*B413,0)</f>
        <v>0</v>
      </c>
      <c r="N413" s="117">
        <f>IFERROR(1*B413,0)</f>
        <v>0</v>
      </c>
      <c r="O413" s="117">
        <v>0</v>
      </c>
      <c r="P413" s="117">
        <v>0</v>
      </c>
      <c r="Q413" s="117">
        <v>0</v>
      </c>
      <c r="R413" s="117">
        <v>0</v>
      </c>
      <c r="S413" s="119">
        <v>0</v>
      </c>
      <c r="T413" s="119">
        <v>0</v>
      </c>
      <c r="U413" s="119">
        <v>0</v>
      </c>
      <c r="V413" s="119" t="str">
        <f t="shared" si="27"/>
        <v xml:space="preserve"> </v>
      </c>
    </row>
    <row r="414" spans="1:22" hidden="1">
      <c r="A414" s="452" t="s">
        <v>117</v>
      </c>
      <c r="B414" s="114">
        <f>_xlfn.IFNA(VLOOKUP(Table1[[#This Row],[SKU]],'Kilter Holds'!$P$36:$S$370,4,0),0)</f>
        <v>0</v>
      </c>
      <c r="C414" s="115">
        <v>4</v>
      </c>
      <c r="D414" s="117">
        <v>0</v>
      </c>
      <c r="E414" s="117">
        <v>0</v>
      </c>
      <c r="F414" s="117">
        <v>0</v>
      </c>
      <c r="G414" s="117">
        <f>IFERROR(1*B414,0)</f>
        <v>0</v>
      </c>
      <c r="H414" s="117">
        <f>IFERROR(1*B414,0)</f>
        <v>0</v>
      </c>
      <c r="I414" s="117">
        <f>IFERROR(1*B414,0)</f>
        <v>0</v>
      </c>
      <c r="J414" s="117">
        <f>IFERROR(1*B414,0)</f>
        <v>0</v>
      </c>
      <c r="K414" s="117">
        <v>0</v>
      </c>
      <c r="L414" s="123">
        <v>0</v>
      </c>
      <c r="M414" s="117">
        <v>0</v>
      </c>
      <c r="N414" s="117">
        <v>0</v>
      </c>
      <c r="O414" s="117">
        <v>0</v>
      </c>
      <c r="P414" s="117">
        <v>0</v>
      </c>
      <c r="Q414" s="117">
        <v>0</v>
      </c>
      <c r="R414" s="117">
        <v>0</v>
      </c>
      <c r="S414" s="119">
        <v>0</v>
      </c>
      <c r="T414" s="119">
        <v>0</v>
      </c>
      <c r="U414" s="119">
        <v>0</v>
      </c>
      <c r="V414" s="119" t="str">
        <f t="shared" si="27"/>
        <v xml:space="preserve"> </v>
      </c>
    </row>
    <row r="415" spans="1:22" hidden="1">
      <c r="A415" s="452" t="s">
        <v>123</v>
      </c>
      <c r="B415" s="114">
        <f>_xlfn.IFNA(VLOOKUP(Table1[[#This Row],[SKU]],'Kilter Holds'!$P$36:$S$370,4,0),0)</f>
        <v>0</v>
      </c>
      <c r="C415" s="115">
        <v>10</v>
      </c>
      <c r="D415" s="117">
        <f>IFERROR(10*B415,0)</f>
        <v>0</v>
      </c>
      <c r="E415" s="117">
        <v>0</v>
      </c>
      <c r="F415" s="117">
        <v>0</v>
      </c>
      <c r="G415" s="117">
        <v>0</v>
      </c>
      <c r="H415" s="117">
        <v>0</v>
      </c>
      <c r="I415" s="117">
        <v>0</v>
      </c>
      <c r="J415" s="117">
        <v>0</v>
      </c>
      <c r="K415" s="117">
        <v>0</v>
      </c>
      <c r="L415" s="123">
        <v>0</v>
      </c>
      <c r="M415" s="117">
        <v>0</v>
      </c>
      <c r="N415" s="117">
        <v>0</v>
      </c>
      <c r="O415" s="117">
        <v>0</v>
      </c>
      <c r="P415" s="117">
        <v>0</v>
      </c>
      <c r="Q415" s="117">
        <v>0</v>
      </c>
      <c r="R415" s="117">
        <v>0</v>
      </c>
      <c r="S415" s="119">
        <v>0</v>
      </c>
      <c r="T415" s="119">
        <v>0</v>
      </c>
      <c r="U415" s="119">
        <v>0</v>
      </c>
      <c r="V415" s="119" t="str">
        <f t="shared" si="27"/>
        <v xml:space="preserve"> </v>
      </c>
    </row>
    <row r="416" spans="1:22" hidden="1">
      <c r="A416" s="452" t="s">
        <v>124</v>
      </c>
      <c r="B416" s="114">
        <f>_xlfn.IFNA(VLOOKUP(Table1[[#This Row],[SKU]],'Kilter Holds'!$P$36:$S$370,4,0),0)</f>
        <v>0</v>
      </c>
      <c r="C416" s="115">
        <v>10</v>
      </c>
      <c r="D416" s="117">
        <f>IFERROR(10*B416,0)</f>
        <v>0</v>
      </c>
      <c r="E416" s="117">
        <v>0</v>
      </c>
      <c r="F416" s="117">
        <v>0</v>
      </c>
      <c r="G416" s="117">
        <v>0</v>
      </c>
      <c r="H416" s="117">
        <v>0</v>
      </c>
      <c r="I416" s="117">
        <v>0</v>
      </c>
      <c r="J416" s="117">
        <v>0</v>
      </c>
      <c r="K416" s="117">
        <v>0</v>
      </c>
      <c r="L416" s="123">
        <v>0</v>
      </c>
      <c r="M416" s="117">
        <v>0</v>
      </c>
      <c r="N416" s="117">
        <v>0</v>
      </c>
      <c r="O416" s="117">
        <v>0</v>
      </c>
      <c r="P416" s="117">
        <v>0</v>
      </c>
      <c r="Q416" s="117">
        <v>0</v>
      </c>
      <c r="R416" s="117">
        <v>0</v>
      </c>
      <c r="S416" s="119">
        <v>0</v>
      </c>
      <c r="T416" s="119">
        <v>0</v>
      </c>
      <c r="U416" s="119">
        <v>0</v>
      </c>
      <c r="V416" s="119" t="str">
        <f t="shared" si="27"/>
        <v xml:space="preserve"> </v>
      </c>
    </row>
    <row r="417" spans="1:22" hidden="1">
      <c r="A417" s="452" t="s">
        <v>119</v>
      </c>
      <c r="B417" s="114">
        <f>_xlfn.IFNA(VLOOKUP(Table1[[#This Row],[SKU]],'Kilter Holds'!$P$36:$S$370,4,0),0)</f>
        <v>0</v>
      </c>
      <c r="C417" s="115">
        <v>5</v>
      </c>
      <c r="D417" s="117">
        <v>0</v>
      </c>
      <c r="E417" s="117">
        <v>0</v>
      </c>
      <c r="F417" s="117">
        <v>0</v>
      </c>
      <c r="G417" s="117">
        <v>0</v>
      </c>
      <c r="H417" s="117">
        <v>0</v>
      </c>
      <c r="I417" s="117">
        <v>0</v>
      </c>
      <c r="J417" s="117">
        <v>0</v>
      </c>
      <c r="K417" s="117">
        <f>IFERROR(5*B417,0)</f>
        <v>0</v>
      </c>
      <c r="L417" s="123">
        <v>0</v>
      </c>
      <c r="M417" s="117">
        <v>0</v>
      </c>
      <c r="N417" s="117">
        <v>0</v>
      </c>
      <c r="O417" s="117">
        <v>0</v>
      </c>
      <c r="P417" s="117">
        <v>0</v>
      </c>
      <c r="Q417" s="117">
        <v>0</v>
      </c>
      <c r="R417" s="117">
        <v>0</v>
      </c>
      <c r="S417" s="119">
        <v>0</v>
      </c>
      <c r="T417" s="119">
        <v>0</v>
      </c>
      <c r="U417" s="119">
        <v>0</v>
      </c>
      <c r="V417" s="119" t="str">
        <f t="shared" si="27"/>
        <v xml:space="preserve"> </v>
      </c>
    </row>
    <row r="418" spans="1:22" hidden="1">
      <c r="A418" s="452" t="s">
        <v>122</v>
      </c>
      <c r="B418" s="114">
        <f>_xlfn.IFNA(VLOOKUP(Table1[[#This Row],[SKU]],'Kilter Holds'!$P$36:$S$370,4,0),0)</f>
        <v>0</v>
      </c>
      <c r="C418" s="115">
        <v>20</v>
      </c>
      <c r="D418" s="117">
        <f>IFERROR(20*B418,0)</f>
        <v>0</v>
      </c>
      <c r="E418" s="117">
        <v>0</v>
      </c>
      <c r="F418" s="117">
        <v>0</v>
      </c>
      <c r="G418" s="117">
        <v>0</v>
      </c>
      <c r="H418" s="117">
        <v>0</v>
      </c>
      <c r="I418" s="117">
        <v>0</v>
      </c>
      <c r="J418" s="117">
        <v>0</v>
      </c>
      <c r="K418" s="117">
        <v>0</v>
      </c>
      <c r="L418" s="123">
        <v>0</v>
      </c>
      <c r="M418" s="117">
        <v>0</v>
      </c>
      <c r="N418" s="117">
        <v>0</v>
      </c>
      <c r="O418" s="117">
        <v>0</v>
      </c>
      <c r="P418" s="117">
        <v>0</v>
      </c>
      <c r="Q418" s="117">
        <v>0</v>
      </c>
      <c r="R418" s="117">
        <v>0</v>
      </c>
      <c r="S418" s="119">
        <v>0</v>
      </c>
      <c r="T418" s="119">
        <v>0</v>
      </c>
      <c r="U418" s="119">
        <v>0</v>
      </c>
      <c r="V418" s="119" t="str">
        <f t="shared" si="27"/>
        <v xml:space="preserve"> </v>
      </c>
    </row>
    <row r="419" spans="1:22" hidden="1">
      <c r="A419" s="452" t="s">
        <v>121</v>
      </c>
      <c r="B419" s="114">
        <f>_xlfn.IFNA(VLOOKUP(Table1[[#This Row],[SKU]],'Kilter Holds'!$P$36:$S$370,4,0),0)</f>
        <v>0</v>
      </c>
      <c r="C419" s="115">
        <v>10</v>
      </c>
      <c r="D419" s="117">
        <f>IFERROR(10*B419,0)</f>
        <v>0</v>
      </c>
      <c r="E419" s="117">
        <v>0</v>
      </c>
      <c r="F419" s="117">
        <v>0</v>
      </c>
      <c r="G419" s="117">
        <v>0</v>
      </c>
      <c r="H419" s="117">
        <v>0</v>
      </c>
      <c r="I419" s="117">
        <v>0</v>
      </c>
      <c r="J419" s="117">
        <v>0</v>
      </c>
      <c r="K419" s="117">
        <v>0</v>
      </c>
      <c r="L419" s="123">
        <v>0</v>
      </c>
      <c r="M419" s="117">
        <v>0</v>
      </c>
      <c r="N419" s="117">
        <v>0</v>
      </c>
      <c r="O419" s="117">
        <v>0</v>
      </c>
      <c r="P419" s="117">
        <v>0</v>
      </c>
      <c r="Q419" s="117">
        <v>0</v>
      </c>
      <c r="R419" s="117">
        <v>0</v>
      </c>
      <c r="S419" s="119">
        <v>0</v>
      </c>
      <c r="T419" s="119">
        <v>0</v>
      </c>
      <c r="U419" s="119">
        <v>0</v>
      </c>
      <c r="V419" s="119" t="str">
        <f t="shared" si="27"/>
        <v xml:space="preserve"> </v>
      </c>
    </row>
    <row r="420" spans="1:22" hidden="1">
      <c r="A420" s="452" t="s">
        <v>352</v>
      </c>
      <c r="B420" s="114">
        <f>_xlfn.IFNA(VLOOKUP(Table1[[#This Row],[SKU]],'Kilter Holds'!$P$36:$S$370,4,0),0)</f>
        <v>0</v>
      </c>
      <c r="C420" s="115">
        <v>4</v>
      </c>
      <c r="D420" s="117">
        <v>0</v>
      </c>
      <c r="E420" s="117">
        <v>0</v>
      </c>
      <c r="F420" s="117">
        <v>0</v>
      </c>
      <c r="G420" s="117">
        <v>0</v>
      </c>
      <c r="H420" s="117">
        <v>0</v>
      </c>
      <c r="I420" s="117">
        <v>0</v>
      </c>
      <c r="J420" s="117">
        <f>IFERROR(4*B420,0)</f>
        <v>0</v>
      </c>
      <c r="K420" s="117">
        <v>0</v>
      </c>
      <c r="L420" s="123">
        <v>0</v>
      </c>
      <c r="M420" s="117">
        <v>0</v>
      </c>
      <c r="N420" s="117">
        <v>0</v>
      </c>
      <c r="O420" s="117">
        <v>0</v>
      </c>
      <c r="P420" s="117">
        <v>0</v>
      </c>
      <c r="Q420" s="117">
        <v>0</v>
      </c>
      <c r="R420" s="117">
        <v>0</v>
      </c>
      <c r="S420" s="119">
        <v>0</v>
      </c>
      <c r="T420" s="119">
        <v>0</v>
      </c>
      <c r="U420" s="119">
        <v>0</v>
      </c>
      <c r="V420" s="119" t="str">
        <f t="shared" si="27"/>
        <v xml:space="preserve"> </v>
      </c>
    </row>
    <row r="421" spans="1:22" hidden="1">
      <c r="A421" s="452" t="s">
        <v>869</v>
      </c>
      <c r="B421" s="114">
        <f>_xlfn.IFNA(VLOOKUP(Table1[[#This Row],[SKU]],'Kilter Holds'!$P$36:$S$370,4,0),0)</f>
        <v>0</v>
      </c>
      <c r="C421" s="115">
        <v>5</v>
      </c>
      <c r="D421" s="117">
        <v>0</v>
      </c>
      <c r="E421" s="117">
        <v>0</v>
      </c>
      <c r="F421" s="117">
        <f>IFERROR(2*B421,0)</f>
        <v>0</v>
      </c>
      <c r="G421" s="117">
        <f>IFERROR(1*B421,0)</f>
        <v>0</v>
      </c>
      <c r="H421" s="117">
        <v>0</v>
      </c>
      <c r="I421" s="117">
        <f>IFERROR(2*B421,0)</f>
        <v>0</v>
      </c>
      <c r="J421" s="117">
        <v>0</v>
      </c>
      <c r="K421" s="117">
        <v>0</v>
      </c>
      <c r="L421" s="123">
        <v>0</v>
      </c>
      <c r="M421" s="117">
        <v>0</v>
      </c>
      <c r="N421" s="117">
        <v>0</v>
      </c>
      <c r="O421" s="117">
        <v>0</v>
      </c>
      <c r="P421" s="117">
        <v>0</v>
      </c>
      <c r="Q421" s="117">
        <v>0</v>
      </c>
      <c r="R421" s="117">
        <v>0</v>
      </c>
      <c r="S421" s="119">
        <v>0</v>
      </c>
      <c r="T421" s="119">
        <v>0</v>
      </c>
      <c r="U421" s="119">
        <v>0</v>
      </c>
      <c r="V421" s="119" t="str">
        <f t="shared" si="27"/>
        <v xml:space="preserve"> </v>
      </c>
    </row>
    <row r="422" spans="1:22" hidden="1">
      <c r="A422" s="452" t="s">
        <v>870</v>
      </c>
      <c r="B422" s="114">
        <f>_xlfn.IFNA(VLOOKUP(Table1[[#This Row],[SKU]],'Kilter Holds'!$P$36:$S$370,4,0),0)</f>
        <v>0</v>
      </c>
      <c r="C422" s="115">
        <v>6</v>
      </c>
      <c r="D422" s="117">
        <v>0</v>
      </c>
      <c r="E422" s="117">
        <f>IFERROR(1*B422,0)</f>
        <v>0</v>
      </c>
      <c r="F422" s="117">
        <f>IFERROR(2*B422,0)</f>
        <v>0</v>
      </c>
      <c r="G422" s="117">
        <f>IFERROR(1*B422,0)</f>
        <v>0</v>
      </c>
      <c r="H422" s="117">
        <f>IFERROR(2*B422,0)</f>
        <v>0</v>
      </c>
      <c r="I422" s="117">
        <v>0</v>
      </c>
      <c r="J422" s="117">
        <v>0</v>
      </c>
      <c r="K422" s="117">
        <v>0</v>
      </c>
      <c r="L422" s="123">
        <v>0</v>
      </c>
      <c r="M422" s="117">
        <v>0</v>
      </c>
      <c r="N422" s="117">
        <v>0</v>
      </c>
      <c r="O422" s="117">
        <v>0</v>
      </c>
      <c r="P422" s="117">
        <v>0</v>
      </c>
      <c r="Q422" s="117">
        <v>0</v>
      </c>
      <c r="R422" s="117">
        <v>0</v>
      </c>
      <c r="S422" s="119">
        <v>0</v>
      </c>
      <c r="T422" s="119">
        <v>0</v>
      </c>
      <c r="U422" s="119">
        <v>0</v>
      </c>
      <c r="V422" s="119" t="str">
        <f t="shared" si="27"/>
        <v xml:space="preserve"> </v>
      </c>
    </row>
    <row r="423" spans="1:22" hidden="1">
      <c r="A423" s="449" t="s">
        <v>871</v>
      </c>
      <c r="B423" s="114">
        <f>_xlfn.IFNA(VLOOKUP(Table1[[#This Row],[SKU]],'Kilter Holds'!$P$36:$S$370,4,0),0)</f>
        <v>0</v>
      </c>
      <c r="C423" s="115">
        <v>5</v>
      </c>
      <c r="D423" s="117">
        <v>0</v>
      </c>
      <c r="E423" s="117">
        <f>IFERROR(1*B423,0)</f>
        <v>0</v>
      </c>
      <c r="F423" s="117">
        <f>IFERROR(3*B423,0)</f>
        <v>0</v>
      </c>
      <c r="G423" s="117">
        <v>0</v>
      </c>
      <c r="H423" s="117">
        <f>IFERROR(1*B423,0)</f>
        <v>0</v>
      </c>
      <c r="I423" s="117">
        <v>0</v>
      </c>
      <c r="J423" s="117">
        <v>0</v>
      </c>
      <c r="K423" s="117">
        <v>0</v>
      </c>
      <c r="L423" s="123">
        <v>0</v>
      </c>
      <c r="M423" s="117">
        <v>0</v>
      </c>
      <c r="N423" s="117">
        <v>0</v>
      </c>
      <c r="O423" s="117">
        <v>0</v>
      </c>
      <c r="P423" s="117">
        <v>0</v>
      </c>
      <c r="Q423" s="117">
        <v>0</v>
      </c>
      <c r="R423" s="117">
        <v>0</v>
      </c>
      <c r="S423" s="119">
        <v>0</v>
      </c>
      <c r="T423" s="119">
        <v>0</v>
      </c>
      <c r="U423" s="119">
        <v>0</v>
      </c>
      <c r="V423" s="119" t="str">
        <f t="shared" si="27"/>
        <v xml:space="preserve"> </v>
      </c>
    </row>
    <row r="424" spans="1:22" hidden="1">
      <c r="A424" s="658" t="s">
        <v>2672</v>
      </c>
      <c r="B424" s="114">
        <f>_xlfn.IFNA(VLOOKUP(Table1[[#This Row],[SKU]],'Kilter Holds'!$P$36:$S$370,4,0),0)</f>
        <v>0</v>
      </c>
      <c r="C424" s="115">
        <v>3</v>
      </c>
      <c r="D424" s="117">
        <v>0</v>
      </c>
      <c r="E424" s="117">
        <v>0</v>
      </c>
      <c r="F424" s="117">
        <v>0</v>
      </c>
      <c r="G424" s="117">
        <v>0</v>
      </c>
      <c r="H424" s="117">
        <v>0</v>
      </c>
      <c r="I424" s="117">
        <v>0</v>
      </c>
      <c r="J424" s="117">
        <v>0</v>
      </c>
      <c r="K424" s="117">
        <v>0</v>
      </c>
      <c r="L424" s="123">
        <v>0</v>
      </c>
      <c r="M424" s="117">
        <v>0</v>
      </c>
      <c r="N424" s="117">
        <v>0</v>
      </c>
      <c r="O424" s="117">
        <f>1*Table1[[#This Row],[Quantity of Sets]]</f>
        <v>0</v>
      </c>
      <c r="P424" s="117">
        <f>2*Table1[[#This Row],[Quantity of Sets]]</f>
        <v>0</v>
      </c>
      <c r="Q424" s="117">
        <f>24*Table1[[#This Row],[Quantity of Sets]]</f>
        <v>0</v>
      </c>
      <c r="R424" s="117">
        <v>0</v>
      </c>
      <c r="S424" s="119">
        <v>0</v>
      </c>
      <c r="T424" s="119">
        <v>0</v>
      </c>
      <c r="U424" s="119">
        <v>0</v>
      </c>
      <c r="V424" s="119" t="str">
        <f t="shared" ref="V424:V430" si="30">IF(B424&gt;0,"Added"," ")</f>
        <v xml:space="preserve"> </v>
      </c>
    </row>
    <row r="425" spans="1:22" hidden="1">
      <c r="A425" s="658" t="s">
        <v>2683</v>
      </c>
      <c r="B425" s="114">
        <f>_xlfn.IFNA(VLOOKUP(Table1[[#This Row],[SKU]],'Kilter Holds'!$P$36:$S$370,4,0),0)</f>
        <v>0</v>
      </c>
      <c r="C425" s="115">
        <v>1</v>
      </c>
      <c r="D425" s="117">
        <v>0</v>
      </c>
      <c r="E425" s="117">
        <v>0</v>
      </c>
      <c r="F425" s="117">
        <v>0</v>
      </c>
      <c r="G425" s="117">
        <v>0</v>
      </c>
      <c r="H425" s="117">
        <v>0</v>
      </c>
      <c r="I425" s="117">
        <v>0</v>
      </c>
      <c r="J425" s="117">
        <v>0</v>
      </c>
      <c r="K425" s="117">
        <v>0</v>
      </c>
      <c r="L425" s="123">
        <v>0</v>
      </c>
      <c r="M425" s="117">
        <v>0</v>
      </c>
      <c r="N425" s="117">
        <v>0</v>
      </c>
      <c r="O425" s="117">
        <v>0</v>
      </c>
      <c r="P425" s="117">
        <f>1*Table1[[#This Row],[Quantity of Sets]]</f>
        <v>0</v>
      </c>
      <c r="Q425" s="117">
        <f>8*Table1[[#This Row],[Quantity of Sets]]</f>
        <v>0</v>
      </c>
      <c r="R425" s="117">
        <v>0</v>
      </c>
      <c r="S425" s="119">
        <v>0</v>
      </c>
      <c r="T425" s="119">
        <v>0</v>
      </c>
      <c r="U425" s="119">
        <v>0</v>
      </c>
      <c r="V425" s="119" t="str">
        <f t="shared" si="30"/>
        <v xml:space="preserve"> </v>
      </c>
    </row>
    <row r="426" spans="1:22" hidden="1">
      <c r="A426" s="658" t="s">
        <v>2684</v>
      </c>
      <c r="B426" s="114">
        <f>_xlfn.IFNA(VLOOKUP(Table1[[#This Row],[SKU]],'Kilter Holds'!$P$36:$S$370,4,0),0)</f>
        <v>0</v>
      </c>
      <c r="C426" s="115">
        <v>1</v>
      </c>
      <c r="D426" s="117">
        <v>0</v>
      </c>
      <c r="E426" s="117">
        <v>0</v>
      </c>
      <c r="F426" s="117">
        <v>0</v>
      </c>
      <c r="G426" s="117">
        <v>0</v>
      </c>
      <c r="H426" s="117">
        <v>0</v>
      </c>
      <c r="I426" s="117">
        <v>0</v>
      </c>
      <c r="J426" s="117">
        <v>0</v>
      </c>
      <c r="K426" s="117">
        <v>0</v>
      </c>
      <c r="L426" s="123">
        <v>0</v>
      </c>
      <c r="M426" s="117">
        <v>0</v>
      </c>
      <c r="N426" s="117">
        <v>0</v>
      </c>
      <c r="O426" s="117">
        <v>0</v>
      </c>
      <c r="P426" s="117">
        <f>1*Table1[[#This Row],[Quantity of Sets]]</f>
        <v>0</v>
      </c>
      <c r="Q426" s="117">
        <f>8*Table1[[#This Row],[Quantity of Sets]]</f>
        <v>0</v>
      </c>
      <c r="R426" s="117">
        <v>0</v>
      </c>
      <c r="S426" s="119">
        <v>0</v>
      </c>
      <c r="T426" s="119">
        <v>0</v>
      </c>
      <c r="U426" s="119">
        <v>0</v>
      </c>
      <c r="V426" s="119" t="str">
        <f t="shared" si="30"/>
        <v xml:space="preserve"> </v>
      </c>
    </row>
    <row r="427" spans="1:22" hidden="1">
      <c r="A427" s="658" t="s">
        <v>2685</v>
      </c>
      <c r="B427" s="114">
        <f>_xlfn.IFNA(VLOOKUP(Table1[[#This Row],[SKU]],'Kilter Holds'!$P$36:$S$370,4,0),0)</f>
        <v>0</v>
      </c>
      <c r="C427" s="115">
        <v>1</v>
      </c>
      <c r="D427" s="117">
        <v>0</v>
      </c>
      <c r="E427" s="117">
        <v>0</v>
      </c>
      <c r="F427" s="117">
        <v>0</v>
      </c>
      <c r="G427" s="117">
        <v>0</v>
      </c>
      <c r="H427" s="117">
        <v>0</v>
      </c>
      <c r="I427" s="117">
        <v>0</v>
      </c>
      <c r="J427" s="117">
        <v>0</v>
      </c>
      <c r="K427" s="117">
        <v>0</v>
      </c>
      <c r="L427" s="123">
        <v>0</v>
      </c>
      <c r="M427" s="117">
        <v>0</v>
      </c>
      <c r="N427" s="117">
        <v>0</v>
      </c>
      <c r="O427" s="117">
        <v>0</v>
      </c>
      <c r="P427" s="117">
        <f>1*Table1[[#This Row],[Quantity of Sets]]</f>
        <v>0</v>
      </c>
      <c r="Q427" s="117">
        <f>8*Table1[[#This Row],[Quantity of Sets]]</f>
        <v>0</v>
      </c>
      <c r="R427" s="117">
        <v>0</v>
      </c>
      <c r="S427" s="119">
        <v>0</v>
      </c>
      <c r="T427" s="119">
        <v>0</v>
      </c>
      <c r="U427" s="119">
        <v>0</v>
      </c>
      <c r="V427" s="119" t="str">
        <f t="shared" si="30"/>
        <v xml:space="preserve"> </v>
      </c>
    </row>
    <row r="428" spans="1:22" hidden="1">
      <c r="A428" s="718" t="s">
        <v>2973</v>
      </c>
      <c r="B428" s="114">
        <f>_xlfn.IFNA(VLOOKUP(Table1[[#This Row],[SKU]],'Kilter Holds'!$P$36:$S$370,4,0),0)</f>
        <v>0</v>
      </c>
      <c r="C428" s="719">
        <v>1</v>
      </c>
      <c r="D428" s="720">
        <v>0</v>
      </c>
      <c r="E428" s="720">
        <v>0</v>
      </c>
      <c r="F428" s="720">
        <v>0</v>
      </c>
      <c r="G428" s="720">
        <v>0</v>
      </c>
      <c r="H428" s="720">
        <v>0</v>
      </c>
      <c r="I428" s="720">
        <v>0</v>
      </c>
      <c r="J428" s="720">
        <v>0</v>
      </c>
      <c r="K428" s="720">
        <v>0</v>
      </c>
      <c r="L428" s="721">
        <v>0</v>
      </c>
      <c r="M428" s="720">
        <f>1*Table1[[#This Row],[Quantity of Sets]]</f>
        <v>0</v>
      </c>
      <c r="N428" s="720">
        <v>0</v>
      </c>
      <c r="O428" s="720">
        <v>0</v>
      </c>
      <c r="P428" s="720">
        <v>0</v>
      </c>
      <c r="Q428" s="633">
        <f>7*Table1[[#This Row],[Quantity of Sets]]</f>
        <v>0</v>
      </c>
      <c r="R428" s="722">
        <v>0</v>
      </c>
      <c r="S428" s="723">
        <v>0</v>
      </c>
      <c r="T428" s="724">
        <v>0</v>
      </c>
      <c r="U428" s="724">
        <v>0</v>
      </c>
      <c r="V428" s="722" t="str">
        <f t="shared" si="30"/>
        <v xml:space="preserve"> </v>
      </c>
    </row>
    <row r="429" spans="1:22" hidden="1">
      <c r="A429" s="718" t="s">
        <v>2975</v>
      </c>
      <c r="B429" s="114">
        <f>_xlfn.IFNA(VLOOKUP(Table1[[#This Row],[SKU]],'Kilter Holds'!$P$36:$S$370,4,0),0)</f>
        <v>0</v>
      </c>
      <c r="C429" s="115">
        <v>3</v>
      </c>
      <c r="D429" s="117">
        <v>0</v>
      </c>
      <c r="E429" s="117">
        <v>0</v>
      </c>
      <c r="F429" s="117">
        <v>0</v>
      </c>
      <c r="G429" s="117">
        <v>0</v>
      </c>
      <c r="H429" s="117">
        <v>0</v>
      </c>
      <c r="I429" s="117">
        <v>0</v>
      </c>
      <c r="J429" s="117">
        <v>0</v>
      </c>
      <c r="K429" s="117">
        <v>0</v>
      </c>
      <c r="L429" s="123">
        <v>0</v>
      </c>
      <c r="M429" s="117">
        <v>0</v>
      </c>
      <c r="N429" s="117">
        <v>0</v>
      </c>
      <c r="O429" s="117">
        <v>0</v>
      </c>
      <c r="P429" s="117">
        <v>0</v>
      </c>
      <c r="Q429" s="117">
        <f>16*Table1[[#This Row],[Quantity of Sets]]</f>
        <v>0</v>
      </c>
      <c r="R429" s="117">
        <v>0</v>
      </c>
      <c r="S429" s="119">
        <v>0</v>
      </c>
      <c r="T429" s="119">
        <v>0</v>
      </c>
      <c r="U429" s="119">
        <v>0</v>
      </c>
      <c r="V429" s="119" t="str">
        <f t="shared" si="30"/>
        <v xml:space="preserve"> </v>
      </c>
    </row>
    <row r="430" spans="1:22" hidden="1">
      <c r="A430" s="718" t="s">
        <v>2979</v>
      </c>
      <c r="B430" s="114">
        <f>_xlfn.IFNA(VLOOKUP(Table1[[#This Row],[SKU]],'Kilter Holds'!$P$36:$S$370,4,0),0)</f>
        <v>0</v>
      </c>
      <c r="C430" s="719">
        <v>3</v>
      </c>
      <c r="D430" s="720">
        <v>0</v>
      </c>
      <c r="E430" s="720">
        <v>0</v>
      </c>
      <c r="F430" s="720">
        <v>0</v>
      </c>
      <c r="G430" s="720">
        <v>0</v>
      </c>
      <c r="H430" s="720">
        <f>1*Table1[[#This Row],[Quantity of Sets]]</f>
        <v>0</v>
      </c>
      <c r="I430" s="720">
        <v>0</v>
      </c>
      <c r="J430" s="720">
        <f>2*Table1[[#This Row],[Quantity of Sets]]</f>
        <v>0</v>
      </c>
      <c r="K430" s="720">
        <v>0</v>
      </c>
      <c r="L430" s="721">
        <v>0</v>
      </c>
      <c r="M430" s="720">
        <v>0</v>
      </c>
      <c r="N430" s="720">
        <v>0</v>
      </c>
      <c r="O430" s="720">
        <v>0</v>
      </c>
      <c r="P430" s="720">
        <v>0</v>
      </c>
      <c r="Q430" s="633">
        <f>17*Table1[[#This Row],[Quantity of Sets]]</f>
        <v>0</v>
      </c>
      <c r="R430" s="722">
        <v>0</v>
      </c>
      <c r="S430" s="723">
        <v>0</v>
      </c>
      <c r="T430" s="724">
        <v>0</v>
      </c>
      <c r="U430" s="724">
        <v>0</v>
      </c>
      <c r="V430" s="722" t="str">
        <f t="shared" si="30"/>
        <v xml:space="preserve"> </v>
      </c>
    </row>
    <row r="431" spans="1:22" hidden="1">
      <c r="A431" s="449" t="s">
        <v>135</v>
      </c>
      <c r="B431" s="114">
        <f>_xlfn.IFNA(VLOOKUP(Table1[[#This Row],[SKU]],'Kilter Holds'!$P$36:$S$370,4,0),0)</f>
        <v>0</v>
      </c>
      <c r="C431" s="115">
        <v>10</v>
      </c>
      <c r="D431" s="117">
        <f>IFERROR(10*B431,0)</f>
        <v>0</v>
      </c>
      <c r="E431" s="117">
        <v>0</v>
      </c>
      <c r="F431" s="117">
        <v>0</v>
      </c>
      <c r="G431" s="117">
        <v>0</v>
      </c>
      <c r="H431" s="117">
        <v>0</v>
      </c>
      <c r="I431" s="117">
        <v>0</v>
      </c>
      <c r="J431" s="117">
        <v>0</v>
      </c>
      <c r="K431" s="117">
        <v>0</v>
      </c>
      <c r="L431" s="123">
        <v>0</v>
      </c>
      <c r="M431" s="117">
        <v>0</v>
      </c>
      <c r="N431" s="117">
        <v>0</v>
      </c>
      <c r="O431" s="117">
        <v>0</v>
      </c>
      <c r="P431" s="117">
        <v>0</v>
      </c>
      <c r="Q431" s="117">
        <v>0</v>
      </c>
      <c r="R431" s="117">
        <v>0</v>
      </c>
      <c r="S431" s="119">
        <v>0</v>
      </c>
      <c r="T431" s="119">
        <v>0</v>
      </c>
      <c r="U431" s="119">
        <v>0</v>
      </c>
      <c r="V431" s="119" t="str">
        <f t="shared" si="27"/>
        <v xml:space="preserve"> </v>
      </c>
    </row>
    <row r="432" spans="1:22" hidden="1">
      <c r="A432" s="450" t="s">
        <v>136</v>
      </c>
      <c r="B432" s="114">
        <f>_xlfn.IFNA(VLOOKUP(Table1[[#This Row],[SKU]],'Kilter Holds'!$P$36:$S$370,4,0),0)</f>
        <v>0</v>
      </c>
      <c r="C432" s="115">
        <v>10</v>
      </c>
      <c r="D432" s="117">
        <f>IFERROR(10*B432,0)</f>
        <v>0</v>
      </c>
      <c r="E432" s="118">
        <v>0</v>
      </c>
      <c r="F432" s="118">
        <v>0</v>
      </c>
      <c r="G432" s="118">
        <v>0</v>
      </c>
      <c r="H432" s="118">
        <v>0</v>
      </c>
      <c r="I432" s="118">
        <v>0</v>
      </c>
      <c r="J432" s="118">
        <v>0</v>
      </c>
      <c r="K432" s="118">
        <v>0</v>
      </c>
      <c r="L432" s="123">
        <v>0</v>
      </c>
      <c r="M432" s="118">
        <v>0</v>
      </c>
      <c r="N432" s="118">
        <v>0</v>
      </c>
      <c r="O432" s="118">
        <v>0</v>
      </c>
      <c r="P432" s="118">
        <v>0</v>
      </c>
      <c r="Q432" s="118">
        <v>0</v>
      </c>
      <c r="R432" s="118">
        <v>0</v>
      </c>
      <c r="S432" s="119">
        <v>0</v>
      </c>
      <c r="T432" s="119">
        <v>0</v>
      </c>
      <c r="U432" s="119">
        <v>0</v>
      </c>
      <c r="V432" s="119" t="str">
        <f t="shared" si="27"/>
        <v xml:space="preserve"> </v>
      </c>
    </row>
    <row r="433" spans="1:22" hidden="1">
      <c r="A433" s="449" t="s">
        <v>137</v>
      </c>
      <c r="B433" s="114">
        <f>_xlfn.IFNA(VLOOKUP(Table1[[#This Row],[SKU]],'Kilter Holds'!$P$36:$S$370,4,0),0)</f>
        <v>0</v>
      </c>
      <c r="C433" s="115">
        <v>10</v>
      </c>
      <c r="D433" s="117">
        <f>IFERROR(10*B433,0)</f>
        <v>0</v>
      </c>
      <c r="E433" s="117">
        <v>0</v>
      </c>
      <c r="F433" s="117">
        <v>0</v>
      </c>
      <c r="G433" s="117">
        <v>0</v>
      </c>
      <c r="H433" s="117">
        <v>0</v>
      </c>
      <c r="I433" s="117">
        <v>0</v>
      </c>
      <c r="J433" s="117">
        <v>0</v>
      </c>
      <c r="K433" s="117">
        <v>0</v>
      </c>
      <c r="L433" s="123">
        <v>0</v>
      </c>
      <c r="M433" s="117">
        <v>0</v>
      </c>
      <c r="N433" s="117">
        <v>0</v>
      </c>
      <c r="O433" s="117">
        <v>0</v>
      </c>
      <c r="P433" s="117">
        <v>0</v>
      </c>
      <c r="Q433" s="117">
        <v>0</v>
      </c>
      <c r="R433" s="117">
        <v>0</v>
      </c>
      <c r="S433" s="119">
        <v>0</v>
      </c>
      <c r="T433" s="119">
        <v>0</v>
      </c>
      <c r="U433" s="119">
        <v>0</v>
      </c>
      <c r="V433" s="119" t="str">
        <f t="shared" si="27"/>
        <v xml:space="preserve"> </v>
      </c>
    </row>
    <row r="434" spans="1:22" hidden="1">
      <c r="A434" s="450" t="s">
        <v>138</v>
      </c>
      <c r="B434" s="114">
        <f>_xlfn.IFNA(VLOOKUP(Table1[[#This Row],[SKU]],'Kilter Holds'!$P$36:$S$370,4,0),0)</f>
        <v>0</v>
      </c>
      <c r="C434" s="115">
        <v>20</v>
      </c>
      <c r="D434" s="117">
        <f>IFERROR(20*B434,0)</f>
        <v>0</v>
      </c>
      <c r="E434" s="118">
        <v>0</v>
      </c>
      <c r="F434" s="118">
        <v>0</v>
      </c>
      <c r="G434" s="118">
        <v>0</v>
      </c>
      <c r="H434" s="118">
        <v>0</v>
      </c>
      <c r="I434" s="118">
        <v>0</v>
      </c>
      <c r="J434" s="118">
        <v>0</v>
      </c>
      <c r="K434" s="118">
        <v>0</v>
      </c>
      <c r="L434" s="123">
        <v>0</v>
      </c>
      <c r="M434" s="118">
        <v>0</v>
      </c>
      <c r="N434" s="118">
        <v>0</v>
      </c>
      <c r="O434" s="118">
        <v>0</v>
      </c>
      <c r="P434" s="118">
        <v>0</v>
      </c>
      <c r="Q434" s="118">
        <v>0</v>
      </c>
      <c r="R434" s="118">
        <v>0</v>
      </c>
      <c r="S434" s="119">
        <v>0</v>
      </c>
      <c r="T434" s="119">
        <v>0</v>
      </c>
      <c r="U434" s="119">
        <v>0</v>
      </c>
      <c r="V434" s="119" t="str">
        <f t="shared" si="27"/>
        <v xml:space="preserve"> </v>
      </c>
    </row>
    <row r="435" spans="1:22" hidden="1">
      <c r="A435" s="449" t="s">
        <v>131</v>
      </c>
      <c r="B435" s="114">
        <f>_xlfn.IFNA(VLOOKUP(Table1[[#This Row],[SKU]],'Kilter Holds'!$P$36:$S$370,4,0),0)</f>
        <v>0</v>
      </c>
      <c r="C435" s="115">
        <v>10</v>
      </c>
      <c r="D435" s="117">
        <f>IFERROR(3*B435,0)</f>
        <v>0</v>
      </c>
      <c r="E435" s="117">
        <f>IFERROR(7*B435,0)</f>
        <v>0</v>
      </c>
      <c r="F435" s="117">
        <v>0</v>
      </c>
      <c r="G435" s="117">
        <v>0</v>
      </c>
      <c r="H435" s="117">
        <v>0</v>
      </c>
      <c r="I435" s="117">
        <v>0</v>
      </c>
      <c r="J435" s="117">
        <v>0</v>
      </c>
      <c r="K435" s="117">
        <v>0</v>
      </c>
      <c r="L435" s="123">
        <v>0</v>
      </c>
      <c r="M435" s="117">
        <v>0</v>
      </c>
      <c r="N435" s="117">
        <v>0</v>
      </c>
      <c r="O435" s="117">
        <v>0</v>
      </c>
      <c r="P435" s="117">
        <v>0</v>
      </c>
      <c r="Q435" s="117">
        <v>0</v>
      </c>
      <c r="R435" s="117">
        <v>0</v>
      </c>
      <c r="S435" s="119">
        <v>0</v>
      </c>
      <c r="T435" s="119">
        <v>0</v>
      </c>
      <c r="U435" s="119">
        <v>0</v>
      </c>
      <c r="V435" s="119" t="str">
        <f t="shared" si="27"/>
        <v xml:space="preserve"> </v>
      </c>
    </row>
    <row r="436" spans="1:22" hidden="1">
      <c r="A436" s="450" t="s">
        <v>128</v>
      </c>
      <c r="B436" s="114">
        <f>_xlfn.IFNA(VLOOKUP(Table1[[#This Row],[SKU]],'Kilter Holds'!$P$36:$S$370,4,0),0)</f>
        <v>0</v>
      </c>
      <c r="C436" s="115">
        <v>5</v>
      </c>
      <c r="D436" s="118">
        <v>0</v>
      </c>
      <c r="E436" s="118">
        <v>0</v>
      </c>
      <c r="F436" s="118">
        <v>0</v>
      </c>
      <c r="G436" s="118">
        <v>0</v>
      </c>
      <c r="H436" s="117">
        <f>IFERROR(1*B436,0)</f>
        <v>0</v>
      </c>
      <c r="I436" s="117">
        <f>IFERROR(4*B436,0)</f>
        <v>0</v>
      </c>
      <c r="J436" s="118">
        <v>0</v>
      </c>
      <c r="K436" s="118">
        <v>0</v>
      </c>
      <c r="L436" s="123">
        <v>0</v>
      </c>
      <c r="M436" s="118">
        <v>0</v>
      </c>
      <c r="N436" s="118">
        <v>0</v>
      </c>
      <c r="O436" s="118">
        <v>0</v>
      </c>
      <c r="P436" s="118">
        <v>0</v>
      </c>
      <c r="Q436" s="118">
        <v>0</v>
      </c>
      <c r="R436" s="118">
        <v>0</v>
      </c>
      <c r="S436" s="119">
        <v>0</v>
      </c>
      <c r="T436" s="119">
        <v>0</v>
      </c>
      <c r="U436" s="119">
        <v>0</v>
      </c>
      <c r="V436" s="119" t="str">
        <f t="shared" si="27"/>
        <v xml:space="preserve"> </v>
      </c>
    </row>
    <row r="437" spans="1:22" hidden="1">
      <c r="A437" s="453" t="s">
        <v>877</v>
      </c>
      <c r="B437" s="114">
        <f>_xlfn.IFNA(VLOOKUP(Table1[[#This Row],[SKU]],'Kilter Holds'!$P$36:$S$370,4,0),0)</f>
        <v>0</v>
      </c>
      <c r="C437" s="115">
        <v>3</v>
      </c>
      <c r="D437" s="118">
        <v>0</v>
      </c>
      <c r="E437" s="118">
        <v>0</v>
      </c>
      <c r="F437" s="118">
        <v>0</v>
      </c>
      <c r="G437" s="118">
        <v>0</v>
      </c>
      <c r="H437" s="118">
        <v>0</v>
      </c>
      <c r="I437" s="118">
        <v>0</v>
      </c>
      <c r="J437" s="117">
        <f>IFERROR(1*B437,0)</f>
        <v>0</v>
      </c>
      <c r="K437" s="117">
        <f>IFERROR(1*B437,0)</f>
        <v>0</v>
      </c>
      <c r="L437" s="123">
        <v>0</v>
      </c>
      <c r="M437" s="117">
        <f>IFERROR(1*B437,0)</f>
        <v>0</v>
      </c>
      <c r="N437" s="118">
        <v>0</v>
      </c>
      <c r="O437" s="118">
        <v>0</v>
      </c>
      <c r="P437" s="118">
        <v>0</v>
      </c>
      <c r="Q437" s="118">
        <v>0</v>
      </c>
      <c r="R437" s="118">
        <v>0</v>
      </c>
      <c r="S437" s="119">
        <v>0</v>
      </c>
      <c r="T437" s="119">
        <v>0</v>
      </c>
      <c r="U437" s="119">
        <v>0</v>
      </c>
      <c r="V437" s="119" t="str">
        <f t="shared" si="27"/>
        <v xml:space="preserve"> </v>
      </c>
    </row>
    <row r="438" spans="1:22" hidden="1">
      <c r="A438" s="450" t="s">
        <v>125</v>
      </c>
      <c r="B438" s="114">
        <f>_xlfn.IFNA(VLOOKUP(Table1[[#This Row],[SKU]],'Kilter Holds'!$P$36:$S$370,4,0),0)</f>
        <v>0</v>
      </c>
      <c r="C438" s="115">
        <v>1</v>
      </c>
      <c r="D438" s="118">
        <v>0</v>
      </c>
      <c r="E438" s="118">
        <v>0</v>
      </c>
      <c r="F438" s="118">
        <v>0</v>
      </c>
      <c r="G438" s="118">
        <v>0</v>
      </c>
      <c r="H438" s="118">
        <v>0</v>
      </c>
      <c r="I438" s="118">
        <v>0</v>
      </c>
      <c r="J438" s="118">
        <v>0</v>
      </c>
      <c r="K438" s="118">
        <v>0</v>
      </c>
      <c r="L438" s="123">
        <v>0</v>
      </c>
      <c r="M438" s="117">
        <f>IFERROR(1*B438,0)</f>
        <v>0</v>
      </c>
      <c r="N438" s="118">
        <v>0</v>
      </c>
      <c r="O438" s="118">
        <v>0</v>
      </c>
      <c r="P438" s="118">
        <v>0</v>
      </c>
      <c r="Q438" s="118">
        <v>0</v>
      </c>
      <c r="R438" s="118">
        <v>0</v>
      </c>
      <c r="S438" s="119">
        <v>0</v>
      </c>
      <c r="T438" s="119">
        <v>0</v>
      </c>
      <c r="U438" s="119">
        <v>0</v>
      </c>
      <c r="V438" s="119" t="str">
        <f t="shared" si="27"/>
        <v xml:space="preserve"> </v>
      </c>
    </row>
    <row r="439" spans="1:22" hidden="1">
      <c r="A439" s="450" t="s">
        <v>126</v>
      </c>
      <c r="B439" s="114">
        <f>_xlfn.IFNA(VLOOKUP(Table1[[#This Row],[SKU]],'Kilter Holds'!$P$36:$S$370,4,0),0)</f>
        <v>0</v>
      </c>
      <c r="C439" s="115">
        <v>1</v>
      </c>
      <c r="D439" s="118">
        <v>0</v>
      </c>
      <c r="E439" s="118">
        <v>0</v>
      </c>
      <c r="F439" s="118">
        <v>0</v>
      </c>
      <c r="G439" s="118">
        <v>0</v>
      </c>
      <c r="H439" s="118">
        <v>0</v>
      </c>
      <c r="I439" s="118">
        <v>0</v>
      </c>
      <c r="J439" s="117">
        <f>IFERROR(1*B439,0)</f>
        <v>0</v>
      </c>
      <c r="K439" s="118">
        <v>0</v>
      </c>
      <c r="L439" s="123">
        <v>0</v>
      </c>
      <c r="M439" s="118">
        <v>0</v>
      </c>
      <c r="N439" s="118">
        <v>0</v>
      </c>
      <c r="O439" s="118">
        <v>0</v>
      </c>
      <c r="P439" s="118">
        <v>0</v>
      </c>
      <c r="Q439" s="118">
        <v>0</v>
      </c>
      <c r="R439" s="118">
        <v>0</v>
      </c>
      <c r="S439" s="119">
        <v>0</v>
      </c>
      <c r="T439" s="119">
        <v>0</v>
      </c>
      <c r="U439" s="119">
        <v>0</v>
      </c>
      <c r="V439" s="119" t="str">
        <f t="shared" si="27"/>
        <v xml:space="preserve"> </v>
      </c>
    </row>
    <row r="440" spans="1:22" hidden="1">
      <c r="A440" s="450" t="s">
        <v>127</v>
      </c>
      <c r="B440" s="114">
        <f>_xlfn.IFNA(VLOOKUP(Table1[[#This Row],[SKU]],'Kilter Holds'!$P$36:$S$370,4,0),0)</f>
        <v>0</v>
      </c>
      <c r="C440" s="115">
        <v>1</v>
      </c>
      <c r="D440" s="118">
        <v>0</v>
      </c>
      <c r="E440" s="118">
        <v>0</v>
      </c>
      <c r="F440" s="118">
        <v>0</v>
      </c>
      <c r="G440" s="118">
        <v>0</v>
      </c>
      <c r="H440" s="118">
        <v>0</v>
      </c>
      <c r="I440" s="118">
        <v>0</v>
      </c>
      <c r="J440" s="118">
        <v>0</v>
      </c>
      <c r="K440" s="117">
        <f>IFERROR(1*B440,0)</f>
        <v>0</v>
      </c>
      <c r="L440" s="123">
        <v>0</v>
      </c>
      <c r="M440" s="118">
        <v>0</v>
      </c>
      <c r="N440" s="118">
        <v>0</v>
      </c>
      <c r="O440" s="118">
        <v>0</v>
      </c>
      <c r="P440" s="118">
        <v>0</v>
      </c>
      <c r="Q440" s="118">
        <v>0</v>
      </c>
      <c r="R440" s="118">
        <v>0</v>
      </c>
      <c r="S440" s="119">
        <v>0</v>
      </c>
      <c r="T440" s="119">
        <v>0</v>
      </c>
      <c r="U440" s="119">
        <v>0</v>
      </c>
      <c r="V440" s="119" t="str">
        <f t="shared" si="27"/>
        <v xml:space="preserve"> </v>
      </c>
    </row>
    <row r="441" spans="1:22" hidden="1">
      <c r="A441" s="450" t="s">
        <v>132</v>
      </c>
      <c r="B441" s="114">
        <f>_xlfn.IFNA(VLOOKUP(Table1[[#This Row],[SKU]],'Kilter Holds'!$P$36:$S$370,4,0),0)</f>
        <v>0</v>
      </c>
      <c r="C441" s="115">
        <v>10</v>
      </c>
      <c r="D441" s="118">
        <v>0</v>
      </c>
      <c r="E441" s="117">
        <f>IFERROR(7*B441,0)</f>
        <v>0</v>
      </c>
      <c r="F441" s="117">
        <f>IFERROR(3*B441,0)</f>
        <v>0</v>
      </c>
      <c r="G441" s="118">
        <v>0</v>
      </c>
      <c r="H441" s="118">
        <v>0</v>
      </c>
      <c r="I441" s="118">
        <v>0</v>
      </c>
      <c r="J441" s="118">
        <v>0</v>
      </c>
      <c r="K441" s="118">
        <v>0</v>
      </c>
      <c r="L441" s="123">
        <v>0</v>
      </c>
      <c r="M441" s="118">
        <v>0</v>
      </c>
      <c r="N441" s="118">
        <v>0</v>
      </c>
      <c r="O441" s="118">
        <v>0</v>
      </c>
      <c r="P441" s="118">
        <v>0</v>
      </c>
      <c r="Q441" s="118">
        <v>0</v>
      </c>
      <c r="R441" s="118">
        <v>0</v>
      </c>
      <c r="S441" s="119">
        <v>0</v>
      </c>
      <c r="T441" s="119">
        <v>0</v>
      </c>
      <c r="U441" s="119">
        <v>0</v>
      </c>
      <c r="V441" s="119" t="str">
        <f t="shared" si="27"/>
        <v xml:space="preserve"> </v>
      </c>
    </row>
    <row r="442" spans="1:22" hidden="1">
      <c r="A442" s="450" t="s">
        <v>139</v>
      </c>
      <c r="B442" s="114">
        <f>_xlfn.IFNA(VLOOKUP(Table1[[#This Row],[SKU]],'Kilter Holds'!$P$36:$S$370,4,0),0)</f>
        <v>0</v>
      </c>
      <c r="C442" s="115">
        <v>20</v>
      </c>
      <c r="D442" s="117">
        <f>IFERROR(20*B442,0)</f>
        <v>0</v>
      </c>
      <c r="E442" s="117">
        <v>0</v>
      </c>
      <c r="F442" s="117">
        <v>0</v>
      </c>
      <c r="G442" s="118">
        <v>0</v>
      </c>
      <c r="H442" s="118">
        <v>0</v>
      </c>
      <c r="I442" s="118">
        <v>0</v>
      </c>
      <c r="J442" s="118">
        <v>0</v>
      </c>
      <c r="K442" s="118">
        <v>0</v>
      </c>
      <c r="L442" s="123">
        <v>0</v>
      </c>
      <c r="M442" s="118">
        <v>0</v>
      </c>
      <c r="N442" s="118">
        <v>0</v>
      </c>
      <c r="O442" s="118">
        <v>0</v>
      </c>
      <c r="P442" s="118">
        <v>0</v>
      </c>
      <c r="Q442" s="118">
        <v>0</v>
      </c>
      <c r="R442" s="119">
        <v>0</v>
      </c>
      <c r="S442" s="119">
        <v>0</v>
      </c>
      <c r="T442" s="119">
        <v>0</v>
      </c>
      <c r="U442" s="119">
        <v>0</v>
      </c>
      <c r="V442" s="119" t="str">
        <f t="shared" si="27"/>
        <v xml:space="preserve"> </v>
      </c>
    </row>
    <row r="443" spans="1:22" hidden="1">
      <c r="A443" s="450" t="s">
        <v>133</v>
      </c>
      <c r="B443" s="114">
        <f>_xlfn.IFNA(VLOOKUP(Table1[[#This Row],[SKU]],'Kilter Holds'!$P$36:$S$370,4,0),0)</f>
        <v>0</v>
      </c>
      <c r="C443" s="115">
        <v>10</v>
      </c>
      <c r="D443" s="117">
        <v>0</v>
      </c>
      <c r="E443" s="117">
        <f>IFERROR(9*B443,0)</f>
        <v>0</v>
      </c>
      <c r="F443" s="117">
        <f>IFERROR(1*B443,0)</f>
        <v>0</v>
      </c>
      <c r="G443" s="118">
        <v>0</v>
      </c>
      <c r="H443" s="118">
        <v>0</v>
      </c>
      <c r="I443" s="118">
        <v>0</v>
      </c>
      <c r="J443" s="118">
        <v>0</v>
      </c>
      <c r="K443" s="118">
        <v>0</v>
      </c>
      <c r="L443" s="123">
        <v>0</v>
      </c>
      <c r="M443" s="118">
        <v>0</v>
      </c>
      <c r="N443" s="118">
        <v>0</v>
      </c>
      <c r="O443" s="118">
        <v>0</v>
      </c>
      <c r="P443" s="118">
        <v>0</v>
      </c>
      <c r="Q443" s="118">
        <v>0</v>
      </c>
      <c r="R443" s="118">
        <v>0</v>
      </c>
      <c r="S443" s="119">
        <v>0</v>
      </c>
      <c r="T443" s="119">
        <v>0</v>
      </c>
      <c r="U443" s="119">
        <v>0</v>
      </c>
      <c r="V443" s="119" t="str">
        <f t="shared" si="27"/>
        <v xml:space="preserve"> </v>
      </c>
    </row>
    <row r="444" spans="1:22" hidden="1">
      <c r="A444" s="450" t="s">
        <v>134</v>
      </c>
      <c r="B444" s="114">
        <f>_xlfn.IFNA(VLOOKUP(Table1[[#This Row],[SKU]],'Kilter Holds'!$P$36:$S$370,4,0),0)</f>
        <v>0</v>
      </c>
      <c r="C444" s="115">
        <v>10</v>
      </c>
      <c r="D444" s="117">
        <v>0</v>
      </c>
      <c r="E444" s="117">
        <f>IFERROR(10*B444,0)</f>
        <v>0</v>
      </c>
      <c r="F444" s="117">
        <v>0</v>
      </c>
      <c r="G444" s="118">
        <v>0</v>
      </c>
      <c r="H444" s="117">
        <v>0</v>
      </c>
      <c r="I444" s="118">
        <v>0</v>
      </c>
      <c r="J444" s="117">
        <v>0</v>
      </c>
      <c r="K444" s="118">
        <v>0</v>
      </c>
      <c r="L444" s="123">
        <v>0</v>
      </c>
      <c r="M444" s="117">
        <v>0</v>
      </c>
      <c r="N444" s="118">
        <v>0</v>
      </c>
      <c r="O444" s="117">
        <v>0</v>
      </c>
      <c r="P444" s="118">
        <v>0</v>
      </c>
      <c r="Q444" s="117">
        <v>0</v>
      </c>
      <c r="R444" s="118">
        <v>0</v>
      </c>
      <c r="S444" s="119">
        <v>0</v>
      </c>
      <c r="T444" s="119">
        <v>0</v>
      </c>
      <c r="U444" s="119">
        <v>0</v>
      </c>
      <c r="V444" s="119" t="str">
        <f t="shared" si="27"/>
        <v xml:space="preserve"> </v>
      </c>
    </row>
    <row r="445" spans="1:22" hidden="1">
      <c r="A445" s="450" t="s">
        <v>130</v>
      </c>
      <c r="B445" s="114">
        <f>_xlfn.IFNA(VLOOKUP(Table1[[#This Row],[SKU]],'Kilter Holds'!$P$36:$S$370,4,0),0)</f>
        <v>0</v>
      </c>
      <c r="C445" s="115">
        <v>5</v>
      </c>
      <c r="D445" s="117">
        <v>0</v>
      </c>
      <c r="E445" s="117">
        <v>0</v>
      </c>
      <c r="F445" s="117">
        <v>0</v>
      </c>
      <c r="G445" s="117">
        <f>IFERROR(5*B445,0)</f>
        <v>0</v>
      </c>
      <c r="H445" s="118">
        <v>0</v>
      </c>
      <c r="I445" s="118">
        <v>0</v>
      </c>
      <c r="J445" s="118">
        <v>0</v>
      </c>
      <c r="K445" s="118">
        <v>0</v>
      </c>
      <c r="L445" s="123">
        <v>0</v>
      </c>
      <c r="M445" s="118">
        <v>0</v>
      </c>
      <c r="N445" s="118">
        <v>0</v>
      </c>
      <c r="O445" s="118">
        <v>0</v>
      </c>
      <c r="P445" s="118">
        <v>0</v>
      </c>
      <c r="Q445" s="118">
        <v>0</v>
      </c>
      <c r="R445" s="118">
        <v>0</v>
      </c>
      <c r="S445" s="119">
        <v>0</v>
      </c>
      <c r="T445" s="119">
        <v>0</v>
      </c>
      <c r="U445" s="119">
        <v>0</v>
      </c>
      <c r="V445" s="119" t="str">
        <f t="shared" si="27"/>
        <v xml:space="preserve"> </v>
      </c>
    </row>
    <row r="446" spans="1:22" hidden="1">
      <c r="A446" s="450" t="s">
        <v>129</v>
      </c>
      <c r="B446" s="114">
        <f>_xlfn.IFNA(VLOOKUP(Table1[[#This Row],[SKU]],'Kilter Holds'!$P$36:$S$370,4,0),0)</f>
        <v>0</v>
      </c>
      <c r="C446" s="115">
        <v>5</v>
      </c>
      <c r="D446" s="117">
        <v>0</v>
      </c>
      <c r="E446" s="117">
        <v>0</v>
      </c>
      <c r="F446" s="117">
        <f>IFERROR(2*B446,0)</f>
        <v>0</v>
      </c>
      <c r="G446" s="117">
        <f>IFERROR(1*B446,0)</f>
        <v>0</v>
      </c>
      <c r="H446" s="118">
        <f>IFERROR(2*B446,0)</f>
        <v>0</v>
      </c>
      <c r="I446" s="118">
        <v>0</v>
      </c>
      <c r="J446" s="118">
        <v>0</v>
      </c>
      <c r="K446" s="118">
        <v>0</v>
      </c>
      <c r="L446" s="123">
        <v>0</v>
      </c>
      <c r="M446" s="118">
        <v>0</v>
      </c>
      <c r="N446" s="118">
        <v>0</v>
      </c>
      <c r="O446" s="118">
        <v>0</v>
      </c>
      <c r="P446" s="118">
        <v>0</v>
      </c>
      <c r="Q446" s="118">
        <v>0</v>
      </c>
      <c r="R446" s="118">
        <v>0</v>
      </c>
      <c r="S446" s="119">
        <v>0</v>
      </c>
      <c r="T446" s="119">
        <v>0</v>
      </c>
      <c r="U446" s="119">
        <v>0</v>
      </c>
      <c r="V446" s="119" t="str">
        <f t="shared" ref="V446:V516" si="31">IF(B446&gt;0,"Added"," ")</f>
        <v xml:space="preserve"> </v>
      </c>
    </row>
    <row r="447" spans="1:22" hidden="1">
      <c r="A447" s="450" t="s">
        <v>140</v>
      </c>
      <c r="B447" s="114">
        <f>_xlfn.IFNA(VLOOKUP(Table1[[#This Row],[SKU]],'Kilter Holds'!$P$36:$S$370,4,0),0)</f>
        <v>0</v>
      </c>
      <c r="C447" s="115">
        <v>4</v>
      </c>
      <c r="D447" s="117">
        <f>IFERROR(4*B447,0)</f>
        <v>0</v>
      </c>
      <c r="E447" s="117">
        <v>0</v>
      </c>
      <c r="F447" s="117">
        <v>0</v>
      </c>
      <c r="G447" s="117">
        <v>0</v>
      </c>
      <c r="H447" s="118">
        <v>0</v>
      </c>
      <c r="I447" s="118">
        <v>0</v>
      </c>
      <c r="J447" s="118">
        <v>0</v>
      </c>
      <c r="K447" s="118">
        <v>0</v>
      </c>
      <c r="L447" s="123">
        <v>0</v>
      </c>
      <c r="M447" s="118">
        <v>0</v>
      </c>
      <c r="N447" s="118">
        <v>0</v>
      </c>
      <c r="O447" s="118">
        <v>0</v>
      </c>
      <c r="P447" s="118">
        <v>0</v>
      </c>
      <c r="Q447" s="118">
        <v>0</v>
      </c>
      <c r="R447" s="118">
        <v>0</v>
      </c>
      <c r="S447" s="119">
        <v>0</v>
      </c>
      <c r="T447" s="119">
        <v>0</v>
      </c>
      <c r="U447" s="119">
        <v>0</v>
      </c>
      <c r="V447" s="119" t="str">
        <f t="shared" si="31"/>
        <v xml:space="preserve"> </v>
      </c>
    </row>
    <row r="448" spans="1:22" hidden="1">
      <c r="A448" s="450" t="s">
        <v>145</v>
      </c>
      <c r="B448" s="114">
        <f>_xlfn.IFNA(VLOOKUP(Table1[[#This Row],[SKU]],'Kilter Holds'!$P$36:$S$370,4,0),0)</f>
        <v>0</v>
      </c>
      <c r="C448" s="115">
        <v>10</v>
      </c>
      <c r="D448" s="117">
        <f>IFERROR(10*B448,0)</f>
        <v>0</v>
      </c>
      <c r="E448" s="117">
        <v>0</v>
      </c>
      <c r="F448" s="117">
        <v>0</v>
      </c>
      <c r="G448" s="117">
        <v>0</v>
      </c>
      <c r="H448" s="118">
        <v>0</v>
      </c>
      <c r="I448" s="118">
        <v>0</v>
      </c>
      <c r="J448" s="118">
        <v>0</v>
      </c>
      <c r="K448" s="118">
        <v>0</v>
      </c>
      <c r="L448" s="123">
        <v>0</v>
      </c>
      <c r="M448" s="118">
        <v>0</v>
      </c>
      <c r="N448" s="118">
        <v>0</v>
      </c>
      <c r="O448" s="118">
        <v>0</v>
      </c>
      <c r="P448" s="118">
        <v>0</v>
      </c>
      <c r="Q448" s="118">
        <v>0</v>
      </c>
      <c r="R448" s="118">
        <v>0</v>
      </c>
      <c r="S448" s="119">
        <v>0</v>
      </c>
      <c r="T448" s="119">
        <v>0</v>
      </c>
      <c r="U448" s="119">
        <v>0</v>
      </c>
      <c r="V448" s="119" t="str">
        <f t="shared" si="31"/>
        <v xml:space="preserve"> </v>
      </c>
    </row>
    <row r="449" spans="1:22" hidden="1">
      <c r="A449" s="450" t="s">
        <v>143</v>
      </c>
      <c r="B449" s="114">
        <f>_xlfn.IFNA(VLOOKUP(Table1[[#This Row],[SKU]],'Kilter Holds'!$P$36:$S$370,4,0),0)</f>
        <v>0</v>
      </c>
      <c r="C449" s="115">
        <v>10</v>
      </c>
      <c r="D449" s="117">
        <f>IFERROR(10*B449,0)</f>
        <v>0</v>
      </c>
      <c r="E449" s="117">
        <v>0</v>
      </c>
      <c r="F449" s="117">
        <v>0</v>
      </c>
      <c r="G449" s="117">
        <v>0</v>
      </c>
      <c r="H449" s="118">
        <v>0</v>
      </c>
      <c r="I449" s="118">
        <v>0</v>
      </c>
      <c r="J449" s="118">
        <v>0</v>
      </c>
      <c r="K449" s="118">
        <v>0</v>
      </c>
      <c r="L449" s="123">
        <v>0</v>
      </c>
      <c r="M449" s="118">
        <v>0</v>
      </c>
      <c r="N449" s="118">
        <v>0</v>
      </c>
      <c r="O449" s="118">
        <v>0</v>
      </c>
      <c r="P449" s="118">
        <v>0</v>
      </c>
      <c r="Q449" s="118">
        <v>0</v>
      </c>
      <c r="R449" s="118">
        <v>0</v>
      </c>
      <c r="S449" s="119">
        <v>0</v>
      </c>
      <c r="T449" s="119">
        <v>0</v>
      </c>
      <c r="U449" s="119">
        <v>0</v>
      </c>
      <c r="V449" s="119" t="str">
        <f t="shared" si="31"/>
        <v xml:space="preserve"> </v>
      </c>
    </row>
    <row r="450" spans="1:22" hidden="1">
      <c r="A450" s="450" t="s">
        <v>141</v>
      </c>
      <c r="B450" s="114">
        <f>_xlfn.IFNA(VLOOKUP(Table1[[#This Row],[SKU]],'Kilter Holds'!$P$36:$S$370,4,0),0)</f>
        <v>0</v>
      </c>
      <c r="C450" s="115">
        <v>5</v>
      </c>
      <c r="D450" s="117">
        <f>IFERROR(5*B450,0)</f>
        <v>0</v>
      </c>
      <c r="E450" s="117">
        <v>0</v>
      </c>
      <c r="F450" s="117">
        <v>0</v>
      </c>
      <c r="G450" s="117">
        <v>0</v>
      </c>
      <c r="H450" s="118">
        <v>0</v>
      </c>
      <c r="I450" s="118">
        <v>0</v>
      </c>
      <c r="J450" s="118">
        <v>0</v>
      </c>
      <c r="K450" s="118">
        <v>0</v>
      </c>
      <c r="L450" s="123">
        <v>0</v>
      </c>
      <c r="M450" s="118">
        <v>0</v>
      </c>
      <c r="N450" s="118">
        <v>0</v>
      </c>
      <c r="O450" s="118">
        <v>0</v>
      </c>
      <c r="P450" s="118">
        <v>0</v>
      </c>
      <c r="Q450" s="118">
        <v>0</v>
      </c>
      <c r="R450" s="118">
        <v>0</v>
      </c>
      <c r="S450" s="119">
        <v>0</v>
      </c>
      <c r="T450" s="119">
        <v>0</v>
      </c>
      <c r="U450" s="119">
        <v>0</v>
      </c>
      <c r="V450" s="119" t="str">
        <f t="shared" si="31"/>
        <v xml:space="preserve"> </v>
      </c>
    </row>
    <row r="451" spans="1:22" hidden="1">
      <c r="A451" s="453" t="s">
        <v>142</v>
      </c>
      <c r="B451" s="114">
        <f>_xlfn.IFNA(VLOOKUP(Table1[[#This Row],[SKU]],'Kilter Holds'!$P$36:$S$370,4,0),0)</f>
        <v>0</v>
      </c>
      <c r="C451" s="115">
        <v>5</v>
      </c>
      <c r="D451" s="117">
        <f>IFERROR(4*B451,0)</f>
        <v>0</v>
      </c>
      <c r="E451" s="117">
        <f>IFERROR(1*B451,0)</f>
        <v>0</v>
      </c>
      <c r="F451" s="117">
        <v>0</v>
      </c>
      <c r="G451" s="117">
        <v>0</v>
      </c>
      <c r="H451" s="117">
        <v>0</v>
      </c>
      <c r="I451" s="117">
        <v>0</v>
      </c>
      <c r="J451" s="117">
        <v>0</v>
      </c>
      <c r="K451" s="117">
        <v>0</v>
      </c>
      <c r="L451" s="123">
        <v>0</v>
      </c>
      <c r="M451" s="117">
        <v>0</v>
      </c>
      <c r="N451" s="117">
        <v>0</v>
      </c>
      <c r="O451" s="117">
        <v>0</v>
      </c>
      <c r="P451" s="117">
        <v>0</v>
      </c>
      <c r="Q451" s="117">
        <v>0</v>
      </c>
      <c r="R451" s="117">
        <v>0</v>
      </c>
      <c r="S451" s="119">
        <v>0</v>
      </c>
      <c r="T451" s="119">
        <v>0</v>
      </c>
      <c r="U451" s="119">
        <v>0</v>
      </c>
      <c r="V451" s="119" t="str">
        <f t="shared" si="31"/>
        <v xml:space="preserve"> </v>
      </c>
    </row>
    <row r="452" spans="1:22" hidden="1">
      <c r="A452" s="453" t="s">
        <v>144</v>
      </c>
      <c r="B452" s="114">
        <f>_xlfn.IFNA(VLOOKUP(Table1[[#This Row],[SKU]],'Kilter Holds'!$P$36:$S$370,4,0),0)</f>
        <v>0</v>
      </c>
      <c r="C452" s="115">
        <v>10</v>
      </c>
      <c r="D452" s="117">
        <f>IFERROR(10*B452,0)</f>
        <v>0</v>
      </c>
      <c r="E452" s="117">
        <v>0</v>
      </c>
      <c r="F452" s="117">
        <v>0</v>
      </c>
      <c r="G452" s="117">
        <v>0</v>
      </c>
      <c r="H452" s="117">
        <v>0</v>
      </c>
      <c r="I452" s="117">
        <v>0</v>
      </c>
      <c r="J452" s="117">
        <v>0</v>
      </c>
      <c r="K452" s="117">
        <v>0</v>
      </c>
      <c r="L452" s="123">
        <v>0</v>
      </c>
      <c r="M452" s="117">
        <v>0</v>
      </c>
      <c r="N452" s="117">
        <v>0</v>
      </c>
      <c r="O452" s="117">
        <v>0</v>
      </c>
      <c r="P452" s="117">
        <v>0</v>
      </c>
      <c r="Q452" s="117">
        <v>0</v>
      </c>
      <c r="R452" s="117">
        <v>0</v>
      </c>
      <c r="S452" s="119">
        <v>0</v>
      </c>
      <c r="T452" s="119">
        <v>0</v>
      </c>
      <c r="U452" s="119">
        <v>0</v>
      </c>
      <c r="V452" s="119" t="str">
        <f t="shared" si="31"/>
        <v xml:space="preserve"> </v>
      </c>
    </row>
    <row r="453" spans="1:22" hidden="1">
      <c r="A453" s="450" t="s">
        <v>99</v>
      </c>
      <c r="B453" s="114">
        <f>_xlfn.IFNA(VLOOKUP(Table1[[#This Row],[SKU]],'Kilter Holds'!$P$36:$S$370,4,0),0)</f>
        <v>0</v>
      </c>
      <c r="C453" s="115">
        <v>6</v>
      </c>
      <c r="D453" s="118">
        <v>0</v>
      </c>
      <c r="E453" s="118">
        <v>0</v>
      </c>
      <c r="F453" s="118">
        <v>0</v>
      </c>
      <c r="G453" s="118">
        <v>0</v>
      </c>
      <c r="H453" s="118">
        <v>0</v>
      </c>
      <c r="I453" s="118">
        <v>0</v>
      </c>
      <c r="J453" s="118">
        <v>0</v>
      </c>
      <c r="K453" s="118">
        <v>0</v>
      </c>
      <c r="L453" s="123">
        <v>0</v>
      </c>
      <c r="M453" s="118">
        <v>0</v>
      </c>
      <c r="N453" s="118">
        <v>0</v>
      </c>
      <c r="O453" s="118">
        <v>0</v>
      </c>
      <c r="P453" s="118">
        <v>0</v>
      </c>
      <c r="Q453" s="117">
        <f>IFERROR(24*B453,0)</f>
        <v>0</v>
      </c>
      <c r="R453" s="119">
        <v>0</v>
      </c>
      <c r="S453" s="119">
        <v>0</v>
      </c>
      <c r="T453" s="119">
        <v>0</v>
      </c>
      <c r="U453" s="119">
        <v>0</v>
      </c>
      <c r="V453" s="119" t="str">
        <f t="shared" si="31"/>
        <v xml:space="preserve"> </v>
      </c>
    </row>
    <row r="454" spans="1:22" hidden="1">
      <c r="A454" s="450" t="s">
        <v>940</v>
      </c>
      <c r="B454" s="114">
        <f>_xlfn.IFNA(VLOOKUP(Table1[[#This Row],[SKU]],'Kilter Holds'!$P$36:$S$370,4,0),0)</f>
        <v>0</v>
      </c>
      <c r="C454" s="115">
        <v>12</v>
      </c>
      <c r="D454" s="118">
        <v>0</v>
      </c>
      <c r="E454" s="118">
        <v>0</v>
      </c>
      <c r="F454" s="118">
        <v>0</v>
      </c>
      <c r="G454" s="118">
        <f>IFERROR(2*B454,0)</f>
        <v>0</v>
      </c>
      <c r="H454" s="118">
        <f>IFERROR(1*B454,0)</f>
        <v>0</v>
      </c>
      <c r="I454" s="118">
        <v>0</v>
      </c>
      <c r="J454" s="118">
        <v>0</v>
      </c>
      <c r="K454" s="118">
        <v>0</v>
      </c>
      <c r="L454" s="123">
        <v>0</v>
      </c>
      <c r="M454" s="118">
        <v>0</v>
      </c>
      <c r="N454" s="118">
        <v>0</v>
      </c>
      <c r="O454" s="118">
        <v>0</v>
      </c>
      <c r="P454" s="118">
        <v>0</v>
      </c>
      <c r="Q454" s="117">
        <f>IFERROR(30*B454,0)</f>
        <v>0</v>
      </c>
      <c r="R454" s="119">
        <f>IFERROR(5*B454,0)</f>
        <v>0</v>
      </c>
      <c r="S454" s="119">
        <f>IFERROR(1*B454,0)</f>
        <v>0</v>
      </c>
      <c r="T454" s="119">
        <v>0</v>
      </c>
      <c r="U454" s="119">
        <v>0</v>
      </c>
      <c r="V454" s="119" t="str">
        <f t="shared" si="31"/>
        <v xml:space="preserve"> </v>
      </c>
    </row>
    <row r="455" spans="1:22" hidden="1">
      <c r="A455" s="450" t="s">
        <v>947</v>
      </c>
      <c r="B455" s="114">
        <f>_xlfn.IFNA(VLOOKUP(Table1[[#This Row],[SKU]],'Kilter Holds'!$P$36:$S$370,4,0),0)</f>
        <v>0</v>
      </c>
      <c r="C455" s="115">
        <v>14</v>
      </c>
      <c r="D455" s="118">
        <v>0</v>
      </c>
      <c r="E455" s="118">
        <v>0</v>
      </c>
      <c r="F455" s="118">
        <f>IFERROR(2*B455,0)</f>
        <v>0</v>
      </c>
      <c r="G455" s="118">
        <f>IFERROR(1*B455,0)</f>
        <v>0</v>
      </c>
      <c r="H455" s="118">
        <f>IFERROR(2*B455,0)</f>
        <v>0</v>
      </c>
      <c r="I455" s="118">
        <v>0</v>
      </c>
      <c r="J455" s="118">
        <v>0</v>
      </c>
      <c r="K455" s="118">
        <v>0</v>
      </c>
      <c r="L455" s="123">
        <v>0</v>
      </c>
      <c r="M455" s="118">
        <v>0</v>
      </c>
      <c r="N455" s="118">
        <v>0</v>
      </c>
      <c r="O455" s="118">
        <v>0</v>
      </c>
      <c r="P455" s="118">
        <v>0</v>
      </c>
      <c r="Q455" s="117">
        <f>IFERROR(32*B455,0)</f>
        <v>0</v>
      </c>
      <c r="R455" s="119">
        <f>IFERROR(4*B455,0)</f>
        <v>0</v>
      </c>
      <c r="S455" s="119">
        <v>0</v>
      </c>
      <c r="T455" s="119">
        <v>0</v>
      </c>
      <c r="U455" s="119">
        <v>0</v>
      </c>
      <c r="V455" s="119" t="str">
        <f t="shared" si="31"/>
        <v xml:space="preserve"> </v>
      </c>
    </row>
    <row r="456" spans="1:22" hidden="1">
      <c r="A456" s="450" t="s">
        <v>1218</v>
      </c>
      <c r="B456" s="114">
        <f>_xlfn.IFNA(VLOOKUP(Table1[[#This Row],[SKU]],'Kilter Holds'!$P$36:$S$370,4,0),0)</f>
        <v>0</v>
      </c>
      <c r="C456" s="115">
        <v>14</v>
      </c>
      <c r="D456" s="118">
        <v>0</v>
      </c>
      <c r="E456" s="118">
        <f>IFERROR(4*B456,0)</f>
        <v>0</v>
      </c>
      <c r="F456" s="118">
        <v>0</v>
      </c>
      <c r="G456" s="118">
        <v>0</v>
      </c>
      <c r="H456" s="118">
        <v>0</v>
      </c>
      <c r="I456" s="118">
        <v>0</v>
      </c>
      <c r="J456" s="118">
        <v>0</v>
      </c>
      <c r="K456" s="118">
        <v>0</v>
      </c>
      <c r="L456" s="123">
        <v>0</v>
      </c>
      <c r="M456" s="118">
        <v>0</v>
      </c>
      <c r="N456" s="118">
        <v>0</v>
      </c>
      <c r="O456" s="118">
        <v>0</v>
      </c>
      <c r="P456" s="118">
        <v>0</v>
      </c>
      <c r="Q456" s="117">
        <f>IFERROR(28*B456,0)</f>
        <v>0</v>
      </c>
      <c r="R456" s="119">
        <f>IFERROR(4*B456,0)</f>
        <v>0</v>
      </c>
      <c r="S456" s="119">
        <v>0</v>
      </c>
      <c r="T456" s="119">
        <v>0</v>
      </c>
      <c r="U456" s="119">
        <v>0</v>
      </c>
      <c r="V456" s="119" t="str">
        <f t="shared" si="31"/>
        <v xml:space="preserve"> </v>
      </c>
    </row>
    <row r="457" spans="1:22" hidden="1">
      <c r="A457" s="457" t="s">
        <v>1208</v>
      </c>
      <c r="B457" s="114">
        <f>_xlfn.IFNA(VLOOKUP(Table1[[#This Row],[SKU]],'Kilter Holds'!$P$36:$S$370,4,0),0)</f>
        <v>0</v>
      </c>
      <c r="C457" s="115">
        <v>20</v>
      </c>
      <c r="D457" s="117">
        <f>IFERROR(20*B457,0)</f>
        <v>0</v>
      </c>
      <c r="E457" s="117">
        <v>0</v>
      </c>
      <c r="F457" s="117">
        <v>0</v>
      </c>
      <c r="G457" s="117">
        <v>0</v>
      </c>
      <c r="H457" s="118">
        <v>0</v>
      </c>
      <c r="I457" s="118">
        <v>0</v>
      </c>
      <c r="J457" s="118">
        <v>0</v>
      </c>
      <c r="K457" s="118">
        <v>0</v>
      </c>
      <c r="L457" s="123">
        <v>0</v>
      </c>
      <c r="M457" s="118">
        <v>0</v>
      </c>
      <c r="N457" s="118">
        <v>0</v>
      </c>
      <c r="O457" s="118">
        <v>0</v>
      </c>
      <c r="P457" s="118">
        <v>0</v>
      </c>
      <c r="Q457" s="118">
        <v>0</v>
      </c>
      <c r="R457" s="118">
        <v>0</v>
      </c>
      <c r="S457" s="119">
        <v>0</v>
      </c>
      <c r="T457" s="119">
        <v>0</v>
      </c>
      <c r="U457" s="119">
        <v>0</v>
      </c>
      <c r="V457" s="119" t="str">
        <f t="shared" si="31"/>
        <v xml:space="preserve"> </v>
      </c>
    </row>
    <row r="458" spans="1:22" hidden="1">
      <c r="A458" s="457" t="s">
        <v>1221</v>
      </c>
      <c r="B458" s="114">
        <f>_xlfn.IFNA(VLOOKUP(Table1[[#This Row],[SKU]],'Kilter Holds'!$P$36:$S$370,4,0),0)</f>
        <v>0</v>
      </c>
      <c r="C458" s="115">
        <v>19</v>
      </c>
      <c r="D458" s="117">
        <f>IFERROR(19*B458,0)</f>
        <v>0</v>
      </c>
      <c r="E458" s="117">
        <v>0</v>
      </c>
      <c r="F458" s="117">
        <v>0</v>
      </c>
      <c r="G458" s="117">
        <v>0</v>
      </c>
      <c r="H458" s="118">
        <v>0</v>
      </c>
      <c r="I458" s="118">
        <v>0</v>
      </c>
      <c r="J458" s="118">
        <v>0</v>
      </c>
      <c r="K458" s="118">
        <v>0</v>
      </c>
      <c r="L458" s="123">
        <v>0</v>
      </c>
      <c r="M458" s="118">
        <v>0</v>
      </c>
      <c r="N458" s="118">
        <v>0</v>
      </c>
      <c r="O458" s="118">
        <v>0</v>
      </c>
      <c r="P458" s="118">
        <v>0</v>
      </c>
      <c r="Q458" s="118">
        <v>0</v>
      </c>
      <c r="R458" s="118">
        <v>0</v>
      </c>
      <c r="S458" s="119">
        <v>0</v>
      </c>
      <c r="T458" s="119">
        <v>0</v>
      </c>
      <c r="U458" s="119">
        <v>0</v>
      </c>
      <c r="V458" s="119" t="str">
        <f t="shared" si="31"/>
        <v xml:space="preserve"> </v>
      </c>
    </row>
    <row r="459" spans="1:22" hidden="1">
      <c r="A459" s="457" t="s">
        <v>1209</v>
      </c>
      <c r="B459" s="114">
        <f>_xlfn.IFNA(VLOOKUP(Table1[[#This Row],[SKU]],'Kilter Holds'!$P$36:$S$370,4,0),0)</f>
        <v>0</v>
      </c>
      <c r="C459" s="115">
        <v>19</v>
      </c>
      <c r="D459" s="117">
        <v>0</v>
      </c>
      <c r="E459" s="117">
        <v>0</v>
      </c>
      <c r="F459" s="117">
        <v>0</v>
      </c>
      <c r="G459" s="117">
        <v>0</v>
      </c>
      <c r="H459" s="118">
        <v>0</v>
      </c>
      <c r="I459" s="118">
        <v>0</v>
      </c>
      <c r="J459" s="118">
        <v>0</v>
      </c>
      <c r="K459" s="118">
        <v>0</v>
      </c>
      <c r="L459" s="123">
        <v>0</v>
      </c>
      <c r="M459" s="118">
        <v>0</v>
      </c>
      <c r="N459" s="118">
        <v>0</v>
      </c>
      <c r="O459" s="118">
        <v>0</v>
      </c>
      <c r="P459" s="118">
        <v>0</v>
      </c>
      <c r="Q459" s="118">
        <f>IFERROR(38*B459,0)</f>
        <v>0</v>
      </c>
      <c r="R459" s="118">
        <v>0</v>
      </c>
      <c r="S459" s="119">
        <v>0</v>
      </c>
      <c r="T459" s="119">
        <v>0</v>
      </c>
      <c r="U459" s="119">
        <v>0</v>
      </c>
      <c r="V459" s="119" t="str">
        <f t="shared" si="31"/>
        <v xml:space="preserve"> </v>
      </c>
    </row>
    <row r="460" spans="1:22" hidden="1">
      <c r="A460" s="457" t="s">
        <v>1210</v>
      </c>
      <c r="B460" s="114">
        <f>_xlfn.IFNA(VLOOKUP(Table1[[#This Row],[SKU]],'Kilter Holds'!$P$36:$S$370,4,0),0)</f>
        <v>0</v>
      </c>
      <c r="C460" s="115">
        <v>10</v>
      </c>
      <c r="D460" s="117">
        <f>IFERROR(10*B460,0)</f>
        <v>0</v>
      </c>
      <c r="E460" s="117">
        <v>0</v>
      </c>
      <c r="F460" s="117">
        <v>0</v>
      </c>
      <c r="G460" s="117">
        <v>0</v>
      </c>
      <c r="H460" s="118">
        <v>0</v>
      </c>
      <c r="I460" s="118">
        <v>0</v>
      </c>
      <c r="J460" s="118">
        <v>0</v>
      </c>
      <c r="K460" s="118">
        <v>0</v>
      </c>
      <c r="L460" s="123">
        <v>0</v>
      </c>
      <c r="M460" s="118">
        <v>0</v>
      </c>
      <c r="N460" s="118">
        <v>0</v>
      </c>
      <c r="O460" s="118">
        <v>0</v>
      </c>
      <c r="P460" s="118">
        <v>0</v>
      </c>
      <c r="Q460" s="118">
        <v>0</v>
      </c>
      <c r="R460" s="118">
        <v>0</v>
      </c>
      <c r="S460" s="119">
        <v>0</v>
      </c>
      <c r="T460" s="119">
        <v>0</v>
      </c>
      <c r="U460" s="119">
        <v>0</v>
      </c>
      <c r="V460" s="119" t="str">
        <f t="shared" si="31"/>
        <v xml:space="preserve"> </v>
      </c>
    </row>
    <row r="461" spans="1:22" hidden="1">
      <c r="A461" s="457" t="s">
        <v>1211</v>
      </c>
      <c r="B461" s="114">
        <f>_xlfn.IFNA(VLOOKUP(Table1[[#This Row],[SKU]],'Kilter Holds'!$P$36:$S$370,4,0),0)</f>
        <v>0</v>
      </c>
      <c r="C461" s="115">
        <v>10</v>
      </c>
      <c r="D461" s="117">
        <f>IFERROR(5*B461,0)</f>
        <v>0</v>
      </c>
      <c r="E461" s="117">
        <v>0</v>
      </c>
      <c r="F461" s="117">
        <v>0</v>
      </c>
      <c r="G461" s="117">
        <v>0</v>
      </c>
      <c r="H461" s="118">
        <v>0</v>
      </c>
      <c r="I461" s="118">
        <v>0</v>
      </c>
      <c r="J461" s="118">
        <v>0</v>
      </c>
      <c r="K461" s="118">
        <v>0</v>
      </c>
      <c r="L461" s="123">
        <v>0</v>
      </c>
      <c r="M461" s="118">
        <v>0</v>
      </c>
      <c r="N461" s="118">
        <v>0</v>
      </c>
      <c r="O461" s="118">
        <v>0</v>
      </c>
      <c r="P461" s="118">
        <v>0</v>
      </c>
      <c r="Q461" s="118">
        <f>IFERROR(15*B461,0)</f>
        <v>0</v>
      </c>
      <c r="R461" s="118">
        <v>0</v>
      </c>
      <c r="S461" s="119">
        <v>0</v>
      </c>
      <c r="T461" s="119">
        <v>0</v>
      </c>
      <c r="U461" s="119">
        <v>0</v>
      </c>
      <c r="V461" s="119" t="str">
        <f t="shared" si="31"/>
        <v xml:space="preserve"> </v>
      </c>
    </row>
    <row r="462" spans="1:22" hidden="1">
      <c r="A462" s="600" t="s">
        <v>2170</v>
      </c>
      <c r="B462" s="114">
        <f>_xlfn.IFNA(VLOOKUP(Table1[[#This Row],[SKU]],'Kilter Holds'!$P$36:$S$370,4,0),0)</f>
        <v>0</v>
      </c>
      <c r="C462" s="115">
        <v>40</v>
      </c>
      <c r="D462" s="117">
        <f>Table1[[#This Row],[Quantity of Sets]]*23</f>
        <v>0</v>
      </c>
      <c r="E462" s="117">
        <f>17*Table1[[#This Row],[Quantity of Sets]]</f>
        <v>0</v>
      </c>
      <c r="F462" s="117">
        <v>0</v>
      </c>
      <c r="G462" s="117">
        <v>0</v>
      </c>
      <c r="H462" s="118">
        <v>0</v>
      </c>
      <c r="I462" s="118">
        <v>0</v>
      </c>
      <c r="J462" s="118">
        <v>0</v>
      </c>
      <c r="K462" s="118">
        <v>0</v>
      </c>
      <c r="L462" s="123">
        <v>0</v>
      </c>
      <c r="M462" s="118">
        <v>0</v>
      </c>
      <c r="N462" s="118">
        <v>0</v>
      </c>
      <c r="O462" s="118">
        <v>0</v>
      </c>
      <c r="P462" s="118">
        <v>0</v>
      </c>
      <c r="Q462" s="118">
        <v>0</v>
      </c>
      <c r="R462" s="118">
        <v>0</v>
      </c>
      <c r="S462" s="119">
        <v>0</v>
      </c>
      <c r="T462" s="119">
        <v>0</v>
      </c>
      <c r="U462" s="119">
        <v>0</v>
      </c>
      <c r="V462" s="119" t="str">
        <f t="shared" ref="V462:V467" si="32">IF(B462&gt;0,"Added"," ")</f>
        <v xml:space="preserve"> </v>
      </c>
    </row>
    <row r="463" spans="1:22" hidden="1">
      <c r="A463" s="600" t="s">
        <v>2171</v>
      </c>
      <c r="B463" s="114">
        <f>_xlfn.IFNA(VLOOKUP(Table1[[#This Row],[SKU]],'Kilter Holds'!$P$36:$S$370,4,0),0)</f>
        <v>0</v>
      </c>
      <c r="C463" s="115">
        <v>40</v>
      </c>
      <c r="D463" s="117">
        <f>37*Table1[[#This Row],[Quantity of Sets]]</f>
        <v>0</v>
      </c>
      <c r="E463" s="117">
        <f>3*Table1[[#This Row],[Quantity of Sets]]</f>
        <v>0</v>
      </c>
      <c r="F463" s="117">
        <v>0</v>
      </c>
      <c r="G463" s="117">
        <v>0</v>
      </c>
      <c r="H463" s="118">
        <v>0</v>
      </c>
      <c r="I463" s="118">
        <v>0</v>
      </c>
      <c r="J463" s="118">
        <v>0</v>
      </c>
      <c r="K463" s="118">
        <v>0</v>
      </c>
      <c r="L463" s="123">
        <v>0</v>
      </c>
      <c r="M463" s="118">
        <v>0</v>
      </c>
      <c r="N463" s="118">
        <v>0</v>
      </c>
      <c r="O463" s="118">
        <v>0</v>
      </c>
      <c r="P463" s="118">
        <v>0</v>
      </c>
      <c r="Q463" s="118">
        <v>0</v>
      </c>
      <c r="R463" s="118">
        <v>0</v>
      </c>
      <c r="S463" s="119">
        <v>0</v>
      </c>
      <c r="T463" s="119">
        <v>0</v>
      </c>
      <c r="U463" s="119">
        <v>0</v>
      </c>
      <c r="V463" s="119" t="str">
        <f t="shared" si="32"/>
        <v xml:space="preserve"> </v>
      </c>
    </row>
    <row r="464" spans="1:22" hidden="1">
      <c r="A464" s="600" t="s">
        <v>2172</v>
      </c>
      <c r="B464" s="114">
        <f>_xlfn.IFNA(VLOOKUP(Table1[[#This Row],[SKU]],'Kilter Holds'!$P$36:$S$370,4,0),0)</f>
        <v>0</v>
      </c>
      <c r="C464" s="115">
        <v>40</v>
      </c>
      <c r="D464" s="117">
        <f>20*Table1[[#This Row],[Quantity of Sets]]</f>
        <v>0</v>
      </c>
      <c r="E464" s="117">
        <f>12*Table1[[#This Row],[Quantity of Sets]]</f>
        <v>0</v>
      </c>
      <c r="F464" s="117">
        <f>3*Table1[[#This Row],[Quantity of Sets]]</f>
        <v>0</v>
      </c>
      <c r="G464" s="117">
        <f>5*Table1[[#This Row],[Quantity of Sets]]</f>
        <v>0</v>
      </c>
      <c r="H464" s="118">
        <v>0</v>
      </c>
      <c r="I464" s="118">
        <v>0</v>
      </c>
      <c r="J464" s="118">
        <v>0</v>
      </c>
      <c r="K464" s="118">
        <v>0</v>
      </c>
      <c r="L464" s="123">
        <v>0</v>
      </c>
      <c r="M464" s="118">
        <v>0</v>
      </c>
      <c r="N464" s="118">
        <v>0</v>
      </c>
      <c r="O464" s="118">
        <v>0</v>
      </c>
      <c r="P464" s="118">
        <v>0</v>
      </c>
      <c r="Q464" s="118">
        <v>0</v>
      </c>
      <c r="R464" s="118">
        <v>0</v>
      </c>
      <c r="S464" s="119">
        <v>0</v>
      </c>
      <c r="T464" s="119">
        <v>0</v>
      </c>
      <c r="U464" s="119">
        <v>0</v>
      </c>
      <c r="V464" s="119" t="str">
        <f t="shared" si="32"/>
        <v xml:space="preserve"> </v>
      </c>
    </row>
    <row r="465" spans="1:22" hidden="1">
      <c r="A465" s="600" t="s">
        <v>2173</v>
      </c>
      <c r="B465" s="114">
        <f>_xlfn.IFNA(VLOOKUP(Table1[[#This Row],[SKU]],'Kilter Holds'!$P$36:$S$370,4,0),0)</f>
        <v>0</v>
      </c>
      <c r="C465" s="115">
        <v>40</v>
      </c>
      <c r="D465" s="117">
        <f>40*Table1[[#This Row],[Quantity of Sets]]</f>
        <v>0</v>
      </c>
      <c r="E465" s="117">
        <v>0</v>
      </c>
      <c r="F465" s="117">
        <v>0</v>
      </c>
      <c r="G465" s="117">
        <v>0</v>
      </c>
      <c r="H465" s="118">
        <v>0</v>
      </c>
      <c r="I465" s="118">
        <v>0</v>
      </c>
      <c r="J465" s="118">
        <v>0</v>
      </c>
      <c r="K465" s="118">
        <v>0</v>
      </c>
      <c r="L465" s="123">
        <v>0</v>
      </c>
      <c r="M465" s="118">
        <v>0</v>
      </c>
      <c r="N465" s="118">
        <v>0</v>
      </c>
      <c r="O465" s="118">
        <v>0</v>
      </c>
      <c r="P465" s="118">
        <v>0</v>
      </c>
      <c r="Q465" s="118">
        <v>0</v>
      </c>
      <c r="R465" s="118">
        <v>0</v>
      </c>
      <c r="S465" s="119">
        <v>0</v>
      </c>
      <c r="T465" s="119">
        <v>0</v>
      </c>
      <c r="U465" s="119">
        <v>0</v>
      </c>
      <c r="V465" s="119" t="str">
        <f t="shared" si="32"/>
        <v xml:space="preserve"> </v>
      </c>
    </row>
    <row r="466" spans="1:22" hidden="1">
      <c r="A466" s="600" t="s">
        <v>2207</v>
      </c>
      <c r="B466" s="114">
        <f>_xlfn.IFNA(VLOOKUP(Table1[[#This Row],[SKU]],'Kilter Holds'!$P$36:$S$370,4,0),0)</f>
        <v>0</v>
      </c>
      <c r="C466" s="115">
        <v>40</v>
      </c>
      <c r="D466" s="117">
        <f>40*Table1[[#This Row],[Quantity of Sets]]</f>
        <v>0</v>
      </c>
      <c r="E466" s="117">
        <v>0</v>
      </c>
      <c r="F466" s="117">
        <v>0</v>
      </c>
      <c r="G466" s="117">
        <v>0</v>
      </c>
      <c r="H466" s="118">
        <v>0</v>
      </c>
      <c r="I466" s="118">
        <v>0</v>
      </c>
      <c r="J466" s="118">
        <v>0</v>
      </c>
      <c r="K466" s="118">
        <v>0</v>
      </c>
      <c r="L466" s="123">
        <v>0</v>
      </c>
      <c r="M466" s="118">
        <v>0</v>
      </c>
      <c r="N466" s="118">
        <v>0</v>
      </c>
      <c r="O466" s="118">
        <v>0</v>
      </c>
      <c r="P466" s="118">
        <v>0</v>
      </c>
      <c r="Q466" s="118">
        <v>0</v>
      </c>
      <c r="R466" s="118">
        <v>0</v>
      </c>
      <c r="S466" s="119">
        <v>0</v>
      </c>
      <c r="T466" s="119">
        <v>0</v>
      </c>
      <c r="U466" s="119">
        <v>0</v>
      </c>
      <c r="V466" s="119" t="str">
        <f t="shared" si="32"/>
        <v xml:space="preserve"> </v>
      </c>
    </row>
    <row r="467" spans="1:22" hidden="1">
      <c r="A467" s="600" t="s">
        <v>2251</v>
      </c>
      <c r="B467" s="114">
        <f>_xlfn.IFNA(VLOOKUP(Table1[[#This Row],[SKU]],'Kilter Holds'!$P$36:$S$370,4,0),0)</f>
        <v>0</v>
      </c>
      <c r="C467" s="115">
        <v>40</v>
      </c>
      <c r="D467" s="117">
        <f>40*Table1[[#This Row],[Quantity of Sets]]</f>
        <v>0</v>
      </c>
      <c r="E467" s="117">
        <v>0</v>
      </c>
      <c r="F467" s="117">
        <v>0</v>
      </c>
      <c r="G467" s="117">
        <v>0</v>
      </c>
      <c r="H467" s="118">
        <v>0</v>
      </c>
      <c r="I467" s="118">
        <v>0</v>
      </c>
      <c r="J467" s="118">
        <v>0</v>
      </c>
      <c r="K467" s="118">
        <v>0</v>
      </c>
      <c r="L467" s="123">
        <v>0</v>
      </c>
      <c r="M467" s="118">
        <v>0</v>
      </c>
      <c r="N467" s="118">
        <v>0</v>
      </c>
      <c r="O467" s="118">
        <v>0</v>
      </c>
      <c r="P467" s="118">
        <v>0</v>
      </c>
      <c r="Q467" s="118">
        <v>0</v>
      </c>
      <c r="R467" s="118">
        <v>0</v>
      </c>
      <c r="S467" s="119">
        <v>0</v>
      </c>
      <c r="T467" s="119">
        <v>0</v>
      </c>
      <c r="U467" s="119">
        <v>0</v>
      </c>
      <c r="V467" s="119" t="str">
        <f t="shared" si="32"/>
        <v xml:space="preserve"> </v>
      </c>
    </row>
    <row r="468" spans="1:22" hidden="1">
      <c r="A468" s="457" t="s">
        <v>1212</v>
      </c>
      <c r="B468" s="114">
        <f>_xlfn.IFNA(VLOOKUP(Table1[[#This Row],[SKU]],'Kilter Holds'!$P$36:$S$370,4,0),0)</f>
        <v>0</v>
      </c>
      <c r="C468" s="115">
        <v>16</v>
      </c>
      <c r="D468" s="117">
        <f>IFERROR(6*B468,0)</f>
        <v>0</v>
      </c>
      <c r="E468" s="117">
        <v>0</v>
      </c>
      <c r="F468" s="117">
        <v>0</v>
      </c>
      <c r="G468" s="117">
        <v>0</v>
      </c>
      <c r="H468" s="118">
        <v>0</v>
      </c>
      <c r="I468" s="118">
        <v>0</v>
      </c>
      <c r="J468" s="118">
        <v>0</v>
      </c>
      <c r="K468" s="118">
        <v>0</v>
      </c>
      <c r="L468" s="123">
        <v>0</v>
      </c>
      <c r="M468" s="118">
        <v>0</v>
      </c>
      <c r="N468" s="118">
        <v>0</v>
      </c>
      <c r="O468" s="118">
        <v>0</v>
      </c>
      <c r="P468" s="118">
        <v>0</v>
      </c>
      <c r="Q468" s="118">
        <f>IFERROR(33*B468,0)</f>
        <v>0</v>
      </c>
      <c r="R468" s="118">
        <f>IFERROR(3*B468,0)</f>
        <v>0</v>
      </c>
      <c r="S468" s="119">
        <v>0</v>
      </c>
      <c r="T468" s="119">
        <v>0</v>
      </c>
      <c r="U468" s="119">
        <v>0</v>
      </c>
      <c r="V468" s="119" t="str">
        <f t="shared" si="31"/>
        <v xml:space="preserve"> </v>
      </c>
    </row>
    <row r="469" spans="1:22" hidden="1">
      <c r="A469" s="457" t="s">
        <v>1213</v>
      </c>
      <c r="B469" s="114">
        <f>_xlfn.IFNA(VLOOKUP(Table1[[#This Row],[SKU]],'Kilter Holds'!$P$36:$S$370,4,0),0)</f>
        <v>0</v>
      </c>
      <c r="C469" s="115">
        <v>20</v>
      </c>
      <c r="D469" s="117">
        <v>0</v>
      </c>
      <c r="E469" s="117">
        <v>0</v>
      </c>
      <c r="F469" s="117">
        <v>0</v>
      </c>
      <c r="G469" s="117">
        <v>0</v>
      </c>
      <c r="H469" s="118">
        <v>0</v>
      </c>
      <c r="I469" s="118">
        <v>0</v>
      </c>
      <c r="J469" s="118">
        <v>0</v>
      </c>
      <c r="K469" s="118">
        <v>0</v>
      </c>
      <c r="L469" s="123">
        <v>0</v>
      </c>
      <c r="M469" s="118">
        <v>0</v>
      </c>
      <c r="N469" s="118">
        <v>0</v>
      </c>
      <c r="O469" s="118">
        <v>0</v>
      </c>
      <c r="P469" s="118">
        <v>0</v>
      </c>
      <c r="Q469" s="118">
        <f>IFERROR(60*B469,0)</f>
        <v>0</v>
      </c>
      <c r="R469" s="118">
        <v>0</v>
      </c>
      <c r="S469" s="119">
        <v>0</v>
      </c>
      <c r="T469" s="119">
        <v>0</v>
      </c>
      <c r="U469" s="119">
        <v>0</v>
      </c>
      <c r="V469" s="119" t="str">
        <f t="shared" si="31"/>
        <v xml:space="preserve"> </v>
      </c>
    </row>
    <row r="470" spans="1:22" hidden="1">
      <c r="A470" s="456" t="s">
        <v>1072</v>
      </c>
      <c r="B470" s="114">
        <f>_xlfn.IFNA(VLOOKUP(Table1[[#This Row],[SKU]],'Kilter Holds'!$P$36:$S$370,4,0),0)</f>
        <v>0</v>
      </c>
      <c r="C470" s="115">
        <v>6</v>
      </c>
      <c r="D470" s="118">
        <v>0</v>
      </c>
      <c r="E470" s="118">
        <v>0</v>
      </c>
      <c r="F470" s="118">
        <v>0</v>
      </c>
      <c r="G470" s="118">
        <v>0</v>
      </c>
      <c r="H470" s="118">
        <v>0</v>
      </c>
      <c r="I470" s="118">
        <v>0</v>
      </c>
      <c r="J470" s="118">
        <v>0</v>
      </c>
      <c r="K470" s="118">
        <v>0</v>
      </c>
      <c r="L470" s="123">
        <v>0</v>
      </c>
      <c r="M470" s="118">
        <v>0</v>
      </c>
      <c r="N470" s="118">
        <v>0</v>
      </c>
      <c r="O470" s="118">
        <v>0</v>
      </c>
      <c r="P470" s="118">
        <v>0</v>
      </c>
      <c r="Q470" s="117">
        <f>IFERROR(24*B470,0)</f>
        <v>0</v>
      </c>
      <c r="R470" s="119">
        <v>0</v>
      </c>
      <c r="S470" s="119">
        <v>0</v>
      </c>
      <c r="T470" s="119">
        <v>0</v>
      </c>
      <c r="U470" s="119">
        <v>0</v>
      </c>
      <c r="V470" s="119" t="str">
        <f t="shared" si="31"/>
        <v xml:space="preserve"> </v>
      </c>
    </row>
    <row r="471" spans="1:22" hidden="1">
      <c r="A471" s="456" t="s">
        <v>1214</v>
      </c>
      <c r="B471" s="114">
        <f>_xlfn.IFNA(VLOOKUP(Table1[[#This Row],[SKU]],'Kilter Holds'!$P$36:$S$370,4,0),0)</f>
        <v>0</v>
      </c>
      <c r="C471" s="115">
        <v>20</v>
      </c>
      <c r="D471" s="117">
        <f>IFERROR(10*B471,0)</f>
        <v>0</v>
      </c>
      <c r="E471" s="117">
        <v>0</v>
      </c>
      <c r="F471" s="117">
        <v>0</v>
      </c>
      <c r="G471" s="117">
        <v>0</v>
      </c>
      <c r="H471" s="118">
        <v>0</v>
      </c>
      <c r="I471" s="118">
        <v>0</v>
      </c>
      <c r="J471" s="118">
        <v>0</v>
      </c>
      <c r="K471" s="118">
        <v>0</v>
      </c>
      <c r="L471" s="123">
        <v>0</v>
      </c>
      <c r="M471" s="118">
        <v>0</v>
      </c>
      <c r="N471" s="118">
        <v>0</v>
      </c>
      <c r="O471" s="118">
        <v>0</v>
      </c>
      <c r="P471" s="118">
        <v>0</v>
      </c>
      <c r="Q471" s="118">
        <f>IFERROR(35*B471,0)</f>
        <v>0</v>
      </c>
      <c r="R471" s="118">
        <v>0</v>
      </c>
      <c r="S471" s="119">
        <v>0</v>
      </c>
      <c r="T471" s="119">
        <v>0</v>
      </c>
      <c r="U471" s="119">
        <v>0</v>
      </c>
      <c r="V471" s="119" t="str">
        <f t="shared" si="31"/>
        <v xml:space="preserve"> </v>
      </c>
    </row>
    <row r="472" spans="1:22" hidden="1">
      <c r="A472" s="456" t="s">
        <v>1215</v>
      </c>
      <c r="B472" s="114">
        <f>_xlfn.IFNA(VLOOKUP(Table1[[#This Row],[SKU]],'Kilter Holds'!$P$36:$S$370,4,0),0)</f>
        <v>0</v>
      </c>
      <c r="C472" s="115">
        <v>19</v>
      </c>
      <c r="D472" s="117">
        <f>IFERROR(19*B472,0)</f>
        <v>0</v>
      </c>
      <c r="E472" s="117">
        <v>0</v>
      </c>
      <c r="F472" s="117">
        <v>0</v>
      </c>
      <c r="G472" s="117">
        <v>0</v>
      </c>
      <c r="H472" s="118">
        <v>0</v>
      </c>
      <c r="I472" s="118">
        <v>0</v>
      </c>
      <c r="J472" s="118">
        <v>0</v>
      </c>
      <c r="K472" s="118">
        <v>0</v>
      </c>
      <c r="L472" s="123">
        <v>0</v>
      </c>
      <c r="M472" s="118">
        <v>0</v>
      </c>
      <c r="N472" s="118">
        <v>0</v>
      </c>
      <c r="O472" s="118">
        <v>0</v>
      </c>
      <c r="P472" s="118">
        <v>0</v>
      </c>
      <c r="Q472" s="118">
        <v>0</v>
      </c>
      <c r="R472" s="118">
        <v>0</v>
      </c>
      <c r="S472" s="119">
        <v>0</v>
      </c>
      <c r="T472" s="119">
        <v>0</v>
      </c>
      <c r="U472" s="119">
        <v>0</v>
      </c>
      <c r="V472" s="119" t="str">
        <f t="shared" si="31"/>
        <v xml:space="preserve"> </v>
      </c>
    </row>
    <row r="473" spans="1:22" hidden="1">
      <c r="A473" s="458" t="s">
        <v>1599</v>
      </c>
      <c r="B473" s="114">
        <f>_xlfn.IFNA(VLOOKUP(Table1[[#This Row],[SKU]],'Kilter Holds'!$P$36:$S$370,4,0),0)</f>
        <v>0</v>
      </c>
      <c r="C473" s="115">
        <v>3</v>
      </c>
      <c r="D473" s="117">
        <v>0</v>
      </c>
      <c r="E473" s="117">
        <v>0</v>
      </c>
      <c r="F473" s="117">
        <v>0</v>
      </c>
      <c r="G473" s="117">
        <f>IFERROR(3*B473,0)</f>
        <v>0</v>
      </c>
      <c r="H473" s="118">
        <v>0</v>
      </c>
      <c r="I473" s="118">
        <v>0</v>
      </c>
      <c r="J473" s="118">
        <v>0</v>
      </c>
      <c r="K473" s="118">
        <v>0</v>
      </c>
      <c r="L473" s="123">
        <v>0</v>
      </c>
      <c r="M473" s="118">
        <v>0</v>
      </c>
      <c r="N473" s="118">
        <v>0</v>
      </c>
      <c r="O473" s="118">
        <v>0</v>
      </c>
      <c r="P473" s="118">
        <v>0</v>
      </c>
      <c r="Q473" s="118">
        <v>0</v>
      </c>
      <c r="R473" s="118">
        <v>0</v>
      </c>
      <c r="S473" s="118">
        <v>0</v>
      </c>
      <c r="T473" s="119">
        <v>0</v>
      </c>
      <c r="U473" s="119">
        <v>0</v>
      </c>
      <c r="V473" s="119" t="str">
        <f t="shared" si="31"/>
        <v xml:space="preserve"> </v>
      </c>
    </row>
    <row r="474" spans="1:22" hidden="1">
      <c r="A474" s="458" t="s">
        <v>2012</v>
      </c>
      <c r="B474" s="114">
        <f>_xlfn.IFNA(VLOOKUP(Table1[[#This Row],[SKU]],'Kilter Holds'!$P$36:$S$370,4,0),0)</f>
        <v>0</v>
      </c>
      <c r="C474" s="115">
        <v>0</v>
      </c>
      <c r="D474" s="117">
        <v>0</v>
      </c>
      <c r="E474" s="117">
        <v>0</v>
      </c>
      <c r="F474" s="117">
        <v>0</v>
      </c>
      <c r="G474" s="117">
        <f>IFERROR(3*B474,0)</f>
        <v>0</v>
      </c>
      <c r="H474" s="118">
        <v>0</v>
      </c>
      <c r="I474" s="118">
        <v>0</v>
      </c>
      <c r="J474" s="118">
        <v>0</v>
      </c>
      <c r="K474" s="118">
        <v>0</v>
      </c>
      <c r="L474" s="123">
        <v>0</v>
      </c>
      <c r="M474" s="118">
        <v>0</v>
      </c>
      <c r="N474" s="118">
        <v>0</v>
      </c>
      <c r="O474" s="118">
        <v>0</v>
      </c>
      <c r="P474" s="118">
        <v>0</v>
      </c>
      <c r="Q474" s="118">
        <v>0</v>
      </c>
      <c r="R474" s="118">
        <v>0</v>
      </c>
      <c r="S474" s="118">
        <v>0</v>
      </c>
      <c r="T474" s="119">
        <v>0</v>
      </c>
      <c r="U474" s="119">
        <v>0</v>
      </c>
      <c r="V474" s="119" t="str">
        <f t="shared" si="31"/>
        <v xml:space="preserve"> </v>
      </c>
    </row>
    <row r="475" spans="1:22" hidden="1">
      <c r="A475" s="458" t="s">
        <v>1883</v>
      </c>
      <c r="B475" s="114">
        <f>_xlfn.IFNA(VLOOKUP(Table1[[#This Row],[SKU]],'Kilter Holds'!$P$36:$S$370,4,0),0)</f>
        <v>0</v>
      </c>
      <c r="C475" s="115">
        <v>3</v>
      </c>
      <c r="D475" s="117">
        <v>0</v>
      </c>
      <c r="E475" s="117">
        <f>IFERROR(1*B475,0)</f>
        <v>0</v>
      </c>
      <c r="F475" s="117">
        <f>IFERROR(2*B475,0)</f>
        <v>0</v>
      </c>
      <c r="G475" s="117">
        <v>0</v>
      </c>
      <c r="H475" s="118">
        <v>0</v>
      </c>
      <c r="I475" s="118">
        <v>0</v>
      </c>
      <c r="J475" s="118">
        <v>0</v>
      </c>
      <c r="K475" s="118">
        <v>0</v>
      </c>
      <c r="L475" s="123">
        <v>0</v>
      </c>
      <c r="M475" s="118">
        <v>0</v>
      </c>
      <c r="N475" s="118">
        <v>0</v>
      </c>
      <c r="O475" s="118">
        <v>0</v>
      </c>
      <c r="P475" s="118">
        <v>0</v>
      </c>
      <c r="Q475" s="118">
        <v>0</v>
      </c>
      <c r="R475" s="118">
        <v>0</v>
      </c>
      <c r="S475" s="118">
        <v>0</v>
      </c>
      <c r="T475" s="119">
        <v>0</v>
      </c>
      <c r="U475" s="119">
        <v>0</v>
      </c>
      <c r="V475" s="119" t="str">
        <f t="shared" si="31"/>
        <v xml:space="preserve"> </v>
      </c>
    </row>
    <row r="476" spans="1:22" hidden="1">
      <c r="A476" s="458" t="s">
        <v>1885</v>
      </c>
      <c r="B476" s="114">
        <f>_xlfn.IFNA(VLOOKUP(Table1[[#This Row],[SKU]],'Kilter Holds'!$P$36:$S$370,4,0),0)</f>
        <v>0</v>
      </c>
      <c r="C476" s="115">
        <v>3</v>
      </c>
      <c r="D476" s="117">
        <v>0</v>
      </c>
      <c r="E476" s="117">
        <v>0</v>
      </c>
      <c r="F476" s="117">
        <v>0</v>
      </c>
      <c r="G476" s="117">
        <v>0</v>
      </c>
      <c r="H476" s="118">
        <f>IFERROR(3*B476,0)</f>
        <v>0</v>
      </c>
      <c r="I476" s="118">
        <v>0</v>
      </c>
      <c r="J476" s="118">
        <v>0</v>
      </c>
      <c r="K476" s="118">
        <v>0</v>
      </c>
      <c r="L476" s="123">
        <v>0</v>
      </c>
      <c r="M476" s="118">
        <v>0</v>
      </c>
      <c r="N476" s="118">
        <v>0</v>
      </c>
      <c r="O476" s="118">
        <v>0</v>
      </c>
      <c r="P476" s="118">
        <v>0</v>
      </c>
      <c r="Q476" s="118">
        <v>0</v>
      </c>
      <c r="R476" s="118">
        <v>0</v>
      </c>
      <c r="S476" s="118">
        <v>0</v>
      </c>
      <c r="T476" s="119">
        <v>0</v>
      </c>
      <c r="U476" s="119">
        <v>0</v>
      </c>
      <c r="V476" s="119" t="str">
        <f t="shared" si="31"/>
        <v xml:space="preserve"> </v>
      </c>
    </row>
    <row r="477" spans="1:22" hidden="1">
      <c r="A477" s="458" t="s">
        <v>1887</v>
      </c>
      <c r="B477" s="114">
        <f>_xlfn.IFNA(VLOOKUP(Table1[[#This Row],[SKU]],'Kilter Holds'!$P$36:$S$370,4,0),0)</f>
        <v>0</v>
      </c>
      <c r="C477" s="115">
        <v>3</v>
      </c>
      <c r="D477" s="117">
        <v>0</v>
      </c>
      <c r="E477" s="117">
        <v>0</v>
      </c>
      <c r="F477" s="117">
        <v>0</v>
      </c>
      <c r="G477" s="117">
        <v>0</v>
      </c>
      <c r="H477" s="118">
        <v>0</v>
      </c>
      <c r="I477" s="118">
        <f>IFERROR(3*B477,0)</f>
        <v>0</v>
      </c>
      <c r="J477" s="118">
        <v>0</v>
      </c>
      <c r="K477" s="118">
        <v>0</v>
      </c>
      <c r="L477" s="123">
        <v>0</v>
      </c>
      <c r="M477" s="118">
        <v>0</v>
      </c>
      <c r="N477" s="118">
        <v>0</v>
      </c>
      <c r="O477" s="118">
        <v>0</v>
      </c>
      <c r="P477" s="118">
        <v>0</v>
      </c>
      <c r="Q477" s="118">
        <v>0</v>
      </c>
      <c r="R477" s="118">
        <v>0</v>
      </c>
      <c r="S477" s="118">
        <v>0</v>
      </c>
      <c r="T477" s="119">
        <v>0</v>
      </c>
      <c r="U477" s="119">
        <v>0</v>
      </c>
      <c r="V477" s="119" t="str">
        <f t="shared" si="31"/>
        <v xml:space="preserve"> </v>
      </c>
    </row>
    <row r="478" spans="1:22" hidden="1">
      <c r="A478" s="458" t="s">
        <v>2003</v>
      </c>
      <c r="B478" s="114">
        <f>_xlfn.IFNA(VLOOKUP(Table1[[#This Row],[SKU]],'Kilter Holds'!$P$36:$S$370,4,0),0)</f>
        <v>0</v>
      </c>
      <c r="C478" s="115">
        <v>2</v>
      </c>
      <c r="D478" s="117">
        <v>0</v>
      </c>
      <c r="E478" s="117">
        <v>0</v>
      </c>
      <c r="F478" s="117">
        <v>0</v>
      </c>
      <c r="G478" s="117">
        <f>IFERROR(3*B478,0)</f>
        <v>0</v>
      </c>
      <c r="H478" s="118">
        <v>0</v>
      </c>
      <c r="I478" s="118">
        <v>0</v>
      </c>
      <c r="J478" s="118">
        <v>0</v>
      </c>
      <c r="K478" s="118">
        <v>0</v>
      </c>
      <c r="L478" s="123">
        <v>0</v>
      </c>
      <c r="M478" s="118">
        <v>0</v>
      </c>
      <c r="N478" s="118">
        <v>0</v>
      </c>
      <c r="O478" s="118">
        <v>0</v>
      </c>
      <c r="P478" s="118">
        <v>0</v>
      </c>
      <c r="Q478" s="118">
        <v>0</v>
      </c>
      <c r="R478" s="118">
        <f>IFERROR(8*B478,0)</f>
        <v>0</v>
      </c>
      <c r="S478" s="118">
        <v>0</v>
      </c>
      <c r="T478" s="119">
        <v>0</v>
      </c>
      <c r="U478" s="119">
        <v>0</v>
      </c>
      <c r="V478" s="119" t="str">
        <f t="shared" si="31"/>
        <v xml:space="preserve"> </v>
      </c>
    </row>
    <row r="479" spans="1:22" hidden="1">
      <c r="A479" s="662" t="s">
        <v>2807</v>
      </c>
      <c r="B479" s="114">
        <f>_xlfn.IFNA(VLOOKUP(Table1[[#This Row],[SKU]],'Kilter Holds'!$P$36:$S$370,4,0),0)</f>
        <v>0</v>
      </c>
      <c r="C479" s="115">
        <v>5</v>
      </c>
      <c r="D479" s="117">
        <f>2*Table1[[#This Row],[Quantity of Sets]]</f>
        <v>0</v>
      </c>
      <c r="E479" s="117">
        <f>3*Table1[[#This Row],[Quantity of Sets]]</f>
        <v>0</v>
      </c>
      <c r="F479" s="117">
        <v>0</v>
      </c>
      <c r="G479" s="117">
        <v>0</v>
      </c>
      <c r="H479" s="118">
        <v>0</v>
      </c>
      <c r="I479" s="118">
        <v>0</v>
      </c>
      <c r="J479" s="118">
        <v>0</v>
      </c>
      <c r="K479" s="118">
        <v>0</v>
      </c>
      <c r="L479" s="123">
        <v>0</v>
      </c>
      <c r="M479" s="118">
        <v>0</v>
      </c>
      <c r="N479" s="118">
        <v>0</v>
      </c>
      <c r="O479" s="118">
        <v>0</v>
      </c>
      <c r="P479" s="118">
        <v>0</v>
      </c>
      <c r="Q479" s="118">
        <f>10*Table1[[#This Row],[Quantity of Sets]]</f>
        <v>0</v>
      </c>
      <c r="R479" s="118">
        <v>0</v>
      </c>
      <c r="S479" s="118">
        <v>0</v>
      </c>
      <c r="T479" s="119">
        <v>0</v>
      </c>
      <c r="U479" s="119">
        <v>0</v>
      </c>
      <c r="V479" s="119" t="str">
        <f>IF(B479&gt;0,"Added"," ")</f>
        <v xml:space="preserve"> </v>
      </c>
    </row>
    <row r="480" spans="1:22" hidden="1">
      <c r="A480" s="458" t="s">
        <v>1889</v>
      </c>
      <c r="B480" s="114">
        <f>_xlfn.IFNA(VLOOKUP(Table1[[#This Row],[SKU]],'Kilter Holds'!$P$36:$S$370,4,0),0)</f>
        <v>0</v>
      </c>
      <c r="C480" s="115">
        <v>2</v>
      </c>
      <c r="D480" s="117">
        <v>0</v>
      </c>
      <c r="E480" s="117">
        <v>0</v>
      </c>
      <c r="F480" s="117">
        <v>0</v>
      </c>
      <c r="G480" s="117">
        <v>0</v>
      </c>
      <c r="H480" s="118">
        <v>0</v>
      </c>
      <c r="I480" s="118">
        <f>IFERROR(1*B480,0)</f>
        <v>0</v>
      </c>
      <c r="J480" s="118">
        <v>0</v>
      </c>
      <c r="K480" s="118">
        <v>0</v>
      </c>
      <c r="L480" s="123">
        <v>0</v>
      </c>
      <c r="M480" s="118">
        <v>0</v>
      </c>
      <c r="N480" s="118">
        <v>0</v>
      </c>
      <c r="O480" s="118">
        <v>0</v>
      </c>
      <c r="P480" s="118">
        <v>0</v>
      </c>
      <c r="Q480" s="118">
        <v>0</v>
      </c>
      <c r="R480" s="118">
        <v>0</v>
      </c>
      <c r="S480" s="118">
        <v>0</v>
      </c>
      <c r="T480" s="119">
        <f>IFERROR(1*B481,0)</f>
        <v>0</v>
      </c>
      <c r="U480" s="119">
        <f>IFERROR(2*B481,0)</f>
        <v>0</v>
      </c>
      <c r="V480" s="119" t="str">
        <f t="shared" si="31"/>
        <v xml:space="preserve"> </v>
      </c>
    </row>
    <row r="481" spans="1:22" hidden="1">
      <c r="A481" s="458" t="s">
        <v>2005</v>
      </c>
      <c r="B481" s="114">
        <f>_xlfn.IFNA(VLOOKUP(Table1[[#This Row],[SKU]],'Kilter Holds'!$P$36:$S$370,4,0),0)</f>
        <v>0</v>
      </c>
      <c r="C481" s="115">
        <v>6</v>
      </c>
      <c r="D481" s="117">
        <v>0</v>
      </c>
      <c r="E481" s="117">
        <v>0</v>
      </c>
      <c r="F481" s="117">
        <v>0</v>
      </c>
      <c r="G481" s="117">
        <v>0</v>
      </c>
      <c r="H481" s="118">
        <f>IFERROR(4*B481,0)</f>
        <v>0</v>
      </c>
      <c r="I481" s="118">
        <f>IFERROR(1*B481,0)</f>
        <v>0</v>
      </c>
      <c r="J481" s="118">
        <f>IFERROR(1*B481,0)</f>
        <v>0</v>
      </c>
      <c r="K481" s="118">
        <v>0</v>
      </c>
      <c r="L481" s="123">
        <v>0</v>
      </c>
      <c r="M481" s="118">
        <v>0</v>
      </c>
      <c r="N481" s="118">
        <v>0</v>
      </c>
      <c r="O481" s="118">
        <v>0</v>
      </c>
      <c r="P481" s="118">
        <v>0</v>
      </c>
      <c r="Q481" s="118">
        <v>0</v>
      </c>
      <c r="R481" s="118">
        <v>0</v>
      </c>
      <c r="S481" s="118">
        <v>0</v>
      </c>
      <c r="T481" s="119">
        <v>0</v>
      </c>
      <c r="U481" s="119">
        <v>0</v>
      </c>
      <c r="V481" s="119" t="str">
        <f t="shared" si="31"/>
        <v xml:space="preserve"> </v>
      </c>
    </row>
    <row r="482" spans="1:22" hidden="1">
      <c r="A482" s="453" t="s">
        <v>100</v>
      </c>
      <c r="B482" s="114">
        <f>_xlfn.IFNA(VLOOKUP(Table1[[#This Row],[SKU]],'Kilter Holds'!$P$36:$S$370,4,0),0)</f>
        <v>0</v>
      </c>
      <c r="C482" s="115">
        <v>10</v>
      </c>
      <c r="D482" s="118">
        <v>0</v>
      </c>
      <c r="E482" s="118">
        <v>0</v>
      </c>
      <c r="F482" s="118">
        <v>0</v>
      </c>
      <c r="G482" s="118">
        <v>0</v>
      </c>
      <c r="H482" s="118">
        <v>0</v>
      </c>
      <c r="I482" s="118">
        <v>0</v>
      </c>
      <c r="J482" s="118">
        <v>0</v>
      </c>
      <c r="K482" s="118">
        <v>0</v>
      </c>
      <c r="L482" s="123">
        <v>0</v>
      </c>
      <c r="M482" s="118">
        <v>0</v>
      </c>
      <c r="N482" s="118">
        <v>0</v>
      </c>
      <c r="O482" s="118">
        <v>0</v>
      </c>
      <c r="P482" s="118">
        <v>0</v>
      </c>
      <c r="Q482" s="117">
        <f>IFERROR(10*B482,0)</f>
        <v>0</v>
      </c>
      <c r="R482" s="119">
        <v>0</v>
      </c>
      <c r="S482" s="119">
        <v>0</v>
      </c>
      <c r="T482" s="119">
        <v>0</v>
      </c>
      <c r="U482" s="119">
        <v>0</v>
      </c>
      <c r="V482" s="119" t="str">
        <f t="shared" si="31"/>
        <v xml:space="preserve"> </v>
      </c>
    </row>
    <row r="483" spans="1:22" hidden="1">
      <c r="A483" s="453" t="s">
        <v>112</v>
      </c>
      <c r="B483" s="114">
        <f>_xlfn.IFNA(VLOOKUP(Table1[[#This Row],[SKU]],'Kilter Holds'!$P$36:$S$370,4,0),0)</f>
        <v>0</v>
      </c>
      <c r="C483" s="115">
        <v>10</v>
      </c>
      <c r="D483" s="118">
        <v>0</v>
      </c>
      <c r="E483" s="118">
        <v>0</v>
      </c>
      <c r="F483" s="118">
        <v>0</v>
      </c>
      <c r="G483" s="118">
        <v>0</v>
      </c>
      <c r="H483" s="118">
        <v>0</v>
      </c>
      <c r="I483" s="118">
        <v>0</v>
      </c>
      <c r="J483" s="118">
        <v>0</v>
      </c>
      <c r="K483" s="118">
        <v>0</v>
      </c>
      <c r="L483" s="123">
        <v>0</v>
      </c>
      <c r="M483" s="118">
        <v>0</v>
      </c>
      <c r="N483" s="118">
        <v>0</v>
      </c>
      <c r="O483" s="118">
        <v>0</v>
      </c>
      <c r="P483" s="118">
        <v>0</v>
      </c>
      <c r="Q483" s="117">
        <f>IFERROR(24*B483,0)</f>
        <v>0</v>
      </c>
      <c r="R483" s="118">
        <v>0</v>
      </c>
      <c r="S483" s="119">
        <v>0</v>
      </c>
      <c r="T483" s="119">
        <v>0</v>
      </c>
      <c r="U483" s="119">
        <v>0</v>
      </c>
      <c r="V483" s="119" t="str">
        <f t="shared" si="31"/>
        <v xml:space="preserve"> </v>
      </c>
    </row>
    <row r="484" spans="1:22" hidden="1">
      <c r="A484" s="453" t="s">
        <v>111</v>
      </c>
      <c r="B484" s="114">
        <f>_xlfn.IFNA(VLOOKUP(Table1[[#This Row],[SKU]],'Kilter Holds'!$P$36:$S$370,4,0),0)</f>
        <v>0</v>
      </c>
      <c r="C484" s="115">
        <v>5</v>
      </c>
      <c r="D484" s="118">
        <v>0</v>
      </c>
      <c r="E484" s="118">
        <v>0</v>
      </c>
      <c r="F484" s="118">
        <v>0</v>
      </c>
      <c r="G484" s="118">
        <v>0</v>
      </c>
      <c r="H484" s="118">
        <v>0</v>
      </c>
      <c r="I484" s="118">
        <v>0</v>
      </c>
      <c r="J484" s="118">
        <v>0</v>
      </c>
      <c r="K484" s="118">
        <v>0</v>
      </c>
      <c r="L484" s="123">
        <v>0</v>
      </c>
      <c r="M484" s="118">
        <v>0</v>
      </c>
      <c r="N484" s="118">
        <v>0</v>
      </c>
      <c r="O484" s="118">
        <v>0</v>
      </c>
      <c r="P484" s="118">
        <v>0</v>
      </c>
      <c r="Q484" s="117">
        <f>IFERROR(12*B484,0)</f>
        <v>0</v>
      </c>
      <c r="R484" s="118">
        <v>0</v>
      </c>
      <c r="S484" s="119">
        <v>0</v>
      </c>
      <c r="T484" s="119">
        <v>0</v>
      </c>
      <c r="U484" s="119">
        <v>0</v>
      </c>
      <c r="V484" s="119" t="str">
        <f t="shared" si="31"/>
        <v xml:space="preserve"> </v>
      </c>
    </row>
    <row r="485" spans="1:22" hidden="1">
      <c r="A485" s="453" t="s">
        <v>110</v>
      </c>
      <c r="B485" s="114">
        <f>_xlfn.IFNA(VLOOKUP(Table1[[#This Row],[SKU]],'Kilter Holds'!$P$36:$S$370,4,0),0)</f>
        <v>0</v>
      </c>
      <c r="C485" s="115">
        <v>10</v>
      </c>
      <c r="D485" s="117">
        <f>IFERROR(10*B485,0)</f>
        <v>0</v>
      </c>
      <c r="E485" s="118">
        <v>0</v>
      </c>
      <c r="F485" s="118">
        <v>0</v>
      </c>
      <c r="G485" s="118">
        <v>0</v>
      </c>
      <c r="H485" s="118">
        <v>0</v>
      </c>
      <c r="I485" s="118">
        <v>0</v>
      </c>
      <c r="J485" s="118">
        <v>0</v>
      </c>
      <c r="K485" s="118">
        <v>0</v>
      </c>
      <c r="L485" s="123">
        <v>0</v>
      </c>
      <c r="M485" s="118">
        <v>0</v>
      </c>
      <c r="N485" s="118">
        <v>0</v>
      </c>
      <c r="O485" s="118">
        <v>0</v>
      </c>
      <c r="P485" s="118">
        <v>0</v>
      </c>
      <c r="Q485" s="118">
        <v>0</v>
      </c>
      <c r="R485" s="118">
        <v>0</v>
      </c>
      <c r="S485" s="119">
        <v>0</v>
      </c>
      <c r="T485" s="119">
        <v>0</v>
      </c>
      <c r="U485" s="119">
        <v>0</v>
      </c>
      <c r="V485" s="119" t="str">
        <f t="shared" si="31"/>
        <v xml:space="preserve"> </v>
      </c>
    </row>
    <row r="486" spans="1:22" hidden="1">
      <c r="A486" s="453" t="s">
        <v>109</v>
      </c>
      <c r="B486" s="114">
        <f>_xlfn.IFNA(VLOOKUP(Table1[[#This Row],[SKU]],'Kilter Holds'!$P$36:$S$370,4,0),0)</f>
        <v>0</v>
      </c>
      <c r="C486" s="115">
        <v>10</v>
      </c>
      <c r="D486" s="117">
        <f>IFERROR(10*B486,0)</f>
        <v>0</v>
      </c>
      <c r="E486" s="118">
        <v>0</v>
      </c>
      <c r="F486" s="118">
        <v>0</v>
      </c>
      <c r="G486" s="118">
        <v>0</v>
      </c>
      <c r="H486" s="118">
        <v>0</v>
      </c>
      <c r="I486" s="118">
        <v>0</v>
      </c>
      <c r="J486" s="118">
        <v>0</v>
      </c>
      <c r="K486" s="118">
        <v>0</v>
      </c>
      <c r="L486" s="123">
        <v>0</v>
      </c>
      <c r="M486" s="118">
        <v>0</v>
      </c>
      <c r="N486" s="118">
        <v>0</v>
      </c>
      <c r="O486" s="118">
        <v>0</v>
      </c>
      <c r="P486" s="118">
        <v>0</v>
      </c>
      <c r="Q486" s="118">
        <v>0</v>
      </c>
      <c r="R486" s="118">
        <v>0</v>
      </c>
      <c r="S486" s="119">
        <v>0</v>
      </c>
      <c r="T486" s="119">
        <v>0</v>
      </c>
      <c r="U486" s="119">
        <v>0</v>
      </c>
      <c r="V486" s="119" t="str">
        <f t="shared" si="31"/>
        <v xml:space="preserve"> </v>
      </c>
    </row>
    <row r="487" spans="1:22" hidden="1">
      <c r="A487" s="453" t="s">
        <v>107</v>
      </c>
      <c r="B487" s="114">
        <f>_xlfn.IFNA(VLOOKUP(Table1[[#This Row],[SKU]],'Kilter Holds'!$P$36:$S$370,4,0),0)</f>
        <v>0</v>
      </c>
      <c r="C487" s="115">
        <v>5</v>
      </c>
      <c r="D487" s="117">
        <f>IFERROR(5*B487,0)</f>
        <v>0</v>
      </c>
      <c r="E487" s="118">
        <v>0</v>
      </c>
      <c r="F487" s="118">
        <v>0</v>
      </c>
      <c r="G487" s="118">
        <v>0</v>
      </c>
      <c r="H487" s="118">
        <v>0</v>
      </c>
      <c r="I487" s="118">
        <v>0</v>
      </c>
      <c r="J487" s="118">
        <v>0</v>
      </c>
      <c r="K487" s="118">
        <v>0</v>
      </c>
      <c r="L487" s="123">
        <v>0</v>
      </c>
      <c r="M487" s="118">
        <v>0</v>
      </c>
      <c r="N487" s="118">
        <v>0</v>
      </c>
      <c r="O487" s="118">
        <v>0</v>
      </c>
      <c r="P487" s="118">
        <v>0</v>
      </c>
      <c r="Q487" s="118">
        <v>0</v>
      </c>
      <c r="R487" s="118">
        <v>0</v>
      </c>
      <c r="S487" s="119">
        <v>0</v>
      </c>
      <c r="T487" s="119">
        <v>0</v>
      </c>
      <c r="U487" s="119">
        <v>0</v>
      </c>
      <c r="V487" s="119" t="str">
        <f t="shared" si="31"/>
        <v xml:space="preserve"> </v>
      </c>
    </row>
    <row r="488" spans="1:22" hidden="1">
      <c r="A488" s="453" t="s">
        <v>108</v>
      </c>
      <c r="B488" s="114">
        <f>_xlfn.IFNA(VLOOKUP(Table1[[#This Row],[SKU]],'Kilter Holds'!$P$36:$S$370,4,0),0)</f>
        <v>0</v>
      </c>
      <c r="C488" s="115">
        <v>10</v>
      </c>
      <c r="D488" s="118">
        <v>0</v>
      </c>
      <c r="E488" s="118">
        <v>0</v>
      </c>
      <c r="F488" s="118">
        <v>0</v>
      </c>
      <c r="G488" s="118">
        <v>0</v>
      </c>
      <c r="H488" s="118">
        <v>0</v>
      </c>
      <c r="I488" s="118">
        <v>0</v>
      </c>
      <c r="J488" s="118">
        <v>0</v>
      </c>
      <c r="K488" s="118">
        <v>0</v>
      </c>
      <c r="L488" s="123">
        <v>0</v>
      </c>
      <c r="M488" s="118">
        <v>0</v>
      </c>
      <c r="N488" s="118">
        <v>0</v>
      </c>
      <c r="O488" s="118">
        <v>0</v>
      </c>
      <c r="P488" s="118">
        <v>0</v>
      </c>
      <c r="Q488" s="117">
        <f>IFERROR(24*B488,0)</f>
        <v>0</v>
      </c>
      <c r="R488" s="118">
        <v>0</v>
      </c>
      <c r="S488" s="119">
        <v>0</v>
      </c>
      <c r="T488" s="119">
        <v>0</v>
      </c>
      <c r="U488" s="119">
        <v>0</v>
      </c>
      <c r="V488" s="119" t="str">
        <f t="shared" si="31"/>
        <v xml:space="preserve"> </v>
      </c>
    </row>
    <row r="489" spans="1:22" hidden="1">
      <c r="A489" s="453" t="s">
        <v>462</v>
      </c>
      <c r="B489" s="114">
        <f>_xlfn.IFNA(VLOOKUP(Table1[[#This Row],[SKU]],'Kilter Holds'!$P$36:$S$370,4,0),0)</f>
        <v>0</v>
      </c>
      <c r="C489" s="115">
        <v>15</v>
      </c>
      <c r="D489" s="118">
        <v>0</v>
      </c>
      <c r="E489" s="118">
        <v>0</v>
      </c>
      <c r="F489" s="118">
        <v>0</v>
      </c>
      <c r="G489" s="118">
        <v>0</v>
      </c>
      <c r="H489" s="118">
        <v>0</v>
      </c>
      <c r="I489" s="118">
        <v>0</v>
      </c>
      <c r="J489" s="118">
        <v>0</v>
      </c>
      <c r="K489" s="118">
        <v>0</v>
      </c>
      <c r="L489" s="123">
        <v>0</v>
      </c>
      <c r="M489" s="118">
        <v>0</v>
      </c>
      <c r="N489" s="118">
        <v>0</v>
      </c>
      <c r="O489" s="118">
        <v>0</v>
      </c>
      <c r="P489" s="118">
        <v>0</v>
      </c>
      <c r="Q489" s="117">
        <f>IFERROR(30*B489,0)</f>
        <v>0</v>
      </c>
      <c r="R489" s="118">
        <v>0</v>
      </c>
      <c r="S489" s="119">
        <v>0</v>
      </c>
      <c r="T489" s="119">
        <v>0</v>
      </c>
      <c r="U489" s="119">
        <v>0</v>
      </c>
      <c r="V489" s="119" t="str">
        <f t="shared" si="31"/>
        <v xml:space="preserve"> </v>
      </c>
    </row>
    <row r="490" spans="1:22" hidden="1">
      <c r="A490" s="453" t="s">
        <v>463</v>
      </c>
      <c r="B490" s="114">
        <f>_xlfn.IFNA(VLOOKUP(Table1[[#This Row],[SKU]],'Kilter Holds'!$P$36:$S$370,4,0),0)</f>
        <v>0</v>
      </c>
      <c r="C490" s="115">
        <v>5</v>
      </c>
      <c r="D490" s="118">
        <v>0</v>
      </c>
      <c r="E490" s="118">
        <v>0</v>
      </c>
      <c r="F490" s="118">
        <v>0</v>
      </c>
      <c r="G490" s="118">
        <v>0</v>
      </c>
      <c r="H490" s="118">
        <v>0</v>
      </c>
      <c r="I490" s="118">
        <v>0</v>
      </c>
      <c r="J490" s="118">
        <v>0</v>
      </c>
      <c r="K490" s="118">
        <v>0</v>
      </c>
      <c r="L490" s="123">
        <v>0</v>
      </c>
      <c r="M490" s="118">
        <v>0</v>
      </c>
      <c r="N490" s="118">
        <v>0</v>
      </c>
      <c r="O490" s="118">
        <v>0</v>
      </c>
      <c r="P490" s="118">
        <v>0</v>
      </c>
      <c r="Q490" s="117">
        <f>IFERROR(15*B490,0)</f>
        <v>0</v>
      </c>
      <c r="R490" s="118">
        <v>0</v>
      </c>
      <c r="S490" s="119">
        <v>0</v>
      </c>
      <c r="T490" s="119">
        <v>0</v>
      </c>
      <c r="U490" s="119">
        <v>0</v>
      </c>
      <c r="V490" s="119" t="str">
        <f t="shared" si="31"/>
        <v xml:space="preserve"> </v>
      </c>
    </row>
    <row r="491" spans="1:22" hidden="1">
      <c r="A491" s="453" t="s">
        <v>464</v>
      </c>
      <c r="B491" s="114">
        <f>_xlfn.IFNA(VLOOKUP(Table1[[#This Row],[SKU]],'Kilter Holds'!$P$36:$S$370,4,0),0)</f>
        <v>0</v>
      </c>
      <c r="C491" s="115">
        <v>10</v>
      </c>
      <c r="D491" s="117">
        <f>IFERROR(10*B491,0)</f>
        <v>0</v>
      </c>
      <c r="E491" s="117">
        <v>0</v>
      </c>
      <c r="F491" s="117">
        <v>0</v>
      </c>
      <c r="G491" s="117">
        <v>0</v>
      </c>
      <c r="H491" s="118">
        <v>0</v>
      </c>
      <c r="I491" s="118">
        <v>0</v>
      </c>
      <c r="J491" s="118">
        <v>0</v>
      </c>
      <c r="K491" s="118">
        <v>0</v>
      </c>
      <c r="L491" s="123">
        <v>0</v>
      </c>
      <c r="M491" s="118">
        <v>0</v>
      </c>
      <c r="N491" s="118">
        <v>0</v>
      </c>
      <c r="O491" s="118">
        <v>0</v>
      </c>
      <c r="P491" s="118">
        <v>0</v>
      </c>
      <c r="Q491" s="118">
        <v>0</v>
      </c>
      <c r="R491" s="118">
        <v>0</v>
      </c>
      <c r="S491" s="119">
        <v>0</v>
      </c>
      <c r="T491" s="119">
        <v>0</v>
      </c>
      <c r="U491" s="119">
        <v>0</v>
      </c>
      <c r="V491" s="119" t="str">
        <f t="shared" si="31"/>
        <v xml:space="preserve"> </v>
      </c>
    </row>
    <row r="492" spans="1:22" hidden="1">
      <c r="A492" s="453" t="s">
        <v>465</v>
      </c>
      <c r="B492" s="114">
        <f>_xlfn.IFNA(VLOOKUP(Table1[[#This Row],[SKU]],'Kilter Holds'!$P$36:$S$370,4,0),0)</f>
        <v>0</v>
      </c>
      <c r="C492" s="115">
        <v>10</v>
      </c>
      <c r="D492" s="117">
        <f>IFERROR(10*B492,0)</f>
        <v>0</v>
      </c>
      <c r="E492" s="117">
        <v>0</v>
      </c>
      <c r="F492" s="117">
        <v>0</v>
      </c>
      <c r="G492" s="117">
        <v>0</v>
      </c>
      <c r="H492" s="118">
        <v>0</v>
      </c>
      <c r="I492" s="118">
        <v>0</v>
      </c>
      <c r="J492" s="118">
        <v>0</v>
      </c>
      <c r="K492" s="118">
        <v>0</v>
      </c>
      <c r="L492" s="123">
        <v>0</v>
      </c>
      <c r="M492" s="118">
        <v>0</v>
      </c>
      <c r="N492" s="118">
        <v>0</v>
      </c>
      <c r="O492" s="118">
        <v>0</v>
      </c>
      <c r="P492" s="118">
        <v>0</v>
      </c>
      <c r="Q492" s="118">
        <v>0</v>
      </c>
      <c r="R492" s="118">
        <v>0</v>
      </c>
      <c r="S492" s="119">
        <v>0</v>
      </c>
      <c r="T492" s="119">
        <v>0</v>
      </c>
      <c r="U492" s="119">
        <v>0</v>
      </c>
      <c r="V492" s="119" t="str">
        <f t="shared" si="31"/>
        <v xml:space="preserve"> </v>
      </c>
    </row>
    <row r="493" spans="1:22" hidden="1">
      <c r="A493" s="453" t="s">
        <v>466</v>
      </c>
      <c r="B493" s="114">
        <f>_xlfn.IFNA(VLOOKUP(Table1[[#This Row],[SKU]],'Kilter Holds'!$P$36:$S$370,4,0),0)</f>
        <v>0</v>
      </c>
      <c r="C493" s="115">
        <v>10</v>
      </c>
      <c r="D493" s="117">
        <f>IFERROR(10*B493,0)</f>
        <v>0</v>
      </c>
      <c r="E493" s="117">
        <v>0</v>
      </c>
      <c r="F493" s="117">
        <v>0</v>
      </c>
      <c r="G493" s="117">
        <v>0</v>
      </c>
      <c r="H493" s="118">
        <v>0</v>
      </c>
      <c r="I493" s="118">
        <v>0</v>
      </c>
      <c r="J493" s="118">
        <v>0</v>
      </c>
      <c r="K493" s="118">
        <v>0</v>
      </c>
      <c r="L493" s="123">
        <v>0</v>
      </c>
      <c r="M493" s="118">
        <v>0</v>
      </c>
      <c r="N493" s="118">
        <v>0</v>
      </c>
      <c r="O493" s="118">
        <v>0</v>
      </c>
      <c r="P493" s="118">
        <v>0</v>
      </c>
      <c r="Q493" s="118">
        <v>0</v>
      </c>
      <c r="R493" s="118">
        <v>0</v>
      </c>
      <c r="S493" s="119">
        <v>0</v>
      </c>
      <c r="T493" s="119">
        <v>0</v>
      </c>
      <c r="U493" s="119">
        <v>0</v>
      </c>
      <c r="V493" s="119" t="str">
        <f t="shared" si="31"/>
        <v xml:space="preserve"> </v>
      </c>
    </row>
    <row r="494" spans="1:22" hidden="1">
      <c r="A494" s="449" t="s">
        <v>98</v>
      </c>
      <c r="B494" s="114">
        <f>_xlfn.IFNA(VLOOKUP(Table1[[#This Row],[SKU]],'Kilter Holds'!$P$36:$S$370,4,0),0)</f>
        <v>0</v>
      </c>
      <c r="C494" s="115">
        <v>10</v>
      </c>
      <c r="D494" s="117">
        <f>IFERROR(10*B494,0)</f>
        <v>0</v>
      </c>
      <c r="E494" s="117">
        <v>0</v>
      </c>
      <c r="F494" s="117">
        <v>0</v>
      </c>
      <c r="G494" s="117">
        <v>0</v>
      </c>
      <c r="H494" s="117">
        <v>0</v>
      </c>
      <c r="I494" s="117">
        <v>0</v>
      </c>
      <c r="J494" s="117">
        <v>0</v>
      </c>
      <c r="K494" s="117">
        <v>0</v>
      </c>
      <c r="L494" s="123">
        <v>0</v>
      </c>
      <c r="M494" s="117">
        <v>0</v>
      </c>
      <c r="N494" s="117">
        <v>0</v>
      </c>
      <c r="O494" s="117">
        <v>0</v>
      </c>
      <c r="P494" s="117">
        <v>0</v>
      </c>
      <c r="Q494" s="117">
        <v>0</v>
      </c>
      <c r="R494" s="117">
        <v>0</v>
      </c>
      <c r="S494" s="119">
        <v>0</v>
      </c>
      <c r="T494" s="119">
        <v>0</v>
      </c>
      <c r="U494" s="119">
        <v>0</v>
      </c>
      <c r="V494" s="119" t="str">
        <f t="shared" si="31"/>
        <v xml:space="preserve"> </v>
      </c>
    </row>
    <row r="495" spans="1:22" hidden="1">
      <c r="A495" s="450" t="s">
        <v>72</v>
      </c>
      <c r="B495" s="114">
        <f>_xlfn.IFNA(VLOOKUP(Table1[[#This Row],[SKU]],'Kilter Holds'!$P$36:$S$370,4,0),0)</f>
        <v>0</v>
      </c>
      <c r="C495" s="115">
        <v>5</v>
      </c>
      <c r="D495" s="118">
        <v>0</v>
      </c>
      <c r="E495" s="118">
        <v>0</v>
      </c>
      <c r="F495" s="117">
        <f>IFERROR(3*B495,0)</f>
        <v>0</v>
      </c>
      <c r="G495" s="117">
        <f>IFERROR(2*B495,0)</f>
        <v>0</v>
      </c>
      <c r="H495" s="118">
        <v>0</v>
      </c>
      <c r="I495" s="118">
        <v>0</v>
      </c>
      <c r="J495" s="118">
        <v>0</v>
      </c>
      <c r="K495" s="118">
        <v>0</v>
      </c>
      <c r="L495" s="123">
        <v>0</v>
      </c>
      <c r="M495" s="118">
        <v>0</v>
      </c>
      <c r="N495" s="118">
        <v>0</v>
      </c>
      <c r="O495" s="118">
        <v>0</v>
      </c>
      <c r="P495" s="118">
        <v>0</v>
      </c>
      <c r="Q495" s="118">
        <v>0</v>
      </c>
      <c r="R495" s="118">
        <v>0</v>
      </c>
      <c r="S495" s="119">
        <v>0</v>
      </c>
      <c r="T495" s="119">
        <v>0</v>
      </c>
      <c r="U495" s="119">
        <v>0</v>
      </c>
      <c r="V495" s="119" t="str">
        <f t="shared" si="31"/>
        <v xml:space="preserve"> </v>
      </c>
    </row>
    <row r="496" spans="1:22" hidden="1">
      <c r="A496" s="449" t="s">
        <v>83</v>
      </c>
      <c r="B496" s="114">
        <f>_xlfn.IFNA(VLOOKUP(Table1[[#This Row],[SKU]],'Kilter Holds'!$P$36:$S$370,4,0),0)</f>
        <v>0</v>
      </c>
      <c r="C496" s="115">
        <v>10</v>
      </c>
      <c r="D496" s="117">
        <f>IFERROR(7*B496,0)</f>
        <v>0</v>
      </c>
      <c r="E496" s="117">
        <f>IFERROR(3*B496,0)</f>
        <v>0</v>
      </c>
      <c r="F496" s="117">
        <v>0</v>
      </c>
      <c r="G496" s="117">
        <v>0</v>
      </c>
      <c r="H496" s="117">
        <v>0</v>
      </c>
      <c r="I496" s="117">
        <v>0</v>
      </c>
      <c r="J496" s="117">
        <v>0</v>
      </c>
      <c r="K496" s="117">
        <v>0</v>
      </c>
      <c r="L496" s="123">
        <v>0</v>
      </c>
      <c r="M496" s="117">
        <v>0</v>
      </c>
      <c r="N496" s="117">
        <v>0</v>
      </c>
      <c r="O496" s="117">
        <v>0</v>
      </c>
      <c r="P496" s="117">
        <v>0</v>
      </c>
      <c r="Q496" s="117">
        <v>0</v>
      </c>
      <c r="R496" s="117">
        <v>0</v>
      </c>
      <c r="S496" s="119">
        <v>0</v>
      </c>
      <c r="T496" s="119">
        <v>0</v>
      </c>
      <c r="U496" s="119">
        <v>0</v>
      </c>
      <c r="V496" s="119" t="str">
        <f t="shared" si="31"/>
        <v xml:space="preserve"> </v>
      </c>
    </row>
    <row r="497" spans="1:22" hidden="1">
      <c r="A497" s="450" t="s">
        <v>91</v>
      </c>
      <c r="B497" s="114">
        <f>_xlfn.IFNA(VLOOKUP(Table1[[#This Row],[SKU]],'Kilter Holds'!$P$36:$S$370,4,0),0)</f>
        <v>0</v>
      </c>
      <c r="C497" s="115">
        <v>20</v>
      </c>
      <c r="D497" s="117">
        <f>IFERROR(20*B497,0)</f>
        <v>0</v>
      </c>
      <c r="E497" s="118">
        <v>0</v>
      </c>
      <c r="F497" s="118">
        <v>0</v>
      </c>
      <c r="G497" s="118">
        <v>0</v>
      </c>
      <c r="H497" s="118">
        <v>0</v>
      </c>
      <c r="I497" s="118">
        <v>0</v>
      </c>
      <c r="J497" s="118">
        <v>0</v>
      </c>
      <c r="K497" s="118">
        <v>0</v>
      </c>
      <c r="L497" s="123">
        <v>0</v>
      </c>
      <c r="M497" s="118">
        <v>0</v>
      </c>
      <c r="N497" s="118">
        <v>0</v>
      </c>
      <c r="O497" s="118">
        <v>0</v>
      </c>
      <c r="P497" s="118">
        <v>0</v>
      </c>
      <c r="Q497" s="118">
        <v>0</v>
      </c>
      <c r="R497" s="118">
        <v>0</v>
      </c>
      <c r="S497" s="119">
        <v>0</v>
      </c>
      <c r="T497" s="119">
        <v>0</v>
      </c>
      <c r="U497" s="119">
        <v>0</v>
      </c>
      <c r="V497" s="119" t="str">
        <f t="shared" si="31"/>
        <v xml:space="preserve"> </v>
      </c>
    </row>
    <row r="498" spans="1:22" hidden="1">
      <c r="A498" s="449" t="s">
        <v>89</v>
      </c>
      <c r="B498" s="114">
        <f>_xlfn.IFNA(VLOOKUP(Table1[[#This Row],[SKU]],'Kilter Holds'!$P$36:$S$370,4,0),0)</f>
        <v>0</v>
      </c>
      <c r="C498" s="115">
        <v>10</v>
      </c>
      <c r="D498" s="117">
        <f>IFERROR(10*B498,0)</f>
        <v>0</v>
      </c>
      <c r="E498" s="117">
        <v>0</v>
      </c>
      <c r="F498" s="117">
        <v>0</v>
      </c>
      <c r="G498" s="117">
        <v>0</v>
      </c>
      <c r="H498" s="117">
        <v>0</v>
      </c>
      <c r="I498" s="117">
        <v>0</v>
      </c>
      <c r="J498" s="117">
        <v>0</v>
      </c>
      <c r="K498" s="117">
        <v>0</v>
      </c>
      <c r="L498" s="123">
        <v>0</v>
      </c>
      <c r="M498" s="117">
        <v>0</v>
      </c>
      <c r="N498" s="117">
        <v>0</v>
      </c>
      <c r="O498" s="117">
        <v>0</v>
      </c>
      <c r="P498" s="117">
        <v>0</v>
      </c>
      <c r="Q498" s="117">
        <v>0</v>
      </c>
      <c r="R498" s="117">
        <v>0</v>
      </c>
      <c r="S498" s="119">
        <v>0</v>
      </c>
      <c r="T498" s="119">
        <v>0</v>
      </c>
      <c r="U498" s="119">
        <v>0</v>
      </c>
      <c r="V498" s="119" t="str">
        <f t="shared" si="31"/>
        <v xml:space="preserve"> </v>
      </c>
    </row>
    <row r="499" spans="1:22" hidden="1">
      <c r="A499" s="450" t="s">
        <v>84</v>
      </c>
      <c r="B499" s="114">
        <f>_xlfn.IFNA(VLOOKUP(Table1[[#This Row],[SKU]],'Kilter Holds'!$P$36:$S$370,4,0),0)</f>
        <v>0</v>
      </c>
      <c r="C499" s="115">
        <v>10</v>
      </c>
      <c r="D499" s="117">
        <f>IFERROR(7*B499,0)</f>
        <v>0</v>
      </c>
      <c r="E499" s="117">
        <f>IFERROR(3*B499,0)</f>
        <v>0</v>
      </c>
      <c r="F499" s="118">
        <v>0</v>
      </c>
      <c r="G499" s="118">
        <v>0</v>
      </c>
      <c r="H499" s="118">
        <v>0</v>
      </c>
      <c r="I499" s="118">
        <v>0</v>
      </c>
      <c r="J499" s="118">
        <v>0</v>
      </c>
      <c r="K499" s="118">
        <v>0</v>
      </c>
      <c r="L499" s="123">
        <v>0</v>
      </c>
      <c r="M499" s="118">
        <v>0</v>
      </c>
      <c r="N499" s="118">
        <v>0</v>
      </c>
      <c r="O499" s="118">
        <v>0</v>
      </c>
      <c r="P499" s="118">
        <v>0</v>
      </c>
      <c r="Q499" s="118">
        <v>0</v>
      </c>
      <c r="R499" s="118">
        <v>0</v>
      </c>
      <c r="S499" s="119">
        <v>0</v>
      </c>
      <c r="T499" s="119">
        <v>0</v>
      </c>
      <c r="U499" s="119">
        <v>0</v>
      </c>
      <c r="V499" s="119" t="str">
        <f t="shared" si="31"/>
        <v xml:space="preserve"> </v>
      </c>
    </row>
    <row r="500" spans="1:22" hidden="1">
      <c r="A500" s="449" t="s">
        <v>85</v>
      </c>
      <c r="B500" s="114">
        <f>_xlfn.IFNA(VLOOKUP(Table1[[#This Row],[SKU]],'Kilter Holds'!$P$36:$S$370,4,0),0)</f>
        <v>0</v>
      </c>
      <c r="C500" s="115">
        <v>10</v>
      </c>
      <c r="D500" s="117">
        <f>IFERROR(6*B500,0)</f>
        <v>0</v>
      </c>
      <c r="E500" s="117">
        <f>IFERROR(4*B500,0)</f>
        <v>0</v>
      </c>
      <c r="F500" s="117">
        <v>0</v>
      </c>
      <c r="G500" s="117">
        <v>0</v>
      </c>
      <c r="H500" s="117">
        <v>0</v>
      </c>
      <c r="I500" s="117">
        <v>0</v>
      </c>
      <c r="J500" s="117">
        <v>0</v>
      </c>
      <c r="K500" s="117">
        <v>0</v>
      </c>
      <c r="L500" s="123">
        <v>0</v>
      </c>
      <c r="M500" s="117">
        <v>0</v>
      </c>
      <c r="N500" s="117">
        <v>0</v>
      </c>
      <c r="O500" s="117">
        <v>0</v>
      </c>
      <c r="P500" s="117">
        <v>0</v>
      </c>
      <c r="Q500" s="117">
        <v>0</v>
      </c>
      <c r="R500" s="117">
        <v>0</v>
      </c>
      <c r="S500" s="119">
        <v>0</v>
      </c>
      <c r="T500" s="119">
        <v>0</v>
      </c>
      <c r="U500" s="119">
        <v>0</v>
      </c>
      <c r="V500" s="119" t="str">
        <f t="shared" si="31"/>
        <v xml:space="preserve"> </v>
      </c>
    </row>
    <row r="501" spans="1:22" hidden="1">
      <c r="A501" s="450" t="s">
        <v>75</v>
      </c>
      <c r="B501" s="114">
        <f>_xlfn.IFNA(VLOOKUP(Table1[[#This Row],[SKU]],'Kilter Holds'!$P$36:$S$370,4,0),0)</f>
        <v>0</v>
      </c>
      <c r="C501" s="115">
        <v>5</v>
      </c>
      <c r="D501" s="118">
        <v>0</v>
      </c>
      <c r="E501" s="117">
        <f>IFERROR(5*B501,0)</f>
        <v>0</v>
      </c>
      <c r="F501" s="118">
        <v>0</v>
      </c>
      <c r="G501" s="118">
        <v>0</v>
      </c>
      <c r="H501" s="118">
        <v>0</v>
      </c>
      <c r="I501" s="118">
        <v>0</v>
      </c>
      <c r="J501" s="118">
        <v>0</v>
      </c>
      <c r="K501" s="118">
        <v>0</v>
      </c>
      <c r="L501" s="123">
        <v>0</v>
      </c>
      <c r="M501" s="118">
        <v>0</v>
      </c>
      <c r="N501" s="118">
        <v>0</v>
      </c>
      <c r="O501" s="118">
        <v>0</v>
      </c>
      <c r="P501" s="118">
        <v>0</v>
      </c>
      <c r="Q501" s="118">
        <v>0</v>
      </c>
      <c r="R501" s="118">
        <v>0</v>
      </c>
      <c r="S501" s="119">
        <v>0</v>
      </c>
      <c r="T501" s="119">
        <v>0</v>
      </c>
      <c r="U501" s="119">
        <v>0</v>
      </c>
      <c r="V501" s="119" t="str">
        <f t="shared" si="31"/>
        <v xml:space="preserve"> </v>
      </c>
    </row>
    <row r="502" spans="1:22" hidden="1">
      <c r="A502" s="449" t="s">
        <v>76</v>
      </c>
      <c r="B502" s="114">
        <f>_xlfn.IFNA(VLOOKUP(Table1[[#This Row],[SKU]],'Kilter Holds'!$P$36:$S$370,4,0),0)</f>
        <v>0</v>
      </c>
      <c r="C502" s="115">
        <v>5</v>
      </c>
      <c r="D502" s="117">
        <v>0</v>
      </c>
      <c r="E502" s="117">
        <f>IFERROR(5*B502,0)</f>
        <v>0</v>
      </c>
      <c r="F502" s="117">
        <v>0</v>
      </c>
      <c r="G502" s="117">
        <v>0</v>
      </c>
      <c r="H502" s="117">
        <v>0</v>
      </c>
      <c r="I502" s="117">
        <v>0</v>
      </c>
      <c r="J502" s="117">
        <v>0</v>
      </c>
      <c r="K502" s="117">
        <v>0</v>
      </c>
      <c r="L502" s="123">
        <v>0</v>
      </c>
      <c r="M502" s="117">
        <v>0</v>
      </c>
      <c r="N502" s="117">
        <v>0</v>
      </c>
      <c r="O502" s="117">
        <v>0</v>
      </c>
      <c r="P502" s="117">
        <v>0</v>
      </c>
      <c r="Q502" s="117">
        <v>0</v>
      </c>
      <c r="R502" s="117">
        <v>0</v>
      </c>
      <c r="S502" s="119">
        <v>0</v>
      </c>
      <c r="T502" s="119">
        <v>0</v>
      </c>
      <c r="U502" s="119">
        <v>0</v>
      </c>
      <c r="V502" s="119" t="str">
        <f t="shared" si="31"/>
        <v xml:space="preserve"> </v>
      </c>
    </row>
    <row r="503" spans="1:22" hidden="1">
      <c r="A503" s="450" t="s">
        <v>90</v>
      </c>
      <c r="B503" s="114">
        <f>_xlfn.IFNA(VLOOKUP(Table1[[#This Row],[SKU]],'Kilter Holds'!$P$36:$S$370,4,0),0)</f>
        <v>0</v>
      </c>
      <c r="C503" s="115">
        <v>10</v>
      </c>
      <c r="D503" s="117">
        <f>IFERROR(10*B503,0)</f>
        <v>0</v>
      </c>
      <c r="E503" s="118">
        <v>0</v>
      </c>
      <c r="F503" s="118">
        <v>0</v>
      </c>
      <c r="G503" s="118">
        <v>0</v>
      </c>
      <c r="H503" s="118">
        <v>0</v>
      </c>
      <c r="I503" s="118">
        <v>0</v>
      </c>
      <c r="J503" s="118">
        <v>0</v>
      </c>
      <c r="K503" s="118">
        <v>0</v>
      </c>
      <c r="L503" s="123">
        <v>0</v>
      </c>
      <c r="M503" s="118">
        <v>0</v>
      </c>
      <c r="N503" s="118">
        <v>0</v>
      </c>
      <c r="O503" s="118">
        <v>0</v>
      </c>
      <c r="P503" s="118">
        <v>0</v>
      </c>
      <c r="Q503" s="118">
        <v>0</v>
      </c>
      <c r="R503" s="118">
        <v>0</v>
      </c>
      <c r="S503" s="119">
        <v>0</v>
      </c>
      <c r="T503" s="119">
        <v>0</v>
      </c>
      <c r="U503" s="119">
        <v>0</v>
      </c>
      <c r="V503" s="119" t="str">
        <f t="shared" si="31"/>
        <v xml:space="preserve"> </v>
      </c>
    </row>
    <row r="504" spans="1:22" hidden="1">
      <c r="A504" s="449" t="s">
        <v>77</v>
      </c>
      <c r="B504" s="114">
        <f>_xlfn.IFNA(VLOOKUP(Table1[[#This Row],[SKU]],'Kilter Holds'!$P$36:$S$370,4,0),0)</f>
        <v>0</v>
      </c>
      <c r="C504" s="115">
        <v>5</v>
      </c>
      <c r="D504" s="117">
        <f>IFERROR(1*B504,0)</f>
        <v>0</v>
      </c>
      <c r="E504" s="117">
        <f>IFERROR(4*B504,0)</f>
        <v>0</v>
      </c>
      <c r="F504" s="117">
        <v>0</v>
      </c>
      <c r="G504" s="117">
        <v>0</v>
      </c>
      <c r="H504" s="117">
        <v>0</v>
      </c>
      <c r="I504" s="117">
        <v>0</v>
      </c>
      <c r="J504" s="117">
        <v>0</v>
      </c>
      <c r="K504" s="117">
        <v>0</v>
      </c>
      <c r="L504" s="123">
        <v>0</v>
      </c>
      <c r="M504" s="117">
        <v>0</v>
      </c>
      <c r="N504" s="117">
        <v>0</v>
      </c>
      <c r="O504" s="117">
        <v>0</v>
      </c>
      <c r="P504" s="117">
        <v>0</v>
      </c>
      <c r="Q504" s="117">
        <v>0</v>
      </c>
      <c r="R504" s="117">
        <v>0</v>
      </c>
      <c r="S504" s="119">
        <v>0</v>
      </c>
      <c r="T504" s="119">
        <v>0</v>
      </c>
      <c r="U504" s="119">
        <v>0</v>
      </c>
      <c r="V504" s="119" t="str">
        <f t="shared" si="31"/>
        <v xml:space="preserve"> </v>
      </c>
    </row>
    <row r="505" spans="1:22" hidden="1">
      <c r="A505" s="450" t="s">
        <v>78</v>
      </c>
      <c r="B505" s="114">
        <f>_xlfn.IFNA(VLOOKUP(Table1[[#This Row],[SKU]],'Kilter Holds'!$P$36:$S$370,4,0),0)</f>
        <v>0</v>
      </c>
      <c r="C505" s="115">
        <v>5</v>
      </c>
      <c r="D505" s="118">
        <v>0</v>
      </c>
      <c r="E505" s="117">
        <f>IFERROR(3*B505,0)</f>
        <v>0</v>
      </c>
      <c r="F505" s="117">
        <f>IFERROR(2*B505,0)</f>
        <v>0</v>
      </c>
      <c r="G505" s="118">
        <v>0</v>
      </c>
      <c r="H505" s="118">
        <v>0</v>
      </c>
      <c r="I505" s="118">
        <v>0</v>
      </c>
      <c r="J505" s="118">
        <v>0</v>
      </c>
      <c r="K505" s="118">
        <v>0</v>
      </c>
      <c r="L505" s="123">
        <v>0</v>
      </c>
      <c r="M505" s="118">
        <v>0</v>
      </c>
      <c r="N505" s="118">
        <v>0</v>
      </c>
      <c r="O505" s="118">
        <v>0</v>
      </c>
      <c r="P505" s="118">
        <v>0</v>
      </c>
      <c r="Q505" s="118">
        <v>0</v>
      </c>
      <c r="R505" s="118">
        <v>0</v>
      </c>
      <c r="S505" s="119">
        <v>0</v>
      </c>
      <c r="T505" s="119">
        <v>0</v>
      </c>
      <c r="U505" s="119">
        <v>0</v>
      </c>
      <c r="V505" s="119" t="str">
        <f t="shared" si="31"/>
        <v xml:space="preserve"> </v>
      </c>
    </row>
    <row r="506" spans="1:22" hidden="1">
      <c r="A506" s="449" t="s">
        <v>68</v>
      </c>
      <c r="B506" s="114">
        <f>_xlfn.IFNA(VLOOKUP(Table1[[#This Row],[SKU]],'Kilter Holds'!$P$36:$S$370,4,0),0)</f>
        <v>0</v>
      </c>
      <c r="C506" s="115">
        <v>5</v>
      </c>
      <c r="D506" s="117">
        <v>0</v>
      </c>
      <c r="E506" s="117">
        <v>0</v>
      </c>
      <c r="F506" s="117">
        <f>IFERROR(1*B506,0)</f>
        <v>0</v>
      </c>
      <c r="G506" s="117">
        <f>IFERROR(4*B506,0)</f>
        <v>0</v>
      </c>
      <c r="H506" s="117">
        <v>0</v>
      </c>
      <c r="I506" s="117">
        <v>0</v>
      </c>
      <c r="J506" s="117">
        <v>0</v>
      </c>
      <c r="K506" s="117">
        <v>0</v>
      </c>
      <c r="L506" s="123">
        <v>0</v>
      </c>
      <c r="M506" s="117">
        <v>0</v>
      </c>
      <c r="N506" s="117">
        <v>0</v>
      </c>
      <c r="O506" s="117">
        <v>0</v>
      </c>
      <c r="P506" s="117">
        <v>0</v>
      </c>
      <c r="Q506" s="117">
        <v>0</v>
      </c>
      <c r="R506" s="117">
        <v>0</v>
      </c>
      <c r="S506" s="119">
        <v>0</v>
      </c>
      <c r="T506" s="119">
        <v>0</v>
      </c>
      <c r="U506" s="119">
        <v>0</v>
      </c>
      <c r="V506" s="119" t="str">
        <f t="shared" si="31"/>
        <v xml:space="preserve"> </v>
      </c>
    </row>
    <row r="507" spans="1:22" hidden="1">
      <c r="A507" s="450" t="s">
        <v>66</v>
      </c>
      <c r="B507" s="114">
        <f>_xlfn.IFNA(VLOOKUP(Table1[[#This Row],[SKU]],'Kilter Holds'!$P$36:$S$370,4,0),0)</f>
        <v>0</v>
      </c>
      <c r="C507" s="115">
        <v>4</v>
      </c>
      <c r="D507" s="118">
        <v>0</v>
      </c>
      <c r="E507" s="118">
        <v>0</v>
      </c>
      <c r="F507" s="118">
        <v>0</v>
      </c>
      <c r="G507" s="118">
        <v>0</v>
      </c>
      <c r="H507" s="117">
        <f>IFERROR(2*B507,0)</f>
        <v>0</v>
      </c>
      <c r="I507" s="117">
        <f>IFERROR(1*B507,0)</f>
        <v>0</v>
      </c>
      <c r="J507" s="118">
        <v>0</v>
      </c>
      <c r="K507" s="117">
        <f>IFERROR(1*B507,0)</f>
        <v>0</v>
      </c>
      <c r="L507" s="123">
        <v>0</v>
      </c>
      <c r="M507" s="118">
        <v>0</v>
      </c>
      <c r="N507" s="118">
        <v>0</v>
      </c>
      <c r="O507" s="118">
        <v>0</v>
      </c>
      <c r="P507" s="118">
        <v>0</v>
      </c>
      <c r="Q507" s="118">
        <v>0</v>
      </c>
      <c r="R507" s="119">
        <v>0</v>
      </c>
      <c r="S507" s="119">
        <v>0</v>
      </c>
      <c r="T507" s="119">
        <v>0</v>
      </c>
      <c r="U507" s="119">
        <v>0</v>
      </c>
      <c r="V507" s="119" t="str">
        <f t="shared" si="31"/>
        <v xml:space="preserve"> </v>
      </c>
    </row>
    <row r="508" spans="1:22" hidden="1">
      <c r="A508" s="453" t="s">
        <v>875</v>
      </c>
      <c r="B508" s="114">
        <f>_xlfn.IFNA(VLOOKUP(Table1[[#This Row],[SKU]],'Kilter Holds'!$P$36:$S$370,4,0),0)</f>
        <v>0</v>
      </c>
      <c r="C508" s="115">
        <v>3</v>
      </c>
      <c r="D508" s="118">
        <v>0</v>
      </c>
      <c r="E508" s="118">
        <v>0</v>
      </c>
      <c r="F508" s="118">
        <v>0</v>
      </c>
      <c r="G508" s="118">
        <v>0</v>
      </c>
      <c r="H508" s="118">
        <v>0</v>
      </c>
      <c r="I508" s="118">
        <v>0</v>
      </c>
      <c r="J508" s="118">
        <v>0</v>
      </c>
      <c r="K508" s="118">
        <v>0</v>
      </c>
      <c r="L508" s="123">
        <v>0</v>
      </c>
      <c r="M508" s="117">
        <f>IFERROR(2*B508,0)</f>
        <v>0</v>
      </c>
      <c r="N508" s="117">
        <f>IFERROR(1*B508,0)</f>
        <v>0</v>
      </c>
      <c r="O508" s="118">
        <v>0</v>
      </c>
      <c r="P508" s="118">
        <v>0</v>
      </c>
      <c r="Q508" s="118">
        <v>0</v>
      </c>
      <c r="R508" s="118">
        <v>0</v>
      </c>
      <c r="S508" s="119">
        <v>0</v>
      </c>
      <c r="T508" s="119">
        <v>0</v>
      </c>
      <c r="U508" s="119">
        <v>0</v>
      </c>
      <c r="V508" s="119" t="str">
        <f t="shared" si="31"/>
        <v xml:space="preserve"> </v>
      </c>
    </row>
    <row r="509" spans="1:22" hidden="1">
      <c r="A509" s="449" t="s">
        <v>61</v>
      </c>
      <c r="B509" s="114">
        <f>_xlfn.IFNA(VLOOKUP(Table1[[#This Row],[SKU]],'Kilter Holds'!$P$36:$S$370,4,0),0)</f>
        <v>0</v>
      </c>
      <c r="C509" s="115">
        <v>1</v>
      </c>
      <c r="D509" s="118">
        <v>0</v>
      </c>
      <c r="E509" s="118">
        <v>0</v>
      </c>
      <c r="F509" s="118">
        <v>0</v>
      </c>
      <c r="G509" s="118">
        <v>0</v>
      </c>
      <c r="H509" s="118">
        <v>0</v>
      </c>
      <c r="I509" s="118">
        <v>0</v>
      </c>
      <c r="J509" s="118">
        <v>0</v>
      </c>
      <c r="K509" s="118">
        <v>0</v>
      </c>
      <c r="L509" s="123">
        <v>0</v>
      </c>
      <c r="M509" s="117">
        <f>IFERROR(1*B509,0)</f>
        <v>0</v>
      </c>
      <c r="N509" s="118">
        <v>0</v>
      </c>
      <c r="O509" s="118">
        <v>0</v>
      </c>
      <c r="P509" s="118">
        <v>0</v>
      </c>
      <c r="Q509" s="118">
        <v>0</v>
      </c>
      <c r="R509" s="118">
        <v>0</v>
      </c>
      <c r="S509" s="119">
        <v>0</v>
      </c>
      <c r="T509" s="119">
        <v>0</v>
      </c>
      <c r="U509" s="119">
        <v>0</v>
      </c>
      <c r="V509" s="119" t="str">
        <f t="shared" si="31"/>
        <v xml:space="preserve"> </v>
      </c>
    </row>
    <row r="510" spans="1:22" hidden="1">
      <c r="A510" s="450" t="s">
        <v>62</v>
      </c>
      <c r="B510" s="114">
        <f>_xlfn.IFNA(VLOOKUP(Table1[[#This Row],[SKU]],'Kilter Holds'!$P$36:$S$370,4,0),0)</f>
        <v>0</v>
      </c>
      <c r="C510" s="115">
        <v>1</v>
      </c>
      <c r="D510" s="118">
        <v>0</v>
      </c>
      <c r="E510" s="118">
        <v>0</v>
      </c>
      <c r="F510" s="118">
        <v>0</v>
      </c>
      <c r="G510" s="118">
        <v>0</v>
      </c>
      <c r="H510" s="118">
        <v>0</v>
      </c>
      <c r="I510" s="118">
        <v>0</v>
      </c>
      <c r="J510" s="118">
        <v>0</v>
      </c>
      <c r="K510" s="118">
        <v>0</v>
      </c>
      <c r="L510" s="123">
        <v>0</v>
      </c>
      <c r="M510" s="118">
        <v>0</v>
      </c>
      <c r="N510" s="117">
        <f>IFERROR(1*B510,0)</f>
        <v>0</v>
      </c>
      <c r="O510" s="118">
        <v>0</v>
      </c>
      <c r="P510" s="118">
        <v>0</v>
      </c>
      <c r="Q510" s="118">
        <v>0</v>
      </c>
      <c r="R510" s="118">
        <v>0</v>
      </c>
      <c r="S510" s="119">
        <v>0</v>
      </c>
      <c r="T510" s="119">
        <v>0</v>
      </c>
      <c r="U510" s="119">
        <v>0</v>
      </c>
      <c r="V510" s="119" t="str">
        <f t="shared" si="31"/>
        <v xml:space="preserve"> </v>
      </c>
    </row>
    <row r="511" spans="1:22" hidden="1">
      <c r="A511" s="449" t="s">
        <v>63</v>
      </c>
      <c r="B511" s="114">
        <f>_xlfn.IFNA(VLOOKUP(Table1[[#This Row],[SKU]],'Kilter Holds'!$P$36:$S$370,4,0),0)</f>
        <v>0</v>
      </c>
      <c r="C511" s="115">
        <v>1</v>
      </c>
      <c r="D511" s="117">
        <v>0</v>
      </c>
      <c r="E511" s="117">
        <v>0</v>
      </c>
      <c r="F511" s="117">
        <v>0</v>
      </c>
      <c r="G511" s="117">
        <v>0</v>
      </c>
      <c r="H511" s="117">
        <v>0</v>
      </c>
      <c r="I511" s="117">
        <v>0</v>
      </c>
      <c r="J511" s="117">
        <v>0</v>
      </c>
      <c r="K511" s="117">
        <v>0</v>
      </c>
      <c r="L511" s="123">
        <v>0</v>
      </c>
      <c r="M511" s="117">
        <f>IFERROR(1*B511,0)</f>
        <v>0</v>
      </c>
      <c r="N511" s="117">
        <v>0</v>
      </c>
      <c r="O511" s="117">
        <v>0</v>
      </c>
      <c r="P511" s="117">
        <v>0</v>
      </c>
      <c r="Q511" s="117">
        <v>0</v>
      </c>
      <c r="R511" s="117">
        <v>0</v>
      </c>
      <c r="S511" s="119">
        <v>0</v>
      </c>
      <c r="T511" s="119">
        <v>0</v>
      </c>
      <c r="U511" s="119">
        <v>0</v>
      </c>
      <c r="V511" s="119" t="str">
        <f t="shared" si="31"/>
        <v xml:space="preserve"> </v>
      </c>
    </row>
    <row r="512" spans="1:22" hidden="1">
      <c r="A512" s="450" t="s">
        <v>67</v>
      </c>
      <c r="B512" s="114">
        <f>_xlfn.IFNA(VLOOKUP(Table1[[#This Row],[SKU]],'Kilter Holds'!$P$36:$S$370,4,0),0)</f>
        <v>0</v>
      </c>
      <c r="C512" s="115">
        <v>4</v>
      </c>
      <c r="D512" s="118">
        <v>0</v>
      </c>
      <c r="E512" s="118">
        <v>0</v>
      </c>
      <c r="F512" s="118">
        <v>0</v>
      </c>
      <c r="G512" s="118">
        <v>0</v>
      </c>
      <c r="H512" s="117">
        <f>IFERROR(1*B512,0)</f>
        <v>0</v>
      </c>
      <c r="I512" s="117">
        <f>IFERROR(1*B512,0)</f>
        <v>0</v>
      </c>
      <c r="J512" s="117">
        <f>IFERROR(2*B512,0)</f>
        <v>0</v>
      </c>
      <c r="K512" s="118">
        <v>0</v>
      </c>
      <c r="L512" s="123">
        <v>0</v>
      </c>
      <c r="M512" s="118">
        <v>0</v>
      </c>
      <c r="N512" s="118">
        <v>0</v>
      </c>
      <c r="O512" s="118">
        <v>0</v>
      </c>
      <c r="P512" s="118">
        <v>0</v>
      </c>
      <c r="Q512" s="118">
        <v>0</v>
      </c>
      <c r="R512" s="118">
        <v>0</v>
      </c>
      <c r="S512" s="119">
        <v>0</v>
      </c>
      <c r="T512" s="119">
        <v>0</v>
      </c>
      <c r="U512" s="119">
        <v>0</v>
      </c>
      <c r="V512" s="119" t="str">
        <f t="shared" si="31"/>
        <v xml:space="preserve"> </v>
      </c>
    </row>
    <row r="513" spans="1:22" hidden="1">
      <c r="A513" s="449" t="s">
        <v>80</v>
      </c>
      <c r="B513" s="114">
        <f>_xlfn.IFNA(VLOOKUP(Table1[[#This Row],[SKU]],'Kilter Holds'!$P$36:$S$370,4,0),0)</f>
        <v>0</v>
      </c>
      <c r="C513" s="115">
        <v>10</v>
      </c>
      <c r="D513" s="117">
        <f>IFERROR(1*B513,0)</f>
        <v>0</v>
      </c>
      <c r="E513" s="117">
        <f>IFERROR(5*B513,0)</f>
        <v>0</v>
      </c>
      <c r="F513" s="117">
        <f>IFERROR(4*B513,0)</f>
        <v>0</v>
      </c>
      <c r="G513" s="117">
        <v>0</v>
      </c>
      <c r="H513" s="117">
        <v>0</v>
      </c>
      <c r="I513" s="117">
        <v>0</v>
      </c>
      <c r="J513" s="117">
        <v>0</v>
      </c>
      <c r="K513" s="117">
        <v>0</v>
      </c>
      <c r="L513" s="123">
        <v>0</v>
      </c>
      <c r="M513" s="117">
        <v>0</v>
      </c>
      <c r="N513" s="117">
        <v>0</v>
      </c>
      <c r="O513" s="117">
        <v>0</v>
      </c>
      <c r="P513" s="117">
        <v>0</v>
      </c>
      <c r="Q513" s="117">
        <v>0</v>
      </c>
      <c r="R513" s="117">
        <v>0</v>
      </c>
      <c r="S513" s="119">
        <v>0</v>
      </c>
      <c r="T513" s="119">
        <v>0</v>
      </c>
      <c r="U513" s="119">
        <v>0</v>
      </c>
      <c r="V513" s="119" t="str">
        <f t="shared" si="31"/>
        <v xml:space="preserve"> </v>
      </c>
    </row>
    <row r="514" spans="1:22" hidden="1">
      <c r="A514" s="450" t="s">
        <v>69</v>
      </c>
      <c r="B514" s="114">
        <f>_xlfn.IFNA(VLOOKUP(Table1[[#This Row],[SKU]],'Kilter Holds'!$P$36:$S$370,4,0),0)</f>
        <v>0</v>
      </c>
      <c r="C514" s="115">
        <v>5</v>
      </c>
      <c r="D514" s="118">
        <v>0</v>
      </c>
      <c r="E514" s="117">
        <f>IFERROR(2*B514,0)</f>
        <v>0</v>
      </c>
      <c r="F514" s="117">
        <f>IFERROR(3*B514,0)</f>
        <v>0</v>
      </c>
      <c r="G514" s="118">
        <v>0</v>
      </c>
      <c r="H514" s="118">
        <v>0</v>
      </c>
      <c r="I514" s="118">
        <v>0</v>
      </c>
      <c r="J514" s="118">
        <v>0</v>
      </c>
      <c r="K514" s="118">
        <v>0</v>
      </c>
      <c r="L514" s="123">
        <v>0</v>
      </c>
      <c r="M514" s="118">
        <v>0</v>
      </c>
      <c r="N514" s="118">
        <v>0</v>
      </c>
      <c r="O514" s="118">
        <v>0</v>
      </c>
      <c r="P514" s="118">
        <v>0</v>
      </c>
      <c r="Q514" s="118">
        <v>0</v>
      </c>
      <c r="R514" s="118">
        <v>0</v>
      </c>
      <c r="S514" s="119">
        <v>0</v>
      </c>
      <c r="T514" s="119">
        <v>0</v>
      </c>
      <c r="U514" s="119">
        <v>0</v>
      </c>
      <c r="V514" s="119" t="str">
        <f t="shared" si="31"/>
        <v xml:space="preserve"> </v>
      </c>
    </row>
    <row r="515" spans="1:22" hidden="1">
      <c r="A515" s="454" t="s">
        <v>70</v>
      </c>
      <c r="B515" s="114">
        <f>_xlfn.IFNA(VLOOKUP(Table1[[#This Row],[SKU]],'Kilter Holds'!$P$36:$S$370,4,0),0)</f>
        <v>0</v>
      </c>
      <c r="C515" s="115">
        <v>5</v>
      </c>
      <c r="D515" s="122">
        <v>0</v>
      </c>
      <c r="E515" s="117">
        <f>IFERROR(1*B515,0)</f>
        <v>0</v>
      </c>
      <c r="F515" s="117">
        <f>IFERROR(4*B515,0)</f>
        <v>0</v>
      </c>
      <c r="G515" s="122">
        <v>0</v>
      </c>
      <c r="H515" s="122">
        <v>0</v>
      </c>
      <c r="I515" s="122">
        <v>0</v>
      </c>
      <c r="J515" s="122">
        <v>0</v>
      </c>
      <c r="K515" s="122">
        <v>0</v>
      </c>
      <c r="L515" s="123">
        <v>0</v>
      </c>
      <c r="M515" s="122">
        <v>0</v>
      </c>
      <c r="N515" s="122">
        <v>0</v>
      </c>
      <c r="O515" s="122">
        <v>0</v>
      </c>
      <c r="P515" s="122">
        <v>0</v>
      </c>
      <c r="Q515" s="122">
        <v>0</v>
      </c>
      <c r="R515" s="122">
        <v>0</v>
      </c>
      <c r="S515" s="119">
        <v>0</v>
      </c>
      <c r="T515" s="119">
        <v>0</v>
      </c>
      <c r="U515" s="119">
        <v>0</v>
      </c>
      <c r="V515" s="119" t="str">
        <f t="shared" si="31"/>
        <v xml:space="preserve"> </v>
      </c>
    </row>
    <row r="516" spans="1:22" hidden="1">
      <c r="A516" s="454" t="s">
        <v>86</v>
      </c>
      <c r="B516" s="114">
        <f>_xlfn.IFNA(VLOOKUP(Table1[[#This Row],[SKU]],'Kilter Holds'!$P$36:$S$370,4,0),0)</f>
        <v>0</v>
      </c>
      <c r="C516" s="115">
        <v>10</v>
      </c>
      <c r="D516" s="122">
        <v>0</v>
      </c>
      <c r="E516" s="117">
        <f>IFERROR(10*B516,0)</f>
        <v>0</v>
      </c>
      <c r="F516" s="117">
        <v>0</v>
      </c>
      <c r="G516" s="122">
        <v>0</v>
      </c>
      <c r="H516" s="122">
        <v>0</v>
      </c>
      <c r="I516" s="122">
        <v>0</v>
      </c>
      <c r="J516" s="122">
        <v>0</v>
      </c>
      <c r="K516" s="122">
        <v>0</v>
      </c>
      <c r="L516" s="123">
        <v>0</v>
      </c>
      <c r="M516" s="122">
        <v>0</v>
      </c>
      <c r="N516" s="122">
        <v>0</v>
      </c>
      <c r="O516" s="122">
        <v>0</v>
      </c>
      <c r="P516" s="122">
        <v>0</v>
      </c>
      <c r="Q516" s="122">
        <v>0</v>
      </c>
      <c r="R516" s="122">
        <v>0</v>
      </c>
      <c r="S516" s="119">
        <v>0</v>
      </c>
      <c r="T516" s="119">
        <v>0</v>
      </c>
      <c r="U516" s="119">
        <v>0</v>
      </c>
      <c r="V516" s="119" t="str">
        <f t="shared" si="31"/>
        <v xml:space="preserve"> </v>
      </c>
    </row>
    <row r="517" spans="1:22" hidden="1">
      <c r="A517" s="451" t="s">
        <v>50</v>
      </c>
      <c r="B517" s="114">
        <f>_xlfn.IFNA(VLOOKUP(Table1[[#This Row],[SKU]],'Kilter Holds'!$P$36:$S$370,4,0),0)</f>
        <v>0</v>
      </c>
      <c r="C517" s="115">
        <v>20</v>
      </c>
      <c r="D517" s="117">
        <f>IFERROR(20*B517,0)</f>
        <v>0</v>
      </c>
      <c r="E517" s="117">
        <v>0</v>
      </c>
      <c r="F517" s="117">
        <v>0</v>
      </c>
      <c r="G517" s="117">
        <v>0</v>
      </c>
      <c r="H517" s="117">
        <v>0</v>
      </c>
      <c r="I517" s="117">
        <v>0</v>
      </c>
      <c r="J517" s="117">
        <v>0</v>
      </c>
      <c r="K517" s="117">
        <v>0</v>
      </c>
      <c r="L517" s="123">
        <v>0</v>
      </c>
      <c r="M517" s="117">
        <v>0</v>
      </c>
      <c r="N517" s="117">
        <v>0</v>
      </c>
      <c r="O517" s="117">
        <v>0</v>
      </c>
      <c r="P517" s="117">
        <v>0</v>
      </c>
      <c r="Q517" s="117">
        <v>0</v>
      </c>
      <c r="R517" s="117">
        <v>0</v>
      </c>
      <c r="S517" s="119">
        <v>0</v>
      </c>
      <c r="T517" s="119">
        <v>0</v>
      </c>
      <c r="U517" s="119">
        <v>0</v>
      </c>
      <c r="V517" s="119" t="str">
        <f t="shared" ref="V517:V584" si="33">IF(B517&gt;0,"Added"," ")</f>
        <v xml:space="preserve"> </v>
      </c>
    </row>
    <row r="518" spans="1:22" hidden="1">
      <c r="A518" s="451" t="s">
        <v>47</v>
      </c>
      <c r="B518" s="114">
        <f>_xlfn.IFNA(VLOOKUP(Table1[[#This Row],[SKU]],'Kilter Holds'!$P$36:$S$370,4,0),0)</f>
        <v>0</v>
      </c>
      <c r="C518" s="115">
        <v>10</v>
      </c>
      <c r="D518" s="117">
        <f>IFERROR(10*B518,0)</f>
        <v>0</v>
      </c>
      <c r="E518" s="123">
        <v>0</v>
      </c>
      <c r="F518" s="122">
        <v>0</v>
      </c>
      <c r="G518" s="123">
        <v>0</v>
      </c>
      <c r="H518" s="122">
        <v>0</v>
      </c>
      <c r="I518" s="123">
        <v>0</v>
      </c>
      <c r="J518" s="122">
        <v>0</v>
      </c>
      <c r="K518" s="123">
        <v>0</v>
      </c>
      <c r="L518" s="123">
        <v>0</v>
      </c>
      <c r="M518" s="122">
        <v>0</v>
      </c>
      <c r="N518" s="123">
        <v>0</v>
      </c>
      <c r="O518" s="122">
        <v>0</v>
      </c>
      <c r="P518" s="123">
        <v>0</v>
      </c>
      <c r="Q518" s="122">
        <v>0</v>
      </c>
      <c r="R518" s="123">
        <v>0</v>
      </c>
      <c r="S518" s="119">
        <v>0</v>
      </c>
      <c r="T518" s="119">
        <v>0</v>
      </c>
      <c r="U518" s="119">
        <v>0</v>
      </c>
      <c r="V518" s="124" t="str">
        <f t="shared" si="33"/>
        <v xml:space="preserve"> </v>
      </c>
    </row>
    <row r="519" spans="1:22" hidden="1">
      <c r="A519" s="451" t="s">
        <v>48</v>
      </c>
      <c r="B519" s="114">
        <f>_xlfn.IFNA(VLOOKUP(Table1[[#This Row],[SKU]],'Kilter Holds'!$P$36:$S$370,4,0),0)</f>
        <v>0</v>
      </c>
      <c r="C519" s="115">
        <v>10</v>
      </c>
      <c r="D519" s="117">
        <f>IFERROR(10*B519,0)</f>
        <v>0</v>
      </c>
      <c r="E519" s="123">
        <v>0</v>
      </c>
      <c r="F519" s="122">
        <v>0</v>
      </c>
      <c r="G519" s="123">
        <v>0</v>
      </c>
      <c r="H519" s="122">
        <v>0</v>
      </c>
      <c r="I519" s="123">
        <v>0</v>
      </c>
      <c r="J519" s="122">
        <v>0</v>
      </c>
      <c r="K519" s="123">
        <v>0</v>
      </c>
      <c r="L519" s="123">
        <v>0</v>
      </c>
      <c r="M519" s="122">
        <v>0</v>
      </c>
      <c r="N519" s="123">
        <v>0</v>
      </c>
      <c r="O519" s="122">
        <v>0</v>
      </c>
      <c r="P519" s="123">
        <v>0</v>
      </c>
      <c r="Q519" s="122">
        <v>0</v>
      </c>
      <c r="R519" s="123">
        <v>0</v>
      </c>
      <c r="S519" s="119">
        <v>0</v>
      </c>
      <c r="T519" s="119">
        <v>0</v>
      </c>
      <c r="U519" s="119">
        <v>0</v>
      </c>
      <c r="V519" s="124" t="str">
        <f t="shared" si="33"/>
        <v xml:space="preserve"> </v>
      </c>
    </row>
    <row r="520" spans="1:22" hidden="1">
      <c r="A520" s="451" t="s">
        <v>54</v>
      </c>
      <c r="B520" s="114">
        <f>_xlfn.IFNA(VLOOKUP(Table1[[#This Row],[SKU]],'Kilter Holds'!$P$36:$S$370,4,0),0)</f>
        <v>0</v>
      </c>
      <c r="C520" s="115">
        <v>10</v>
      </c>
      <c r="D520" s="117">
        <v>0</v>
      </c>
      <c r="E520" s="117">
        <v>0</v>
      </c>
      <c r="F520" s="117">
        <v>0</v>
      </c>
      <c r="G520" s="117">
        <v>0</v>
      </c>
      <c r="H520" s="117">
        <v>0</v>
      </c>
      <c r="I520" s="117">
        <v>0</v>
      </c>
      <c r="J520" s="117">
        <v>0</v>
      </c>
      <c r="K520" s="117">
        <v>0</v>
      </c>
      <c r="L520" s="123">
        <v>0</v>
      </c>
      <c r="M520" s="117">
        <v>0</v>
      </c>
      <c r="N520" s="117">
        <v>0</v>
      </c>
      <c r="O520" s="117">
        <v>0</v>
      </c>
      <c r="P520" s="117">
        <v>0</v>
      </c>
      <c r="Q520" s="117">
        <f>IFERROR(20*B520,0)</f>
        <v>0</v>
      </c>
      <c r="R520" s="123">
        <v>0</v>
      </c>
      <c r="S520" s="119">
        <v>0</v>
      </c>
      <c r="T520" s="119">
        <v>0</v>
      </c>
      <c r="U520" s="119">
        <v>0</v>
      </c>
      <c r="V520" s="124" t="str">
        <f t="shared" si="33"/>
        <v xml:space="preserve"> </v>
      </c>
    </row>
    <row r="521" spans="1:22" hidden="1">
      <c r="A521" s="451" t="s">
        <v>39</v>
      </c>
      <c r="B521" s="114">
        <f>_xlfn.IFNA(VLOOKUP(Table1[[#This Row],[SKU]],'Kilter Holds'!$P$36:$S$370,4,0),0)</f>
        <v>0</v>
      </c>
      <c r="C521" s="115">
        <v>10</v>
      </c>
      <c r="D521" s="117">
        <f>IFERROR(8*B521,0)</f>
        <v>0</v>
      </c>
      <c r="E521" s="117">
        <f>IFERROR(2*B521,0)</f>
        <v>0</v>
      </c>
      <c r="F521" s="122">
        <v>0</v>
      </c>
      <c r="G521" s="123">
        <v>0</v>
      </c>
      <c r="H521" s="122">
        <v>0</v>
      </c>
      <c r="I521" s="123">
        <v>0</v>
      </c>
      <c r="J521" s="122">
        <v>0</v>
      </c>
      <c r="K521" s="123">
        <v>0</v>
      </c>
      <c r="L521" s="123">
        <v>0</v>
      </c>
      <c r="M521" s="122">
        <v>0</v>
      </c>
      <c r="N521" s="123">
        <v>0</v>
      </c>
      <c r="O521" s="122">
        <v>0</v>
      </c>
      <c r="P521" s="123">
        <v>0</v>
      </c>
      <c r="Q521" s="122">
        <v>0</v>
      </c>
      <c r="R521" s="123">
        <v>0</v>
      </c>
      <c r="S521" s="119">
        <v>0</v>
      </c>
      <c r="T521" s="119">
        <v>0</v>
      </c>
      <c r="U521" s="119">
        <v>0</v>
      </c>
      <c r="V521" s="124" t="str">
        <f t="shared" si="33"/>
        <v xml:space="preserve"> </v>
      </c>
    </row>
    <row r="522" spans="1:22" hidden="1">
      <c r="A522" s="451" t="s">
        <v>42</v>
      </c>
      <c r="B522" s="114">
        <f>_xlfn.IFNA(VLOOKUP(Table1[[#This Row],[SKU]],'Kilter Holds'!$P$36:$S$370,4,0),0)</f>
        <v>0</v>
      </c>
      <c r="C522" s="115">
        <v>5</v>
      </c>
      <c r="D522" s="117">
        <f>IFERROR(5*B522,0)</f>
        <v>0</v>
      </c>
      <c r="E522" s="123">
        <v>0</v>
      </c>
      <c r="F522" s="122">
        <v>0</v>
      </c>
      <c r="G522" s="123">
        <v>0</v>
      </c>
      <c r="H522" s="122">
        <v>0</v>
      </c>
      <c r="I522" s="123">
        <v>0</v>
      </c>
      <c r="J522" s="122">
        <v>0</v>
      </c>
      <c r="K522" s="123">
        <v>0</v>
      </c>
      <c r="L522" s="123">
        <v>0</v>
      </c>
      <c r="M522" s="122">
        <v>0</v>
      </c>
      <c r="N522" s="123">
        <v>0</v>
      </c>
      <c r="O522" s="122">
        <v>0</v>
      </c>
      <c r="P522" s="123">
        <v>0</v>
      </c>
      <c r="Q522" s="122">
        <v>0</v>
      </c>
      <c r="R522" s="123">
        <v>0</v>
      </c>
      <c r="S522" s="119">
        <v>0</v>
      </c>
      <c r="T522" s="119">
        <v>0</v>
      </c>
      <c r="U522" s="119">
        <v>0</v>
      </c>
      <c r="V522" s="124" t="str">
        <f t="shared" si="33"/>
        <v xml:space="preserve"> </v>
      </c>
    </row>
    <row r="523" spans="1:22" hidden="1">
      <c r="A523" s="451" t="s">
        <v>43</v>
      </c>
      <c r="B523" s="114">
        <f>_xlfn.IFNA(VLOOKUP(Table1[[#This Row],[SKU]],'Kilter Holds'!$P$36:$S$370,4,0),0)</f>
        <v>0</v>
      </c>
      <c r="C523" s="115">
        <v>5</v>
      </c>
      <c r="D523" s="117">
        <f>IFERROR(4*B523,0)</f>
        <v>0</v>
      </c>
      <c r="E523" s="117">
        <f>IFERROR(1*B523,0)</f>
        <v>0</v>
      </c>
      <c r="F523" s="122">
        <v>0</v>
      </c>
      <c r="G523" s="123">
        <v>0</v>
      </c>
      <c r="H523" s="122">
        <v>0</v>
      </c>
      <c r="I523" s="123">
        <v>0</v>
      </c>
      <c r="J523" s="122">
        <v>0</v>
      </c>
      <c r="K523" s="123">
        <v>0</v>
      </c>
      <c r="L523" s="123">
        <v>0</v>
      </c>
      <c r="M523" s="122">
        <v>0</v>
      </c>
      <c r="N523" s="123">
        <v>0</v>
      </c>
      <c r="O523" s="122">
        <v>0</v>
      </c>
      <c r="P523" s="123">
        <v>0</v>
      </c>
      <c r="Q523" s="122">
        <v>0</v>
      </c>
      <c r="R523" s="123">
        <v>0</v>
      </c>
      <c r="S523" s="119">
        <v>0</v>
      </c>
      <c r="T523" s="119">
        <v>0</v>
      </c>
      <c r="U523" s="119">
        <v>0</v>
      </c>
      <c r="V523" s="124" t="str">
        <f t="shared" si="33"/>
        <v xml:space="preserve"> </v>
      </c>
    </row>
    <row r="524" spans="1:22" hidden="1">
      <c r="A524" s="451" t="s">
        <v>44</v>
      </c>
      <c r="B524" s="114">
        <f>_xlfn.IFNA(VLOOKUP(Table1[[#This Row],[SKU]],'Kilter Holds'!$P$36:$S$370,4,0),0)</f>
        <v>0</v>
      </c>
      <c r="C524" s="115">
        <v>10</v>
      </c>
      <c r="D524" s="117">
        <f>IFERROR(10*B524,0)</f>
        <v>0</v>
      </c>
      <c r="E524" s="123">
        <v>0</v>
      </c>
      <c r="F524" s="122">
        <v>0</v>
      </c>
      <c r="G524" s="123">
        <v>0</v>
      </c>
      <c r="H524" s="122">
        <v>0</v>
      </c>
      <c r="I524" s="123">
        <v>0</v>
      </c>
      <c r="J524" s="122">
        <v>0</v>
      </c>
      <c r="K524" s="123">
        <v>0</v>
      </c>
      <c r="L524" s="123">
        <v>0</v>
      </c>
      <c r="M524" s="122">
        <v>0</v>
      </c>
      <c r="N524" s="123">
        <v>0</v>
      </c>
      <c r="O524" s="122">
        <v>0</v>
      </c>
      <c r="P524" s="123">
        <v>0</v>
      </c>
      <c r="Q524" s="122">
        <v>0</v>
      </c>
      <c r="R524" s="123">
        <v>0</v>
      </c>
      <c r="S524" s="119">
        <v>0</v>
      </c>
      <c r="T524" s="119">
        <v>0</v>
      </c>
      <c r="U524" s="119">
        <v>0</v>
      </c>
      <c r="V524" s="124" t="str">
        <f t="shared" si="33"/>
        <v xml:space="preserve"> </v>
      </c>
    </row>
    <row r="525" spans="1:22" hidden="1">
      <c r="A525" s="451" t="s">
        <v>51</v>
      </c>
      <c r="B525" s="114">
        <f>_xlfn.IFNA(VLOOKUP(Table1[[#This Row],[SKU]],'Kilter Holds'!$P$36:$S$370,4,0),0)</f>
        <v>0</v>
      </c>
      <c r="C525" s="115">
        <v>20</v>
      </c>
      <c r="D525" s="117">
        <f>IFERROR(20*B525,0)</f>
        <v>0</v>
      </c>
      <c r="E525" s="123">
        <v>0</v>
      </c>
      <c r="F525" s="122">
        <v>0</v>
      </c>
      <c r="G525" s="123">
        <v>0</v>
      </c>
      <c r="H525" s="122">
        <v>0</v>
      </c>
      <c r="I525" s="123">
        <v>0</v>
      </c>
      <c r="J525" s="122">
        <v>0</v>
      </c>
      <c r="K525" s="123">
        <v>0</v>
      </c>
      <c r="L525" s="123">
        <v>0</v>
      </c>
      <c r="M525" s="122">
        <v>0</v>
      </c>
      <c r="N525" s="123">
        <v>0</v>
      </c>
      <c r="O525" s="122">
        <v>0</v>
      </c>
      <c r="P525" s="123">
        <v>0</v>
      </c>
      <c r="Q525" s="122">
        <v>0</v>
      </c>
      <c r="R525" s="123">
        <v>0</v>
      </c>
      <c r="S525" s="119">
        <v>0</v>
      </c>
      <c r="T525" s="119">
        <v>0</v>
      </c>
      <c r="U525" s="119">
        <v>0</v>
      </c>
      <c r="V525" s="124" t="str">
        <f t="shared" si="33"/>
        <v xml:space="preserve"> </v>
      </c>
    </row>
    <row r="526" spans="1:22" hidden="1">
      <c r="A526" s="451" t="s">
        <v>45</v>
      </c>
      <c r="B526" s="114">
        <f>_xlfn.IFNA(VLOOKUP(Table1[[#This Row],[SKU]],'Kilter Holds'!$P$36:$S$370,4,0),0)</f>
        <v>0</v>
      </c>
      <c r="C526" s="115">
        <v>5</v>
      </c>
      <c r="D526" s="117">
        <f>IFERROR(5*B526,0)</f>
        <v>0</v>
      </c>
      <c r="E526" s="117">
        <v>0</v>
      </c>
      <c r="F526" s="117">
        <v>0</v>
      </c>
      <c r="G526" s="117">
        <v>0</v>
      </c>
      <c r="H526" s="117">
        <v>0</v>
      </c>
      <c r="I526" s="117">
        <v>0</v>
      </c>
      <c r="J526" s="117">
        <v>0</v>
      </c>
      <c r="K526" s="117">
        <v>0</v>
      </c>
      <c r="L526" s="123">
        <v>0</v>
      </c>
      <c r="M526" s="117">
        <v>0</v>
      </c>
      <c r="N526" s="117">
        <v>0</v>
      </c>
      <c r="O526" s="117">
        <v>0</v>
      </c>
      <c r="P526" s="117">
        <v>0</v>
      </c>
      <c r="Q526" s="117">
        <v>0</v>
      </c>
      <c r="R526" s="117">
        <v>0</v>
      </c>
      <c r="S526" s="119">
        <v>0</v>
      </c>
      <c r="T526" s="119">
        <v>0</v>
      </c>
      <c r="U526" s="119">
        <v>0</v>
      </c>
      <c r="V526" s="119" t="str">
        <f t="shared" si="33"/>
        <v xml:space="preserve"> </v>
      </c>
    </row>
    <row r="527" spans="1:22" hidden="1">
      <c r="A527" s="451" t="s">
        <v>46</v>
      </c>
      <c r="B527" s="114">
        <f>_xlfn.IFNA(VLOOKUP(Table1[[#This Row],[SKU]],'Kilter Holds'!$P$36:$S$370,4,0),0)</f>
        <v>0</v>
      </c>
      <c r="C527" s="115">
        <v>5</v>
      </c>
      <c r="D527" s="117">
        <f>IFERROR(5*B527,0)</f>
        <v>0</v>
      </c>
      <c r="E527" s="123">
        <v>0</v>
      </c>
      <c r="F527" s="122">
        <v>0</v>
      </c>
      <c r="G527" s="123">
        <v>0</v>
      </c>
      <c r="H527" s="122">
        <v>0</v>
      </c>
      <c r="I527" s="123">
        <v>0</v>
      </c>
      <c r="J527" s="122">
        <v>0</v>
      </c>
      <c r="K527" s="123">
        <v>0</v>
      </c>
      <c r="L527" s="123">
        <v>0</v>
      </c>
      <c r="M527" s="122">
        <v>0</v>
      </c>
      <c r="N527" s="123">
        <v>0</v>
      </c>
      <c r="O527" s="122">
        <v>0</v>
      </c>
      <c r="P527" s="123">
        <v>0</v>
      </c>
      <c r="Q527" s="122">
        <v>0</v>
      </c>
      <c r="R527" s="123">
        <v>0</v>
      </c>
      <c r="S527" s="119">
        <v>0</v>
      </c>
      <c r="T527" s="119">
        <v>0</v>
      </c>
      <c r="U527" s="119">
        <v>0</v>
      </c>
      <c r="V527" s="119" t="str">
        <f t="shared" si="33"/>
        <v xml:space="preserve"> </v>
      </c>
    </row>
    <row r="528" spans="1:22" hidden="1">
      <c r="A528" s="451" t="s">
        <v>52</v>
      </c>
      <c r="B528" s="114">
        <f>_xlfn.IFNA(VLOOKUP(Table1[[#This Row],[SKU]],'Kilter Holds'!$P$36:$S$370,4,0),0)</f>
        <v>0</v>
      </c>
      <c r="C528" s="115">
        <v>5</v>
      </c>
      <c r="D528" s="117">
        <v>0</v>
      </c>
      <c r="E528" s="117">
        <v>0</v>
      </c>
      <c r="F528" s="117">
        <v>0</v>
      </c>
      <c r="G528" s="117">
        <v>0</v>
      </c>
      <c r="H528" s="117">
        <v>0</v>
      </c>
      <c r="I528" s="117">
        <v>0</v>
      </c>
      <c r="J528" s="117">
        <v>0</v>
      </c>
      <c r="K528" s="117">
        <v>0</v>
      </c>
      <c r="L528" s="123">
        <v>0</v>
      </c>
      <c r="M528" s="117">
        <v>0</v>
      </c>
      <c r="N528" s="117">
        <v>0</v>
      </c>
      <c r="O528" s="117">
        <v>0</v>
      </c>
      <c r="P528" s="117">
        <v>0</v>
      </c>
      <c r="Q528" s="117">
        <f>IFERROR(10*B528,0)</f>
        <v>0</v>
      </c>
      <c r="R528" s="123">
        <v>0</v>
      </c>
      <c r="S528" s="119">
        <v>0</v>
      </c>
      <c r="T528" s="119">
        <v>0</v>
      </c>
      <c r="U528" s="119">
        <v>0</v>
      </c>
      <c r="V528" s="119" t="str">
        <f t="shared" si="33"/>
        <v xml:space="preserve"> </v>
      </c>
    </row>
    <row r="529" spans="1:22" hidden="1">
      <c r="A529" s="451" t="s">
        <v>53</v>
      </c>
      <c r="B529" s="114">
        <f>_xlfn.IFNA(VLOOKUP(Table1[[#This Row],[SKU]],'Kilter Holds'!$P$36:$S$370,4,0),0)</f>
        <v>0</v>
      </c>
      <c r="C529" s="115">
        <v>5</v>
      </c>
      <c r="D529" s="117">
        <v>0</v>
      </c>
      <c r="E529" s="117">
        <v>0</v>
      </c>
      <c r="F529" s="117">
        <v>0</v>
      </c>
      <c r="G529" s="117">
        <v>0</v>
      </c>
      <c r="H529" s="117">
        <v>0</v>
      </c>
      <c r="I529" s="117">
        <v>0</v>
      </c>
      <c r="J529" s="117">
        <v>0</v>
      </c>
      <c r="K529" s="117">
        <v>0</v>
      </c>
      <c r="L529" s="123">
        <v>0</v>
      </c>
      <c r="M529" s="117">
        <v>0</v>
      </c>
      <c r="N529" s="117">
        <v>0</v>
      </c>
      <c r="O529" s="117">
        <v>0</v>
      </c>
      <c r="P529" s="117">
        <v>0</v>
      </c>
      <c r="Q529" s="117">
        <f>IFERROR(10*B529,0)</f>
        <v>0</v>
      </c>
      <c r="R529" s="117">
        <v>0</v>
      </c>
      <c r="S529" s="119">
        <v>0</v>
      </c>
      <c r="T529" s="119">
        <v>0</v>
      </c>
      <c r="U529" s="119">
        <v>0</v>
      </c>
      <c r="V529" s="119" t="str">
        <f t="shared" si="33"/>
        <v xml:space="preserve"> </v>
      </c>
    </row>
    <row r="530" spans="1:22" hidden="1">
      <c r="A530" s="451" t="s">
        <v>49</v>
      </c>
      <c r="B530" s="114">
        <f>_xlfn.IFNA(VLOOKUP(Table1[[#This Row],[SKU]],'Kilter Holds'!$P$36:$S$370,4,0),0)</f>
        <v>0</v>
      </c>
      <c r="C530" s="115">
        <v>10</v>
      </c>
      <c r="D530" s="117">
        <f>IFERROR(10*B530,0)</f>
        <v>0</v>
      </c>
      <c r="E530" s="123">
        <v>0</v>
      </c>
      <c r="F530" s="122">
        <v>0</v>
      </c>
      <c r="G530" s="123">
        <v>0</v>
      </c>
      <c r="H530" s="122">
        <v>0</v>
      </c>
      <c r="I530" s="123">
        <v>0</v>
      </c>
      <c r="J530" s="122">
        <v>0</v>
      </c>
      <c r="K530" s="123">
        <v>0</v>
      </c>
      <c r="L530" s="123">
        <v>0</v>
      </c>
      <c r="M530" s="122">
        <v>0</v>
      </c>
      <c r="N530" s="123">
        <v>0</v>
      </c>
      <c r="O530" s="122">
        <v>0</v>
      </c>
      <c r="P530" s="123">
        <v>0</v>
      </c>
      <c r="Q530" s="122">
        <v>0</v>
      </c>
      <c r="R530" s="123">
        <v>0</v>
      </c>
      <c r="S530" s="119">
        <v>0</v>
      </c>
      <c r="T530" s="119">
        <v>0</v>
      </c>
      <c r="U530" s="119">
        <v>0</v>
      </c>
      <c r="V530" s="124" t="str">
        <f t="shared" si="33"/>
        <v xml:space="preserve"> </v>
      </c>
    </row>
    <row r="531" spans="1:22" hidden="1">
      <c r="A531" s="451" t="s">
        <v>494</v>
      </c>
      <c r="B531" s="114">
        <f>_xlfn.IFNA(VLOOKUP(Table1[[#This Row],[SKU]],'Kilter Holds'!$P$36:$S$370,4,0),0)</f>
        <v>0</v>
      </c>
      <c r="C531" s="115">
        <v>10</v>
      </c>
      <c r="D531" s="117">
        <f>IFERROR(10*B531,0)</f>
        <v>0</v>
      </c>
      <c r="E531" s="123">
        <v>0</v>
      </c>
      <c r="F531" s="122">
        <v>0</v>
      </c>
      <c r="G531" s="123">
        <v>0</v>
      </c>
      <c r="H531" s="122">
        <v>0</v>
      </c>
      <c r="I531" s="123">
        <v>0</v>
      </c>
      <c r="J531" s="122">
        <v>0</v>
      </c>
      <c r="K531" s="123">
        <v>0</v>
      </c>
      <c r="L531" s="123">
        <v>0</v>
      </c>
      <c r="M531" s="122">
        <v>0</v>
      </c>
      <c r="N531" s="123">
        <v>0</v>
      </c>
      <c r="O531" s="122">
        <v>0</v>
      </c>
      <c r="P531" s="123">
        <v>0</v>
      </c>
      <c r="Q531" s="122">
        <v>0</v>
      </c>
      <c r="R531" s="123">
        <v>0</v>
      </c>
      <c r="S531" s="119">
        <v>0</v>
      </c>
      <c r="T531" s="119">
        <v>0</v>
      </c>
      <c r="U531" s="119">
        <v>0</v>
      </c>
      <c r="V531" s="124" t="str">
        <f t="shared" si="33"/>
        <v xml:space="preserve"> </v>
      </c>
    </row>
    <row r="532" spans="1:22" hidden="1">
      <c r="A532" s="451" t="s">
        <v>495</v>
      </c>
      <c r="B532" s="114">
        <f>_xlfn.IFNA(VLOOKUP(Table1[[#This Row],[SKU]],'Kilter Holds'!$P$36:$S$370,4,0),0)</f>
        <v>0</v>
      </c>
      <c r="C532" s="115">
        <v>10</v>
      </c>
      <c r="D532" s="117">
        <f>IFERROR(10*B532,0)</f>
        <v>0</v>
      </c>
      <c r="E532" s="123">
        <v>0</v>
      </c>
      <c r="F532" s="122">
        <v>0</v>
      </c>
      <c r="G532" s="123">
        <v>0</v>
      </c>
      <c r="H532" s="122">
        <v>0</v>
      </c>
      <c r="I532" s="123">
        <v>0</v>
      </c>
      <c r="J532" s="122">
        <v>0</v>
      </c>
      <c r="K532" s="123">
        <v>0</v>
      </c>
      <c r="L532" s="123">
        <v>0</v>
      </c>
      <c r="M532" s="122">
        <v>0</v>
      </c>
      <c r="N532" s="123">
        <v>0</v>
      </c>
      <c r="O532" s="122">
        <v>0</v>
      </c>
      <c r="P532" s="123">
        <v>0</v>
      </c>
      <c r="Q532" s="122">
        <v>0</v>
      </c>
      <c r="R532" s="123">
        <v>0</v>
      </c>
      <c r="S532" s="119">
        <v>0</v>
      </c>
      <c r="T532" s="119">
        <v>0</v>
      </c>
      <c r="U532" s="119">
        <v>0</v>
      </c>
      <c r="V532" s="124" t="str">
        <f t="shared" si="33"/>
        <v xml:space="preserve"> </v>
      </c>
    </row>
    <row r="533" spans="1:22" hidden="1">
      <c r="A533" s="451" t="s">
        <v>496</v>
      </c>
      <c r="B533" s="114">
        <f>_xlfn.IFNA(VLOOKUP(Table1[[#This Row],[SKU]],'Kilter Holds'!$P$36:$S$370,4,0),0)</f>
        <v>0</v>
      </c>
      <c r="C533" s="115">
        <v>10</v>
      </c>
      <c r="D533" s="117">
        <f>IFERROR(10*B533,0)</f>
        <v>0</v>
      </c>
      <c r="E533" s="123">
        <v>0</v>
      </c>
      <c r="F533" s="122">
        <v>0</v>
      </c>
      <c r="G533" s="123">
        <v>0</v>
      </c>
      <c r="H533" s="122">
        <v>0</v>
      </c>
      <c r="I533" s="123">
        <v>0</v>
      </c>
      <c r="J533" s="122">
        <v>0</v>
      </c>
      <c r="K533" s="123">
        <v>0</v>
      </c>
      <c r="L533" s="123">
        <v>0</v>
      </c>
      <c r="M533" s="122">
        <v>0</v>
      </c>
      <c r="N533" s="123">
        <v>0</v>
      </c>
      <c r="O533" s="122">
        <v>0</v>
      </c>
      <c r="P533" s="123">
        <v>0</v>
      </c>
      <c r="Q533" s="122">
        <v>0</v>
      </c>
      <c r="R533" s="123">
        <v>0</v>
      </c>
      <c r="S533" s="119">
        <v>0</v>
      </c>
      <c r="T533" s="119">
        <v>0</v>
      </c>
      <c r="U533" s="119">
        <v>0</v>
      </c>
      <c r="V533" s="124" t="str">
        <f t="shared" si="33"/>
        <v xml:space="preserve"> </v>
      </c>
    </row>
    <row r="534" spans="1:22" hidden="1">
      <c r="A534" s="451" t="s">
        <v>497</v>
      </c>
      <c r="B534" s="114">
        <f>_xlfn.IFNA(VLOOKUP(Table1[[#This Row],[SKU]],'Kilter Holds'!$P$36:$S$370,4,0),0)</f>
        <v>0</v>
      </c>
      <c r="C534" s="115">
        <v>21</v>
      </c>
      <c r="D534" s="117">
        <f>IFERROR(21*B534,0)</f>
        <v>0</v>
      </c>
      <c r="E534" s="123">
        <v>0</v>
      </c>
      <c r="F534" s="122">
        <v>0</v>
      </c>
      <c r="G534" s="123">
        <v>0</v>
      </c>
      <c r="H534" s="122">
        <v>0</v>
      </c>
      <c r="I534" s="123">
        <v>0</v>
      </c>
      <c r="J534" s="122">
        <v>0</v>
      </c>
      <c r="K534" s="123">
        <v>0</v>
      </c>
      <c r="L534" s="123">
        <v>0</v>
      </c>
      <c r="M534" s="122">
        <v>0</v>
      </c>
      <c r="N534" s="123">
        <v>0</v>
      </c>
      <c r="O534" s="122">
        <v>0</v>
      </c>
      <c r="P534" s="123">
        <v>0</v>
      </c>
      <c r="Q534" s="122">
        <v>0</v>
      </c>
      <c r="R534" s="123">
        <v>0</v>
      </c>
      <c r="S534" s="119">
        <v>0</v>
      </c>
      <c r="T534" s="119">
        <v>0</v>
      </c>
      <c r="U534" s="119">
        <v>0</v>
      </c>
      <c r="V534" s="124" t="str">
        <f t="shared" si="33"/>
        <v xml:space="preserve"> </v>
      </c>
    </row>
    <row r="535" spans="1:22" hidden="1">
      <c r="A535" s="451" t="s">
        <v>444</v>
      </c>
      <c r="B535" s="114">
        <f>_xlfn.IFNA(VLOOKUP(Table1[[#This Row],[SKU]],'Kilter Holds'!$P$36:$S$370,4,0),0)</f>
        <v>0</v>
      </c>
      <c r="C535" s="115">
        <v>5</v>
      </c>
      <c r="D535" s="117">
        <f>IFERROR(2*B535,0)</f>
        <v>0</v>
      </c>
      <c r="E535" s="123">
        <v>0</v>
      </c>
      <c r="F535" s="117">
        <f>IFERROR(3*B535,0)</f>
        <v>0</v>
      </c>
      <c r="G535" s="123">
        <v>0</v>
      </c>
      <c r="H535" s="122">
        <v>0</v>
      </c>
      <c r="I535" s="123">
        <v>0</v>
      </c>
      <c r="J535" s="122">
        <v>0</v>
      </c>
      <c r="K535" s="123">
        <v>0</v>
      </c>
      <c r="L535" s="123">
        <v>0</v>
      </c>
      <c r="M535" s="122">
        <v>0</v>
      </c>
      <c r="N535" s="123">
        <v>0</v>
      </c>
      <c r="O535" s="122">
        <v>0</v>
      </c>
      <c r="P535" s="123">
        <v>0</v>
      </c>
      <c r="Q535" s="122">
        <v>0</v>
      </c>
      <c r="R535" s="123">
        <v>0</v>
      </c>
      <c r="S535" s="119">
        <v>0</v>
      </c>
      <c r="T535" s="119">
        <v>0</v>
      </c>
      <c r="U535" s="119">
        <v>0</v>
      </c>
      <c r="V535" s="124" t="str">
        <f t="shared" si="33"/>
        <v xml:space="preserve"> </v>
      </c>
    </row>
    <row r="536" spans="1:22" hidden="1">
      <c r="A536" s="451" t="s">
        <v>498</v>
      </c>
      <c r="B536" s="114">
        <f>_xlfn.IFNA(VLOOKUP(Table1[[#This Row],[SKU]],'Kilter Holds'!$P$36:$S$370,4,0),0)</f>
        <v>0</v>
      </c>
      <c r="C536" s="115">
        <v>5</v>
      </c>
      <c r="D536" s="117">
        <f>IFERROR(4*B536,0)</f>
        <v>0</v>
      </c>
      <c r="E536" s="117">
        <f>IFERROR(1*B536,0)</f>
        <v>0</v>
      </c>
      <c r="F536" s="122">
        <v>0</v>
      </c>
      <c r="G536" s="123">
        <v>0</v>
      </c>
      <c r="H536" s="122">
        <v>0</v>
      </c>
      <c r="I536" s="123">
        <v>0</v>
      </c>
      <c r="J536" s="122">
        <v>0</v>
      </c>
      <c r="K536" s="123">
        <v>0</v>
      </c>
      <c r="L536" s="123">
        <v>0</v>
      </c>
      <c r="M536" s="122">
        <v>0</v>
      </c>
      <c r="N536" s="123">
        <v>0</v>
      </c>
      <c r="O536" s="122">
        <v>0</v>
      </c>
      <c r="P536" s="123">
        <v>0</v>
      </c>
      <c r="Q536" s="122">
        <v>0</v>
      </c>
      <c r="R536" s="123">
        <v>0</v>
      </c>
      <c r="S536" s="119">
        <v>0</v>
      </c>
      <c r="T536" s="119">
        <v>0</v>
      </c>
      <c r="U536" s="119">
        <v>0</v>
      </c>
      <c r="V536" s="124" t="str">
        <f t="shared" si="33"/>
        <v xml:space="preserve"> </v>
      </c>
    </row>
    <row r="537" spans="1:22" hidden="1">
      <c r="A537" s="451" t="s">
        <v>499</v>
      </c>
      <c r="B537" s="114">
        <f>_xlfn.IFNA(VLOOKUP(Table1[[#This Row],[SKU]],'Kilter Holds'!$P$36:$S$370,4,0),0)</f>
        <v>0</v>
      </c>
      <c r="C537" s="115">
        <v>12</v>
      </c>
      <c r="D537" s="117">
        <f>IFERROR(12*B537,0)</f>
        <v>0</v>
      </c>
      <c r="E537" s="123">
        <v>0</v>
      </c>
      <c r="F537" s="122">
        <v>0</v>
      </c>
      <c r="G537" s="123">
        <v>0</v>
      </c>
      <c r="H537" s="122">
        <v>0</v>
      </c>
      <c r="I537" s="123">
        <v>0</v>
      </c>
      <c r="J537" s="122">
        <v>0</v>
      </c>
      <c r="K537" s="123">
        <v>0</v>
      </c>
      <c r="L537" s="123">
        <v>0</v>
      </c>
      <c r="M537" s="122">
        <v>0</v>
      </c>
      <c r="N537" s="123">
        <v>0</v>
      </c>
      <c r="O537" s="122">
        <v>0</v>
      </c>
      <c r="P537" s="123">
        <v>0</v>
      </c>
      <c r="Q537" s="122">
        <v>0</v>
      </c>
      <c r="R537" s="123">
        <v>0</v>
      </c>
      <c r="S537" s="119">
        <v>0</v>
      </c>
      <c r="T537" s="119">
        <v>0</v>
      </c>
      <c r="U537" s="119">
        <v>0</v>
      </c>
      <c r="V537" s="124" t="str">
        <f t="shared" si="33"/>
        <v xml:space="preserve"> </v>
      </c>
    </row>
    <row r="538" spans="1:22" hidden="1">
      <c r="A538" s="451" t="s">
        <v>500</v>
      </c>
      <c r="B538" s="114">
        <f>_xlfn.IFNA(VLOOKUP(Table1[[#This Row],[SKU]],'Kilter Holds'!$P$36:$S$370,4,0),0)</f>
        <v>0</v>
      </c>
      <c r="C538" s="115">
        <v>5</v>
      </c>
      <c r="D538" s="117">
        <f>IFERROR(5*B538,0)</f>
        <v>0</v>
      </c>
      <c r="E538" s="123">
        <v>0</v>
      </c>
      <c r="F538" s="122">
        <v>0</v>
      </c>
      <c r="G538" s="123">
        <v>0</v>
      </c>
      <c r="H538" s="122">
        <v>0</v>
      </c>
      <c r="I538" s="123">
        <v>0</v>
      </c>
      <c r="J538" s="122">
        <v>0</v>
      </c>
      <c r="K538" s="123">
        <v>0</v>
      </c>
      <c r="L538" s="123">
        <v>0</v>
      </c>
      <c r="M538" s="122">
        <v>0</v>
      </c>
      <c r="N538" s="123">
        <v>0</v>
      </c>
      <c r="O538" s="122">
        <v>0</v>
      </c>
      <c r="P538" s="123">
        <v>0</v>
      </c>
      <c r="Q538" s="122">
        <v>0</v>
      </c>
      <c r="R538" s="123">
        <v>0</v>
      </c>
      <c r="S538" s="119">
        <v>0</v>
      </c>
      <c r="T538" s="119">
        <v>0</v>
      </c>
      <c r="U538" s="119">
        <v>0</v>
      </c>
      <c r="V538" s="124" t="str">
        <f t="shared" si="33"/>
        <v xml:space="preserve"> </v>
      </c>
    </row>
    <row r="539" spans="1:22" hidden="1">
      <c r="A539" s="451" t="s">
        <v>501</v>
      </c>
      <c r="B539" s="114">
        <f>_xlfn.IFNA(VLOOKUP(Table1[[#This Row],[SKU]],'Kilter Holds'!$P$36:$S$370,4,0),0)</f>
        <v>0</v>
      </c>
      <c r="C539" s="115">
        <v>10</v>
      </c>
      <c r="D539" s="117">
        <f>IFERROR(8*B539,0)</f>
        <v>0</v>
      </c>
      <c r="E539" s="117">
        <f>IFERROR(2*B539,0)</f>
        <v>0</v>
      </c>
      <c r="F539" s="122">
        <v>0</v>
      </c>
      <c r="G539" s="123">
        <v>0</v>
      </c>
      <c r="H539" s="122">
        <v>0</v>
      </c>
      <c r="I539" s="123">
        <v>0</v>
      </c>
      <c r="J539" s="122">
        <v>0</v>
      </c>
      <c r="K539" s="123">
        <v>0</v>
      </c>
      <c r="L539" s="123">
        <v>0</v>
      </c>
      <c r="M539" s="122">
        <v>0</v>
      </c>
      <c r="N539" s="123">
        <v>0</v>
      </c>
      <c r="O539" s="122">
        <v>0</v>
      </c>
      <c r="P539" s="123">
        <v>0</v>
      </c>
      <c r="Q539" s="122">
        <v>0</v>
      </c>
      <c r="R539" s="123">
        <v>0</v>
      </c>
      <c r="S539" s="119">
        <v>0</v>
      </c>
      <c r="T539" s="119">
        <v>0</v>
      </c>
      <c r="U539" s="119">
        <v>0</v>
      </c>
      <c r="V539" s="124" t="str">
        <f t="shared" si="33"/>
        <v xml:space="preserve"> </v>
      </c>
    </row>
    <row r="540" spans="1:22" hidden="1">
      <c r="A540" s="451" t="s">
        <v>502</v>
      </c>
      <c r="B540" s="114">
        <f>_xlfn.IFNA(VLOOKUP(Table1[[#This Row],[SKU]],'Kilter Holds'!$P$36:$S$370,4,0),0)</f>
        <v>0</v>
      </c>
      <c r="C540" s="115">
        <v>5</v>
      </c>
      <c r="D540" s="117">
        <f>IFERROR(5*B540,0)</f>
        <v>0</v>
      </c>
      <c r="E540" s="117">
        <v>0</v>
      </c>
      <c r="F540" s="122">
        <v>0</v>
      </c>
      <c r="G540" s="123">
        <v>0</v>
      </c>
      <c r="H540" s="122">
        <v>0</v>
      </c>
      <c r="I540" s="123">
        <v>0</v>
      </c>
      <c r="J540" s="122">
        <v>0</v>
      </c>
      <c r="K540" s="123">
        <v>0</v>
      </c>
      <c r="L540" s="123">
        <v>0</v>
      </c>
      <c r="M540" s="122">
        <v>0</v>
      </c>
      <c r="N540" s="123">
        <v>0</v>
      </c>
      <c r="O540" s="122">
        <v>0</v>
      </c>
      <c r="P540" s="123">
        <v>0</v>
      </c>
      <c r="Q540" s="122">
        <v>0</v>
      </c>
      <c r="R540" s="123">
        <v>0</v>
      </c>
      <c r="S540" s="119">
        <v>0</v>
      </c>
      <c r="T540" s="119">
        <v>0</v>
      </c>
      <c r="U540" s="119">
        <v>0</v>
      </c>
      <c r="V540" s="124" t="str">
        <f t="shared" si="33"/>
        <v xml:space="preserve"> </v>
      </c>
    </row>
    <row r="541" spans="1:22" hidden="1">
      <c r="A541" s="451" t="s">
        <v>519</v>
      </c>
      <c r="B541" s="114">
        <f>_xlfn.IFNA(VLOOKUP(Table1[[#This Row],[SKU]],'Kilter Holds'!$P$36:$S$370,4,0),0)</f>
        <v>0</v>
      </c>
      <c r="C541" s="115">
        <v>4</v>
      </c>
      <c r="D541" s="117">
        <v>0</v>
      </c>
      <c r="E541" s="123">
        <v>0</v>
      </c>
      <c r="F541" s="122">
        <v>0</v>
      </c>
      <c r="G541" s="123">
        <v>0</v>
      </c>
      <c r="H541" s="122">
        <v>0</v>
      </c>
      <c r="I541" s="123">
        <v>0</v>
      </c>
      <c r="J541" s="122">
        <v>0</v>
      </c>
      <c r="K541" s="123">
        <v>0</v>
      </c>
      <c r="L541" s="123">
        <v>0</v>
      </c>
      <c r="M541" s="122">
        <v>0</v>
      </c>
      <c r="N541" s="123">
        <v>0</v>
      </c>
      <c r="O541" s="122">
        <v>0</v>
      </c>
      <c r="P541" s="123">
        <v>0</v>
      </c>
      <c r="Q541" s="117">
        <f>IFERROR(21*B541,0)</f>
        <v>0</v>
      </c>
      <c r="R541" s="123">
        <v>0</v>
      </c>
      <c r="S541" s="119">
        <v>0</v>
      </c>
      <c r="T541" s="119">
        <v>0</v>
      </c>
      <c r="U541" s="119">
        <v>0</v>
      </c>
      <c r="V541" s="124" t="str">
        <f t="shared" si="33"/>
        <v xml:space="preserve"> </v>
      </c>
    </row>
    <row r="542" spans="1:22" hidden="1">
      <c r="A542" s="460" t="s">
        <v>2002</v>
      </c>
      <c r="B542" s="114">
        <f>_xlfn.IFNA(VLOOKUP(Table1[[#This Row],[SKU]],'Kilter Holds'!$P$36:$S$370,4,0),0)</f>
        <v>0</v>
      </c>
      <c r="C542" s="407">
        <v>1</v>
      </c>
      <c r="D542" s="117">
        <f>IFERROR(1*B542,0)</f>
        <v>0</v>
      </c>
      <c r="E542" s="123">
        <v>0</v>
      </c>
      <c r="F542" s="122">
        <v>0</v>
      </c>
      <c r="G542" s="123">
        <v>0</v>
      </c>
      <c r="H542" s="122">
        <v>0</v>
      </c>
      <c r="I542" s="123">
        <v>0</v>
      </c>
      <c r="J542" s="122">
        <v>0</v>
      </c>
      <c r="K542" s="123">
        <v>0</v>
      </c>
      <c r="L542" s="123">
        <v>0</v>
      </c>
      <c r="M542" s="122">
        <v>0</v>
      </c>
      <c r="N542" s="123">
        <v>0</v>
      </c>
      <c r="O542" s="122">
        <v>0</v>
      </c>
      <c r="P542" s="123">
        <v>0</v>
      </c>
      <c r="Q542" s="117">
        <v>0</v>
      </c>
      <c r="R542" s="123">
        <v>0</v>
      </c>
      <c r="S542" s="119">
        <v>0</v>
      </c>
      <c r="T542" s="119">
        <v>0</v>
      </c>
      <c r="U542" s="119">
        <v>0</v>
      </c>
      <c r="V542" s="124" t="str">
        <f t="shared" si="33"/>
        <v xml:space="preserve"> </v>
      </c>
    </row>
    <row r="543" spans="1:22" hidden="1">
      <c r="A543" s="451" t="s">
        <v>535</v>
      </c>
      <c r="B543" s="114">
        <f>_xlfn.IFNA(VLOOKUP(Table1[[#This Row],[SKU]],'Kilter Holds'!$P$36:$S$370,4,0),0)</f>
        <v>42</v>
      </c>
      <c r="C543" s="407">
        <v>3</v>
      </c>
      <c r="D543" s="117">
        <v>0</v>
      </c>
      <c r="E543" s="123">
        <v>0</v>
      </c>
      <c r="F543" s="122">
        <v>0</v>
      </c>
      <c r="G543" s="123">
        <v>0</v>
      </c>
      <c r="H543" s="122">
        <v>0</v>
      </c>
      <c r="I543" s="123">
        <v>0</v>
      </c>
      <c r="J543" s="122">
        <v>0</v>
      </c>
      <c r="K543" s="123">
        <f>IFERROR(3*B543,0)</f>
        <v>126</v>
      </c>
      <c r="L543" s="123">
        <v>0</v>
      </c>
      <c r="M543" s="122">
        <v>0</v>
      </c>
      <c r="N543" s="123">
        <v>0</v>
      </c>
      <c r="O543" s="122">
        <v>0</v>
      </c>
      <c r="P543" s="123">
        <v>0</v>
      </c>
      <c r="Q543" s="117">
        <v>0</v>
      </c>
      <c r="R543" s="123">
        <v>0</v>
      </c>
      <c r="S543" s="119">
        <v>0</v>
      </c>
      <c r="T543" s="119">
        <v>0</v>
      </c>
      <c r="U543" s="119">
        <v>0</v>
      </c>
      <c r="V543" s="124" t="str">
        <f t="shared" si="33"/>
        <v>Added</v>
      </c>
    </row>
    <row r="544" spans="1:22" hidden="1">
      <c r="A544" s="451" t="s">
        <v>436</v>
      </c>
      <c r="B544" s="114">
        <f>_xlfn.IFNA(VLOOKUP(Table1[[#This Row],[SKU]],'Kilter Holds'!$P$36:$S$370,4,0),0)</f>
        <v>35</v>
      </c>
      <c r="C544" s="407">
        <v>3</v>
      </c>
      <c r="D544" s="117">
        <v>0</v>
      </c>
      <c r="E544" s="123">
        <v>0</v>
      </c>
      <c r="F544" s="122">
        <v>0</v>
      </c>
      <c r="G544" s="123">
        <v>0</v>
      </c>
      <c r="H544" s="122">
        <v>0</v>
      </c>
      <c r="I544" s="123">
        <v>0</v>
      </c>
      <c r="J544" s="122">
        <v>0</v>
      </c>
      <c r="K544" s="123">
        <f>IFERROR(3*B544,0)</f>
        <v>105</v>
      </c>
      <c r="L544" s="123">
        <v>0</v>
      </c>
      <c r="M544" s="122">
        <v>0</v>
      </c>
      <c r="N544" s="123">
        <v>0</v>
      </c>
      <c r="O544" s="122">
        <v>0</v>
      </c>
      <c r="P544" s="123">
        <v>0</v>
      </c>
      <c r="Q544" s="117">
        <v>0</v>
      </c>
      <c r="R544" s="123">
        <v>0</v>
      </c>
      <c r="S544" s="119">
        <v>0</v>
      </c>
      <c r="T544" s="119">
        <v>0</v>
      </c>
      <c r="U544" s="119">
        <v>0</v>
      </c>
      <c r="V544" s="124" t="str">
        <f t="shared" si="33"/>
        <v>Added</v>
      </c>
    </row>
    <row r="545" spans="1:22" hidden="1">
      <c r="A545" s="451" t="s">
        <v>437</v>
      </c>
      <c r="B545" s="114">
        <f>_xlfn.IFNA(VLOOKUP(Table1[[#This Row],[SKU]],'Kilter Holds'!$P$36:$S$370,4,0),0)</f>
        <v>45</v>
      </c>
      <c r="C545" s="407">
        <v>2</v>
      </c>
      <c r="D545" s="117">
        <v>0</v>
      </c>
      <c r="E545" s="123">
        <v>0</v>
      </c>
      <c r="F545" s="122">
        <v>0</v>
      </c>
      <c r="G545" s="123">
        <v>0</v>
      </c>
      <c r="H545" s="122">
        <v>0</v>
      </c>
      <c r="I545" s="123">
        <v>0</v>
      </c>
      <c r="J545" s="122">
        <v>0</v>
      </c>
      <c r="K545" s="123">
        <f>IFERROR(2*B545,0)</f>
        <v>90</v>
      </c>
      <c r="L545" s="123">
        <v>0</v>
      </c>
      <c r="M545" s="122">
        <v>0</v>
      </c>
      <c r="N545" s="123">
        <v>0</v>
      </c>
      <c r="O545" s="122">
        <v>0</v>
      </c>
      <c r="P545" s="123">
        <v>0</v>
      </c>
      <c r="Q545" s="117">
        <v>0</v>
      </c>
      <c r="R545" s="123">
        <v>0</v>
      </c>
      <c r="S545" s="119">
        <v>0</v>
      </c>
      <c r="T545" s="119">
        <v>0</v>
      </c>
      <c r="U545" s="119">
        <v>0</v>
      </c>
      <c r="V545" s="124" t="str">
        <f t="shared" si="33"/>
        <v>Added</v>
      </c>
    </row>
    <row r="546" spans="1:22" hidden="1">
      <c r="A546" s="451" t="s">
        <v>438</v>
      </c>
      <c r="B546" s="114">
        <f>_xlfn.IFNA(VLOOKUP(Table1[[#This Row],[SKU]],'Kilter Holds'!$P$36:$S$370,4,0),0)</f>
        <v>37</v>
      </c>
      <c r="C546" s="407">
        <v>5</v>
      </c>
      <c r="D546" s="117">
        <v>0</v>
      </c>
      <c r="E546" s="123">
        <v>0</v>
      </c>
      <c r="F546" s="122">
        <v>0</v>
      </c>
      <c r="G546" s="123">
        <v>0</v>
      </c>
      <c r="H546" s="122">
        <v>0</v>
      </c>
      <c r="I546" s="123">
        <f>IFERROR(5*B546,0)</f>
        <v>185</v>
      </c>
      <c r="J546" s="122">
        <v>0</v>
      </c>
      <c r="K546" s="123">
        <v>0</v>
      </c>
      <c r="L546" s="123">
        <v>0</v>
      </c>
      <c r="M546" s="122">
        <v>0</v>
      </c>
      <c r="N546" s="123">
        <v>0</v>
      </c>
      <c r="O546" s="122">
        <v>0</v>
      </c>
      <c r="P546" s="123">
        <v>0</v>
      </c>
      <c r="Q546" s="117">
        <v>0</v>
      </c>
      <c r="R546" s="123">
        <v>0</v>
      </c>
      <c r="S546" s="119">
        <v>0</v>
      </c>
      <c r="T546" s="119">
        <v>0</v>
      </c>
      <c r="U546" s="119">
        <v>0</v>
      </c>
      <c r="V546" s="124" t="str">
        <f t="shared" si="33"/>
        <v>Added</v>
      </c>
    </row>
    <row r="547" spans="1:22" hidden="1">
      <c r="A547" s="451" t="s">
        <v>439</v>
      </c>
      <c r="B547" s="114">
        <f>_xlfn.IFNA(VLOOKUP(Table1[[#This Row],[SKU]],'Kilter Holds'!$P$36:$S$370,4,0),0)</f>
        <v>41</v>
      </c>
      <c r="C547" s="407">
        <v>5</v>
      </c>
      <c r="D547" s="117">
        <v>0</v>
      </c>
      <c r="E547" s="123">
        <v>0</v>
      </c>
      <c r="F547" s="122">
        <v>0</v>
      </c>
      <c r="G547" s="123">
        <v>0</v>
      </c>
      <c r="H547" s="122">
        <v>0</v>
      </c>
      <c r="I547" s="123">
        <f>IFERROR(5*B547,0)</f>
        <v>205</v>
      </c>
      <c r="J547" s="122">
        <v>0</v>
      </c>
      <c r="K547" s="123">
        <v>0</v>
      </c>
      <c r="L547" s="123">
        <v>0</v>
      </c>
      <c r="M547" s="122">
        <v>0</v>
      </c>
      <c r="N547" s="123">
        <v>0</v>
      </c>
      <c r="O547" s="122">
        <v>0</v>
      </c>
      <c r="P547" s="123">
        <v>0</v>
      </c>
      <c r="Q547" s="117">
        <v>0</v>
      </c>
      <c r="R547" s="123">
        <v>0</v>
      </c>
      <c r="S547" s="119">
        <v>0</v>
      </c>
      <c r="T547" s="119">
        <v>0</v>
      </c>
      <c r="U547" s="119">
        <v>0</v>
      </c>
      <c r="V547" s="124" t="str">
        <f t="shared" si="33"/>
        <v>Added</v>
      </c>
    </row>
    <row r="548" spans="1:22" hidden="1">
      <c r="A548" s="451" t="s">
        <v>440</v>
      </c>
      <c r="B548" s="114">
        <f>_xlfn.IFNA(VLOOKUP(Table1[[#This Row],[SKU]],'Kilter Holds'!$P$36:$S$370,4,0),0)</f>
        <v>44</v>
      </c>
      <c r="C548" s="407">
        <v>5</v>
      </c>
      <c r="D548" s="117">
        <v>0</v>
      </c>
      <c r="E548" s="123">
        <v>0</v>
      </c>
      <c r="F548" s="122">
        <v>0</v>
      </c>
      <c r="G548" s="123">
        <v>0</v>
      </c>
      <c r="H548" s="122">
        <v>0</v>
      </c>
      <c r="I548" s="123">
        <f>IFERROR(5*B548,0)</f>
        <v>220</v>
      </c>
      <c r="J548" s="122">
        <v>0</v>
      </c>
      <c r="K548" s="123">
        <v>0</v>
      </c>
      <c r="L548" s="123">
        <v>0</v>
      </c>
      <c r="M548" s="122">
        <v>0</v>
      </c>
      <c r="N548" s="123">
        <v>0</v>
      </c>
      <c r="O548" s="122">
        <v>0</v>
      </c>
      <c r="P548" s="123">
        <v>0</v>
      </c>
      <c r="Q548" s="117">
        <v>0</v>
      </c>
      <c r="R548" s="123">
        <v>0</v>
      </c>
      <c r="S548" s="119">
        <v>0</v>
      </c>
      <c r="T548" s="119">
        <v>0</v>
      </c>
      <c r="U548" s="119">
        <v>0</v>
      </c>
      <c r="V548" s="124" t="str">
        <f t="shared" si="33"/>
        <v>Added</v>
      </c>
    </row>
    <row r="549" spans="1:22" hidden="1">
      <c r="A549" s="451" t="s">
        <v>441</v>
      </c>
      <c r="B549" s="114">
        <f>_xlfn.IFNA(VLOOKUP(Table1[[#This Row],[SKU]],'Kilter Holds'!$P$36:$S$370,4,0),0)</f>
        <v>42</v>
      </c>
      <c r="C549" s="407">
        <v>5</v>
      </c>
      <c r="D549" s="117">
        <v>0</v>
      </c>
      <c r="E549" s="123">
        <v>0</v>
      </c>
      <c r="F549" s="122">
        <v>0</v>
      </c>
      <c r="G549" s="123">
        <v>0</v>
      </c>
      <c r="H549" s="122">
        <v>0</v>
      </c>
      <c r="I549" s="123">
        <f>IFERROR(5*B549,0)</f>
        <v>210</v>
      </c>
      <c r="J549" s="122">
        <v>0</v>
      </c>
      <c r="K549" s="123">
        <v>0</v>
      </c>
      <c r="L549" s="123">
        <v>0</v>
      </c>
      <c r="M549" s="122">
        <v>0</v>
      </c>
      <c r="N549" s="123">
        <v>0</v>
      </c>
      <c r="O549" s="122">
        <v>0</v>
      </c>
      <c r="P549" s="123">
        <v>0</v>
      </c>
      <c r="Q549" s="117">
        <v>0</v>
      </c>
      <c r="R549" s="123">
        <v>0</v>
      </c>
      <c r="S549" s="119">
        <v>0</v>
      </c>
      <c r="T549" s="119">
        <v>0</v>
      </c>
      <c r="U549" s="119">
        <v>0</v>
      </c>
      <c r="V549" s="124" t="str">
        <f t="shared" si="33"/>
        <v>Added</v>
      </c>
    </row>
    <row r="550" spans="1:22" hidden="1">
      <c r="A550" s="451" t="s">
        <v>442</v>
      </c>
      <c r="B550" s="114">
        <f>_xlfn.IFNA(VLOOKUP(Table1[[#This Row],[SKU]],'Kilter Holds'!$P$36:$S$370,4,0),0)</f>
        <v>36</v>
      </c>
      <c r="C550" s="407">
        <v>5</v>
      </c>
      <c r="D550" s="117">
        <v>0</v>
      </c>
      <c r="E550" s="123">
        <v>0</v>
      </c>
      <c r="F550" s="122">
        <v>0</v>
      </c>
      <c r="G550" s="123">
        <v>0</v>
      </c>
      <c r="H550" s="122">
        <f>IFERROR(5*B550,0)</f>
        <v>180</v>
      </c>
      <c r="I550" s="123">
        <v>0</v>
      </c>
      <c r="J550" s="122">
        <v>0</v>
      </c>
      <c r="K550" s="123">
        <v>0</v>
      </c>
      <c r="L550" s="123">
        <v>0</v>
      </c>
      <c r="M550" s="122">
        <v>0</v>
      </c>
      <c r="N550" s="123">
        <v>0</v>
      </c>
      <c r="O550" s="122">
        <v>0</v>
      </c>
      <c r="P550" s="123">
        <v>0</v>
      </c>
      <c r="Q550" s="117">
        <v>0</v>
      </c>
      <c r="R550" s="123">
        <v>0</v>
      </c>
      <c r="S550" s="119">
        <v>0</v>
      </c>
      <c r="T550" s="119">
        <v>0</v>
      </c>
      <c r="U550" s="119">
        <v>0</v>
      </c>
      <c r="V550" s="124" t="str">
        <f t="shared" si="33"/>
        <v>Added</v>
      </c>
    </row>
    <row r="551" spans="1:22" hidden="1">
      <c r="A551" s="451" t="s">
        <v>443</v>
      </c>
      <c r="B551" s="114">
        <f>_xlfn.IFNA(VLOOKUP(Table1[[#This Row],[SKU]],'Kilter Holds'!$P$36:$S$370,4,0),0)</f>
        <v>35</v>
      </c>
      <c r="C551" s="407">
        <v>5</v>
      </c>
      <c r="D551" s="117">
        <v>0</v>
      </c>
      <c r="E551" s="123">
        <v>0</v>
      </c>
      <c r="F551" s="122">
        <v>0</v>
      </c>
      <c r="G551" s="123">
        <v>0</v>
      </c>
      <c r="H551" s="122">
        <f>IFERROR(5*B551,0)</f>
        <v>175</v>
      </c>
      <c r="I551" s="123">
        <v>0</v>
      </c>
      <c r="J551" s="122">
        <v>0</v>
      </c>
      <c r="K551" s="123">
        <v>0</v>
      </c>
      <c r="L551" s="123">
        <v>0</v>
      </c>
      <c r="M551" s="122">
        <v>0</v>
      </c>
      <c r="N551" s="123">
        <v>0</v>
      </c>
      <c r="O551" s="122">
        <v>0</v>
      </c>
      <c r="P551" s="123">
        <v>0</v>
      </c>
      <c r="Q551" s="117">
        <v>0</v>
      </c>
      <c r="R551" s="123">
        <v>0</v>
      </c>
      <c r="S551" s="119">
        <v>0</v>
      </c>
      <c r="T551" s="119">
        <v>0</v>
      </c>
      <c r="U551" s="119">
        <v>0</v>
      </c>
      <c r="V551" s="124" t="str">
        <f t="shared" si="33"/>
        <v>Added</v>
      </c>
    </row>
    <row r="552" spans="1:22" hidden="1">
      <c r="A552" s="451" t="s">
        <v>1054</v>
      </c>
      <c r="B552" s="114">
        <f>_xlfn.IFNA(VLOOKUP(Table1[[#This Row],[SKU]],'Kilter Holds'!$P$36:$S$370,4,0),0)</f>
        <v>33</v>
      </c>
      <c r="C552" s="407">
        <v>5</v>
      </c>
      <c r="D552" s="117">
        <v>0</v>
      </c>
      <c r="E552" s="123">
        <v>0</v>
      </c>
      <c r="F552" s="122">
        <v>0</v>
      </c>
      <c r="G552" s="123">
        <v>0</v>
      </c>
      <c r="H552" s="122">
        <v>0</v>
      </c>
      <c r="I552" s="123">
        <f>IFERROR(5*B552,0)</f>
        <v>165</v>
      </c>
      <c r="J552" s="122">
        <v>0</v>
      </c>
      <c r="K552" s="123">
        <v>0</v>
      </c>
      <c r="L552" s="123">
        <v>0</v>
      </c>
      <c r="M552" s="122">
        <v>0</v>
      </c>
      <c r="N552" s="123">
        <v>0</v>
      </c>
      <c r="O552" s="122">
        <v>0</v>
      </c>
      <c r="P552" s="123">
        <v>0</v>
      </c>
      <c r="Q552" s="117">
        <v>0</v>
      </c>
      <c r="R552" s="123">
        <v>0</v>
      </c>
      <c r="S552" s="119">
        <v>0</v>
      </c>
      <c r="T552" s="119">
        <v>0</v>
      </c>
      <c r="U552" s="119">
        <v>0</v>
      </c>
      <c r="V552" s="124" t="str">
        <f t="shared" si="33"/>
        <v>Added</v>
      </c>
    </row>
    <row r="553" spans="1:22" hidden="1">
      <c r="A553" s="451" t="s">
        <v>1041</v>
      </c>
      <c r="B553" s="114">
        <f>_xlfn.IFNA(VLOOKUP(Table1[[#This Row],[SKU]],'Kilter Holds'!$P$36:$S$370,4,0),0)</f>
        <v>26</v>
      </c>
      <c r="C553" s="407">
        <v>5</v>
      </c>
      <c r="D553" s="117">
        <v>0</v>
      </c>
      <c r="E553" s="123">
        <v>0</v>
      </c>
      <c r="F553" s="122">
        <v>0</v>
      </c>
      <c r="G553" s="123">
        <v>0</v>
      </c>
      <c r="H553" s="122">
        <f>IFERROR(5*B553,0)</f>
        <v>130</v>
      </c>
      <c r="I553" s="123">
        <v>0</v>
      </c>
      <c r="J553" s="122">
        <v>0</v>
      </c>
      <c r="K553" s="123">
        <v>0</v>
      </c>
      <c r="L553" s="123">
        <v>0</v>
      </c>
      <c r="M553" s="122">
        <v>0</v>
      </c>
      <c r="N553" s="123">
        <v>0</v>
      </c>
      <c r="O553" s="122">
        <v>0</v>
      </c>
      <c r="P553" s="123">
        <v>0</v>
      </c>
      <c r="Q553" s="117">
        <v>0</v>
      </c>
      <c r="R553" s="123">
        <v>0</v>
      </c>
      <c r="S553" s="119">
        <v>0</v>
      </c>
      <c r="T553" s="119">
        <v>0</v>
      </c>
      <c r="U553" s="119">
        <v>0</v>
      </c>
      <c r="V553" s="124" t="str">
        <f t="shared" si="33"/>
        <v>Added</v>
      </c>
    </row>
    <row r="554" spans="1:22" hidden="1">
      <c r="A554" s="460" t="s">
        <v>3144</v>
      </c>
      <c r="B554" s="114">
        <f>_xlfn.IFNA(VLOOKUP(Table1[[#This Row],[SKU]],'Kilter Holds'!$P$36:$S$370,4,0),0)</f>
        <v>0</v>
      </c>
      <c r="C554" s="407">
        <v>4</v>
      </c>
      <c r="D554" s="117">
        <v>0</v>
      </c>
      <c r="E554" s="123">
        <v>0</v>
      </c>
      <c r="F554" s="122">
        <v>0</v>
      </c>
      <c r="G554" s="123">
        <f>4*Table1[[#This Row],[Quantity of Sets]]</f>
        <v>0</v>
      </c>
      <c r="H554" s="122">
        <v>0</v>
      </c>
      <c r="I554" s="123">
        <v>0</v>
      </c>
      <c r="J554" s="122">
        <v>0</v>
      </c>
      <c r="K554" s="123">
        <v>0</v>
      </c>
      <c r="L554" s="123">
        <v>0</v>
      </c>
      <c r="M554" s="122">
        <v>0</v>
      </c>
      <c r="N554" s="123">
        <v>0</v>
      </c>
      <c r="O554" s="122">
        <v>0</v>
      </c>
      <c r="P554" s="123">
        <v>0</v>
      </c>
      <c r="Q554" s="117">
        <f>4*Table1[[#This Row],[Quantity of Sets]]</f>
        <v>0</v>
      </c>
      <c r="R554" s="123">
        <v>0</v>
      </c>
      <c r="S554" s="119">
        <v>0</v>
      </c>
      <c r="T554" s="119">
        <v>0</v>
      </c>
      <c r="U554" s="119">
        <v>0</v>
      </c>
      <c r="V554" s="124" t="str">
        <f t="shared" ref="V554" si="34">IF(B554&gt;0,"Added"," ")</f>
        <v xml:space="preserve"> </v>
      </c>
    </row>
    <row r="555" spans="1:22" hidden="1">
      <c r="A555" s="451" t="s">
        <v>1834</v>
      </c>
      <c r="B555" s="114">
        <f>_xlfn.IFNA(VLOOKUP(Table1[[#This Row],[SKU]],'Kilter Holds'!$P$36:$S$370,4,0),0)</f>
        <v>43</v>
      </c>
      <c r="C555" s="407">
        <v>5</v>
      </c>
      <c r="D555" s="117">
        <v>0</v>
      </c>
      <c r="E555" s="123">
        <v>0</v>
      </c>
      <c r="F555" s="122">
        <v>0</v>
      </c>
      <c r="G555" s="123">
        <v>0</v>
      </c>
      <c r="H555" s="122">
        <v>0</v>
      </c>
      <c r="I555" s="123">
        <v>0</v>
      </c>
      <c r="J555" s="122">
        <v>0</v>
      </c>
      <c r="K555" s="123">
        <v>0</v>
      </c>
      <c r="L555" s="123">
        <v>0</v>
      </c>
      <c r="M555" s="122">
        <v>0</v>
      </c>
      <c r="N555" s="123">
        <v>0</v>
      </c>
      <c r="O555" s="122">
        <v>0</v>
      </c>
      <c r="P555" s="123">
        <v>0</v>
      </c>
      <c r="Q555" s="117">
        <v>0</v>
      </c>
      <c r="R555" s="123">
        <f>IFERROR(25*B555,0)</f>
        <v>1075</v>
      </c>
      <c r="S555" s="119">
        <v>0</v>
      </c>
      <c r="T555" s="119">
        <v>0</v>
      </c>
      <c r="U555" s="119">
        <v>0</v>
      </c>
      <c r="V555" s="124" t="str">
        <f t="shared" si="33"/>
        <v>Added</v>
      </c>
    </row>
    <row r="556" spans="1:22" hidden="1">
      <c r="A556" s="451" t="s">
        <v>1836</v>
      </c>
      <c r="B556" s="114">
        <f>_xlfn.IFNA(VLOOKUP(Table1[[#This Row],[SKU]],'Kilter Holds'!$P$36:$S$370,4,0),0)</f>
        <v>45</v>
      </c>
      <c r="C556" s="407">
        <v>5</v>
      </c>
      <c r="D556" s="117">
        <v>0</v>
      </c>
      <c r="E556" s="123">
        <v>0</v>
      </c>
      <c r="F556" s="122">
        <v>0</v>
      </c>
      <c r="G556" s="123">
        <v>0</v>
      </c>
      <c r="H556" s="122">
        <v>0</v>
      </c>
      <c r="I556" s="123">
        <v>0</v>
      </c>
      <c r="J556" s="122">
        <v>0</v>
      </c>
      <c r="K556" s="123">
        <v>0</v>
      </c>
      <c r="L556" s="123">
        <v>0</v>
      </c>
      <c r="M556" s="122">
        <v>0</v>
      </c>
      <c r="N556" s="123">
        <v>0</v>
      </c>
      <c r="O556" s="122">
        <v>0</v>
      </c>
      <c r="P556" s="123">
        <v>0</v>
      </c>
      <c r="Q556" s="117">
        <v>0</v>
      </c>
      <c r="R556" s="123">
        <f>IFERROR(25*B556,0)</f>
        <v>1125</v>
      </c>
      <c r="S556" s="119">
        <v>0</v>
      </c>
      <c r="T556" s="119">
        <v>0</v>
      </c>
      <c r="U556" s="119">
        <v>0</v>
      </c>
      <c r="V556" s="124" t="str">
        <f t="shared" si="33"/>
        <v>Added</v>
      </c>
    </row>
    <row r="557" spans="1:22" hidden="1">
      <c r="A557" s="451" t="s">
        <v>1866</v>
      </c>
      <c r="B557" s="114">
        <f>_xlfn.IFNA(VLOOKUP(Table1[[#This Row],[SKU]],'Kilter Holds'!$P$36:$S$370,4,0),0)</f>
        <v>31</v>
      </c>
      <c r="C557" s="407">
        <v>5</v>
      </c>
      <c r="D557" s="117">
        <v>0</v>
      </c>
      <c r="E557" s="123">
        <v>0</v>
      </c>
      <c r="F557" s="122">
        <v>0</v>
      </c>
      <c r="G557" s="123">
        <v>0</v>
      </c>
      <c r="H557" s="122">
        <v>0</v>
      </c>
      <c r="I557" s="123">
        <f>IFERROR(5*B557,0)</f>
        <v>155</v>
      </c>
      <c r="J557" s="122">
        <v>0</v>
      </c>
      <c r="K557" s="123">
        <v>0</v>
      </c>
      <c r="L557" s="123">
        <v>0</v>
      </c>
      <c r="M557" s="122">
        <v>0</v>
      </c>
      <c r="N557" s="123">
        <v>0</v>
      </c>
      <c r="O557" s="122">
        <v>0</v>
      </c>
      <c r="P557" s="123">
        <v>0</v>
      </c>
      <c r="Q557" s="117">
        <v>0</v>
      </c>
      <c r="R557" s="123">
        <v>0</v>
      </c>
      <c r="S557" s="119">
        <v>0</v>
      </c>
      <c r="T557" s="119">
        <v>0</v>
      </c>
      <c r="U557" s="119">
        <v>0</v>
      </c>
      <c r="V557" s="124" t="str">
        <f t="shared" si="33"/>
        <v>Added</v>
      </c>
    </row>
    <row r="558" spans="1:22" hidden="1">
      <c r="A558" s="451" t="s">
        <v>1843</v>
      </c>
      <c r="B558" s="114">
        <f>_xlfn.IFNA(VLOOKUP(Table1[[#This Row],[SKU]],'Kilter Holds'!$P$36:$S$370,4,0),0)</f>
        <v>25</v>
      </c>
      <c r="C558" s="407">
        <v>1</v>
      </c>
      <c r="D558" s="117">
        <v>0</v>
      </c>
      <c r="E558" s="123">
        <v>0</v>
      </c>
      <c r="F558" s="122">
        <v>0</v>
      </c>
      <c r="G558" s="123">
        <v>0</v>
      </c>
      <c r="H558" s="122">
        <v>0</v>
      </c>
      <c r="I558" s="123">
        <f t="shared" ref="I558:I577" si="35">IFERROR(1*B558,0)</f>
        <v>25</v>
      </c>
      <c r="J558" s="122">
        <v>0</v>
      </c>
      <c r="K558" s="123">
        <v>0</v>
      </c>
      <c r="L558" s="123">
        <v>0</v>
      </c>
      <c r="M558" s="122">
        <v>0</v>
      </c>
      <c r="N558" s="123">
        <v>0</v>
      </c>
      <c r="O558" s="122">
        <v>0</v>
      </c>
      <c r="P558" s="123">
        <v>0</v>
      </c>
      <c r="Q558" s="117">
        <v>0</v>
      </c>
      <c r="R558" s="123">
        <v>0</v>
      </c>
      <c r="S558" s="119">
        <v>0</v>
      </c>
      <c r="T558" s="119">
        <v>0</v>
      </c>
      <c r="U558" s="119">
        <v>0</v>
      </c>
      <c r="V558" s="124" t="str">
        <f t="shared" si="33"/>
        <v>Added</v>
      </c>
    </row>
    <row r="559" spans="1:22" hidden="1">
      <c r="A559" s="451" t="s">
        <v>1803</v>
      </c>
      <c r="B559" s="114">
        <f>_xlfn.IFNA(VLOOKUP(Table1[[#This Row],[SKU]],'Kilter Holds'!$P$36:$S$370,4,0),0)</f>
        <v>25</v>
      </c>
      <c r="C559" s="407">
        <v>1</v>
      </c>
      <c r="D559" s="117">
        <v>0</v>
      </c>
      <c r="E559" s="123">
        <v>0</v>
      </c>
      <c r="F559" s="122">
        <v>0</v>
      </c>
      <c r="G559" s="123">
        <v>0</v>
      </c>
      <c r="H559" s="122">
        <v>0</v>
      </c>
      <c r="I559" s="123">
        <f t="shared" si="35"/>
        <v>25</v>
      </c>
      <c r="J559" s="122">
        <v>0</v>
      </c>
      <c r="K559" s="123">
        <v>0</v>
      </c>
      <c r="L559" s="123">
        <v>0</v>
      </c>
      <c r="M559" s="122">
        <v>0</v>
      </c>
      <c r="N559" s="123">
        <v>0</v>
      </c>
      <c r="O559" s="122">
        <v>0</v>
      </c>
      <c r="P559" s="123">
        <v>0</v>
      </c>
      <c r="Q559" s="117">
        <v>0</v>
      </c>
      <c r="R559" s="123">
        <v>0</v>
      </c>
      <c r="S559" s="119">
        <v>0</v>
      </c>
      <c r="T559" s="119">
        <v>0</v>
      </c>
      <c r="U559" s="119">
        <v>0</v>
      </c>
      <c r="V559" s="124" t="str">
        <f t="shared" si="33"/>
        <v>Added</v>
      </c>
    </row>
    <row r="560" spans="1:22" hidden="1">
      <c r="A560" s="451" t="s">
        <v>1654</v>
      </c>
      <c r="B560" s="114">
        <f>_xlfn.IFNA(VLOOKUP(Table1[[#This Row],[SKU]],'Kilter Holds'!$P$36:$S$370,4,0),0)</f>
        <v>24</v>
      </c>
      <c r="C560" s="407">
        <v>1</v>
      </c>
      <c r="D560" s="117">
        <v>0</v>
      </c>
      <c r="E560" s="123">
        <v>0</v>
      </c>
      <c r="F560" s="122">
        <v>0</v>
      </c>
      <c r="G560" s="123">
        <v>0</v>
      </c>
      <c r="H560" s="122">
        <v>0</v>
      </c>
      <c r="I560" s="123">
        <f t="shared" si="35"/>
        <v>24</v>
      </c>
      <c r="J560" s="122">
        <v>0</v>
      </c>
      <c r="K560" s="123">
        <v>0</v>
      </c>
      <c r="L560" s="123">
        <v>0</v>
      </c>
      <c r="M560" s="122">
        <v>0</v>
      </c>
      <c r="N560" s="123">
        <v>0</v>
      </c>
      <c r="O560" s="122">
        <v>0</v>
      </c>
      <c r="P560" s="123">
        <v>0</v>
      </c>
      <c r="Q560" s="117">
        <v>0</v>
      </c>
      <c r="R560" s="123">
        <v>0</v>
      </c>
      <c r="S560" s="119">
        <v>0</v>
      </c>
      <c r="T560" s="119">
        <v>0</v>
      </c>
      <c r="U560" s="119">
        <v>0</v>
      </c>
      <c r="V560" s="124" t="str">
        <f t="shared" si="33"/>
        <v>Added</v>
      </c>
    </row>
    <row r="561" spans="1:22" hidden="1">
      <c r="A561" s="451" t="s">
        <v>1861</v>
      </c>
      <c r="B561" s="114">
        <f>_xlfn.IFNA(VLOOKUP(Table1[[#This Row],[SKU]],'Kilter Holds'!$P$36:$S$370,4,0),0)</f>
        <v>26</v>
      </c>
      <c r="C561" s="407">
        <v>1</v>
      </c>
      <c r="D561" s="117">
        <v>0</v>
      </c>
      <c r="E561" s="123">
        <v>0</v>
      </c>
      <c r="F561" s="122">
        <v>0</v>
      </c>
      <c r="G561" s="123">
        <v>0</v>
      </c>
      <c r="H561" s="122">
        <v>0</v>
      </c>
      <c r="I561" s="123">
        <f t="shared" si="35"/>
        <v>26</v>
      </c>
      <c r="J561" s="122">
        <v>0</v>
      </c>
      <c r="K561" s="123">
        <v>0</v>
      </c>
      <c r="L561" s="123">
        <v>0</v>
      </c>
      <c r="M561" s="122">
        <v>0</v>
      </c>
      <c r="N561" s="123">
        <v>0</v>
      </c>
      <c r="O561" s="122">
        <v>0</v>
      </c>
      <c r="P561" s="123">
        <v>0</v>
      </c>
      <c r="Q561" s="117">
        <v>0</v>
      </c>
      <c r="R561" s="123">
        <v>0</v>
      </c>
      <c r="S561" s="119">
        <v>0</v>
      </c>
      <c r="T561" s="119">
        <v>0</v>
      </c>
      <c r="U561" s="119">
        <v>0</v>
      </c>
      <c r="V561" s="124" t="str">
        <f t="shared" si="33"/>
        <v>Added</v>
      </c>
    </row>
    <row r="562" spans="1:22" hidden="1">
      <c r="A562" s="451" t="s">
        <v>1805</v>
      </c>
      <c r="B562" s="114">
        <f>_xlfn.IFNA(VLOOKUP(Table1[[#This Row],[SKU]],'Kilter Holds'!$P$36:$S$370,4,0),0)</f>
        <v>20</v>
      </c>
      <c r="C562" s="407">
        <v>1</v>
      </c>
      <c r="D562" s="117">
        <v>0</v>
      </c>
      <c r="E562" s="123">
        <v>0</v>
      </c>
      <c r="F562" s="122">
        <v>0</v>
      </c>
      <c r="G562" s="123">
        <v>0</v>
      </c>
      <c r="H562" s="122">
        <v>0</v>
      </c>
      <c r="I562" s="123">
        <f t="shared" si="35"/>
        <v>20</v>
      </c>
      <c r="J562" s="122">
        <v>0</v>
      </c>
      <c r="K562" s="123">
        <v>0</v>
      </c>
      <c r="L562" s="123">
        <v>0</v>
      </c>
      <c r="M562" s="122">
        <v>0</v>
      </c>
      <c r="N562" s="123">
        <v>0</v>
      </c>
      <c r="O562" s="122">
        <v>0</v>
      </c>
      <c r="P562" s="123">
        <v>0</v>
      </c>
      <c r="Q562" s="117">
        <v>0</v>
      </c>
      <c r="R562" s="123">
        <v>0</v>
      </c>
      <c r="S562" s="119">
        <v>0</v>
      </c>
      <c r="T562" s="119">
        <v>0</v>
      </c>
      <c r="U562" s="119">
        <v>0</v>
      </c>
      <c r="V562" s="124" t="str">
        <f t="shared" si="33"/>
        <v>Added</v>
      </c>
    </row>
    <row r="563" spans="1:22" hidden="1">
      <c r="A563" s="451" t="s">
        <v>1657</v>
      </c>
      <c r="B563" s="114">
        <f>_xlfn.IFNA(VLOOKUP(Table1[[#This Row],[SKU]],'Kilter Holds'!$P$36:$S$370,4,0),0)</f>
        <v>24</v>
      </c>
      <c r="C563" s="407">
        <v>1</v>
      </c>
      <c r="D563" s="117">
        <v>0</v>
      </c>
      <c r="E563" s="123">
        <v>0</v>
      </c>
      <c r="F563" s="122">
        <v>0</v>
      </c>
      <c r="G563" s="123">
        <v>0</v>
      </c>
      <c r="H563" s="122">
        <v>0</v>
      </c>
      <c r="I563" s="123">
        <f t="shared" si="35"/>
        <v>24</v>
      </c>
      <c r="J563" s="122">
        <v>0</v>
      </c>
      <c r="K563" s="123">
        <v>0</v>
      </c>
      <c r="L563" s="123">
        <v>0</v>
      </c>
      <c r="M563" s="122">
        <v>0</v>
      </c>
      <c r="N563" s="123">
        <v>0</v>
      </c>
      <c r="O563" s="122">
        <v>0</v>
      </c>
      <c r="P563" s="123">
        <v>0</v>
      </c>
      <c r="Q563" s="117">
        <v>0</v>
      </c>
      <c r="R563" s="123">
        <v>0</v>
      </c>
      <c r="S563" s="119">
        <v>0</v>
      </c>
      <c r="T563" s="119">
        <v>0</v>
      </c>
      <c r="U563" s="119">
        <v>0</v>
      </c>
      <c r="V563" s="124" t="str">
        <f t="shared" si="33"/>
        <v>Added</v>
      </c>
    </row>
    <row r="564" spans="1:22" hidden="1">
      <c r="A564" s="451" t="s">
        <v>1846</v>
      </c>
      <c r="B564" s="114">
        <f>_xlfn.IFNA(VLOOKUP(Table1[[#This Row],[SKU]],'Kilter Holds'!$P$36:$S$370,4,0),0)</f>
        <v>23</v>
      </c>
      <c r="C564" s="407">
        <v>1</v>
      </c>
      <c r="D564" s="117">
        <v>0</v>
      </c>
      <c r="E564" s="123">
        <v>0</v>
      </c>
      <c r="F564" s="122">
        <v>0</v>
      </c>
      <c r="G564" s="123">
        <v>0</v>
      </c>
      <c r="H564" s="122">
        <v>0</v>
      </c>
      <c r="I564" s="123">
        <f t="shared" si="35"/>
        <v>23</v>
      </c>
      <c r="J564" s="122">
        <v>0</v>
      </c>
      <c r="K564" s="123">
        <v>0</v>
      </c>
      <c r="L564" s="123">
        <v>0</v>
      </c>
      <c r="M564" s="122">
        <v>0</v>
      </c>
      <c r="N564" s="123">
        <v>0</v>
      </c>
      <c r="O564" s="122">
        <v>0</v>
      </c>
      <c r="P564" s="123">
        <v>0</v>
      </c>
      <c r="Q564" s="117">
        <v>0</v>
      </c>
      <c r="R564" s="123">
        <v>0</v>
      </c>
      <c r="S564" s="119">
        <v>0</v>
      </c>
      <c r="T564" s="119">
        <v>0</v>
      </c>
      <c r="U564" s="119">
        <v>0</v>
      </c>
      <c r="V564" s="124" t="str">
        <f t="shared" si="33"/>
        <v>Added</v>
      </c>
    </row>
    <row r="565" spans="1:22" hidden="1">
      <c r="A565" s="451" t="s">
        <v>1845</v>
      </c>
      <c r="B565" s="114">
        <f>_xlfn.IFNA(VLOOKUP(Table1[[#This Row],[SKU]],'Kilter Holds'!$P$36:$S$370,4,0),0)</f>
        <v>24</v>
      </c>
      <c r="C565" s="407">
        <v>1</v>
      </c>
      <c r="D565" s="117">
        <v>0</v>
      </c>
      <c r="E565" s="123">
        <v>0</v>
      </c>
      <c r="F565" s="122">
        <v>0</v>
      </c>
      <c r="G565" s="123">
        <v>0</v>
      </c>
      <c r="H565" s="122">
        <v>0</v>
      </c>
      <c r="I565" s="123">
        <f t="shared" si="35"/>
        <v>24</v>
      </c>
      <c r="J565" s="122">
        <v>0</v>
      </c>
      <c r="K565" s="123">
        <v>0</v>
      </c>
      <c r="L565" s="123">
        <v>0</v>
      </c>
      <c r="M565" s="122">
        <v>0</v>
      </c>
      <c r="N565" s="123">
        <v>0</v>
      </c>
      <c r="O565" s="122">
        <v>0</v>
      </c>
      <c r="P565" s="123">
        <v>0</v>
      </c>
      <c r="Q565" s="117">
        <v>0</v>
      </c>
      <c r="R565" s="123">
        <v>0</v>
      </c>
      <c r="S565" s="119">
        <v>0</v>
      </c>
      <c r="T565" s="119">
        <v>0</v>
      </c>
      <c r="U565" s="119">
        <v>0</v>
      </c>
      <c r="V565" s="124" t="str">
        <f t="shared" si="33"/>
        <v>Added</v>
      </c>
    </row>
    <row r="566" spans="1:22" hidden="1">
      <c r="A566" s="451" t="s">
        <v>1653</v>
      </c>
      <c r="B566" s="114">
        <f>_xlfn.IFNA(VLOOKUP(Table1[[#This Row],[SKU]],'Kilter Holds'!$P$36:$S$370,4,0),0)</f>
        <v>26</v>
      </c>
      <c r="C566" s="407">
        <v>1</v>
      </c>
      <c r="D566" s="117">
        <v>0</v>
      </c>
      <c r="E566" s="123">
        <v>0</v>
      </c>
      <c r="F566" s="122">
        <v>0</v>
      </c>
      <c r="G566" s="123">
        <v>0</v>
      </c>
      <c r="H566" s="122">
        <v>0</v>
      </c>
      <c r="I566" s="123">
        <f t="shared" si="35"/>
        <v>26</v>
      </c>
      <c r="J566" s="122">
        <v>0</v>
      </c>
      <c r="K566" s="123">
        <v>0</v>
      </c>
      <c r="L566" s="123">
        <v>0</v>
      </c>
      <c r="M566" s="122">
        <v>0</v>
      </c>
      <c r="N566" s="123">
        <v>0</v>
      </c>
      <c r="O566" s="122">
        <v>0</v>
      </c>
      <c r="P566" s="123">
        <v>0</v>
      </c>
      <c r="Q566" s="117">
        <v>0</v>
      </c>
      <c r="R566" s="123">
        <v>0</v>
      </c>
      <c r="S566" s="119">
        <v>0</v>
      </c>
      <c r="T566" s="119">
        <v>0</v>
      </c>
      <c r="U566" s="119">
        <v>0</v>
      </c>
      <c r="V566" s="124" t="str">
        <f t="shared" si="33"/>
        <v>Added</v>
      </c>
    </row>
    <row r="567" spans="1:22" hidden="1">
      <c r="A567" s="451" t="s">
        <v>1703</v>
      </c>
      <c r="B567" s="114">
        <f>_xlfn.IFNA(VLOOKUP(Table1[[#This Row],[SKU]],'Kilter Holds'!$P$36:$S$370,4,0),0)</f>
        <v>23</v>
      </c>
      <c r="C567" s="407">
        <v>1</v>
      </c>
      <c r="D567" s="117">
        <v>0</v>
      </c>
      <c r="E567" s="123">
        <v>0</v>
      </c>
      <c r="F567" s="122">
        <v>0</v>
      </c>
      <c r="G567" s="123">
        <v>0</v>
      </c>
      <c r="H567" s="122">
        <v>0</v>
      </c>
      <c r="I567" s="123">
        <f t="shared" si="35"/>
        <v>23</v>
      </c>
      <c r="J567" s="122">
        <v>0</v>
      </c>
      <c r="K567" s="123">
        <v>0</v>
      </c>
      <c r="L567" s="123">
        <v>0</v>
      </c>
      <c r="M567" s="122">
        <v>0</v>
      </c>
      <c r="N567" s="123">
        <v>0</v>
      </c>
      <c r="O567" s="122">
        <v>0</v>
      </c>
      <c r="P567" s="123">
        <v>0</v>
      </c>
      <c r="Q567" s="117">
        <v>0</v>
      </c>
      <c r="R567" s="123">
        <v>0</v>
      </c>
      <c r="S567" s="119">
        <v>0</v>
      </c>
      <c r="T567" s="119">
        <v>0</v>
      </c>
      <c r="U567" s="119">
        <v>0</v>
      </c>
      <c r="V567" s="124" t="str">
        <f t="shared" si="33"/>
        <v>Added</v>
      </c>
    </row>
    <row r="568" spans="1:22" hidden="1">
      <c r="A568" s="451" t="s">
        <v>1850</v>
      </c>
      <c r="B568" s="114">
        <f>_xlfn.IFNA(VLOOKUP(Table1[[#This Row],[SKU]],'Kilter Holds'!$P$36:$S$370,4,0),0)</f>
        <v>23</v>
      </c>
      <c r="C568" s="407">
        <v>1</v>
      </c>
      <c r="D568" s="117">
        <v>0</v>
      </c>
      <c r="E568" s="123">
        <v>0</v>
      </c>
      <c r="F568" s="122">
        <v>0</v>
      </c>
      <c r="G568" s="123">
        <v>0</v>
      </c>
      <c r="H568" s="122">
        <v>0</v>
      </c>
      <c r="I568" s="123">
        <f t="shared" si="35"/>
        <v>23</v>
      </c>
      <c r="J568" s="122">
        <v>0</v>
      </c>
      <c r="K568" s="123">
        <v>0</v>
      </c>
      <c r="L568" s="123">
        <v>0</v>
      </c>
      <c r="M568" s="122">
        <v>0</v>
      </c>
      <c r="N568" s="123">
        <v>0</v>
      </c>
      <c r="O568" s="122">
        <v>0</v>
      </c>
      <c r="P568" s="123">
        <v>0</v>
      </c>
      <c r="Q568" s="117">
        <v>0</v>
      </c>
      <c r="R568" s="123">
        <v>0</v>
      </c>
      <c r="S568" s="119">
        <v>0</v>
      </c>
      <c r="T568" s="119">
        <v>0</v>
      </c>
      <c r="U568" s="119">
        <v>0</v>
      </c>
      <c r="V568" s="124" t="str">
        <f t="shared" si="33"/>
        <v>Added</v>
      </c>
    </row>
    <row r="569" spans="1:22" hidden="1">
      <c r="A569" s="451" t="s">
        <v>1899</v>
      </c>
      <c r="B569" s="114">
        <f>_xlfn.IFNA(VLOOKUP(Table1[[#This Row],[SKU]],'Kilter Holds'!$P$36:$S$370,4,0),0)</f>
        <v>22</v>
      </c>
      <c r="C569" s="407">
        <v>1</v>
      </c>
      <c r="D569" s="117">
        <v>0</v>
      </c>
      <c r="E569" s="123">
        <v>0</v>
      </c>
      <c r="F569" s="122">
        <v>0</v>
      </c>
      <c r="G569" s="123">
        <v>0</v>
      </c>
      <c r="H569" s="122">
        <v>0</v>
      </c>
      <c r="I569" s="123">
        <f t="shared" si="35"/>
        <v>22</v>
      </c>
      <c r="J569" s="122">
        <v>0</v>
      </c>
      <c r="K569" s="123">
        <v>0</v>
      </c>
      <c r="L569" s="123">
        <v>0</v>
      </c>
      <c r="M569" s="122">
        <v>0</v>
      </c>
      <c r="N569" s="123">
        <v>0</v>
      </c>
      <c r="O569" s="122">
        <v>0</v>
      </c>
      <c r="P569" s="123">
        <v>0</v>
      </c>
      <c r="Q569" s="117">
        <v>0</v>
      </c>
      <c r="R569" s="123">
        <v>0</v>
      </c>
      <c r="S569" s="119">
        <v>0</v>
      </c>
      <c r="T569" s="119">
        <v>0</v>
      </c>
      <c r="U569" s="119">
        <v>0</v>
      </c>
      <c r="V569" s="124" t="str">
        <f t="shared" si="33"/>
        <v>Added</v>
      </c>
    </row>
    <row r="570" spans="1:22" hidden="1">
      <c r="A570" s="451" t="s">
        <v>1856</v>
      </c>
      <c r="B570" s="114">
        <f>_xlfn.IFNA(VLOOKUP(Table1[[#This Row],[SKU]],'Kilter Holds'!$P$36:$S$370,4,0),0)</f>
        <v>21</v>
      </c>
      <c r="C570" s="407">
        <v>1</v>
      </c>
      <c r="D570" s="117">
        <v>0</v>
      </c>
      <c r="E570" s="123">
        <v>0</v>
      </c>
      <c r="F570" s="122">
        <v>0</v>
      </c>
      <c r="G570" s="123">
        <v>0</v>
      </c>
      <c r="H570" s="122">
        <v>0</v>
      </c>
      <c r="I570" s="123">
        <f t="shared" si="35"/>
        <v>21</v>
      </c>
      <c r="J570" s="122">
        <v>0</v>
      </c>
      <c r="K570" s="123">
        <v>0</v>
      </c>
      <c r="L570" s="123">
        <v>0</v>
      </c>
      <c r="M570" s="122">
        <v>0</v>
      </c>
      <c r="N570" s="123">
        <v>0</v>
      </c>
      <c r="O570" s="122">
        <v>0</v>
      </c>
      <c r="P570" s="123">
        <v>0</v>
      </c>
      <c r="Q570" s="117">
        <v>0</v>
      </c>
      <c r="R570" s="123">
        <v>0</v>
      </c>
      <c r="S570" s="119">
        <v>0</v>
      </c>
      <c r="T570" s="119">
        <v>0</v>
      </c>
      <c r="U570" s="119">
        <v>0</v>
      </c>
      <c r="V570" s="124" t="str">
        <f t="shared" si="33"/>
        <v>Added</v>
      </c>
    </row>
    <row r="571" spans="1:22" hidden="1">
      <c r="A571" s="451" t="s">
        <v>1859</v>
      </c>
      <c r="B571" s="114">
        <f>_xlfn.IFNA(VLOOKUP(Table1[[#This Row],[SKU]],'Kilter Holds'!$P$36:$S$370,4,0),0)</f>
        <v>23</v>
      </c>
      <c r="C571" s="407">
        <v>1</v>
      </c>
      <c r="D571" s="117">
        <v>0</v>
      </c>
      <c r="E571" s="123">
        <v>0</v>
      </c>
      <c r="F571" s="122">
        <v>0</v>
      </c>
      <c r="G571" s="123">
        <v>0</v>
      </c>
      <c r="H571" s="122">
        <v>0</v>
      </c>
      <c r="I571" s="123">
        <f t="shared" si="35"/>
        <v>23</v>
      </c>
      <c r="J571" s="122">
        <v>0</v>
      </c>
      <c r="K571" s="123">
        <v>0</v>
      </c>
      <c r="L571" s="123">
        <v>0</v>
      </c>
      <c r="M571" s="122">
        <v>0</v>
      </c>
      <c r="N571" s="123">
        <v>0</v>
      </c>
      <c r="O571" s="122">
        <v>0</v>
      </c>
      <c r="P571" s="123">
        <v>0</v>
      </c>
      <c r="Q571" s="117">
        <v>0</v>
      </c>
      <c r="R571" s="123">
        <v>0</v>
      </c>
      <c r="S571" s="119">
        <v>0</v>
      </c>
      <c r="T571" s="119">
        <v>0</v>
      </c>
      <c r="U571" s="119">
        <v>0</v>
      </c>
      <c r="V571" s="124" t="str">
        <f t="shared" si="33"/>
        <v>Added</v>
      </c>
    </row>
    <row r="572" spans="1:22" hidden="1">
      <c r="A572" s="451" t="s">
        <v>1723</v>
      </c>
      <c r="B572" s="114">
        <f>_xlfn.IFNA(VLOOKUP(Table1[[#This Row],[SKU]],'Kilter Holds'!$P$36:$S$370,4,0),0)</f>
        <v>20</v>
      </c>
      <c r="C572" s="407">
        <v>1</v>
      </c>
      <c r="D572" s="117">
        <v>0</v>
      </c>
      <c r="E572" s="123">
        <v>0</v>
      </c>
      <c r="F572" s="122">
        <v>0</v>
      </c>
      <c r="G572" s="123">
        <v>0</v>
      </c>
      <c r="H572" s="122">
        <v>0</v>
      </c>
      <c r="I572" s="123">
        <f t="shared" si="35"/>
        <v>20</v>
      </c>
      <c r="J572" s="122">
        <v>0</v>
      </c>
      <c r="K572" s="123">
        <v>0</v>
      </c>
      <c r="L572" s="123">
        <v>0</v>
      </c>
      <c r="M572" s="122">
        <v>0</v>
      </c>
      <c r="N572" s="123">
        <v>0</v>
      </c>
      <c r="O572" s="122">
        <v>0</v>
      </c>
      <c r="P572" s="123">
        <v>0</v>
      </c>
      <c r="Q572" s="117">
        <v>0</v>
      </c>
      <c r="R572" s="123">
        <v>0</v>
      </c>
      <c r="S572" s="119">
        <v>0</v>
      </c>
      <c r="T572" s="119">
        <v>0</v>
      </c>
      <c r="U572" s="119">
        <v>0</v>
      </c>
      <c r="V572" s="124" t="str">
        <f t="shared" si="33"/>
        <v>Added</v>
      </c>
    </row>
    <row r="573" spans="1:22" hidden="1">
      <c r="A573" s="451" t="s">
        <v>1736</v>
      </c>
      <c r="B573" s="114">
        <f>_xlfn.IFNA(VLOOKUP(Table1[[#This Row],[SKU]],'Kilter Holds'!$P$36:$S$370,4,0),0)</f>
        <v>22</v>
      </c>
      <c r="C573" s="407">
        <v>1</v>
      </c>
      <c r="D573" s="117">
        <v>0</v>
      </c>
      <c r="E573" s="123">
        <v>0</v>
      </c>
      <c r="F573" s="122">
        <v>0</v>
      </c>
      <c r="G573" s="123">
        <v>0</v>
      </c>
      <c r="H573" s="122">
        <v>0</v>
      </c>
      <c r="I573" s="123">
        <f t="shared" si="35"/>
        <v>22</v>
      </c>
      <c r="J573" s="122">
        <v>0</v>
      </c>
      <c r="K573" s="123">
        <v>0</v>
      </c>
      <c r="L573" s="123">
        <v>0</v>
      </c>
      <c r="M573" s="122">
        <v>0</v>
      </c>
      <c r="N573" s="123">
        <v>0</v>
      </c>
      <c r="O573" s="122">
        <v>0</v>
      </c>
      <c r="P573" s="123">
        <v>0</v>
      </c>
      <c r="Q573" s="117">
        <v>0</v>
      </c>
      <c r="R573" s="123">
        <v>0</v>
      </c>
      <c r="S573" s="119">
        <v>0</v>
      </c>
      <c r="T573" s="119">
        <v>0</v>
      </c>
      <c r="U573" s="119">
        <v>0</v>
      </c>
      <c r="V573" s="124" t="str">
        <f t="shared" si="33"/>
        <v>Added</v>
      </c>
    </row>
    <row r="574" spans="1:22" hidden="1">
      <c r="A574" s="451" t="s">
        <v>1901</v>
      </c>
      <c r="B574" s="114">
        <f>_xlfn.IFNA(VLOOKUP(Table1[[#This Row],[SKU]],'Kilter Holds'!$P$36:$S$370,4,0),0)</f>
        <v>17</v>
      </c>
      <c r="C574" s="407">
        <v>1</v>
      </c>
      <c r="D574" s="117">
        <v>0</v>
      </c>
      <c r="E574" s="123">
        <v>0</v>
      </c>
      <c r="F574" s="122">
        <v>0</v>
      </c>
      <c r="G574" s="123">
        <v>0</v>
      </c>
      <c r="H574" s="122">
        <v>0</v>
      </c>
      <c r="I574" s="123">
        <f t="shared" si="35"/>
        <v>17</v>
      </c>
      <c r="J574" s="122">
        <v>0</v>
      </c>
      <c r="K574" s="123">
        <v>0</v>
      </c>
      <c r="L574" s="123">
        <v>0</v>
      </c>
      <c r="M574" s="122">
        <v>0</v>
      </c>
      <c r="N574" s="123">
        <v>0</v>
      </c>
      <c r="O574" s="122">
        <v>0</v>
      </c>
      <c r="P574" s="123">
        <v>0</v>
      </c>
      <c r="Q574" s="117">
        <v>0</v>
      </c>
      <c r="R574" s="123">
        <v>0</v>
      </c>
      <c r="S574" s="119">
        <v>0</v>
      </c>
      <c r="T574" s="119">
        <v>0</v>
      </c>
      <c r="U574" s="119">
        <v>0</v>
      </c>
      <c r="V574" s="124" t="str">
        <f t="shared" si="33"/>
        <v>Added</v>
      </c>
    </row>
    <row r="575" spans="1:22" hidden="1">
      <c r="A575" s="451" t="s">
        <v>1709</v>
      </c>
      <c r="B575" s="114">
        <f>_xlfn.IFNA(VLOOKUP(Table1[[#This Row],[SKU]],'Kilter Holds'!$P$36:$S$370,4,0),0)</f>
        <v>23</v>
      </c>
      <c r="C575" s="407">
        <v>1</v>
      </c>
      <c r="D575" s="117">
        <v>0</v>
      </c>
      <c r="E575" s="123">
        <v>0</v>
      </c>
      <c r="F575" s="122">
        <v>0</v>
      </c>
      <c r="G575" s="123">
        <v>0</v>
      </c>
      <c r="H575" s="122">
        <v>0</v>
      </c>
      <c r="I575" s="123">
        <f t="shared" si="35"/>
        <v>23</v>
      </c>
      <c r="J575" s="122">
        <v>0</v>
      </c>
      <c r="K575" s="123">
        <v>0</v>
      </c>
      <c r="L575" s="123">
        <v>0</v>
      </c>
      <c r="M575" s="122">
        <v>0</v>
      </c>
      <c r="N575" s="123">
        <v>0</v>
      </c>
      <c r="O575" s="122">
        <v>0</v>
      </c>
      <c r="P575" s="123">
        <v>0</v>
      </c>
      <c r="Q575" s="117">
        <v>0</v>
      </c>
      <c r="R575" s="123">
        <v>0</v>
      </c>
      <c r="S575" s="119">
        <v>0</v>
      </c>
      <c r="T575" s="119">
        <v>0</v>
      </c>
      <c r="U575" s="119">
        <v>0</v>
      </c>
      <c r="V575" s="124" t="str">
        <f t="shared" si="33"/>
        <v>Added</v>
      </c>
    </row>
    <row r="576" spans="1:22" hidden="1">
      <c r="A576" s="451" t="s">
        <v>1725</v>
      </c>
      <c r="B576" s="114">
        <f>_xlfn.IFNA(VLOOKUP(Table1[[#This Row],[SKU]],'Kilter Holds'!$P$36:$S$370,4,0),0)</f>
        <v>23</v>
      </c>
      <c r="C576" s="407">
        <v>1</v>
      </c>
      <c r="D576" s="117">
        <v>0</v>
      </c>
      <c r="E576" s="123">
        <v>0</v>
      </c>
      <c r="F576" s="122">
        <v>0</v>
      </c>
      <c r="G576" s="123">
        <v>0</v>
      </c>
      <c r="H576" s="122">
        <v>0</v>
      </c>
      <c r="I576" s="123">
        <f t="shared" si="35"/>
        <v>23</v>
      </c>
      <c r="J576" s="122">
        <v>0</v>
      </c>
      <c r="K576" s="123">
        <v>0</v>
      </c>
      <c r="L576" s="123">
        <v>0</v>
      </c>
      <c r="M576" s="122">
        <v>0</v>
      </c>
      <c r="N576" s="123">
        <v>0</v>
      </c>
      <c r="O576" s="122">
        <v>0</v>
      </c>
      <c r="P576" s="123">
        <v>0</v>
      </c>
      <c r="Q576" s="117">
        <v>0</v>
      </c>
      <c r="R576" s="123">
        <v>0</v>
      </c>
      <c r="S576" s="119">
        <v>0</v>
      </c>
      <c r="T576" s="119">
        <v>0</v>
      </c>
      <c r="U576" s="119">
        <v>0</v>
      </c>
      <c r="V576" s="124" t="str">
        <f t="shared" si="33"/>
        <v>Added</v>
      </c>
    </row>
    <row r="577" spans="1:22" hidden="1">
      <c r="A577" s="451" t="s">
        <v>1969</v>
      </c>
      <c r="B577" s="114">
        <f>_xlfn.IFNA(VLOOKUP(Table1[[#This Row],[SKU]],'Kilter Holds'!$P$36:$S$370,4,0),0)</f>
        <v>27</v>
      </c>
      <c r="C577" s="407">
        <v>1</v>
      </c>
      <c r="D577" s="117">
        <v>0</v>
      </c>
      <c r="E577" s="123">
        <v>0</v>
      </c>
      <c r="F577" s="122">
        <v>0</v>
      </c>
      <c r="G577" s="123">
        <v>0</v>
      </c>
      <c r="H577" s="122">
        <v>0</v>
      </c>
      <c r="I577" s="123">
        <f t="shared" si="35"/>
        <v>27</v>
      </c>
      <c r="J577" s="122">
        <v>0</v>
      </c>
      <c r="K577" s="123">
        <v>0</v>
      </c>
      <c r="L577" s="123">
        <v>0</v>
      </c>
      <c r="M577" s="122">
        <v>0</v>
      </c>
      <c r="N577" s="123">
        <v>0</v>
      </c>
      <c r="O577" s="122">
        <v>0</v>
      </c>
      <c r="P577" s="123">
        <v>0</v>
      </c>
      <c r="Q577" s="117">
        <v>0</v>
      </c>
      <c r="R577" s="123">
        <v>0</v>
      </c>
      <c r="S577" s="119">
        <v>0</v>
      </c>
      <c r="T577" s="119">
        <v>0</v>
      </c>
      <c r="U577" s="119">
        <v>0</v>
      </c>
      <c r="V577" s="124" t="str">
        <f t="shared" si="33"/>
        <v>Added</v>
      </c>
    </row>
    <row r="578" spans="1:22" hidden="1">
      <c r="A578" s="451" t="s">
        <v>1971</v>
      </c>
      <c r="B578" s="114">
        <f>_xlfn.IFNA(VLOOKUP(Table1[[#This Row],[SKU]],'Kilter Holds'!$P$36:$S$370,4,0),0)</f>
        <v>3</v>
      </c>
      <c r="C578" s="407">
        <v>5</v>
      </c>
      <c r="D578" s="117">
        <v>0</v>
      </c>
      <c r="E578" s="123">
        <v>0</v>
      </c>
      <c r="F578" s="122">
        <v>0</v>
      </c>
      <c r="G578" s="123">
        <v>0</v>
      </c>
      <c r="H578" s="122">
        <v>0</v>
      </c>
      <c r="I578" s="123">
        <v>0</v>
      </c>
      <c r="J578" s="122">
        <v>0</v>
      </c>
      <c r="K578" s="123">
        <v>0</v>
      </c>
      <c r="L578" s="123">
        <v>0</v>
      </c>
      <c r="M578" s="122">
        <v>0</v>
      </c>
      <c r="N578" s="123">
        <v>0</v>
      </c>
      <c r="O578" s="122">
        <v>0</v>
      </c>
      <c r="P578" s="123">
        <v>0</v>
      </c>
      <c r="Q578" s="117">
        <v>0</v>
      </c>
      <c r="R578" s="123">
        <f>IFERROR(15*B578,0)</f>
        <v>45</v>
      </c>
      <c r="S578" s="119">
        <v>0</v>
      </c>
      <c r="T578" s="119">
        <v>0</v>
      </c>
      <c r="U578" s="119">
        <v>0</v>
      </c>
      <c r="V578" s="124" t="str">
        <f t="shared" si="33"/>
        <v>Added</v>
      </c>
    </row>
    <row r="579" spans="1:22" hidden="1">
      <c r="A579" s="451" t="s">
        <v>1907</v>
      </c>
      <c r="B579" s="114">
        <f>_xlfn.IFNA(VLOOKUP(Table1[[#This Row],[SKU]],'Kilter Holds'!$P$36:$S$370,4,0),0)</f>
        <v>23</v>
      </c>
      <c r="C579" s="407">
        <v>1</v>
      </c>
      <c r="D579" s="117">
        <v>0</v>
      </c>
      <c r="E579" s="123">
        <v>0</v>
      </c>
      <c r="F579" s="122">
        <v>0</v>
      </c>
      <c r="G579" s="123">
        <v>0</v>
      </c>
      <c r="H579" s="122">
        <v>0</v>
      </c>
      <c r="I579" s="123">
        <f t="shared" ref="I579:I608" si="36">IFERROR(1*B579,0)</f>
        <v>23</v>
      </c>
      <c r="J579" s="122">
        <v>0</v>
      </c>
      <c r="K579" s="123">
        <v>0</v>
      </c>
      <c r="L579" s="123">
        <v>0</v>
      </c>
      <c r="M579" s="122">
        <v>0</v>
      </c>
      <c r="N579" s="123">
        <v>0</v>
      </c>
      <c r="O579" s="122">
        <v>0</v>
      </c>
      <c r="P579" s="123">
        <v>0</v>
      </c>
      <c r="Q579" s="117">
        <v>0</v>
      </c>
      <c r="R579" s="123">
        <v>0</v>
      </c>
      <c r="S579" s="119">
        <v>0</v>
      </c>
      <c r="T579" s="119">
        <v>0</v>
      </c>
      <c r="U579" s="119">
        <v>0</v>
      </c>
      <c r="V579" s="124" t="str">
        <f t="shared" si="33"/>
        <v>Added</v>
      </c>
    </row>
    <row r="580" spans="1:22" hidden="1">
      <c r="A580" s="460" t="s">
        <v>2503</v>
      </c>
      <c r="B580" s="114">
        <f>_xlfn.IFNA(VLOOKUP(Table1[[#This Row],[SKU]],'Kilter Holds'!$P$36:$S$370,4,0),0)</f>
        <v>20</v>
      </c>
      <c r="C580" s="407">
        <v>1</v>
      </c>
      <c r="D580" s="117">
        <v>0</v>
      </c>
      <c r="E580" s="123">
        <v>0</v>
      </c>
      <c r="F580" s="122">
        <v>0</v>
      </c>
      <c r="G580" s="123">
        <v>0</v>
      </c>
      <c r="H580" s="122">
        <v>0</v>
      </c>
      <c r="I580" s="123">
        <f t="shared" ref="I580:I582" si="37">IFERROR(1*B580,0)</f>
        <v>20</v>
      </c>
      <c r="J580" s="122">
        <v>0</v>
      </c>
      <c r="K580" s="123">
        <v>0</v>
      </c>
      <c r="L580" s="123">
        <v>0</v>
      </c>
      <c r="M580" s="122">
        <v>0</v>
      </c>
      <c r="N580" s="123">
        <v>0</v>
      </c>
      <c r="O580" s="122">
        <v>0</v>
      </c>
      <c r="P580" s="123">
        <v>0</v>
      </c>
      <c r="Q580" s="117">
        <v>0</v>
      </c>
      <c r="R580" s="123">
        <v>0</v>
      </c>
      <c r="S580" s="119">
        <v>0</v>
      </c>
      <c r="T580" s="119">
        <v>0</v>
      </c>
      <c r="U580" s="119">
        <v>0</v>
      </c>
      <c r="V580" s="124" t="str">
        <f t="shared" ref="V580:V582" si="38">IF(B580&gt;0,"Added"," ")</f>
        <v>Added</v>
      </c>
    </row>
    <row r="581" spans="1:22" hidden="1">
      <c r="A581" s="460" t="s">
        <v>2505</v>
      </c>
      <c r="B581" s="114">
        <f>_xlfn.IFNA(VLOOKUP(Table1[[#This Row],[SKU]],'Kilter Holds'!$P$36:$S$370,4,0),0)</f>
        <v>28</v>
      </c>
      <c r="C581" s="407">
        <v>1</v>
      </c>
      <c r="D581" s="117">
        <v>0</v>
      </c>
      <c r="E581" s="123">
        <v>0</v>
      </c>
      <c r="F581" s="122">
        <v>0</v>
      </c>
      <c r="G581" s="123">
        <v>0</v>
      </c>
      <c r="H581" s="122">
        <v>0</v>
      </c>
      <c r="I581" s="123">
        <f t="shared" si="37"/>
        <v>28</v>
      </c>
      <c r="J581" s="122">
        <v>0</v>
      </c>
      <c r="K581" s="123">
        <v>0</v>
      </c>
      <c r="L581" s="123">
        <v>0</v>
      </c>
      <c r="M581" s="122">
        <v>0</v>
      </c>
      <c r="N581" s="123">
        <v>0</v>
      </c>
      <c r="O581" s="122">
        <v>0</v>
      </c>
      <c r="P581" s="123">
        <v>0</v>
      </c>
      <c r="Q581" s="117">
        <v>0</v>
      </c>
      <c r="R581" s="123">
        <v>0</v>
      </c>
      <c r="S581" s="119">
        <v>0</v>
      </c>
      <c r="T581" s="119">
        <v>0</v>
      </c>
      <c r="U581" s="119">
        <v>0</v>
      </c>
      <c r="V581" s="124" t="str">
        <f t="shared" si="38"/>
        <v>Added</v>
      </c>
    </row>
    <row r="582" spans="1:22" hidden="1">
      <c r="A582" s="460" t="s">
        <v>2506</v>
      </c>
      <c r="B582" s="114">
        <f>_xlfn.IFNA(VLOOKUP(Table1[[#This Row],[SKU]],'Kilter Holds'!$P$36:$S$370,4,0),0)</f>
        <v>23</v>
      </c>
      <c r="C582" s="407">
        <v>1</v>
      </c>
      <c r="D582" s="117">
        <v>0</v>
      </c>
      <c r="E582" s="123">
        <v>0</v>
      </c>
      <c r="F582" s="122">
        <v>0</v>
      </c>
      <c r="G582" s="123">
        <v>0</v>
      </c>
      <c r="H582" s="122">
        <v>0</v>
      </c>
      <c r="I582" s="123">
        <f t="shared" si="37"/>
        <v>23</v>
      </c>
      <c r="J582" s="122">
        <v>0</v>
      </c>
      <c r="K582" s="123">
        <v>0</v>
      </c>
      <c r="L582" s="123">
        <v>0</v>
      </c>
      <c r="M582" s="122">
        <v>0</v>
      </c>
      <c r="N582" s="123">
        <v>0</v>
      </c>
      <c r="O582" s="122">
        <v>0</v>
      </c>
      <c r="P582" s="123">
        <v>0</v>
      </c>
      <c r="Q582" s="117">
        <v>0</v>
      </c>
      <c r="R582" s="123">
        <v>0</v>
      </c>
      <c r="S582" s="119">
        <v>0</v>
      </c>
      <c r="T582" s="119">
        <v>0</v>
      </c>
      <c r="U582" s="119">
        <v>0</v>
      </c>
      <c r="V582" s="124" t="str">
        <f t="shared" si="38"/>
        <v>Added</v>
      </c>
    </row>
    <row r="583" spans="1:22" hidden="1">
      <c r="A583" s="460" t="s">
        <v>2106</v>
      </c>
      <c r="B583" s="114">
        <f>_xlfn.IFNA(VLOOKUP(Table1[[#This Row],[SKU]],'Kilter Holds'!$P$36:$S$370,4,0),0)</f>
        <v>24</v>
      </c>
      <c r="C583" s="407">
        <v>1</v>
      </c>
      <c r="D583" s="117">
        <v>0</v>
      </c>
      <c r="E583" s="123">
        <v>0</v>
      </c>
      <c r="F583" s="122">
        <v>0</v>
      </c>
      <c r="G583" s="123">
        <v>0</v>
      </c>
      <c r="H583" s="122">
        <v>0</v>
      </c>
      <c r="I583" s="123">
        <f t="shared" si="36"/>
        <v>24</v>
      </c>
      <c r="J583" s="122">
        <v>0</v>
      </c>
      <c r="K583" s="123">
        <v>0</v>
      </c>
      <c r="L583" s="123">
        <v>0</v>
      </c>
      <c r="M583" s="122">
        <v>0</v>
      </c>
      <c r="N583" s="123">
        <v>0</v>
      </c>
      <c r="O583" s="122">
        <v>0</v>
      </c>
      <c r="P583" s="123">
        <v>0</v>
      </c>
      <c r="Q583" s="117">
        <v>0</v>
      </c>
      <c r="R583" s="123">
        <v>0</v>
      </c>
      <c r="S583" s="119">
        <v>0</v>
      </c>
      <c r="T583" s="119">
        <v>0</v>
      </c>
      <c r="U583" s="119">
        <v>0</v>
      </c>
      <c r="V583" s="124" t="str">
        <f t="shared" si="33"/>
        <v>Added</v>
      </c>
    </row>
    <row r="584" spans="1:22" hidden="1">
      <c r="A584" s="460" t="s">
        <v>2107</v>
      </c>
      <c r="B584" s="114">
        <f>_xlfn.IFNA(VLOOKUP(Table1[[#This Row],[SKU]],'Kilter Holds'!$P$36:$S$370,4,0),0)</f>
        <v>22</v>
      </c>
      <c r="C584" s="407">
        <v>1</v>
      </c>
      <c r="D584" s="117">
        <v>0</v>
      </c>
      <c r="E584" s="123">
        <v>0</v>
      </c>
      <c r="F584" s="122">
        <v>0</v>
      </c>
      <c r="G584" s="123">
        <v>0</v>
      </c>
      <c r="H584" s="122">
        <v>0</v>
      </c>
      <c r="I584" s="123">
        <f t="shared" si="36"/>
        <v>22</v>
      </c>
      <c r="J584" s="122">
        <v>0</v>
      </c>
      <c r="K584" s="123">
        <v>0</v>
      </c>
      <c r="L584" s="123">
        <v>0</v>
      </c>
      <c r="M584" s="122">
        <v>0</v>
      </c>
      <c r="N584" s="123">
        <v>0</v>
      </c>
      <c r="O584" s="122">
        <v>0</v>
      </c>
      <c r="P584" s="123">
        <v>0</v>
      </c>
      <c r="Q584" s="117">
        <v>0</v>
      </c>
      <c r="R584" s="123">
        <v>0</v>
      </c>
      <c r="S584" s="119">
        <v>0</v>
      </c>
      <c r="T584" s="119">
        <v>0</v>
      </c>
      <c r="U584" s="119">
        <v>0</v>
      </c>
      <c r="V584" s="124" t="str">
        <f t="shared" si="33"/>
        <v>Added</v>
      </c>
    </row>
    <row r="585" spans="1:22" hidden="1">
      <c r="A585" s="451" t="s">
        <v>1965</v>
      </c>
      <c r="B585" s="114">
        <f>_xlfn.IFNA(VLOOKUP(Table1[[#This Row],[SKU]],'Kilter Holds'!$P$36:$S$370,4,0),0)</f>
        <v>23</v>
      </c>
      <c r="C585" s="407">
        <v>1</v>
      </c>
      <c r="D585" s="117">
        <v>0</v>
      </c>
      <c r="E585" s="123">
        <v>0</v>
      </c>
      <c r="F585" s="122">
        <v>0</v>
      </c>
      <c r="G585" s="123">
        <v>0</v>
      </c>
      <c r="H585" s="122">
        <v>0</v>
      </c>
      <c r="I585" s="123">
        <f t="shared" si="36"/>
        <v>23</v>
      </c>
      <c r="J585" s="122">
        <v>0</v>
      </c>
      <c r="K585" s="123">
        <v>0</v>
      </c>
      <c r="L585" s="123">
        <v>0</v>
      </c>
      <c r="M585" s="122">
        <v>0</v>
      </c>
      <c r="N585" s="123">
        <v>0</v>
      </c>
      <c r="O585" s="122">
        <v>0</v>
      </c>
      <c r="P585" s="123">
        <v>0</v>
      </c>
      <c r="Q585" s="117">
        <v>0</v>
      </c>
      <c r="R585" s="123">
        <v>0</v>
      </c>
      <c r="S585" s="119">
        <v>0</v>
      </c>
      <c r="T585" s="119">
        <v>0</v>
      </c>
      <c r="U585" s="119">
        <v>0</v>
      </c>
      <c r="V585" s="124" t="str">
        <f t="shared" ref="V585:V740" si="39">IF(B585&gt;0,"Added"," ")</f>
        <v>Added</v>
      </c>
    </row>
    <row r="586" spans="1:22" hidden="1">
      <c r="A586" s="451" t="s">
        <v>1975</v>
      </c>
      <c r="B586" s="114">
        <f>_xlfn.IFNA(VLOOKUP(Table1[[#This Row],[SKU]],'Kilter Holds'!$P$36:$S$370,4,0),0)</f>
        <v>26</v>
      </c>
      <c r="C586" s="407">
        <v>1</v>
      </c>
      <c r="D586" s="117">
        <v>0</v>
      </c>
      <c r="E586" s="123">
        <v>0</v>
      </c>
      <c r="F586" s="122">
        <v>0</v>
      </c>
      <c r="G586" s="123">
        <v>0</v>
      </c>
      <c r="H586" s="122">
        <v>0</v>
      </c>
      <c r="I586" s="123">
        <f t="shared" si="36"/>
        <v>26</v>
      </c>
      <c r="J586" s="122">
        <v>0</v>
      </c>
      <c r="K586" s="123">
        <v>0</v>
      </c>
      <c r="L586" s="123">
        <v>0</v>
      </c>
      <c r="M586" s="122">
        <v>0</v>
      </c>
      <c r="N586" s="123">
        <v>0</v>
      </c>
      <c r="O586" s="122">
        <v>0</v>
      </c>
      <c r="P586" s="123">
        <v>0</v>
      </c>
      <c r="Q586" s="117">
        <v>0</v>
      </c>
      <c r="R586" s="123">
        <v>0</v>
      </c>
      <c r="S586" s="119">
        <v>0</v>
      </c>
      <c r="T586" s="119">
        <v>0</v>
      </c>
      <c r="U586" s="119">
        <v>0</v>
      </c>
      <c r="V586" s="124" t="str">
        <f t="shared" si="39"/>
        <v>Added</v>
      </c>
    </row>
    <row r="587" spans="1:22" hidden="1">
      <c r="A587" s="451" t="s">
        <v>1658</v>
      </c>
      <c r="B587" s="114">
        <f>_xlfn.IFNA(VLOOKUP(Table1[[#This Row],[SKU]],'Kilter Holds'!$P$36:$S$370,4,0),0)</f>
        <v>24</v>
      </c>
      <c r="C587" s="407">
        <v>1</v>
      </c>
      <c r="D587" s="117">
        <v>0</v>
      </c>
      <c r="E587" s="123">
        <v>0</v>
      </c>
      <c r="F587" s="122">
        <v>0</v>
      </c>
      <c r="G587" s="123">
        <v>0</v>
      </c>
      <c r="H587" s="122">
        <v>0</v>
      </c>
      <c r="I587" s="123">
        <f t="shared" si="36"/>
        <v>24</v>
      </c>
      <c r="J587" s="122">
        <v>0</v>
      </c>
      <c r="K587" s="123">
        <v>0</v>
      </c>
      <c r="L587" s="123">
        <v>0</v>
      </c>
      <c r="M587" s="122">
        <v>0</v>
      </c>
      <c r="N587" s="123">
        <v>0</v>
      </c>
      <c r="O587" s="122">
        <v>0</v>
      </c>
      <c r="P587" s="123">
        <v>0</v>
      </c>
      <c r="Q587" s="117">
        <v>0</v>
      </c>
      <c r="R587" s="123">
        <v>0</v>
      </c>
      <c r="S587" s="119">
        <v>0</v>
      </c>
      <c r="T587" s="119">
        <v>0</v>
      </c>
      <c r="U587" s="119">
        <v>0</v>
      </c>
      <c r="V587" s="124" t="str">
        <f t="shared" si="39"/>
        <v>Added</v>
      </c>
    </row>
    <row r="588" spans="1:22" hidden="1">
      <c r="A588" s="451" t="s">
        <v>1719</v>
      </c>
      <c r="B588" s="114">
        <f>_xlfn.IFNA(VLOOKUP(Table1[[#This Row],[SKU]],'Kilter Holds'!$P$36:$S$370,4,0),0)</f>
        <v>22</v>
      </c>
      <c r="C588" s="407">
        <v>1</v>
      </c>
      <c r="D588" s="117">
        <v>0</v>
      </c>
      <c r="E588" s="123">
        <v>0</v>
      </c>
      <c r="F588" s="122">
        <v>0</v>
      </c>
      <c r="G588" s="123">
        <v>0</v>
      </c>
      <c r="H588" s="122">
        <v>0</v>
      </c>
      <c r="I588" s="123">
        <f t="shared" si="36"/>
        <v>22</v>
      </c>
      <c r="J588" s="122">
        <v>0</v>
      </c>
      <c r="K588" s="123">
        <v>0</v>
      </c>
      <c r="L588" s="123">
        <v>0</v>
      </c>
      <c r="M588" s="122">
        <v>0</v>
      </c>
      <c r="N588" s="123">
        <v>0</v>
      </c>
      <c r="O588" s="122">
        <v>0</v>
      </c>
      <c r="P588" s="123">
        <v>0</v>
      </c>
      <c r="Q588" s="117">
        <v>0</v>
      </c>
      <c r="R588" s="123">
        <v>0</v>
      </c>
      <c r="S588" s="119">
        <v>0</v>
      </c>
      <c r="T588" s="119">
        <v>0</v>
      </c>
      <c r="U588" s="119">
        <v>0</v>
      </c>
      <c r="V588" s="124" t="str">
        <f t="shared" si="39"/>
        <v>Added</v>
      </c>
    </row>
    <row r="589" spans="1:22" hidden="1">
      <c r="A589" s="451" t="s">
        <v>1852</v>
      </c>
      <c r="B589" s="114">
        <f>_xlfn.IFNA(VLOOKUP(Table1[[#This Row],[SKU]],'Kilter Holds'!$P$36:$S$370,4,0),0)</f>
        <v>21</v>
      </c>
      <c r="C589" s="407">
        <v>1</v>
      </c>
      <c r="D589" s="117">
        <v>0</v>
      </c>
      <c r="E589" s="123">
        <v>0</v>
      </c>
      <c r="F589" s="122">
        <v>0</v>
      </c>
      <c r="G589" s="123">
        <v>0</v>
      </c>
      <c r="H589" s="122">
        <v>0</v>
      </c>
      <c r="I589" s="123">
        <f t="shared" si="36"/>
        <v>21</v>
      </c>
      <c r="J589" s="122">
        <v>0</v>
      </c>
      <c r="K589" s="123">
        <v>0</v>
      </c>
      <c r="L589" s="123">
        <v>0</v>
      </c>
      <c r="M589" s="122">
        <v>0</v>
      </c>
      <c r="N589" s="123">
        <v>0</v>
      </c>
      <c r="O589" s="122">
        <v>0</v>
      </c>
      <c r="P589" s="123">
        <v>0</v>
      </c>
      <c r="Q589" s="117">
        <v>0</v>
      </c>
      <c r="R589" s="123">
        <v>0</v>
      </c>
      <c r="S589" s="119">
        <v>0</v>
      </c>
      <c r="T589" s="119">
        <v>0</v>
      </c>
      <c r="U589" s="119">
        <v>0</v>
      </c>
      <c r="V589" s="124" t="str">
        <f t="shared" si="39"/>
        <v>Added</v>
      </c>
    </row>
    <row r="590" spans="1:22" hidden="1">
      <c r="A590" s="451" t="s">
        <v>1734</v>
      </c>
      <c r="B590" s="114">
        <f>_xlfn.IFNA(VLOOKUP(Table1[[#This Row],[SKU]],'Kilter Holds'!$P$36:$S$370,4,0),0)</f>
        <v>22</v>
      </c>
      <c r="C590" s="407">
        <v>1</v>
      </c>
      <c r="D590" s="117">
        <v>0</v>
      </c>
      <c r="E590" s="123">
        <v>0</v>
      </c>
      <c r="F590" s="122">
        <v>0</v>
      </c>
      <c r="G590" s="123">
        <v>0</v>
      </c>
      <c r="H590" s="122">
        <v>0</v>
      </c>
      <c r="I590" s="123">
        <f t="shared" si="36"/>
        <v>22</v>
      </c>
      <c r="J590" s="122">
        <v>0</v>
      </c>
      <c r="K590" s="123">
        <v>0</v>
      </c>
      <c r="L590" s="123">
        <v>0</v>
      </c>
      <c r="M590" s="122">
        <v>0</v>
      </c>
      <c r="N590" s="123">
        <v>0</v>
      </c>
      <c r="O590" s="122">
        <v>0</v>
      </c>
      <c r="P590" s="123">
        <v>0</v>
      </c>
      <c r="Q590" s="117">
        <v>0</v>
      </c>
      <c r="R590" s="123">
        <v>0</v>
      </c>
      <c r="S590" s="119">
        <v>0</v>
      </c>
      <c r="T590" s="119">
        <v>0</v>
      </c>
      <c r="U590" s="119">
        <v>0</v>
      </c>
      <c r="V590" s="124" t="str">
        <f t="shared" si="39"/>
        <v>Added</v>
      </c>
    </row>
    <row r="591" spans="1:22" hidden="1">
      <c r="A591" s="451" t="s">
        <v>1705</v>
      </c>
      <c r="B591" s="114">
        <f>_xlfn.IFNA(VLOOKUP(Table1[[#This Row],[SKU]],'Kilter Holds'!$P$36:$S$370,4,0),0)</f>
        <v>21</v>
      </c>
      <c r="C591" s="407">
        <v>1</v>
      </c>
      <c r="D591" s="117">
        <v>0</v>
      </c>
      <c r="E591" s="123">
        <v>0</v>
      </c>
      <c r="F591" s="122">
        <v>0</v>
      </c>
      <c r="G591" s="123">
        <v>0</v>
      </c>
      <c r="H591" s="122">
        <v>0</v>
      </c>
      <c r="I591" s="123">
        <f t="shared" si="36"/>
        <v>21</v>
      </c>
      <c r="J591" s="122">
        <v>0</v>
      </c>
      <c r="K591" s="123">
        <v>0</v>
      </c>
      <c r="L591" s="123">
        <v>0</v>
      </c>
      <c r="M591" s="122">
        <v>0</v>
      </c>
      <c r="N591" s="123">
        <v>0</v>
      </c>
      <c r="O591" s="122">
        <v>0</v>
      </c>
      <c r="P591" s="123">
        <v>0</v>
      </c>
      <c r="Q591" s="117">
        <v>0</v>
      </c>
      <c r="R591" s="123">
        <v>0</v>
      </c>
      <c r="S591" s="119">
        <v>0</v>
      </c>
      <c r="T591" s="119">
        <v>0</v>
      </c>
      <c r="U591" s="119">
        <v>0</v>
      </c>
      <c r="V591" s="124" t="str">
        <f t="shared" si="39"/>
        <v>Added</v>
      </c>
    </row>
    <row r="592" spans="1:22" hidden="1">
      <c r="A592" s="451" t="s">
        <v>1798</v>
      </c>
      <c r="B592" s="114">
        <f>_xlfn.IFNA(VLOOKUP(Table1[[#This Row],[SKU]],'Kilter Holds'!$P$36:$S$370,4,0),0)</f>
        <v>25</v>
      </c>
      <c r="C592" s="407">
        <v>1</v>
      </c>
      <c r="D592" s="117">
        <v>0</v>
      </c>
      <c r="E592" s="123">
        <v>0</v>
      </c>
      <c r="F592" s="122">
        <v>0</v>
      </c>
      <c r="G592" s="123">
        <v>0</v>
      </c>
      <c r="H592" s="122">
        <v>0</v>
      </c>
      <c r="I592" s="123">
        <f t="shared" si="36"/>
        <v>25</v>
      </c>
      <c r="J592" s="122">
        <v>0</v>
      </c>
      <c r="K592" s="123">
        <v>0</v>
      </c>
      <c r="L592" s="123">
        <v>0</v>
      </c>
      <c r="M592" s="122">
        <v>0</v>
      </c>
      <c r="N592" s="123">
        <v>0</v>
      </c>
      <c r="O592" s="122">
        <v>0</v>
      </c>
      <c r="P592" s="123">
        <v>0</v>
      </c>
      <c r="Q592" s="117">
        <v>0</v>
      </c>
      <c r="R592" s="123">
        <v>0</v>
      </c>
      <c r="S592" s="119">
        <v>0</v>
      </c>
      <c r="T592" s="119">
        <v>0</v>
      </c>
      <c r="U592" s="119">
        <v>0</v>
      </c>
      <c r="V592" s="124" t="str">
        <f t="shared" si="39"/>
        <v>Added</v>
      </c>
    </row>
    <row r="593" spans="1:22" hidden="1">
      <c r="A593" s="451" t="s">
        <v>1963</v>
      </c>
      <c r="B593" s="114">
        <f>_xlfn.IFNA(VLOOKUP(Table1[[#This Row],[SKU]],'Kilter Holds'!$P$36:$S$370,4,0),0)</f>
        <v>28</v>
      </c>
      <c r="C593" s="407">
        <v>1</v>
      </c>
      <c r="D593" s="117">
        <v>0</v>
      </c>
      <c r="E593" s="123">
        <v>0</v>
      </c>
      <c r="F593" s="122">
        <v>0</v>
      </c>
      <c r="G593" s="123">
        <v>0</v>
      </c>
      <c r="H593" s="122">
        <v>0</v>
      </c>
      <c r="I593" s="123">
        <f t="shared" si="36"/>
        <v>28</v>
      </c>
      <c r="J593" s="122">
        <v>0</v>
      </c>
      <c r="K593" s="123">
        <v>0</v>
      </c>
      <c r="L593" s="123">
        <v>0</v>
      </c>
      <c r="M593" s="122">
        <v>0</v>
      </c>
      <c r="N593" s="123">
        <v>0</v>
      </c>
      <c r="O593" s="122">
        <v>0</v>
      </c>
      <c r="P593" s="123">
        <v>0</v>
      </c>
      <c r="Q593" s="117">
        <v>0</v>
      </c>
      <c r="R593" s="123">
        <v>0</v>
      </c>
      <c r="S593" s="119">
        <v>0</v>
      </c>
      <c r="T593" s="119">
        <v>0</v>
      </c>
      <c r="U593" s="119">
        <v>0</v>
      </c>
      <c r="V593" s="124" t="str">
        <f t="shared" si="39"/>
        <v>Added</v>
      </c>
    </row>
    <row r="594" spans="1:22" hidden="1">
      <c r="A594" s="451" t="s">
        <v>2129</v>
      </c>
      <c r="B594" s="114">
        <f>_xlfn.IFNA(VLOOKUP(Table1[[#This Row],[SKU]],'Kilter Holds'!$P$36:$S$370,4,0),0)</f>
        <v>22</v>
      </c>
      <c r="C594" s="407">
        <v>1</v>
      </c>
      <c r="D594" s="117">
        <v>0</v>
      </c>
      <c r="E594" s="123">
        <v>0</v>
      </c>
      <c r="F594" s="122">
        <v>0</v>
      </c>
      <c r="G594" s="123">
        <v>0</v>
      </c>
      <c r="H594" s="122">
        <v>0</v>
      </c>
      <c r="I594" s="123">
        <f t="shared" si="36"/>
        <v>22</v>
      </c>
      <c r="J594" s="122">
        <v>0</v>
      </c>
      <c r="K594" s="123">
        <v>0</v>
      </c>
      <c r="L594" s="123">
        <v>0</v>
      </c>
      <c r="M594" s="122">
        <v>0</v>
      </c>
      <c r="N594" s="123">
        <v>0</v>
      </c>
      <c r="O594" s="122">
        <v>0</v>
      </c>
      <c r="P594" s="123">
        <v>0</v>
      </c>
      <c r="Q594" s="117">
        <v>0</v>
      </c>
      <c r="R594" s="123">
        <v>0</v>
      </c>
      <c r="S594" s="119">
        <v>0</v>
      </c>
      <c r="T594" s="119">
        <v>0</v>
      </c>
      <c r="U594" s="119">
        <v>0</v>
      </c>
      <c r="V594" s="124" t="str">
        <f t="shared" si="39"/>
        <v>Added</v>
      </c>
    </row>
    <row r="595" spans="1:22" hidden="1">
      <c r="A595" s="460" t="s">
        <v>2133</v>
      </c>
      <c r="B595" s="114">
        <f>_xlfn.IFNA(VLOOKUP(Table1[[#This Row],[SKU]],'Kilter Holds'!$P$36:$S$370,4,0),0)</f>
        <v>28</v>
      </c>
      <c r="C595" s="407">
        <v>1</v>
      </c>
      <c r="D595" s="117">
        <v>0</v>
      </c>
      <c r="E595" s="123">
        <v>0</v>
      </c>
      <c r="F595" s="122">
        <v>0</v>
      </c>
      <c r="G595" s="123">
        <v>0</v>
      </c>
      <c r="H595" s="122">
        <v>0</v>
      </c>
      <c r="I595" s="123">
        <f t="shared" si="36"/>
        <v>28</v>
      </c>
      <c r="J595" s="122">
        <v>0</v>
      </c>
      <c r="K595" s="123">
        <v>0</v>
      </c>
      <c r="L595" s="123">
        <v>0</v>
      </c>
      <c r="M595" s="122">
        <v>0</v>
      </c>
      <c r="N595" s="123">
        <v>0</v>
      </c>
      <c r="O595" s="122">
        <v>0</v>
      </c>
      <c r="P595" s="123">
        <v>0</v>
      </c>
      <c r="Q595" s="117">
        <v>0</v>
      </c>
      <c r="R595" s="123">
        <v>0</v>
      </c>
      <c r="S595" s="119">
        <v>0</v>
      </c>
      <c r="T595" s="119">
        <v>0</v>
      </c>
      <c r="U595" s="119">
        <v>0</v>
      </c>
      <c r="V595" s="124" t="str">
        <f t="shared" si="39"/>
        <v>Added</v>
      </c>
    </row>
    <row r="596" spans="1:22" hidden="1">
      <c r="A596" s="460" t="s">
        <v>2130</v>
      </c>
      <c r="B596" s="114">
        <f>_xlfn.IFNA(VLOOKUP(Table1[[#This Row],[SKU]],'Kilter Holds'!$P$36:$S$370,4,0),0)</f>
        <v>24</v>
      </c>
      <c r="C596" s="407">
        <v>1</v>
      </c>
      <c r="D596" s="117">
        <v>0</v>
      </c>
      <c r="E596" s="123">
        <v>0</v>
      </c>
      <c r="F596" s="122">
        <v>0</v>
      </c>
      <c r="G596" s="123">
        <v>0</v>
      </c>
      <c r="H596" s="122">
        <v>0</v>
      </c>
      <c r="I596" s="123">
        <f t="shared" si="36"/>
        <v>24</v>
      </c>
      <c r="J596" s="122">
        <v>0</v>
      </c>
      <c r="K596" s="123">
        <v>0</v>
      </c>
      <c r="L596" s="123">
        <v>0</v>
      </c>
      <c r="M596" s="122">
        <v>0</v>
      </c>
      <c r="N596" s="123">
        <v>0</v>
      </c>
      <c r="O596" s="122">
        <v>0</v>
      </c>
      <c r="P596" s="123">
        <v>0</v>
      </c>
      <c r="Q596" s="117">
        <v>0</v>
      </c>
      <c r="R596" s="123">
        <v>0</v>
      </c>
      <c r="S596" s="119">
        <v>0</v>
      </c>
      <c r="T596" s="119">
        <v>0</v>
      </c>
      <c r="U596" s="119">
        <v>0</v>
      </c>
      <c r="V596" s="124" t="str">
        <f t="shared" si="39"/>
        <v>Added</v>
      </c>
    </row>
    <row r="597" spans="1:22" hidden="1">
      <c r="A597" s="451" t="s">
        <v>1707</v>
      </c>
      <c r="B597" s="114">
        <f>_xlfn.IFNA(VLOOKUP(Table1[[#This Row],[SKU]],'Kilter Holds'!$P$36:$S$370,4,0),0)</f>
        <v>27</v>
      </c>
      <c r="C597" s="407">
        <v>1</v>
      </c>
      <c r="D597" s="117">
        <v>0</v>
      </c>
      <c r="E597" s="123">
        <v>0</v>
      </c>
      <c r="F597" s="122">
        <v>0</v>
      </c>
      <c r="G597" s="123">
        <v>0</v>
      </c>
      <c r="H597" s="122">
        <v>0</v>
      </c>
      <c r="I597" s="123">
        <f t="shared" si="36"/>
        <v>27</v>
      </c>
      <c r="J597" s="122">
        <v>0</v>
      </c>
      <c r="K597" s="123">
        <v>0</v>
      </c>
      <c r="L597" s="123">
        <v>0</v>
      </c>
      <c r="M597" s="122">
        <v>0</v>
      </c>
      <c r="N597" s="123">
        <v>0</v>
      </c>
      <c r="O597" s="122">
        <v>0</v>
      </c>
      <c r="P597" s="123">
        <v>0</v>
      </c>
      <c r="Q597" s="117">
        <v>0</v>
      </c>
      <c r="R597" s="123">
        <v>0</v>
      </c>
      <c r="S597" s="119">
        <v>0</v>
      </c>
      <c r="T597" s="119">
        <v>0</v>
      </c>
      <c r="U597" s="119">
        <v>0</v>
      </c>
      <c r="V597" s="124" t="str">
        <f t="shared" si="39"/>
        <v>Added</v>
      </c>
    </row>
    <row r="598" spans="1:22" hidden="1">
      <c r="A598" s="451" t="s">
        <v>1721</v>
      </c>
      <c r="B598" s="114">
        <f>_xlfn.IFNA(VLOOKUP(Table1[[#This Row],[SKU]],'Kilter Holds'!$P$36:$S$370,4,0),0)</f>
        <v>29</v>
      </c>
      <c r="C598" s="407">
        <v>1</v>
      </c>
      <c r="D598" s="117">
        <v>0</v>
      </c>
      <c r="E598" s="123">
        <v>0</v>
      </c>
      <c r="F598" s="122">
        <v>0</v>
      </c>
      <c r="G598" s="123">
        <v>0</v>
      </c>
      <c r="H598" s="122">
        <v>0</v>
      </c>
      <c r="I598" s="123">
        <f t="shared" si="36"/>
        <v>29</v>
      </c>
      <c r="J598" s="122">
        <v>0</v>
      </c>
      <c r="K598" s="123">
        <v>0</v>
      </c>
      <c r="L598" s="123">
        <v>0</v>
      </c>
      <c r="M598" s="122">
        <v>0</v>
      </c>
      <c r="N598" s="123">
        <v>0</v>
      </c>
      <c r="O598" s="122">
        <v>0</v>
      </c>
      <c r="P598" s="123">
        <v>0</v>
      </c>
      <c r="Q598" s="117">
        <v>0</v>
      </c>
      <c r="R598" s="123">
        <v>0</v>
      </c>
      <c r="S598" s="119">
        <v>0</v>
      </c>
      <c r="T598" s="119">
        <v>0</v>
      </c>
      <c r="U598" s="119">
        <v>0</v>
      </c>
      <c r="V598" s="124" t="str">
        <f t="shared" si="39"/>
        <v>Added</v>
      </c>
    </row>
    <row r="599" spans="1:22" hidden="1">
      <c r="A599" s="451" t="s">
        <v>1568</v>
      </c>
      <c r="B599" s="114">
        <f>_xlfn.IFNA(VLOOKUP(Table1[[#This Row],[SKU]],'Kilter Holds'!$P$36:$S$370,4,0),0)</f>
        <v>22</v>
      </c>
      <c r="C599" s="407">
        <v>1</v>
      </c>
      <c r="D599" s="117">
        <v>0</v>
      </c>
      <c r="E599" s="123">
        <v>0</v>
      </c>
      <c r="F599" s="122">
        <v>0</v>
      </c>
      <c r="G599" s="123">
        <v>0</v>
      </c>
      <c r="H599" s="122">
        <v>0</v>
      </c>
      <c r="I599" s="123">
        <f t="shared" si="36"/>
        <v>22</v>
      </c>
      <c r="J599" s="122">
        <v>0</v>
      </c>
      <c r="K599" s="123">
        <v>0</v>
      </c>
      <c r="L599" s="123">
        <v>0</v>
      </c>
      <c r="M599" s="122">
        <v>0</v>
      </c>
      <c r="N599" s="123">
        <v>0</v>
      </c>
      <c r="O599" s="122">
        <v>0</v>
      </c>
      <c r="P599" s="123">
        <v>0</v>
      </c>
      <c r="Q599" s="117">
        <v>0</v>
      </c>
      <c r="R599" s="123">
        <v>0</v>
      </c>
      <c r="S599" s="119">
        <v>0</v>
      </c>
      <c r="T599" s="119">
        <v>0</v>
      </c>
      <c r="U599" s="119">
        <v>0</v>
      </c>
      <c r="V599" s="124" t="str">
        <f t="shared" si="39"/>
        <v>Added</v>
      </c>
    </row>
    <row r="600" spans="1:22" hidden="1">
      <c r="A600" s="451" t="s">
        <v>1800</v>
      </c>
      <c r="B600" s="114">
        <f>_xlfn.IFNA(VLOOKUP(Table1[[#This Row],[SKU]],'Kilter Holds'!$P$36:$S$370,4,0),0)</f>
        <v>25</v>
      </c>
      <c r="C600" s="407">
        <v>1</v>
      </c>
      <c r="D600" s="117">
        <v>0</v>
      </c>
      <c r="E600" s="123">
        <v>0</v>
      </c>
      <c r="F600" s="122">
        <v>0</v>
      </c>
      <c r="G600" s="123">
        <v>0</v>
      </c>
      <c r="H600" s="122">
        <v>0</v>
      </c>
      <c r="I600" s="123">
        <f t="shared" si="36"/>
        <v>25</v>
      </c>
      <c r="J600" s="122">
        <v>0</v>
      </c>
      <c r="K600" s="123">
        <v>0</v>
      </c>
      <c r="L600" s="123">
        <v>0</v>
      </c>
      <c r="M600" s="122">
        <v>0</v>
      </c>
      <c r="N600" s="123">
        <v>0</v>
      </c>
      <c r="O600" s="122">
        <v>0</v>
      </c>
      <c r="P600" s="123">
        <v>0</v>
      </c>
      <c r="Q600" s="117">
        <v>0</v>
      </c>
      <c r="R600" s="123">
        <v>0</v>
      </c>
      <c r="S600" s="119">
        <v>0</v>
      </c>
      <c r="T600" s="119">
        <v>0</v>
      </c>
      <c r="U600" s="119">
        <v>0</v>
      </c>
      <c r="V600" s="124" t="str">
        <f t="shared" si="39"/>
        <v>Added</v>
      </c>
    </row>
    <row r="601" spans="1:22" hidden="1">
      <c r="A601" s="451" t="s">
        <v>1871</v>
      </c>
      <c r="B601" s="114">
        <f>_xlfn.IFNA(VLOOKUP(Table1[[#This Row],[SKU]],'Kilter Holds'!$P$36:$S$370,4,0),0)</f>
        <v>23</v>
      </c>
      <c r="C601" s="407">
        <v>1</v>
      </c>
      <c r="D601" s="117">
        <v>0</v>
      </c>
      <c r="E601" s="123">
        <v>0</v>
      </c>
      <c r="F601" s="122">
        <v>0</v>
      </c>
      <c r="G601" s="123">
        <v>0</v>
      </c>
      <c r="H601" s="122">
        <v>0</v>
      </c>
      <c r="I601" s="123">
        <f t="shared" si="36"/>
        <v>23</v>
      </c>
      <c r="J601" s="122">
        <v>0</v>
      </c>
      <c r="K601" s="123">
        <v>0</v>
      </c>
      <c r="L601" s="123">
        <v>0</v>
      </c>
      <c r="M601" s="122">
        <v>0</v>
      </c>
      <c r="N601" s="123">
        <v>0</v>
      </c>
      <c r="O601" s="122">
        <v>0</v>
      </c>
      <c r="P601" s="123">
        <v>0</v>
      </c>
      <c r="Q601" s="117">
        <v>0</v>
      </c>
      <c r="R601" s="123">
        <v>0</v>
      </c>
      <c r="S601" s="119">
        <v>0</v>
      </c>
      <c r="T601" s="119">
        <v>0</v>
      </c>
      <c r="U601" s="119">
        <v>0</v>
      </c>
      <c r="V601" s="124" t="str">
        <f t="shared" si="39"/>
        <v>Added</v>
      </c>
    </row>
    <row r="602" spans="1:22" hidden="1">
      <c r="A602" s="451" t="s">
        <v>1903</v>
      </c>
      <c r="B602" s="114">
        <f>_xlfn.IFNA(VLOOKUP(Table1[[#This Row],[SKU]],'Kilter Holds'!$P$36:$S$370,4,0),0)</f>
        <v>26</v>
      </c>
      <c r="C602" s="407">
        <v>1</v>
      </c>
      <c r="D602" s="117">
        <v>0</v>
      </c>
      <c r="E602" s="123">
        <v>0</v>
      </c>
      <c r="F602" s="122">
        <v>0</v>
      </c>
      <c r="G602" s="123">
        <v>0</v>
      </c>
      <c r="H602" s="122">
        <v>0</v>
      </c>
      <c r="I602" s="123">
        <f t="shared" si="36"/>
        <v>26</v>
      </c>
      <c r="J602" s="122">
        <v>0</v>
      </c>
      <c r="K602" s="123">
        <v>0</v>
      </c>
      <c r="L602" s="123">
        <v>0</v>
      </c>
      <c r="M602" s="122">
        <v>0</v>
      </c>
      <c r="N602" s="123">
        <v>0</v>
      </c>
      <c r="O602" s="122">
        <v>0</v>
      </c>
      <c r="P602" s="123">
        <v>0</v>
      </c>
      <c r="Q602" s="117">
        <v>0</v>
      </c>
      <c r="R602" s="123">
        <v>0</v>
      </c>
      <c r="S602" s="119">
        <v>0</v>
      </c>
      <c r="T602" s="119">
        <v>0</v>
      </c>
      <c r="U602" s="119">
        <v>0</v>
      </c>
      <c r="V602" s="124" t="str">
        <f t="shared" si="39"/>
        <v>Added</v>
      </c>
    </row>
    <row r="603" spans="1:22" hidden="1">
      <c r="A603" s="451" t="s">
        <v>1967</v>
      </c>
      <c r="B603" s="114">
        <f>_xlfn.IFNA(VLOOKUP(Table1[[#This Row],[SKU]],'Kilter Holds'!$P$36:$S$370,4,0),0)</f>
        <v>27</v>
      </c>
      <c r="C603" s="407">
        <v>1</v>
      </c>
      <c r="D603" s="117">
        <v>0</v>
      </c>
      <c r="E603" s="123">
        <v>0</v>
      </c>
      <c r="F603" s="122">
        <v>0</v>
      </c>
      <c r="G603" s="123">
        <v>0</v>
      </c>
      <c r="H603" s="122">
        <v>0</v>
      </c>
      <c r="I603" s="123">
        <f t="shared" si="36"/>
        <v>27</v>
      </c>
      <c r="J603" s="122">
        <v>0</v>
      </c>
      <c r="K603" s="123">
        <v>0</v>
      </c>
      <c r="L603" s="123">
        <v>0</v>
      </c>
      <c r="M603" s="122">
        <v>0</v>
      </c>
      <c r="N603" s="123">
        <v>0</v>
      </c>
      <c r="O603" s="122">
        <v>0</v>
      </c>
      <c r="P603" s="123">
        <v>0</v>
      </c>
      <c r="Q603" s="117">
        <v>0</v>
      </c>
      <c r="R603" s="123">
        <v>0</v>
      </c>
      <c r="S603" s="119">
        <v>0</v>
      </c>
      <c r="T603" s="119">
        <v>0</v>
      </c>
      <c r="U603" s="119">
        <v>0</v>
      </c>
      <c r="V603" s="124" t="str">
        <f t="shared" si="39"/>
        <v>Added</v>
      </c>
    </row>
    <row r="604" spans="1:22" hidden="1">
      <c r="A604" s="451" t="s">
        <v>1655</v>
      </c>
      <c r="B604" s="114">
        <f>_xlfn.IFNA(VLOOKUP(Table1[[#This Row],[SKU]],'Kilter Holds'!$P$36:$S$370,4,0),0)</f>
        <v>24</v>
      </c>
      <c r="C604" s="407">
        <v>1</v>
      </c>
      <c r="D604" s="117">
        <v>0</v>
      </c>
      <c r="E604" s="123">
        <v>0</v>
      </c>
      <c r="F604" s="122">
        <v>0</v>
      </c>
      <c r="G604" s="123">
        <v>0</v>
      </c>
      <c r="H604" s="122">
        <v>0</v>
      </c>
      <c r="I604" s="123">
        <f t="shared" si="36"/>
        <v>24</v>
      </c>
      <c r="J604" s="122">
        <v>0</v>
      </c>
      <c r="K604" s="123">
        <v>0</v>
      </c>
      <c r="L604" s="123">
        <v>0</v>
      </c>
      <c r="M604" s="122">
        <v>0</v>
      </c>
      <c r="N604" s="123">
        <v>0</v>
      </c>
      <c r="O604" s="122">
        <v>0</v>
      </c>
      <c r="P604" s="123">
        <v>0</v>
      </c>
      <c r="Q604" s="117">
        <v>0</v>
      </c>
      <c r="R604" s="123">
        <v>0</v>
      </c>
      <c r="S604" s="119">
        <v>0</v>
      </c>
      <c r="T604" s="119">
        <v>0</v>
      </c>
      <c r="U604" s="119">
        <v>0</v>
      </c>
      <c r="V604" s="124" t="str">
        <f t="shared" si="39"/>
        <v>Added</v>
      </c>
    </row>
    <row r="605" spans="1:22" hidden="1">
      <c r="A605" s="451" t="s">
        <v>1905</v>
      </c>
      <c r="B605" s="114">
        <f>_xlfn.IFNA(VLOOKUP(Table1[[#This Row],[SKU]],'Kilter Holds'!$P$36:$S$370,4,0),0)</f>
        <v>26</v>
      </c>
      <c r="C605" s="407">
        <v>1</v>
      </c>
      <c r="D605" s="117">
        <v>0</v>
      </c>
      <c r="E605" s="123">
        <v>0</v>
      </c>
      <c r="F605" s="122">
        <v>0</v>
      </c>
      <c r="G605" s="123">
        <v>0</v>
      </c>
      <c r="H605" s="122">
        <v>0</v>
      </c>
      <c r="I605" s="123">
        <f t="shared" si="36"/>
        <v>26</v>
      </c>
      <c r="J605" s="122">
        <v>0</v>
      </c>
      <c r="K605" s="123">
        <v>0</v>
      </c>
      <c r="L605" s="123">
        <v>0</v>
      </c>
      <c r="M605" s="122">
        <v>0</v>
      </c>
      <c r="N605" s="123">
        <v>0</v>
      </c>
      <c r="O605" s="122">
        <v>0</v>
      </c>
      <c r="P605" s="123">
        <v>0</v>
      </c>
      <c r="Q605" s="117">
        <v>0</v>
      </c>
      <c r="R605" s="123">
        <v>0</v>
      </c>
      <c r="S605" s="119">
        <v>0</v>
      </c>
      <c r="T605" s="119">
        <v>0</v>
      </c>
      <c r="U605" s="119">
        <v>0</v>
      </c>
      <c r="V605" s="124" t="str">
        <f t="shared" si="39"/>
        <v>Added</v>
      </c>
    </row>
    <row r="606" spans="1:22" hidden="1">
      <c r="A606" s="451" t="s">
        <v>1997</v>
      </c>
      <c r="B606" s="114">
        <f>_xlfn.IFNA(VLOOKUP(Table1[[#This Row],[SKU]],'Kilter Holds'!$P$36:$S$370,4,0),0)</f>
        <v>26</v>
      </c>
      <c r="C606" s="407">
        <v>1</v>
      </c>
      <c r="D606" s="117">
        <v>0</v>
      </c>
      <c r="E606" s="123">
        <v>0</v>
      </c>
      <c r="F606" s="122">
        <v>0</v>
      </c>
      <c r="G606" s="123">
        <v>0</v>
      </c>
      <c r="H606" s="122">
        <v>0</v>
      </c>
      <c r="I606" s="123">
        <f t="shared" si="36"/>
        <v>26</v>
      </c>
      <c r="J606" s="122">
        <v>0</v>
      </c>
      <c r="K606" s="123">
        <v>0</v>
      </c>
      <c r="L606" s="123">
        <v>0</v>
      </c>
      <c r="M606" s="122">
        <v>0</v>
      </c>
      <c r="N606" s="123">
        <v>0</v>
      </c>
      <c r="O606" s="122">
        <v>0</v>
      </c>
      <c r="P606" s="123">
        <v>0</v>
      </c>
      <c r="Q606" s="117">
        <v>0</v>
      </c>
      <c r="R606" s="123">
        <v>0</v>
      </c>
      <c r="S606" s="119">
        <v>0</v>
      </c>
      <c r="T606" s="119">
        <v>0</v>
      </c>
      <c r="U606" s="119">
        <v>0</v>
      </c>
      <c r="V606" s="124" t="str">
        <f t="shared" si="39"/>
        <v>Added</v>
      </c>
    </row>
    <row r="607" spans="1:22" hidden="1">
      <c r="A607" s="451" t="s">
        <v>1998</v>
      </c>
      <c r="B607" s="114">
        <f>_xlfn.IFNA(VLOOKUP(Table1[[#This Row],[SKU]],'Kilter Holds'!$P$36:$S$370,4,0),0)</f>
        <v>24</v>
      </c>
      <c r="C607" s="407">
        <v>1</v>
      </c>
      <c r="D607" s="117">
        <v>0</v>
      </c>
      <c r="E607" s="123">
        <v>0</v>
      </c>
      <c r="F607" s="122">
        <v>0</v>
      </c>
      <c r="G607" s="123">
        <v>0</v>
      </c>
      <c r="H607" s="122">
        <v>0</v>
      </c>
      <c r="I607" s="123">
        <f t="shared" si="36"/>
        <v>24</v>
      </c>
      <c r="J607" s="122">
        <v>0</v>
      </c>
      <c r="K607" s="123">
        <v>0</v>
      </c>
      <c r="L607" s="123">
        <v>0</v>
      </c>
      <c r="M607" s="122">
        <v>0</v>
      </c>
      <c r="N607" s="123">
        <v>0</v>
      </c>
      <c r="O607" s="122">
        <v>0</v>
      </c>
      <c r="P607" s="123">
        <v>0</v>
      </c>
      <c r="Q607" s="117">
        <v>0</v>
      </c>
      <c r="R607" s="123">
        <v>0</v>
      </c>
      <c r="S607" s="119">
        <v>0</v>
      </c>
      <c r="T607" s="119">
        <v>0</v>
      </c>
      <c r="U607" s="119">
        <v>0</v>
      </c>
      <c r="V607" s="124" t="str">
        <f t="shared" si="39"/>
        <v>Added</v>
      </c>
    </row>
    <row r="608" spans="1:22" hidden="1">
      <c r="A608" s="451" t="s">
        <v>1973</v>
      </c>
      <c r="B608" s="114">
        <f>_xlfn.IFNA(VLOOKUP(Table1[[#This Row],[SKU]],'Kilter Holds'!$P$36:$S$370,4,0),0)</f>
        <v>20</v>
      </c>
      <c r="C608" s="407">
        <v>1</v>
      </c>
      <c r="D608" s="117">
        <v>0</v>
      </c>
      <c r="E608" s="123">
        <v>0</v>
      </c>
      <c r="F608" s="122">
        <v>0</v>
      </c>
      <c r="G608" s="123">
        <v>0</v>
      </c>
      <c r="H608" s="122">
        <v>0</v>
      </c>
      <c r="I608" s="123">
        <f t="shared" si="36"/>
        <v>20</v>
      </c>
      <c r="J608" s="122">
        <v>0</v>
      </c>
      <c r="K608" s="123">
        <v>0</v>
      </c>
      <c r="L608" s="123">
        <v>0</v>
      </c>
      <c r="M608" s="122">
        <v>0</v>
      </c>
      <c r="N608" s="123">
        <v>0</v>
      </c>
      <c r="O608" s="122">
        <v>0</v>
      </c>
      <c r="P608" s="123">
        <v>0</v>
      </c>
      <c r="Q608" s="117">
        <v>0</v>
      </c>
      <c r="R608" s="123">
        <v>0</v>
      </c>
      <c r="S608" s="119">
        <v>0</v>
      </c>
      <c r="T608" s="119">
        <v>0</v>
      </c>
      <c r="U608" s="119">
        <v>0</v>
      </c>
      <c r="V608" s="124" t="str">
        <f t="shared" si="39"/>
        <v>Added</v>
      </c>
    </row>
    <row r="609" spans="1:22" hidden="1">
      <c r="A609" s="451" t="s">
        <v>1742</v>
      </c>
      <c r="B609" s="114">
        <f>_xlfn.IFNA(VLOOKUP(Table1[[#This Row],[SKU]],'Kilter Holds'!$P$36:$S$370,4,0),0)</f>
        <v>23</v>
      </c>
      <c r="C609" s="407">
        <v>5</v>
      </c>
      <c r="D609" s="117">
        <v>0</v>
      </c>
      <c r="E609" s="123">
        <v>0</v>
      </c>
      <c r="F609" s="122">
        <v>0</v>
      </c>
      <c r="G609" s="123">
        <v>0</v>
      </c>
      <c r="H609" s="122">
        <v>0</v>
      </c>
      <c r="I609" s="123">
        <v>0</v>
      </c>
      <c r="J609" s="122">
        <v>0</v>
      </c>
      <c r="K609" s="123">
        <v>0</v>
      </c>
      <c r="L609" s="123">
        <v>0</v>
      </c>
      <c r="M609" s="122">
        <v>0</v>
      </c>
      <c r="N609" s="123">
        <v>0</v>
      </c>
      <c r="O609" s="122">
        <v>0</v>
      </c>
      <c r="P609" s="123">
        <v>0</v>
      </c>
      <c r="Q609" s="117">
        <f>IFERROR(15*B609,0)</f>
        <v>345</v>
      </c>
      <c r="R609" s="123">
        <v>0</v>
      </c>
      <c r="S609" s="119">
        <v>0</v>
      </c>
      <c r="T609" s="119">
        <v>0</v>
      </c>
      <c r="U609" s="119">
        <v>0</v>
      </c>
      <c r="V609" s="124" t="str">
        <f t="shared" si="39"/>
        <v>Added</v>
      </c>
    </row>
    <row r="610" spans="1:22" hidden="1">
      <c r="A610" s="451" t="s">
        <v>1808</v>
      </c>
      <c r="B610" s="114">
        <f>_xlfn.IFNA(VLOOKUP(Table1[[#This Row],[SKU]],'Kilter Holds'!$P$36:$S$370,4,0),0)</f>
        <v>18</v>
      </c>
      <c r="C610" s="407">
        <v>10</v>
      </c>
      <c r="D610" s="117">
        <v>0</v>
      </c>
      <c r="E610" s="123">
        <v>0</v>
      </c>
      <c r="F610" s="122">
        <v>0</v>
      </c>
      <c r="G610" s="123">
        <v>0</v>
      </c>
      <c r="H610" s="122">
        <v>0</v>
      </c>
      <c r="I610" s="123">
        <v>0</v>
      </c>
      <c r="J610" s="122">
        <v>0</v>
      </c>
      <c r="K610" s="123">
        <v>0</v>
      </c>
      <c r="L610" s="123">
        <v>0</v>
      </c>
      <c r="M610" s="122">
        <v>0</v>
      </c>
      <c r="N610" s="123">
        <v>0</v>
      </c>
      <c r="O610" s="122">
        <v>0</v>
      </c>
      <c r="P610" s="123">
        <v>0</v>
      </c>
      <c r="Q610" s="117">
        <f t="shared" ref="Q610:Q615" si="40">IFERROR(30*B610,0)</f>
        <v>540</v>
      </c>
      <c r="R610" s="123">
        <v>0</v>
      </c>
      <c r="S610" s="119">
        <v>0</v>
      </c>
      <c r="T610" s="119">
        <v>0</v>
      </c>
      <c r="U610" s="119">
        <v>0</v>
      </c>
      <c r="V610" s="124" t="str">
        <f t="shared" si="39"/>
        <v>Added</v>
      </c>
    </row>
    <row r="611" spans="1:22" hidden="1">
      <c r="A611" s="451" t="s">
        <v>1656</v>
      </c>
      <c r="B611" s="114">
        <f>_xlfn.IFNA(VLOOKUP(Table1[[#This Row],[SKU]],'Kilter Holds'!$P$36:$S$370,4,0),0)</f>
        <v>22</v>
      </c>
      <c r="C611" s="407">
        <v>10</v>
      </c>
      <c r="D611" s="117">
        <v>0</v>
      </c>
      <c r="E611" s="123">
        <v>0</v>
      </c>
      <c r="F611" s="122">
        <v>0</v>
      </c>
      <c r="G611" s="123">
        <v>0</v>
      </c>
      <c r="H611" s="122">
        <v>0</v>
      </c>
      <c r="I611" s="123">
        <v>0</v>
      </c>
      <c r="J611" s="122">
        <v>0</v>
      </c>
      <c r="K611" s="123">
        <v>0</v>
      </c>
      <c r="L611" s="123">
        <v>0</v>
      </c>
      <c r="M611" s="122">
        <v>0</v>
      </c>
      <c r="N611" s="123">
        <v>0</v>
      </c>
      <c r="O611" s="122">
        <v>0</v>
      </c>
      <c r="P611" s="123">
        <v>0</v>
      </c>
      <c r="Q611" s="117">
        <f t="shared" si="40"/>
        <v>660</v>
      </c>
      <c r="R611" s="123">
        <v>0</v>
      </c>
      <c r="S611" s="119">
        <v>0</v>
      </c>
      <c r="T611" s="119">
        <v>0</v>
      </c>
      <c r="U611" s="119">
        <v>0</v>
      </c>
      <c r="V611" s="124" t="str">
        <f t="shared" si="39"/>
        <v>Added</v>
      </c>
    </row>
    <row r="612" spans="1:22" hidden="1">
      <c r="A612" s="451" t="s">
        <v>1738</v>
      </c>
      <c r="B612" s="114">
        <f>_xlfn.IFNA(VLOOKUP(Table1[[#This Row],[SKU]],'Kilter Holds'!$P$36:$S$370,4,0),0)</f>
        <v>19</v>
      </c>
      <c r="C612" s="407">
        <v>10</v>
      </c>
      <c r="D612" s="117">
        <v>0</v>
      </c>
      <c r="E612" s="123">
        <v>0</v>
      </c>
      <c r="F612" s="122">
        <v>0</v>
      </c>
      <c r="G612" s="123">
        <v>0</v>
      </c>
      <c r="H612" s="122">
        <v>0</v>
      </c>
      <c r="I612" s="123">
        <v>0</v>
      </c>
      <c r="J612" s="122">
        <v>0</v>
      </c>
      <c r="K612" s="123">
        <v>0</v>
      </c>
      <c r="L612" s="123">
        <v>0</v>
      </c>
      <c r="M612" s="122">
        <v>0</v>
      </c>
      <c r="N612" s="123">
        <v>0</v>
      </c>
      <c r="O612" s="122">
        <v>0</v>
      </c>
      <c r="P612" s="123">
        <v>0</v>
      </c>
      <c r="Q612" s="117">
        <f t="shared" si="40"/>
        <v>570</v>
      </c>
      <c r="R612" s="123">
        <v>0</v>
      </c>
      <c r="S612" s="119">
        <v>0</v>
      </c>
      <c r="T612" s="119">
        <v>0</v>
      </c>
      <c r="U612" s="119">
        <v>0</v>
      </c>
      <c r="V612" s="124" t="str">
        <f t="shared" si="39"/>
        <v>Added</v>
      </c>
    </row>
    <row r="613" spans="1:22" hidden="1">
      <c r="A613" s="451" t="s">
        <v>1863</v>
      </c>
      <c r="B613" s="114">
        <f>_xlfn.IFNA(VLOOKUP(Table1[[#This Row],[SKU]],'Kilter Holds'!$P$36:$S$370,4,0),0)</f>
        <v>26</v>
      </c>
      <c r="C613" s="407">
        <v>10</v>
      </c>
      <c r="D613" s="117">
        <v>0</v>
      </c>
      <c r="E613" s="123">
        <v>0</v>
      </c>
      <c r="F613" s="122">
        <v>0</v>
      </c>
      <c r="G613" s="123">
        <v>0</v>
      </c>
      <c r="H613" s="122">
        <v>0</v>
      </c>
      <c r="I613" s="123">
        <v>0</v>
      </c>
      <c r="J613" s="122">
        <v>0</v>
      </c>
      <c r="K613" s="123">
        <v>0</v>
      </c>
      <c r="L613" s="123">
        <v>0</v>
      </c>
      <c r="M613" s="122">
        <v>0</v>
      </c>
      <c r="N613" s="123">
        <v>0</v>
      </c>
      <c r="O613" s="122">
        <v>0</v>
      </c>
      <c r="P613" s="123">
        <v>0</v>
      </c>
      <c r="Q613" s="117">
        <f t="shared" si="40"/>
        <v>780</v>
      </c>
      <c r="R613" s="123">
        <v>0</v>
      </c>
      <c r="S613" s="119">
        <v>0</v>
      </c>
      <c r="T613" s="119">
        <v>0</v>
      </c>
      <c r="U613" s="119">
        <v>0</v>
      </c>
      <c r="V613" s="124" t="str">
        <f t="shared" si="39"/>
        <v>Added</v>
      </c>
    </row>
    <row r="614" spans="1:22" hidden="1">
      <c r="A614" s="451" t="s">
        <v>2096</v>
      </c>
      <c r="B614" s="114">
        <f>_xlfn.IFNA(VLOOKUP(Table1[[#This Row],[SKU]],'Kilter Holds'!$P$36:$S$370,4,0),0)</f>
        <v>22</v>
      </c>
      <c r="C614" s="407">
        <v>10</v>
      </c>
      <c r="D614" s="117">
        <v>0</v>
      </c>
      <c r="E614" s="123">
        <v>0</v>
      </c>
      <c r="F614" s="122">
        <v>0</v>
      </c>
      <c r="G614" s="123">
        <v>0</v>
      </c>
      <c r="H614" s="122">
        <v>0</v>
      </c>
      <c r="I614" s="123">
        <v>0</v>
      </c>
      <c r="J614" s="122">
        <v>0</v>
      </c>
      <c r="K614" s="123">
        <v>0</v>
      </c>
      <c r="L614" s="123">
        <v>0</v>
      </c>
      <c r="M614" s="122">
        <v>0</v>
      </c>
      <c r="N614" s="123">
        <v>0</v>
      </c>
      <c r="O614" s="122">
        <v>0</v>
      </c>
      <c r="P614" s="123">
        <v>0</v>
      </c>
      <c r="Q614" s="117">
        <f t="shared" si="40"/>
        <v>660</v>
      </c>
      <c r="R614" s="123">
        <v>0</v>
      </c>
      <c r="S614" s="119">
        <v>0</v>
      </c>
      <c r="T614" s="119">
        <v>0</v>
      </c>
      <c r="U614" s="119">
        <v>0</v>
      </c>
      <c r="V614" s="124" t="str">
        <f t="shared" si="39"/>
        <v>Added</v>
      </c>
    </row>
    <row r="615" spans="1:22" hidden="1">
      <c r="A615" s="451" t="s">
        <v>1740</v>
      </c>
      <c r="B615" s="114">
        <f>_xlfn.IFNA(VLOOKUP(Table1[[#This Row],[SKU]],'Kilter Holds'!$P$36:$S$370,4,0),0)</f>
        <v>19</v>
      </c>
      <c r="C615" s="407">
        <v>10</v>
      </c>
      <c r="D615" s="117">
        <v>0</v>
      </c>
      <c r="E615" s="123">
        <v>0</v>
      </c>
      <c r="F615" s="122">
        <v>0</v>
      </c>
      <c r="G615" s="123">
        <v>0</v>
      </c>
      <c r="H615" s="122">
        <v>0</v>
      </c>
      <c r="I615" s="123">
        <v>0</v>
      </c>
      <c r="J615" s="122">
        <v>0</v>
      </c>
      <c r="K615" s="123">
        <v>0</v>
      </c>
      <c r="L615" s="123">
        <v>0</v>
      </c>
      <c r="M615" s="122">
        <v>0</v>
      </c>
      <c r="N615" s="123">
        <v>0</v>
      </c>
      <c r="O615" s="122">
        <v>0</v>
      </c>
      <c r="P615" s="123">
        <v>0</v>
      </c>
      <c r="Q615" s="117">
        <f t="shared" si="40"/>
        <v>570</v>
      </c>
      <c r="R615" s="123">
        <v>0</v>
      </c>
      <c r="S615" s="119">
        <v>0</v>
      </c>
      <c r="T615" s="119">
        <v>0</v>
      </c>
      <c r="U615" s="119">
        <v>0</v>
      </c>
      <c r="V615" s="124" t="str">
        <f t="shared" si="39"/>
        <v>Added</v>
      </c>
    </row>
    <row r="616" spans="1:22" hidden="1">
      <c r="A616" s="451" t="s">
        <v>2095</v>
      </c>
      <c r="B616" s="114">
        <f>_xlfn.IFNA(VLOOKUP(Table1[[#This Row],[SKU]],'Kilter Holds'!$P$36:$S$370,4,0),0)</f>
        <v>54</v>
      </c>
      <c r="C616" s="407">
        <v>1</v>
      </c>
      <c r="D616" s="117">
        <v>0</v>
      </c>
      <c r="E616" s="123">
        <v>0</v>
      </c>
      <c r="F616" s="122">
        <v>0</v>
      </c>
      <c r="G616" s="123">
        <v>0</v>
      </c>
      <c r="H616" s="122">
        <v>0</v>
      </c>
      <c r="I616" s="123">
        <v>0</v>
      </c>
      <c r="J616" s="122">
        <v>0</v>
      </c>
      <c r="K616" s="123">
        <v>0</v>
      </c>
      <c r="L616" s="123">
        <v>0</v>
      </c>
      <c r="M616" s="122">
        <f>IFERROR(1*B616,0)</f>
        <v>54</v>
      </c>
      <c r="N616" s="123">
        <v>0</v>
      </c>
      <c r="O616" s="122">
        <v>0</v>
      </c>
      <c r="P616" s="123">
        <v>0</v>
      </c>
      <c r="Q616" s="117">
        <v>0</v>
      </c>
      <c r="R616" s="123">
        <v>0</v>
      </c>
      <c r="S616" s="119">
        <v>0</v>
      </c>
      <c r="T616" s="119">
        <v>0</v>
      </c>
      <c r="U616" s="119">
        <v>0</v>
      </c>
      <c r="V616" s="124" t="str">
        <f t="shared" si="39"/>
        <v>Added</v>
      </c>
    </row>
    <row r="617" spans="1:22" hidden="1">
      <c r="A617" s="451" t="s">
        <v>1817</v>
      </c>
      <c r="B617" s="114">
        <f>_xlfn.IFNA(VLOOKUP(Table1[[#This Row],[SKU]],'Kilter Holds'!$P$36:$S$370,4,0),0)</f>
        <v>57</v>
      </c>
      <c r="C617" s="407">
        <v>2</v>
      </c>
      <c r="D617" s="117">
        <v>0</v>
      </c>
      <c r="E617" s="123">
        <v>0</v>
      </c>
      <c r="F617" s="122">
        <v>0</v>
      </c>
      <c r="G617" s="123">
        <v>0</v>
      </c>
      <c r="H617" s="122">
        <v>0</v>
      </c>
      <c r="I617" s="123">
        <v>0</v>
      </c>
      <c r="J617" s="122">
        <v>0</v>
      </c>
      <c r="K617" s="123">
        <f>IFERROR(2*B617,0)</f>
        <v>114</v>
      </c>
      <c r="L617" s="123">
        <v>0</v>
      </c>
      <c r="M617" s="122">
        <v>0</v>
      </c>
      <c r="N617" s="123">
        <v>0</v>
      </c>
      <c r="O617" s="122">
        <v>0</v>
      </c>
      <c r="P617" s="123">
        <v>0</v>
      </c>
      <c r="Q617" s="117">
        <v>0</v>
      </c>
      <c r="R617" s="123">
        <v>0</v>
      </c>
      <c r="S617" s="119">
        <v>0</v>
      </c>
      <c r="T617" s="119">
        <v>0</v>
      </c>
      <c r="U617" s="119">
        <v>0</v>
      </c>
      <c r="V617" s="124" t="str">
        <f t="shared" si="39"/>
        <v>Added</v>
      </c>
    </row>
    <row r="618" spans="1:22" hidden="1">
      <c r="A618" s="460" t="s">
        <v>2168</v>
      </c>
      <c r="B618" s="114">
        <f>_xlfn.IFNA(VLOOKUP(Table1[[#This Row],[SKU]],'Kilter Holds'!$P$36:$S$370,4,0),0)</f>
        <v>0</v>
      </c>
      <c r="C618" s="407">
        <v>6</v>
      </c>
      <c r="D618" s="117">
        <v>0</v>
      </c>
      <c r="E618" s="123">
        <v>0</v>
      </c>
      <c r="F618" s="122">
        <v>0</v>
      </c>
      <c r="G618" s="123">
        <v>0</v>
      </c>
      <c r="H618" s="122">
        <v>0</v>
      </c>
      <c r="I618" s="123">
        <v>0</v>
      </c>
      <c r="J618" s="122">
        <v>0</v>
      </c>
      <c r="K618" s="123">
        <f>IFERROR(3*B618,0)</f>
        <v>0</v>
      </c>
      <c r="L618" s="123">
        <v>0</v>
      </c>
      <c r="M618" s="122">
        <v>0</v>
      </c>
      <c r="N618" s="123">
        <v>0</v>
      </c>
      <c r="O618" s="122">
        <v>0</v>
      </c>
      <c r="P618" s="123">
        <v>0</v>
      </c>
      <c r="Q618" s="117">
        <v>0</v>
      </c>
      <c r="R618" s="123">
        <f>Table1[[#This Row],[Quantity of Sets]]*12</f>
        <v>0</v>
      </c>
      <c r="S618" s="119">
        <v>0</v>
      </c>
      <c r="T618" s="119">
        <v>0</v>
      </c>
      <c r="U618" s="119">
        <v>0</v>
      </c>
      <c r="V618" s="124" t="str">
        <f t="shared" si="39"/>
        <v xml:space="preserve"> </v>
      </c>
    </row>
    <row r="619" spans="1:22" hidden="1">
      <c r="A619" s="451" t="s">
        <v>1818</v>
      </c>
      <c r="B619" s="114">
        <f>_xlfn.IFNA(VLOOKUP(Table1[[#This Row],[SKU]],'Kilter Holds'!$P$36:$S$370,4,0),0)</f>
        <v>35</v>
      </c>
      <c r="C619" s="407">
        <v>3</v>
      </c>
      <c r="D619" s="117">
        <v>0</v>
      </c>
      <c r="E619" s="123">
        <v>0</v>
      </c>
      <c r="F619" s="122">
        <v>0</v>
      </c>
      <c r="G619" s="123">
        <v>0</v>
      </c>
      <c r="H619" s="122">
        <v>0</v>
      </c>
      <c r="I619" s="123">
        <v>0</v>
      </c>
      <c r="J619" s="122">
        <v>0</v>
      </c>
      <c r="K619" s="123">
        <f>IFERROR(3*B619,0)</f>
        <v>105</v>
      </c>
      <c r="L619" s="123">
        <v>0</v>
      </c>
      <c r="M619" s="122">
        <v>0</v>
      </c>
      <c r="N619" s="123">
        <v>0</v>
      </c>
      <c r="O619" s="122">
        <v>0</v>
      </c>
      <c r="P619" s="123">
        <v>0</v>
      </c>
      <c r="Q619" s="117">
        <v>0</v>
      </c>
      <c r="R619" s="123">
        <v>0</v>
      </c>
      <c r="S619" s="119">
        <v>0</v>
      </c>
      <c r="T619" s="119">
        <v>0</v>
      </c>
      <c r="U619" s="119">
        <v>0</v>
      </c>
      <c r="V619" s="124" t="str">
        <f t="shared" si="39"/>
        <v>Added</v>
      </c>
    </row>
    <row r="620" spans="1:22" hidden="1">
      <c r="A620" s="451" t="s">
        <v>1686</v>
      </c>
      <c r="B620" s="114">
        <f>_xlfn.IFNA(VLOOKUP(Table1[[#This Row],[SKU]],'Kilter Holds'!$P$36:$S$370,4,0),0)</f>
        <v>41</v>
      </c>
      <c r="C620" s="407">
        <v>3</v>
      </c>
      <c r="D620" s="117">
        <v>0</v>
      </c>
      <c r="E620" s="123">
        <v>0</v>
      </c>
      <c r="F620" s="122">
        <v>0</v>
      </c>
      <c r="G620" s="123">
        <v>0</v>
      </c>
      <c r="H620" s="122">
        <v>0</v>
      </c>
      <c r="I620" s="123">
        <v>0</v>
      </c>
      <c r="J620" s="122">
        <v>0</v>
      </c>
      <c r="K620" s="123">
        <v>0</v>
      </c>
      <c r="L620" s="123">
        <v>0</v>
      </c>
      <c r="M620" s="122">
        <v>0</v>
      </c>
      <c r="N620" s="123">
        <v>0</v>
      </c>
      <c r="O620" s="122">
        <v>0</v>
      </c>
      <c r="P620" s="123">
        <v>0</v>
      </c>
      <c r="Q620" s="117">
        <v>0</v>
      </c>
      <c r="R620" s="123">
        <f>IFERROR(12*B620,0)</f>
        <v>492</v>
      </c>
      <c r="S620" s="119">
        <v>0</v>
      </c>
      <c r="T620" s="119">
        <v>0</v>
      </c>
      <c r="U620" s="119">
        <v>0</v>
      </c>
      <c r="V620" s="124" t="str">
        <f t="shared" si="39"/>
        <v>Added</v>
      </c>
    </row>
    <row r="621" spans="1:22" hidden="1">
      <c r="A621" s="460" t="s">
        <v>2169</v>
      </c>
      <c r="B621" s="114">
        <f>_xlfn.IFNA(VLOOKUP(Table1[[#This Row],[SKU]],'Kilter Holds'!$P$36:$S$370,4,0),0)</f>
        <v>0</v>
      </c>
      <c r="C621" s="407">
        <v>6</v>
      </c>
      <c r="D621" s="117">
        <v>0</v>
      </c>
      <c r="E621" s="123">
        <v>0</v>
      </c>
      <c r="F621" s="122">
        <v>0</v>
      </c>
      <c r="G621" s="123">
        <v>0</v>
      </c>
      <c r="H621" s="122">
        <v>0</v>
      </c>
      <c r="I621" s="123">
        <v>0</v>
      </c>
      <c r="J621" s="122">
        <v>0</v>
      </c>
      <c r="K621" s="123">
        <f>IFERROR(3*B621,0)</f>
        <v>0</v>
      </c>
      <c r="L621" s="123">
        <v>0</v>
      </c>
      <c r="M621" s="122">
        <v>0</v>
      </c>
      <c r="N621" s="123">
        <v>0</v>
      </c>
      <c r="O621" s="122">
        <v>0</v>
      </c>
      <c r="P621" s="123">
        <v>0</v>
      </c>
      <c r="Q621" s="117">
        <v>0</v>
      </c>
      <c r="R621" s="123">
        <f>Table1[[#This Row],[Quantity of Sets]]*12</f>
        <v>0</v>
      </c>
      <c r="S621" s="119">
        <v>0</v>
      </c>
      <c r="T621" s="119">
        <v>0</v>
      </c>
      <c r="U621" s="119">
        <v>0</v>
      </c>
      <c r="V621" s="124" t="str">
        <f t="shared" si="39"/>
        <v xml:space="preserve"> </v>
      </c>
    </row>
    <row r="622" spans="1:22" hidden="1">
      <c r="A622" s="451" t="s">
        <v>1819</v>
      </c>
      <c r="B622" s="114">
        <f>_xlfn.IFNA(VLOOKUP(Table1[[#This Row],[SKU]],'Kilter Holds'!$P$36:$S$370,4,0),0)</f>
        <v>31</v>
      </c>
      <c r="C622" s="407">
        <v>3</v>
      </c>
      <c r="D622" s="117">
        <v>0</v>
      </c>
      <c r="E622" s="123">
        <v>0</v>
      </c>
      <c r="F622" s="122">
        <v>0</v>
      </c>
      <c r="G622" s="123">
        <v>0</v>
      </c>
      <c r="H622" s="122">
        <v>0</v>
      </c>
      <c r="I622" s="123">
        <v>0</v>
      </c>
      <c r="J622" s="122">
        <v>0</v>
      </c>
      <c r="K622" s="123">
        <f>IFERROR(3*B622,0)</f>
        <v>93</v>
      </c>
      <c r="L622" s="123">
        <v>0</v>
      </c>
      <c r="M622" s="122">
        <v>0</v>
      </c>
      <c r="N622" s="123">
        <v>0</v>
      </c>
      <c r="O622" s="122">
        <v>0</v>
      </c>
      <c r="P622" s="123">
        <v>0</v>
      </c>
      <c r="Q622" s="117">
        <v>0</v>
      </c>
      <c r="R622" s="123">
        <v>0</v>
      </c>
      <c r="S622" s="119">
        <v>0</v>
      </c>
      <c r="T622" s="119">
        <v>0</v>
      </c>
      <c r="U622" s="119">
        <v>0</v>
      </c>
      <c r="V622" s="124" t="str">
        <f t="shared" si="39"/>
        <v>Added</v>
      </c>
    </row>
    <row r="623" spans="1:22" hidden="1">
      <c r="A623" s="451" t="s">
        <v>1682</v>
      </c>
      <c r="B623" s="114">
        <f>_xlfn.IFNA(VLOOKUP(Table1[[#This Row],[SKU]],'Kilter Holds'!$P$36:$S$370,4,0),0)</f>
        <v>35</v>
      </c>
      <c r="C623" s="407">
        <v>3</v>
      </c>
      <c r="D623" s="117">
        <v>0</v>
      </c>
      <c r="E623" s="123">
        <v>0</v>
      </c>
      <c r="F623" s="122">
        <v>0</v>
      </c>
      <c r="G623" s="123">
        <v>0</v>
      </c>
      <c r="H623" s="122">
        <v>0</v>
      </c>
      <c r="I623" s="123">
        <v>0</v>
      </c>
      <c r="J623" s="122">
        <v>0</v>
      </c>
      <c r="K623" s="123">
        <v>0</v>
      </c>
      <c r="L623" s="123">
        <v>0</v>
      </c>
      <c r="M623" s="122">
        <v>0</v>
      </c>
      <c r="N623" s="123">
        <v>0</v>
      </c>
      <c r="O623" s="122">
        <v>0</v>
      </c>
      <c r="P623" s="123">
        <v>0</v>
      </c>
      <c r="Q623" s="117">
        <v>0</v>
      </c>
      <c r="R623" s="123">
        <f>IFERROR(12*B623,0)</f>
        <v>420</v>
      </c>
      <c r="S623" s="119">
        <v>0</v>
      </c>
      <c r="T623" s="119">
        <v>0</v>
      </c>
      <c r="U623" s="119">
        <v>0</v>
      </c>
      <c r="V623" s="124" t="str">
        <f t="shared" si="39"/>
        <v>Added</v>
      </c>
    </row>
    <row r="624" spans="1:22" hidden="1">
      <c r="A624" s="451" t="s">
        <v>1674</v>
      </c>
      <c r="B624" s="114">
        <f>_xlfn.IFNA(VLOOKUP(Table1[[#This Row],[SKU]],'Kilter Holds'!$P$36:$S$370,4,0),0)</f>
        <v>44</v>
      </c>
      <c r="C624" s="407">
        <v>3</v>
      </c>
      <c r="D624" s="117">
        <v>0</v>
      </c>
      <c r="E624" s="123">
        <v>0</v>
      </c>
      <c r="F624" s="122">
        <v>0</v>
      </c>
      <c r="G624" s="123">
        <v>0</v>
      </c>
      <c r="H624" s="122">
        <v>0</v>
      </c>
      <c r="I624" s="123">
        <v>0</v>
      </c>
      <c r="J624" s="122">
        <v>0</v>
      </c>
      <c r="K624" s="123">
        <f>IFERROR(3*B624,0)</f>
        <v>132</v>
      </c>
      <c r="L624" s="123">
        <v>0</v>
      </c>
      <c r="M624" s="122">
        <v>0</v>
      </c>
      <c r="N624" s="123">
        <v>0</v>
      </c>
      <c r="O624" s="122">
        <v>0</v>
      </c>
      <c r="P624" s="123">
        <v>0</v>
      </c>
      <c r="Q624" s="117">
        <v>0</v>
      </c>
      <c r="R624" s="123">
        <v>0</v>
      </c>
      <c r="S624" s="119">
        <v>0</v>
      </c>
      <c r="T624" s="119">
        <v>0</v>
      </c>
      <c r="U624" s="119">
        <v>0</v>
      </c>
      <c r="V624" s="124" t="str">
        <f t="shared" si="39"/>
        <v>Added</v>
      </c>
    </row>
    <row r="625" spans="1:22" hidden="1">
      <c r="A625" s="460" t="s">
        <v>2284</v>
      </c>
      <c r="B625" s="114">
        <f>_xlfn.IFNA(VLOOKUP(Table1[[#This Row],[SKU]],'Kilter Holds'!$P$36:$S$370,4,0),0)</f>
        <v>38</v>
      </c>
      <c r="C625" s="407">
        <v>6</v>
      </c>
      <c r="D625" s="117">
        <v>0</v>
      </c>
      <c r="E625" s="123">
        <v>0</v>
      </c>
      <c r="F625" s="122">
        <v>0</v>
      </c>
      <c r="G625" s="123">
        <v>0</v>
      </c>
      <c r="H625" s="122">
        <v>0</v>
      </c>
      <c r="I625" s="123">
        <f>6*Table1[[#This Row],[Quantity of Sets]]</f>
        <v>228</v>
      </c>
      <c r="J625" s="122">
        <v>0</v>
      </c>
      <c r="K625" s="123">
        <v>0</v>
      </c>
      <c r="L625" s="123">
        <v>0</v>
      </c>
      <c r="M625" s="122">
        <v>0</v>
      </c>
      <c r="N625" s="123">
        <v>0</v>
      </c>
      <c r="O625" s="122">
        <v>0</v>
      </c>
      <c r="P625" s="123">
        <v>0</v>
      </c>
      <c r="Q625" s="117">
        <v>0</v>
      </c>
      <c r="R625" s="123">
        <v>0</v>
      </c>
      <c r="S625" s="119">
        <v>0</v>
      </c>
      <c r="T625" s="119">
        <f>IFERROR(1*B625,0)</f>
        <v>38</v>
      </c>
      <c r="U625" s="119">
        <f>IFERROR(2*B625,0)</f>
        <v>76</v>
      </c>
      <c r="V625" s="124" t="str">
        <f t="shared" ref="V625:V712" si="41">IF(B625&gt;0,"Added"," ")</f>
        <v>Added</v>
      </c>
    </row>
    <row r="626" spans="1:22" hidden="1">
      <c r="A626" s="460" t="s">
        <v>2288</v>
      </c>
      <c r="B626" s="114">
        <f>_xlfn.IFNA(VLOOKUP(Table1[[#This Row],[SKU]],'Kilter Holds'!$P$36:$S$370,4,0),0)</f>
        <v>34</v>
      </c>
      <c r="C626" s="407">
        <v>10</v>
      </c>
      <c r="D626" s="117">
        <v>0</v>
      </c>
      <c r="E626" s="123">
        <v>0</v>
      </c>
      <c r="F626" s="122">
        <v>0</v>
      </c>
      <c r="G626" s="123">
        <f>10*Table1[[#This Row],[Quantity of Sets]]</f>
        <v>340</v>
      </c>
      <c r="H626" s="122">
        <v>0</v>
      </c>
      <c r="I626" s="123">
        <v>0</v>
      </c>
      <c r="J626" s="122">
        <v>0</v>
      </c>
      <c r="K626" s="123">
        <v>0</v>
      </c>
      <c r="L626" s="123">
        <v>0</v>
      </c>
      <c r="M626" s="122">
        <v>0</v>
      </c>
      <c r="N626" s="123">
        <v>0</v>
      </c>
      <c r="O626" s="122">
        <v>0</v>
      </c>
      <c r="P626" s="123">
        <v>0</v>
      </c>
      <c r="Q626" s="117">
        <v>0</v>
      </c>
      <c r="R626" s="123">
        <v>0</v>
      </c>
      <c r="S626" s="119">
        <v>0</v>
      </c>
      <c r="T626" s="119">
        <v>0</v>
      </c>
      <c r="U626" s="119">
        <v>0</v>
      </c>
      <c r="V626" s="124" t="str">
        <f t="shared" si="41"/>
        <v>Added</v>
      </c>
    </row>
    <row r="627" spans="1:22" hidden="1">
      <c r="A627" s="460" t="s">
        <v>2286</v>
      </c>
      <c r="B627" s="114">
        <f>_xlfn.IFNA(VLOOKUP(Table1[[#This Row],[SKU]],'Kilter Holds'!$P$36:$S$370,4,0),0)</f>
        <v>40</v>
      </c>
      <c r="C627" s="407">
        <v>8</v>
      </c>
      <c r="D627" s="117">
        <v>0</v>
      </c>
      <c r="E627" s="123">
        <v>0</v>
      </c>
      <c r="F627" s="122">
        <v>0</v>
      </c>
      <c r="G627" s="123">
        <v>0</v>
      </c>
      <c r="H627" s="122">
        <v>0</v>
      </c>
      <c r="I627" s="123">
        <f>8*Table1[[#This Row],[Quantity of Sets]]</f>
        <v>320</v>
      </c>
      <c r="J627" s="122">
        <v>0</v>
      </c>
      <c r="K627" s="123">
        <v>0</v>
      </c>
      <c r="L627" s="123">
        <v>0</v>
      </c>
      <c r="M627" s="122">
        <v>0</v>
      </c>
      <c r="N627" s="123">
        <v>0</v>
      </c>
      <c r="O627" s="122">
        <v>0</v>
      </c>
      <c r="P627" s="123">
        <v>0</v>
      </c>
      <c r="Q627" s="117">
        <v>0</v>
      </c>
      <c r="R627" s="123">
        <v>0</v>
      </c>
      <c r="S627" s="119">
        <v>0</v>
      </c>
      <c r="T627" s="119">
        <v>0</v>
      </c>
      <c r="U627" s="119">
        <v>0</v>
      </c>
      <c r="V627" s="124" t="str">
        <f t="shared" si="41"/>
        <v>Added</v>
      </c>
    </row>
    <row r="628" spans="1:22" hidden="1">
      <c r="A628" s="460" t="s">
        <v>2616</v>
      </c>
      <c r="B628" s="114">
        <f>_xlfn.IFNA(VLOOKUP(Table1[[#This Row],[SKU]],'Kilter Holds'!$P$36:$S$370,4,0),0)</f>
        <v>39</v>
      </c>
      <c r="C628" s="407">
        <v>4</v>
      </c>
      <c r="D628" s="117">
        <v>0</v>
      </c>
      <c r="E628" s="123">
        <v>0</v>
      </c>
      <c r="F628" s="122">
        <v>0</v>
      </c>
      <c r="G628" s="123">
        <v>0</v>
      </c>
      <c r="H628" s="122">
        <v>0</v>
      </c>
      <c r="I628" s="123">
        <v>0</v>
      </c>
      <c r="J628" s="122">
        <f>4*Table1[[#This Row],[Quantity of Sets]]</f>
        <v>156</v>
      </c>
      <c r="K628" s="123">
        <v>0</v>
      </c>
      <c r="L628" s="123">
        <v>0</v>
      </c>
      <c r="M628" s="122">
        <v>0</v>
      </c>
      <c r="N628" s="123">
        <v>0</v>
      </c>
      <c r="O628" s="122">
        <v>0</v>
      </c>
      <c r="P628" s="123">
        <v>0</v>
      </c>
      <c r="Q628" s="117">
        <v>0</v>
      </c>
      <c r="R628" s="123">
        <v>0</v>
      </c>
      <c r="S628" s="119">
        <v>0</v>
      </c>
      <c r="T628" s="119">
        <v>0</v>
      </c>
      <c r="U628" s="119">
        <v>0</v>
      </c>
      <c r="V628" s="124" t="str">
        <f t="shared" si="41"/>
        <v>Added</v>
      </c>
    </row>
    <row r="629" spans="1:22" hidden="1">
      <c r="A629" s="460" t="s">
        <v>2615</v>
      </c>
      <c r="B629" s="114">
        <f>_xlfn.IFNA(VLOOKUP(Table1[[#This Row],[SKU]],'Kilter Holds'!$P$36:$S$370,4,0),0)</f>
        <v>26</v>
      </c>
      <c r="C629" s="407">
        <v>4</v>
      </c>
      <c r="D629" s="117">
        <v>0</v>
      </c>
      <c r="E629" s="123">
        <v>0</v>
      </c>
      <c r="F629" s="122">
        <v>0</v>
      </c>
      <c r="G629" s="123">
        <v>0</v>
      </c>
      <c r="H629" s="122">
        <v>0</v>
      </c>
      <c r="I629" s="123">
        <v>0</v>
      </c>
      <c r="J629" s="122">
        <f>4*Table1[[#This Row],[Quantity of Sets]]</f>
        <v>104</v>
      </c>
      <c r="K629" s="123">
        <v>0</v>
      </c>
      <c r="L629" s="123">
        <v>0</v>
      </c>
      <c r="M629" s="122">
        <v>0</v>
      </c>
      <c r="N629" s="123">
        <v>0</v>
      </c>
      <c r="O629" s="122">
        <v>0</v>
      </c>
      <c r="P629" s="123">
        <v>0</v>
      </c>
      <c r="Q629" s="117">
        <v>0</v>
      </c>
      <c r="R629" s="123">
        <v>0</v>
      </c>
      <c r="S629" s="119">
        <v>0</v>
      </c>
      <c r="T629" s="119">
        <v>0</v>
      </c>
      <c r="U629" s="119">
        <v>0</v>
      </c>
      <c r="V629" s="124" t="str">
        <f t="shared" ref="V629" si="42">IF(B629&gt;0,"Added"," ")</f>
        <v>Added</v>
      </c>
    </row>
    <row r="630" spans="1:22" hidden="1">
      <c r="A630" s="460" t="s">
        <v>2619</v>
      </c>
      <c r="B630" s="114">
        <f>_xlfn.IFNA(VLOOKUP(Table1[[#This Row],[SKU]],'Kilter Holds'!$P$36:$S$370,4,0),0)</f>
        <v>0</v>
      </c>
      <c r="C630" s="407">
        <v>8</v>
      </c>
      <c r="D630" s="117">
        <v>0</v>
      </c>
      <c r="E630" s="123">
        <v>0</v>
      </c>
      <c r="F630" s="122">
        <v>0</v>
      </c>
      <c r="G630" s="123">
        <v>0</v>
      </c>
      <c r="H630" s="122">
        <v>0</v>
      </c>
      <c r="I630" s="123">
        <v>0</v>
      </c>
      <c r="J630" s="122">
        <f>8*Table1[[#This Row],[Quantity of Sets]]</f>
        <v>0</v>
      </c>
      <c r="K630" s="123">
        <v>0</v>
      </c>
      <c r="L630" s="123">
        <v>0</v>
      </c>
      <c r="M630" s="122">
        <v>0</v>
      </c>
      <c r="N630" s="123">
        <v>0</v>
      </c>
      <c r="O630" s="122">
        <v>0</v>
      </c>
      <c r="P630" s="123">
        <v>0</v>
      </c>
      <c r="Q630" s="117">
        <v>0</v>
      </c>
      <c r="R630" s="123">
        <v>0</v>
      </c>
      <c r="S630" s="119">
        <v>0</v>
      </c>
      <c r="T630" s="119">
        <v>0</v>
      </c>
      <c r="U630" s="119">
        <v>0</v>
      </c>
      <c r="V630" s="124" t="str">
        <f t="shared" ref="V630" si="43">IF(B630&gt;0,"Added"," ")</f>
        <v xml:space="preserve"> </v>
      </c>
    </row>
    <row r="631" spans="1:22" hidden="1">
      <c r="A631" s="460" t="s">
        <v>2624</v>
      </c>
      <c r="B631" s="114">
        <f>_xlfn.IFNA(VLOOKUP(Table1[[#This Row],[SKU]],'Kilter Holds'!$P$36:$S$370,4,0),0)</f>
        <v>27</v>
      </c>
      <c r="C631" s="407">
        <v>10</v>
      </c>
      <c r="D631" s="117">
        <v>0</v>
      </c>
      <c r="E631" s="123">
        <f>10*Table1[[#This Row],[Quantity of Sets]]</f>
        <v>270</v>
      </c>
      <c r="F631" s="122">
        <v>0</v>
      </c>
      <c r="G631" s="123">
        <v>0</v>
      </c>
      <c r="H631" s="122">
        <v>0</v>
      </c>
      <c r="I631" s="123">
        <v>0</v>
      </c>
      <c r="J631" s="122">
        <v>0</v>
      </c>
      <c r="K631" s="123">
        <v>0</v>
      </c>
      <c r="L631" s="122">
        <v>0</v>
      </c>
      <c r="M631" s="123">
        <v>0</v>
      </c>
      <c r="N631" s="122">
        <v>0</v>
      </c>
      <c r="O631" s="123">
        <v>0</v>
      </c>
      <c r="P631" s="122">
        <v>0</v>
      </c>
      <c r="Q631" s="123">
        <v>0</v>
      </c>
      <c r="R631" s="122">
        <v>0</v>
      </c>
      <c r="S631" s="123">
        <v>0</v>
      </c>
      <c r="T631" s="122">
        <v>0</v>
      </c>
      <c r="U631" s="123">
        <v>0</v>
      </c>
      <c r="V631" s="124" t="str">
        <f>IF(B631&gt;0,"Added"," ")</f>
        <v>Added</v>
      </c>
    </row>
    <row r="632" spans="1:22" hidden="1">
      <c r="A632" s="460" t="s">
        <v>2625</v>
      </c>
      <c r="B632" s="114">
        <f>_xlfn.IFNA(VLOOKUP(Table1[[#This Row],[SKU]],'Kilter Holds'!$P$36:$S$370,4,0),0)</f>
        <v>50</v>
      </c>
      <c r="C632" s="407">
        <v>10</v>
      </c>
      <c r="D632" s="117">
        <v>0</v>
      </c>
      <c r="E632" s="123">
        <v>0</v>
      </c>
      <c r="F632" s="117">
        <v>0</v>
      </c>
      <c r="G632" s="123">
        <v>0</v>
      </c>
      <c r="H632" s="117">
        <v>0</v>
      </c>
      <c r="I632" s="123">
        <v>0</v>
      </c>
      <c r="J632" s="117">
        <v>0</v>
      </c>
      <c r="K632" s="123">
        <v>0</v>
      </c>
      <c r="L632" s="117">
        <v>0</v>
      </c>
      <c r="M632" s="123">
        <v>0</v>
      </c>
      <c r="N632" s="117">
        <v>0</v>
      </c>
      <c r="O632" s="123">
        <v>0</v>
      </c>
      <c r="P632" s="117">
        <v>0</v>
      </c>
      <c r="Q632" s="117">
        <f>30*Table1[[#This Row],[Quantity of Sets]]</f>
        <v>1500</v>
      </c>
      <c r="R632" s="123">
        <v>0</v>
      </c>
      <c r="S632" s="119">
        <v>0</v>
      </c>
      <c r="T632" s="119">
        <v>0</v>
      </c>
      <c r="U632" s="119">
        <v>0</v>
      </c>
      <c r="V632" s="124" t="str">
        <f>IF(B632&gt;0,"Added"," ")</f>
        <v>Added</v>
      </c>
    </row>
    <row r="633" spans="1:22" hidden="1">
      <c r="A633" s="460" t="s">
        <v>2623</v>
      </c>
      <c r="B633" s="114">
        <f>_xlfn.IFNA(VLOOKUP(Table1[[#This Row],[SKU]],'Kilter Holds'!$P$36:$S$370,4,0),0)</f>
        <v>0</v>
      </c>
      <c r="C633" s="407">
        <v>20</v>
      </c>
      <c r="D633" s="117">
        <v>0</v>
      </c>
      <c r="E633" s="123">
        <f>10*Table1[[#This Row],[Quantity of Sets]]</f>
        <v>0</v>
      </c>
      <c r="F633" s="122">
        <v>0</v>
      </c>
      <c r="G633" s="123">
        <v>0</v>
      </c>
      <c r="H633" s="122">
        <v>0</v>
      </c>
      <c r="I633" s="123">
        <v>0</v>
      </c>
      <c r="J633" s="122">
        <v>0</v>
      </c>
      <c r="K633" s="123">
        <v>0</v>
      </c>
      <c r="L633" s="122">
        <v>0</v>
      </c>
      <c r="M633" s="123">
        <v>0</v>
      </c>
      <c r="N633" s="122">
        <v>0</v>
      </c>
      <c r="O633" s="123">
        <v>0</v>
      </c>
      <c r="P633" s="122">
        <v>0</v>
      </c>
      <c r="Q633" s="117">
        <f>30*Table1[[#This Row],[Quantity of Sets]]</f>
        <v>0</v>
      </c>
      <c r="R633" s="123">
        <v>0</v>
      </c>
      <c r="S633" s="119">
        <v>0</v>
      </c>
      <c r="T633" s="119">
        <v>0</v>
      </c>
      <c r="U633" s="119">
        <v>0</v>
      </c>
      <c r="V633" s="124" t="str">
        <f>IF(B633&gt;0,"Added"," ")</f>
        <v xml:space="preserve"> </v>
      </c>
    </row>
    <row r="634" spans="1:22" hidden="1">
      <c r="A634" s="460" t="s">
        <v>2477</v>
      </c>
      <c r="B634" s="114">
        <f>_xlfn.IFNA(VLOOKUP(Table1[[#This Row],[SKU]],'Kilter Holds'!$P$36:$S$370,4,0),0)</f>
        <v>32</v>
      </c>
      <c r="C634" s="407">
        <v>8</v>
      </c>
      <c r="D634" s="117">
        <v>0</v>
      </c>
      <c r="E634" s="123">
        <v>0</v>
      </c>
      <c r="F634" s="122">
        <f>8*Table1[[#This Row],[Quantity of Sets]]</f>
        <v>256</v>
      </c>
      <c r="G634" s="123">
        <v>0</v>
      </c>
      <c r="H634" s="122">
        <v>0</v>
      </c>
      <c r="I634" s="123">
        <v>0</v>
      </c>
      <c r="J634" s="122">
        <v>0</v>
      </c>
      <c r="K634" s="123">
        <v>0</v>
      </c>
      <c r="L634" s="123">
        <v>0</v>
      </c>
      <c r="M634" s="122">
        <v>0</v>
      </c>
      <c r="N634" s="123">
        <v>0</v>
      </c>
      <c r="O634" s="122">
        <v>0</v>
      </c>
      <c r="P634" s="123">
        <v>0</v>
      </c>
      <c r="Q634" s="117">
        <v>0</v>
      </c>
      <c r="R634" s="123">
        <v>0</v>
      </c>
      <c r="S634" s="119">
        <v>0</v>
      </c>
      <c r="T634" s="119">
        <v>0</v>
      </c>
      <c r="U634" s="119">
        <v>0</v>
      </c>
      <c r="V634" s="124" t="str">
        <f t="shared" si="41"/>
        <v>Added</v>
      </c>
    </row>
    <row r="635" spans="1:22" hidden="1">
      <c r="A635" s="460" t="s">
        <v>2479</v>
      </c>
      <c r="B635" s="114">
        <f>_xlfn.IFNA(VLOOKUP(Table1[[#This Row],[SKU]],'Kilter Holds'!$P$36:$S$370,4,0),0)</f>
        <v>46</v>
      </c>
      <c r="C635" s="407">
        <v>1</v>
      </c>
      <c r="D635" s="117">
        <v>0</v>
      </c>
      <c r="E635" s="123">
        <v>0</v>
      </c>
      <c r="F635" s="122">
        <v>0</v>
      </c>
      <c r="G635" s="123">
        <v>0</v>
      </c>
      <c r="H635" s="122">
        <v>0</v>
      </c>
      <c r="I635" s="123">
        <f>4*Table1[[#This Row],[Quantity of Sets]]</f>
        <v>184</v>
      </c>
      <c r="J635" s="122">
        <v>0</v>
      </c>
      <c r="K635" s="123">
        <v>0</v>
      </c>
      <c r="L635" s="123">
        <v>0</v>
      </c>
      <c r="M635" s="122">
        <v>0</v>
      </c>
      <c r="N635" s="123">
        <v>0</v>
      </c>
      <c r="O635" s="122">
        <v>0</v>
      </c>
      <c r="P635" s="123">
        <v>0</v>
      </c>
      <c r="Q635" s="117">
        <v>0</v>
      </c>
      <c r="R635" s="123">
        <v>0</v>
      </c>
      <c r="S635" s="119">
        <v>0</v>
      </c>
      <c r="T635" s="119">
        <v>0</v>
      </c>
      <c r="U635" s="119">
        <v>0</v>
      </c>
      <c r="V635" s="124" t="str">
        <f t="shared" si="41"/>
        <v>Added</v>
      </c>
    </row>
    <row r="636" spans="1:22" hidden="1">
      <c r="A636" s="460" t="s">
        <v>2546</v>
      </c>
      <c r="B636" s="114">
        <f>_xlfn.IFNA(VLOOKUP(Table1[[#This Row],[SKU]],'Kilter Holds'!$P$36:$S$370,4,0),0)</f>
        <v>37</v>
      </c>
      <c r="C636" s="407">
        <v>3</v>
      </c>
      <c r="D636" s="117">
        <v>0</v>
      </c>
      <c r="E636" s="123">
        <v>0</v>
      </c>
      <c r="F636" s="122">
        <v>0</v>
      </c>
      <c r="G636" s="123">
        <v>0</v>
      </c>
      <c r="H636" s="122">
        <v>0</v>
      </c>
      <c r="I636" s="123">
        <f>3*Table1[[#This Row],[Quantity of Sets]]</f>
        <v>111</v>
      </c>
      <c r="J636" s="122">
        <v>0</v>
      </c>
      <c r="K636" s="123">
        <v>0</v>
      </c>
      <c r="L636" s="123">
        <v>0</v>
      </c>
      <c r="M636" s="122">
        <v>0</v>
      </c>
      <c r="N636" s="123">
        <v>0</v>
      </c>
      <c r="O636" s="122">
        <v>0</v>
      </c>
      <c r="P636" s="123">
        <v>0</v>
      </c>
      <c r="Q636" s="117">
        <v>0</v>
      </c>
      <c r="R636" s="123">
        <v>0</v>
      </c>
      <c r="S636" s="119">
        <v>0</v>
      </c>
      <c r="T636" s="119">
        <v>0</v>
      </c>
      <c r="U636" s="119">
        <v>0</v>
      </c>
      <c r="V636" s="124" t="str">
        <f>IF(B636&gt;0,"Added"," ")</f>
        <v>Added</v>
      </c>
    </row>
    <row r="637" spans="1:22" hidden="1">
      <c r="A637" s="460" t="s">
        <v>2553</v>
      </c>
      <c r="B637" s="114">
        <f>_xlfn.IFNA(VLOOKUP(Table1[[#This Row],[SKU]],'Kilter Holds'!$P$36:$S$370,4,0),0)</f>
        <v>49</v>
      </c>
      <c r="C637" s="407">
        <v>6</v>
      </c>
      <c r="D637" s="117">
        <v>0</v>
      </c>
      <c r="E637" s="123">
        <v>0</v>
      </c>
      <c r="F637" s="122">
        <v>0</v>
      </c>
      <c r="G637" s="123">
        <f>Table1[[#This Row],[Holds per Set]]*Table1[[#This Row],[Quantity of Sets]]</f>
        <v>294</v>
      </c>
      <c r="H637" s="122">
        <v>0</v>
      </c>
      <c r="I637" s="123">
        <v>0</v>
      </c>
      <c r="J637" s="122">
        <v>0</v>
      </c>
      <c r="K637" s="123">
        <v>0</v>
      </c>
      <c r="L637" s="123">
        <v>0</v>
      </c>
      <c r="M637" s="122">
        <v>0</v>
      </c>
      <c r="N637" s="123">
        <v>0</v>
      </c>
      <c r="O637" s="122">
        <v>0</v>
      </c>
      <c r="P637" s="123">
        <v>0</v>
      </c>
      <c r="Q637" s="117">
        <v>0</v>
      </c>
      <c r="R637" s="123">
        <v>0</v>
      </c>
      <c r="S637" s="119">
        <v>0</v>
      </c>
      <c r="T637" s="119">
        <v>0</v>
      </c>
      <c r="U637" s="119">
        <v>0</v>
      </c>
      <c r="V637" s="124" t="str">
        <f t="shared" ref="V637" si="44">IF(B637&gt;0,"Added"," ")</f>
        <v>Added</v>
      </c>
    </row>
    <row r="638" spans="1:22" hidden="1">
      <c r="A638" s="460" t="s">
        <v>2555</v>
      </c>
      <c r="B638" s="114">
        <f>_xlfn.IFNA(VLOOKUP(Table1[[#This Row],[SKU]],'Kilter Holds'!$P$36:$S$370,4,0),0)</f>
        <v>39</v>
      </c>
      <c r="C638" s="407">
        <v>7</v>
      </c>
      <c r="D638" s="117">
        <v>0</v>
      </c>
      <c r="E638" s="123">
        <v>0</v>
      </c>
      <c r="F638" s="122">
        <f>Table1[[#This Row],[Holds per Set]]*Table1[[#This Row],[Quantity of Sets]]</f>
        <v>273</v>
      </c>
      <c r="G638" s="123">
        <v>0</v>
      </c>
      <c r="H638" s="122">
        <v>0</v>
      </c>
      <c r="I638" s="123">
        <v>0</v>
      </c>
      <c r="J638" s="122">
        <v>0</v>
      </c>
      <c r="K638" s="123">
        <v>0</v>
      </c>
      <c r="L638" s="123">
        <v>0</v>
      </c>
      <c r="M638" s="122">
        <v>0</v>
      </c>
      <c r="N638" s="123">
        <v>0</v>
      </c>
      <c r="O638" s="122">
        <v>0</v>
      </c>
      <c r="P638" s="123">
        <v>0</v>
      </c>
      <c r="Q638" s="117">
        <v>0</v>
      </c>
      <c r="R638" s="123">
        <v>0</v>
      </c>
      <c r="S638" s="119">
        <v>0</v>
      </c>
      <c r="T638" s="119">
        <v>0</v>
      </c>
      <c r="U638" s="119">
        <v>0</v>
      </c>
      <c r="V638" s="124" t="str">
        <f t="shared" ref="V638:V700" si="45">IF(B638&gt;0,"Added"," ")</f>
        <v>Added</v>
      </c>
    </row>
    <row r="639" spans="1:22" hidden="1">
      <c r="A639" s="460" t="s">
        <v>2559</v>
      </c>
      <c r="B639" s="114">
        <f>_xlfn.IFNA(VLOOKUP(Table1[[#This Row],[SKU]],'Kilter Holds'!$P$36:$S$370,4,0),0)</f>
        <v>39</v>
      </c>
      <c r="C639" s="407">
        <v>7</v>
      </c>
      <c r="D639" s="117">
        <v>0</v>
      </c>
      <c r="E639" s="123">
        <v>0</v>
      </c>
      <c r="F639" s="117">
        <v>0</v>
      </c>
      <c r="G639" s="123">
        <v>0</v>
      </c>
      <c r="H639" s="117">
        <v>0</v>
      </c>
      <c r="I639" s="123">
        <v>0</v>
      </c>
      <c r="J639" s="117">
        <v>0</v>
      </c>
      <c r="K639" s="123">
        <v>0</v>
      </c>
      <c r="L639" s="117">
        <v>0</v>
      </c>
      <c r="M639" s="123">
        <v>0</v>
      </c>
      <c r="N639" s="117">
        <v>0</v>
      </c>
      <c r="O639" s="123">
        <v>0</v>
      </c>
      <c r="P639" s="117">
        <v>0</v>
      </c>
      <c r="Q639" s="117">
        <f>30*Table1[[#This Row],[Quantity of Sets]]</f>
        <v>1170</v>
      </c>
      <c r="R639" s="123">
        <f>28*Table1[[#This Row],[Quantity of Sets]]</f>
        <v>1092</v>
      </c>
      <c r="S639" s="119">
        <v>0</v>
      </c>
      <c r="T639" s="119">
        <v>0</v>
      </c>
      <c r="U639" s="119">
        <v>0</v>
      </c>
      <c r="V639" s="124" t="str">
        <f t="shared" si="45"/>
        <v>Added</v>
      </c>
    </row>
    <row r="640" spans="1:22" hidden="1">
      <c r="A640" s="460" t="s">
        <v>2809</v>
      </c>
      <c r="B640" s="114">
        <f>_xlfn.IFNA(VLOOKUP(Table1[[#This Row],[SKU]],'Kilter Holds'!$P$36:$S$370,4,0),0)</f>
        <v>51</v>
      </c>
      <c r="C640" s="407">
        <v>5</v>
      </c>
      <c r="D640" s="117">
        <v>0</v>
      </c>
      <c r="E640" s="123">
        <f>5*Table1[[#This Row],[Quantity of Sets]]</f>
        <v>255</v>
      </c>
      <c r="F640" s="123">
        <v>0</v>
      </c>
      <c r="G640" s="123">
        <v>0</v>
      </c>
      <c r="H640" s="123">
        <v>0</v>
      </c>
      <c r="I640" s="123">
        <v>0</v>
      </c>
      <c r="J640" s="123">
        <v>0</v>
      </c>
      <c r="K640" s="123">
        <v>0</v>
      </c>
      <c r="L640" s="123">
        <v>0</v>
      </c>
      <c r="M640" s="123">
        <v>0</v>
      </c>
      <c r="N640" s="123">
        <v>0</v>
      </c>
      <c r="O640" s="123">
        <v>0</v>
      </c>
      <c r="P640" s="123">
        <v>0</v>
      </c>
      <c r="Q640" s="117">
        <f>5*Table1[[#This Row],[Quantity of Sets]]</f>
        <v>255</v>
      </c>
      <c r="R640" s="123">
        <v>0</v>
      </c>
      <c r="S640" s="119">
        <v>0</v>
      </c>
      <c r="T640" s="119">
        <v>0</v>
      </c>
      <c r="U640" s="119">
        <v>0</v>
      </c>
      <c r="V640" s="124" t="str">
        <f t="shared" si="45"/>
        <v>Added</v>
      </c>
    </row>
    <row r="641" spans="1:22" hidden="1">
      <c r="A641" s="460" t="s">
        <v>2834</v>
      </c>
      <c r="B641" s="114">
        <f>_xlfn.IFNA(VLOOKUP(Table1[[#This Row],[SKU]],'Kilter Holds'!$P$36:$S$370,4,0),0)</f>
        <v>35</v>
      </c>
      <c r="C641" s="407">
        <v>11</v>
      </c>
      <c r="D641" s="117">
        <f>11*Table1[[#This Row],[Quantity of Sets]]</f>
        <v>385</v>
      </c>
      <c r="E641" s="123">
        <v>0</v>
      </c>
      <c r="F641" s="123">
        <v>0</v>
      </c>
      <c r="G641" s="123">
        <v>0</v>
      </c>
      <c r="H641" s="123">
        <v>0</v>
      </c>
      <c r="I641" s="123">
        <v>0</v>
      </c>
      <c r="J641" s="123">
        <v>0</v>
      </c>
      <c r="K641" s="123">
        <v>0</v>
      </c>
      <c r="L641" s="123">
        <v>0</v>
      </c>
      <c r="M641" s="123">
        <v>0</v>
      </c>
      <c r="N641" s="123">
        <v>0</v>
      </c>
      <c r="O641" s="123">
        <v>0</v>
      </c>
      <c r="P641" s="123">
        <v>0</v>
      </c>
      <c r="Q641" s="117">
        <f>11*Table1[[#This Row],[Quantity of Sets]]</f>
        <v>385</v>
      </c>
      <c r="R641" s="123">
        <v>0</v>
      </c>
      <c r="S641" s="119">
        <v>0</v>
      </c>
      <c r="T641" s="119">
        <v>0</v>
      </c>
      <c r="U641" s="119">
        <v>0</v>
      </c>
      <c r="V641" s="124" t="str">
        <f t="shared" si="45"/>
        <v>Added</v>
      </c>
    </row>
    <row r="642" spans="1:22" hidden="1">
      <c r="A642" s="460" t="s">
        <v>2890</v>
      </c>
      <c r="B642" s="114">
        <f>_xlfn.IFNA(VLOOKUP(Table1[[#This Row],[SKU]],'Kilter Holds'!$P$36:$S$370,4,0),0)</f>
        <v>0</v>
      </c>
      <c r="C642" s="407">
        <v>10</v>
      </c>
      <c r="D642" s="117">
        <v>0</v>
      </c>
      <c r="E642" s="123">
        <v>0</v>
      </c>
      <c r="F642" s="123">
        <v>0</v>
      </c>
      <c r="G642" s="123">
        <v>0</v>
      </c>
      <c r="H642" s="123">
        <v>0</v>
      </c>
      <c r="I642" s="123">
        <v>0</v>
      </c>
      <c r="J642" s="123">
        <v>0</v>
      </c>
      <c r="K642" s="123">
        <v>0</v>
      </c>
      <c r="L642" s="123">
        <v>0</v>
      </c>
      <c r="M642" s="123">
        <v>0</v>
      </c>
      <c r="N642" s="123">
        <v>0</v>
      </c>
      <c r="O642" s="123">
        <v>0</v>
      </c>
      <c r="P642" s="123">
        <v>0</v>
      </c>
      <c r="Q642" s="117">
        <f>20*Table1[[#This Row],[Quantity of Sets]]</f>
        <v>0</v>
      </c>
      <c r="R642" s="123">
        <v>0</v>
      </c>
      <c r="S642" s="119">
        <v>0</v>
      </c>
      <c r="T642" s="119">
        <v>0</v>
      </c>
      <c r="U642" s="119">
        <v>0</v>
      </c>
      <c r="V642" s="124" t="str">
        <f t="shared" si="45"/>
        <v xml:space="preserve"> </v>
      </c>
    </row>
    <row r="643" spans="1:22" hidden="1">
      <c r="A643" s="460" t="s">
        <v>2856</v>
      </c>
      <c r="B643" s="114">
        <f>_xlfn.IFNA(VLOOKUP(Table1[[#This Row],[SKU]],'Kilter Holds'!$P$36:$S$370,4,0),0)</f>
        <v>44</v>
      </c>
      <c r="C643" s="407">
        <v>10</v>
      </c>
      <c r="D643" s="117">
        <f>10*Table1[[#This Row],[Quantity of Sets]]</f>
        <v>440</v>
      </c>
      <c r="E643" s="123">
        <v>0</v>
      </c>
      <c r="F643" s="123">
        <v>0</v>
      </c>
      <c r="G643" s="123">
        <v>0</v>
      </c>
      <c r="H643" s="123">
        <v>0</v>
      </c>
      <c r="I643" s="123">
        <v>0</v>
      </c>
      <c r="J643" s="123">
        <v>0</v>
      </c>
      <c r="K643" s="123">
        <v>0</v>
      </c>
      <c r="L643" s="123">
        <v>0</v>
      </c>
      <c r="M643" s="123">
        <v>0</v>
      </c>
      <c r="N643" s="123">
        <v>0</v>
      </c>
      <c r="O643" s="123">
        <v>0</v>
      </c>
      <c r="P643" s="123">
        <v>0</v>
      </c>
      <c r="Q643" s="117">
        <f>10*Table1[[#This Row],[Quantity of Sets]]</f>
        <v>440</v>
      </c>
      <c r="R643" s="123">
        <v>0</v>
      </c>
      <c r="S643" s="119">
        <v>0</v>
      </c>
      <c r="T643" s="119">
        <v>0</v>
      </c>
      <c r="U643" s="119">
        <v>0</v>
      </c>
      <c r="V643" s="124" t="str">
        <f t="shared" si="45"/>
        <v>Added</v>
      </c>
    </row>
    <row r="644" spans="1:22" hidden="1">
      <c r="A644" s="460" t="s">
        <v>2839</v>
      </c>
      <c r="B644" s="114">
        <f>_xlfn.IFNA(VLOOKUP(Table1[[#This Row],[SKU]],'Kilter Holds'!$P$36:$S$370,4,0),0)</f>
        <v>27</v>
      </c>
      <c r="C644" s="407">
        <v>5</v>
      </c>
      <c r="D644" s="117">
        <v>0</v>
      </c>
      <c r="E644" s="123">
        <v>0</v>
      </c>
      <c r="F644" s="123">
        <f>5*Table1[[#This Row],[Quantity of Sets]]</f>
        <v>135</v>
      </c>
      <c r="G644" s="123">
        <v>0</v>
      </c>
      <c r="H644" s="123">
        <v>0</v>
      </c>
      <c r="I644" s="123">
        <v>0</v>
      </c>
      <c r="J644" s="123">
        <v>0</v>
      </c>
      <c r="K644" s="123">
        <v>0</v>
      </c>
      <c r="L644" s="123">
        <v>0</v>
      </c>
      <c r="M644" s="123">
        <v>0</v>
      </c>
      <c r="N644" s="123">
        <v>0</v>
      </c>
      <c r="O644" s="123">
        <v>0</v>
      </c>
      <c r="P644" s="123">
        <v>0</v>
      </c>
      <c r="Q644" s="117">
        <f>5*Table1[[#This Row],[Quantity of Sets]]</f>
        <v>135</v>
      </c>
      <c r="R644" s="123">
        <v>0</v>
      </c>
      <c r="S644" s="119">
        <v>0</v>
      </c>
      <c r="T644" s="119">
        <v>0</v>
      </c>
      <c r="U644" s="119">
        <v>0</v>
      </c>
      <c r="V644" s="124" t="str">
        <f t="shared" si="45"/>
        <v>Added</v>
      </c>
    </row>
    <row r="645" spans="1:22" hidden="1">
      <c r="A645" s="460" t="s">
        <v>2841</v>
      </c>
      <c r="B645" s="114">
        <f>_xlfn.IFNA(VLOOKUP(Table1[[#This Row],[SKU]],'Kilter Holds'!$P$36:$S$370,4,0),0)</f>
        <v>40</v>
      </c>
      <c r="C645" s="407">
        <v>10</v>
      </c>
      <c r="D645" s="117">
        <v>0</v>
      </c>
      <c r="E645" s="123">
        <v>0</v>
      </c>
      <c r="F645" s="123">
        <f>10*Table1[[#This Row],[Quantity of Sets]]</f>
        <v>400</v>
      </c>
      <c r="G645" s="123">
        <v>0</v>
      </c>
      <c r="H645" s="123">
        <v>0</v>
      </c>
      <c r="I645" s="123">
        <v>0</v>
      </c>
      <c r="J645" s="123">
        <v>0</v>
      </c>
      <c r="K645" s="123">
        <v>0</v>
      </c>
      <c r="L645" s="123">
        <v>0</v>
      </c>
      <c r="M645" s="123">
        <v>0</v>
      </c>
      <c r="N645" s="123">
        <v>0</v>
      </c>
      <c r="O645" s="123">
        <v>0</v>
      </c>
      <c r="P645" s="123">
        <v>0</v>
      </c>
      <c r="Q645" s="117">
        <f>5*Table1[[#This Row],[Quantity of Sets]]</f>
        <v>200</v>
      </c>
      <c r="R645" s="123">
        <v>0</v>
      </c>
      <c r="S645" s="119">
        <v>0</v>
      </c>
      <c r="T645" s="119">
        <v>0</v>
      </c>
      <c r="U645" s="119">
        <v>0</v>
      </c>
      <c r="V645" s="124" t="str">
        <f t="shared" ref="V645" si="46">IF(B645&gt;0,"Added"," ")</f>
        <v>Added</v>
      </c>
    </row>
    <row r="646" spans="1:22" hidden="1">
      <c r="A646" s="460" t="s">
        <v>2847</v>
      </c>
      <c r="B646" s="114">
        <f>_xlfn.IFNA(VLOOKUP(Table1[[#This Row],[SKU]],'Kilter Holds'!$P$36:$S$370,4,0),0)</f>
        <v>44</v>
      </c>
      <c r="C646" s="407">
        <v>10</v>
      </c>
      <c r="D646" s="117">
        <v>0</v>
      </c>
      <c r="E646" s="123">
        <v>0</v>
      </c>
      <c r="F646" s="123">
        <f>10*Table1[[#This Row],[Quantity of Sets]]</f>
        <v>440</v>
      </c>
      <c r="G646" s="123">
        <v>0</v>
      </c>
      <c r="H646" s="123">
        <v>0</v>
      </c>
      <c r="I646" s="123">
        <v>0</v>
      </c>
      <c r="J646" s="123">
        <v>0</v>
      </c>
      <c r="K646" s="123">
        <v>0</v>
      </c>
      <c r="L646" s="123">
        <v>0</v>
      </c>
      <c r="M646" s="123">
        <v>0</v>
      </c>
      <c r="N646" s="123">
        <v>0</v>
      </c>
      <c r="O646" s="123">
        <v>0</v>
      </c>
      <c r="P646" s="123">
        <v>0</v>
      </c>
      <c r="Q646" s="117">
        <f>5*Table1[[#This Row],[Quantity of Sets]]</f>
        <v>220</v>
      </c>
      <c r="R646" s="123">
        <v>0</v>
      </c>
      <c r="S646" s="119">
        <v>0</v>
      </c>
      <c r="T646" s="119">
        <v>0</v>
      </c>
      <c r="U646" s="119">
        <v>0</v>
      </c>
      <c r="V646" s="124" t="str">
        <f t="shared" ref="V646" si="47">IF(B646&gt;0,"Added"," ")</f>
        <v>Added</v>
      </c>
    </row>
    <row r="647" spans="1:22" hidden="1">
      <c r="A647" s="460" t="s">
        <v>2851</v>
      </c>
      <c r="B647" s="114">
        <f>_xlfn.IFNA(VLOOKUP(Table1[[#This Row],[SKU]],'Kilter Holds'!$P$36:$S$370,4,0),0)</f>
        <v>43</v>
      </c>
      <c r="C647" s="407">
        <v>11</v>
      </c>
      <c r="D647" s="117">
        <f>11*Table1[[#This Row],[Quantity of Sets]]</f>
        <v>473</v>
      </c>
      <c r="E647" s="123">
        <v>0</v>
      </c>
      <c r="F647" s="123">
        <v>0</v>
      </c>
      <c r="G647" s="123">
        <v>0</v>
      </c>
      <c r="H647" s="123">
        <v>0</v>
      </c>
      <c r="I647" s="123">
        <v>0</v>
      </c>
      <c r="J647" s="123">
        <v>0</v>
      </c>
      <c r="K647" s="123">
        <v>0</v>
      </c>
      <c r="L647" s="123">
        <v>0</v>
      </c>
      <c r="M647" s="123">
        <v>0</v>
      </c>
      <c r="N647" s="123">
        <v>0</v>
      </c>
      <c r="O647" s="123">
        <v>0</v>
      </c>
      <c r="P647" s="123">
        <v>0</v>
      </c>
      <c r="Q647" s="117">
        <f>5*Table1[[#This Row],[Quantity of Sets]]</f>
        <v>215</v>
      </c>
      <c r="R647" s="123">
        <v>0</v>
      </c>
      <c r="S647" s="119">
        <v>0</v>
      </c>
      <c r="T647" s="119">
        <v>0</v>
      </c>
      <c r="U647" s="119">
        <v>0</v>
      </c>
      <c r="V647" s="124" t="str">
        <f t="shared" ref="V647" si="48">IF(B647&gt;0,"Added"," ")</f>
        <v>Added</v>
      </c>
    </row>
    <row r="648" spans="1:22" hidden="1">
      <c r="A648" s="460" t="s">
        <v>2858</v>
      </c>
      <c r="B648" s="114">
        <f>_xlfn.IFNA(VLOOKUP(Table1[[#This Row],[SKU]],'Kilter Holds'!$P$36:$S$370,4,0),0)</f>
        <v>14</v>
      </c>
      <c r="C648" s="407">
        <v>10</v>
      </c>
      <c r="D648" s="117">
        <v>0</v>
      </c>
      <c r="E648" s="123">
        <f>10*Table1[[#This Row],[Quantity of Sets]]</f>
        <v>140</v>
      </c>
      <c r="F648" s="123">
        <v>0</v>
      </c>
      <c r="G648" s="123">
        <v>0</v>
      </c>
      <c r="H648" s="123">
        <v>0</v>
      </c>
      <c r="I648" s="123">
        <v>0</v>
      </c>
      <c r="J648" s="123">
        <v>0</v>
      </c>
      <c r="K648" s="123">
        <v>0</v>
      </c>
      <c r="L648" s="123">
        <v>0</v>
      </c>
      <c r="M648" s="123">
        <v>0</v>
      </c>
      <c r="N648" s="123">
        <v>0</v>
      </c>
      <c r="O648" s="123">
        <v>0</v>
      </c>
      <c r="P648" s="123">
        <v>0</v>
      </c>
      <c r="Q648" s="117">
        <f>5*Table1[[#This Row],[Quantity of Sets]]</f>
        <v>70</v>
      </c>
      <c r="R648" s="123">
        <v>0</v>
      </c>
      <c r="S648" s="119">
        <v>0</v>
      </c>
      <c r="T648" s="119">
        <v>0</v>
      </c>
      <c r="U648" s="119">
        <v>0</v>
      </c>
      <c r="V648" s="124" t="str">
        <f t="shared" ref="V648" si="49">IF(B648&gt;0,"Added"," ")</f>
        <v>Added</v>
      </c>
    </row>
    <row r="649" spans="1:22" hidden="1">
      <c r="A649" s="460" t="s">
        <v>2843</v>
      </c>
      <c r="B649" s="114">
        <f>_xlfn.IFNA(VLOOKUP(Table1[[#This Row],[SKU]],'Kilter Holds'!$P$36:$S$370,4,0),0)</f>
        <v>26</v>
      </c>
      <c r="C649" s="407">
        <v>10</v>
      </c>
      <c r="D649" s="117">
        <v>0</v>
      </c>
      <c r="E649" s="123">
        <f>10*Table1[[#This Row],[Quantity of Sets]]</f>
        <v>260</v>
      </c>
      <c r="F649" s="123">
        <v>0</v>
      </c>
      <c r="G649" s="123">
        <v>0</v>
      </c>
      <c r="H649" s="123">
        <v>0</v>
      </c>
      <c r="I649" s="123">
        <v>0</v>
      </c>
      <c r="J649" s="123">
        <v>0</v>
      </c>
      <c r="K649" s="123">
        <v>0</v>
      </c>
      <c r="L649" s="123">
        <v>0</v>
      </c>
      <c r="M649" s="123">
        <v>0</v>
      </c>
      <c r="N649" s="123">
        <v>0</v>
      </c>
      <c r="O649" s="123">
        <v>0</v>
      </c>
      <c r="P649" s="123">
        <v>0</v>
      </c>
      <c r="Q649" s="117">
        <f>10*Table1[[#This Row],[Quantity of Sets]]</f>
        <v>260</v>
      </c>
      <c r="R649" s="123">
        <v>0</v>
      </c>
      <c r="S649" s="119">
        <v>0</v>
      </c>
      <c r="T649" s="119">
        <v>0</v>
      </c>
      <c r="U649" s="119">
        <v>0</v>
      </c>
      <c r="V649" s="124" t="str">
        <f t="shared" si="45"/>
        <v>Added</v>
      </c>
    </row>
    <row r="650" spans="1:22" hidden="1">
      <c r="A650" s="460" t="s">
        <v>3046</v>
      </c>
      <c r="B650" s="114">
        <f>_xlfn.IFNA(VLOOKUP(Table1[[#This Row],[SKU]],'Kilter Holds'!$P$36:$S$370,4,0),0)</f>
        <v>10</v>
      </c>
      <c r="C650" s="407">
        <v>10</v>
      </c>
      <c r="D650" s="117">
        <f>10*Table1[[#This Row],[Quantity of Sets]]</f>
        <v>100</v>
      </c>
      <c r="E650" s="123">
        <v>0</v>
      </c>
      <c r="F650" s="123">
        <v>0</v>
      </c>
      <c r="G650" s="123">
        <v>0</v>
      </c>
      <c r="H650" s="123">
        <v>0</v>
      </c>
      <c r="I650" s="123">
        <v>0</v>
      </c>
      <c r="J650" s="123">
        <v>0</v>
      </c>
      <c r="K650" s="123">
        <v>0</v>
      </c>
      <c r="L650" s="123">
        <v>0</v>
      </c>
      <c r="M650" s="123">
        <v>0</v>
      </c>
      <c r="N650" s="123">
        <v>0</v>
      </c>
      <c r="O650" s="123">
        <v>0</v>
      </c>
      <c r="P650" s="123">
        <v>0</v>
      </c>
      <c r="Q650" s="117">
        <f>10*Table1[[#This Row],[Quantity of Sets]]</f>
        <v>100</v>
      </c>
      <c r="R650" s="123">
        <v>0</v>
      </c>
      <c r="S650" s="119">
        <v>0</v>
      </c>
      <c r="T650" s="119">
        <v>0</v>
      </c>
      <c r="U650" s="119">
        <v>0</v>
      </c>
      <c r="V650" s="124" t="str">
        <f t="shared" ref="V650:V668" si="50">IF(B650&gt;0,"Added"," ")</f>
        <v>Added</v>
      </c>
    </row>
    <row r="651" spans="1:22" hidden="1">
      <c r="A651" s="460" t="s">
        <v>3048</v>
      </c>
      <c r="B651" s="114">
        <f>_xlfn.IFNA(VLOOKUP(Table1[[#This Row],[SKU]],'Kilter Holds'!$P$36:$S$370,4,0),0)</f>
        <v>9</v>
      </c>
      <c r="C651" s="407">
        <v>10</v>
      </c>
      <c r="D651" s="117">
        <f>10*Table1[[#This Row],[Quantity of Sets]]</f>
        <v>90</v>
      </c>
      <c r="E651" s="123">
        <v>0</v>
      </c>
      <c r="F651" s="123">
        <v>0</v>
      </c>
      <c r="G651" s="123">
        <v>0</v>
      </c>
      <c r="H651" s="123">
        <v>0</v>
      </c>
      <c r="I651" s="123">
        <v>0</v>
      </c>
      <c r="J651" s="123">
        <v>0</v>
      </c>
      <c r="K651" s="123">
        <v>0</v>
      </c>
      <c r="L651" s="123">
        <v>0</v>
      </c>
      <c r="M651" s="123">
        <v>0</v>
      </c>
      <c r="N651" s="123">
        <v>0</v>
      </c>
      <c r="O651" s="123">
        <v>0</v>
      </c>
      <c r="P651" s="123">
        <v>0</v>
      </c>
      <c r="Q651" s="117">
        <f>10*Table1[[#This Row],[Quantity of Sets]]</f>
        <v>90</v>
      </c>
      <c r="R651" s="123">
        <v>0</v>
      </c>
      <c r="S651" s="119">
        <v>0</v>
      </c>
      <c r="T651" s="119">
        <v>0</v>
      </c>
      <c r="U651" s="119">
        <v>0</v>
      </c>
      <c r="V651" s="124" t="str">
        <f t="shared" si="50"/>
        <v>Added</v>
      </c>
    </row>
    <row r="652" spans="1:22" hidden="1">
      <c r="A652" s="460" t="s">
        <v>3111</v>
      </c>
      <c r="B652" s="114">
        <f>_xlfn.IFNA(VLOOKUP(Table1[[#This Row],[SKU]],'Kilter Holds'!$P$36:$S$370,4,0),0)</f>
        <v>5</v>
      </c>
      <c r="C652" s="407">
        <v>5</v>
      </c>
      <c r="D652" s="117">
        <v>0</v>
      </c>
      <c r="E652" s="123">
        <v>0</v>
      </c>
      <c r="F652" s="123">
        <f>5*Table1[[#This Row],[Quantity of Sets]]</f>
        <v>25</v>
      </c>
      <c r="G652" s="123">
        <v>0</v>
      </c>
      <c r="H652" s="123">
        <v>0</v>
      </c>
      <c r="I652" s="123">
        <v>0</v>
      </c>
      <c r="J652" s="123">
        <v>0</v>
      </c>
      <c r="K652" s="123">
        <v>0</v>
      </c>
      <c r="L652" s="123">
        <v>0</v>
      </c>
      <c r="M652" s="123">
        <v>0</v>
      </c>
      <c r="N652" s="123">
        <v>0</v>
      </c>
      <c r="O652" s="123">
        <v>0</v>
      </c>
      <c r="P652" s="123">
        <v>0</v>
      </c>
      <c r="Q652" s="117">
        <f>5*Table1[[#This Row],[Quantity of Sets]]</f>
        <v>25</v>
      </c>
      <c r="R652" s="123">
        <v>0</v>
      </c>
      <c r="S652" s="119">
        <v>0</v>
      </c>
      <c r="T652" s="119">
        <v>0</v>
      </c>
      <c r="U652" s="119">
        <v>0</v>
      </c>
      <c r="V652" s="124" t="str">
        <f t="shared" si="50"/>
        <v>Added</v>
      </c>
    </row>
    <row r="653" spans="1:22" hidden="1">
      <c r="A653" s="460" t="s">
        <v>3143</v>
      </c>
      <c r="B653" s="114">
        <f>_xlfn.IFNA(VLOOKUP(Table1[[#This Row],[SKU]],'Kilter Holds'!$P$36:$S$370,4,0),0)</f>
        <v>1</v>
      </c>
      <c r="C653" s="407">
        <v>10</v>
      </c>
      <c r="D653" s="117">
        <v>0</v>
      </c>
      <c r="E653" s="123">
        <v>0</v>
      </c>
      <c r="F653" s="123">
        <f>10*Table1[[#This Row],[Quantity of Sets]]</f>
        <v>10</v>
      </c>
      <c r="G653" s="123">
        <v>0</v>
      </c>
      <c r="H653" s="123">
        <v>0</v>
      </c>
      <c r="I653" s="123">
        <v>0</v>
      </c>
      <c r="J653" s="123">
        <v>0</v>
      </c>
      <c r="K653" s="123">
        <v>0</v>
      </c>
      <c r="L653" s="123">
        <v>0</v>
      </c>
      <c r="M653" s="123">
        <v>0</v>
      </c>
      <c r="N653" s="123">
        <v>0</v>
      </c>
      <c r="O653" s="123">
        <v>0</v>
      </c>
      <c r="P653" s="123">
        <v>0</v>
      </c>
      <c r="Q653" s="117">
        <f>10*Table1[[#This Row],[Quantity of Sets]]</f>
        <v>10</v>
      </c>
      <c r="R653" s="123">
        <v>0</v>
      </c>
      <c r="S653" s="119">
        <v>0</v>
      </c>
      <c r="T653" s="119">
        <v>0</v>
      </c>
      <c r="U653" s="119">
        <v>0</v>
      </c>
      <c r="V653" s="124" t="str">
        <f t="shared" ref="V653" si="51">IF(B653&gt;0,"Added"," ")</f>
        <v>Added</v>
      </c>
    </row>
    <row r="654" spans="1:22" hidden="1">
      <c r="A654" s="460" t="s">
        <v>3042</v>
      </c>
      <c r="B654" s="114">
        <f>_xlfn.IFNA(VLOOKUP(Table1[[#This Row],[SKU]],'Kilter Holds'!$P$36:$S$370,4,0),0)</f>
        <v>0</v>
      </c>
      <c r="C654" s="407">
        <v>10</v>
      </c>
      <c r="D654" s="117">
        <f>10*Table1[[#This Row],[Quantity of Sets]]</f>
        <v>0</v>
      </c>
      <c r="E654" s="123">
        <v>0</v>
      </c>
      <c r="F654" s="123">
        <v>0</v>
      </c>
      <c r="G654" s="123">
        <v>0</v>
      </c>
      <c r="H654" s="123">
        <v>0</v>
      </c>
      <c r="I654" s="123">
        <v>0</v>
      </c>
      <c r="J654" s="123">
        <v>0</v>
      </c>
      <c r="K654" s="123">
        <v>0</v>
      </c>
      <c r="L654" s="123">
        <v>0</v>
      </c>
      <c r="M654" s="123">
        <v>0</v>
      </c>
      <c r="N654" s="123">
        <v>0</v>
      </c>
      <c r="O654" s="123">
        <v>0</v>
      </c>
      <c r="P654" s="123">
        <v>0</v>
      </c>
      <c r="Q654" s="117">
        <f>10*Table1[[#This Row],[Quantity of Sets]]</f>
        <v>0</v>
      </c>
      <c r="R654" s="123">
        <v>0</v>
      </c>
      <c r="S654" s="119">
        <v>0</v>
      </c>
      <c r="T654" s="119">
        <v>0</v>
      </c>
      <c r="U654" s="119">
        <v>0</v>
      </c>
      <c r="V654" s="124" t="str">
        <f t="shared" si="50"/>
        <v xml:space="preserve"> </v>
      </c>
    </row>
    <row r="655" spans="1:22" hidden="1">
      <c r="A655" s="460" t="s">
        <v>3044</v>
      </c>
      <c r="B655" s="114">
        <f>_xlfn.IFNA(VLOOKUP(Table1[[#This Row],[SKU]],'Kilter Holds'!$P$36:$S$370,4,0),0)</f>
        <v>0</v>
      </c>
      <c r="C655" s="407">
        <v>10</v>
      </c>
      <c r="D655" s="117">
        <f>10*Table1[[#This Row],[Quantity of Sets]]</f>
        <v>0</v>
      </c>
      <c r="E655" s="123">
        <v>0</v>
      </c>
      <c r="F655" s="123">
        <v>0</v>
      </c>
      <c r="G655" s="123">
        <v>0</v>
      </c>
      <c r="H655" s="123">
        <v>0</v>
      </c>
      <c r="I655" s="123">
        <v>0</v>
      </c>
      <c r="J655" s="123">
        <v>0</v>
      </c>
      <c r="K655" s="123">
        <v>0</v>
      </c>
      <c r="L655" s="123">
        <v>0</v>
      </c>
      <c r="M655" s="123">
        <v>0</v>
      </c>
      <c r="N655" s="123">
        <v>0</v>
      </c>
      <c r="O655" s="123">
        <v>0</v>
      </c>
      <c r="P655" s="123">
        <v>0</v>
      </c>
      <c r="Q655" s="117">
        <f>10*Table1[[#This Row],[Quantity of Sets]]</f>
        <v>0</v>
      </c>
      <c r="R655" s="123">
        <v>0</v>
      </c>
      <c r="S655" s="119">
        <v>0</v>
      </c>
      <c r="T655" s="119">
        <v>0</v>
      </c>
      <c r="U655" s="119">
        <v>0</v>
      </c>
      <c r="V655" s="124" t="str">
        <f t="shared" ref="V655" si="52">IF(B655&gt;0,"Added"," ")</f>
        <v xml:space="preserve"> </v>
      </c>
    </row>
    <row r="656" spans="1:22" hidden="1">
      <c r="A656" s="460" t="s">
        <v>3125</v>
      </c>
      <c r="B656" s="114">
        <f>_xlfn.IFNA(VLOOKUP(Table1[[#This Row],[SKU]],'Kilter Holds'!$P$36:$S$370,4,0),0)</f>
        <v>0</v>
      </c>
      <c r="C656" s="407">
        <v>5</v>
      </c>
      <c r="D656" s="117">
        <v>0</v>
      </c>
      <c r="E656" s="123">
        <v>0</v>
      </c>
      <c r="F656" s="123">
        <f>5*Table1[[#This Row],[Quantity of Sets]]</f>
        <v>0</v>
      </c>
      <c r="G656" s="123">
        <v>0</v>
      </c>
      <c r="H656" s="123">
        <v>0</v>
      </c>
      <c r="I656" s="123">
        <v>0</v>
      </c>
      <c r="J656" s="123">
        <v>0</v>
      </c>
      <c r="K656" s="123">
        <v>0</v>
      </c>
      <c r="L656" s="123">
        <v>0</v>
      </c>
      <c r="M656" s="123">
        <v>0</v>
      </c>
      <c r="N656" s="123">
        <v>0</v>
      </c>
      <c r="O656" s="123">
        <v>0</v>
      </c>
      <c r="P656" s="123">
        <v>0</v>
      </c>
      <c r="Q656" s="117">
        <f>5*Table1[[#This Row],[Quantity of Sets]]</f>
        <v>0</v>
      </c>
      <c r="R656" s="123">
        <v>0</v>
      </c>
      <c r="S656" s="119">
        <v>0</v>
      </c>
      <c r="T656" s="119">
        <v>0</v>
      </c>
      <c r="U656" s="119">
        <v>0</v>
      </c>
      <c r="V656" s="124" t="str">
        <f t="shared" ref="V656" si="53">IF(B656&gt;0,"Added"," ")</f>
        <v xml:space="preserve"> </v>
      </c>
    </row>
    <row r="657" spans="1:22" hidden="1">
      <c r="A657" s="460" t="s">
        <v>3101</v>
      </c>
      <c r="B657" s="114">
        <f>_xlfn.IFNA(VLOOKUP(Table1[[#This Row],[SKU]],'Kilter Holds'!$P$36:$S$370,4,0),0)</f>
        <v>0</v>
      </c>
      <c r="C657" s="407">
        <v>10</v>
      </c>
      <c r="D657" s="117">
        <f>10*Table1[[#This Row],[Quantity of Sets]]</f>
        <v>0</v>
      </c>
      <c r="E657" s="123">
        <v>0</v>
      </c>
      <c r="F657" s="123">
        <v>0</v>
      </c>
      <c r="G657" s="123">
        <v>0</v>
      </c>
      <c r="H657" s="123">
        <v>0</v>
      </c>
      <c r="I657" s="123">
        <v>0</v>
      </c>
      <c r="J657" s="123">
        <v>0</v>
      </c>
      <c r="K657" s="123">
        <v>0</v>
      </c>
      <c r="L657" s="123">
        <v>0</v>
      </c>
      <c r="M657" s="123">
        <v>0</v>
      </c>
      <c r="N657" s="123">
        <v>0</v>
      </c>
      <c r="O657" s="123">
        <v>0</v>
      </c>
      <c r="P657" s="123">
        <v>0</v>
      </c>
      <c r="Q657" s="117">
        <f>10*Table1[[#This Row],[Quantity of Sets]]</f>
        <v>0</v>
      </c>
      <c r="R657" s="123">
        <v>0</v>
      </c>
      <c r="S657" s="119">
        <v>0</v>
      </c>
      <c r="T657" s="119">
        <v>0</v>
      </c>
      <c r="U657" s="119">
        <v>0</v>
      </c>
      <c r="V657" s="124" t="str">
        <f t="shared" si="50"/>
        <v xml:space="preserve"> </v>
      </c>
    </row>
    <row r="658" spans="1:22" hidden="1">
      <c r="A658" s="460" t="s">
        <v>3061</v>
      </c>
      <c r="B658" s="114">
        <f>_xlfn.IFNA(VLOOKUP(Table1[[#This Row],[SKU]],'Kilter Holds'!$P$36:$S$370,4,0),0)</f>
        <v>0</v>
      </c>
      <c r="C658" s="407">
        <v>10</v>
      </c>
      <c r="D658" s="117">
        <f>10*Table1[[#This Row],[Quantity of Sets]]</f>
        <v>0</v>
      </c>
      <c r="E658" s="123">
        <v>0</v>
      </c>
      <c r="F658" s="123">
        <v>0</v>
      </c>
      <c r="G658" s="123">
        <v>0</v>
      </c>
      <c r="H658" s="123">
        <v>0</v>
      </c>
      <c r="I658" s="123">
        <v>0</v>
      </c>
      <c r="J658" s="123">
        <v>0</v>
      </c>
      <c r="K658" s="123">
        <v>0</v>
      </c>
      <c r="L658" s="123">
        <v>0</v>
      </c>
      <c r="M658" s="123">
        <v>0</v>
      </c>
      <c r="N658" s="123">
        <v>0</v>
      </c>
      <c r="O658" s="123">
        <v>0</v>
      </c>
      <c r="P658" s="123">
        <v>0</v>
      </c>
      <c r="Q658" s="117">
        <f>10*Table1[[#This Row],[Quantity of Sets]]</f>
        <v>0</v>
      </c>
      <c r="R658" s="123">
        <v>0</v>
      </c>
      <c r="S658" s="119">
        <v>0</v>
      </c>
      <c r="T658" s="119">
        <v>0</v>
      </c>
      <c r="U658" s="119">
        <v>0</v>
      </c>
      <c r="V658" s="124" t="str">
        <f t="shared" ref="V658" si="54">IF(B658&gt;0,"Added"," ")</f>
        <v xml:space="preserve"> </v>
      </c>
    </row>
    <row r="659" spans="1:22" hidden="1">
      <c r="A659" s="460" t="s">
        <v>3147</v>
      </c>
      <c r="B659" s="114">
        <f>_xlfn.IFNA(VLOOKUP(Table1[[#This Row],[SKU]],'Kilter Holds'!$P$36:$S$370,4,0),0)</f>
        <v>0</v>
      </c>
      <c r="C659" s="407">
        <v>10</v>
      </c>
      <c r="D659" s="117">
        <f>10*Table1[[#This Row],[Quantity of Sets]]</f>
        <v>0</v>
      </c>
      <c r="E659" s="123">
        <v>0</v>
      </c>
      <c r="F659" s="123">
        <v>0</v>
      </c>
      <c r="G659" s="123">
        <v>0</v>
      </c>
      <c r="H659" s="123">
        <v>0</v>
      </c>
      <c r="I659" s="123">
        <v>0</v>
      </c>
      <c r="J659" s="123">
        <v>0</v>
      </c>
      <c r="K659" s="123">
        <v>0</v>
      </c>
      <c r="L659" s="123">
        <v>0</v>
      </c>
      <c r="M659" s="123">
        <v>0</v>
      </c>
      <c r="N659" s="123">
        <v>0</v>
      </c>
      <c r="O659" s="123">
        <v>0</v>
      </c>
      <c r="P659" s="123">
        <v>0</v>
      </c>
      <c r="Q659" s="117">
        <f>10*Table1[[#This Row],[Quantity of Sets]]</f>
        <v>0</v>
      </c>
      <c r="R659" s="123">
        <v>0</v>
      </c>
      <c r="S659" s="119">
        <v>0</v>
      </c>
      <c r="T659" s="119">
        <v>0</v>
      </c>
      <c r="U659" s="119">
        <v>0</v>
      </c>
      <c r="V659" s="124" t="str">
        <f t="shared" ref="V659:V660" si="55">IF(B659&gt;0,"Added"," ")</f>
        <v xml:space="preserve"> </v>
      </c>
    </row>
    <row r="660" spans="1:22" hidden="1">
      <c r="A660" s="460" t="s">
        <v>3148</v>
      </c>
      <c r="B660" s="114">
        <f>_xlfn.IFNA(VLOOKUP(Table1[[#This Row],[SKU]],'Kilter Holds'!$P$36:$S$370,4,0),0)</f>
        <v>0</v>
      </c>
      <c r="C660" s="407">
        <v>10</v>
      </c>
      <c r="D660" s="117">
        <f>10*Table1[[#This Row],[Quantity of Sets]]</f>
        <v>0</v>
      </c>
      <c r="E660" s="123">
        <v>0</v>
      </c>
      <c r="F660" s="123">
        <v>0</v>
      </c>
      <c r="G660" s="123">
        <v>0</v>
      </c>
      <c r="H660" s="123">
        <v>0</v>
      </c>
      <c r="I660" s="123">
        <v>0</v>
      </c>
      <c r="J660" s="123">
        <v>0</v>
      </c>
      <c r="K660" s="123">
        <v>0</v>
      </c>
      <c r="L660" s="123">
        <v>0</v>
      </c>
      <c r="M660" s="123">
        <v>0</v>
      </c>
      <c r="N660" s="123">
        <v>0</v>
      </c>
      <c r="O660" s="123">
        <v>0</v>
      </c>
      <c r="P660" s="123">
        <v>0</v>
      </c>
      <c r="Q660" s="117">
        <f>10*Table1[[#This Row],[Quantity of Sets]]</f>
        <v>0</v>
      </c>
      <c r="R660" s="123">
        <v>0</v>
      </c>
      <c r="S660" s="119">
        <v>0</v>
      </c>
      <c r="T660" s="119">
        <v>0</v>
      </c>
      <c r="U660" s="119">
        <v>0</v>
      </c>
      <c r="V660" s="124" t="str">
        <f t="shared" si="55"/>
        <v xml:space="preserve"> </v>
      </c>
    </row>
    <row r="661" spans="1:22" hidden="1">
      <c r="A661" s="460" t="s">
        <v>3146</v>
      </c>
      <c r="B661" s="114">
        <f>_xlfn.IFNA(VLOOKUP(Table1[[#This Row],[SKU]],'Kilter Holds'!$P$36:$S$370,4,0),0)</f>
        <v>0</v>
      </c>
      <c r="C661" s="407">
        <v>10</v>
      </c>
      <c r="D661" s="117">
        <f>10*Table1[[#This Row],[Quantity of Sets]]</f>
        <v>0</v>
      </c>
      <c r="E661" s="123">
        <v>0</v>
      </c>
      <c r="F661" s="123">
        <v>0</v>
      </c>
      <c r="G661" s="123">
        <v>0</v>
      </c>
      <c r="H661" s="123">
        <v>0</v>
      </c>
      <c r="I661" s="123">
        <v>0</v>
      </c>
      <c r="J661" s="123">
        <v>0</v>
      </c>
      <c r="K661" s="123">
        <v>0</v>
      </c>
      <c r="L661" s="123">
        <v>0</v>
      </c>
      <c r="M661" s="123">
        <v>0</v>
      </c>
      <c r="N661" s="123">
        <v>0</v>
      </c>
      <c r="O661" s="123">
        <v>0</v>
      </c>
      <c r="P661" s="123">
        <v>0</v>
      </c>
      <c r="Q661" s="117">
        <f>10*Table1[[#This Row],[Quantity of Sets]]</f>
        <v>0</v>
      </c>
      <c r="R661" s="123">
        <v>0</v>
      </c>
      <c r="S661" s="119">
        <v>0</v>
      </c>
      <c r="T661" s="119">
        <v>0</v>
      </c>
      <c r="U661" s="119">
        <v>0</v>
      </c>
      <c r="V661" s="124" t="str">
        <f t="shared" ref="V661" si="56">IF(B661&gt;0,"Added"," ")</f>
        <v xml:space="preserve"> </v>
      </c>
    </row>
    <row r="662" spans="1:22" hidden="1">
      <c r="A662" s="460" t="s">
        <v>3152</v>
      </c>
      <c r="B662" s="114">
        <f>_xlfn.IFNA(VLOOKUP(Table1[[#This Row],[SKU]],'Kilter Holds'!$P$36:$S$370,4,0),0)</f>
        <v>0</v>
      </c>
      <c r="C662" s="407">
        <v>5</v>
      </c>
      <c r="D662" s="117">
        <v>0</v>
      </c>
      <c r="E662" s="123">
        <f>5*Table1[[#This Row],[Quantity of Sets]]</f>
        <v>0</v>
      </c>
      <c r="F662" s="123">
        <v>0</v>
      </c>
      <c r="G662" s="123">
        <v>0</v>
      </c>
      <c r="H662" s="123">
        <v>0</v>
      </c>
      <c r="I662" s="123">
        <v>0</v>
      </c>
      <c r="J662" s="123">
        <v>0</v>
      </c>
      <c r="K662" s="123">
        <v>0</v>
      </c>
      <c r="L662" s="123">
        <v>0</v>
      </c>
      <c r="M662" s="123">
        <v>0</v>
      </c>
      <c r="N662" s="123">
        <v>0</v>
      </c>
      <c r="O662" s="123">
        <v>0</v>
      </c>
      <c r="P662" s="123">
        <v>0</v>
      </c>
      <c r="Q662" s="117">
        <f>10*Table1[[#This Row],[Quantity of Sets]]</f>
        <v>0</v>
      </c>
      <c r="R662" s="123">
        <v>0</v>
      </c>
      <c r="S662" s="119">
        <v>0</v>
      </c>
      <c r="T662" s="119">
        <v>0</v>
      </c>
      <c r="U662" s="119">
        <v>0</v>
      </c>
      <c r="V662" s="124" t="str">
        <f t="shared" ref="V662" si="57">IF(B662&gt;0,"Added"," ")</f>
        <v xml:space="preserve"> </v>
      </c>
    </row>
    <row r="663" spans="1:22" hidden="1">
      <c r="A663" s="460" t="s">
        <v>3153</v>
      </c>
      <c r="B663" s="114">
        <f>_xlfn.IFNA(VLOOKUP(Table1[[#This Row],[SKU]],'Kilter Holds'!$P$36:$S$370,4,0),0)</f>
        <v>0</v>
      </c>
      <c r="C663" s="407">
        <v>10</v>
      </c>
      <c r="D663" s="117">
        <v>0</v>
      </c>
      <c r="E663" s="123">
        <f>10*Table1[[#This Row],[Quantity of Sets]]</f>
        <v>0</v>
      </c>
      <c r="F663" s="123">
        <v>0</v>
      </c>
      <c r="G663" s="123">
        <v>0</v>
      </c>
      <c r="H663" s="123">
        <v>0</v>
      </c>
      <c r="I663" s="123">
        <v>0</v>
      </c>
      <c r="J663" s="123">
        <v>0</v>
      </c>
      <c r="K663" s="123">
        <v>0</v>
      </c>
      <c r="L663" s="123">
        <v>0</v>
      </c>
      <c r="M663" s="123">
        <v>0</v>
      </c>
      <c r="N663" s="123">
        <v>0</v>
      </c>
      <c r="O663" s="123">
        <v>0</v>
      </c>
      <c r="P663" s="123">
        <v>0</v>
      </c>
      <c r="Q663" s="117">
        <f>10*Table1[[#This Row],[Quantity of Sets]]</f>
        <v>0</v>
      </c>
      <c r="R663" s="123">
        <v>0</v>
      </c>
      <c r="S663" s="119">
        <v>0</v>
      </c>
      <c r="T663" s="119">
        <v>0</v>
      </c>
      <c r="U663" s="119">
        <v>0</v>
      </c>
      <c r="V663" s="124" t="str">
        <f t="shared" ref="V663" si="58">IF(B663&gt;0,"Added"," ")</f>
        <v xml:space="preserve"> </v>
      </c>
    </row>
    <row r="664" spans="1:22" hidden="1">
      <c r="A664" s="460" t="s">
        <v>3154</v>
      </c>
      <c r="B664" s="114">
        <f>_xlfn.IFNA(VLOOKUP(Table1[[#This Row],[SKU]],'Kilter Holds'!$P$36:$S$370,4,0),0)</f>
        <v>0</v>
      </c>
      <c r="C664" s="407">
        <v>5</v>
      </c>
      <c r="D664" s="117">
        <v>0</v>
      </c>
      <c r="E664" s="123">
        <v>0</v>
      </c>
      <c r="F664" s="123">
        <v>0</v>
      </c>
      <c r="G664" s="123">
        <f>5*Table1[[#This Row],[Quantity of Sets]]</f>
        <v>0</v>
      </c>
      <c r="H664" s="123">
        <v>0</v>
      </c>
      <c r="I664" s="123">
        <v>0</v>
      </c>
      <c r="J664" s="123">
        <v>0</v>
      </c>
      <c r="K664" s="123">
        <v>0</v>
      </c>
      <c r="L664" s="123">
        <v>0</v>
      </c>
      <c r="M664" s="123">
        <v>0</v>
      </c>
      <c r="N664" s="123">
        <v>0</v>
      </c>
      <c r="O664" s="123">
        <v>0</v>
      </c>
      <c r="P664" s="123">
        <v>0</v>
      </c>
      <c r="Q664" s="117">
        <f>5*Table1[[#This Row],[Quantity of Sets]]</f>
        <v>0</v>
      </c>
      <c r="R664" s="123">
        <v>0</v>
      </c>
      <c r="S664" s="119">
        <v>0</v>
      </c>
      <c r="T664" s="119">
        <v>0</v>
      </c>
      <c r="U664" s="119">
        <v>0</v>
      </c>
      <c r="V664" s="124" t="str">
        <f t="shared" ref="V664" si="59">IF(B664&gt;0,"Added"," ")</f>
        <v xml:space="preserve"> </v>
      </c>
    </row>
    <row r="665" spans="1:22" hidden="1">
      <c r="A665" s="460" t="s">
        <v>3150</v>
      </c>
      <c r="B665" s="114">
        <f>_xlfn.IFNA(VLOOKUP(Table1[[#This Row],[SKU]],'Kilter Holds'!$P$36:$S$370,4,0),0)</f>
        <v>0</v>
      </c>
      <c r="C665" s="407">
        <v>10</v>
      </c>
      <c r="D665" s="117">
        <v>0</v>
      </c>
      <c r="E665" s="123">
        <v>0</v>
      </c>
      <c r="F665" s="123">
        <v>0</v>
      </c>
      <c r="G665" s="123">
        <f>10*Table1[[#This Row],[Quantity of Sets]]</f>
        <v>0</v>
      </c>
      <c r="H665" s="123">
        <v>0</v>
      </c>
      <c r="I665" s="123">
        <v>0</v>
      </c>
      <c r="J665" s="123">
        <v>0</v>
      </c>
      <c r="K665" s="123">
        <v>0</v>
      </c>
      <c r="L665" s="123">
        <v>0</v>
      </c>
      <c r="M665" s="123">
        <v>0</v>
      </c>
      <c r="N665" s="123">
        <v>0</v>
      </c>
      <c r="O665" s="123">
        <v>0</v>
      </c>
      <c r="P665" s="123">
        <v>0</v>
      </c>
      <c r="Q665" s="117">
        <f>5*Table1[[#This Row],[Quantity of Sets]]</f>
        <v>0</v>
      </c>
      <c r="R665" s="123">
        <v>0</v>
      </c>
      <c r="S665" s="119">
        <v>0</v>
      </c>
      <c r="T665" s="119">
        <v>0</v>
      </c>
      <c r="U665" s="119">
        <v>0</v>
      </c>
      <c r="V665" s="124" t="str">
        <f t="shared" ref="V665" si="60">IF(B665&gt;0,"Added"," ")</f>
        <v xml:space="preserve"> </v>
      </c>
    </row>
    <row r="666" spans="1:22" hidden="1">
      <c r="A666" s="460" t="s">
        <v>3151</v>
      </c>
      <c r="B666" s="114">
        <f>_xlfn.IFNA(VLOOKUP(Table1[[#This Row],[SKU]],'Kilter Holds'!$P$36:$S$370,4,0),0)</f>
        <v>0</v>
      </c>
      <c r="C666" s="407">
        <v>5</v>
      </c>
      <c r="D666" s="117">
        <v>0</v>
      </c>
      <c r="E666" s="123">
        <v>0</v>
      </c>
      <c r="F666" s="123">
        <v>0</v>
      </c>
      <c r="G666" s="123">
        <f>5*Table1[[#This Row],[Quantity of Sets]]</f>
        <v>0</v>
      </c>
      <c r="H666" s="123">
        <v>0</v>
      </c>
      <c r="I666" s="123">
        <v>0</v>
      </c>
      <c r="J666" s="123">
        <v>0</v>
      </c>
      <c r="K666" s="123">
        <v>0</v>
      </c>
      <c r="L666" s="123">
        <v>0</v>
      </c>
      <c r="M666" s="123">
        <v>0</v>
      </c>
      <c r="N666" s="123">
        <v>0</v>
      </c>
      <c r="O666" s="123">
        <v>0</v>
      </c>
      <c r="P666" s="123">
        <v>0</v>
      </c>
      <c r="Q666" s="117">
        <f>5*Table1[[#This Row],[Quantity of Sets]]</f>
        <v>0</v>
      </c>
      <c r="R666" s="123">
        <v>0</v>
      </c>
      <c r="S666" s="119">
        <v>0</v>
      </c>
      <c r="T666" s="119">
        <v>0</v>
      </c>
      <c r="U666" s="119">
        <v>0</v>
      </c>
      <c r="V666" s="124" t="str">
        <f t="shared" ref="V666:V667" si="61">IF(B666&gt;0,"Added"," ")</f>
        <v xml:space="preserve"> </v>
      </c>
    </row>
    <row r="667" spans="1:22" hidden="1">
      <c r="A667" s="460" t="s">
        <v>3149</v>
      </c>
      <c r="B667" s="114">
        <f>_xlfn.IFNA(VLOOKUP(Table1[[#This Row],[SKU]],'Kilter Holds'!$P$36:$S$370,4,0),0)</f>
        <v>0</v>
      </c>
      <c r="C667" s="407">
        <v>5</v>
      </c>
      <c r="D667" s="117">
        <v>0</v>
      </c>
      <c r="E667" s="123">
        <v>0</v>
      </c>
      <c r="F667" s="123">
        <v>0</v>
      </c>
      <c r="G667" s="123">
        <f>5*Table1[[#This Row],[Quantity of Sets]]</f>
        <v>0</v>
      </c>
      <c r="H667" s="123">
        <v>0</v>
      </c>
      <c r="I667" s="123">
        <v>0</v>
      </c>
      <c r="J667" s="123">
        <v>0</v>
      </c>
      <c r="K667" s="123">
        <v>0</v>
      </c>
      <c r="L667" s="123">
        <v>0</v>
      </c>
      <c r="M667" s="123">
        <v>0</v>
      </c>
      <c r="N667" s="123">
        <v>0</v>
      </c>
      <c r="O667" s="123">
        <v>0</v>
      </c>
      <c r="P667" s="123">
        <v>0</v>
      </c>
      <c r="Q667" s="117">
        <f>5*Table1[[#This Row],[Quantity of Sets]]</f>
        <v>0</v>
      </c>
      <c r="R667" s="123">
        <v>0</v>
      </c>
      <c r="S667" s="119">
        <v>0</v>
      </c>
      <c r="T667" s="119">
        <v>0</v>
      </c>
      <c r="U667" s="119">
        <v>0</v>
      </c>
      <c r="V667" s="124" t="str">
        <f t="shared" si="61"/>
        <v xml:space="preserve"> </v>
      </c>
    </row>
    <row r="668" spans="1:22" hidden="1">
      <c r="A668" s="460" t="s">
        <v>3103</v>
      </c>
      <c r="B668" s="114">
        <f>_xlfn.IFNA(VLOOKUP(Table1[[#This Row],[SKU]],'Kilter Holds'!$P$36:$S$370,4,0),0)</f>
        <v>0</v>
      </c>
      <c r="C668" s="407">
        <v>10</v>
      </c>
      <c r="D668" s="117">
        <f>10*Table1[[#This Row],[Quantity of Sets]]</f>
        <v>0</v>
      </c>
      <c r="E668" s="123">
        <v>0</v>
      </c>
      <c r="F668" s="123">
        <v>0</v>
      </c>
      <c r="G668" s="123">
        <v>0</v>
      </c>
      <c r="H668" s="123">
        <v>0</v>
      </c>
      <c r="I668" s="123">
        <v>0</v>
      </c>
      <c r="J668" s="123">
        <v>0</v>
      </c>
      <c r="K668" s="123">
        <v>0</v>
      </c>
      <c r="L668" s="123">
        <v>0</v>
      </c>
      <c r="M668" s="123">
        <v>0</v>
      </c>
      <c r="N668" s="123">
        <v>0</v>
      </c>
      <c r="O668" s="123">
        <v>0</v>
      </c>
      <c r="P668" s="123">
        <v>0</v>
      </c>
      <c r="Q668" s="117">
        <f>10*Table1[[#This Row],[Quantity of Sets]]</f>
        <v>0</v>
      </c>
      <c r="R668" s="123">
        <v>0</v>
      </c>
      <c r="S668" s="119">
        <v>0</v>
      </c>
      <c r="T668" s="119">
        <v>0</v>
      </c>
      <c r="U668" s="119">
        <v>0</v>
      </c>
      <c r="V668" s="124" t="str">
        <f t="shared" si="50"/>
        <v xml:space="preserve"> </v>
      </c>
    </row>
    <row r="669" spans="1:22" hidden="1">
      <c r="A669" s="460" t="s">
        <v>3107</v>
      </c>
      <c r="B669" s="114">
        <f>_xlfn.IFNA(VLOOKUP(Table1[[#This Row],[SKU]],'Kilter Holds'!$P$36:$S$370,4,0),0)</f>
        <v>11</v>
      </c>
      <c r="C669" s="407">
        <v>2</v>
      </c>
      <c r="D669" s="117">
        <v>0</v>
      </c>
      <c r="E669" s="123">
        <v>0</v>
      </c>
      <c r="F669" s="123">
        <v>0</v>
      </c>
      <c r="G669" s="123">
        <v>0</v>
      </c>
      <c r="H669" s="123">
        <v>0</v>
      </c>
      <c r="I669" s="123">
        <f>2*Table1[[#This Row],[Quantity of Sets]]</f>
        <v>22</v>
      </c>
      <c r="J669" s="123">
        <v>0</v>
      </c>
      <c r="K669" s="123">
        <v>0</v>
      </c>
      <c r="L669" s="123">
        <v>0</v>
      </c>
      <c r="M669" s="123">
        <v>0</v>
      </c>
      <c r="N669" s="123">
        <v>0</v>
      </c>
      <c r="O669" s="123">
        <v>0</v>
      </c>
      <c r="P669" s="123">
        <v>0</v>
      </c>
      <c r="Q669" s="117">
        <f>16*Table1[[#This Row],[Quantity of Sets]]</f>
        <v>176</v>
      </c>
      <c r="R669" s="123">
        <v>0</v>
      </c>
      <c r="S669" s="119">
        <v>0</v>
      </c>
      <c r="T669" s="119">
        <v>0</v>
      </c>
      <c r="U669" s="119">
        <v>0</v>
      </c>
      <c r="V669" s="124" t="str">
        <f t="shared" ref="V669:V670" si="62">IF(B669&gt;0,"Added"," ")</f>
        <v>Added</v>
      </c>
    </row>
    <row r="670" spans="1:22" hidden="1">
      <c r="A670" s="460" t="s">
        <v>3109</v>
      </c>
      <c r="B670" s="114">
        <f>_xlfn.IFNA(VLOOKUP(Table1[[#This Row],[SKU]],'Kilter Holds'!$P$36:$S$370,4,0),0)</f>
        <v>7</v>
      </c>
      <c r="C670" s="407">
        <v>2</v>
      </c>
      <c r="D670" s="117">
        <v>0</v>
      </c>
      <c r="E670" s="123">
        <v>0</v>
      </c>
      <c r="F670" s="123">
        <v>0</v>
      </c>
      <c r="G670" s="123">
        <v>0</v>
      </c>
      <c r="H670" s="123">
        <v>0</v>
      </c>
      <c r="I670" s="123">
        <v>0</v>
      </c>
      <c r="J670" s="123">
        <v>0</v>
      </c>
      <c r="K670" s="123">
        <f>2*Table1[[#This Row],[Quantity of Sets]]</f>
        <v>14</v>
      </c>
      <c r="L670" s="123">
        <v>0</v>
      </c>
      <c r="M670" s="123">
        <v>0</v>
      </c>
      <c r="N670" s="123">
        <v>0</v>
      </c>
      <c r="O670" s="123">
        <v>0</v>
      </c>
      <c r="P670" s="123">
        <v>0</v>
      </c>
      <c r="Q670" s="117">
        <f>14*Table1[[#This Row],[Quantity of Sets]]</f>
        <v>98</v>
      </c>
      <c r="R670" s="123">
        <v>0</v>
      </c>
      <c r="S670" s="119">
        <v>0</v>
      </c>
      <c r="T670" s="119">
        <v>0</v>
      </c>
      <c r="U670" s="119">
        <v>0</v>
      </c>
      <c r="V670" s="124" t="str">
        <f t="shared" si="62"/>
        <v>Added</v>
      </c>
    </row>
    <row r="671" spans="1:22" hidden="1">
      <c r="A671" s="460" t="s">
        <v>3122</v>
      </c>
      <c r="B671" s="114">
        <f>_xlfn.IFNA(VLOOKUP(Table1[[#This Row],[SKU]],'Kilter Holds'!$P$36:$S$370,4,0),0)</f>
        <v>0</v>
      </c>
      <c r="C671" s="407">
        <v>10</v>
      </c>
      <c r="D671" s="117">
        <v>0</v>
      </c>
      <c r="E671" s="123">
        <v>0</v>
      </c>
      <c r="F671" s="123">
        <v>0</v>
      </c>
      <c r="G671" s="123">
        <f>10*Table1[[#This Row],[Quantity of Sets]]</f>
        <v>0</v>
      </c>
      <c r="H671" s="123">
        <v>0</v>
      </c>
      <c r="I671" s="123">
        <v>0</v>
      </c>
      <c r="J671" s="123">
        <v>0</v>
      </c>
      <c r="K671" s="123">
        <v>0</v>
      </c>
      <c r="L671" s="123">
        <v>0</v>
      </c>
      <c r="M671" s="123">
        <v>0</v>
      </c>
      <c r="N671" s="123">
        <v>0</v>
      </c>
      <c r="O671" s="123">
        <v>0</v>
      </c>
      <c r="P671" s="123">
        <v>0</v>
      </c>
      <c r="Q671" s="117">
        <f>10*Table1[[#This Row],[Quantity of Sets]]</f>
        <v>0</v>
      </c>
      <c r="R671" s="123">
        <v>0</v>
      </c>
      <c r="S671" s="119">
        <v>0</v>
      </c>
      <c r="T671" s="119">
        <v>0</v>
      </c>
      <c r="U671" s="119">
        <v>0</v>
      </c>
      <c r="V671" s="124" t="str">
        <f t="shared" ref="V671" si="63">IF(B671&gt;0,"Added"," ")</f>
        <v xml:space="preserve"> </v>
      </c>
    </row>
    <row r="672" spans="1:22" hidden="1">
      <c r="A672" s="460" t="s">
        <v>3039</v>
      </c>
      <c r="B672" s="114">
        <f>_xlfn.IFNA(VLOOKUP(Table1[[#This Row],[SKU]],'Kilter Holds'!$P$36:$S$370,4,0),0)</f>
        <v>14</v>
      </c>
      <c r="C672" s="407">
        <v>10</v>
      </c>
      <c r="D672" s="117">
        <f>10*Table1[[#This Row],[Quantity of Sets]]</f>
        <v>140</v>
      </c>
      <c r="E672" s="123">
        <v>0</v>
      </c>
      <c r="F672" s="123">
        <v>0</v>
      </c>
      <c r="G672" s="123">
        <v>0</v>
      </c>
      <c r="H672" s="123">
        <v>0</v>
      </c>
      <c r="I672" s="123">
        <v>0</v>
      </c>
      <c r="J672" s="123">
        <v>0</v>
      </c>
      <c r="K672" s="123">
        <v>0</v>
      </c>
      <c r="L672" s="123">
        <v>0</v>
      </c>
      <c r="M672" s="123">
        <v>0</v>
      </c>
      <c r="N672" s="123">
        <v>0</v>
      </c>
      <c r="O672" s="123">
        <v>0</v>
      </c>
      <c r="P672" s="123">
        <v>0</v>
      </c>
      <c r="Q672" s="117">
        <f>10*Table1[[#This Row],[Quantity of Sets]]</f>
        <v>140</v>
      </c>
      <c r="R672" s="123">
        <v>0</v>
      </c>
      <c r="S672" s="119">
        <v>0</v>
      </c>
      <c r="T672" s="119">
        <v>0</v>
      </c>
      <c r="U672" s="119">
        <v>0</v>
      </c>
      <c r="V672" s="124" t="str">
        <f t="shared" ref="V672" si="64">IF(B672&gt;0,"Added"," ")</f>
        <v>Added</v>
      </c>
    </row>
    <row r="673" spans="1:22" hidden="1">
      <c r="A673" s="460" t="s">
        <v>3051</v>
      </c>
      <c r="B673" s="114">
        <f>_xlfn.IFNA(VLOOKUP(Table1[[#This Row],[SKU]],'Kilter Holds'!$P$36:$S$370,4,0),0)</f>
        <v>10</v>
      </c>
      <c r="C673" s="407">
        <v>10</v>
      </c>
      <c r="D673" s="117">
        <f>10*Table1[[#This Row],[Quantity of Sets]]</f>
        <v>100</v>
      </c>
      <c r="E673" s="123">
        <v>0</v>
      </c>
      <c r="F673" s="123">
        <v>0</v>
      </c>
      <c r="G673" s="123">
        <v>0</v>
      </c>
      <c r="H673" s="123">
        <v>0</v>
      </c>
      <c r="I673" s="123">
        <v>0</v>
      </c>
      <c r="J673" s="123">
        <v>0</v>
      </c>
      <c r="K673" s="123">
        <v>0</v>
      </c>
      <c r="L673" s="123">
        <v>0</v>
      </c>
      <c r="M673" s="123">
        <v>0</v>
      </c>
      <c r="N673" s="123">
        <v>0</v>
      </c>
      <c r="O673" s="123">
        <v>0</v>
      </c>
      <c r="P673" s="123">
        <v>0</v>
      </c>
      <c r="Q673" s="117">
        <f>10*Table1[[#This Row],[Quantity of Sets]]</f>
        <v>100</v>
      </c>
      <c r="R673" s="123">
        <v>0</v>
      </c>
      <c r="S673" s="119">
        <v>0</v>
      </c>
      <c r="T673" s="119">
        <v>0</v>
      </c>
      <c r="U673" s="119">
        <v>0</v>
      </c>
      <c r="V673" s="124" t="str">
        <f t="shared" ref="V673" si="65">IF(B673&gt;0,"Added"," ")</f>
        <v>Added</v>
      </c>
    </row>
    <row r="674" spans="1:22" hidden="1">
      <c r="A674" s="460" t="s">
        <v>3053</v>
      </c>
      <c r="B674" s="114">
        <f>_xlfn.IFNA(VLOOKUP(Table1[[#This Row],[SKU]],'Kilter Holds'!$P$36:$S$370,4,0),0)</f>
        <v>15</v>
      </c>
      <c r="C674" s="407">
        <v>10</v>
      </c>
      <c r="D674" s="117">
        <f>10*Table1[[#This Row],[Quantity of Sets]]</f>
        <v>150</v>
      </c>
      <c r="E674" s="123">
        <v>0</v>
      </c>
      <c r="F674" s="123">
        <v>0</v>
      </c>
      <c r="G674" s="123">
        <v>0</v>
      </c>
      <c r="H674" s="123">
        <v>0</v>
      </c>
      <c r="I674" s="123">
        <v>0</v>
      </c>
      <c r="J674" s="123">
        <v>0</v>
      </c>
      <c r="K674" s="123">
        <v>0</v>
      </c>
      <c r="L674" s="123">
        <v>0</v>
      </c>
      <c r="M674" s="123">
        <v>0</v>
      </c>
      <c r="N674" s="123">
        <v>0</v>
      </c>
      <c r="O674" s="123">
        <v>0</v>
      </c>
      <c r="P674" s="123">
        <v>0</v>
      </c>
      <c r="Q674" s="117">
        <f>10*Table1[[#This Row],[Quantity of Sets]]</f>
        <v>150</v>
      </c>
      <c r="R674" s="123">
        <v>0</v>
      </c>
      <c r="S674" s="119">
        <v>0</v>
      </c>
      <c r="T674" s="119">
        <v>0</v>
      </c>
      <c r="U674" s="119">
        <v>0</v>
      </c>
      <c r="V674" s="124" t="str">
        <f t="shared" ref="V674" si="66">IF(B674&gt;0,"Added"," ")</f>
        <v>Added</v>
      </c>
    </row>
    <row r="675" spans="1:22" hidden="1">
      <c r="A675" s="460" t="s">
        <v>3055</v>
      </c>
      <c r="B675" s="114">
        <f>_xlfn.IFNA(VLOOKUP(Table1[[#This Row],[SKU]],'Kilter Holds'!$P$36:$S$370,4,0),0)</f>
        <v>9</v>
      </c>
      <c r="C675" s="407">
        <v>10</v>
      </c>
      <c r="D675" s="117">
        <f>10*Table1[[#This Row],[Quantity of Sets]]</f>
        <v>90</v>
      </c>
      <c r="E675" s="123">
        <v>0</v>
      </c>
      <c r="F675" s="123">
        <v>0</v>
      </c>
      <c r="G675" s="123">
        <v>0</v>
      </c>
      <c r="H675" s="123">
        <v>0</v>
      </c>
      <c r="I675" s="123">
        <v>0</v>
      </c>
      <c r="J675" s="123">
        <v>0</v>
      </c>
      <c r="K675" s="123">
        <v>0</v>
      </c>
      <c r="L675" s="123">
        <v>0</v>
      </c>
      <c r="M675" s="123">
        <v>0</v>
      </c>
      <c r="N675" s="123">
        <v>0</v>
      </c>
      <c r="O675" s="123">
        <v>0</v>
      </c>
      <c r="P675" s="123">
        <v>0</v>
      </c>
      <c r="Q675" s="117">
        <f>10*Table1[[#This Row],[Quantity of Sets]]</f>
        <v>90</v>
      </c>
      <c r="R675" s="123">
        <v>0</v>
      </c>
      <c r="S675" s="119">
        <v>0</v>
      </c>
      <c r="T675" s="119">
        <v>0</v>
      </c>
      <c r="U675" s="119">
        <v>0</v>
      </c>
      <c r="V675" s="124" t="str">
        <f t="shared" ref="V675" si="67">IF(B675&gt;0,"Added"," ")</f>
        <v>Added</v>
      </c>
    </row>
    <row r="676" spans="1:22" hidden="1">
      <c r="A676" s="460" t="s">
        <v>3057</v>
      </c>
      <c r="B676" s="114">
        <f>_xlfn.IFNA(VLOOKUP(Table1[[#This Row],[SKU]],'Kilter Holds'!$P$36:$S$370,4,0),0)</f>
        <v>22</v>
      </c>
      <c r="C676" s="407">
        <v>10</v>
      </c>
      <c r="D676" s="117">
        <f>10*Table1[[#This Row],[Quantity of Sets]]</f>
        <v>220</v>
      </c>
      <c r="E676" s="123">
        <v>0</v>
      </c>
      <c r="F676" s="123">
        <v>0</v>
      </c>
      <c r="G676" s="123">
        <v>0</v>
      </c>
      <c r="H676" s="123">
        <v>0</v>
      </c>
      <c r="I676" s="123">
        <v>0</v>
      </c>
      <c r="J676" s="123">
        <v>0</v>
      </c>
      <c r="K676" s="123">
        <v>0</v>
      </c>
      <c r="L676" s="123">
        <v>0</v>
      </c>
      <c r="M676" s="123">
        <v>0</v>
      </c>
      <c r="N676" s="123">
        <v>0</v>
      </c>
      <c r="O676" s="123">
        <v>0</v>
      </c>
      <c r="P676" s="123">
        <v>0</v>
      </c>
      <c r="Q676" s="117">
        <f>10*Table1[[#This Row],[Quantity of Sets]]</f>
        <v>220</v>
      </c>
      <c r="R676" s="123">
        <v>0</v>
      </c>
      <c r="S676" s="119">
        <v>0</v>
      </c>
      <c r="T676" s="119">
        <v>0</v>
      </c>
      <c r="U676" s="119">
        <v>0</v>
      </c>
      <c r="V676" s="124" t="str">
        <f t="shared" ref="V676" si="68">IF(B676&gt;0,"Added"," ")</f>
        <v>Added</v>
      </c>
    </row>
    <row r="677" spans="1:22" hidden="1">
      <c r="A677" s="460" t="s">
        <v>3059</v>
      </c>
      <c r="B677" s="114">
        <f>_xlfn.IFNA(VLOOKUP(Table1[[#This Row],[SKU]],'Kilter Holds'!$P$36:$S$370,4,0),0)</f>
        <v>9</v>
      </c>
      <c r="C677" s="407">
        <v>10</v>
      </c>
      <c r="D677" s="117">
        <f>10*Table1[[#This Row],[Quantity of Sets]]</f>
        <v>90</v>
      </c>
      <c r="E677" s="123">
        <v>0</v>
      </c>
      <c r="F677" s="123">
        <v>0</v>
      </c>
      <c r="G677" s="123">
        <v>0</v>
      </c>
      <c r="H677" s="123">
        <v>0</v>
      </c>
      <c r="I677" s="123">
        <v>0</v>
      </c>
      <c r="J677" s="123">
        <v>0</v>
      </c>
      <c r="K677" s="123">
        <v>0</v>
      </c>
      <c r="L677" s="123">
        <v>0</v>
      </c>
      <c r="M677" s="123">
        <v>0</v>
      </c>
      <c r="N677" s="123">
        <v>0</v>
      </c>
      <c r="O677" s="123">
        <v>0</v>
      </c>
      <c r="P677" s="123">
        <v>0</v>
      </c>
      <c r="Q677" s="117">
        <f>10*Table1[[#This Row],[Quantity of Sets]]</f>
        <v>90</v>
      </c>
      <c r="R677" s="123">
        <v>0</v>
      </c>
      <c r="S677" s="119">
        <v>0</v>
      </c>
      <c r="T677" s="119">
        <v>0</v>
      </c>
      <c r="U677" s="119">
        <v>0</v>
      </c>
      <c r="V677" s="124" t="str">
        <f t="shared" ref="V677:V679" si="69">IF(B677&gt;0,"Added"," ")</f>
        <v>Added</v>
      </c>
    </row>
    <row r="678" spans="1:22" hidden="1">
      <c r="A678" s="460" t="s">
        <v>3095</v>
      </c>
      <c r="B678" s="114">
        <f>_xlfn.IFNA(VLOOKUP(Table1[[#This Row],[SKU]],'Kilter Holds'!$P$36:$S$370,4,0),0)</f>
        <v>17</v>
      </c>
      <c r="C678" s="407">
        <v>5</v>
      </c>
      <c r="D678" s="117">
        <v>0</v>
      </c>
      <c r="E678" s="123">
        <v>0</v>
      </c>
      <c r="F678" s="123">
        <v>0</v>
      </c>
      <c r="G678" s="123">
        <v>0</v>
      </c>
      <c r="H678" s="123">
        <v>0</v>
      </c>
      <c r="I678" s="123">
        <f>5*Table1[[#This Row],[Quantity of Sets]]</f>
        <v>85</v>
      </c>
      <c r="J678" s="123">
        <v>0</v>
      </c>
      <c r="K678" s="123">
        <v>0</v>
      </c>
      <c r="L678" s="123">
        <v>0</v>
      </c>
      <c r="M678" s="123">
        <v>0</v>
      </c>
      <c r="N678" s="123">
        <v>0</v>
      </c>
      <c r="O678" s="123">
        <v>0</v>
      </c>
      <c r="P678" s="123">
        <v>0</v>
      </c>
      <c r="Q678" s="117">
        <f>10*Table1[[#This Row],[Quantity of Sets]]</f>
        <v>170</v>
      </c>
      <c r="R678" s="123">
        <v>0</v>
      </c>
      <c r="S678" s="119">
        <v>0</v>
      </c>
      <c r="T678" s="119">
        <v>0</v>
      </c>
      <c r="U678" s="119">
        <v>0</v>
      </c>
      <c r="V678" s="124" t="str">
        <f t="shared" si="69"/>
        <v>Added</v>
      </c>
    </row>
    <row r="679" spans="1:22" hidden="1">
      <c r="A679" s="460" t="s">
        <v>3071</v>
      </c>
      <c r="B679" s="114">
        <f>_xlfn.IFNA(VLOOKUP(Table1[[#This Row],[SKU]],'Kilter Holds'!$P$36:$S$370,4,0),0)</f>
        <v>13</v>
      </c>
      <c r="C679" s="407">
        <v>5</v>
      </c>
      <c r="D679" s="117">
        <v>0</v>
      </c>
      <c r="E679" s="123">
        <v>0</v>
      </c>
      <c r="F679" s="123">
        <v>0</v>
      </c>
      <c r="G679" s="123">
        <v>0</v>
      </c>
      <c r="H679" s="123">
        <v>0</v>
      </c>
      <c r="I679" s="123">
        <v>0</v>
      </c>
      <c r="J679" s="123">
        <v>0</v>
      </c>
      <c r="K679" s="123">
        <v>0</v>
      </c>
      <c r="L679" s="123">
        <v>0</v>
      </c>
      <c r="M679" s="123">
        <v>0</v>
      </c>
      <c r="N679" s="123">
        <v>0</v>
      </c>
      <c r="O679" s="123">
        <v>0</v>
      </c>
      <c r="P679" s="123">
        <v>0</v>
      </c>
      <c r="Q679" s="117">
        <f>15*Table1[[#This Row],[Quantity of Sets]]</f>
        <v>195</v>
      </c>
      <c r="R679" s="123">
        <v>0</v>
      </c>
      <c r="S679" s="119">
        <v>0</v>
      </c>
      <c r="T679" s="119">
        <v>0</v>
      </c>
      <c r="U679" s="119">
        <v>0</v>
      </c>
      <c r="V679" s="124" t="str">
        <f t="shared" si="69"/>
        <v>Added</v>
      </c>
    </row>
    <row r="680" spans="1:22" hidden="1">
      <c r="A680" s="460" t="s">
        <v>3063</v>
      </c>
      <c r="B680" s="114">
        <f>_xlfn.IFNA(VLOOKUP(Table1[[#This Row],[SKU]],'Kilter Holds'!$P$36:$S$370,4,0),0)</f>
        <v>19</v>
      </c>
      <c r="C680" s="407">
        <v>4</v>
      </c>
      <c r="D680" s="117">
        <v>0</v>
      </c>
      <c r="E680" s="123">
        <v>0</v>
      </c>
      <c r="F680" s="123">
        <v>0</v>
      </c>
      <c r="G680" s="123">
        <v>0</v>
      </c>
      <c r="H680" s="123">
        <v>0</v>
      </c>
      <c r="I680" s="123">
        <f>4*Table1[[#This Row],[Quantity of Sets]]</f>
        <v>76</v>
      </c>
      <c r="J680" s="123">
        <v>0</v>
      </c>
      <c r="K680" s="123">
        <v>0</v>
      </c>
      <c r="L680" s="123">
        <v>0</v>
      </c>
      <c r="M680" s="123">
        <v>0</v>
      </c>
      <c r="N680" s="123">
        <v>0</v>
      </c>
      <c r="O680" s="123">
        <v>0</v>
      </c>
      <c r="P680" s="123">
        <v>0</v>
      </c>
      <c r="Q680" s="117">
        <f>10*Table1[[#This Row],[Quantity of Sets]]</f>
        <v>190</v>
      </c>
      <c r="R680" s="123">
        <v>0</v>
      </c>
      <c r="S680" s="119">
        <v>0</v>
      </c>
      <c r="T680" s="119">
        <v>0</v>
      </c>
      <c r="U680" s="119">
        <v>0</v>
      </c>
      <c r="V680" s="124" t="str">
        <f t="shared" ref="V680" si="70">IF(B680&gt;0,"Added"," ")</f>
        <v>Added</v>
      </c>
    </row>
    <row r="681" spans="1:22" hidden="1">
      <c r="A681" s="460" t="s">
        <v>3065</v>
      </c>
      <c r="B681" s="114">
        <f>_xlfn.IFNA(VLOOKUP(Table1[[#This Row],[SKU]],'Kilter Holds'!$P$36:$S$370,4,0),0)</f>
        <v>23</v>
      </c>
      <c r="C681" s="407">
        <v>4</v>
      </c>
      <c r="D681" s="117">
        <v>0</v>
      </c>
      <c r="E681" s="123">
        <v>0</v>
      </c>
      <c r="F681" s="123">
        <v>0</v>
      </c>
      <c r="G681" s="123">
        <v>0</v>
      </c>
      <c r="H681" s="123">
        <v>0</v>
      </c>
      <c r="I681" s="123">
        <f>4*Table1[[#This Row],[Quantity of Sets]]</f>
        <v>92</v>
      </c>
      <c r="J681" s="123">
        <v>0</v>
      </c>
      <c r="K681" s="123">
        <v>0</v>
      </c>
      <c r="L681" s="123">
        <v>0</v>
      </c>
      <c r="M681" s="123">
        <v>0</v>
      </c>
      <c r="N681" s="123">
        <v>0</v>
      </c>
      <c r="O681" s="123">
        <v>0</v>
      </c>
      <c r="P681" s="123">
        <v>0</v>
      </c>
      <c r="Q681" s="117">
        <f>10*Table1[[#This Row],[Quantity of Sets]]</f>
        <v>230</v>
      </c>
      <c r="R681" s="123">
        <v>0</v>
      </c>
      <c r="S681" s="119">
        <v>0</v>
      </c>
      <c r="T681" s="119">
        <v>0</v>
      </c>
      <c r="U681" s="119">
        <v>0</v>
      </c>
      <c r="V681" s="124" t="str">
        <f t="shared" ref="V681" si="71">IF(B681&gt;0,"Added"," ")</f>
        <v>Added</v>
      </c>
    </row>
    <row r="682" spans="1:22" hidden="1">
      <c r="A682" s="460" t="s">
        <v>3067</v>
      </c>
      <c r="B682" s="114">
        <f>_xlfn.IFNA(VLOOKUP(Table1[[#This Row],[SKU]],'Kilter Holds'!$P$36:$S$370,4,0),0)</f>
        <v>23</v>
      </c>
      <c r="C682" s="407">
        <v>5</v>
      </c>
      <c r="D682" s="117">
        <v>0</v>
      </c>
      <c r="E682" s="123">
        <v>0</v>
      </c>
      <c r="F682" s="123">
        <f>5*Table1[[#This Row],[Quantity of Sets]]</f>
        <v>115</v>
      </c>
      <c r="G682" s="123">
        <v>0</v>
      </c>
      <c r="H682" s="123">
        <v>0</v>
      </c>
      <c r="I682" s="123">
        <v>0</v>
      </c>
      <c r="J682" s="123">
        <v>0</v>
      </c>
      <c r="K682" s="123">
        <v>0</v>
      </c>
      <c r="L682" s="123">
        <v>0</v>
      </c>
      <c r="M682" s="123">
        <v>0</v>
      </c>
      <c r="N682" s="123">
        <v>0</v>
      </c>
      <c r="O682" s="123">
        <v>0</v>
      </c>
      <c r="P682" s="123">
        <v>0</v>
      </c>
      <c r="Q682" s="117">
        <f>10*Table1[[#This Row],[Quantity of Sets]]</f>
        <v>230</v>
      </c>
      <c r="R682" s="123">
        <v>0</v>
      </c>
      <c r="S682" s="119">
        <v>0</v>
      </c>
      <c r="T682" s="119">
        <v>0</v>
      </c>
      <c r="U682" s="119">
        <v>0</v>
      </c>
      <c r="V682" s="124" t="str">
        <f t="shared" ref="V682" si="72">IF(B682&gt;0,"Added"," ")</f>
        <v>Added</v>
      </c>
    </row>
    <row r="683" spans="1:22" hidden="1">
      <c r="A683" s="460" t="s">
        <v>3069</v>
      </c>
      <c r="B683" s="114">
        <f>_xlfn.IFNA(VLOOKUP(Table1[[#This Row],[SKU]],'Kilter Holds'!$P$36:$S$370,4,0),0)</f>
        <v>23</v>
      </c>
      <c r="C683" s="407">
        <v>2</v>
      </c>
      <c r="D683" s="117">
        <v>0</v>
      </c>
      <c r="E683" s="123">
        <v>0</v>
      </c>
      <c r="F683" s="123">
        <v>0</v>
      </c>
      <c r="G683" s="123">
        <v>0</v>
      </c>
      <c r="H683" s="123">
        <v>0</v>
      </c>
      <c r="I683" s="123">
        <v>0</v>
      </c>
      <c r="J683" s="123">
        <v>0</v>
      </c>
      <c r="K683" s="123">
        <f>2*Table1[[#This Row],[Quantity of Sets]]</f>
        <v>46</v>
      </c>
      <c r="L683" s="123">
        <v>0</v>
      </c>
      <c r="M683" s="123">
        <v>0</v>
      </c>
      <c r="N683" s="123">
        <v>0</v>
      </c>
      <c r="O683" s="123">
        <v>0</v>
      </c>
      <c r="P683" s="123">
        <v>0</v>
      </c>
      <c r="Q683" s="117">
        <f>10*Table1[[#This Row],[Quantity of Sets]]</f>
        <v>230</v>
      </c>
      <c r="R683" s="123">
        <v>0</v>
      </c>
      <c r="S683" s="119">
        <v>0</v>
      </c>
      <c r="T683" s="119">
        <v>0</v>
      </c>
      <c r="U683" s="119">
        <v>0</v>
      </c>
      <c r="V683" s="124" t="str">
        <f t="shared" ref="V683" si="73">IF(B683&gt;0,"Added"," ")</f>
        <v>Added</v>
      </c>
    </row>
    <row r="684" spans="1:22" hidden="1">
      <c r="A684" s="460" t="s">
        <v>3082</v>
      </c>
      <c r="B684" s="114">
        <f>_xlfn.IFNA(VLOOKUP(Table1[[#This Row],[SKU]],'Kilter Holds'!$P$36:$S$370,4,0),0)</f>
        <v>24</v>
      </c>
      <c r="C684" s="407">
        <v>2</v>
      </c>
      <c r="D684" s="117">
        <v>0</v>
      </c>
      <c r="E684" s="123">
        <v>0</v>
      </c>
      <c r="F684" s="123">
        <v>0</v>
      </c>
      <c r="G684" s="123">
        <v>0</v>
      </c>
      <c r="H684" s="123">
        <v>0</v>
      </c>
      <c r="I684" s="123">
        <v>0</v>
      </c>
      <c r="J684" s="123">
        <v>0</v>
      </c>
      <c r="K684" s="123">
        <f>2*Table1[[#This Row],[Quantity of Sets]]</f>
        <v>48</v>
      </c>
      <c r="L684" s="123">
        <v>0</v>
      </c>
      <c r="M684" s="123">
        <v>0</v>
      </c>
      <c r="N684" s="123">
        <v>0</v>
      </c>
      <c r="O684" s="123">
        <v>0</v>
      </c>
      <c r="P684" s="123">
        <v>0</v>
      </c>
      <c r="Q684" s="117">
        <f>10*Table1[[#This Row],[Quantity of Sets]]</f>
        <v>240</v>
      </c>
      <c r="R684" s="123">
        <v>0</v>
      </c>
      <c r="S684" s="119">
        <v>0</v>
      </c>
      <c r="T684" s="119">
        <v>0</v>
      </c>
      <c r="U684" s="119">
        <v>0</v>
      </c>
      <c r="V684" s="124" t="str">
        <f t="shared" ref="V684" si="74">IF(B684&gt;0,"Added"," ")</f>
        <v>Added</v>
      </c>
    </row>
    <row r="685" spans="1:22" hidden="1">
      <c r="A685" s="460" t="s">
        <v>2896</v>
      </c>
      <c r="B685" s="114">
        <f>_xlfn.IFNA(VLOOKUP(Table1[[#This Row],[SKU]],'Kilter Holds'!$P$36:$S$370,4,0),0)</f>
        <v>60</v>
      </c>
      <c r="C685" s="407">
        <v>5</v>
      </c>
      <c r="D685" s="117">
        <v>0</v>
      </c>
      <c r="E685" s="123">
        <v>0</v>
      </c>
      <c r="F685" s="123">
        <f>5*Table1[[#This Row],[Quantity of Sets]]</f>
        <v>300</v>
      </c>
      <c r="G685" s="123">
        <v>0</v>
      </c>
      <c r="H685" s="123">
        <v>0</v>
      </c>
      <c r="I685" s="123">
        <v>0</v>
      </c>
      <c r="J685" s="123">
        <v>0</v>
      </c>
      <c r="K685" s="123">
        <v>0</v>
      </c>
      <c r="L685" s="123">
        <v>0</v>
      </c>
      <c r="M685" s="123">
        <v>0</v>
      </c>
      <c r="N685" s="123">
        <v>0</v>
      </c>
      <c r="O685" s="123">
        <v>0</v>
      </c>
      <c r="P685" s="123">
        <v>0</v>
      </c>
      <c r="Q685" s="117">
        <f>5*Table1[[#This Row],[Quantity of Sets]]</f>
        <v>300</v>
      </c>
      <c r="R685" s="123">
        <v>0</v>
      </c>
      <c r="S685" s="119">
        <v>0</v>
      </c>
      <c r="T685" s="119">
        <v>0</v>
      </c>
      <c r="U685" s="119">
        <v>0</v>
      </c>
      <c r="V685" s="124" t="str">
        <f t="shared" si="45"/>
        <v>Added</v>
      </c>
    </row>
    <row r="686" spans="1:22" hidden="1">
      <c r="A686" s="460" t="s">
        <v>2894</v>
      </c>
      <c r="B686" s="114">
        <f>_xlfn.IFNA(VLOOKUP(Table1[[#This Row],[SKU]],'Kilter Holds'!$P$36:$S$370,4,0),0)</f>
        <v>22</v>
      </c>
      <c r="C686" s="407">
        <v>5</v>
      </c>
      <c r="D686" s="117">
        <v>0</v>
      </c>
      <c r="E686" s="123">
        <v>0</v>
      </c>
      <c r="F686" s="123">
        <v>0</v>
      </c>
      <c r="G686" s="123">
        <v>0</v>
      </c>
      <c r="H686" s="123">
        <v>0</v>
      </c>
      <c r="I686" s="123">
        <v>0</v>
      </c>
      <c r="J686" s="123">
        <v>0</v>
      </c>
      <c r="K686" s="123">
        <v>0</v>
      </c>
      <c r="L686" s="123">
        <v>0</v>
      </c>
      <c r="M686" s="123">
        <v>0</v>
      </c>
      <c r="N686" s="123">
        <v>0</v>
      </c>
      <c r="O686" s="123">
        <v>0</v>
      </c>
      <c r="P686" s="123">
        <v>0</v>
      </c>
      <c r="Q686" s="117">
        <v>0</v>
      </c>
      <c r="R686" s="123">
        <f>5*5*Table1[[#This Row],[Quantity of Sets]]</f>
        <v>550</v>
      </c>
      <c r="S686" s="119">
        <v>0</v>
      </c>
      <c r="T686" s="119">
        <v>0</v>
      </c>
      <c r="U686" s="119">
        <v>0</v>
      </c>
      <c r="V686" s="124" t="str">
        <f t="shared" si="45"/>
        <v>Added</v>
      </c>
    </row>
    <row r="687" spans="1:22" hidden="1">
      <c r="A687" s="460" t="s">
        <v>2845</v>
      </c>
      <c r="B687" s="114">
        <f>_xlfn.IFNA(VLOOKUP(Table1[[#This Row],[SKU]],'Kilter Holds'!$P$36:$S$370,4,0),0)</f>
        <v>36</v>
      </c>
      <c r="C687" s="407">
        <v>10</v>
      </c>
      <c r="D687" s="117">
        <v>0</v>
      </c>
      <c r="E687" s="123">
        <f>10*Table1[[#This Row],[Quantity of Sets]]</f>
        <v>360</v>
      </c>
      <c r="F687" s="123">
        <v>0</v>
      </c>
      <c r="G687" s="123">
        <v>0</v>
      </c>
      <c r="H687" s="123">
        <v>0</v>
      </c>
      <c r="I687" s="123">
        <v>0</v>
      </c>
      <c r="J687" s="123">
        <v>0</v>
      </c>
      <c r="K687" s="123">
        <v>0</v>
      </c>
      <c r="L687" s="123">
        <v>0</v>
      </c>
      <c r="M687" s="123">
        <v>0</v>
      </c>
      <c r="N687" s="123">
        <v>0</v>
      </c>
      <c r="O687" s="123">
        <v>0</v>
      </c>
      <c r="P687" s="123">
        <v>0</v>
      </c>
      <c r="Q687" s="117">
        <f>10*Table1[[#This Row],[Quantity of Sets]]</f>
        <v>360</v>
      </c>
      <c r="R687" s="123">
        <v>0</v>
      </c>
      <c r="S687" s="119">
        <v>0</v>
      </c>
      <c r="T687" s="119">
        <v>0</v>
      </c>
      <c r="U687" s="119">
        <v>0</v>
      </c>
      <c r="V687" s="124" t="str">
        <f t="shared" si="45"/>
        <v>Added</v>
      </c>
    </row>
    <row r="688" spans="1:22" hidden="1">
      <c r="A688" s="460" t="s">
        <v>2849</v>
      </c>
      <c r="B688" s="114">
        <f>_xlfn.IFNA(VLOOKUP(Table1[[#This Row],[SKU]],'Kilter Holds'!$P$36:$S$370,4,0),0)</f>
        <v>33</v>
      </c>
      <c r="C688" s="407">
        <v>11</v>
      </c>
      <c r="D688" s="117">
        <f>11*Table1[[#This Row],[Quantity of Sets]]</f>
        <v>363</v>
      </c>
      <c r="E688" s="123">
        <v>0</v>
      </c>
      <c r="F688" s="123">
        <v>0</v>
      </c>
      <c r="G688" s="123">
        <v>0</v>
      </c>
      <c r="H688" s="123">
        <v>0</v>
      </c>
      <c r="I688" s="123">
        <v>0</v>
      </c>
      <c r="J688" s="123">
        <v>0</v>
      </c>
      <c r="K688" s="123">
        <v>0</v>
      </c>
      <c r="L688" s="123">
        <v>0</v>
      </c>
      <c r="M688" s="123">
        <v>0</v>
      </c>
      <c r="N688" s="123">
        <v>0</v>
      </c>
      <c r="O688" s="123">
        <v>0</v>
      </c>
      <c r="P688" s="123">
        <v>0</v>
      </c>
      <c r="Q688" s="117">
        <f>11*Table1[[#This Row],[Quantity of Sets]]</f>
        <v>363</v>
      </c>
      <c r="R688" s="123">
        <v>0</v>
      </c>
      <c r="S688" s="119">
        <v>0</v>
      </c>
      <c r="T688" s="119">
        <v>0</v>
      </c>
      <c r="U688" s="119">
        <v>0</v>
      </c>
      <c r="V688" s="124" t="str">
        <f t="shared" si="45"/>
        <v>Added</v>
      </c>
    </row>
    <row r="689" spans="1:22" hidden="1">
      <c r="A689" s="460" t="s">
        <v>2854</v>
      </c>
      <c r="B689" s="114">
        <f>_xlfn.IFNA(VLOOKUP(Table1[[#This Row],[SKU]],'Kilter Holds'!$P$36:$S$370,4,0),0)</f>
        <v>40</v>
      </c>
      <c r="C689" s="407">
        <v>10</v>
      </c>
      <c r="D689" s="117">
        <f>10*Table1[[#This Row],[Quantity of Sets]]</f>
        <v>400</v>
      </c>
      <c r="E689" s="123">
        <v>0</v>
      </c>
      <c r="F689" s="123">
        <v>0</v>
      </c>
      <c r="G689" s="123">
        <v>0</v>
      </c>
      <c r="H689" s="123">
        <v>0</v>
      </c>
      <c r="I689" s="123">
        <v>0</v>
      </c>
      <c r="J689" s="123">
        <v>0</v>
      </c>
      <c r="K689" s="123">
        <v>0</v>
      </c>
      <c r="L689" s="123">
        <v>0</v>
      </c>
      <c r="M689" s="123">
        <v>0</v>
      </c>
      <c r="N689" s="123">
        <v>0</v>
      </c>
      <c r="O689" s="123">
        <v>0</v>
      </c>
      <c r="P689" s="123">
        <v>0</v>
      </c>
      <c r="Q689" s="117">
        <f>10*Table1[[#This Row],[Quantity of Sets]]</f>
        <v>400</v>
      </c>
      <c r="R689" s="123">
        <v>0</v>
      </c>
      <c r="S689" s="119">
        <v>0</v>
      </c>
      <c r="T689" s="119">
        <v>0</v>
      </c>
      <c r="U689" s="119">
        <v>0</v>
      </c>
      <c r="V689" s="124" t="str">
        <f t="shared" si="45"/>
        <v>Added</v>
      </c>
    </row>
    <row r="690" spans="1:22" hidden="1">
      <c r="A690" s="460" t="s">
        <v>2860</v>
      </c>
      <c r="B690" s="114">
        <f>_xlfn.IFNA(VLOOKUP(Table1[[#This Row],[SKU]],'Kilter Holds'!$P$36:$S$370,4,0),0)</f>
        <v>37</v>
      </c>
      <c r="C690" s="407">
        <v>6</v>
      </c>
      <c r="D690" s="117">
        <v>0</v>
      </c>
      <c r="E690" s="123">
        <v>0</v>
      </c>
      <c r="F690" s="123">
        <f>6*Table1[[#This Row],[Quantity of Sets]]</f>
        <v>222</v>
      </c>
      <c r="G690" s="123">
        <v>0</v>
      </c>
      <c r="H690" s="123">
        <v>0</v>
      </c>
      <c r="I690" s="123">
        <v>0</v>
      </c>
      <c r="J690" s="123">
        <v>0</v>
      </c>
      <c r="K690" s="123">
        <v>0</v>
      </c>
      <c r="L690" s="123">
        <v>0</v>
      </c>
      <c r="M690" s="123">
        <v>0</v>
      </c>
      <c r="N690" s="123">
        <v>0</v>
      </c>
      <c r="O690" s="123">
        <v>0</v>
      </c>
      <c r="P690" s="123">
        <v>0</v>
      </c>
      <c r="Q690" s="117">
        <f>6*Table1[[#This Row],[Quantity of Sets]]</f>
        <v>222</v>
      </c>
      <c r="R690" s="123">
        <v>0</v>
      </c>
      <c r="S690" s="119">
        <v>0</v>
      </c>
      <c r="T690" s="119">
        <v>0</v>
      </c>
      <c r="U690" s="119">
        <v>0</v>
      </c>
      <c r="V690" s="124" t="str">
        <f t="shared" si="45"/>
        <v>Added</v>
      </c>
    </row>
    <row r="691" spans="1:22" hidden="1">
      <c r="A691" s="460" t="s">
        <v>2862</v>
      </c>
      <c r="B691" s="114">
        <f>_xlfn.IFNA(VLOOKUP(Table1[[#This Row],[SKU]],'Kilter Holds'!$P$36:$S$370,4,0),0)</f>
        <v>39</v>
      </c>
      <c r="C691" s="407">
        <v>4</v>
      </c>
      <c r="D691" s="117">
        <v>0</v>
      </c>
      <c r="E691" s="123">
        <v>0</v>
      </c>
      <c r="F691" s="123">
        <f>4*Table1[[#This Row],[Quantity of Sets]]</f>
        <v>156</v>
      </c>
      <c r="G691" s="123">
        <v>0</v>
      </c>
      <c r="H691" s="123">
        <v>0</v>
      </c>
      <c r="I691" s="123">
        <v>0</v>
      </c>
      <c r="J691" s="123">
        <v>0</v>
      </c>
      <c r="K691" s="123">
        <v>0</v>
      </c>
      <c r="L691" s="123">
        <v>0</v>
      </c>
      <c r="M691" s="123">
        <v>0</v>
      </c>
      <c r="N691" s="123">
        <v>0</v>
      </c>
      <c r="O691" s="123">
        <v>0</v>
      </c>
      <c r="P691" s="123">
        <v>0</v>
      </c>
      <c r="Q691" s="117">
        <f>4*Table1[[#This Row],[Quantity of Sets]]</f>
        <v>156</v>
      </c>
      <c r="R691" s="123">
        <v>0</v>
      </c>
      <c r="S691" s="119">
        <v>0</v>
      </c>
      <c r="T691" s="119">
        <v>0</v>
      </c>
      <c r="U691" s="119">
        <v>0</v>
      </c>
      <c r="V691" s="124" t="str">
        <f t="shared" si="45"/>
        <v>Added</v>
      </c>
    </row>
    <row r="692" spans="1:22" hidden="1">
      <c r="A692" s="460" t="s">
        <v>2877</v>
      </c>
      <c r="B692" s="114">
        <f>_xlfn.IFNA(VLOOKUP(Table1[[#This Row],[SKU]],'Kilter Holds'!$P$36:$S$370,4,0),0)</f>
        <v>41</v>
      </c>
      <c r="C692" s="665">
        <v>4</v>
      </c>
      <c r="D692" s="663">
        <v>0</v>
      </c>
      <c r="E692" s="663">
        <v>0</v>
      </c>
      <c r="F692" s="663">
        <f>4*Table1[[#This Row],[Quantity of Sets]]</f>
        <v>164</v>
      </c>
      <c r="G692" s="663">
        <v>0</v>
      </c>
      <c r="H692" s="663">
        <v>0</v>
      </c>
      <c r="I692" s="663">
        <v>0</v>
      </c>
      <c r="J692" s="663">
        <v>0</v>
      </c>
      <c r="K692" s="663">
        <v>0</v>
      </c>
      <c r="L692" s="666">
        <v>0</v>
      </c>
      <c r="M692" s="663">
        <v>0</v>
      </c>
      <c r="N692" s="663">
        <v>0</v>
      </c>
      <c r="O692" s="663">
        <v>0</v>
      </c>
      <c r="P692" s="663">
        <v>0</v>
      </c>
      <c r="Q692" s="633">
        <f>4*Table1[[#This Row],[Quantity of Sets]]</f>
        <v>164</v>
      </c>
      <c r="R692" s="664">
        <v>0</v>
      </c>
      <c r="S692" s="667">
        <v>0</v>
      </c>
      <c r="T692" s="668">
        <v>0</v>
      </c>
      <c r="U692" s="668">
        <v>0</v>
      </c>
      <c r="V692" s="664" t="str">
        <f t="shared" si="45"/>
        <v>Added</v>
      </c>
    </row>
    <row r="693" spans="1:22" hidden="1">
      <c r="A693" s="460" t="s">
        <v>2871</v>
      </c>
      <c r="B693" s="114">
        <f>_xlfn.IFNA(VLOOKUP(Table1[[#This Row],[SKU]],'Kilter Holds'!$P$36:$S$370,4,0),0)</f>
        <v>84</v>
      </c>
      <c r="C693" s="407">
        <v>5</v>
      </c>
      <c r="D693" s="117">
        <v>0</v>
      </c>
      <c r="E693" s="123">
        <v>0</v>
      </c>
      <c r="F693" s="123">
        <v>0</v>
      </c>
      <c r="G693" s="123">
        <f>5*Table1[[#This Row],[Quantity of Sets]]</f>
        <v>420</v>
      </c>
      <c r="H693" s="123">
        <v>0</v>
      </c>
      <c r="I693" s="123">
        <v>0</v>
      </c>
      <c r="J693" s="123">
        <v>0</v>
      </c>
      <c r="K693" s="123">
        <v>0</v>
      </c>
      <c r="L693" s="123">
        <v>0</v>
      </c>
      <c r="M693" s="123">
        <v>0</v>
      </c>
      <c r="N693" s="123">
        <v>0</v>
      </c>
      <c r="O693" s="123">
        <v>0</v>
      </c>
      <c r="P693" s="123">
        <v>0</v>
      </c>
      <c r="Q693" s="117">
        <f>5*Table1[[#This Row],[Quantity of Sets]]</f>
        <v>420</v>
      </c>
      <c r="R693" s="123">
        <v>0</v>
      </c>
      <c r="S693" s="119">
        <v>0</v>
      </c>
      <c r="T693" s="119">
        <v>0</v>
      </c>
      <c r="U693" s="119">
        <v>0</v>
      </c>
      <c r="V693" s="124" t="str">
        <f t="shared" si="45"/>
        <v>Added</v>
      </c>
    </row>
    <row r="694" spans="1:22" hidden="1">
      <c r="A694" s="460" t="s">
        <v>2875</v>
      </c>
      <c r="B694" s="114">
        <f>_xlfn.IFNA(VLOOKUP(Table1[[#This Row],[SKU]],'Kilter Holds'!$P$36:$S$370,4,0),0)</f>
        <v>69</v>
      </c>
      <c r="C694" s="407">
        <v>4</v>
      </c>
      <c r="D694" s="117">
        <v>0</v>
      </c>
      <c r="E694" s="123">
        <v>0</v>
      </c>
      <c r="F694" s="123">
        <v>0</v>
      </c>
      <c r="G694" s="123">
        <v>0</v>
      </c>
      <c r="H694" s="123">
        <f>4*Table1[[#This Row],[Quantity of Sets]]</f>
        <v>276</v>
      </c>
      <c r="I694" s="123">
        <v>0</v>
      </c>
      <c r="J694" s="123">
        <v>0</v>
      </c>
      <c r="K694" s="123">
        <v>0</v>
      </c>
      <c r="L694" s="123">
        <v>0</v>
      </c>
      <c r="M694" s="123">
        <v>0</v>
      </c>
      <c r="N694" s="123">
        <v>0</v>
      </c>
      <c r="O694" s="123">
        <v>0</v>
      </c>
      <c r="P694" s="123">
        <v>0</v>
      </c>
      <c r="Q694" s="117">
        <f>4*Table1[[#This Row],[Quantity of Sets]]</f>
        <v>276</v>
      </c>
      <c r="R694" s="123">
        <v>0</v>
      </c>
      <c r="S694" s="119">
        <v>0</v>
      </c>
      <c r="T694" s="119">
        <v>0</v>
      </c>
      <c r="U694" s="119">
        <v>0</v>
      </c>
      <c r="V694" s="124" t="str">
        <f>IF(B694&gt;0,"Added"," ")</f>
        <v>Added</v>
      </c>
    </row>
    <row r="695" spans="1:22" hidden="1">
      <c r="A695" s="460" t="s">
        <v>2880</v>
      </c>
      <c r="B695" s="114">
        <f>_xlfn.IFNA(VLOOKUP(Table1[[#This Row],[SKU]],'Kilter Holds'!$P$36:$S$370,4,0),0)</f>
        <v>54</v>
      </c>
      <c r="C695" s="407">
        <v>4</v>
      </c>
      <c r="D695" s="117">
        <v>0</v>
      </c>
      <c r="E695" s="123">
        <v>0</v>
      </c>
      <c r="F695" s="123">
        <f>4*Table1[[#This Row],[Quantity of Sets]]</f>
        <v>216</v>
      </c>
      <c r="G695" s="123">
        <v>0</v>
      </c>
      <c r="H695" s="123">
        <v>0</v>
      </c>
      <c r="I695" s="123">
        <v>0</v>
      </c>
      <c r="J695" s="123">
        <v>0</v>
      </c>
      <c r="K695" s="123">
        <v>0</v>
      </c>
      <c r="L695" s="123">
        <v>0</v>
      </c>
      <c r="M695" s="123">
        <v>0</v>
      </c>
      <c r="N695" s="123">
        <v>0</v>
      </c>
      <c r="O695" s="123">
        <v>0</v>
      </c>
      <c r="P695" s="123">
        <v>0</v>
      </c>
      <c r="Q695" s="117">
        <f>4*Table1[[#This Row],[Quantity of Sets]]</f>
        <v>216</v>
      </c>
      <c r="R695" s="123">
        <v>0</v>
      </c>
      <c r="S695" s="119">
        <v>0</v>
      </c>
      <c r="T695" s="119">
        <v>0</v>
      </c>
      <c r="U695" s="119">
        <v>0</v>
      </c>
      <c r="V695" s="124" t="str">
        <f>IF(B695&gt;0,"Added"," ")</f>
        <v>Added</v>
      </c>
    </row>
    <row r="696" spans="1:22" hidden="1">
      <c r="A696" s="460" t="s">
        <v>2873</v>
      </c>
      <c r="B696" s="114">
        <f>_xlfn.IFNA(VLOOKUP(Table1[[#This Row],[SKU]],'Kilter Holds'!$P$36:$S$370,4,0),0)</f>
        <v>62</v>
      </c>
      <c r="C696" s="407">
        <v>2</v>
      </c>
      <c r="D696" s="117">
        <v>0</v>
      </c>
      <c r="E696" s="123">
        <v>0</v>
      </c>
      <c r="F696" s="123">
        <v>0</v>
      </c>
      <c r="G696" s="123">
        <v>0</v>
      </c>
      <c r="H696" s="123">
        <v>0</v>
      </c>
      <c r="I696" s="123">
        <f>2*Table1[[#This Row],[Quantity of Sets]]</f>
        <v>124</v>
      </c>
      <c r="J696" s="123">
        <v>0</v>
      </c>
      <c r="K696" s="123">
        <v>0</v>
      </c>
      <c r="L696" s="123">
        <v>0</v>
      </c>
      <c r="M696" s="123">
        <v>0</v>
      </c>
      <c r="N696" s="123">
        <v>0</v>
      </c>
      <c r="O696" s="123">
        <v>0</v>
      </c>
      <c r="P696" s="123">
        <v>0</v>
      </c>
      <c r="Q696" s="117">
        <v>0</v>
      </c>
      <c r="R696" s="123">
        <v>0</v>
      </c>
      <c r="S696" s="119">
        <f>5*Table1[[#This Row],[Quantity of Sets]]</f>
        <v>310</v>
      </c>
      <c r="T696" s="119">
        <v>0</v>
      </c>
      <c r="U696" s="119">
        <v>0</v>
      </c>
      <c r="V696" s="124" t="str">
        <f t="shared" si="45"/>
        <v>Added</v>
      </c>
    </row>
    <row r="697" spans="1:22" hidden="1">
      <c r="A697" s="460" t="s">
        <v>2812</v>
      </c>
      <c r="B697" s="114">
        <f>_xlfn.IFNA(VLOOKUP(Table1[[#This Row],[SKU]],'Kilter Holds'!$P$36:$S$370,4,0),0)</f>
        <v>0</v>
      </c>
      <c r="C697" s="407">
        <v>11</v>
      </c>
      <c r="D697" s="117">
        <v>0</v>
      </c>
      <c r="E697" s="123">
        <v>0</v>
      </c>
      <c r="F697" s="123">
        <f>11*Table1[[#This Row],[Quantity of Sets]]</f>
        <v>0</v>
      </c>
      <c r="G697" s="123">
        <v>0</v>
      </c>
      <c r="H697" s="123">
        <v>0</v>
      </c>
      <c r="I697" s="123">
        <v>0</v>
      </c>
      <c r="J697" s="123">
        <v>0</v>
      </c>
      <c r="K697" s="123">
        <v>0</v>
      </c>
      <c r="L697" s="123">
        <v>0</v>
      </c>
      <c r="M697" s="123">
        <v>0</v>
      </c>
      <c r="N697" s="123">
        <v>0</v>
      </c>
      <c r="O697" s="123">
        <v>0</v>
      </c>
      <c r="P697" s="123">
        <v>0</v>
      </c>
      <c r="Q697" s="117">
        <f>22*Table1[[#This Row],[Quantity of Sets]]</f>
        <v>0</v>
      </c>
      <c r="R697" s="123">
        <v>0</v>
      </c>
      <c r="S697" s="119">
        <v>0</v>
      </c>
      <c r="T697" s="119">
        <v>0</v>
      </c>
      <c r="U697" s="119">
        <v>0</v>
      </c>
      <c r="V697" s="124" t="str">
        <f t="shared" si="45"/>
        <v xml:space="preserve"> </v>
      </c>
    </row>
    <row r="698" spans="1:22" hidden="1">
      <c r="A698" s="460" t="s">
        <v>2814</v>
      </c>
      <c r="B698" s="114">
        <f>_xlfn.IFNA(VLOOKUP(Table1[[#This Row],[SKU]],'Kilter Holds'!$P$36:$S$370,4,0),0)</f>
        <v>65</v>
      </c>
      <c r="C698" s="407">
        <v>10</v>
      </c>
      <c r="D698" s="117">
        <v>0</v>
      </c>
      <c r="E698" s="123">
        <v>0</v>
      </c>
      <c r="F698" s="123">
        <f>10*Table1[[#This Row],[Quantity of Sets]]</f>
        <v>650</v>
      </c>
      <c r="G698" s="123">
        <v>0</v>
      </c>
      <c r="H698" s="123">
        <v>0</v>
      </c>
      <c r="I698" s="123">
        <v>0</v>
      </c>
      <c r="J698" s="123">
        <v>0</v>
      </c>
      <c r="K698" s="123">
        <v>0</v>
      </c>
      <c r="L698" s="123">
        <v>0</v>
      </c>
      <c r="M698" s="123">
        <v>0</v>
      </c>
      <c r="N698" s="123">
        <v>0</v>
      </c>
      <c r="O698" s="123">
        <v>0</v>
      </c>
      <c r="P698" s="123">
        <v>0</v>
      </c>
      <c r="Q698" s="117">
        <f>20*Table1[[#This Row],[Quantity of Sets]]</f>
        <v>1300</v>
      </c>
      <c r="R698" s="123">
        <v>0</v>
      </c>
      <c r="S698" s="119">
        <v>0</v>
      </c>
      <c r="T698" s="119">
        <v>0</v>
      </c>
      <c r="U698" s="119">
        <v>0</v>
      </c>
      <c r="V698" s="124" t="str">
        <f t="shared" si="45"/>
        <v>Added</v>
      </c>
    </row>
    <row r="699" spans="1:22" hidden="1">
      <c r="A699" s="460" t="s">
        <v>2882</v>
      </c>
      <c r="B699" s="114">
        <f>_xlfn.IFNA(VLOOKUP(Table1[[#This Row],[SKU]],'Kilter Holds'!$P$36:$S$370,4,0),0)</f>
        <v>35</v>
      </c>
      <c r="C699" s="407">
        <v>10</v>
      </c>
      <c r="D699" s="117">
        <v>0</v>
      </c>
      <c r="E699" s="123">
        <f>10*Table1[[#This Row],[Quantity of Sets]]</f>
        <v>350</v>
      </c>
      <c r="F699" s="123">
        <v>0</v>
      </c>
      <c r="G699" s="123">
        <v>0</v>
      </c>
      <c r="H699" s="123">
        <v>0</v>
      </c>
      <c r="I699" s="123">
        <v>0</v>
      </c>
      <c r="J699" s="123">
        <v>0</v>
      </c>
      <c r="K699" s="123">
        <v>0</v>
      </c>
      <c r="L699" s="123">
        <v>0</v>
      </c>
      <c r="M699" s="123">
        <v>0</v>
      </c>
      <c r="N699" s="123">
        <v>0</v>
      </c>
      <c r="O699" s="123">
        <v>0</v>
      </c>
      <c r="P699" s="123">
        <v>0</v>
      </c>
      <c r="Q699" s="117">
        <f>10*Table1[[#This Row],[Quantity of Sets]]</f>
        <v>350</v>
      </c>
      <c r="R699" s="123">
        <v>0</v>
      </c>
      <c r="S699" s="119">
        <v>0</v>
      </c>
      <c r="T699" s="119">
        <v>0</v>
      </c>
      <c r="U699" s="119">
        <v>0</v>
      </c>
      <c r="V699" s="124" t="str">
        <f t="shared" si="45"/>
        <v>Added</v>
      </c>
    </row>
    <row r="700" spans="1:22" hidden="1">
      <c r="A700" s="460" t="s">
        <v>2884</v>
      </c>
      <c r="B700" s="114">
        <f>_xlfn.IFNA(VLOOKUP(Table1[[#This Row],[SKU]],'Kilter Holds'!$P$36:$S$370,4,0),0)</f>
        <v>41</v>
      </c>
      <c r="C700" s="407">
        <v>5</v>
      </c>
      <c r="D700" s="117">
        <v>0</v>
      </c>
      <c r="E700" s="123">
        <v>0</v>
      </c>
      <c r="F700" s="123">
        <f>5*Table1[[#This Row],[Quantity of Sets]]</f>
        <v>205</v>
      </c>
      <c r="G700" s="123">
        <v>0</v>
      </c>
      <c r="H700" s="123">
        <v>0</v>
      </c>
      <c r="I700" s="123">
        <v>0</v>
      </c>
      <c r="J700" s="123">
        <v>0</v>
      </c>
      <c r="K700" s="123">
        <v>0</v>
      </c>
      <c r="L700" s="123">
        <v>0</v>
      </c>
      <c r="M700" s="123">
        <v>0</v>
      </c>
      <c r="N700" s="123">
        <v>0</v>
      </c>
      <c r="O700" s="123">
        <v>0</v>
      </c>
      <c r="P700" s="123">
        <v>0</v>
      </c>
      <c r="Q700" s="117">
        <f>5*Table1[[#This Row],[Quantity of Sets]]</f>
        <v>205</v>
      </c>
      <c r="R700" s="123">
        <v>0</v>
      </c>
      <c r="S700" s="119">
        <v>0</v>
      </c>
      <c r="T700" s="119">
        <v>0</v>
      </c>
      <c r="U700" s="119">
        <v>0</v>
      </c>
      <c r="V700" s="124" t="str">
        <f t="shared" si="45"/>
        <v>Added</v>
      </c>
    </row>
    <row r="701" spans="1:22" hidden="1">
      <c r="A701" s="460" t="s">
        <v>2481</v>
      </c>
      <c r="B701" s="114">
        <f>_xlfn.IFNA(VLOOKUP(Table1[[#This Row],[SKU]],'Kilter Holds'!$P$36:$S$370,4,0),0)</f>
        <v>49</v>
      </c>
      <c r="C701" s="407">
        <v>4</v>
      </c>
      <c r="D701" s="117">
        <v>0</v>
      </c>
      <c r="E701" s="123">
        <v>0</v>
      </c>
      <c r="F701" s="122">
        <v>0</v>
      </c>
      <c r="G701" s="123">
        <f>2*Table1[[#This Row],[Quantity of Sets]]</f>
        <v>98</v>
      </c>
      <c r="H701" s="122">
        <f>2*Table1[[#This Row],[Quantity of Sets]]</f>
        <v>98</v>
      </c>
      <c r="I701" s="123">
        <v>0</v>
      </c>
      <c r="J701" s="122">
        <v>0</v>
      </c>
      <c r="K701" s="123">
        <v>0</v>
      </c>
      <c r="L701" s="123">
        <v>0</v>
      </c>
      <c r="M701" s="122">
        <v>0</v>
      </c>
      <c r="N701" s="123">
        <v>0</v>
      </c>
      <c r="O701" s="122">
        <v>0</v>
      </c>
      <c r="P701" s="123">
        <v>0</v>
      </c>
      <c r="Q701" s="117">
        <v>0</v>
      </c>
      <c r="R701" s="123">
        <v>0</v>
      </c>
      <c r="S701" s="119">
        <v>0</v>
      </c>
      <c r="T701" s="119">
        <v>0</v>
      </c>
      <c r="U701" s="119">
        <v>0</v>
      </c>
      <c r="V701" s="124" t="str">
        <f t="shared" si="41"/>
        <v>Added</v>
      </c>
    </row>
    <row r="702" spans="1:22" hidden="1">
      <c r="A702" s="460" t="s">
        <v>2512</v>
      </c>
      <c r="B702" s="114">
        <f>_xlfn.IFNA(VLOOKUP(Table1[[#This Row],[SKU]],'Kilter Holds'!$P$36:$S$370,4,0),0)</f>
        <v>48</v>
      </c>
      <c r="C702" s="407">
        <v>3</v>
      </c>
      <c r="D702" s="117">
        <v>0</v>
      </c>
      <c r="E702" s="123">
        <v>0</v>
      </c>
      <c r="F702" s="122">
        <v>0</v>
      </c>
      <c r="G702" s="123">
        <f>1*Table1[[#This Row],[Quantity of Sets]]</f>
        <v>48</v>
      </c>
      <c r="H702" s="122">
        <f>3*Table1[[#This Row],[Quantity of Sets]]</f>
        <v>144</v>
      </c>
      <c r="I702" s="123">
        <v>0</v>
      </c>
      <c r="J702" s="122">
        <v>0</v>
      </c>
      <c r="K702" s="123">
        <v>0</v>
      </c>
      <c r="L702" s="123">
        <v>0</v>
      </c>
      <c r="M702" s="122">
        <v>0</v>
      </c>
      <c r="N702" s="123">
        <v>0</v>
      </c>
      <c r="O702" s="122">
        <v>0</v>
      </c>
      <c r="P702" s="123">
        <v>0</v>
      </c>
      <c r="Q702" s="117">
        <v>0</v>
      </c>
      <c r="R702" s="123">
        <v>0</v>
      </c>
      <c r="S702" s="119">
        <v>0</v>
      </c>
      <c r="T702" s="119">
        <v>0</v>
      </c>
      <c r="U702" s="119">
        <v>0</v>
      </c>
      <c r="V702" s="124" t="str">
        <f>IF(B702&gt;0,"Added"," ")</f>
        <v>Added</v>
      </c>
    </row>
    <row r="703" spans="1:22" hidden="1">
      <c r="A703" s="460" t="s">
        <v>2511</v>
      </c>
      <c r="B703" s="114">
        <f>_xlfn.IFNA(VLOOKUP(Table1[[#This Row],[SKU]],'Kilter Holds'!$P$36:$S$370,4,0),0)</f>
        <v>53</v>
      </c>
      <c r="C703" s="407">
        <v>10</v>
      </c>
      <c r="D703" s="117">
        <v>0</v>
      </c>
      <c r="E703" s="123">
        <v>0</v>
      </c>
      <c r="F703" s="117">
        <v>0</v>
      </c>
      <c r="G703" s="123">
        <v>0</v>
      </c>
      <c r="H703" s="117">
        <v>0</v>
      </c>
      <c r="I703" s="123">
        <v>0</v>
      </c>
      <c r="J703" s="117">
        <v>0</v>
      </c>
      <c r="K703" s="123">
        <v>0</v>
      </c>
      <c r="L703" s="117">
        <v>0</v>
      </c>
      <c r="M703" s="123">
        <v>0</v>
      </c>
      <c r="N703" s="117">
        <v>0</v>
      </c>
      <c r="O703" s="123">
        <v>0</v>
      </c>
      <c r="P703" s="117">
        <v>0</v>
      </c>
      <c r="Q703" s="117">
        <f>30*Table1[[#This Row],[Quantity of Sets]]</f>
        <v>1590</v>
      </c>
      <c r="R703" s="123">
        <v>0</v>
      </c>
      <c r="S703" s="119">
        <v>0</v>
      </c>
      <c r="T703" s="119">
        <v>0</v>
      </c>
      <c r="U703" s="119">
        <v>0</v>
      </c>
      <c r="V703" s="124" t="str">
        <f>IF(B703&gt;0,"Added"," ")</f>
        <v>Added</v>
      </c>
    </row>
    <row r="704" spans="1:22" hidden="1">
      <c r="A704" s="460" t="s">
        <v>2487</v>
      </c>
      <c r="B704" s="114">
        <f>_xlfn.IFNA(VLOOKUP(Table1[[#This Row],[SKU]],'Kilter Holds'!$P$36:$S$370,4,0),0)</f>
        <v>32</v>
      </c>
      <c r="C704" s="407">
        <v>3</v>
      </c>
      <c r="D704" s="117">
        <v>0</v>
      </c>
      <c r="E704" s="123">
        <v>0</v>
      </c>
      <c r="F704" s="122">
        <v>0</v>
      </c>
      <c r="G704" s="123">
        <v>0</v>
      </c>
      <c r="H704" s="122">
        <v>0</v>
      </c>
      <c r="I704" s="123">
        <f>3*Table1[[#This Row],[Quantity of Sets]]</f>
        <v>96</v>
      </c>
      <c r="J704" s="122">
        <v>0</v>
      </c>
      <c r="K704" s="123">
        <v>0</v>
      </c>
      <c r="L704" s="123">
        <v>0</v>
      </c>
      <c r="M704" s="122">
        <v>0</v>
      </c>
      <c r="N704" s="123">
        <v>0</v>
      </c>
      <c r="O704" s="122">
        <v>0</v>
      </c>
      <c r="P704" s="123">
        <v>0</v>
      </c>
      <c r="Q704" s="117">
        <v>0</v>
      </c>
      <c r="R704" s="123">
        <v>0</v>
      </c>
      <c r="S704" s="119">
        <v>0</v>
      </c>
      <c r="T704" s="119">
        <v>0</v>
      </c>
      <c r="U704" s="119">
        <v>0</v>
      </c>
      <c r="V704" s="124" t="str">
        <f t="shared" si="41"/>
        <v>Added</v>
      </c>
    </row>
    <row r="705" spans="1:22" hidden="1">
      <c r="A705" s="460" t="s">
        <v>2518</v>
      </c>
      <c r="B705" s="114">
        <f>_xlfn.IFNA(VLOOKUP(Table1[[#This Row],[SKU]],'Kilter Holds'!$P$36:$S$370,4,0),0)</f>
        <v>30</v>
      </c>
      <c r="C705" s="407">
        <v>5</v>
      </c>
      <c r="D705" s="117">
        <v>0</v>
      </c>
      <c r="E705" s="123">
        <v>0</v>
      </c>
      <c r="F705" s="117">
        <v>0</v>
      </c>
      <c r="G705" s="123">
        <v>0</v>
      </c>
      <c r="H705" s="117">
        <v>0</v>
      </c>
      <c r="I705" s="123">
        <v>0</v>
      </c>
      <c r="J705" s="117">
        <v>0</v>
      </c>
      <c r="K705" s="123">
        <v>0</v>
      </c>
      <c r="L705" s="117">
        <v>0</v>
      </c>
      <c r="M705" s="123">
        <v>0</v>
      </c>
      <c r="N705" s="117">
        <v>0</v>
      </c>
      <c r="O705" s="123">
        <v>0</v>
      </c>
      <c r="P705" s="117">
        <v>0</v>
      </c>
      <c r="Q705" s="117">
        <f>15*Table1[[#This Row],[Quantity of Sets]]</f>
        <v>450</v>
      </c>
      <c r="R705" s="123">
        <v>0</v>
      </c>
      <c r="S705" s="119">
        <v>0</v>
      </c>
      <c r="T705" s="119">
        <v>0</v>
      </c>
      <c r="U705" s="119">
        <v>0</v>
      </c>
      <c r="V705" s="124" t="str">
        <f>IF(B705&gt;0,"Added"," ")</f>
        <v>Added</v>
      </c>
    </row>
    <row r="706" spans="1:22" hidden="1">
      <c r="A706" s="460" t="s">
        <v>2561</v>
      </c>
      <c r="B706" s="114">
        <f>_xlfn.IFNA(VLOOKUP(Table1[[#This Row],[SKU]],'Kilter Holds'!$P$36:$S$370,4,0),0)</f>
        <v>50</v>
      </c>
      <c r="C706" s="407">
        <v>10</v>
      </c>
      <c r="D706" s="117">
        <f>Table1[[#This Row],[Holds per Set]]*Table1[[#This Row],[Quantity of Sets]]</f>
        <v>500</v>
      </c>
      <c r="E706" s="123">
        <v>0</v>
      </c>
      <c r="F706" s="123">
        <v>0</v>
      </c>
      <c r="G706" s="123">
        <v>0</v>
      </c>
      <c r="H706" s="123">
        <v>0</v>
      </c>
      <c r="I706" s="123">
        <v>0</v>
      </c>
      <c r="J706" s="123">
        <v>0</v>
      </c>
      <c r="K706" s="123">
        <v>0</v>
      </c>
      <c r="L706" s="123">
        <v>0</v>
      </c>
      <c r="M706" s="123">
        <v>0</v>
      </c>
      <c r="N706" s="123">
        <v>0</v>
      </c>
      <c r="O706" s="123">
        <v>0</v>
      </c>
      <c r="P706" s="123">
        <v>0</v>
      </c>
      <c r="Q706" s="123">
        <v>0</v>
      </c>
      <c r="R706" s="123">
        <v>0</v>
      </c>
      <c r="S706" s="123">
        <v>0</v>
      </c>
      <c r="T706" s="123">
        <v>0</v>
      </c>
      <c r="U706" s="123">
        <v>0</v>
      </c>
      <c r="V706" s="124" t="str">
        <f t="shared" ref="V706:V709" si="75">IF(B706&gt;0,"Added"," ")</f>
        <v>Added</v>
      </c>
    </row>
    <row r="707" spans="1:22" hidden="1">
      <c r="A707" s="460" t="s">
        <v>2563</v>
      </c>
      <c r="B707" s="114">
        <f>_xlfn.IFNA(VLOOKUP(Table1[[#This Row],[SKU]],'Kilter Holds'!$P$36:$S$370,4,0),0)</f>
        <v>78</v>
      </c>
      <c r="C707" s="407">
        <v>10</v>
      </c>
      <c r="D707" s="117">
        <f>Table1[[#This Row],[Holds per Set]]*Table1[[#This Row],[Quantity of Sets]]</f>
        <v>780</v>
      </c>
      <c r="E707" s="123">
        <v>0</v>
      </c>
      <c r="F707" s="123">
        <v>0</v>
      </c>
      <c r="G707" s="123">
        <v>0</v>
      </c>
      <c r="H707" s="123">
        <v>0</v>
      </c>
      <c r="I707" s="123">
        <v>0</v>
      </c>
      <c r="J707" s="123">
        <v>0</v>
      </c>
      <c r="K707" s="123">
        <v>0</v>
      </c>
      <c r="L707" s="123">
        <v>0</v>
      </c>
      <c r="M707" s="123">
        <v>0</v>
      </c>
      <c r="N707" s="123">
        <v>0</v>
      </c>
      <c r="O707" s="123">
        <v>0</v>
      </c>
      <c r="P707" s="123">
        <v>0</v>
      </c>
      <c r="Q707" s="123">
        <v>0</v>
      </c>
      <c r="R707" s="123">
        <v>0</v>
      </c>
      <c r="S707" s="123">
        <v>0</v>
      </c>
      <c r="T707" s="123">
        <v>0</v>
      </c>
      <c r="U707" s="123">
        <v>0</v>
      </c>
      <c r="V707" s="124" t="str">
        <f t="shared" si="75"/>
        <v>Added</v>
      </c>
    </row>
    <row r="708" spans="1:22" hidden="1">
      <c r="A708" s="460" t="s">
        <v>2565</v>
      </c>
      <c r="B708" s="114">
        <f>_xlfn.IFNA(VLOOKUP(Table1[[#This Row],[SKU]],'Kilter Holds'!$P$36:$S$370,4,0),0)</f>
        <v>42</v>
      </c>
      <c r="C708" s="407">
        <v>10</v>
      </c>
      <c r="D708" s="117">
        <f>Table1[[#This Row],[Holds per Set]]*Table1[[#This Row],[Quantity of Sets]]</f>
        <v>420</v>
      </c>
      <c r="E708" s="123">
        <v>0</v>
      </c>
      <c r="F708" s="123">
        <v>0</v>
      </c>
      <c r="G708" s="123">
        <v>0</v>
      </c>
      <c r="H708" s="123">
        <v>0</v>
      </c>
      <c r="I708" s="123">
        <v>0</v>
      </c>
      <c r="J708" s="123">
        <v>0</v>
      </c>
      <c r="K708" s="123">
        <v>0</v>
      </c>
      <c r="L708" s="123">
        <v>0</v>
      </c>
      <c r="M708" s="123">
        <v>0</v>
      </c>
      <c r="N708" s="123">
        <v>0</v>
      </c>
      <c r="O708" s="123">
        <v>0</v>
      </c>
      <c r="P708" s="123">
        <v>0</v>
      </c>
      <c r="Q708" s="123">
        <v>0</v>
      </c>
      <c r="R708" s="123">
        <v>0</v>
      </c>
      <c r="S708" s="123">
        <v>0</v>
      </c>
      <c r="T708" s="123">
        <v>0</v>
      </c>
      <c r="U708" s="123">
        <v>0</v>
      </c>
      <c r="V708" s="124" t="str">
        <f t="shared" si="75"/>
        <v>Added</v>
      </c>
    </row>
    <row r="709" spans="1:22" hidden="1">
      <c r="A709" s="460" t="s">
        <v>2567</v>
      </c>
      <c r="B709" s="114">
        <f>_xlfn.IFNA(VLOOKUP(Table1[[#This Row],[SKU]],'Kilter Holds'!$P$36:$S$370,4,0),0)</f>
        <v>76</v>
      </c>
      <c r="C709" s="407">
        <v>10</v>
      </c>
      <c r="D709" s="117">
        <f>Table1[[#This Row],[Holds per Set]]*Table1[[#This Row],[Quantity of Sets]]</f>
        <v>760</v>
      </c>
      <c r="E709" s="123">
        <v>0</v>
      </c>
      <c r="F709" s="123">
        <v>0</v>
      </c>
      <c r="G709" s="123">
        <v>0</v>
      </c>
      <c r="H709" s="123">
        <v>0</v>
      </c>
      <c r="I709" s="123">
        <v>0</v>
      </c>
      <c r="J709" s="123">
        <v>0</v>
      </c>
      <c r="K709" s="123">
        <v>0</v>
      </c>
      <c r="L709" s="123">
        <v>0</v>
      </c>
      <c r="M709" s="123">
        <v>0</v>
      </c>
      <c r="N709" s="123">
        <v>0</v>
      </c>
      <c r="O709" s="123">
        <v>0</v>
      </c>
      <c r="P709" s="123">
        <v>0</v>
      </c>
      <c r="Q709" s="123">
        <v>0</v>
      </c>
      <c r="R709" s="123">
        <v>0</v>
      </c>
      <c r="S709" s="123">
        <v>0</v>
      </c>
      <c r="T709" s="123">
        <v>0</v>
      </c>
      <c r="U709" s="123">
        <v>0</v>
      </c>
      <c r="V709" s="124" t="str">
        <f t="shared" si="75"/>
        <v>Added</v>
      </c>
    </row>
    <row r="710" spans="1:22" hidden="1">
      <c r="A710" s="460" t="s">
        <v>2489</v>
      </c>
      <c r="B710" s="114">
        <f>_xlfn.IFNA(VLOOKUP(Table1[[#This Row],[SKU]],'Kilter Holds'!$P$36:$S$370,4,0),0)</f>
        <v>24</v>
      </c>
      <c r="C710" s="407">
        <v>1</v>
      </c>
      <c r="D710" s="117">
        <v>0</v>
      </c>
      <c r="E710" s="123">
        <v>0</v>
      </c>
      <c r="F710" s="122">
        <v>0</v>
      </c>
      <c r="G710" s="123">
        <v>0</v>
      </c>
      <c r="H710" s="122">
        <v>0</v>
      </c>
      <c r="I710" s="123">
        <f>1*Table1[[#This Row],[Quantity of Sets]]</f>
        <v>24</v>
      </c>
      <c r="J710" s="122">
        <v>0</v>
      </c>
      <c r="K710" s="123">
        <v>0</v>
      </c>
      <c r="L710" s="123">
        <v>0</v>
      </c>
      <c r="M710" s="122">
        <v>0</v>
      </c>
      <c r="N710" s="123">
        <v>0</v>
      </c>
      <c r="O710" s="122">
        <v>0</v>
      </c>
      <c r="P710" s="123">
        <v>0</v>
      </c>
      <c r="Q710" s="117">
        <v>0</v>
      </c>
      <c r="R710" s="123">
        <v>0</v>
      </c>
      <c r="S710" s="119">
        <v>0</v>
      </c>
      <c r="T710" s="119">
        <v>0</v>
      </c>
      <c r="U710" s="119">
        <v>0</v>
      </c>
      <c r="V710" s="124" t="str">
        <f t="shared" si="41"/>
        <v>Added</v>
      </c>
    </row>
    <row r="711" spans="1:22" hidden="1">
      <c r="A711" s="460" t="s">
        <v>3086</v>
      </c>
      <c r="B711" s="114">
        <f>_xlfn.IFNA(VLOOKUP(Table1[[#This Row],[SKU]],'Kilter Holds'!$P$36:$S$370,4,0),0)</f>
        <v>0</v>
      </c>
      <c r="C711" s="407">
        <v>1</v>
      </c>
      <c r="D711" s="117">
        <v>0</v>
      </c>
      <c r="E711" s="123">
        <v>0</v>
      </c>
      <c r="F711" s="122">
        <v>0</v>
      </c>
      <c r="G711" s="123">
        <v>0</v>
      </c>
      <c r="H711" s="122">
        <v>0</v>
      </c>
      <c r="I711" s="123">
        <f>1*Table1[[#This Row],[Quantity of Sets]]</f>
        <v>0</v>
      </c>
      <c r="J711" s="122">
        <v>0</v>
      </c>
      <c r="K711" s="123">
        <v>0</v>
      </c>
      <c r="L711" s="123">
        <v>0</v>
      </c>
      <c r="M711" s="122">
        <v>0</v>
      </c>
      <c r="N711" s="123">
        <v>0</v>
      </c>
      <c r="O711" s="122">
        <v>0</v>
      </c>
      <c r="P711" s="123">
        <v>0</v>
      </c>
      <c r="Q711" s="117">
        <v>0</v>
      </c>
      <c r="R711" s="123">
        <v>0</v>
      </c>
      <c r="S711" s="119">
        <v>0</v>
      </c>
      <c r="T711" s="119">
        <v>0</v>
      </c>
      <c r="U711" s="119">
        <v>0</v>
      </c>
      <c r="V711" s="124" t="str">
        <f t="shared" ref="V711" si="76">IF(B711&gt;0,"Added"," ")</f>
        <v xml:space="preserve"> </v>
      </c>
    </row>
    <row r="712" spans="1:22" hidden="1">
      <c r="A712" s="460" t="s">
        <v>2491</v>
      </c>
      <c r="B712" s="114">
        <f>_xlfn.IFNA(VLOOKUP(Table1[[#This Row],[SKU]],'Kilter Holds'!$P$36:$S$370,4,0),0)</f>
        <v>25</v>
      </c>
      <c r="C712" s="407">
        <v>1</v>
      </c>
      <c r="D712" s="117">
        <v>0</v>
      </c>
      <c r="E712" s="123">
        <v>0</v>
      </c>
      <c r="F712" s="122">
        <v>0</v>
      </c>
      <c r="G712" s="123">
        <v>0</v>
      </c>
      <c r="H712" s="122">
        <v>0</v>
      </c>
      <c r="I712" s="123">
        <f>1*Table1[[#This Row],[Quantity of Sets]]</f>
        <v>25</v>
      </c>
      <c r="J712" s="122">
        <v>0</v>
      </c>
      <c r="K712" s="123">
        <v>0</v>
      </c>
      <c r="L712" s="123">
        <v>0</v>
      </c>
      <c r="M712" s="122">
        <v>0</v>
      </c>
      <c r="N712" s="123">
        <v>0</v>
      </c>
      <c r="O712" s="122">
        <v>0</v>
      </c>
      <c r="P712" s="123">
        <v>0</v>
      </c>
      <c r="Q712" s="117">
        <v>0</v>
      </c>
      <c r="R712" s="123">
        <v>0</v>
      </c>
      <c r="S712" s="119">
        <v>0</v>
      </c>
      <c r="T712" s="119">
        <v>0</v>
      </c>
      <c r="U712" s="119">
        <v>0</v>
      </c>
      <c r="V712" s="124" t="str">
        <f t="shared" si="41"/>
        <v>Added</v>
      </c>
    </row>
    <row r="713" spans="1:22" hidden="1">
      <c r="A713" s="460" t="s">
        <v>2349</v>
      </c>
      <c r="B713" s="114">
        <f>_xlfn.IFNA(VLOOKUP(Table1[[#This Row],[SKU]],'Kilter Holds'!$P$36:$S$370,4,0),0)</f>
        <v>47</v>
      </c>
      <c r="C713" s="407">
        <v>3</v>
      </c>
      <c r="D713" s="117">
        <v>0</v>
      </c>
      <c r="E713" s="123">
        <v>0</v>
      </c>
      <c r="F713" s="122">
        <v>0</v>
      </c>
      <c r="G713" s="123">
        <v>0</v>
      </c>
      <c r="H713" s="122">
        <v>0</v>
      </c>
      <c r="I713" s="123">
        <v>0</v>
      </c>
      <c r="J713" s="122">
        <v>0</v>
      </c>
      <c r="K713" s="123">
        <f>1*Table1[[#This Row],[Quantity of Sets]]</f>
        <v>47</v>
      </c>
      <c r="L713" s="123">
        <v>0</v>
      </c>
      <c r="M713" s="122">
        <v>0</v>
      </c>
      <c r="N713" s="123">
        <v>0</v>
      </c>
      <c r="O713" s="122">
        <v>0</v>
      </c>
      <c r="P713" s="123">
        <v>0</v>
      </c>
      <c r="Q713" s="117">
        <v>0</v>
      </c>
      <c r="R713" s="123">
        <f>10*Table1[[#This Row],[Quantity of Sets]]</f>
        <v>470</v>
      </c>
      <c r="S713" s="119">
        <v>0</v>
      </c>
      <c r="T713" s="119">
        <v>0</v>
      </c>
      <c r="U713" s="119">
        <v>0</v>
      </c>
      <c r="V713" s="124" t="str">
        <f t="shared" si="39"/>
        <v>Added</v>
      </c>
    </row>
    <row r="714" spans="1:22" hidden="1">
      <c r="A714" s="460" t="s">
        <v>2200</v>
      </c>
      <c r="B714" s="114">
        <f>_xlfn.IFNA(VLOOKUP(Table1[[#This Row],[SKU]],'Kilter Holds'!$P$36:$S$370,4,0),0)</f>
        <v>37</v>
      </c>
      <c r="C714" s="407">
        <v>5</v>
      </c>
      <c r="D714" s="117">
        <v>0</v>
      </c>
      <c r="E714" s="123">
        <v>0</v>
      </c>
      <c r="F714" s="122">
        <v>0</v>
      </c>
      <c r="G714" s="123">
        <v>0</v>
      </c>
      <c r="H714" s="122">
        <f>IFERROR(5*B714,0)</f>
        <v>185</v>
      </c>
      <c r="I714" s="123">
        <v>0</v>
      </c>
      <c r="J714" s="122">
        <v>0</v>
      </c>
      <c r="K714" s="123">
        <v>0</v>
      </c>
      <c r="L714" s="123">
        <v>0</v>
      </c>
      <c r="M714" s="122">
        <v>0</v>
      </c>
      <c r="N714" s="123">
        <v>0</v>
      </c>
      <c r="O714" s="122">
        <v>0</v>
      </c>
      <c r="P714" s="123">
        <v>0</v>
      </c>
      <c r="Q714" s="117">
        <v>0</v>
      </c>
      <c r="R714" s="123">
        <v>0</v>
      </c>
      <c r="S714" s="119">
        <v>0</v>
      </c>
      <c r="T714" s="119">
        <v>0</v>
      </c>
      <c r="U714" s="119">
        <v>0</v>
      </c>
      <c r="V714" s="124" t="str">
        <f t="shared" ref="V714" si="77">IF(B714&gt;0,"Added"," ")</f>
        <v>Added</v>
      </c>
    </row>
    <row r="715" spans="1:22" hidden="1">
      <c r="A715" s="460" t="s">
        <v>2199</v>
      </c>
      <c r="B715" s="114">
        <f>_xlfn.IFNA(VLOOKUP(Table1[[#This Row],[SKU]],'Kilter Holds'!$P$36:$S$370,4,0),0)</f>
        <v>20</v>
      </c>
      <c r="C715" s="407">
        <v>4</v>
      </c>
      <c r="D715" s="117">
        <v>0</v>
      </c>
      <c r="E715" s="123">
        <v>0</v>
      </c>
      <c r="F715" s="122">
        <v>0</v>
      </c>
      <c r="G715" s="123">
        <v>0</v>
      </c>
      <c r="H715" s="122">
        <v>0</v>
      </c>
      <c r="I715" s="123">
        <f>IFERROR(4*B715,0)</f>
        <v>80</v>
      </c>
      <c r="J715" s="122">
        <v>0</v>
      </c>
      <c r="K715" s="123">
        <v>0</v>
      </c>
      <c r="L715" s="123">
        <v>0</v>
      </c>
      <c r="M715" s="122">
        <v>0</v>
      </c>
      <c r="N715" s="123">
        <v>0</v>
      </c>
      <c r="O715" s="122">
        <v>0</v>
      </c>
      <c r="P715" s="123">
        <v>0</v>
      </c>
      <c r="Q715" s="117">
        <v>0</v>
      </c>
      <c r="R715" s="123">
        <v>0</v>
      </c>
      <c r="S715" s="119">
        <v>0</v>
      </c>
      <c r="T715" s="119">
        <v>0</v>
      </c>
      <c r="U715" s="119">
        <v>0</v>
      </c>
      <c r="V715" s="124" t="str">
        <f t="shared" ref="V715:V716" si="78">IF(B715&gt;0,"Added"," ")</f>
        <v>Added</v>
      </c>
    </row>
    <row r="716" spans="1:22" hidden="1">
      <c r="A716" s="460" t="s">
        <v>2203</v>
      </c>
      <c r="B716" s="114">
        <f>_xlfn.IFNA(VLOOKUP(Table1[[#This Row],[SKU]],'Kilter Holds'!$P$36:$S$370,4,0),0)</f>
        <v>22</v>
      </c>
      <c r="C716" s="407">
        <v>5</v>
      </c>
      <c r="D716" s="117">
        <v>0</v>
      </c>
      <c r="E716" s="123">
        <v>0</v>
      </c>
      <c r="F716" s="122">
        <v>0</v>
      </c>
      <c r="G716" s="123">
        <v>0</v>
      </c>
      <c r="H716" s="122">
        <v>0</v>
      </c>
      <c r="I716" s="123">
        <v>0</v>
      </c>
      <c r="J716" s="122">
        <v>0</v>
      </c>
      <c r="K716" s="123">
        <v>0</v>
      </c>
      <c r="L716" s="123">
        <v>0</v>
      </c>
      <c r="M716" s="122">
        <v>0</v>
      </c>
      <c r="N716" s="123">
        <v>0</v>
      </c>
      <c r="O716" s="122">
        <v>0</v>
      </c>
      <c r="P716" s="123">
        <v>0</v>
      </c>
      <c r="Q716" s="117">
        <v>0</v>
      </c>
      <c r="R716" s="123">
        <f>IFERROR(15*B716,0)</f>
        <v>330</v>
      </c>
      <c r="S716" s="119">
        <v>0</v>
      </c>
      <c r="T716" s="119">
        <v>0</v>
      </c>
      <c r="U716" s="119">
        <v>0</v>
      </c>
      <c r="V716" s="124" t="str">
        <f t="shared" si="78"/>
        <v>Added</v>
      </c>
    </row>
    <row r="717" spans="1:22" hidden="1">
      <c r="A717" s="451" t="s">
        <v>1961</v>
      </c>
      <c r="B717" s="114">
        <f>_xlfn.IFNA(VLOOKUP(Table1[[#This Row],[SKU]],'Kilter Holds'!$P$36:$S$370,4,0),0)</f>
        <v>46</v>
      </c>
      <c r="C717" s="407">
        <v>3</v>
      </c>
      <c r="D717" s="117">
        <v>0</v>
      </c>
      <c r="E717" s="123">
        <v>0</v>
      </c>
      <c r="F717" s="122">
        <v>0</v>
      </c>
      <c r="G717" s="123">
        <v>0</v>
      </c>
      <c r="H717" s="122">
        <v>0</v>
      </c>
      <c r="I717" s="123">
        <v>0</v>
      </c>
      <c r="J717" s="122">
        <v>0</v>
      </c>
      <c r="K717" s="123">
        <f>IFERROR(3*B717,0)</f>
        <v>138</v>
      </c>
      <c r="L717" s="123">
        <v>0</v>
      </c>
      <c r="M717" s="122">
        <v>0</v>
      </c>
      <c r="N717" s="123">
        <v>0</v>
      </c>
      <c r="O717" s="122">
        <v>0</v>
      </c>
      <c r="P717" s="123">
        <v>0</v>
      </c>
      <c r="Q717" s="117">
        <v>0</v>
      </c>
      <c r="R717" s="123">
        <v>0</v>
      </c>
      <c r="S717" s="119">
        <v>0</v>
      </c>
      <c r="T717" s="119">
        <v>0</v>
      </c>
      <c r="U717" s="119">
        <v>0</v>
      </c>
      <c r="V717" s="124" t="str">
        <f t="shared" si="39"/>
        <v>Added</v>
      </c>
    </row>
    <row r="718" spans="1:22" hidden="1">
      <c r="A718" s="451" t="s">
        <v>1811</v>
      </c>
      <c r="B718" s="114">
        <f>_xlfn.IFNA(VLOOKUP(Table1[[#This Row],[SKU]],'Kilter Holds'!$P$36:$S$370,4,0),0)</f>
        <v>44</v>
      </c>
      <c r="C718" s="407">
        <v>4</v>
      </c>
      <c r="D718" s="117">
        <v>0</v>
      </c>
      <c r="E718" s="123">
        <v>0</v>
      </c>
      <c r="F718" s="122">
        <v>0</v>
      </c>
      <c r="G718" s="123">
        <v>0</v>
      </c>
      <c r="H718" s="122">
        <v>0</v>
      </c>
      <c r="I718" s="123">
        <v>0</v>
      </c>
      <c r="J718" s="122">
        <f>IFERROR(4*B718,0)</f>
        <v>176</v>
      </c>
      <c r="K718" s="123">
        <v>0</v>
      </c>
      <c r="L718" s="123">
        <v>0</v>
      </c>
      <c r="M718" s="122">
        <v>0</v>
      </c>
      <c r="N718" s="123">
        <v>0</v>
      </c>
      <c r="O718" s="122">
        <v>0</v>
      </c>
      <c r="P718" s="123">
        <v>0</v>
      </c>
      <c r="Q718" s="117">
        <v>0</v>
      </c>
      <c r="R718" s="123">
        <v>0</v>
      </c>
      <c r="S718" s="119">
        <v>0</v>
      </c>
      <c r="T718" s="119">
        <v>0</v>
      </c>
      <c r="U718" s="119">
        <v>0</v>
      </c>
      <c r="V718" s="124" t="str">
        <f t="shared" si="39"/>
        <v>Added</v>
      </c>
    </row>
    <row r="719" spans="1:22" hidden="1">
      <c r="A719" s="451" t="s">
        <v>1732</v>
      </c>
      <c r="B719" s="114">
        <f>_xlfn.IFNA(VLOOKUP(Table1[[#This Row],[SKU]],'Kilter Holds'!$P$36:$S$370,4,0),0)</f>
        <v>51</v>
      </c>
      <c r="C719" s="407">
        <v>5</v>
      </c>
      <c r="D719" s="117">
        <v>0</v>
      </c>
      <c r="E719" s="123">
        <v>0</v>
      </c>
      <c r="F719" s="122">
        <v>0</v>
      </c>
      <c r="G719" s="123">
        <v>0</v>
      </c>
      <c r="H719" s="122">
        <v>0</v>
      </c>
      <c r="I719" s="123">
        <v>0</v>
      </c>
      <c r="J719" s="122">
        <f>IFERROR(5*B719,0)</f>
        <v>255</v>
      </c>
      <c r="K719" s="123">
        <v>0</v>
      </c>
      <c r="L719" s="123">
        <v>0</v>
      </c>
      <c r="M719" s="122">
        <v>0</v>
      </c>
      <c r="N719" s="123">
        <v>0</v>
      </c>
      <c r="O719" s="122">
        <v>0</v>
      </c>
      <c r="P719" s="123">
        <v>0</v>
      </c>
      <c r="Q719" s="117">
        <v>0</v>
      </c>
      <c r="R719" s="123">
        <v>0</v>
      </c>
      <c r="S719" s="119">
        <v>0</v>
      </c>
      <c r="T719" s="119">
        <v>0</v>
      </c>
      <c r="U719" s="119">
        <v>0</v>
      </c>
      <c r="V719" s="124" t="str">
        <f t="shared" si="39"/>
        <v>Added</v>
      </c>
    </row>
    <row r="720" spans="1:22" hidden="1">
      <c r="A720" s="451" t="s">
        <v>1056</v>
      </c>
      <c r="B720" s="114">
        <f>_xlfn.IFNA(VLOOKUP(Table1[[#This Row],[SKU]],'Kilter Holds'!$P$36:$S$370,4,0),0)</f>
        <v>43</v>
      </c>
      <c r="C720" s="407">
        <v>4</v>
      </c>
      <c r="D720" s="117">
        <v>0</v>
      </c>
      <c r="E720" s="123">
        <v>0</v>
      </c>
      <c r="F720" s="122">
        <v>0</v>
      </c>
      <c r="G720" s="123">
        <v>0</v>
      </c>
      <c r="H720" s="122">
        <v>0</v>
      </c>
      <c r="I720" s="123">
        <f>IFERROR(4*B720,0)</f>
        <v>172</v>
      </c>
      <c r="J720" s="122">
        <v>0</v>
      </c>
      <c r="K720" s="123">
        <v>0</v>
      </c>
      <c r="L720" s="123">
        <v>0</v>
      </c>
      <c r="M720" s="122">
        <v>0</v>
      </c>
      <c r="N720" s="123">
        <v>0</v>
      </c>
      <c r="O720" s="122">
        <v>0</v>
      </c>
      <c r="P720" s="123">
        <v>0</v>
      </c>
      <c r="Q720" s="117">
        <v>0</v>
      </c>
      <c r="R720" s="123">
        <v>0</v>
      </c>
      <c r="S720" s="119">
        <v>0</v>
      </c>
      <c r="T720" s="119">
        <v>0</v>
      </c>
      <c r="U720" s="119">
        <v>0</v>
      </c>
      <c r="V720" s="124" t="str">
        <f t="shared" si="39"/>
        <v>Added</v>
      </c>
    </row>
    <row r="721" spans="1:22" hidden="1">
      <c r="A721" s="451" t="s">
        <v>1831</v>
      </c>
      <c r="B721" s="114">
        <f>_xlfn.IFNA(VLOOKUP(Table1[[#This Row],[SKU]],'Kilter Holds'!$P$36:$S$370,4,0),0)</f>
        <v>49</v>
      </c>
      <c r="C721" s="407">
        <v>5</v>
      </c>
      <c r="D721" s="117">
        <v>0</v>
      </c>
      <c r="E721" s="123">
        <v>0</v>
      </c>
      <c r="F721" s="122">
        <v>0</v>
      </c>
      <c r="G721" s="123">
        <v>0</v>
      </c>
      <c r="H721" s="122">
        <v>0</v>
      </c>
      <c r="I721" s="123">
        <f>IFERROR(5*B721,0)</f>
        <v>245</v>
      </c>
      <c r="J721" s="122">
        <v>0</v>
      </c>
      <c r="K721" s="123">
        <v>0</v>
      </c>
      <c r="L721" s="123">
        <v>0</v>
      </c>
      <c r="M721" s="122">
        <v>0</v>
      </c>
      <c r="N721" s="123">
        <v>0</v>
      </c>
      <c r="O721" s="122">
        <v>0</v>
      </c>
      <c r="P721" s="123">
        <v>0</v>
      </c>
      <c r="Q721" s="117">
        <v>0</v>
      </c>
      <c r="R721" s="123">
        <v>0</v>
      </c>
      <c r="S721" s="119">
        <v>0</v>
      </c>
      <c r="T721" s="119">
        <v>0</v>
      </c>
      <c r="U721" s="119">
        <v>0</v>
      </c>
      <c r="V721" s="124" t="str">
        <f t="shared" si="39"/>
        <v>Added</v>
      </c>
    </row>
    <row r="722" spans="1:22" hidden="1">
      <c r="A722" s="451" t="s">
        <v>1684</v>
      </c>
      <c r="B722" s="114">
        <f>_xlfn.IFNA(VLOOKUP(Table1[[#This Row],[SKU]],'Kilter Holds'!$P$36:$S$370,4,0),0)</f>
        <v>45</v>
      </c>
      <c r="C722" s="407">
        <v>5</v>
      </c>
      <c r="D722" s="117">
        <v>0</v>
      </c>
      <c r="E722" s="123">
        <v>0</v>
      </c>
      <c r="F722" s="122">
        <v>0</v>
      </c>
      <c r="G722" s="123">
        <v>0</v>
      </c>
      <c r="H722" s="122">
        <v>0</v>
      </c>
      <c r="I722" s="123">
        <f>IFERROR(5*B722,0)</f>
        <v>225</v>
      </c>
      <c r="J722" s="122">
        <v>0</v>
      </c>
      <c r="K722" s="123">
        <v>0</v>
      </c>
      <c r="L722" s="123">
        <v>0</v>
      </c>
      <c r="M722" s="122">
        <v>0</v>
      </c>
      <c r="N722" s="123">
        <v>0</v>
      </c>
      <c r="O722" s="122">
        <v>0</v>
      </c>
      <c r="P722" s="123">
        <v>0</v>
      </c>
      <c r="Q722" s="117">
        <v>0</v>
      </c>
      <c r="R722" s="123">
        <v>0</v>
      </c>
      <c r="S722" s="119">
        <v>0</v>
      </c>
      <c r="T722" s="119">
        <v>0</v>
      </c>
      <c r="U722" s="119">
        <v>0</v>
      </c>
      <c r="V722" s="124" t="str">
        <f t="shared" si="39"/>
        <v>Added</v>
      </c>
    </row>
    <row r="723" spans="1:22" hidden="1">
      <c r="A723" s="451" t="s">
        <v>1793</v>
      </c>
      <c r="B723" s="114">
        <f>_xlfn.IFNA(VLOOKUP(Table1[[#This Row],[SKU]],'Kilter Holds'!$P$36:$S$370,4,0),0)</f>
        <v>40</v>
      </c>
      <c r="C723" s="407">
        <v>5</v>
      </c>
      <c r="D723" s="117">
        <v>0</v>
      </c>
      <c r="E723" s="123">
        <v>0</v>
      </c>
      <c r="F723" s="122">
        <v>0</v>
      </c>
      <c r="G723" s="123">
        <v>0</v>
      </c>
      <c r="H723" s="122">
        <v>0</v>
      </c>
      <c r="I723" s="123">
        <f>IFERROR(5*B723,0)</f>
        <v>200</v>
      </c>
      <c r="J723" s="122">
        <v>0</v>
      </c>
      <c r="K723" s="123">
        <v>0</v>
      </c>
      <c r="L723" s="123">
        <v>0</v>
      </c>
      <c r="M723" s="122">
        <v>0</v>
      </c>
      <c r="N723" s="123">
        <v>0</v>
      </c>
      <c r="O723" s="122">
        <v>0</v>
      </c>
      <c r="P723" s="123">
        <v>0</v>
      </c>
      <c r="Q723" s="117">
        <v>0</v>
      </c>
      <c r="R723" s="123">
        <v>0</v>
      </c>
      <c r="S723" s="119">
        <v>0</v>
      </c>
      <c r="T723" s="119">
        <v>0</v>
      </c>
      <c r="U723" s="119">
        <v>0</v>
      </c>
      <c r="V723" s="124" t="str">
        <f t="shared" si="39"/>
        <v>Added</v>
      </c>
    </row>
    <row r="724" spans="1:22" hidden="1">
      <c r="A724" s="451" t="s">
        <v>1824</v>
      </c>
      <c r="B724" s="114">
        <f>_xlfn.IFNA(VLOOKUP(Table1[[#This Row],[SKU]],'Kilter Holds'!$P$36:$S$370,4,0),0)</f>
        <v>47</v>
      </c>
      <c r="C724" s="407">
        <v>5</v>
      </c>
      <c r="D724" s="117">
        <v>0</v>
      </c>
      <c r="E724" s="123">
        <v>0</v>
      </c>
      <c r="F724" s="122">
        <v>0</v>
      </c>
      <c r="G724" s="123">
        <v>0</v>
      </c>
      <c r="H724" s="122">
        <f>IFERROR(5*B724,0)</f>
        <v>235</v>
      </c>
      <c r="I724" s="123">
        <v>0</v>
      </c>
      <c r="J724" s="122">
        <v>0</v>
      </c>
      <c r="K724" s="123">
        <v>0</v>
      </c>
      <c r="L724" s="123">
        <v>0</v>
      </c>
      <c r="M724" s="122">
        <v>0</v>
      </c>
      <c r="N724" s="123">
        <v>0</v>
      </c>
      <c r="O724" s="122">
        <v>0</v>
      </c>
      <c r="P724" s="123">
        <v>0</v>
      </c>
      <c r="Q724" s="117">
        <v>0</v>
      </c>
      <c r="R724" s="123">
        <v>0</v>
      </c>
      <c r="S724" s="119">
        <v>0</v>
      </c>
      <c r="T724" s="119">
        <v>0</v>
      </c>
      <c r="U724" s="119">
        <v>0</v>
      </c>
      <c r="V724" s="124" t="str">
        <f t="shared" si="39"/>
        <v>Added</v>
      </c>
    </row>
    <row r="725" spans="1:22" hidden="1">
      <c r="A725" s="451" t="s">
        <v>1796</v>
      </c>
      <c r="B725" s="114">
        <f>_xlfn.IFNA(VLOOKUP(Table1[[#This Row],[SKU]],'Kilter Holds'!$P$36:$S$370,4,0),0)</f>
        <v>42</v>
      </c>
      <c r="C725" s="407">
        <v>5</v>
      </c>
      <c r="D725" s="117">
        <v>0</v>
      </c>
      <c r="E725" s="123">
        <v>0</v>
      </c>
      <c r="F725" s="122">
        <v>0</v>
      </c>
      <c r="G725" s="123">
        <v>0</v>
      </c>
      <c r="H725" s="122">
        <f>IFERROR(5*B725,0)</f>
        <v>210</v>
      </c>
      <c r="I725" s="123">
        <v>0</v>
      </c>
      <c r="J725" s="122">
        <v>0</v>
      </c>
      <c r="K725" s="123">
        <v>0</v>
      </c>
      <c r="L725" s="123">
        <v>0</v>
      </c>
      <c r="M725" s="122">
        <v>0</v>
      </c>
      <c r="N725" s="123">
        <v>0</v>
      </c>
      <c r="O725" s="122">
        <v>0</v>
      </c>
      <c r="P725" s="123">
        <v>0</v>
      </c>
      <c r="Q725" s="117">
        <v>0</v>
      </c>
      <c r="R725" s="123">
        <v>0</v>
      </c>
      <c r="S725" s="119">
        <v>0</v>
      </c>
      <c r="T725" s="119">
        <v>0</v>
      </c>
      <c r="U725" s="119">
        <v>0</v>
      </c>
      <c r="V725" s="124" t="str">
        <f t="shared" si="39"/>
        <v>Added</v>
      </c>
    </row>
    <row r="726" spans="1:22" hidden="1">
      <c r="A726" s="451" t="s">
        <v>1026</v>
      </c>
      <c r="B726" s="114">
        <f>_xlfn.IFNA(VLOOKUP(Table1[[#This Row],[SKU]],'Kilter Holds'!$P$36:$S$370,4,0),0)</f>
        <v>32</v>
      </c>
      <c r="C726" s="407">
        <v>10</v>
      </c>
      <c r="D726" s="117">
        <v>0</v>
      </c>
      <c r="E726" s="123">
        <v>0</v>
      </c>
      <c r="F726" s="122">
        <v>0</v>
      </c>
      <c r="G726" s="123">
        <f>IFERROR(10*B726,0)</f>
        <v>320</v>
      </c>
      <c r="H726" s="122">
        <v>0</v>
      </c>
      <c r="I726" s="123">
        <v>0</v>
      </c>
      <c r="J726" s="122">
        <v>0</v>
      </c>
      <c r="K726" s="123">
        <v>0</v>
      </c>
      <c r="L726" s="123">
        <v>0</v>
      </c>
      <c r="M726" s="122">
        <v>0</v>
      </c>
      <c r="N726" s="123">
        <v>0</v>
      </c>
      <c r="O726" s="122">
        <v>0</v>
      </c>
      <c r="P726" s="123">
        <v>0</v>
      </c>
      <c r="Q726" s="117">
        <v>0</v>
      </c>
      <c r="R726" s="123">
        <v>0</v>
      </c>
      <c r="S726" s="119">
        <v>0</v>
      </c>
      <c r="T726" s="119">
        <v>0</v>
      </c>
      <c r="U726" s="119">
        <v>0</v>
      </c>
      <c r="V726" s="124" t="str">
        <f t="shared" si="39"/>
        <v>Added</v>
      </c>
    </row>
    <row r="727" spans="1:22" hidden="1">
      <c r="A727" s="451" t="s">
        <v>1679</v>
      </c>
      <c r="B727" s="114">
        <f>_xlfn.IFNA(VLOOKUP(Table1[[#This Row],[SKU]],'Kilter Holds'!$P$36:$S$370,4,0),0)</f>
        <v>29</v>
      </c>
      <c r="C727" s="407">
        <v>10</v>
      </c>
      <c r="D727" s="117">
        <v>0</v>
      </c>
      <c r="E727" s="123">
        <v>0</v>
      </c>
      <c r="F727" s="122">
        <v>0</v>
      </c>
      <c r="G727" s="123">
        <f>IFERROR(10*B727,0)</f>
        <v>290</v>
      </c>
      <c r="H727" s="122">
        <v>0</v>
      </c>
      <c r="I727" s="123">
        <v>0</v>
      </c>
      <c r="J727" s="122">
        <v>0</v>
      </c>
      <c r="K727" s="123">
        <v>0</v>
      </c>
      <c r="L727" s="123">
        <v>0</v>
      </c>
      <c r="M727" s="122">
        <v>0</v>
      </c>
      <c r="N727" s="123">
        <v>0</v>
      </c>
      <c r="O727" s="122">
        <v>0</v>
      </c>
      <c r="P727" s="123">
        <v>0</v>
      </c>
      <c r="Q727" s="117">
        <v>0</v>
      </c>
      <c r="R727" s="123">
        <v>0</v>
      </c>
      <c r="S727" s="119">
        <v>0</v>
      </c>
      <c r="T727" s="119">
        <v>0</v>
      </c>
      <c r="U727" s="119">
        <v>0</v>
      </c>
      <c r="V727" s="124" t="str">
        <f t="shared" si="39"/>
        <v>Added</v>
      </c>
    </row>
    <row r="728" spans="1:22" hidden="1">
      <c r="A728" s="451" t="s">
        <v>1828</v>
      </c>
      <c r="B728" s="114">
        <f>_xlfn.IFNA(VLOOKUP(Table1[[#This Row],[SKU]],'Kilter Holds'!$P$36:$S$370,4,0),0)</f>
        <v>32</v>
      </c>
      <c r="C728" s="407">
        <v>10</v>
      </c>
      <c r="D728" s="117">
        <f>IFERROR(10*B728,0)</f>
        <v>320</v>
      </c>
      <c r="E728" s="123">
        <v>0</v>
      </c>
      <c r="F728" s="122">
        <v>0</v>
      </c>
      <c r="G728" s="123">
        <v>0</v>
      </c>
      <c r="H728" s="122">
        <v>0</v>
      </c>
      <c r="I728" s="123">
        <v>0</v>
      </c>
      <c r="J728" s="122">
        <v>0</v>
      </c>
      <c r="K728" s="123">
        <v>0</v>
      </c>
      <c r="L728" s="123">
        <v>0</v>
      </c>
      <c r="M728" s="122">
        <v>0</v>
      </c>
      <c r="N728" s="123">
        <v>0</v>
      </c>
      <c r="O728" s="122">
        <v>0</v>
      </c>
      <c r="P728" s="123">
        <v>0</v>
      </c>
      <c r="Q728" s="117">
        <v>0</v>
      </c>
      <c r="R728" s="123">
        <v>0</v>
      </c>
      <c r="S728" s="119">
        <v>0</v>
      </c>
      <c r="T728" s="119">
        <v>0</v>
      </c>
      <c r="U728" s="119">
        <v>0</v>
      </c>
      <c r="V728" s="124" t="str">
        <f t="shared" si="39"/>
        <v>Added</v>
      </c>
    </row>
    <row r="729" spans="1:22" hidden="1">
      <c r="A729" s="451" t="s">
        <v>1789</v>
      </c>
      <c r="B729" s="114">
        <f>_xlfn.IFNA(VLOOKUP(Table1[[#This Row],[SKU]],'Kilter Holds'!$P$36:$S$370,4,0),0)</f>
        <v>35</v>
      </c>
      <c r="C729" s="407">
        <v>4</v>
      </c>
      <c r="D729" s="117">
        <v>0</v>
      </c>
      <c r="E729" s="123">
        <v>0</v>
      </c>
      <c r="F729" s="122">
        <v>0</v>
      </c>
      <c r="G729" s="123">
        <v>0</v>
      </c>
      <c r="H729" s="122">
        <v>0</v>
      </c>
      <c r="I729" s="123">
        <v>0</v>
      </c>
      <c r="J729" s="122">
        <v>0</v>
      </c>
      <c r="K729" s="123">
        <v>0</v>
      </c>
      <c r="L729" s="123">
        <v>0</v>
      </c>
      <c r="M729" s="122">
        <v>0</v>
      </c>
      <c r="N729" s="123">
        <v>0</v>
      </c>
      <c r="O729" s="122">
        <v>0</v>
      </c>
      <c r="P729" s="123">
        <v>0</v>
      </c>
      <c r="Q729" s="117">
        <v>0</v>
      </c>
      <c r="R729" s="123">
        <f>IFERROR(16*B729,0)</f>
        <v>560</v>
      </c>
      <c r="S729" s="119">
        <v>0</v>
      </c>
      <c r="T729" s="119">
        <v>0</v>
      </c>
      <c r="U729" s="119">
        <v>0</v>
      </c>
      <c r="V729" s="124" t="str">
        <f t="shared" si="39"/>
        <v>Added</v>
      </c>
    </row>
    <row r="730" spans="1:22" hidden="1">
      <c r="A730" s="451" t="s">
        <v>395</v>
      </c>
      <c r="B730" s="114">
        <f>_xlfn.IFNA(VLOOKUP(Table1[[#This Row],[SKU]],'Kilter Holds'!$P$36:$S$370,4,0),0)</f>
        <v>31</v>
      </c>
      <c r="C730" s="407">
        <v>10</v>
      </c>
      <c r="D730" s="117">
        <v>0</v>
      </c>
      <c r="E730" s="123">
        <v>0</v>
      </c>
      <c r="F730" s="122">
        <v>0</v>
      </c>
      <c r="G730" s="123">
        <v>0</v>
      </c>
      <c r="H730" s="122">
        <v>0</v>
      </c>
      <c r="I730" s="123">
        <v>0</v>
      </c>
      <c r="J730" s="122">
        <v>0</v>
      </c>
      <c r="K730" s="123">
        <v>0</v>
      </c>
      <c r="L730" s="123">
        <v>0</v>
      </c>
      <c r="M730" s="122">
        <v>0</v>
      </c>
      <c r="N730" s="123">
        <v>0</v>
      </c>
      <c r="O730" s="122">
        <v>0</v>
      </c>
      <c r="P730" s="123">
        <v>0</v>
      </c>
      <c r="Q730" s="117">
        <f t="shared" ref="Q730:Q738" si="79">IFERROR(30*B730,0)</f>
        <v>930</v>
      </c>
      <c r="R730" s="123">
        <v>0</v>
      </c>
      <c r="S730" s="119">
        <v>0</v>
      </c>
      <c r="T730" s="119">
        <v>0</v>
      </c>
      <c r="U730" s="119">
        <v>0</v>
      </c>
      <c r="V730" s="124" t="str">
        <f t="shared" si="39"/>
        <v>Added</v>
      </c>
    </row>
    <row r="731" spans="1:22" hidden="1">
      <c r="A731" s="451" t="s">
        <v>539</v>
      </c>
      <c r="B731" s="114">
        <f>_xlfn.IFNA(VLOOKUP(Table1[[#This Row],[SKU]],'Kilter Holds'!$P$36:$S$370,4,0),0)</f>
        <v>27</v>
      </c>
      <c r="C731" s="407">
        <v>10</v>
      </c>
      <c r="D731" s="117">
        <v>0</v>
      </c>
      <c r="E731" s="123">
        <v>0</v>
      </c>
      <c r="F731" s="122">
        <v>0</v>
      </c>
      <c r="G731" s="123">
        <v>0</v>
      </c>
      <c r="H731" s="122">
        <v>0</v>
      </c>
      <c r="I731" s="123">
        <v>0</v>
      </c>
      <c r="J731" s="122">
        <v>0</v>
      </c>
      <c r="K731" s="123">
        <v>0</v>
      </c>
      <c r="L731" s="123">
        <v>0</v>
      </c>
      <c r="M731" s="122">
        <v>0</v>
      </c>
      <c r="N731" s="123">
        <v>0</v>
      </c>
      <c r="O731" s="122">
        <v>0</v>
      </c>
      <c r="P731" s="123">
        <v>0</v>
      </c>
      <c r="Q731" s="117">
        <f t="shared" si="79"/>
        <v>810</v>
      </c>
      <c r="R731" s="123">
        <v>0</v>
      </c>
      <c r="S731" s="119">
        <v>0</v>
      </c>
      <c r="T731" s="119">
        <v>0</v>
      </c>
      <c r="U731" s="119">
        <v>0</v>
      </c>
      <c r="V731" s="124" t="str">
        <f t="shared" si="39"/>
        <v>Added</v>
      </c>
    </row>
    <row r="732" spans="1:22" hidden="1">
      <c r="A732" s="451" t="s">
        <v>396</v>
      </c>
      <c r="B732" s="114">
        <f>_xlfn.IFNA(VLOOKUP(Table1[[#This Row],[SKU]],'Kilter Holds'!$P$36:$S$370,4,0),0)</f>
        <v>20</v>
      </c>
      <c r="C732" s="407">
        <v>10</v>
      </c>
      <c r="D732" s="117">
        <v>0</v>
      </c>
      <c r="E732" s="123">
        <v>0</v>
      </c>
      <c r="F732" s="122">
        <v>0</v>
      </c>
      <c r="G732" s="123">
        <v>0</v>
      </c>
      <c r="H732" s="122">
        <v>0</v>
      </c>
      <c r="I732" s="123">
        <v>0</v>
      </c>
      <c r="J732" s="122">
        <v>0</v>
      </c>
      <c r="K732" s="123">
        <v>0</v>
      </c>
      <c r="L732" s="123">
        <v>0</v>
      </c>
      <c r="M732" s="122">
        <v>0</v>
      </c>
      <c r="N732" s="123">
        <v>0</v>
      </c>
      <c r="O732" s="122">
        <v>0</v>
      </c>
      <c r="P732" s="123">
        <v>0</v>
      </c>
      <c r="Q732" s="117">
        <f t="shared" si="79"/>
        <v>600</v>
      </c>
      <c r="R732" s="123">
        <v>0</v>
      </c>
      <c r="S732" s="119">
        <v>0</v>
      </c>
      <c r="T732" s="119">
        <v>0</v>
      </c>
      <c r="U732" s="119">
        <v>0</v>
      </c>
      <c r="V732" s="124" t="str">
        <f t="shared" si="39"/>
        <v>Added</v>
      </c>
    </row>
    <row r="733" spans="1:22" hidden="1">
      <c r="A733" s="451" t="s">
        <v>541</v>
      </c>
      <c r="B733" s="114">
        <f>_xlfn.IFNA(VLOOKUP(Table1[[#This Row],[SKU]],'Kilter Holds'!$P$36:$S$370,4,0),0)</f>
        <v>26</v>
      </c>
      <c r="C733" s="407">
        <v>10</v>
      </c>
      <c r="D733" s="117">
        <v>0</v>
      </c>
      <c r="E733" s="123">
        <v>0</v>
      </c>
      <c r="F733" s="122">
        <v>0</v>
      </c>
      <c r="G733" s="123">
        <v>0</v>
      </c>
      <c r="H733" s="122">
        <v>0</v>
      </c>
      <c r="I733" s="123">
        <v>0</v>
      </c>
      <c r="J733" s="122">
        <v>0</v>
      </c>
      <c r="K733" s="123">
        <v>0</v>
      </c>
      <c r="L733" s="123">
        <v>0</v>
      </c>
      <c r="M733" s="122">
        <v>0</v>
      </c>
      <c r="N733" s="123">
        <v>0</v>
      </c>
      <c r="O733" s="122">
        <v>0</v>
      </c>
      <c r="P733" s="123">
        <v>0</v>
      </c>
      <c r="Q733" s="117">
        <f t="shared" si="79"/>
        <v>780</v>
      </c>
      <c r="R733" s="123">
        <v>0</v>
      </c>
      <c r="S733" s="119">
        <v>0</v>
      </c>
      <c r="T733" s="119">
        <v>0</v>
      </c>
      <c r="U733" s="119">
        <v>0</v>
      </c>
      <c r="V733" s="124" t="str">
        <f t="shared" si="39"/>
        <v>Added</v>
      </c>
    </row>
    <row r="734" spans="1:22" hidden="1">
      <c r="A734" s="451" t="s">
        <v>544</v>
      </c>
      <c r="B734" s="114">
        <f>_xlfn.IFNA(VLOOKUP(Table1[[#This Row],[SKU]],'Kilter Holds'!$P$36:$S$370,4,0),0)</f>
        <v>26</v>
      </c>
      <c r="C734" s="407">
        <v>10</v>
      </c>
      <c r="D734" s="117">
        <v>0</v>
      </c>
      <c r="E734" s="123">
        <v>0</v>
      </c>
      <c r="F734" s="122">
        <v>0</v>
      </c>
      <c r="G734" s="123">
        <v>0</v>
      </c>
      <c r="H734" s="122">
        <v>0</v>
      </c>
      <c r="I734" s="123">
        <v>0</v>
      </c>
      <c r="J734" s="122">
        <v>0</v>
      </c>
      <c r="K734" s="123">
        <v>0</v>
      </c>
      <c r="L734" s="123">
        <v>0</v>
      </c>
      <c r="M734" s="122">
        <v>0</v>
      </c>
      <c r="N734" s="123">
        <v>0</v>
      </c>
      <c r="O734" s="122">
        <v>0</v>
      </c>
      <c r="P734" s="123">
        <v>0</v>
      </c>
      <c r="Q734" s="117">
        <f t="shared" si="79"/>
        <v>780</v>
      </c>
      <c r="R734" s="123">
        <v>0</v>
      </c>
      <c r="S734" s="119">
        <v>0</v>
      </c>
      <c r="T734" s="119">
        <v>0</v>
      </c>
      <c r="U734" s="119">
        <v>0</v>
      </c>
      <c r="V734" s="124" t="str">
        <f t="shared" si="39"/>
        <v>Added</v>
      </c>
    </row>
    <row r="735" spans="1:22" hidden="1">
      <c r="A735" s="451" t="s">
        <v>397</v>
      </c>
      <c r="B735" s="114">
        <f>_xlfn.IFNA(VLOOKUP(Table1[[#This Row],[SKU]],'Kilter Holds'!$P$36:$S$370,4,0),0)</f>
        <v>29</v>
      </c>
      <c r="C735" s="407">
        <v>10</v>
      </c>
      <c r="D735" s="117">
        <v>0</v>
      </c>
      <c r="E735" s="123">
        <v>0</v>
      </c>
      <c r="F735" s="122">
        <v>0</v>
      </c>
      <c r="G735" s="123">
        <v>0</v>
      </c>
      <c r="H735" s="122">
        <v>0</v>
      </c>
      <c r="I735" s="123">
        <v>0</v>
      </c>
      <c r="J735" s="122">
        <v>0</v>
      </c>
      <c r="K735" s="123">
        <v>0</v>
      </c>
      <c r="L735" s="123">
        <v>0</v>
      </c>
      <c r="M735" s="122">
        <v>0</v>
      </c>
      <c r="N735" s="123">
        <v>0</v>
      </c>
      <c r="O735" s="122">
        <v>0</v>
      </c>
      <c r="P735" s="123">
        <v>0</v>
      </c>
      <c r="Q735" s="117">
        <f t="shared" si="79"/>
        <v>870</v>
      </c>
      <c r="R735" s="123">
        <v>0</v>
      </c>
      <c r="S735" s="119">
        <v>0</v>
      </c>
      <c r="T735" s="119">
        <v>0</v>
      </c>
      <c r="U735" s="119">
        <v>0</v>
      </c>
      <c r="V735" s="124" t="str">
        <f t="shared" si="39"/>
        <v>Added</v>
      </c>
    </row>
    <row r="736" spans="1:22" hidden="1">
      <c r="A736" s="451" t="s">
        <v>398</v>
      </c>
      <c r="B736" s="114">
        <f>_xlfn.IFNA(VLOOKUP(Table1[[#This Row],[SKU]],'Kilter Holds'!$P$36:$S$370,4,0),0)</f>
        <v>34</v>
      </c>
      <c r="C736" s="407">
        <v>10</v>
      </c>
      <c r="D736" s="117">
        <v>0</v>
      </c>
      <c r="E736" s="123">
        <v>0</v>
      </c>
      <c r="F736" s="122">
        <v>0</v>
      </c>
      <c r="G736" s="123">
        <v>0</v>
      </c>
      <c r="H736" s="122">
        <v>0</v>
      </c>
      <c r="I736" s="123">
        <v>0</v>
      </c>
      <c r="J736" s="122">
        <v>0</v>
      </c>
      <c r="K736" s="123">
        <v>0</v>
      </c>
      <c r="L736" s="123">
        <v>0</v>
      </c>
      <c r="M736" s="122">
        <v>0</v>
      </c>
      <c r="N736" s="123">
        <v>0</v>
      </c>
      <c r="O736" s="122">
        <v>0</v>
      </c>
      <c r="P736" s="123">
        <v>0</v>
      </c>
      <c r="Q736" s="117">
        <f t="shared" si="79"/>
        <v>1020</v>
      </c>
      <c r="R736" s="123">
        <v>0</v>
      </c>
      <c r="S736" s="119">
        <v>0</v>
      </c>
      <c r="T736" s="119">
        <v>0</v>
      </c>
      <c r="U736" s="119">
        <v>0</v>
      </c>
      <c r="V736" s="124" t="str">
        <f t="shared" si="39"/>
        <v>Added</v>
      </c>
    </row>
    <row r="737" spans="1:22" hidden="1">
      <c r="A737" s="451" t="s">
        <v>399</v>
      </c>
      <c r="B737" s="114">
        <f>_xlfn.IFNA(VLOOKUP(Table1[[#This Row],[SKU]],'Kilter Holds'!$P$36:$S$370,4,0),0)</f>
        <v>31</v>
      </c>
      <c r="C737" s="407">
        <v>10</v>
      </c>
      <c r="D737" s="117">
        <v>0</v>
      </c>
      <c r="E737" s="123">
        <v>0</v>
      </c>
      <c r="F737" s="122">
        <v>0</v>
      </c>
      <c r="G737" s="123">
        <v>0</v>
      </c>
      <c r="H737" s="122">
        <v>0</v>
      </c>
      <c r="I737" s="123">
        <v>0</v>
      </c>
      <c r="J737" s="122">
        <v>0</v>
      </c>
      <c r="K737" s="123">
        <v>0</v>
      </c>
      <c r="L737" s="123">
        <v>0</v>
      </c>
      <c r="M737" s="122">
        <v>0</v>
      </c>
      <c r="N737" s="123">
        <v>0</v>
      </c>
      <c r="O737" s="122">
        <v>0</v>
      </c>
      <c r="P737" s="123">
        <v>0</v>
      </c>
      <c r="Q737" s="117">
        <f t="shared" si="79"/>
        <v>930</v>
      </c>
      <c r="R737" s="123">
        <v>0</v>
      </c>
      <c r="S737" s="119">
        <v>0</v>
      </c>
      <c r="T737" s="119">
        <v>0</v>
      </c>
      <c r="U737" s="119">
        <v>0</v>
      </c>
      <c r="V737" s="124" t="str">
        <f t="shared" si="39"/>
        <v>Added</v>
      </c>
    </row>
    <row r="738" spans="1:22" hidden="1">
      <c r="A738" s="451" t="s">
        <v>400</v>
      </c>
      <c r="B738" s="114">
        <f>_xlfn.IFNA(VLOOKUP(Table1[[#This Row],[SKU]],'Kilter Holds'!$P$36:$S$370,4,0),0)</f>
        <v>25</v>
      </c>
      <c r="C738" s="407">
        <v>10</v>
      </c>
      <c r="D738" s="117">
        <v>0</v>
      </c>
      <c r="E738" s="123">
        <v>0</v>
      </c>
      <c r="F738" s="122">
        <v>0</v>
      </c>
      <c r="G738" s="123">
        <v>0</v>
      </c>
      <c r="H738" s="122">
        <v>0</v>
      </c>
      <c r="I738" s="123">
        <v>0</v>
      </c>
      <c r="J738" s="122">
        <v>0</v>
      </c>
      <c r="K738" s="123">
        <v>0</v>
      </c>
      <c r="L738" s="123">
        <v>0</v>
      </c>
      <c r="M738" s="122">
        <v>0</v>
      </c>
      <c r="N738" s="123">
        <v>0</v>
      </c>
      <c r="O738" s="122">
        <v>0</v>
      </c>
      <c r="P738" s="123">
        <v>0</v>
      </c>
      <c r="Q738" s="117">
        <f t="shared" si="79"/>
        <v>750</v>
      </c>
      <c r="R738" s="123">
        <v>0</v>
      </c>
      <c r="S738" s="119">
        <v>0</v>
      </c>
      <c r="T738" s="119">
        <v>0</v>
      </c>
      <c r="U738" s="119">
        <v>0</v>
      </c>
      <c r="V738" s="124" t="str">
        <f t="shared" si="39"/>
        <v>Added</v>
      </c>
    </row>
    <row r="739" spans="1:22" hidden="1">
      <c r="A739" s="451" t="s">
        <v>401</v>
      </c>
      <c r="B739" s="114">
        <f>_xlfn.IFNA(VLOOKUP(Table1[[#This Row],[SKU]],'Kilter Holds'!$P$36:$S$370,4,0),0)</f>
        <v>40</v>
      </c>
      <c r="C739" s="407">
        <v>11</v>
      </c>
      <c r="D739" s="117">
        <v>0</v>
      </c>
      <c r="E739" s="123">
        <v>0</v>
      </c>
      <c r="F739" s="122">
        <v>0</v>
      </c>
      <c r="G739" s="123">
        <v>0</v>
      </c>
      <c r="H739" s="122">
        <v>0</v>
      </c>
      <c r="I739" s="123">
        <v>0</v>
      </c>
      <c r="J739" s="122">
        <v>0</v>
      </c>
      <c r="K739" s="123">
        <v>0</v>
      </c>
      <c r="L739" s="123">
        <v>0</v>
      </c>
      <c r="M739" s="122">
        <v>0</v>
      </c>
      <c r="N739" s="123">
        <v>0</v>
      </c>
      <c r="O739" s="122">
        <v>0</v>
      </c>
      <c r="P739" s="123">
        <v>0</v>
      </c>
      <c r="Q739" s="117">
        <f>IFERROR(33*B739,0)</f>
        <v>1320</v>
      </c>
      <c r="R739" s="123">
        <v>0</v>
      </c>
      <c r="S739" s="119">
        <v>0</v>
      </c>
      <c r="T739" s="119">
        <v>0</v>
      </c>
      <c r="U739" s="119">
        <v>0</v>
      </c>
      <c r="V739" s="124" t="str">
        <f t="shared" si="39"/>
        <v>Added</v>
      </c>
    </row>
    <row r="740" spans="1:22" hidden="1">
      <c r="A740" s="451" t="s">
        <v>1718</v>
      </c>
      <c r="B740" s="114">
        <f>_xlfn.IFNA(VLOOKUP(Table1[[#This Row],[SKU]],'Kilter Holds'!$P$36:$S$370,4,0),0)</f>
        <v>26</v>
      </c>
      <c r="C740" s="407">
        <v>10</v>
      </c>
      <c r="D740" s="117">
        <v>0</v>
      </c>
      <c r="E740" s="123">
        <v>0</v>
      </c>
      <c r="F740" s="122">
        <v>0</v>
      </c>
      <c r="G740" s="123">
        <v>0</v>
      </c>
      <c r="H740" s="122">
        <v>0</v>
      </c>
      <c r="I740" s="123">
        <v>0</v>
      </c>
      <c r="J740" s="122">
        <v>0</v>
      </c>
      <c r="K740" s="123">
        <v>0</v>
      </c>
      <c r="L740" s="123">
        <v>0</v>
      </c>
      <c r="M740" s="122">
        <v>0</v>
      </c>
      <c r="N740" s="123">
        <v>0</v>
      </c>
      <c r="O740" s="122">
        <v>0</v>
      </c>
      <c r="P740" s="123">
        <v>0</v>
      </c>
      <c r="Q740" s="117">
        <f>IFERROR(30*B740,0)</f>
        <v>780</v>
      </c>
      <c r="R740" s="123">
        <v>0</v>
      </c>
      <c r="S740" s="119">
        <v>0</v>
      </c>
      <c r="T740" s="119">
        <v>0</v>
      </c>
      <c r="U740" s="119">
        <v>0</v>
      </c>
      <c r="V740" s="124" t="str">
        <f t="shared" si="39"/>
        <v>Added</v>
      </c>
    </row>
    <row r="741" spans="1:22" hidden="1">
      <c r="A741" s="451" t="s">
        <v>542</v>
      </c>
      <c r="B741" s="114">
        <f>_xlfn.IFNA(VLOOKUP(Table1[[#This Row],[SKU]],'Kilter Holds'!$P$36:$S$370,4,0),0)</f>
        <v>24</v>
      </c>
      <c r="C741" s="407">
        <v>7</v>
      </c>
      <c r="D741" s="117">
        <v>0</v>
      </c>
      <c r="E741" s="123">
        <v>0</v>
      </c>
      <c r="F741" s="122">
        <v>0</v>
      </c>
      <c r="G741" s="123">
        <v>0</v>
      </c>
      <c r="H741" s="122">
        <v>0</v>
      </c>
      <c r="I741" s="123">
        <v>0</v>
      </c>
      <c r="J741" s="122">
        <v>0</v>
      </c>
      <c r="K741" s="123">
        <v>0</v>
      </c>
      <c r="L741" s="123">
        <v>0</v>
      </c>
      <c r="M741" s="122">
        <v>0</v>
      </c>
      <c r="N741" s="123">
        <v>0</v>
      </c>
      <c r="O741" s="122">
        <v>0</v>
      </c>
      <c r="P741" s="123">
        <v>0</v>
      </c>
      <c r="Q741" s="117">
        <f>IFERROR(21*B741,0)</f>
        <v>504</v>
      </c>
      <c r="R741" s="123">
        <v>0</v>
      </c>
      <c r="S741" s="119">
        <v>0</v>
      </c>
      <c r="T741" s="119">
        <v>0</v>
      </c>
      <c r="U741" s="119">
        <v>0</v>
      </c>
      <c r="V741" s="124" t="str">
        <f t="shared" ref="V741:V804" si="80">IF(B741&gt;0,"Added"," ")</f>
        <v>Added</v>
      </c>
    </row>
    <row r="742" spans="1:22" hidden="1">
      <c r="A742" s="451" t="s">
        <v>543</v>
      </c>
      <c r="B742" s="114">
        <f>_xlfn.IFNA(VLOOKUP(Table1[[#This Row],[SKU]],'Kilter Holds'!$P$36:$S$370,4,0),0)</f>
        <v>20</v>
      </c>
      <c r="C742" s="407">
        <v>5</v>
      </c>
      <c r="D742" s="117">
        <v>0</v>
      </c>
      <c r="E742" s="123">
        <v>0</v>
      </c>
      <c r="F742" s="122">
        <v>0</v>
      </c>
      <c r="G742" s="123">
        <v>0</v>
      </c>
      <c r="H742" s="122">
        <v>0</v>
      </c>
      <c r="I742" s="123">
        <v>0</v>
      </c>
      <c r="J742" s="122">
        <v>0</v>
      </c>
      <c r="K742" s="123">
        <v>0</v>
      </c>
      <c r="L742" s="123">
        <v>0</v>
      </c>
      <c r="M742" s="122">
        <v>0</v>
      </c>
      <c r="N742" s="123">
        <v>0</v>
      </c>
      <c r="O742" s="122">
        <v>0</v>
      </c>
      <c r="P742" s="123">
        <v>0</v>
      </c>
      <c r="Q742" s="117">
        <f>IFERROR(15*B742,0)</f>
        <v>300</v>
      </c>
      <c r="R742" s="123">
        <v>0</v>
      </c>
      <c r="S742" s="119">
        <v>0</v>
      </c>
      <c r="T742" s="119">
        <v>0</v>
      </c>
      <c r="U742" s="119">
        <v>0</v>
      </c>
      <c r="V742" s="124" t="str">
        <f t="shared" si="80"/>
        <v>Added</v>
      </c>
    </row>
    <row r="743" spans="1:22" hidden="1">
      <c r="A743" s="451" t="s">
        <v>431</v>
      </c>
      <c r="B743" s="114">
        <f>_xlfn.IFNA(VLOOKUP(Table1[[#This Row],[SKU]],'Kilter Holds'!$P$36:$S$370,4,0),0)</f>
        <v>42</v>
      </c>
      <c r="C743" s="407">
        <v>3</v>
      </c>
      <c r="D743" s="117">
        <v>0</v>
      </c>
      <c r="E743" s="123">
        <v>0</v>
      </c>
      <c r="F743" s="122">
        <v>0</v>
      </c>
      <c r="G743" s="123">
        <v>0</v>
      </c>
      <c r="H743" s="122">
        <v>0</v>
      </c>
      <c r="I743" s="123">
        <v>0</v>
      </c>
      <c r="J743" s="122">
        <v>0</v>
      </c>
      <c r="K743" s="123">
        <f>IFERROR(3*B743,0)</f>
        <v>126</v>
      </c>
      <c r="L743" s="123">
        <v>0</v>
      </c>
      <c r="M743" s="122">
        <v>0</v>
      </c>
      <c r="N743" s="123">
        <v>0</v>
      </c>
      <c r="O743" s="122">
        <v>0</v>
      </c>
      <c r="P743" s="123">
        <v>0</v>
      </c>
      <c r="Q743" s="117">
        <v>0</v>
      </c>
      <c r="R743" s="123">
        <v>0</v>
      </c>
      <c r="S743" s="119">
        <v>0</v>
      </c>
      <c r="T743" s="119">
        <v>0</v>
      </c>
      <c r="U743" s="119">
        <v>0</v>
      </c>
      <c r="V743" s="124" t="str">
        <f t="shared" si="80"/>
        <v>Added</v>
      </c>
    </row>
    <row r="744" spans="1:22" hidden="1">
      <c r="A744" s="451" t="s">
        <v>1084</v>
      </c>
      <c r="B744" s="114">
        <f>_xlfn.IFNA(VLOOKUP(Table1[[#This Row],[SKU]],'Kilter Holds'!$P$36:$S$370,4,0),0)</f>
        <v>43</v>
      </c>
      <c r="C744" s="407">
        <v>3</v>
      </c>
      <c r="D744" s="117">
        <v>0</v>
      </c>
      <c r="E744" s="123">
        <v>0</v>
      </c>
      <c r="F744" s="122">
        <v>0</v>
      </c>
      <c r="G744" s="123">
        <v>0</v>
      </c>
      <c r="H744" s="122">
        <v>0</v>
      </c>
      <c r="I744" s="123">
        <v>0</v>
      </c>
      <c r="J744" s="122">
        <v>0</v>
      </c>
      <c r="K744" s="123">
        <f>IFERROR(3*B744,0)</f>
        <v>129</v>
      </c>
      <c r="L744" s="123">
        <v>0</v>
      </c>
      <c r="M744" s="122">
        <v>0</v>
      </c>
      <c r="N744" s="123">
        <v>0</v>
      </c>
      <c r="O744" s="122">
        <v>0</v>
      </c>
      <c r="P744" s="123">
        <v>0</v>
      </c>
      <c r="Q744" s="117">
        <v>0</v>
      </c>
      <c r="R744" s="123">
        <v>0</v>
      </c>
      <c r="S744" s="119">
        <v>0</v>
      </c>
      <c r="T744" s="119">
        <v>0</v>
      </c>
      <c r="U744" s="119">
        <v>0</v>
      </c>
      <c r="V744" s="124" t="str">
        <f t="shared" si="80"/>
        <v>Added</v>
      </c>
    </row>
    <row r="745" spans="1:22" hidden="1">
      <c r="A745" s="451" t="s">
        <v>432</v>
      </c>
      <c r="B745" s="114">
        <f>_xlfn.IFNA(VLOOKUP(Table1[[#This Row],[SKU]],'Kilter Holds'!$P$36:$S$370,4,0),0)</f>
        <v>22</v>
      </c>
      <c r="C745" s="407">
        <v>5</v>
      </c>
      <c r="D745" s="117">
        <v>0</v>
      </c>
      <c r="E745" s="123">
        <v>0</v>
      </c>
      <c r="F745" s="122">
        <v>0</v>
      </c>
      <c r="G745" s="123">
        <v>0</v>
      </c>
      <c r="H745" s="122">
        <v>0</v>
      </c>
      <c r="I745" s="123">
        <v>0</v>
      </c>
      <c r="J745" s="122">
        <f>IFERROR(5*B745,0)</f>
        <v>110</v>
      </c>
      <c r="K745" s="123">
        <v>0</v>
      </c>
      <c r="L745" s="123">
        <v>0</v>
      </c>
      <c r="M745" s="122">
        <v>0</v>
      </c>
      <c r="N745" s="123">
        <v>0</v>
      </c>
      <c r="O745" s="122">
        <v>0</v>
      </c>
      <c r="P745" s="123">
        <v>0</v>
      </c>
      <c r="Q745" s="117">
        <v>0</v>
      </c>
      <c r="R745" s="123">
        <v>0</v>
      </c>
      <c r="S745" s="119">
        <v>0</v>
      </c>
      <c r="T745" s="119">
        <v>0</v>
      </c>
      <c r="U745" s="119">
        <v>0</v>
      </c>
      <c r="V745" s="124" t="str">
        <f t="shared" si="80"/>
        <v>Added</v>
      </c>
    </row>
    <row r="746" spans="1:22" hidden="1">
      <c r="A746" s="451" t="s">
        <v>1701</v>
      </c>
      <c r="B746" s="114">
        <f>_xlfn.IFNA(VLOOKUP(Table1[[#This Row],[SKU]],'Kilter Holds'!$P$36:$S$370,4,0),0)</f>
        <v>42</v>
      </c>
      <c r="C746" s="407">
        <v>3</v>
      </c>
      <c r="D746" s="117">
        <v>0</v>
      </c>
      <c r="E746" s="123">
        <v>0</v>
      </c>
      <c r="F746" s="122">
        <v>0</v>
      </c>
      <c r="G746" s="123">
        <v>0</v>
      </c>
      <c r="H746" s="122">
        <v>0</v>
      </c>
      <c r="I746" s="123">
        <v>0</v>
      </c>
      <c r="J746" s="122">
        <f>IFERROR(3*B746,0)</f>
        <v>126</v>
      </c>
      <c r="K746" s="123">
        <v>0</v>
      </c>
      <c r="L746" s="123">
        <v>0</v>
      </c>
      <c r="M746" s="122">
        <v>0</v>
      </c>
      <c r="N746" s="123">
        <v>0</v>
      </c>
      <c r="O746" s="122">
        <v>0</v>
      </c>
      <c r="P746" s="123">
        <v>0</v>
      </c>
      <c r="Q746" s="117">
        <v>0</v>
      </c>
      <c r="R746" s="123">
        <v>0</v>
      </c>
      <c r="S746" s="119">
        <v>0</v>
      </c>
      <c r="T746" s="119">
        <v>0</v>
      </c>
      <c r="U746" s="119">
        <v>0</v>
      </c>
      <c r="V746" s="124" t="str">
        <f t="shared" si="80"/>
        <v>Added</v>
      </c>
    </row>
    <row r="747" spans="1:22" hidden="1">
      <c r="A747" s="451" t="s">
        <v>1058</v>
      </c>
      <c r="B747" s="114">
        <f>_xlfn.IFNA(VLOOKUP(Table1[[#This Row],[SKU]],'Kilter Holds'!$P$36:$S$370,4,0),0)</f>
        <v>22</v>
      </c>
      <c r="C747" s="407">
        <v>5</v>
      </c>
      <c r="D747" s="117">
        <v>0</v>
      </c>
      <c r="E747" s="123">
        <v>0</v>
      </c>
      <c r="F747" s="122">
        <v>0</v>
      </c>
      <c r="G747" s="123">
        <v>0</v>
      </c>
      <c r="H747" s="122">
        <v>0</v>
      </c>
      <c r="I747" s="123">
        <f>IFERROR(5*B747,0)</f>
        <v>110</v>
      </c>
      <c r="J747" s="122">
        <v>0</v>
      </c>
      <c r="K747" s="123">
        <v>0</v>
      </c>
      <c r="L747" s="123">
        <v>0</v>
      </c>
      <c r="M747" s="122">
        <v>0</v>
      </c>
      <c r="N747" s="123">
        <v>0</v>
      </c>
      <c r="O747" s="122">
        <v>0</v>
      </c>
      <c r="P747" s="123">
        <v>0</v>
      </c>
      <c r="Q747" s="117">
        <v>0</v>
      </c>
      <c r="R747" s="123">
        <v>0</v>
      </c>
      <c r="S747" s="119">
        <v>0</v>
      </c>
      <c r="T747" s="119">
        <v>0</v>
      </c>
      <c r="U747" s="119">
        <v>0</v>
      </c>
      <c r="V747" s="124" t="str">
        <f t="shared" si="80"/>
        <v>Added</v>
      </c>
    </row>
    <row r="748" spans="1:22" hidden="1">
      <c r="A748" s="451" t="s">
        <v>1838</v>
      </c>
      <c r="B748" s="114">
        <f>_xlfn.IFNA(VLOOKUP(Table1[[#This Row],[SKU]],'Kilter Holds'!$P$36:$S$370,4,0),0)</f>
        <v>34</v>
      </c>
      <c r="C748" s="407">
        <v>5</v>
      </c>
      <c r="D748" s="117">
        <v>0</v>
      </c>
      <c r="E748" s="123">
        <v>0</v>
      </c>
      <c r="F748" s="122">
        <v>0</v>
      </c>
      <c r="G748" s="123">
        <v>0</v>
      </c>
      <c r="H748" s="122">
        <v>0</v>
      </c>
      <c r="I748" s="123">
        <f>IFERROR(5*B748,0)</f>
        <v>170</v>
      </c>
      <c r="J748" s="122">
        <v>0</v>
      </c>
      <c r="K748" s="123">
        <v>0</v>
      </c>
      <c r="L748" s="123">
        <v>0</v>
      </c>
      <c r="M748" s="122">
        <v>0</v>
      </c>
      <c r="N748" s="123">
        <v>0</v>
      </c>
      <c r="O748" s="122">
        <v>0</v>
      </c>
      <c r="P748" s="123">
        <v>0</v>
      </c>
      <c r="Q748" s="117">
        <v>0</v>
      </c>
      <c r="R748" s="123">
        <v>0</v>
      </c>
      <c r="S748" s="119">
        <v>0</v>
      </c>
      <c r="T748" s="119">
        <v>0</v>
      </c>
      <c r="U748" s="119">
        <v>0</v>
      </c>
      <c r="V748" s="124" t="str">
        <f t="shared" si="80"/>
        <v>Added</v>
      </c>
    </row>
    <row r="749" spans="1:22" hidden="1">
      <c r="A749" s="451" t="s">
        <v>433</v>
      </c>
      <c r="B749" s="114">
        <f>_xlfn.IFNA(VLOOKUP(Table1[[#This Row],[SKU]],'Kilter Holds'!$P$36:$S$370,4,0),0)</f>
        <v>12</v>
      </c>
      <c r="C749" s="407">
        <v>4</v>
      </c>
      <c r="D749" s="117">
        <v>0</v>
      </c>
      <c r="E749" s="123">
        <v>0</v>
      </c>
      <c r="F749" s="122">
        <v>0</v>
      </c>
      <c r="G749" s="123">
        <v>0</v>
      </c>
      <c r="H749" s="122">
        <v>0</v>
      </c>
      <c r="I749" s="123">
        <v>0</v>
      </c>
      <c r="J749" s="122">
        <v>0</v>
      </c>
      <c r="K749" s="123">
        <v>0</v>
      </c>
      <c r="L749" s="123">
        <v>0</v>
      </c>
      <c r="M749" s="122">
        <v>0</v>
      </c>
      <c r="N749" s="123">
        <v>0</v>
      </c>
      <c r="O749" s="122">
        <v>0</v>
      </c>
      <c r="P749" s="123">
        <v>0</v>
      </c>
      <c r="Q749" s="117">
        <v>0</v>
      </c>
      <c r="R749" s="123">
        <v>0</v>
      </c>
      <c r="S749" s="119">
        <f>IFERROR(16*B748,0)</f>
        <v>544</v>
      </c>
      <c r="T749" s="119">
        <v>0</v>
      </c>
      <c r="U749" s="119">
        <v>0</v>
      </c>
      <c r="V749" s="124" t="str">
        <f t="shared" si="80"/>
        <v>Added</v>
      </c>
    </row>
    <row r="750" spans="1:22" hidden="1">
      <c r="A750" s="451" t="s">
        <v>1052</v>
      </c>
      <c r="B750" s="114">
        <f>_xlfn.IFNA(VLOOKUP(Table1[[#This Row],[SKU]],'Kilter Holds'!$P$36:$S$370,4,0),0)</f>
        <v>5</v>
      </c>
      <c r="C750" s="407">
        <v>3</v>
      </c>
      <c r="D750" s="117">
        <v>0</v>
      </c>
      <c r="E750" s="123">
        <v>0</v>
      </c>
      <c r="F750" s="122">
        <v>0</v>
      </c>
      <c r="G750" s="123">
        <v>0</v>
      </c>
      <c r="H750" s="122">
        <v>0</v>
      </c>
      <c r="I750" s="123">
        <v>0</v>
      </c>
      <c r="J750" s="122">
        <v>0</v>
      </c>
      <c r="K750" s="123">
        <v>0</v>
      </c>
      <c r="L750" s="123">
        <v>0</v>
      </c>
      <c r="M750" s="122">
        <v>0</v>
      </c>
      <c r="N750" s="123">
        <v>0</v>
      </c>
      <c r="O750" s="122">
        <v>0</v>
      </c>
      <c r="P750" s="123">
        <v>0</v>
      </c>
      <c r="Q750" s="117">
        <v>0</v>
      </c>
      <c r="R750" s="123">
        <v>0</v>
      </c>
      <c r="S750" s="119">
        <f>IFERROR(12*B749,0)</f>
        <v>144</v>
      </c>
      <c r="T750" s="119">
        <v>0</v>
      </c>
      <c r="U750" s="119">
        <v>0</v>
      </c>
      <c r="V750" s="124" t="str">
        <f t="shared" si="80"/>
        <v>Added</v>
      </c>
    </row>
    <row r="751" spans="1:22" hidden="1">
      <c r="A751" s="451" t="s">
        <v>1691</v>
      </c>
      <c r="B751" s="114">
        <f>_xlfn.IFNA(VLOOKUP(Table1[[#This Row],[SKU]],'Kilter Holds'!$P$36:$S$370,4,0),0)</f>
        <v>5</v>
      </c>
      <c r="C751" s="407">
        <v>3</v>
      </c>
      <c r="D751" s="117">
        <v>0</v>
      </c>
      <c r="E751" s="123">
        <v>0</v>
      </c>
      <c r="F751" s="122">
        <v>0</v>
      </c>
      <c r="G751" s="123">
        <v>0</v>
      </c>
      <c r="H751" s="122">
        <v>0</v>
      </c>
      <c r="I751" s="123">
        <v>0</v>
      </c>
      <c r="J751" s="122">
        <v>0</v>
      </c>
      <c r="K751" s="123">
        <v>0</v>
      </c>
      <c r="L751" s="123">
        <v>0</v>
      </c>
      <c r="M751" s="122">
        <v>0</v>
      </c>
      <c r="N751" s="123">
        <v>0</v>
      </c>
      <c r="O751" s="122">
        <v>0</v>
      </c>
      <c r="P751" s="123">
        <v>0</v>
      </c>
      <c r="Q751" s="117">
        <v>0</v>
      </c>
      <c r="R751" s="123">
        <v>0</v>
      </c>
      <c r="S751" s="119">
        <f>IFERROR(12*B750,0)</f>
        <v>60</v>
      </c>
      <c r="T751" s="119">
        <v>0</v>
      </c>
      <c r="U751" s="119">
        <v>0</v>
      </c>
      <c r="V751" s="124" t="str">
        <f t="shared" si="80"/>
        <v>Added</v>
      </c>
    </row>
    <row r="752" spans="1:22" hidden="1">
      <c r="A752" s="451" t="s">
        <v>545</v>
      </c>
      <c r="B752" s="114">
        <f>_xlfn.IFNA(VLOOKUP(Table1[[#This Row],[SKU]],'Kilter Holds'!$P$36:$S$370,4,0),0)</f>
        <v>28</v>
      </c>
      <c r="C752" s="407">
        <v>10</v>
      </c>
      <c r="D752" s="117">
        <v>0</v>
      </c>
      <c r="E752" s="123">
        <v>0</v>
      </c>
      <c r="F752" s="122">
        <v>0</v>
      </c>
      <c r="G752" s="123">
        <v>0</v>
      </c>
      <c r="H752" s="122">
        <v>0</v>
      </c>
      <c r="I752" s="123">
        <v>0</v>
      </c>
      <c r="J752" s="122">
        <v>0</v>
      </c>
      <c r="K752" s="123">
        <v>0</v>
      </c>
      <c r="L752" s="123">
        <v>0</v>
      </c>
      <c r="M752" s="122">
        <v>0</v>
      </c>
      <c r="N752" s="123">
        <v>0</v>
      </c>
      <c r="O752" s="122">
        <v>0</v>
      </c>
      <c r="P752" s="123">
        <v>0</v>
      </c>
      <c r="Q752" s="117">
        <f>IFERROR(30*B752,0)</f>
        <v>840</v>
      </c>
      <c r="R752" s="123">
        <v>0</v>
      </c>
      <c r="S752" s="119">
        <v>0</v>
      </c>
      <c r="T752" s="119">
        <v>0</v>
      </c>
      <c r="U752" s="119">
        <v>0</v>
      </c>
      <c r="V752" s="124" t="str">
        <f t="shared" si="80"/>
        <v>Added</v>
      </c>
    </row>
    <row r="753" spans="1:22" hidden="1">
      <c r="A753" s="451" t="s">
        <v>434</v>
      </c>
      <c r="B753" s="114">
        <f>_xlfn.IFNA(VLOOKUP(Table1[[#This Row],[SKU]],'Kilter Holds'!$P$36:$S$370,4,0),0)</f>
        <v>39</v>
      </c>
      <c r="C753" s="407">
        <v>3</v>
      </c>
      <c r="D753" s="117">
        <v>0</v>
      </c>
      <c r="E753" s="123">
        <v>0</v>
      </c>
      <c r="F753" s="122">
        <v>0</v>
      </c>
      <c r="G753" s="123">
        <v>0</v>
      </c>
      <c r="H753" s="122">
        <v>0</v>
      </c>
      <c r="I753" s="123">
        <v>0</v>
      </c>
      <c r="J753" s="122">
        <f>IFERROR(3*B753,0)</f>
        <v>117</v>
      </c>
      <c r="K753" s="123">
        <v>0</v>
      </c>
      <c r="L753" s="123">
        <v>0</v>
      </c>
      <c r="M753" s="122">
        <v>0</v>
      </c>
      <c r="N753" s="123">
        <v>0</v>
      </c>
      <c r="O753" s="122">
        <v>0</v>
      </c>
      <c r="P753" s="123">
        <v>0</v>
      </c>
      <c r="Q753" s="117">
        <v>0</v>
      </c>
      <c r="R753" s="123">
        <v>0</v>
      </c>
      <c r="S753" s="119">
        <v>0</v>
      </c>
      <c r="T753" s="119">
        <v>0</v>
      </c>
      <c r="U753" s="119">
        <v>0</v>
      </c>
      <c r="V753" s="124" t="str">
        <f t="shared" si="80"/>
        <v>Added</v>
      </c>
    </row>
    <row r="754" spans="1:22" hidden="1">
      <c r="A754" s="451" t="s">
        <v>435</v>
      </c>
      <c r="B754" s="114">
        <f>_xlfn.IFNA(VLOOKUP(Table1[[#This Row],[SKU]],'Kilter Holds'!$P$36:$S$370,4,0),0)</f>
        <v>35</v>
      </c>
      <c r="C754" s="407">
        <v>4</v>
      </c>
      <c r="D754" s="117">
        <v>0</v>
      </c>
      <c r="E754" s="123">
        <v>0</v>
      </c>
      <c r="F754" s="122">
        <v>0</v>
      </c>
      <c r="G754" s="123">
        <v>0</v>
      </c>
      <c r="H754" s="122">
        <v>0</v>
      </c>
      <c r="I754" s="123">
        <f>IFERROR(4*B754,0)</f>
        <v>140</v>
      </c>
      <c r="J754" s="122">
        <v>0</v>
      </c>
      <c r="K754" s="123">
        <v>0</v>
      </c>
      <c r="L754" s="123">
        <v>0</v>
      </c>
      <c r="M754" s="122">
        <v>0</v>
      </c>
      <c r="N754" s="123">
        <v>0</v>
      </c>
      <c r="O754" s="122">
        <v>0</v>
      </c>
      <c r="P754" s="123">
        <v>0</v>
      </c>
      <c r="Q754" s="117">
        <v>0</v>
      </c>
      <c r="R754" s="123">
        <v>0</v>
      </c>
      <c r="S754" s="119">
        <v>0</v>
      </c>
      <c r="T754" s="119">
        <v>0</v>
      </c>
      <c r="U754" s="119">
        <v>0</v>
      </c>
      <c r="V754" s="124" t="str">
        <f t="shared" si="80"/>
        <v>Added</v>
      </c>
    </row>
    <row r="755" spans="1:22" hidden="1">
      <c r="A755" s="451" t="s">
        <v>1898</v>
      </c>
      <c r="B755" s="114">
        <f>_xlfn.IFNA(VLOOKUP(Table1[[#This Row],[SKU]],'Kilter Holds'!$P$36:$S$370,4,0),0)</f>
        <v>55</v>
      </c>
      <c r="C755" s="407">
        <v>3</v>
      </c>
      <c r="D755" s="117">
        <v>0</v>
      </c>
      <c r="E755" s="123">
        <v>0</v>
      </c>
      <c r="F755" s="122">
        <v>0</v>
      </c>
      <c r="G755" s="123">
        <v>0</v>
      </c>
      <c r="H755" s="122">
        <v>0</v>
      </c>
      <c r="I755" s="123">
        <v>0</v>
      </c>
      <c r="J755" s="122">
        <v>0</v>
      </c>
      <c r="K755" s="123">
        <f>IFERROR(3*B755,0)</f>
        <v>165</v>
      </c>
      <c r="L755" s="123">
        <v>0</v>
      </c>
      <c r="M755" s="122">
        <v>0</v>
      </c>
      <c r="N755" s="123">
        <v>0</v>
      </c>
      <c r="O755" s="122">
        <v>0</v>
      </c>
      <c r="P755" s="123">
        <v>0</v>
      </c>
      <c r="Q755" s="117">
        <v>0</v>
      </c>
      <c r="R755" s="123">
        <v>0</v>
      </c>
      <c r="S755" s="119">
        <v>0</v>
      </c>
      <c r="T755" s="119">
        <v>0</v>
      </c>
      <c r="U755" s="119">
        <v>0</v>
      </c>
      <c r="V755" s="124" t="str">
        <f t="shared" si="80"/>
        <v>Added</v>
      </c>
    </row>
    <row r="756" spans="1:22" hidden="1">
      <c r="A756" s="451" t="s">
        <v>402</v>
      </c>
      <c r="B756" s="114">
        <f>_xlfn.IFNA(VLOOKUP(Table1[[#This Row],[SKU]],'Kilter Holds'!$P$36:$S$370,4,0),0)</f>
        <v>46</v>
      </c>
      <c r="C756" s="407">
        <v>5</v>
      </c>
      <c r="D756" s="117">
        <v>0</v>
      </c>
      <c r="E756" s="123">
        <v>0</v>
      </c>
      <c r="F756" s="122">
        <v>0</v>
      </c>
      <c r="G756" s="123">
        <v>0</v>
      </c>
      <c r="H756" s="122">
        <v>0</v>
      </c>
      <c r="I756" s="123">
        <v>0</v>
      </c>
      <c r="J756" s="122">
        <f>IFERROR(5*B756,0)</f>
        <v>230</v>
      </c>
      <c r="K756" s="123">
        <v>0</v>
      </c>
      <c r="L756" s="123">
        <v>0</v>
      </c>
      <c r="M756" s="122">
        <v>0</v>
      </c>
      <c r="N756" s="123">
        <v>0</v>
      </c>
      <c r="O756" s="122">
        <v>0</v>
      </c>
      <c r="P756" s="123">
        <v>0</v>
      </c>
      <c r="Q756" s="117">
        <v>0</v>
      </c>
      <c r="R756" s="123">
        <v>0</v>
      </c>
      <c r="S756" s="119">
        <v>0</v>
      </c>
      <c r="T756" s="119">
        <v>0</v>
      </c>
      <c r="U756" s="119">
        <v>0</v>
      </c>
      <c r="V756" s="124" t="str">
        <f t="shared" si="80"/>
        <v>Added</v>
      </c>
    </row>
    <row r="757" spans="1:22" hidden="1">
      <c r="A757" s="451" t="s">
        <v>403</v>
      </c>
      <c r="B757" s="114">
        <f>_xlfn.IFNA(VLOOKUP(Table1[[#This Row],[SKU]],'Kilter Holds'!$P$36:$S$370,4,0),0)</f>
        <v>29</v>
      </c>
      <c r="C757" s="407">
        <v>5</v>
      </c>
      <c r="D757" s="117">
        <v>0</v>
      </c>
      <c r="E757" s="123">
        <v>0</v>
      </c>
      <c r="F757" s="122">
        <v>0</v>
      </c>
      <c r="G757" s="123">
        <v>0</v>
      </c>
      <c r="H757" s="122">
        <v>0</v>
      </c>
      <c r="I757" s="123">
        <v>0</v>
      </c>
      <c r="J757" s="122">
        <f>IFERROR(5*B757,0)</f>
        <v>145</v>
      </c>
      <c r="K757" s="123">
        <v>0</v>
      </c>
      <c r="L757" s="123">
        <v>0</v>
      </c>
      <c r="M757" s="122">
        <v>0</v>
      </c>
      <c r="N757" s="123">
        <v>0</v>
      </c>
      <c r="O757" s="122">
        <v>0</v>
      </c>
      <c r="P757" s="123">
        <v>0</v>
      </c>
      <c r="Q757" s="117">
        <v>0</v>
      </c>
      <c r="R757" s="123">
        <v>0</v>
      </c>
      <c r="S757" s="119">
        <v>0</v>
      </c>
      <c r="T757" s="119">
        <v>0</v>
      </c>
      <c r="U757" s="119">
        <v>0</v>
      </c>
      <c r="V757" s="124" t="str">
        <f t="shared" si="80"/>
        <v>Added</v>
      </c>
    </row>
    <row r="758" spans="1:22" hidden="1">
      <c r="A758" s="451" t="s">
        <v>404</v>
      </c>
      <c r="B758" s="114">
        <f>_xlfn.IFNA(VLOOKUP(Table1[[#This Row],[SKU]],'Kilter Holds'!$P$36:$S$370,4,0),0)</f>
        <v>38</v>
      </c>
      <c r="C758" s="407">
        <v>5</v>
      </c>
      <c r="D758" s="117">
        <v>0</v>
      </c>
      <c r="E758" s="123">
        <v>0</v>
      </c>
      <c r="F758" s="122">
        <v>0</v>
      </c>
      <c r="G758" s="123">
        <v>0</v>
      </c>
      <c r="H758" s="122">
        <v>0</v>
      </c>
      <c r="I758" s="123">
        <v>0</v>
      </c>
      <c r="J758" s="122">
        <f>IFERROR(5*B758,0)</f>
        <v>190</v>
      </c>
      <c r="K758" s="123">
        <v>0</v>
      </c>
      <c r="L758" s="123">
        <v>0</v>
      </c>
      <c r="M758" s="122">
        <v>0</v>
      </c>
      <c r="N758" s="123">
        <v>0</v>
      </c>
      <c r="O758" s="122">
        <v>0</v>
      </c>
      <c r="P758" s="123">
        <v>0</v>
      </c>
      <c r="Q758" s="117">
        <v>0</v>
      </c>
      <c r="R758" s="123">
        <v>0</v>
      </c>
      <c r="S758" s="119">
        <v>0</v>
      </c>
      <c r="T758" s="119">
        <v>0</v>
      </c>
      <c r="U758" s="119">
        <v>0</v>
      </c>
      <c r="V758" s="124" t="str">
        <f t="shared" si="80"/>
        <v>Added</v>
      </c>
    </row>
    <row r="759" spans="1:22" hidden="1">
      <c r="A759" s="451" t="s">
        <v>1788</v>
      </c>
      <c r="B759" s="114">
        <f>_xlfn.IFNA(VLOOKUP(Table1[[#This Row],[SKU]],'Kilter Holds'!$P$36:$S$370,4,0),0)</f>
        <v>55</v>
      </c>
      <c r="C759" s="407">
        <v>4</v>
      </c>
      <c r="D759" s="117">
        <v>0</v>
      </c>
      <c r="E759" s="123">
        <v>0</v>
      </c>
      <c r="F759" s="122">
        <v>0</v>
      </c>
      <c r="G759" s="123">
        <v>0</v>
      </c>
      <c r="H759" s="122">
        <v>0</v>
      </c>
      <c r="I759" s="123">
        <v>0</v>
      </c>
      <c r="J759" s="122">
        <f>IFERROR(4*B759,0)</f>
        <v>220</v>
      </c>
      <c r="K759" s="123">
        <v>0</v>
      </c>
      <c r="L759" s="123">
        <v>0</v>
      </c>
      <c r="M759" s="122">
        <v>0</v>
      </c>
      <c r="N759" s="123">
        <v>0</v>
      </c>
      <c r="O759" s="122">
        <v>0</v>
      </c>
      <c r="P759" s="123">
        <v>0</v>
      </c>
      <c r="Q759" s="117">
        <v>0</v>
      </c>
      <c r="R759" s="123">
        <v>0</v>
      </c>
      <c r="S759" s="119">
        <v>0</v>
      </c>
      <c r="T759" s="119">
        <v>0</v>
      </c>
      <c r="U759" s="119">
        <v>0</v>
      </c>
      <c r="V759" s="124" t="str">
        <f t="shared" si="80"/>
        <v>Added</v>
      </c>
    </row>
    <row r="760" spans="1:22" hidden="1">
      <c r="A760" s="460" t="s">
        <v>2104</v>
      </c>
      <c r="B760" s="114">
        <f>_xlfn.IFNA(VLOOKUP(Table1[[#This Row],[SKU]],'Kilter Holds'!$P$36:$S$370,4,0),0)</f>
        <v>51</v>
      </c>
      <c r="C760" s="407">
        <v>4</v>
      </c>
      <c r="D760" s="117">
        <v>0</v>
      </c>
      <c r="E760" s="123">
        <v>0</v>
      </c>
      <c r="F760" s="122">
        <v>0</v>
      </c>
      <c r="G760" s="123">
        <v>0</v>
      </c>
      <c r="H760" s="122">
        <v>0</v>
      </c>
      <c r="I760" s="123">
        <v>0</v>
      </c>
      <c r="J760" s="122">
        <f>IFERROR(4*B760,0)</f>
        <v>204</v>
      </c>
      <c r="K760" s="123">
        <v>0</v>
      </c>
      <c r="L760" s="123">
        <v>0</v>
      </c>
      <c r="M760" s="122">
        <v>0</v>
      </c>
      <c r="N760" s="123">
        <v>0</v>
      </c>
      <c r="O760" s="122">
        <v>0</v>
      </c>
      <c r="P760" s="123">
        <v>0</v>
      </c>
      <c r="Q760" s="117">
        <v>0</v>
      </c>
      <c r="R760" s="123">
        <v>0</v>
      </c>
      <c r="S760" s="119">
        <v>0</v>
      </c>
      <c r="T760" s="119">
        <v>0</v>
      </c>
      <c r="U760" s="119">
        <v>0</v>
      </c>
      <c r="V760" s="124" t="str">
        <f t="shared" si="80"/>
        <v>Added</v>
      </c>
    </row>
    <row r="761" spans="1:22" hidden="1">
      <c r="A761" s="460" t="s">
        <v>2127</v>
      </c>
      <c r="B761" s="114">
        <f>_xlfn.IFNA(VLOOKUP(Table1[[#This Row],[SKU]],'Kilter Holds'!$P$36:$S$370,4,0),0)</f>
        <v>51</v>
      </c>
      <c r="C761" s="407">
        <v>4</v>
      </c>
      <c r="D761" s="117">
        <v>0</v>
      </c>
      <c r="E761" s="123">
        <v>0</v>
      </c>
      <c r="F761" s="122">
        <v>0</v>
      </c>
      <c r="G761" s="123">
        <v>0</v>
      </c>
      <c r="H761" s="122">
        <v>0</v>
      </c>
      <c r="I761" s="123">
        <v>0</v>
      </c>
      <c r="J761" s="122">
        <f>IFERROR(4*B761,0)</f>
        <v>204</v>
      </c>
      <c r="K761" s="123">
        <v>0</v>
      </c>
      <c r="L761" s="123">
        <v>0</v>
      </c>
      <c r="M761" s="122">
        <v>0</v>
      </c>
      <c r="N761" s="123">
        <v>0</v>
      </c>
      <c r="O761" s="122">
        <v>0</v>
      </c>
      <c r="P761" s="123">
        <v>0</v>
      </c>
      <c r="Q761" s="117">
        <v>0</v>
      </c>
      <c r="R761" s="123">
        <v>0</v>
      </c>
      <c r="S761" s="119">
        <v>0</v>
      </c>
      <c r="T761" s="119">
        <v>0</v>
      </c>
      <c r="U761" s="119">
        <v>0</v>
      </c>
      <c r="V761" s="124" t="str">
        <f t="shared" si="80"/>
        <v>Added</v>
      </c>
    </row>
    <row r="762" spans="1:22" hidden="1">
      <c r="A762" s="451" t="s">
        <v>405</v>
      </c>
      <c r="B762" s="114">
        <f>_xlfn.IFNA(VLOOKUP(Table1[[#This Row],[SKU]],'Kilter Holds'!$P$36:$S$370,4,0),0)</f>
        <v>42</v>
      </c>
      <c r="C762" s="407">
        <v>5</v>
      </c>
      <c r="D762" s="117">
        <v>0</v>
      </c>
      <c r="E762" s="123">
        <v>0</v>
      </c>
      <c r="F762" s="122">
        <v>0</v>
      </c>
      <c r="G762" s="123">
        <v>0</v>
      </c>
      <c r="H762" s="122">
        <v>0</v>
      </c>
      <c r="I762" s="123">
        <f t="shared" ref="I762:I770" si="81">IFERROR(5*B762,0)</f>
        <v>210</v>
      </c>
      <c r="J762" s="122">
        <v>0</v>
      </c>
      <c r="K762" s="123">
        <v>0</v>
      </c>
      <c r="L762" s="123">
        <v>0</v>
      </c>
      <c r="M762" s="122">
        <v>0</v>
      </c>
      <c r="N762" s="123">
        <v>0</v>
      </c>
      <c r="O762" s="122">
        <v>0</v>
      </c>
      <c r="P762" s="123">
        <v>0</v>
      </c>
      <c r="Q762" s="117">
        <v>0</v>
      </c>
      <c r="R762" s="123">
        <v>0</v>
      </c>
      <c r="S762" s="119">
        <v>0</v>
      </c>
      <c r="T762" s="119">
        <v>0</v>
      </c>
      <c r="U762" s="119">
        <v>0</v>
      </c>
      <c r="V762" s="124" t="str">
        <f t="shared" si="80"/>
        <v>Added</v>
      </c>
    </row>
    <row r="763" spans="1:22" hidden="1">
      <c r="A763" s="451" t="s">
        <v>406</v>
      </c>
      <c r="B763" s="114">
        <f>_xlfn.IFNA(VLOOKUP(Table1[[#This Row],[SKU]],'Kilter Holds'!$P$36:$S$370,4,0),0)</f>
        <v>41</v>
      </c>
      <c r="C763" s="407">
        <v>5</v>
      </c>
      <c r="D763" s="117">
        <v>0</v>
      </c>
      <c r="E763" s="123">
        <v>0</v>
      </c>
      <c r="F763" s="122">
        <v>0</v>
      </c>
      <c r="G763" s="123">
        <v>0</v>
      </c>
      <c r="H763" s="122">
        <v>0</v>
      </c>
      <c r="I763" s="123">
        <f t="shared" si="81"/>
        <v>205</v>
      </c>
      <c r="J763" s="122">
        <v>0</v>
      </c>
      <c r="K763" s="123">
        <v>0</v>
      </c>
      <c r="L763" s="123">
        <v>0</v>
      </c>
      <c r="M763" s="122">
        <v>0</v>
      </c>
      <c r="N763" s="123">
        <v>0</v>
      </c>
      <c r="O763" s="122">
        <v>0</v>
      </c>
      <c r="P763" s="123">
        <v>0</v>
      </c>
      <c r="Q763" s="117">
        <v>0</v>
      </c>
      <c r="R763" s="123">
        <v>0</v>
      </c>
      <c r="S763" s="119">
        <v>0</v>
      </c>
      <c r="T763" s="119">
        <v>0</v>
      </c>
      <c r="U763" s="119">
        <v>0</v>
      </c>
      <c r="V763" s="124" t="str">
        <f t="shared" si="80"/>
        <v>Added</v>
      </c>
    </row>
    <row r="764" spans="1:22" hidden="1">
      <c r="A764" s="451" t="s">
        <v>407</v>
      </c>
      <c r="B764" s="114">
        <f>_xlfn.IFNA(VLOOKUP(Table1[[#This Row],[SKU]],'Kilter Holds'!$P$36:$S$370,4,0),0)</f>
        <v>36</v>
      </c>
      <c r="C764" s="407">
        <v>5</v>
      </c>
      <c r="D764" s="117">
        <v>0</v>
      </c>
      <c r="E764" s="123">
        <v>0</v>
      </c>
      <c r="F764" s="122">
        <v>0</v>
      </c>
      <c r="G764" s="123">
        <v>0</v>
      </c>
      <c r="H764" s="122">
        <v>0</v>
      </c>
      <c r="I764" s="123">
        <f t="shared" si="81"/>
        <v>180</v>
      </c>
      <c r="J764" s="122">
        <v>0</v>
      </c>
      <c r="K764" s="123">
        <v>0</v>
      </c>
      <c r="L764" s="123">
        <v>0</v>
      </c>
      <c r="M764" s="122">
        <v>0</v>
      </c>
      <c r="N764" s="123">
        <v>0</v>
      </c>
      <c r="O764" s="122">
        <v>0</v>
      </c>
      <c r="P764" s="123">
        <v>0</v>
      </c>
      <c r="Q764" s="117">
        <v>0</v>
      </c>
      <c r="R764" s="123">
        <v>0</v>
      </c>
      <c r="S764" s="119">
        <v>0</v>
      </c>
      <c r="T764" s="119">
        <v>0</v>
      </c>
      <c r="U764" s="119">
        <v>0</v>
      </c>
      <c r="V764" s="124" t="str">
        <f t="shared" si="80"/>
        <v>Added</v>
      </c>
    </row>
    <row r="765" spans="1:22" hidden="1">
      <c r="A765" s="451" t="s">
        <v>408</v>
      </c>
      <c r="B765" s="114">
        <f>_xlfn.IFNA(VLOOKUP(Table1[[#This Row],[SKU]],'Kilter Holds'!$P$36:$S$370,4,0),0)</f>
        <v>37</v>
      </c>
      <c r="C765" s="407">
        <v>5</v>
      </c>
      <c r="D765" s="117">
        <v>0</v>
      </c>
      <c r="E765" s="123">
        <v>0</v>
      </c>
      <c r="F765" s="122">
        <v>0</v>
      </c>
      <c r="G765" s="123">
        <v>0</v>
      </c>
      <c r="H765" s="122">
        <v>0</v>
      </c>
      <c r="I765" s="123">
        <f t="shared" si="81"/>
        <v>185</v>
      </c>
      <c r="J765" s="122">
        <v>0</v>
      </c>
      <c r="K765" s="123">
        <v>0</v>
      </c>
      <c r="L765" s="123">
        <v>0</v>
      </c>
      <c r="M765" s="122">
        <v>0</v>
      </c>
      <c r="N765" s="123">
        <v>0</v>
      </c>
      <c r="O765" s="122">
        <v>0</v>
      </c>
      <c r="P765" s="123">
        <v>0</v>
      </c>
      <c r="Q765" s="117">
        <v>0</v>
      </c>
      <c r="R765" s="123">
        <v>0</v>
      </c>
      <c r="S765" s="119">
        <v>0</v>
      </c>
      <c r="T765" s="119">
        <v>0</v>
      </c>
      <c r="U765" s="119">
        <v>0</v>
      </c>
      <c r="V765" s="124" t="str">
        <f t="shared" si="80"/>
        <v>Added</v>
      </c>
    </row>
    <row r="766" spans="1:22" hidden="1">
      <c r="A766" s="451" t="s">
        <v>409</v>
      </c>
      <c r="B766" s="114">
        <f>_xlfn.IFNA(VLOOKUP(Table1[[#This Row],[SKU]],'Kilter Holds'!$P$36:$S$370,4,0),0)</f>
        <v>40</v>
      </c>
      <c r="C766" s="407">
        <v>5</v>
      </c>
      <c r="D766" s="117">
        <v>0</v>
      </c>
      <c r="E766" s="123">
        <v>0</v>
      </c>
      <c r="F766" s="122">
        <v>0</v>
      </c>
      <c r="G766" s="123">
        <v>0</v>
      </c>
      <c r="H766" s="122">
        <v>0</v>
      </c>
      <c r="I766" s="123">
        <f t="shared" si="81"/>
        <v>200</v>
      </c>
      <c r="J766" s="122">
        <v>0</v>
      </c>
      <c r="K766" s="123">
        <v>0</v>
      </c>
      <c r="L766" s="123">
        <v>0</v>
      </c>
      <c r="M766" s="122">
        <v>0</v>
      </c>
      <c r="N766" s="123">
        <v>0</v>
      </c>
      <c r="O766" s="122">
        <v>0</v>
      </c>
      <c r="P766" s="123">
        <v>0</v>
      </c>
      <c r="Q766" s="117">
        <v>0</v>
      </c>
      <c r="R766" s="123">
        <v>0</v>
      </c>
      <c r="S766" s="119">
        <v>0</v>
      </c>
      <c r="T766" s="119">
        <v>0</v>
      </c>
      <c r="U766" s="119">
        <v>0</v>
      </c>
      <c r="V766" s="124" t="str">
        <f t="shared" si="80"/>
        <v>Added</v>
      </c>
    </row>
    <row r="767" spans="1:22" hidden="1">
      <c r="A767" s="451" t="s">
        <v>410</v>
      </c>
      <c r="B767" s="114">
        <f>_xlfn.IFNA(VLOOKUP(Table1[[#This Row],[SKU]],'Kilter Holds'!$P$36:$S$370,4,0),0)</f>
        <v>32</v>
      </c>
      <c r="C767" s="407">
        <v>5</v>
      </c>
      <c r="D767" s="117">
        <v>0</v>
      </c>
      <c r="E767" s="123">
        <v>0</v>
      </c>
      <c r="F767" s="122">
        <v>0</v>
      </c>
      <c r="G767" s="123">
        <v>0</v>
      </c>
      <c r="H767" s="122">
        <v>0</v>
      </c>
      <c r="I767" s="123">
        <f t="shared" si="81"/>
        <v>160</v>
      </c>
      <c r="J767" s="122">
        <v>0</v>
      </c>
      <c r="K767" s="123">
        <v>0</v>
      </c>
      <c r="L767" s="123">
        <v>0</v>
      </c>
      <c r="M767" s="122">
        <v>0</v>
      </c>
      <c r="N767" s="123">
        <v>0</v>
      </c>
      <c r="O767" s="122">
        <v>0</v>
      </c>
      <c r="P767" s="123">
        <v>0</v>
      </c>
      <c r="Q767" s="117">
        <v>0</v>
      </c>
      <c r="R767" s="123">
        <v>0</v>
      </c>
      <c r="S767" s="119">
        <v>0</v>
      </c>
      <c r="T767" s="119">
        <v>0</v>
      </c>
      <c r="U767" s="119">
        <v>0</v>
      </c>
      <c r="V767" s="124" t="str">
        <f t="shared" si="80"/>
        <v>Added</v>
      </c>
    </row>
    <row r="768" spans="1:22" hidden="1">
      <c r="A768" s="451" t="s">
        <v>411</v>
      </c>
      <c r="B768" s="114">
        <f>_xlfn.IFNA(VLOOKUP(Table1[[#This Row],[SKU]],'Kilter Holds'!$P$36:$S$370,4,0),0)</f>
        <v>37</v>
      </c>
      <c r="C768" s="407">
        <v>5</v>
      </c>
      <c r="D768" s="117">
        <v>0</v>
      </c>
      <c r="E768" s="123">
        <v>0</v>
      </c>
      <c r="F768" s="122">
        <v>0</v>
      </c>
      <c r="G768" s="123">
        <v>0</v>
      </c>
      <c r="H768" s="122">
        <v>0</v>
      </c>
      <c r="I768" s="123">
        <f t="shared" si="81"/>
        <v>185</v>
      </c>
      <c r="J768" s="122">
        <v>0</v>
      </c>
      <c r="K768" s="123">
        <v>0</v>
      </c>
      <c r="L768" s="123">
        <v>0</v>
      </c>
      <c r="M768" s="122">
        <v>0</v>
      </c>
      <c r="N768" s="123">
        <v>0</v>
      </c>
      <c r="O768" s="122">
        <v>0</v>
      </c>
      <c r="P768" s="123">
        <v>0</v>
      </c>
      <c r="Q768" s="117">
        <v>0</v>
      </c>
      <c r="R768" s="123">
        <v>0</v>
      </c>
      <c r="S768" s="119">
        <v>0</v>
      </c>
      <c r="T768" s="119">
        <v>0</v>
      </c>
      <c r="U768" s="119">
        <v>0</v>
      </c>
      <c r="V768" s="124" t="str">
        <f t="shared" si="80"/>
        <v>Added</v>
      </c>
    </row>
    <row r="769" spans="1:22" hidden="1">
      <c r="A769" s="451" t="s">
        <v>412</v>
      </c>
      <c r="B769" s="114">
        <f>_xlfn.IFNA(VLOOKUP(Table1[[#This Row],[SKU]],'Kilter Holds'!$P$36:$S$370,4,0),0)</f>
        <v>35</v>
      </c>
      <c r="C769" s="407">
        <v>5</v>
      </c>
      <c r="D769" s="117">
        <v>0</v>
      </c>
      <c r="E769" s="123">
        <v>0</v>
      </c>
      <c r="F769" s="122">
        <v>0</v>
      </c>
      <c r="G769" s="123">
        <v>0</v>
      </c>
      <c r="H769" s="122">
        <v>0</v>
      </c>
      <c r="I769" s="123">
        <f t="shared" si="81"/>
        <v>175</v>
      </c>
      <c r="J769" s="122">
        <v>0</v>
      </c>
      <c r="K769" s="123">
        <v>0</v>
      </c>
      <c r="L769" s="123">
        <v>0</v>
      </c>
      <c r="M769" s="122">
        <v>0</v>
      </c>
      <c r="N769" s="123">
        <v>0</v>
      </c>
      <c r="O769" s="122">
        <v>0</v>
      </c>
      <c r="P769" s="123">
        <v>0</v>
      </c>
      <c r="Q769" s="117">
        <v>0</v>
      </c>
      <c r="R769" s="123">
        <v>0</v>
      </c>
      <c r="S769" s="119">
        <v>0</v>
      </c>
      <c r="T769" s="119">
        <v>0</v>
      </c>
      <c r="U769" s="119">
        <v>0</v>
      </c>
      <c r="V769" s="124" t="str">
        <f t="shared" si="80"/>
        <v>Added</v>
      </c>
    </row>
    <row r="770" spans="1:22" hidden="1">
      <c r="A770" s="451" t="s">
        <v>1839</v>
      </c>
      <c r="B770" s="114">
        <f>_xlfn.IFNA(VLOOKUP(Table1[[#This Row],[SKU]],'Kilter Holds'!$P$36:$S$370,4,0),0)</f>
        <v>50</v>
      </c>
      <c r="C770" s="407">
        <v>5</v>
      </c>
      <c r="D770" s="117">
        <v>0</v>
      </c>
      <c r="E770" s="123">
        <v>0</v>
      </c>
      <c r="F770" s="122">
        <v>0</v>
      </c>
      <c r="G770" s="123">
        <v>0</v>
      </c>
      <c r="H770" s="122">
        <v>0</v>
      </c>
      <c r="I770" s="123">
        <f t="shared" si="81"/>
        <v>250</v>
      </c>
      <c r="J770" s="122">
        <v>0</v>
      </c>
      <c r="K770" s="123">
        <v>0</v>
      </c>
      <c r="L770" s="123">
        <v>0</v>
      </c>
      <c r="M770" s="122">
        <v>0</v>
      </c>
      <c r="N770" s="123">
        <v>0</v>
      </c>
      <c r="O770" s="122">
        <v>0</v>
      </c>
      <c r="P770" s="123">
        <v>0</v>
      </c>
      <c r="Q770" s="117">
        <v>0</v>
      </c>
      <c r="R770" s="123">
        <v>0</v>
      </c>
      <c r="S770" s="119">
        <v>0</v>
      </c>
      <c r="T770" s="119">
        <v>0</v>
      </c>
      <c r="U770" s="119">
        <v>0</v>
      </c>
      <c r="V770" s="124" t="str">
        <f t="shared" si="80"/>
        <v>Added</v>
      </c>
    </row>
    <row r="771" spans="1:22" hidden="1">
      <c r="A771" s="451" t="s">
        <v>413</v>
      </c>
      <c r="B771" s="114">
        <f>_xlfn.IFNA(VLOOKUP(Table1[[#This Row],[SKU]],'Kilter Holds'!$P$36:$S$370,4,0),0)</f>
        <v>35</v>
      </c>
      <c r="C771" s="407">
        <v>5</v>
      </c>
      <c r="D771" s="117">
        <v>0</v>
      </c>
      <c r="E771" s="123">
        <v>0</v>
      </c>
      <c r="F771" s="122">
        <v>0</v>
      </c>
      <c r="G771" s="123">
        <v>0</v>
      </c>
      <c r="H771" s="122">
        <f>IFERROR(5*B771,0)</f>
        <v>175</v>
      </c>
      <c r="I771" s="123">
        <v>0</v>
      </c>
      <c r="J771" s="122">
        <v>0</v>
      </c>
      <c r="K771" s="123">
        <v>0</v>
      </c>
      <c r="L771" s="123">
        <v>0</v>
      </c>
      <c r="M771" s="122">
        <v>0</v>
      </c>
      <c r="N771" s="123">
        <v>0</v>
      </c>
      <c r="O771" s="122">
        <v>0</v>
      </c>
      <c r="P771" s="123">
        <v>0</v>
      </c>
      <c r="Q771" s="117">
        <v>0</v>
      </c>
      <c r="R771" s="123">
        <v>0</v>
      </c>
      <c r="S771" s="119">
        <v>0</v>
      </c>
      <c r="T771" s="119">
        <v>0</v>
      </c>
      <c r="U771" s="119">
        <v>0</v>
      </c>
      <c r="V771" s="124" t="str">
        <f t="shared" si="80"/>
        <v>Added</v>
      </c>
    </row>
    <row r="772" spans="1:22" hidden="1">
      <c r="A772" s="451" t="s">
        <v>414</v>
      </c>
      <c r="B772" s="114">
        <f>_xlfn.IFNA(VLOOKUP(Table1[[#This Row],[SKU]],'Kilter Holds'!$P$36:$S$370,4,0),0)</f>
        <v>53</v>
      </c>
      <c r="C772" s="407">
        <v>5</v>
      </c>
      <c r="D772" s="117">
        <v>0</v>
      </c>
      <c r="E772" s="123">
        <v>0</v>
      </c>
      <c r="F772" s="122">
        <v>0</v>
      </c>
      <c r="G772" s="123">
        <v>0</v>
      </c>
      <c r="H772" s="122">
        <f>IFERROR(5*B772,0)</f>
        <v>265</v>
      </c>
      <c r="I772" s="123">
        <v>0</v>
      </c>
      <c r="J772" s="122">
        <v>0</v>
      </c>
      <c r="K772" s="123">
        <v>0</v>
      </c>
      <c r="L772" s="123">
        <v>0</v>
      </c>
      <c r="M772" s="122">
        <v>0</v>
      </c>
      <c r="N772" s="123">
        <v>0</v>
      </c>
      <c r="O772" s="122">
        <v>0</v>
      </c>
      <c r="P772" s="123">
        <v>0</v>
      </c>
      <c r="Q772" s="117">
        <v>0</v>
      </c>
      <c r="R772" s="123">
        <v>0</v>
      </c>
      <c r="S772" s="119">
        <v>0</v>
      </c>
      <c r="T772" s="119">
        <v>0</v>
      </c>
      <c r="U772" s="119">
        <v>0</v>
      </c>
      <c r="V772" s="124" t="str">
        <f t="shared" si="80"/>
        <v>Added</v>
      </c>
    </row>
    <row r="773" spans="1:22" hidden="1">
      <c r="A773" s="451" t="s">
        <v>1693</v>
      </c>
      <c r="B773" s="114">
        <f>_xlfn.IFNA(VLOOKUP(Table1[[#This Row],[SKU]],'Kilter Holds'!$P$36:$S$370,4,0),0)</f>
        <v>41</v>
      </c>
      <c r="C773" s="407">
        <v>11</v>
      </c>
      <c r="D773" s="117">
        <v>0</v>
      </c>
      <c r="E773" s="123">
        <f>IFERROR(11*B773,0)</f>
        <v>451</v>
      </c>
      <c r="F773" s="122">
        <v>0</v>
      </c>
      <c r="G773" s="123">
        <v>0</v>
      </c>
      <c r="H773" s="122">
        <v>0</v>
      </c>
      <c r="I773" s="123">
        <v>0</v>
      </c>
      <c r="J773" s="122">
        <v>0</v>
      </c>
      <c r="K773" s="123">
        <v>0</v>
      </c>
      <c r="L773" s="123">
        <v>0</v>
      </c>
      <c r="M773" s="122">
        <v>0</v>
      </c>
      <c r="N773" s="123">
        <v>0</v>
      </c>
      <c r="O773" s="122">
        <v>0</v>
      </c>
      <c r="P773" s="123">
        <v>0</v>
      </c>
      <c r="Q773" s="117">
        <v>0</v>
      </c>
      <c r="R773" s="123">
        <v>0</v>
      </c>
      <c r="S773" s="119">
        <v>0</v>
      </c>
      <c r="T773" s="119">
        <v>0</v>
      </c>
      <c r="U773" s="119">
        <v>0</v>
      </c>
      <c r="V773" s="124" t="str">
        <f t="shared" si="80"/>
        <v>Added</v>
      </c>
    </row>
    <row r="774" spans="1:22" hidden="1">
      <c r="A774" s="451" t="s">
        <v>1695</v>
      </c>
      <c r="B774" s="114">
        <f>_xlfn.IFNA(VLOOKUP(Table1[[#This Row],[SKU]],'Kilter Holds'!$P$36:$S$370,4,0),0)</f>
        <v>35</v>
      </c>
      <c r="C774" s="407">
        <v>10</v>
      </c>
      <c r="D774" s="117">
        <v>0</v>
      </c>
      <c r="E774" s="123">
        <f>IFERROR(10*B774,0)</f>
        <v>350</v>
      </c>
      <c r="F774" s="122">
        <v>0</v>
      </c>
      <c r="G774" s="123">
        <v>0</v>
      </c>
      <c r="H774" s="122">
        <v>0</v>
      </c>
      <c r="I774" s="123">
        <v>0</v>
      </c>
      <c r="J774" s="122">
        <v>0</v>
      </c>
      <c r="K774" s="123">
        <v>0</v>
      </c>
      <c r="L774" s="123">
        <v>0</v>
      </c>
      <c r="M774" s="122">
        <v>0</v>
      </c>
      <c r="N774" s="123">
        <v>0</v>
      </c>
      <c r="O774" s="122">
        <v>0</v>
      </c>
      <c r="P774" s="123">
        <v>0</v>
      </c>
      <c r="Q774" s="117">
        <v>0</v>
      </c>
      <c r="R774" s="123">
        <v>0</v>
      </c>
      <c r="S774" s="119">
        <v>0</v>
      </c>
      <c r="T774" s="119">
        <v>0</v>
      </c>
      <c r="U774" s="119">
        <v>0</v>
      </c>
      <c r="V774" s="124" t="str">
        <f t="shared" si="80"/>
        <v>Added</v>
      </c>
    </row>
    <row r="775" spans="1:22" hidden="1">
      <c r="A775" s="451" t="s">
        <v>1030</v>
      </c>
      <c r="B775" s="114">
        <f>_xlfn.IFNA(VLOOKUP(Table1[[#This Row],[SKU]],'Kilter Holds'!$P$36:$S$370,4,0),0)</f>
        <v>52</v>
      </c>
      <c r="C775" s="407">
        <v>10</v>
      </c>
      <c r="D775" s="117">
        <v>0</v>
      </c>
      <c r="E775" s="123">
        <f>IFERROR(10*B775,0)</f>
        <v>520</v>
      </c>
      <c r="F775" s="122">
        <v>0</v>
      </c>
      <c r="G775" s="123">
        <v>0</v>
      </c>
      <c r="H775" s="122">
        <v>0</v>
      </c>
      <c r="I775" s="123">
        <v>0</v>
      </c>
      <c r="J775" s="122">
        <v>0</v>
      </c>
      <c r="K775" s="123">
        <v>0</v>
      </c>
      <c r="L775" s="123">
        <v>0</v>
      </c>
      <c r="M775" s="122">
        <v>0</v>
      </c>
      <c r="N775" s="123">
        <v>0</v>
      </c>
      <c r="O775" s="122">
        <v>0</v>
      </c>
      <c r="P775" s="123">
        <v>0</v>
      </c>
      <c r="Q775" s="117">
        <v>0</v>
      </c>
      <c r="R775" s="123">
        <v>0</v>
      </c>
      <c r="S775" s="119">
        <v>0</v>
      </c>
      <c r="T775" s="119">
        <v>0</v>
      </c>
      <c r="U775" s="119">
        <v>0</v>
      </c>
      <c r="V775" s="124" t="str">
        <f t="shared" si="80"/>
        <v>Added</v>
      </c>
    </row>
    <row r="776" spans="1:22" hidden="1">
      <c r="A776" s="451" t="s">
        <v>1031</v>
      </c>
      <c r="B776" s="114">
        <f>_xlfn.IFNA(VLOOKUP(Table1[[#This Row],[SKU]],'Kilter Holds'!$P$36:$S$370,4,0),0)</f>
        <v>29</v>
      </c>
      <c r="C776" s="407">
        <v>10</v>
      </c>
      <c r="D776" s="117">
        <v>0</v>
      </c>
      <c r="E776" s="123">
        <f>IFERROR(10*B776,0)</f>
        <v>290</v>
      </c>
      <c r="F776" s="122">
        <v>0</v>
      </c>
      <c r="G776" s="123">
        <v>0</v>
      </c>
      <c r="H776" s="122">
        <v>0</v>
      </c>
      <c r="I776" s="123">
        <v>0</v>
      </c>
      <c r="J776" s="122">
        <v>0</v>
      </c>
      <c r="K776" s="123">
        <v>0</v>
      </c>
      <c r="L776" s="123">
        <v>0</v>
      </c>
      <c r="M776" s="122">
        <v>0</v>
      </c>
      <c r="N776" s="123">
        <v>0</v>
      </c>
      <c r="O776" s="122">
        <v>0</v>
      </c>
      <c r="P776" s="123">
        <v>0</v>
      </c>
      <c r="Q776" s="117">
        <v>0</v>
      </c>
      <c r="R776" s="123">
        <v>0</v>
      </c>
      <c r="S776" s="119">
        <v>0</v>
      </c>
      <c r="T776" s="119">
        <v>0</v>
      </c>
      <c r="U776" s="119">
        <v>0</v>
      </c>
      <c r="V776" s="124" t="str">
        <f t="shared" si="80"/>
        <v>Added</v>
      </c>
    </row>
    <row r="777" spans="1:22" hidden="1">
      <c r="A777" s="451" t="s">
        <v>1032</v>
      </c>
      <c r="B777" s="114">
        <f>_xlfn.IFNA(VLOOKUP(Table1[[#This Row],[SKU]],'Kilter Holds'!$P$36:$S$370,4,0),0)</f>
        <v>41</v>
      </c>
      <c r="C777" s="407">
        <v>10</v>
      </c>
      <c r="D777" s="117">
        <v>0</v>
      </c>
      <c r="E777" s="123">
        <f>IFERROR(10*B777,0)</f>
        <v>410</v>
      </c>
      <c r="F777" s="122">
        <v>0</v>
      </c>
      <c r="G777" s="123">
        <v>0</v>
      </c>
      <c r="H777" s="122">
        <v>0</v>
      </c>
      <c r="I777" s="123">
        <v>0</v>
      </c>
      <c r="J777" s="122">
        <v>0</v>
      </c>
      <c r="K777" s="123">
        <v>0</v>
      </c>
      <c r="L777" s="123">
        <v>0</v>
      </c>
      <c r="M777" s="122">
        <v>0</v>
      </c>
      <c r="N777" s="123">
        <v>0</v>
      </c>
      <c r="O777" s="122">
        <v>0</v>
      </c>
      <c r="P777" s="123">
        <v>0</v>
      </c>
      <c r="Q777" s="117">
        <v>0</v>
      </c>
      <c r="R777" s="123">
        <v>0</v>
      </c>
      <c r="S777" s="119">
        <v>0</v>
      </c>
      <c r="T777" s="119">
        <v>0</v>
      </c>
      <c r="U777" s="119">
        <v>0</v>
      </c>
      <c r="V777" s="124" t="str">
        <f t="shared" si="80"/>
        <v>Added</v>
      </c>
    </row>
    <row r="778" spans="1:22" hidden="1">
      <c r="A778" s="451" t="s">
        <v>1868</v>
      </c>
      <c r="B778" s="114">
        <f>_xlfn.IFNA(VLOOKUP(Table1[[#This Row],[SKU]],'Kilter Holds'!$P$36:$S$370,4,0),0)</f>
        <v>37</v>
      </c>
      <c r="C778" s="407">
        <v>4</v>
      </c>
      <c r="D778" s="117">
        <v>0</v>
      </c>
      <c r="E778" s="123">
        <v>0</v>
      </c>
      <c r="F778" s="122">
        <v>0</v>
      </c>
      <c r="G778" s="123">
        <v>0</v>
      </c>
      <c r="H778" s="122">
        <v>0</v>
      </c>
      <c r="I778" s="123">
        <v>0</v>
      </c>
      <c r="J778" s="122">
        <v>0</v>
      </c>
      <c r="K778" s="123">
        <f>IFERROR(4*B778,0)</f>
        <v>148</v>
      </c>
      <c r="L778" s="123">
        <v>0</v>
      </c>
      <c r="M778" s="122">
        <v>0</v>
      </c>
      <c r="N778" s="123">
        <v>0</v>
      </c>
      <c r="O778" s="122">
        <v>0</v>
      </c>
      <c r="P778" s="123">
        <v>0</v>
      </c>
      <c r="Q778" s="117">
        <v>0</v>
      </c>
      <c r="R778" s="123">
        <v>0</v>
      </c>
      <c r="S778" s="119">
        <v>0</v>
      </c>
      <c r="T778" s="119">
        <v>0</v>
      </c>
      <c r="U778" s="119">
        <v>0</v>
      </c>
      <c r="V778" s="124" t="str">
        <f t="shared" si="80"/>
        <v>Added</v>
      </c>
    </row>
    <row r="779" spans="1:22" hidden="1">
      <c r="A779" s="451" t="s">
        <v>415</v>
      </c>
      <c r="B779" s="114">
        <f>_xlfn.IFNA(VLOOKUP(Table1[[#This Row],[SKU]],'Kilter Holds'!$P$36:$S$370,4,0),0)</f>
        <v>33</v>
      </c>
      <c r="C779" s="407">
        <v>2</v>
      </c>
      <c r="D779" s="117">
        <v>0</v>
      </c>
      <c r="E779" s="123">
        <v>0</v>
      </c>
      <c r="F779" s="122">
        <v>0</v>
      </c>
      <c r="G779" s="123">
        <v>0</v>
      </c>
      <c r="H779" s="122">
        <v>0</v>
      </c>
      <c r="I779" s="123">
        <v>0</v>
      </c>
      <c r="J779" s="122">
        <v>0</v>
      </c>
      <c r="K779" s="123">
        <f>IFERROR(2*B779,0)</f>
        <v>66</v>
      </c>
      <c r="L779" s="123">
        <v>0</v>
      </c>
      <c r="M779" s="122">
        <v>0</v>
      </c>
      <c r="N779" s="123">
        <v>0</v>
      </c>
      <c r="O779" s="122">
        <v>0</v>
      </c>
      <c r="P779" s="123">
        <v>0</v>
      </c>
      <c r="Q779" s="117">
        <v>0</v>
      </c>
      <c r="R779" s="123">
        <v>0</v>
      </c>
      <c r="S779" s="119">
        <v>0</v>
      </c>
      <c r="T779" s="119">
        <v>0</v>
      </c>
      <c r="U779" s="119">
        <v>0</v>
      </c>
      <c r="V779" s="124" t="str">
        <f t="shared" si="80"/>
        <v>Added</v>
      </c>
    </row>
    <row r="780" spans="1:22" hidden="1">
      <c r="A780" s="451" t="s">
        <v>416</v>
      </c>
      <c r="B780" s="114">
        <f>_xlfn.IFNA(VLOOKUP(Table1[[#This Row],[SKU]],'Kilter Holds'!$P$36:$S$370,4,0),0)</f>
        <v>36</v>
      </c>
      <c r="C780" s="407">
        <v>2</v>
      </c>
      <c r="D780" s="117">
        <v>0</v>
      </c>
      <c r="E780" s="123">
        <v>0</v>
      </c>
      <c r="F780" s="122">
        <v>0</v>
      </c>
      <c r="G780" s="123">
        <v>0</v>
      </c>
      <c r="H780" s="122">
        <v>0</v>
      </c>
      <c r="I780" s="123">
        <v>0</v>
      </c>
      <c r="J780" s="122">
        <v>0</v>
      </c>
      <c r="K780" s="123">
        <f>IFERROR(2*B780,0)</f>
        <v>72</v>
      </c>
      <c r="L780" s="123">
        <v>0</v>
      </c>
      <c r="M780" s="122">
        <v>0</v>
      </c>
      <c r="N780" s="123">
        <v>0</v>
      </c>
      <c r="O780" s="122">
        <v>0</v>
      </c>
      <c r="P780" s="123">
        <v>0</v>
      </c>
      <c r="Q780" s="117">
        <v>0</v>
      </c>
      <c r="R780" s="123">
        <v>0</v>
      </c>
      <c r="S780" s="119">
        <v>0</v>
      </c>
      <c r="T780" s="119">
        <v>0</v>
      </c>
      <c r="U780" s="119">
        <v>0</v>
      </c>
      <c r="V780" s="124" t="str">
        <f t="shared" si="80"/>
        <v>Added</v>
      </c>
    </row>
    <row r="781" spans="1:22" hidden="1">
      <c r="A781" s="451" t="s">
        <v>417</v>
      </c>
      <c r="B781" s="114">
        <f>_xlfn.IFNA(VLOOKUP(Table1[[#This Row],[SKU]],'Kilter Holds'!$P$36:$S$370,4,0),0)</f>
        <v>34</v>
      </c>
      <c r="C781" s="407">
        <v>4</v>
      </c>
      <c r="D781" s="117">
        <v>0</v>
      </c>
      <c r="E781" s="123">
        <v>0</v>
      </c>
      <c r="F781" s="122">
        <v>0</v>
      </c>
      <c r="G781" s="123">
        <v>0</v>
      </c>
      <c r="H781" s="122">
        <v>0</v>
      </c>
      <c r="I781" s="123">
        <v>0</v>
      </c>
      <c r="J781" s="122">
        <f>IFERROR(4*B781,0)</f>
        <v>136</v>
      </c>
      <c r="K781" s="123">
        <v>0</v>
      </c>
      <c r="L781" s="123">
        <v>0</v>
      </c>
      <c r="M781" s="122">
        <v>0</v>
      </c>
      <c r="N781" s="123">
        <v>0</v>
      </c>
      <c r="O781" s="122">
        <v>0</v>
      </c>
      <c r="P781" s="123">
        <v>0</v>
      </c>
      <c r="Q781" s="117">
        <v>0</v>
      </c>
      <c r="R781" s="123">
        <v>0</v>
      </c>
      <c r="S781" s="119">
        <v>0</v>
      </c>
      <c r="T781" s="119">
        <v>0</v>
      </c>
      <c r="U781" s="119">
        <v>0</v>
      </c>
      <c r="V781" s="124" t="str">
        <f t="shared" si="80"/>
        <v>Added</v>
      </c>
    </row>
    <row r="782" spans="1:22" hidden="1">
      <c r="A782" s="451" t="s">
        <v>418</v>
      </c>
      <c r="B782" s="114">
        <f>_xlfn.IFNA(VLOOKUP(Table1[[#This Row],[SKU]],'Kilter Holds'!$P$36:$S$370,4,0),0)</f>
        <v>34</v>
      </c>
      <c r="C782" s="407">
        <v>3</v>
      </c>
      <c r="D782" s="117">
        <v>0</v>
      </c>
      <c r="E782" s="123">
        <v>0</v>
      </c>
      <c r="F782" s="122">
        <v>0</v>
      </c>
      <c r="G782" s="123">
        <v>0</v>
      </c>
      <c r="H782" s="122">
        <v>0</v>
      </c>
      <c r="I782" s="123">
        <v>0</v>
      </c>
      <c r="J782" s="122">
        <f>IFERROR(3*B782,0)</f>
        <v>102</v>
      </c>
      <c r="K782" s="123">
        <v>0</v>
      </c>
      <c r="L782" s="123">
        <v>0</v>
      </c>
      <c r="M782" s="122">
        <v>0</v>
      </c>
      <c r="N782" s="123">
        <v>0</v>
      </c>
      <c r="O782" s="122">
        <v>0</v>
      </c>
      <c r="P782" s="123">
        <v>0</v>
      </c>
      <c r="Q782" s="117">
        <v>0</v>
      </c>
      <c r="R782" s="123">
        <v>0</v>
      </c>
      <c r="S782" s="119">
        <v>0</v>
      </c>
      <c r="T782" s="119">
        <v>0</v>
      </c>
      <c r="U782" s="119">
        <v>0</v>
      </c>
      <c r="V782" s="124" t="str">
        <f t="shared" si="80"/>
        <v>Added</v>
      </c>
    </row>
    <row r="783" spans="1:22" hidden="1">
      <c r="A783" s="451" t="s">
        <v>419</v>
      </c>
      <c r="B783" s="114">
        <f>_xlfn.IFNA(VLOOKUP(Table1[[#This Row],[SKU]],'Kilter Holds'!$P$36:$S$370,4,0),0)</f>
        <v>40</v>
      </c>
      <c r="C783" s="407">
        <v>4</v>
      </c>
      <c r="D783" s="117">
        <v>0</v>
      </c>
      <c r="E783" s="123">
        <v>0</v>
      </c>
      <c r="F783" s="122">
        <v>0</v>
      </c>
      <c r="G783" s="123">
        <v>0</v>
      </c>
      <c r="H783" s="122">
        <v>0</v>
      </c>
      <c r="I783" s="123">
        <v>0</v>
      </c>
      <c r="J783" s="122">
        <f>IFERROR(4*B783,0)</f>
        <v>160</v>
      </c>
      <c r="K783" s="123">
        <v>0</v>
      </c>
      <c r="L783" s="123">
        <v>0</v>
      </c>
      <c r="M783" s="122">
        <v>0</v>
      </c>
      <c r="N783" s="123">
        <v>0</v>
      </c>
      <c r="O783" s="122">
        <v>0</v>
      </c>
      <c r="P783" s="123">
        <v>0</v>
      </c>
      <c r="Q783" s="117">
        <v>0</v>
      </c>
      <c r="R783" s="123">
        <v>0</v>
      </c>
      <c r="S783" s="119">
        <v>0</v>
      </c>
      <c r="T783" s="119">
        <v>0</v>
      </c>
      <c r="U783" s="119">
        <v>0</v>
      </c>
      <c r="V783" s="124" t="str">
        <f t="shared" si="80"/>
        <v>Added</v>
      </c>
    </row>
    <row r="784" spans="1:22" hidden="1">
      <c r="A784" s="451" t="s">
        <v>420</v>
      </c>
      <c r="B784" s="114">
        <f>_xlfn.IFNA(VLOOKUP(Table1[[#This Row],[SKU]],'Kilter Holds'!$P$36:$S$370,4,0),0)</f>
        <v>37</v>
      </c>
      <c r="C784" s="407">
        <v>4</v>
      </c>
      <c r="D784" s="117">
        <v>0</v>
      </c>
      <c r="E784" s="123">
        <v>0</v>
      </c>
      <c r="F784" s="122">
        <v>0</v>
      </c>
      <c r="G784" s="123">
        <v>0</v>
      </c>
      <c r="H784" s="122">
        <v>0</v>
      </c>
      <c r="I784" s="123">
        <v>0</v>
      </c>
      <c r="J784" s="122">
        <f>IFERROR(4*B784,0)</f>
        <v>148</v>
      </c>
      <c r="K784" s="123">
        <v>0</v>
      </c>
      <c r="L784" s="123">
        <v>0</v>
      </c>
      <c r="M784" s="122">
        <v>0</v>
      </c>
      <c r="N784" s="123">
        <v>0</v>
      </c>
      <c r="O784" s="122">
        <v>0</v>
      </c>
      <c r="P784" s="123">
        <v>0</v>
      </c>
      <c r="Q784" s="117">
        <v>0</v>
      </c>
      <c r="R784" s="123">
        <v>0</v>
      </c>
      <c r="S784" s="119">
        <v>0</v>
      </c>
      <c r="T784" s="119">
        <v>0</v>
      </c>
      <c r="U784" s="119">
        <v>0</v>
      </c>
      <c r="V784" s="124" t="str">
        <f t="shared" si="80"/>
        <v>Added</v>
      </c>
    </row>
    <row r="785" spans="1:22" hidden="1">
      <c r="A785" s="451" t="s">
        <v>421</v>
      </c>
      <c r="B785" s="114">
        <f>_xlfn.IFNA(VLOOKUP(Table1[[#This Row],[SKU]],'Kilter Holds'!$P$36:$S$370,4,0),0)</f>
        <v>37</v>
      </c>
      <c r="C785" s="407">
        <v>4</v>
      </c>
      <c r="D785" s="117">
        <v>0</v>
      </c>
      <c r="E785" s="123">
        <v>0</v>
      </c>
      <c r="F785" s="122">
        <v>0</v>
      </c>
      <c r="G785" s="123">
        <v>0</v>
      </c>
      <c r="H785" s="122">
        <v>0</v>
      </c>
      <c r="I785" s="123">
        <v>0</v>
      </c>
      <c r="J785" s="122">
        <f>IFERROR(4*B785,0)</f>
        <v>148</v>
      </c>
      <c r="K785" s="123">
        <v>0</v>
      </c>
      <c r="L785" s="123">
        <v>0</v>
      </c>
      <c r="M785" s="122">
        <v>0</v>
      </c>
      <c r="N785" s="123">
        <v>0</v>
      </c>
      <c r="O785" s="122">
        <v>0</v>
      </c>
      <c r="P785" s="123">
        <v>0</v>
      </c>
      <c r="Q785" s="117">
        <v>0</v>
      </c>
      <c r="R785" s="123">
        <v>0</v>
      </c>
      <c r="S785" s="119">
        <v>0</v>
      </c>
      <c r="T785" s="119">
        <v>0</v>
      </c>
      <c r="U785" s="119">
        <v>0</v>
      </c>
      <c r="V785" s="124" t="str">
        <f t="shared" si="80"/>
        <v>Added</v>
      </c>
    </row>
    <row r="786" spans="1:22" hidden="1">
      <c r="A786" s="451" t="s">
        <v>422</v>
      </c>
      <c r="B786" s="114">
        <f>_xlfn.IFNA(VLOOKUP(Table1[[#This Row],[SKU]],'Kilter Holds'!$P$36:$S$370,4,0),0)</f>
        <v>31</v>
      </c>
      <c r="C786" s="407">
        <v>4</v>
      </c>
      <c r="D786" s="117">
        <v>0</v>
      </c>
      <c r="E786" s="123">
        <v>0</v>
      </c>
      <c r="F786" s="122">
        <v>0</v>
      </c>
      <c r="G786" s="123">
        <v>0</v>
      </c>
      <c r="H786" s="122">
        <v>0</v>
      </c>
      <c r="I786" s="123">
        <v>0</v>
      </c>
      <c r="J786" s="122">
        <f>IFERROR(4*B786,0)</f>
        <v>124</v>
      </c>
      <c r="K786" s="123">
        <v>0</v>
      </c>
      <c r="L786" s="123">
        <v>0</v>
      </c>
      <c r="M786" s="122">
        <v>0</v>
      </c>
      <c r="N786" s="123">
        <v>0</v>
      </c>
      <c r="O786" s="122">
        <v>0</v>
      </c>
      <c r="P786" s="123">
        <v>0</v>
      </c>
      <c r="Q786" s="117">
        <v>0</v>
      </c>
      <c r="R786" s="123">
        <v>0</v>
      </c>
      <c r="S786" s="119">
        <v>0</v>
      </c>
      <c r="T786" s="119">
        <v>0</v>
      </c>
      <c r="U786" s="119">
        <v>0</v>
      </c>
      <c r="V786" s="124" t="str">
        <f t="shared" si="80"/>
        <v>Added</v>
      </c>
    </row>
    <row r="787" spans="1:22" hidden="1">
      <c r="A787" s="451" t="s">
        <v>423</v>
      </c>
      <c r="B787" s="114">
        <f>_xlfn.IFNA(VLOOKUP(Table1[[#This Row],[SKU]],'Kilter Holds'!$P$36:$S$370,4,0),0)</f>
        <v>28</v>
      </c>
      <c r="C787" s="407">
        <v>5</v>
      </c>
      <c r="D787" s="117">
        <v>0</v>
      </c>
      <c r="E787" s="123">
        <v>0</v>
      </c>
      <c r="F787" s="122">
        <v>0</v>
      </c>
      <c r="G787" s="123">
        <v>0</v>
      </c>
      <c r="H787" s="122">
        <v>0</v>
      </c>
      <c r="I787" s="123">
        <f t="shared" ref="I787:I792" si="82">IFERROR(5*B787,0)</f>
        <v>140</v>
      </c>
      <c r="J787" s="122">
        <v>0</v>
      </c>
      <c r="K787" s="123">
        <v>0</v>
      </c>
      <c r="L787" s="123">
        <v>0</v>
      </c>
      <c r="M787" s="122">
        <v>0</v>
      </c>
      <c r="N787" s="123">
        <v>0</v>
      </c>
      <c r="O787" s="122">
        <v>0</v>
      </c>
      <c r="P787" s="123">
        <v>0</v>
      </c>
      <c r="Q787" s="117">
        <v>0</v>
      </c>
      <c r="R787" s="123">
        <v>0</v>
      </c>
      <c r="S787" s="119">
        <v>0</v>
      </c>
      <c r="T787" s="119">
        <v>0</v>
      </c>
      <c r="U787" s="119">
        <v>0</v>
      </c>
      <c r="V787" s="124" t="str">
        <f t="shared" si="80"/>
        <v>Added</v>
      </c>
    </row>
    <row r="788" spans="1:22" hidden="1">
      <c r="A788" s="451" t="s">
        <v>424</v>
      </c>
      <c r="B788" s="114">
        <f>_xlfn.IFNA(VLOOKUP(Table1[[#This Row],[SKU]],'Kilter Holds'!$P$36:$S$370,4,0),0)</f>
        <v>36</v>
      </c>
      <c r="C788" s="407">
        <v>5</v>
      </c>
      <c r="D788" s="117">
        <v>0</v>
      </c>
      <c r="E788" s="123">
        <v>0</v>
      </c>
      <c r="F788" s="122">
        <v>0</v>
      </c>
      <c r="G788" s="123">
        <f>IFERROR(5*B788,0)</f>
        <v>180</v>
      </c>
      <c r="H788" s="122">
        <v>0</v>
      </c>
      <c r="I788" s="123">
        <v>0</v>
      </c>
      <c r="J788" s="122">
        <v>0</v>
      </c>
      <c r="K788" s="123">
        <v>0</v>
      </c>
      <c r="L788" s="123">
        <v>0</v>
      </c>
      <c r="M788" s="122">
        <v>0</v>
      </c>
      <c r="N788" s="123">
        <v>0</v>
      </c>
      <c r="O788" s="122">
        <v>0</v>
      </c>
      <c r="P788" s="123">
        <v>0</v>
      </c>
      <c r="Q788" s="117">
        <v>0</v>
      </c>
      <c r="R788" s="123">
        <v>0</v>
      </c>
      <c r="S788" s="119">
        <v>0</v>
      </c>
      <c r="T788" s="119">
        <v>0</v>
      </c>
      <c r="U788" s="119">
        <v>0</v>
      </c>
      <c r="V788" s="124" t="str">
        <f t="shared" si="80"/>
        <v>Added</v>
      </c>
    </row>
    <row r="789" spans="1:22" hidden="1">
      <c r="A789" s="451" t="s">
        <v>425</v>
      </c>
      <c r="B789" s="114">
        <f>_xlfn.IFNA(VLOOKUP(Table1[[#This Row],[SKU]],'Kilter Holds'!$P$36:$S$370,4,0),0)</f>
        <v>39</v>
      </c>
      <c r="C789" s="407">
        <v>5</v>
      </c>
      <c r="D789" s="117">
        <v>0</v>
      </c>
      <c r="E789" s="123">
        <v>0</v>
      </c>
      <c r="F789" s="122">
        <v>0</v>
      </c>
      <c r="G789" s="123">
        <v>0</v>
      </c>
      <c r="H789" s="122">
        <v>0</v>
      </c>
      <c r="I789" s="123">
        <f t="shared" si="82"/>
        <v>195</v>
      </c>
      <c r="J789" s="122">
        <v>0</v>
      </c>
      <c r="K789" s="123">
        <v>0</v>
      </c>
      <c r="L789" s="123">
        <v>0</v>
      </c>
      <c r="M789" s="122">
        <v>0</v>
      </c>
      <c r="N789" s="123">
        <v>0</v>
      </c>
      <c r="O789" s="122">
        <v>0</v>
      </c>
      <c r="P789" s="123">
        <v>0</v>
      </c>
      <c r="Q789" s="117">
        <v>0</v>
      </c>
      <c r="R789" s="123">
        <v>0</v>
      </c>
      <c r="S789" s="119">
        <v>0</v>
      </c>
      <c r="T789" s="119">
        <v>0</v>
      </c>
      <c r="U789" s="119">
        <v>0</v>
      </c>
      <c r="V789" s="124" t="str">
        <f t="shared" si="80"/>
        <v>Added</v>
      </c>
    </row>
    <row r="790" spans="1:22" hidden="1">
      <c r="A790" s="451" t="s">
        <v>426</v>
      </c>
      <c r="B790" s="114">
        <f>_xlfn.IFNA(VLOOKUP(Table1[[#This Row],[SKU]],'Kilter Holds'!$P$36:$S$370,4,0),0)</f>
        <v>28</v>
      </c>
      <c r="C790" s="407">
        <v>5</v>
      </c>
      <c r="D790" s="117">
        <v>0</v>
      </c>
      <c r="E790" s="123">
        <v>0</v>
      </c>
      <c r="F790" s="122">
        <v>0</v>
      </c>
      <c r="G790" s="123">
        <v>0</v>
      </c>
      <c r="H790" s="122">
        <v>0</v>
      </c>
      <c r="I790" s="123">
        <f t="shared" si="82"/>
        <v>140</v>
      </c>
      <c r="J790" s="122">
        <v>0</v>
      </c>
      <c r="K790" s="123">
        <v>0</v>
      </c>
      <c r="L790" s="123">
        <v>0</v>
      </c>
      <c r="M790" s="122">
        <v>0</v>
      </c>
      <c r="N790" s="123">
        <v>0</v>
      </c>
      <c r="O790" s="122">
        <v>0</v>
      </c>
      <c r="P790" s="123">
        <v>0</v>
      </c>
      <c r="Q790" s="117">
        <v>0</v>
      </c>
      <c r="R790" s="123">
        <v>0</v>
      </c>
      <c r="S790" s="119">
        <v>0</v>
      </c>
      <c r="T790" s="119">
        <v>0</v>
      </c>
      <c r="U790" s="119">
        <v>0</v>
      </c>
      <c r="V790" s="124" t="str">
        <f t="shared" si="80"/>
        <v>Added</v>
      </c>
    </row>
    <row r="791" spans="1:22" hidden="1">
      <c r="A791" s="451" t="s">
        <v>1049</v>
      </c>
      <c r="B791" s="114">
        <f>_xlfn.IFNA(VLOOKUP(Table1[[#This Row],[SKU]],'Kilter Holds'!$P$36:$S$370,4,0),0)</f>
        <v>37</v>
      </c>
      <c r="C791" s="407">
        <v>5</v>
      </c>
      <c r="D791" s="117">
        <v>0</v>
      </c>
      <c r="E791" s="123">
        <v>0</v>
      </c>
      <c r="F791" s="122">
        <v>0</v>
      </c>
      <c r="G791" s="123">
        <v>0</v>
      </c>
      <c r="H791" s="122">
        <v>0</v>
      </c>
      <c r="I791" s="123">
        <f t="shared" si="82"/>
        <v>185</v>
      </c>
      <c r="J791" s="122">
        <v>0</v>
      </c>
      <c r="K791" s="123">
        <v>0</v>
      </c>
      <c r="L791" s="123">
        <v>0</v>
      </c>
      <c r="M791" s="122">
        <v>0</v>
      </c>
      <c r="N791" s="123">
        <v>0</v>
      </c>
      <c r="O791" s="122">
        <v>0</v>
      </c>
      <c r="P791" s="123">
        <v>0</v>
      </c>
      <c r="Q791" s="117">
        <v>0</v>
      </c>
      <c r="R791" s="123">
        <v>0</v>
      </c>
      <c r="S791" s="119">
        <v>0</v>
      </c>
      <c r="T791" s="119">
        <v>0</v>
      </c>
      <c r="U791" s="119">
        <v>0</v>
      </c>
      <c r="V791" s="124" t="str">
        <f t="shared" si="80"/>
        <v>Added</v>
      </c>
    </row>
    <row r="792" spans="1:22" hidden="1">
      <c r="A792" s="451" t="s">
        <v>1050</v>
      </c>
      <c r="B792" s="114">
        <f>_xlfn.IFNA(VLOOKUP(Table1[[#This Row],[SKU]],'Kilter Holds'!$P$36:$S$370,4,0),0)</f>
        <v>37</v>
      </c>
      <c r="C792" s="407">
        <v>5</v>
      </c>
      <c r="D792" s="117">
        <v>0</v>
      </c>
      <c r="E792" s="123">
        <v>0</v>
      </c>
      <c r="F792" s="122">
        <v>0</v>
      </c>
      <c r="G792" s="123">
        <v>0</v>
      </c>
      <c r="H792" s="122">
        <v>0</v>
      </c>
      <c r="I792" s="123">
        <f t="shared" si="82"/>
        <v>185</v>
      </c>
      <c r="J792" s="122">
        <v>0</v>
      </c>
      <c r="K792" s="123">
        <v>0</v>
      </c>
      <c r="L792" s="123">
        <v>0</v>
      </c>
      <c r="M792" s="122">
        <v>0</v>
      </c>
      <c r="N792" s="123">
        <v>0</v>
      </c>
      <c r="O792" s="122">
        <v>0</v>
      </c>
      <c r="P792" s="123">
        <v>0</v>
      </c>
      <c r="Q792" s="117">
        <v>0</v>
      </c>
      <c r="R792" s="123">
        <v>0</v>
      </c>
      <c r="S792" s="119">
        <v>0</v>
      </c>
      <c r="T792" s="119">
        <v>0</v>
      </c>
      <c r="U792" s="119">
        <v>0</v>
      </c>
      <c r="V792" s="124" t="str">
        <f t="shared" si="80"/>
        <v>Added</v>
      </c>
    </row>
    <row r="793" spans="1:22" hidden="1">
      <c r="A793" s="451" t="s">
        <v>427</v>
      </c>
      <c r="B793" s="114">
        <f>_xlfn.IFNA(VLOOKUP(Table1[[#This Row],[SKU]],'Kilter Holds'!$P$36:$S$370,4,0),0)</f>
        <v>31</v>
      </c>
      <c r="C793" s="407">
        <v>10</v>
      </c>
      <c r="D793" s="117">
        <v>0</v>
      </c>
      <c r="E793" s="123">
        <v>0</v>
      </c>
      <c r="F793" s="122">
        <v>0</v>
      </c>
      <c r="G793" s="123">
        <v>0</v>
      </c>
      <c r="H793" s="122">
        <f>IFERROR(10*B793,0)</f>
        <v>310</v>
      </c>
      <c r="I793" s="123">
        <v>0</v>
      </c>
      <c r="J793" s="122">
        <v>0</v>
      </c>
      <c r="K793" s="123">
        <v>0</v>
      </c>
      <c r="L793" s="123">
        <v>0</v>
      </c>
      <c r="M793" s="122">
        <v>0</v>
      </c>
      <c r="N793" s="123">
        <v>0</v>
      </c>
      <c r="O793" s="122">
        <v>0</v>
      </c>
      <c r="P793" s="123">
        <v>0</v>
      </c>
      <c r="Q793" s="117">
        <v>0</v>
      </c>
      <c r="R793" s="123">
        <v>0</v>
      </c>
      <c r="S793" s="119">
        <v>0</v>
      </c>
      <c r="T793" s="119">
        <v>0</v>
      </c>
      <c r="U793" s="119">
        <v>0</v>
      </c>
      <c r="V793" s="124" t="str">
        <f t="shared" si="80"/>
        <v>Added</v>
      </c>
    </row>
    <row r="794" spans="1:22" hidden="1">
      <c r="A794" s="451" t="s">
        <v>428</v>
      </c>
      <c r="B794" s="114">
        <f>_xlfn.IFNA(VLOOKUP(Table1[[#This Row],[SKU]],'Kilter Holds'!$P$36:$S$370,4,0),0)</f>
        <v>37</v>
      </c>
      <c r="C794" s="407">
        <v>5</v>
      </c>
      <c r="D794" s="117">
        <v>0</v>
      </c>
      <c r="E794" s="123">
        <v>0</v>
      </c>
      <c r="F794" s="122">
        <v>0</v>
      </c>
      <c r="G794" s="123">
        <v>0</v>
      </c>
      <c r="H794" s="122">
        <f>IFERROR(5*B794,0)</f>
        <v>185</v>
      </c>
      <c r="I794" s="123">
        <v>0</v>
      </c>
      <c r="J794" s="122">
        <v>0</v>
      </c>
      <c r="K794" s="123">
        <v>0</v>
      </c>
      <c r="L794" s="123">
        <v>0</v>
      </c>
      <c r="M794" s="122">
        <v>0</v>
      </c>
      <c r="N794" s="123">
        <v>0</v>
      </c>
      <c r="O794" s="122">
        <v>0</v>
      </c>
      <c r="P794" s="123">
        <v>0</v>
      </c>
      <c r="Q794" s="117">
        <v>0</v>
      </c>
      <c r="R794" s="123">
        <v>0</v>
      </c>
      <c r="S794" s="119">
        <v>0</v>
      </c>
      <c r="T794" s="119">
        <v>0</v>
      </c>
      <c r="U794" s="119">
        <v>0</v>
      </c>
      <c r="V794" s="124" t="str">
        <f t="shared" si="80"/>
        <v>Added</v>
      </c>
    </row>
    <row r="795" spans="1:22" hidden="1">
      <c r="A795" s="451" t="s">
        <v>1035</v>
      </c>
      <c r="B795" s="114">
        <f>_xlfn.IFNA(VLOOKUP(Table1[[#This Row],[SKU]],'Kilter Holds'!$P$36:$S$370,4,0),0)</f>
        <v>37</v>
      </c>
      <c r="C795" s="407">
        <v>10</v>
      </c>
      <c r="D795" s="117">
        <v>0</v>
      </c>
      <c r="E795" s="123">
        <v>0</v>
      </c>
      <c r="F795" s="122">
        <v>0</v>
      </c>
      <c r="G795" s="123">
        <v>0</v>
      </c>
      <c r="H795" s="122">
        <f>IFERROR(10*B795,0)</f>
        <v>370</v>
      </c>
      <c r="I795" s="123">
        <v>0</v>
      </c>
      <c r="J795" s="122">
        <v>0</v>
      </c>
      <c r="K795" s="123">
        <v>0</v>
      </c>
      <c r="L795" s="123">
        <v>0</v>
      </c>
      <c r="M795" s="122">
        <v>0</v>
      </c>
      <c r="N795" s="123">
        <v>0</v>
      </c>
      <c r="O795" s="122">
        <v>0</v>
      </c>
      <c r="P795" s="123">
        <v>0</v>
      </c>
      <c r="Q795" s="117">
        <v>0</v>
      </c>
      <c r="R795" s="123">
        <v>0</v>
      </c>
      <c r="S795" s="119">
        <v>0</v>
      </c>
      <c r="T795" s="119">
        <v>0</v>
      </c>
      <c r="U795" s="119">
        <v>0</v>
      </c>
      <c r="V795" s="124" t="str">
        <f t="shared" si="80"/>
        <v>Added</v>
      </c>
    </row>
    <row r="796" spans="1:22" hidden="1">
      <c r="A796" s="451" t="s">
        <v>1023</v>
      </c>
      <c r="B796" s="114">
        <f>_xlfn.IFNA(VLOOKUP(Table1[[#This Row],[SKU]],'Kilter Holds'!$P$36:$S$370,4,0),0)</f>
        <v>31</v>
      </c>
      <c r="C796" s="407">
        <v>10</v>
      </c>
      <c r="D796" s="117">
        <v>0</v>
      </c>
      <c r="E796" s="123">
        <f>IFERROR(10*B796,0)</f>
        <v>310</v>
      </c>
      <c r="F796" s="122">
        <v>0</v>
      </c>
      <c r="G796" s="123">
        <v>0</v>
      </c>
      <c r="H796" s="122">
        <v>0</v>
      </c>
      <c r="I796" s="123">
        <v>0</v>
      </c>
      <c r="J796" s="122">
        <v>0</v>
      </c>
      <c r="K796" s="123">
        <v>0</v>
      </c>
      <c r="L796" s="123">
        <v>0</v>
      </c>
      <c r="M796" s="122">
        <v>0</v>
      </c>
      <c r="N796" s="123">
        <v>0</v>
      </c>
      <c r="O796" s="122">
        <v>0</v>
      </c>
      <c r="P796" s="123">
        <v>0</v>
      </c>
      <c r="Q796" s="117">
        <v>0</v>
      </c>
      <c r="R796" s="123">
        <v>0</v>
      </c>
      <c r="S796" s="119">
        <v>0</v>
      </c>
      <c r="T796" s="119">
        <v>0</v>
      </c>
      <c r="U796" s="119">
        <v>0</v>
      </c>
      <c r="V796" s="124" t="str">
        <f t="shared" si="80"/>
        <v>Added</v>
      </c>
    </row>
    <row r="797" spans="1:22" hidden="1">
      <c r="A797" s="451" t="s">
        <v>1024</v>
      </c>
      <c r="B797" s="114">
        <f>_xlfn.IFNA(VLOOKUP(Table1[[#This Row],[SKU]],'Kilter Holds'!$P$36:$S$370,4,0),0)</f>
        <v>39</v>
      </c>
      <c r="C797" s="407">
        <v>10</v>
      </c>
      <c r="D797" s="117">
        <v>0</v>
      </c>
      <c r="E797" s="123">
        <f>IFERROR(10*B797,0)</f>
        <v>390</v>
      </c>
      <c r="F797" s="122">
        <v>0</v>
      </c>
      <c r="G797" s="123">
        <v>0</v>
      </c>
      <c r="H797" s="122">
        <v>0</v>
      </c>
      <c r="I797" s="123">
        <v>0</v>
      </c>
      <c r="J797" s="122">
        <v>0</v>
      </c>
      <c r="K797" s="123">
        <v>0</v>
      </c>
      <c r="L797" s="123">
        <v>0</v>
      </c>
      <c r="M797" s="122">
        <v>0</v>
      </c>
      <c r="N797" s="123">
        <v>0</v>
      </c>
      <c r="O797" s="122">
        <v>0</v>
      </c>
      <c r="P797" s="123">
        <v>0</v>
      </c>
      <c r="Q797" s="117">
        <v>0</v>
      </c>
      <c r="R797" s="123">
        <v>0</v>
      </c>
      <c r="S797" s="119">
        <v>0</v>
      </c>
      <c r="T797" s="119">
        <v>0</v>
      </c>
      <c r="U797" s="119">
        <v>0</v>
      </c>
      <c r="V797" s="124" t="str">
        <f t="shared" si="80"/>
        <v>Added</v>
      </c>
    </row>
    <row r="798" spans="1:22" hidden="1">
      <c r="A798" s="451" t="s">
        <v>429</v>
      </c>
      <c r="B798" s="114">
        <f>_xlfn.IFNA(VLOOKUP(Table1[[#This Row],[SKU]],'Kilter Holds'!$P$36:$S$370,4,0),0)</f>
        <v>39</v>
      </c>
      <c r="C798" s="407">
        <v>2</v>
      </c>
      <c r="D798" s="117">
        <v>0</v>
      </c>
      <c r="E798" s="123">
        <v>0</v>
      </c>
      <c r="F798" s="122">
        <v>0</v>
      </c>
      <c r="G798" s="123">
        <v>0</v>
      </c>
      <c r="H798" s="122">
        <v>0</v>
      </c>
      <c r="I798" s="123">
        <v>0</v>
      </c>
      <c r="J798" s="122">
        <v>0</v>
      </c>
      <c r="K798" s="123">
        <v>0</v>
      </c>
      <c r="L798" s="123">
        <v>0</v>
      </c>
      <c r="M798" s="122">
        <v>0</v>
      </c>
      <c r="N798" s="123">
        <v>0</v>
      </c>
      <c r="O798" s="122">
        <v>0</v>
      </c>
      <c r="P798" s="123">
        <v>0</v>
      </c>
      <c r="Q798" s="117">
        <v>0</v>
      </c>
      <c r="R798" s="123">
        <v>0</v>
      </c>
      <c r="S798" s="119">
        <f>IFERROR(8*B798,0)</f>
        <v>312</v>
      </c>
      <c r="T798" s="119">
        <v>0</v>
      </c>
      <c r="U798" s="119">
        <v>0</v>
      </c>
      <c r="V798" s="124" t="str">
        <f t="shared" si="80"/>
        <v>Added</v>
      </c>
    </row>
    <row r="799" spans="1:22" hidden="1">
      <c r="A799" s="451" t="s">
        <v>430</v>
      </c>
      <c r="B799" s="114">
        <f>_xlfn.IFNA(VLOOKUP(Table1[[#This Row],[SKU]],'Kilter Holds'!$P$36:$S$370,4,0),0)</f>
        <v>36</v>
      </c>
      <c r="C799" s="407">
        <v>10</v>
      </c>
      <c r="D799" s="117">
        <v>0</v>
      </c>
      <c r="E799" s="123">
        <v>0</v>
      </c>
      <c r="F799" s="122">
        <v>0</v>
      </c>
      <c r="G799" s="123">
        <v>0</v>
      </c>
      <c r="H799" s="122">
        <v>0</v>
      </c>
      <c r="I799" s="123">
        <v>0</v>
      </c>
      <c r="J799" s="122">
        <v>0</v>
      </c>
      <c r="K799" s="123">
        <v>0</v>
      </c>
      <c r="L799" s="123">
        <v>0</v>
      </c>
      <c r="M799" s="122">
        <v>0</v>
      </c>
      <c r="N799" s="123">
        <v>0</v>
      </c>
      <c r="O799" s="122">
        <v>0</v>
      </c>
      <c r="P799" s="123">
        <v>0</v>
      </c>
      <c r="Q799" s="117">
        <f>IFERROR(30*B799,0)</f>
        <v>1080</v>
      </c>
      <c r="R799" s="123">
        <v>0</v>
      </c>
      <c r="S799" s="119">
        <v>0</v>
      </c>
      <c r="T799" s="119">
        <v>0</v>
      </c>
      <c r="U799" s="119">
        <v>0</v>
      </c>
      <c r="V799" s="124" t="str">
        <f t="shared" si="80"/>
        <v>Added</v>
      </c>
    </row>
    <row r="800" spans="1:22" hidden="1">
      <c r="A800" s="451" t="s">
        <v>1321</v>
      </c>
      <c r="B800" s="114">
        <f>_xlfn.IFNA(VLOOKUP(Table1[[#This Row],[SKU]],'Urban Plastix Holds'!$I$36:$L$501,4,0),0)</f>
        <v>0</v>
      </c>
      <c r="C800" s="407">
        <v>3</v>
      </c>
      <c r="D800" s="117">
        <v>0</v>
      </c>
      <c r="E800" s="117">
        <v>0</v>
      </c>
      <c r="F800" s="122">
        <v>0</v>
      </c>
      <c r="G800" s="123">
        <v>0</v>
      </c>
      <c r="H800" s="122">
        <v>0</v>
      </c>
      <c r="I800" s="123">
        <v>0</v>
      </c>
      <c r="J800" s="122">
        <v>0</v>
      </c>
      <c r="K800" s="123">
        <f>IFERROR(3*B800,0)</f>
        <v>0</v>
      </c>
      <c r="L800" s="123">
        <v>0</v>
      </c>
      <c r="M800" s="122">
        <v>0</v>
      </c>
      <c r="N800" s="123">
        <v>0</v>
      </c>
      <c r="O800" s="122">
        <v>0</v>
      </c>
      <c r="P800" s="123">
        <v>0</v>
      </c>
      <c r="Q800" s="122">
        <v>0</v>
      </c>
      <c r="R800" s="123">
        <v>0</v>
      </c>
      <c r="S800" s="119">
        <v>0</v>
      </c>
      <c r="T800" s="119">
        <v>0</v>
      </c>
      <c r="U800" s="119">
        <v>0</v>
      </c>
      <c r="V800" s="124" t="str">
        <f t="shared" si="80"/>
        <v xml:space="preserve"> </v>
      </c>
    </row>
    <row r="801" spans="1:22" hidden="1">
      <c r="A801" s="451" t="s">
        <v>1444</v>
      </c>
      <c r="B801" s="114">
        <f>_xlfn.IFNA(VLOOKUP(Table1[[#This Row],[SKU]],'Urban Plastix Holds'!$I$36:$L$501,4,0),0)</f>
        <v>0</v>
      </c>
      <c r="C801" s="407">
        <v>2</v>
      </c>
      <c r="D801" s="117">
        <v>0</v>
      </c>
      <c r="E801" s="117">
        <v>0</v>
      </c>
      <c r="F801" s="122">
        <v>0</v>
      </c>
      <c r="G801" s="123">
        <v>0</v>
      </c>
      <c r="H801" s="122">
        <v>0</v>
      </c>
      <c r="I801" s="123">
        <v>0</v>
      </c>
      <c r="J801" s="122">
        <v>0</v>
      </c>
      <c r="K801" s="123">
        <f>IFERROR(2*B801,0)</f>
        <v>0</v>
      </c>
      <c r="L801" s="123">
        <v>0</v>
      </c>
      <c r="M801" s="122">
        <v>0</v>
      </c>
      <c r="N801" s="123">
        <v>0</v>
      </c>
      <c r="O801" s="122">
        <v>0</v>
      </c>
      <c r="P801" s="123">
        <v>0</v>
      </c>
      <c r="Q801" s="122">
        <v>0</v>
      </c>
      <c r="R801" s="123">
        <v>0</v>
      </c>
      <c r="S801" s="119">
        <v>0</v>
      </c>
      <c r="T801" s="119">
        <v>0</v>
      </c>
      <c r="U801" s="119">
        <v>0</v>
      </c>
      <c r="V801" s="124" t="str">
        <f t="shared" si="80"/>
        <v xml:space="preserve"> </v>
      </c>
    </row>
    <row r="802" spans="1:22" hidden="1">
      <c r="A802" s="451" t="s">
        <v>1983</v>
      </c>
      <c r="B802" s="114">
        <f>_xlfn.IFNA(VLOOKUP(Table1[[#This Row],[SKU]],'Urban Plastix Holds'!$I$36:$L$501,4,0),0)</f>
        <v>0</v>
      </c>
      <c r="C802" s="407">
        <v>3</v>
      </c>
      <c r="D802" s="117">
        <v>0</v>
      </c>
      <c r="E802" s="117">
        <v>0</v>
      </c>
      <c r="F802" s="122">
        <v>0</v>
      </c>
      <c r="G802" s="123">
        <v>0</v>
      </c>
      <c r="H802" s="122">
        <v>0</v>
      </c>
      <c r="I802" s="123">
        <v>0</v>
      </c>
      <c r="J802" s="122">
        <v>0</v>
      </c>
      <c r="K802" s="123">
        <f>IFERROR(3*B802,0)</f>
        <v>0</v>
      </c>
      <c r="L802" s="123">
        <v>0</v>
      </c>
      <c r="M802" s="122">
        <v>0</v>
      </c>
      <c r="N802" s="123">
        <v>0</v>
      </c>
      <c r="O802" s="122">
        <v>0</v>
      </c>
      <c r="P802" s="123">
        <v>0</v>
      </c>
      <c r="Q802" s="122">
        <v>0</v>
      </c>
      <c r="R802" s="123">
        <v>0</v>
      </c>
      <c r="S802" s="119">
        <v>0</v>
      </c>
      <c r="T802" s="119">
        <v>0</v>
      </c>
      <c r="U802" s="119">
        <v>0</v>
      </c>
      <c r="V802" s="124" t="str">
        <f t="shared" si="80"/>
        <v xml:space="preserve"> </v>
      </c>
    </row>
    <row r="803" spans="1:22" hidden="1">
      <c r="A803" s="460" t="s">
        <v>2100</v>
      </c>
      <c r="B803" s="114">
        <f>_xlfn.IFNA(VLOOKUP(Table1[[#This Row],[SKU]],'Urban Plastix Holds'!$I$36:$L$501,4,0),0)</f>
        <v>0</v>
      </c>
      <c r="C803" s="407">
        <v>3</v>
      </c>
      <c r="D803" s="117">
        <v>0</v>
      </c>
      <c r="E803" s="117">
        <v>0</v>
      </c>
      <c r="F803" s="122">
        <v>0</v>
      </c>
      <c r="G803" s="123">
        <v>0</v>
      </c>
      <c r="H803" s="122">
        <v>0</v>
      </c>
      <c r="I803" s="123">
        <f>IFERROR(2*B803,0)</f>
        <v>0</v>
      </c>
      <c r="J803" s="122">
        <f>IFERROR(1*B803,0)</f>
        <v>0</v>
      </c>
      <c r="K803" s="123">
        <v>0</v>
      </c>
      <c r="L803" s="123">
        <v>0</v>
      </c>
      <c r="M803" s="122">
        <v>0</v>
      </c>
      <c r="N803" s="123">
        <v>0</v>
      </c>
      <c r="O803" s="122">
        <v>0</v>
      </c>
      <c r="P803" s="123">
        <v>0</v>
      </c>
      <c r="Q803" s="122">
        <v>0</v>
      </c>
      <c r="R803" s="123">
        <v>0</v>
      </c>
      <c r="S803" s="119">
        <v>0</v>
      </c>
      <c r="T803" s="119">
        <v>0</v>
      </c>
      <c r="U803" s="119">
        <v>0</v>
      </c>
      <c r="V803" s="124" t="str">
        <f t="shared" si="80"/>
        <v xml:space="preserve"> </v>
      </c>
    </row>
    <row r="804" spans="1:22" hidden="1">
      <c r="A804" s="460" t="s">
        <v>2121</v>
      </c>
      <c r="B804" s="114">
        <f>_xlfn.IFNA(VLOOKUP(Table1[[#This Row],[SKU]],'Urban Plastix Holds'!$I$36:$L$501,4,0),0)</f>
        <v>0</v>
      </c>
      <c r="C804" s="407">
        <v>5</v>
      </c>
      <c r="D804" s="117">
        <v>0</v>
      </c>
      <c r="E804" s="117">
        <v>0</v>
      </c>
      <c r="F804" s="122">
        <v>0</v>
      </c>
      <c r="G804" s="123">
        <v>0</v>
      </c>
      <c r="H804" s="122">
        <v>0</v>
      </c>
      <c r="I804" s="123">
        <f>IFERROR(1*B804,0)</f>
        <v>0</v>
      </c>
      <c r="J804" s="122">
        <f>IFERROR(2*B804,0)</f>
        <v>0</v>
      </c>
      <c r="K804" s="123">
        <f>IFERROR(1*B804,0)</f>
        <v>0</v>
      </c>
      <c r="L804" s="123">
        <v>0</v>
      </c>
      <c r="M804" s="122">
        <f>IFERROR(1*B804,0)</f>
        <v>0</v>
      </c>
      <c r="N804" s="123">
        <v>0</v>
      </c>
      <c r="O804" s="122">
        <v>0</v>
      </c>
      <c r="P804" s="123">
        <v>0</v>
      </c>
      <c r="Q804" s="122">
        <v>0</v>
      </c>
      <c r="R804" s="123">
        <v>0</v>
      </c>
      <c r="S804" s="119">
        <v>0</v>
      </c>
      <c r="T804" s="119">
        <v>0</v>
      </c>
      <c r="U804" s="119">
        <v>0</v>
      </c>
      <c r="V804" s="124" t="str">
        <f t="shared" si="80"/>
        <v xml:space="preserve"> </v>
      </c>
    </row>
    <row r="805" spans="1:22" hidden="1">
      <c r="A805" s="451" t="s">
        <v>1320</v>
      </c>
      <c r="B805" s="114">
        <f>_xlfn.IFNA(VLOOKUP(Table1[[#This Row],[SKU]],'Urban Plastix Holds'!$I$36:$L$501,4,0),0)</f>
        <v>0</v>
      </c>
      <c r="C805" s="407">
        <v>1</v>
      </c>
      <c r="D805" s="117">
        <v>0</v>
      </c>
      <c r="E805" s="117">
        <v>0</v>
      </c>
      <c r="F805" s="122">
        <v>0</v>
      </c>
      <c r="G805" s="123">
        <v>0</v>
      </c>
      <c r="H805" s="122">
        <v>0</v>
      </c>
      <c r="I805" s="123">
        <v>0</v>
      </c>
      <c r="J805" s="122">
        <f>IFERROR(1*B805,0)</f>
        <v>0</v>
      </c>
      <c r="K805" s="123">
        <v>0</v>
      </c>
      <c r="L805" s="123">
        <v>0</v>
      </c>
      <c r="M805" s="122">
        <v>0</v>
      </c>
      <c r="N805" s="123">
        <v>0</v>
      </c>
      <c r="O805" s="122">
        <v>0</v>
      </c>
      <c r="P805" s="123">
        <v>0</v>
      </c>
      <c r="Q805" s="122">
        <v>0</v>
      </c>
      <c r="R805" s="123">
        <v>0</v>
      </c>
      <c r="S805" s="119">
        <v>0</v>
      </c>
      <c r="T805" s="119">
        <v>0</v>
      </c>
      <c r="U805" s="119">
        <v>0</v>
      </c>
      <c r="V805" s="124" t="str">
        <f t="shared" ref="V805:V976" si="83">IF(B805&gt;0,"Added"," ")</f>
        <v xml:space="preserve"> </v>
      </c>
    </row>
    <row r="806" spans="1:22" hidden="1">
      <c r="A806" s="451" t="s">
        <v>1280</v>
      </c>
      <c r="B806" s="114">
        <f>_xlfn.IFNA(VLOOKUP(Table1[[#This Row],[SKU]],'Urban Plastix Holds'!$I$36:$L$501,4,0),0)</f>
        <v>0</v>
      </c>
      <c r="C806" s="407">
        <v>1</v>
      </c>
      <c r="D806" s="117">
        <v>0</v>
      </c>
      <c r="E806" s="117">
        <v>0</v>
      </c>
      <c r="F806" s="122">
        <v>0</v>
      </c>
      <c r="G806" s="123">
        <v>0</v>
      </c>
      <c r="H806" s="122">
        <v>0</v>
      </c>
      <c r="I806" s="123">
        <v>0</v>
      </c>
      <c r="J806" s="122">
        <f>IFERROR(1*B806,0)</f>
        <v>0</v>
      </c>
      <c r="K806" s="123">
        <v>0</v>
      </c>
      <c r="L806" s="123">
        <v>0</v>
      </c>
      <c r="M806" s="122">
        <v>0</v>
      </c>
      <c r="N806" s="123">
        <v>0</v>
      </c>
      <c r="O806" s="122">
        <v>0</v>
      </c>
      <c r="P806" s="123">
        <v>0</v>
      </c>
      <c r="Q806" s="122">
        <v>0</v>
      </c>
      <c r="R806" s="123">
        <v>0</v>
      </c>
      <c r="S806" s="119">
        <v>0</v>
      </c>
      <c r="T806" s="119">
        <v>0</v>
      </c>
      <c r="U806" s="119">
        <v>0</v>
      </c>
      <c r="V806" s="124" t="str">
        <f t="shared" si="83"/>
        <v xml:space="preserve"> </v>
      </c>
    </row>
    <row r="807" spans="1:22" hidden="1">
      <c r="A807" s="451" t="s">
        <v>1281</v>
      </c>
      <c r="B807" s="114">
        <f>_xlfn.IFNA(VLOOKUP(Table1[[#This Row],[SKU]],'Urban Plastix Holds'!$I$36:$L$501,4,0),0)</f>
        <v>0</v>
      </c>
      <c r="C807" s="407">
        <v>1</v>
      </c>
      <c r="D807" s="117">
        <v>0</v>
      </c>
      <c r="E807" s="117">
        <v>0</v>
      </c>
      <c r="F807" s="122">
        <v>0</v>
      </c>
      <c r="G807" s="123">
        <v>0</v>
      </c>
      <c r="H807" s="122">
        <v>0</v>
      </c>
      <c r="I807" s="123">
        <v>0</v>
      </c>
      <c r="J807" s="122">
        <f>IFERROR(1*B807,0)</f>
        <v>0</v>
      </c>
      <c r="K807" s="123">
        <v>0</v>
      </c>
      <c r="L807" s="123">
        <v>0</v>
      </c>
      <c r="M807" s="122">
        <v>0</v>
      </c>
      <c r="N807" s="123">
        <v>0</v>
      </c>
      <c r="O807" s="122">
        <v>0</v>
      </c>
      <c r="P807" s="123">
        <v>0</v>
      </c>
      <c r="Q807" s="122">
        <v>0</v>
      </c>
      <c r="R807" s="123">
        <v>0</v>
      </c>
      <c r="S807" s="119">
        <v>0</v>
      </c>
      <c r="T807" s="119">
        <v>0</v>
      </c>
      <c r="U807" s="119">
        <v>0</v>
      </c>
      <c r="V807" s="124" t="str">
        <f t="shared" si="83"/>
        <v xml:space="preserve"> </v>
      </c>
    </row>
    <row r="808" spans="1:22" hidden="1">
      <c r="A808" s="451" t="s">
        <v>1445</v>
      </c>
      <c r="B808" s="114">
        <f>_xlfn.IFNA(VLOOKUP(Table1[[#This Row],[SKU]],'Urban Plastix Holds'!$I$36:$L$501,4,0),0)</f>
        <v>0</v>
      </c>
      <c r="C808" s="407">
        <v>4</v>
      </c>
      <c r="D808" s="117">
        <v>0</v>
      </c>
      <c r="E808" s="117">
        <v>0</v>
      </c>
      <c r="F808" s="122">
        <v>0</v>
      </c>
      <c r="G808" s="123">
        <v>0</v>
      </c>
      <c r="H808" s="122">
        <f>IFERROR(1*B808,0)</f>
        <v>0</v>
      </c>
      <c r="I808" s="123">
        <f>IFERROR(3*B808,0)</f>
        <v>0</v>
      </c>
      <c r="J808" s="122">
        <v>0</v>
      </c>
      <c r="K808" s="123">
        <v>0</v>
      </c>
      <c r="L808" s="123">
        <v>0</v>
      </c>
      <c r="M808" s="122">
        <v>0</v>
      </c>
      <c r="N808" s="123">
        <v>0</v>
      </c>
      <c r="O808" s="122">
        <v>0</v>
      </c>
      <c r="P808" s="123">
        <v>0</v>
      </c>
      <c r="Q808" s="122">
        <v>0</v>
      </c>
      <c r="R808" s="123">
        <v>0</v>
      </c>
      <c r="S808" s="119">
        <v>0</v>
      </c>
      <c r="T808" s="119">
        <v>0</v>
      </c>
      <c r="U808" s="119">
        <v>0</v>
      </c>
      <c r="V808" s="124" t="str">
        <f t="shared" si="83"/>
        <v xml:space="preserve"> </v>
      </c>
    </row>
    <row r="809" spans="1:22" hidden="1">
      <c r="A809" s="451" t="s">
        <v>1773</v>
      </c>
      <c r="B809" s="114">
        <f>_xlfn.IFNA(VLOOKUP(Table1[[#This Row],[SKU]],'Urban Plastix Holds'!$I$36:$L$501,4,0),0)</f>
        <v>0</v>
      </c>
      <c r="C809" s="407">
        <v>5</v>
      </c>
      <c r="D809" s="117">
        <v>0</v>
      </c>
      <c r="E809" s="117">
        <v>0</v>
      </c>
      <c r="F809" s="122">
        <v>0</v>
      </c>
      <c r="G809" s="123">
        <v>0</v>
      </c>
      <c r="H809" s="122">
        <v>0</v>
      </c>
      <c r="I809" s="123">
        <v>0</v>
      </c>
      <c r="J809" s="122">
        <f>IFERROR(5*B809,0)</f>
        <v>0</v>
      </c>
      <c r="K809" s="123">
        <v>0</v>
      </c>
      <c r="L809" s="123">
        <v>0</v>
      </c>
      <c r="M809" s="122">
        <v>0</v>
      </c>
      <c r="N809" s="123">
        <v>0</v>
      </c>
      <c r="O809" s="122">
        <v>0</v>
      </c>
      <c r="P809" s="123">
        <v>0</v>
      </c>
      <c r="Q809" s="122">
        <v>0</v>
      </c>
      <c r="R809" s="123">
        <v>0</v>
      </c>
      <c r="S809" s="119">
        <v>0</v>
      </c>
      <c r="T809" s="119">
        <v>0</v>
      </c>
      <c r="U809" s="119">
        <v>0</v>
      </c>
      <c r="V809" s="124" t="str">
        <f t="shared" si="83"/>
        <v xml:space="preserve"> </v>
      </c>
    </row>
    <row r="810" spans="1:22" hidden="1">
      <c r="A810" s="451" t="s">
        <v>1775</v>
      </c>
      <c r="B810" s="114">
        <f>_xlfn.IFNA(VLOOKUP(Table1[[#This Row],[SKU]],'Urban Plastix Holds'!$I$36:$L$501,4,0),0)</f>
        <v>0</v>
      </c>
      <c r="C810" s="407">
        <v>4</v>
      </c>
      <c r="D810" s="117">
        <v>0</v>
      </c>
      <c r="E810" s="117">
        <v>0</v>
      </c>
      <c r="F810" s="122">
        <v>0</v>
      </c>
      <c r="G810" s="123">
        <v>0</v>
      </c>
      <c r="H810" s="122">
        <v>0</v>
      </c>
      <c r="I810" s="123">
        <v>0</v>
      </c>
      <c r="J810" s="122">
        <f>IFERROR(4*B810,0)</f>
        <v>0</v>
      </c>
      <c r="K810" s="123">
        <v>0</v>
      </c>
      <c r="L810" s="123">
        <v>0</v>
      </c>
      <c r="M810" s="122">
        <v>0</v>
      </c>
      <c r="N810" s="123">
        <v>0</v>
      </c>
      <c r="O810" s="122">
        <v>0</v>
      </c>
      <c r="P810" s="123">
        <v>0</v>
      </c>
      <c r="Q810" s="122">
        <v>0</v>
      </c>
      <c r="R810" s="123">
        <v>0</v>
      </c>
      <c r="S810" s="119">
        <v>0</v>
      </c>
      <c r="T810" s="119">
        <v>0</v>
      </c>
      <c r="U810" s="119">
        <v>0</v>
      </c>
      <c r="V810" s="124" t="str">
        <f t="shared" si="83"/>
        <v xml:space="preserve"> </v>
      </c>
    </row>
    <row r="811" spans="1:22" hidden="1">
      <c r="A811" s="451" t="s">
        <v>1282</v>
      </c>
      <c r="B811" s="114">
        <f>_xlfn.IFNA(VLOOKUP(Table1[[#This Row],[SKU]],'Urban Plastix Holds'!$I$36:$L$501,4,0),0)</f>
        <v>0</v>
      </c>
      <c r="C811" s="407">
        <v>5</v>
      </c>
      <c r="D811" s="117">
        <v>0</v>
      </c>
      <c r="E811" s="117">
        <v>0</v>
      </c>
      <c r="F811" s="122">
        <v>0</v>
      </c>
      <c r="G811" s="123">
        <v>0</v>
      </c>
      <c r="H811" s="122">
        <v>0</v>
      </c>
      <c r="I811" s="122">
        <f>IFERROR(5*B811,0)</f>
        <v>0</v>
      </c>
      <c r="J811" s="122">
        <v>0</v>
      </c>
      <c r="K811" s="123">
        <v>0</v>
      </c>
      <c r="L811" s="123">
        <v>0</v>
      </c>
      <c r="M811" s="122">
        <v>0</v>
      </c>
      <c r="N811" s="123">
        <v>0</v>
      </c>
      <c r="O811" s="122">
        <v>0</v>
      </c>
      <c r="P811" s="123">
        <v>0</v>
      </c>
      <c r="Q811" s="122">
        <v>0</v>
      </c>
      <c r="R811" s="123">
        <v>0</v>
      </c>
      <c r="S811" s="119">
        <v>0</v>
      </c>
      <c r="T811" s="119">
        <v>0</v>
      </c>
      <c r="U811" s="119">
        <v>0</v>
      </c>
      <c r="V811" s="124" t="str">
        <f t="shared" si="83"/>
        <v xml:space="preserve"> </v>
      </c>
    </row>
    <row r="812" spans="1:22" hidden="1">
      <c r="A812" s="460" t="s">
        <v>2176</v>
      </c>
      <c r="B812" s="114">
        <f>_xlfn.IFNA(VLOOKUP(Table1[[#This Row],[SKU]],'Urban Plastix Holds'!$I$36:$L$501,4,0),0)</f>
        <v>0</v>
      </c>
      <c r="C812" s="407">
        <v>5</v>
      </c>
      <c r="D812" s="117">
        <f>Table1[[#This Row],[Quantity of Sets]]*5</f>
        <v>0</v>
      </c>
      <c r="E812" s="117">
        <v>0</v>
      </c>
      <c r="F812" s="122">
        <v>0</v>
      </c>
      <c r="G812" s="123">
        <v>0</v>
      </c>
      <c r="H812" s="122">
        <v>0</v>
      </c>
      <c r="I812" s="122">
        <v>0</v>
      </c>
      <c r="J812" s="122">
        <v>0</v>
      </c>
      <c r="K812" s="123">
        <v>0</v>
      </c>
      <c r="L812" s="123">
        <v>0</v>
      </c>
      <c r="M812" s="122">
        <v>0</v>
      </c>
      <c r="N812" s="123">
        <v>0</v>
      </c>
      <c r="O812" s="122">
        <v>0</v>
      </c>
      <c r="P812" s="123">
        <v>0</v>
      </c>
      <c r="Q812" s="122">
        <f>Table1[[#This Row],[Quantity of Sets]]*10</f>
        <v>0</v>
      </c>
      <c r="R812" s="123">
        <v>0</v>
      </c>
      <c r="S812" s="119">
        <v>0</v>
      </c>
      <c r="T812" s="119">
        <v>0</v>
      </c>
      <c r="U812" s="119">
        <v>0</v>
      </c>
      <c r="V812" s="124" t="str">
        <f t="shared" si="83"/>
        <v xml:space="preserve"> </v>
      </c>
    </row>
    <row r="813" spans="1:22" hidden="1">
      <c r="A813" s="460" t="s">
        <v>2178</v>
      </c>
      <c r="B813" s="114">
        <f>_xlfn.IFNA(VLOOKUP(Table1[[#This Row],[SKU]],'Urban Plastix Holds'!$I$36:$L$501,4,0),0)</f>
        <v>0</v>
      </c>
      <c r="C813" s="407">
        <v>5</v>
      </c>
      <c r="D813" s="117">
        <f>Table1[[#This Row],[Quantity of Sets]]*5</f>
        <v>0</v>
      </c>
      <c r="E813" s="117">
        <v>0</v>
      </c>
      <c r="F813" s="122">
        <v>0</v>
      </c>
      <c r="G813" s="123">
        <v>0</v>
      </c>
      <c r="H813" s="122">
        <v>0</v>
      </c>
      <c r="I813" s="122">
        <v>0</v>
      </c>
      <c r="J813" s="122">
        <v>0</v>
      </c>
      <c r="K813" s="123">
        <v>0</v>
      </c>
      <c r="L813" s="123">
        <v>0</v>
      </c>
      <c r="M813" s="122">
        <v>0</v>
      </c>
      <c r="N813" s="123">
        <v>0</v>
      </c>
      <c r="O813" s="122">
        <v>0</v>
      </c>
      <c r="P813" s="123">
        <v>0</v>
      </c>
      <c r="Q813" s="122">
        <f>Table1[[#This Row],[Quantity of Sets]]*5</f>
        <v>0</v>
      </c>
      <c r="R813" s="123">
        <v>0</v>
      </c>
      <c r="S813" s="119">
        <v>0</v>
      </c>
      <c r="T813" s="119">
        <v>0</v>
      </c>
      <c r="U813" s="119">
        <v>0</v>
      </c>
      <c r="V813" s="124" t="str">
        <f t="shared" si="83"/>
        <v xml:space="preserve"> </v>
      </c>
    </row>
    <row r="814" spans="1:22" hidden="1">
      <c r="A814" s="460" t="s">
        <v>2180</v>
      </c>
      <c r="B814" s="114">
        <f>_xlfn.IFNA(VLOOKUP(Table1[[#This Row],[SKU]],'Urban Plastix Holds'!$I$36:$L$501,4,0),0)</f>
        <v>0</v>
      </c>
      <c r="C814" s="407">
        <v>5</v>
      </c>
      <c r="D814" s="117">
        <f>Table1[[#This Row],[Quantity of Sets]]*3</f>
        <v>0</v>
      </c>
      <c r="E814" s="117">
        <f>Table1[[#This Row],[Quantity of Sets]]*2</f>
        <v>0</v>
      </c>
      <c r="F814" s="122">
        <v>0</v>
      </c>
      <c r="G814" s="123">
        <v>0</v>
      </c>
      <c r="H814" s="122">
        <v>0</v>
      </c>
      <c r="I814" s="122">
        <v>0</v>
      </c>
      <c r="J814" s="122">
        <v>0</v>
      </c>
      <c r="K814" s="123">
        <v>0</v>
      </c>
      <c r="L814" s="123">
        <v>0</v>
      </c>
      <c r="M814" s="122">
        <v>0</v>
      </c>
      <c r="N814" s="123">
        <v>0</v>
      </c>
      <c r="O814" s="122">
        <v>0</v>
      </c>
      <c r="P814" s="123">
        <v>0</v>
      </c>
      <c r="Q814" s="122">
        <f>Table1[[#This Row],[Quantity of Sets]]*5</f>
        <v>0</v>
      </c>
      <c r="R814" s="123">
        <v>0</v>
      </c>
      <c r="S814" s="119">
        <v>0</v>
      </c>
      <c r="T814" s="119">
        <v>0</v>
      </c>
      <c r="U814" s="119">
        <v>0</v>
      </c>
      <c r="V814" s="124" t="str">
        <f t="shared" si="83"/>
        <v xml:space="preserve"> </v>
      </c>
    </row>
    <row r="815" spans="1:22" hidden="1">
      <c r="A815" s="460" t="s">
        <v>2182</v>
      </c>
      <c r="B815" s="114">
        <f>_xlfn.IFNA(VLOOKUP(Table1[[#This Row],[SKU]],'Urban Plastix Holds'!$I$36:$L$501,4,0),0)</f>
        <v>0</v>
      </c>
      <c r="C815" s="407">
        <v>5</v>
      </c>
      <c r="D815" s="117">
        <f>Table1[[#This Row],[Quantity of Sets]]*5</f>
        <v>0</v>
      </c>
      <c r="E815" s="117">
        <v>0</v>
      </c>
      <c r="F815" s="122">
        <v>0</v>
      </c>
      <c r="G815" s="123">
        <v>0</v>
      </c>
      <c r="H815" s="122">
        <v>0</v>
      </c>
      <c r="I815" s="122">
        <v>0</v>
      </c>
      <c r="J815" s="122">
        <v>0</v>
      </c>
      <c r="K815" s="123">
        <v>0</v>
      </c>
      <c r="L815" s="123">
        <v>0</v>
      </c>
      <c r="M815" s="122">
        <v>0</v>
      </c>
      <c r="N815" s="123">
        <v>0</v>
      </c>
      <c r="O815" s="122">
        <v>0</v>
      </c>
      <c r="P815" s="123">
        <v>0</v>
      </c>
      <c r="Q815" s="122">
        <f>B815*5</f>
        <v>0</v>
      </c>
      <c r="R815" s="123">
        <v>0</v>
      </c>
      <c r="S815" s="119">
        <v>0</v>
      </c>
      <c r="T815" s="119">
        <v>0</v>
      </c>
      <c r="U815" s="119">
        <v>0</v>
      </c>
      <c r="V815" s="124" t="str">
        <f t="shared" si="83"/>
        <v xml:space="preserve"> </v>
      </c>
    </row>
    <row r="816" spans="1:22" hidden="1">
      <c r="A816" s="460" t="s">
        <v>2184</v>
      </c>
      <c r="B816" s="114">
        <f>_xlfn.IFNA(VLOOKUP(Table1[[#This Row],[SKU]],'Urban Plastix Holds'!$I$36:$L$501,4,0),0)</f>
        <v>0</v>
      </c>
      <c r="C816" s="407">
        <v>5</v>
      </c>
      <c r="D816" s="117">
        <f>Table1[[#This Row],[Quantity of Sets]]*5</f>
        <v>0</v>
      </c>
      <c r="E816" s="117">
        <v>0</v>
      </c>
      <c r="F816" s="122">
        <v>0</v>
      </c>
      <c r="G816" s="123">
        <v>0</v>
      </c>
      <c r="H816" s="122">
        <v>0</v>
      </c>
      <c r="I816" s="122">
        <v>0</v>
      </c>
      <c r="J816" s="122">
        <v>0</v>
      </c>
      <c r="K816" s="123">
        <v>0</v>
      </c>
      <c r="L816" s="123">
        <v>0</v>
      </c>
      <c r="M816" s="122">
        <v>0</v>
      </c>
      <c r="N816" s="123">
        <v>0</v>
      </c>
      <c r="O816" s="122">
        <v>0</v>
      </c>
      <c r="P816" s="123">
        <v>0</v>
      </c>
      <c r="Q816" s="122">
        <f>B816*5</f>
        <v>0</v>
      </c>
      <c r="R816" s="123">
        <v>0</v>
      </c>
      <c r="S816" s="119">
        <v>0</v>
      </c>
      <c r="T816" s="119">
        <v>0</v>
      </c>
      <c r="U816" s="119">
        <v>0</v>
      </c>
      <c r="V816" s="124" t="str">
        <f t="shared" si="83"/>
        <v xml:space="preserve"> </v>
      </c>
    </row>
    <row r="817" spans="1:22" hidden="1">
      <c r="A817" s="460" t="s">
        <v>2186</v>
      </c>
      <c r="B817" s="114">
        <f>_xlfn.IFNA(VLOOKUP(Table1[[#This Row],[SKU]],'Urban Plastix Holds'!$I$36:$L$501,4,0),0)</f>
        <v>0</v>
      </c>
      <c r="C817" s="407">
        <v>16</v>
      </c>
      <c r="D817" s="117">
        <f>Table1[[#This Row],[Quantity of Sets]]*16</f>
        <v>0</v>
      </c>
      <c r="E817" s="117">
        <v>0</v>
      </c>
      <c r="F817" s="122">
        <v>0</v>
      </c>
      <c r="G817" s="123">
        <v>0</v>
      </c>
      <c r="H817" s="122">
        <v>0</v>
      </c>
      <c r="I817" s="122">
        <v>0</v>
      </c>
      <c r="J817" s="122">
        <v>0</v>
      </c>
      <c r="K817" s="123">
        <v>0</v>
      </c>
      <c r="L817" s="123">
        <v>0</v>
      </c>
      <c r="M817" s="122">
        <v>0</v>
      </c>
      <c r="N817" s="123">
        <v>0</v>
      </c>
      <c r="O817" s="122">
        <v>0</v>
      </c>
      <c r="P817" s="123">
        <v>0</v>
      </c>
      <c r="Q817" s="122">
        <v>0</v>
      </c>
      <c r="R817" s="123">
        <v>0</v>
      </c>
      <c r="S817" s="119">
        <v>0</v>
      </c>
      <c r="T817" s="119">
        <v>0</v>
      </c>
      <c r="U817" s="119">
        <v>0</v>
      </c>
      <c r="V817" s="124" t="str">
        <f t="shared" si="83"/>
        <v xml:space="preserve"> </v>
      </c>
    </row>
    <row r="818" spans="1:22" hidden="1">
      <c r="A818" s="460" t="s">
        <v>2188</v>
      </c>
      <c r="B818" s="114">
        <f>_xlfn.IFNA(VLOOKUP(Table1[[#This Row],[SKU]],'Urban Plastix Holds'!$I$36:$L$501,4,0),0)</f>
        <v>0</v>
      </c>
      <c r="C818" s="407">
        <v>10</v>
      </c>
      <c r="D818" s="117">
        <v>0</v>
      </c>
      <c r="E818" s="117">
        <f>Table1[[#This Row],[Quantity of Sets]]*10</f>
        <v>0</v>
      </c>
      <c r="F818" s="122">
        <v>0</v>
      </c>
      <c r="G818" s="123">
        <v>0</v>
      </c>
      <c r="H818" s="122">
        <v>0</v>
      </c>
      <c r="I818" s="122">
        <v>0</v>
      </c>
      <c r="J818" s="122">
        <v>0</v>
      </c>
      <c r="K818" s="123">
        <v>0</v>
      </c>
      <c r="L818" s="123">
        <v>0</v>
      </c>
      <c r="M818" s="122">
        <v>0</v>
      </c>
      <c r="N818" s="123">
        <v>0</v>
      </c>
      <c r="O818" s="122">
        <v>0</v>
      </c>
      <c r="P818" s="123">
        <v>0</v>
      </c>
      <c r="Q818" s="122">
        <v>0</v>
      </c>
      <c r="R818" s="123">
        <v>0</v>
      </c>
      <c r="S818" s="119">
        <v>0</v>
      </c>
      <c r="T818" s="119">
        <v>0</v>
      </c>
      <c r="U818" s="119">
        <v>0</v>
      </c>
      <c r="V818" s="124" t="str">
        <f t="shared" si="83"/>
        <v xml:space="preserve"> </v>
      </c>
    </row>
    <row r="819" spans="1:22" hidden="1">
      <c r="A819" s="460" t="s">
        <v>2190</v>
      </c>
      <c r="B819" s="114">
        <f>_xlfn.IFNA(VLOOKUP(Table1[[#This Row],[SKU]],'Urban Plastix Holds'!$I$36:$L$501,4,0),0)</f>
        <v>0</v>
      </c>
      <c r="C819" s="407">
        <v>10</v>
      </c>
      <c r="D819" s="117">
        <f>Table1[[#This Row],[Quantity of Sets]]*5</f>
        <v>0</v>
      </c>
      <c r="E819" s="117">
        <f>Table1[[#This Row],[Quantity of Sets]]*5</f>
        <v>0</v>
      </c>
      <c r="F819" s="122">
        <v>0</v>
      </c>
      <c r="G819" s="123">
        <v>0</v>
      </c>
      <c r="H819" s="122">
        <v>0</v>
      </c>
      <c r="I819" s="122">
        <v>0</v>
      </c>
      <c r="J819" s="122">
        <v>0</v>
      </c>
      <c r="K819" s="123">
        <v>0</v>
      </c>
      <c r="L819" s="123">
        <v>0</v>
      </c>
      <c r="M819" s="122">
        <v>0</v>
      </c>
      <c r="N819" s="123">
        <v>0</v>
      </c>
      <c r="O819" s="122">
        <v>0</v>
      </c>
      <c r="P819" s="123">
        <v>0</v>
      </c>
      <c r="Q819" s="122">
        <f>Table1[[#This Row],[Quantity of Sets]]*10</f>
        <v>0</v>
      </c>
      <c r="R819" s="123">
        <v>0</v>
      </c>
      <c r="S819" s="119">
        <v>0</v>
      </c>
      <c r="T819" s="119">
        <v>0</v>
      </c>
      <c r="U819" s="119">
        <v>0</v>
      </c>
      <c r="V819" s="124" t="str">
        <f t="shared" si="83"/>
        <v xml:space="preserve"> </v>
      </c>
    </row>
    <row r="820" spans="1:22" hidden="1">
      <c r="A820" s="460" t="s">
        <v>2235</v>
      </c>
      <c r="B820" s="114">
        <f>_xlfn.IFNA(VLOOKUP(Table1[[#This Row],[SKU]],'Urban Plastix Holds'!$I$36:$L$501,4,0),0)</f>
        <v>0</v>
      </c>
      <c r="C820" s="407">
        <v>1</v>
      </c>
      <c r="D820" s="117">
        <v>0</v>
      </c>
      <c r="E820" s="117">
        <v>0</v>
      </c>
      <c r="F820" s="122">
        <v>0</v>
      </c>
      <c r="G820" s="123">
        <v>0</v>
      </c>
      <c r="H820" s="122">
        <v>0</v>
      </c>
      <c r="I820" s="122">
        <v>0</v>
      </c>
      <c r="J820" s="122">
        <v>0</v>
      </c>
      <c r="K820" s="123">
        <v>0</v>
      </c>
      <c r="L820" s="123">
        <v>0</v>
      </c>
      <c r="M820" s="122">
        <v>0</v>
      </c>
      <c r="N820" s="123">
        <v>0</v>
      </c>
      <c r="O820" s="122">
        <v>0</v>
      </c>
      <c r="P820" s="123">
        <v>0</v>
      </c>
      <c r="Q820" s="122">
        <f>Table1[[#This Row],[Quantity of Sets]]*8</f>
        <v>0</v>
      </c>
      <c r="R820" s="123">
        <f>Table1[[#This Row],[Quantity of Sets]]*5</f>
        <v>0</v>
      </c>
      <c r="S820" s="119">
        <v>0</v>
      </c>
      <c r="T820" s="119">
        <v>0</v>
      </c>
      <c r="U820" s="119">
        <v>0</v>
      </c>
      <c r="V820" s="124" t="str">
        <f>IF(B820&gt;0,"Added"," ")</f>
        <v xml:space="preserve"> </v>
      </c>
    </row>
    <row r="821" spans="1:22" hidden="1">
      <c r="A821" s="460" t="s">
        <v>2337</v>
      </c>
      <c r="B821" s="114">
        <f>_xlfn.IFNA(VLOOKUP(Table1[[#This Row],[SKU]],'Urban Plastix Holds'!$I$36:$L$501,4,0),0)</f>
        <v>0</v>
      </c>
      <c r="C821" s="407">
        <v>3</v>
      </c>
      <c r="D821" s="117">
        <v>0</v>
      </c>
      <c r="E821" s="117">
        <v>0</v>
      </c>
      <c r="F821" s="122">
        <v>0</v>
      </c>
      <c r="G821" s="123">
        <v>0</v>
      </c>
      <c r="H821" s="122">
        <v>0</v>
      </c>
      <c r="I821" s="122">
        <v>0</v>
      </c>
      <c r="J821" s="122">
        <f>3*Table1[[#This Row],[Quantity of Sets]]</f>
        <v>0</v>
      </c>
      <c r="K821" s="123">
        <v>0</v>
      </c>
      <c r="L821" s="123">
        <v>0</v>
      </c>
      <c r="M821" s="122">
        <v>0</v>
      </c>
      <c r="N821" s="123">
        <v>0</v>
      </c>
      <c r="O821" s="122">
        <v>0</v>
      </c>
      <c r="P821" s="123">
        <v>0</v>
      </c>
      <c r="Q821" s="122">
        <f>3*Table1[[#This Row],[Quantity of Sets]]</f>
        <v>0</v>
      </c>
      <c r="R821" s="123">
        <v>0</v>
      </c>
      <c r="S821" s="119">
        <v>0</v>
      </c>
      <c r="T821" s="119">
        <v>0</v>
      </c>
      <c r="U821" s="119">
        <v>0</v>
      </c>
      <c r="V821" s="124" t="str">
        <f>IF(B821&gt;0,"Added"," ")</f>
        <v xml:space="preserve"> </v>
      </c>
    </row>
    <row r="822" spans="1:22" hidden="1">
      <c r="A822" s="460" t="s">
        <v>2445</v>
      </c>
      <c r="B822" s="114">
        <f>_xlfn.IFNA(VLOOKUP(Table1[[#This Row],[SKU]],'Urban Plastix Holds'!$I$36:$L$501,4,0),0)</f>
        <v>0</v>
      </c>
      <c r="C822" s="407">
        <v>5</v>
      </c>
      <c r="D822" s="117">
        <v>0</v>
      </c>
      <c r="E822" s="117">
        <v>0</v>
      </c>
      <c r="F822" s="122">
        <f>1*Table1[[#This Row],[Quantity of Sets]]</f>
        <v>0</v>
      </c>
      <c r="G822" s="123">
        <f>3*Table1[[#This Row],[Quantity of Sets]]</f>
        <v>0</v>
      </c>
      <c r="H822" s="122">
        <f>1*Table1[[#This Row],[Quantity of Sets]]</f>
        <v>0</v>
      </c>
      <c r="I822" s="122">
        <v>0</v>
      </c>
      <c r="J822" s="122">
        <v>0</v>
      </c>
      <c r="K822" s="123">
        <v>0</v>
      </c>
      <c r="L822" s="123">
        <v>0</v>
      </c>
      <c r="M822" s="122">
        <v>0</v>
      </c>
      <c r="N822" s="123">
        <v>0</v>
      </c>
      <c r="O822" s="122">
        <v>0</v>
      </c>
      <c r="P822" s="123">
        <v>0</v>
      </c>
      <c r="Q822" s="122">
        <f>10*Table1[[#This Row],[Quantity of Sets]]</f>
        <v>0</v>
      </c>
      <c r="R822" s="123">
        <v>0</v>
      </c>
      <c r="S822" s="119">
        <v>0</v>
      </c>
      <c r="T822" s="119">
        <v>0</v>
      </c>
      <c r="U822" s="119">
        <v>0</v>
      </c>
      <c r="V822" s="124" t="str">
        <f t="shared" ref="V822:V826" si="84">IF(B822&gt;0,"Added"," ")</f>
        <v xml:space="preserve"> </v>
      </c>
    </row>
    <row r="823" spans="1:22" hidden="1">
      <c r="A823" s="460" t="s">
        <v>2447</v>
      </c>
      <c r="B823" s="114">
        <f>_xlfn.IFNA(VLOOKUP(Table1[[#This Row],[SKU]],'Urban Plastix Holds'!$I$36:$L$501,4,0),0)</f>
        <v>0</v>
      </c>
      <c r="C823" s="407">
        <v>5</v>
      </c>
      <c r="D823" s="117">
        <v>0</v>
      </c>
      <c r="E823" s="117">
        <v>0</v>
      </c>
      <c r="F823" s="122">
        <f>2*Table1[[#This Row],[Quantity of Sets]]</f>
        <v>0</v>
      </c>
      <c r="G823" s="123">
        <f>3*Table1[[#This Row],[Quantity of Sets]]</f>
        <v>0</v>
      </c>
      <c r="H823" s="122">
        <v>0</v>
      </c>
      <c r="I823" s="122">
        <v>0</v>
      </c>
      <c r="J823" s="122">
        <v>0</v>
      </c>
      <c r="K823" s="123">
        <v>0</v>
      </c>
      <c r="L823" s="123">
        <v>0</v>
      </c>
      <c r="M823" s="122">
        <v>0</v>
      </c>
      <c r="N823" s="123">
        <v>0</v>
      </c>
      <c r="O823" s="122">
        <v>0</v>
      </c>
      <c r="P823" s="123">
        <v>0</v>
      </c>
      <c r="Q823" s="122">
        <f>5*Table1[[#This Row],[Quantity of Sets]]</f>
        <v>0</v>
      </c>
      <c r="R823" s="123">
        <v>0</v>
      </c>
      <c r="S823" s="119">
        <v>0</v>
      </c>
      <c r="T823" s="119">
        <v>0</v>
      </c>
      <c r="U823" s="119">
        <v>0</v>
      </c>
      <c r="V823" s="124" t="str">
        <f t="shared" si="84"/>
        <v xml:space="preserve"> </v>
      </c>
    </row>
    <row r="824" spans="1:22" hidden="1">
      <c r="A824" s="460" t="s">
        <v>2449</v>
      </c>
      <c r="B824" s="114">
        <f>_xlfn.IFNA(VLOOKUP(Table1[[#This Row],[SKU]],'Urban Plastix Holds'!$I$36:$L$501,4,0),0)</f>
        <v>0</v>
      </c>
      <c r="C824" s="407">
        <v>3</v>
      </c>
      <c r="D824" s="117">
        <v>0</v>
      </c>
      <c r="E824" s="117">
        <v>0</v>
      </c>
      <c r="F824" s="122">
        <v>0</v>
      </c>
      <c r="G824" s="123">
        <v>0</v>
      </c>
      <c r="H824" s="122">
        <f>1*Table1[[#This Row],[Quantity of Sets]]</f>
        <v>0</v>
      </c>
      <c r="I824" s="122">
        <f>1*Table1[[#This Row],[Quantity of Sets]]</f>
        <v>0</v>
      </c>
      <c r="J824" s="122">
        <v>0</v>
      </c>
      <c r="K824" s="123">
        <f>1*Table1[[#This Row],[Quantity of Sets]]</f>
        <v>0</v>
      </c>
      <c r="L824" s="123">
        <v>0</v>
      </c>
      <c r="M824" s="122">
        <v>0</v>
      </c>
      <c r="N824" s="123">
        <v>0</v>
      </c>
      <c r="O824" s="122">
        <v>0</v>
      </c>
      <c r="P824" s="123">
        <v>0</v>
      </c>
      <c r="Q824" s="122">
        <f>12*Table1[[#This Row],[Quantity of Sets]]</f>
        <v>0</v>
      </c>
      <c r="R824" s="123">
        <v>0</v>
      </c>
      <c r="S824" s="119">
        <v>0</v>
      </c>
      <c r="T824" s="119">
        <v>0</v>
      </c>
      <c r="U824" s="119">
        <v>0</v>
      </c>
      <c r="V824" s="124" t="str">
        <f t="shared" si="84"/>
        <v xml:space="preserve"> </v>
      </c>
    </row>
    <row r="825" spans="1:22" hidden="1">
      <c r="A825" s="460" t="s">
        <v>2451</v>
      </c>
      <c r="B825" s="114">
        <f>_xlfn.IFNA(VLOOKUP(Table1[[#This Row],[SKU]],'Urban Plastix Holds'!$I$36:$L$501,4,0),0)</f>
        <v>0</v>
      </c>
      <c r="C825" s="407">
        <v>10</v>
      </c>
      <c r="D825" s="117">
        <v>0</v>
      </c>
      <c r="E825" s="117">
        <f>10*Table1[[#This Row],[Quantity of Sets]]</f>
        <v>0</v>
      </c>
      <c r="F825" s="122">
        <v>0</v>
      </c>
      <c r="G825" s="123">
        <v>0</v>
      </c>
      <c r="H825" s="122">
        <v>0</v>
      </c>
      <c r="I825" s="122">
        <v>0</v>
      </c>
      <c r="J825" s="122">
        <v>0</v>
      </c>
      <c r="K825" s="123">
        <v>0</v>
      </c>
      <c r="L825" s="123">
        <v>0</v>
      </c>
      <c r="M825" s="122">
        <v>0</v>
      </c>
      <c r="N825" s="123">
        <v>0</v>
      </c>
      <c r="O825" s="122">
        <v>0</v>
      </c>
      <c r="P825" s="123">
        <v>0</v>
      </c>
      <c r="Q825" s="122">
        <f>10*Table1[[#This Row],[Quantity of Sets]]</f>
        <v>0</v>
      </c>
      <c r="R825" s="123">
        <v>0</v>
      </c>
      <c r="S825" s="119">
        <v>0</v>
      </c>
      <c r="T825" s="119">
        <v>0</v>
      </c>
      <c r="U825" s="119">
        <v>0</v>
      </c>
      <c r="V825" s="124" t="str">
        <f t="shared" si="84"/>
        <v xml:space="preserve"> </v>
      </c>
    </row>
    <row r="826" spans="1:22" hidden="1">
      <c r="A826" s="460" t="s">
        <v>2453</v>
      </c>
      <c r="B826" s="114">
        <f>_xlfn.IFNA(VLOOKUP(Table1[[#This Row],[SKU]],'Urban Plastix Holds'!$I$36:$L$501,4,0),0)</f>
        <v>0</v>
      </c>
      <c r="C826" s="407">
        <v>5</v>
      </c>
      <c r="D826" s="117">
        <v>0</v>
      </c>
      <c r="E826" s="117">
        <v>0</v>
      </c>
      <c r="F826" s="122">
        <f>5*Table1[[#This Row],[Quantity of Sets]]</f>
        <v>0</v>
      </c>
      <c r="G826" s="123">
        <v>0</v>
      </c>
      <c r="H826" s="122">
        <v>0</v>
      </c>
      <c r="I826" s="122">
        <v>0</v>
      </c>
      <c r="J826" s="122">
        <v>0</v>
      </c>
      <c r="K826" s="123">
        <v>0</v>
      </c>
      <c r="L826" s="123">
        <v>0</v>
      </c>
      <c r="M826" s="122">
        <v>0</v>
      </c>
      <c r="N826" s="123">
        <v>0</v>
      </c>
      <c r="O826" s="122">
        <v>0</v>
      </c>
      <c r="P826" s="123">
        <v>0</v>
      </c>
      <c r="Q826" s="122">
        <f>5*Table1[[#This Row],[Quantity of Sets]]</f>
        <v>0</v>
      </c>
      <c r="R826" s="123">
        <v>0</v>
      </c>
      <c r="S826" s="119">
        <v>0</v>
      </c>
      <c r="T826" s="119">
        <v>0</v>
      </c>
      <c r="U826" s="119">
        <v>0</v>
      </c>
      <c r="V826" s="124" t="str">
        <f t="shared" si="84"/>
        <v xml:space="preserve"> </v>
      </c>
    </row>
    <row r="827" spans="1:22" hidden="1">
      <c r="A827" s="460" t="s">
        <v>2460</v>
      </c>
      <c r="B827" s="114">
        <f>_xlfn.IFNA(VLOOKUP(Table1[[#This Row],[SKU]],'Urban Plastix Holds'!$I$36:$L$501,4,0),0)</f>
        <v>0</v>
      </c>
      <c r="C827" s="407">
        <v>10</v>
      </c>
      <c r="D827" s="117">
        <v>0</v>
      </c>
      <c r="E827" s="117">
        <f>10*Table1[[#This Row],[Quantity of Sets]]</f>
        <v>0</v>
      </c>
      <c r="F827" s="122">
        <v>0</v>
      </c>
      <c r="G827" s="123">
        <v>0</v>
      </c>
      <c r="H827" s="122">
        <v>0</v>
      </c>
      <c r="I827" s="122">
        <v>0</v>
      </c>
      <c r="J827" s="122">
        <v>0</v>
      </c>
      <c r="K827" s="123">
        <v>0</v>
      </c>
      <c r="L827" s="123">
        <v>0</v>
      </c>
      <c r="M827" s="122">
        <v>0</v>
      </c>
      <c r="N827" s="123">
        <v>0</v>
      </c>
      <c r="O827" s="122">
        <v>0</v>
      </c>
      <c r="P827" s="123">
        <v>0</v>
      </c>
      <c r="Q827" s="122">
        <f>10*Table1[[#This Row],[Quantity of Sets]]</f>
        <v>0</v>
      </c>
      <c r="R827" s="123">
        <v>0</v>
      </c>
      <c r="S827" s="119">
        <v>0</v>
      </c>
      <c r="T827" s="119">
        <v>0</v>
      </c>
      <c r="U827" s="119">
        <v>0</v>
      </c>
      <c r="V827" s="124" t="str">
        <f>IF(B827&gt;0,"Added"," ")</f>
        <v xml:space="preserve"> </v>
      </c>
    </row>
    <row r="828" spans="1:22" hidden="1">
      <c r="A828" s="460" t="s">
        <v>2461</v>
      </c>
      <c r="B828" s="114">
        <f>_xlfn.IFNA(VLOOKUP(Table1[[#This Row],[SKU]],'Urban Plastix Holds'!$I$36:$L$501,4,0),0)</f>
        <v>0</v>
      </c>
      <c r="C828" s="407">
        <v>5</v>
      </c>
      <c r="D828" s="117">
        <v>0</v>
      </c>
      <c r="E828" s="117">
        <v>0</v>
      </c>
      <c r="F828" s="122">
        <f>5*Table1[[#This Row],[Quantity of Sets]]</f>
        <v>0</v>
      </c>
      <c r="G828" s="123">
        <v>0</v>
      </c>
      <c r="H828" s="122">
        <v>0</v>
      </c>
      <c r="I828" s="122">
        <v>0</v>
      </c>
      <c r="J828" s="122">
        <v>0</v>
      </c>
      <c r="K828" s="123">
        <v>0</v>
      </c>
      <c r="L828" s="123">
        <v>0</v>
      </c>
      <c r="M828" s="122">
        <v>0</v>
      </c>
      <c r="N828" s="123">
        <v>0</v>
      </c>
      <c r="O828" s="122">
        <v>0</v>
      </c>
      <c r="P828" s="123">
        <v>0</v>
      </c>
      <c r="Q828" s="122">
        <f>19*Table1[[#This Row],[Quantity of Sets]]</f>
        <v>0</v>
      </c>
      <c r="R828" s="123">
        <v>0</v>
      </c>
      <c r="S828" s="119">
        <v>0</v>
      </c>
      <c r="T828" s="119">
        <v>0</v>
      </c>
      <c r="U828" s="119">
        <v>0</v>
      </c>
      <c r="V828" s="124" t="str">
        <f t="shared" ref="V828:V832" si="85">IF(B828&gt;0,"Added"," ")</f>
        <v xml:space="preserve"> </v>
      </c>
    </row>
    <row r="829" spans="1:22" hidden="1">
      <c r="A829" s="460" t="s">
        <v>2464</v>
      </c>
      <c r="B829" s="114">
        <f>_xlfn.IFNA(VLOOKUP(Table1[[#This Row],[SKU]],'Urban Plastix Holds'!$I$36:$L$501,4,0),0)</f>
        <v>0</v>
      </c>
      <c r="C829" s="407">
        <v>3</v>
      </c>
      <c r="D829" s="117">
        <v>0</v>
      </c>
      <c r="E829" s="117">
        <v>0</v>
      </c>
      <c r="F829" s="122">
        <v>0</v>
      </c>
      <c r="G829" s="123">
        <f>1*Table1[[#This Row],[Quantity of Sets]]</f>
        <v>0</v>
      </c>
      <c r="H829" s="122">
        <f>1*Table1[[#This Row],[Quantity of Sets]]</f>
        <v>0</v>
      </c>
      <c r="I829" s="122">
        <f>1*Table1[[#This Row],[Quantity of Sets]]</f>
        <v>0</v>
      </c>
      <c r="J829" s="122">
        <v>0</v>
      </c>
      <c r="K829" s="123">
        <v>0</v>
      </c>
      <c r="L829" s="123">
        <v>0</v>
      </c>
      <c r="M829" s="122">
        <v>0</v>
      </c>
      <c r="N829" s="123">
        <v>0</v>
      </c>
      <c r="O829" s="122">
        <v>0</v>
      </c>
      <c r="P829" s="123">
        <v>0</v>
      </c>
      <c r="Q829" s="122">
        <f>15*Table1[[#This Row],[Quantity of Sets]]</f>
        <v>0</v>
      </c>
      <c r="R829" s="123">
        <v>0</v>
      </c>
      <c r="S829" s="119">
        <v>0</v>
      </c>
      <c r="T829" s="119">
        <v>0</v>
      </c>
      <c r="U829" s="119">
        <v>0</v>
      </c>
      <c r="V829" s="124" t="str">
        <f t="shared" ref="V829:V830" si="86">IF(B829&gt;0,"Added"," ")</f>
        <v xml:space="preserve"> </v>
      </c>
    </row>
    <row r="830" spans="1:22" hidden="1">
      <c r="A830" s="460" t="s">
        <v>2473</v>
      </c>
      <c r="B830" s="114">
        <f>_xlfn.IFNA(VLOOKUP(Table1[[#This Row],[SKU]],'Urban Plastix Holds'!$I$36:$L$501,4,0),0)</f>
        <v>0</v>
      </c>
      <c r="C830" s="407">
        <v>10</v>
      </c>
      <c r="D830" s="117">
        <f>10*Table1[[#This Row],[Quantity of Sets]]</f>
        <v>0</v>
      </c>
      <c r="E830" s="117">
        <v>0</v>
      </c>
      <c r="F830" s="122">
        <v>0</v>
      </c>
      <c r="G830" s="123">
        <v>0</v>
      </c>
      <c r="H830" s="122">
        <v>0</v>
      </c>
      <c r="I830" s="122">
        <v>0</v>
      </c>
      <c r="J830" s="122">
        <v>0</v>
      </c>
      <c r="K830" s="123">
        <v>0</v>
      </c>
      <c r="L830" s="123">
        <v>0</v>
      </c>
      <c r="M830" s="122">
        <v>0</v>
      </c>
      <c r="N830" s="123">
        <v>0</v>
      </c>
      <c r="O830" s="122">
        <v>0</v>
      </c>
      <c r="P830" s="123">
        <v>0</v>
      </c>
      <c r="Q830" s="122">
        <f>10*Table1[[#This Row],[Quantity of Sets]]</f>
        <v>0</v>
      </c>
      <c r="R830" s="123">
        <v>0</v>
      </c>
      <c r="S830" s="119">
        <v>0</v>
      </c>
      <c r="T830" s="119">
        <v>0</v>
      </c>
      <c r="U830" s="119">
        <v>0</v>
      </c>
      <c r="V830" s="124" t="str">
        <f t="shared" si="86"/>
        <v xml:space="preserve"> </v>
      </c>
    </row>
    <row r="831" spans="1:22" hidden="1">
      <c r="A831" s="460" t="s">
        <v>2466</v>
      </c>
      <c r="B831" s="114">
        <f>_xlfn.IFNA(VLOOKUP(Table1[[#This Row],[SKU]],'Urban Plastix Holds'!$I$36:$L$501,4,0),0)</f>
        <v>0</v>
      </c>
      <c r="C831" s="407">
        <v>5</v>
      </c>
      <c r="D831" s="117">
        <v>0</v>
      </c>
      <c r="E831" s="117">
        <v>0</v>
      </c>
      <c r="F831" s="122">
        <f>5*Table1[[#This Row],[Quantity of Sets]]</f>
        <v>0</v>
      </c>
      <c r="G831" s="123">
        <v>0</v>
      </c>
      <c r="H831" s="122">
        <v>0</v>
      </c>
      <c r="I831" s="122">
        <v>0</v>
      </c>
      <c r="J831" s="122">
        <v>0</v>
      </c>
      <c r="K831" s="123">
        <v>0</v>
      </c>
      <c r="L831" s="123">
        <v>0</v>
      </c>
      <c r="M831" s="122">
        <v>0</v>
      </c>
      <c r="N831" s="123">
        <v>0</v>
      </c>
      <c r="O831" s="122">
        <v>0</v>
      </c>
      <c r="P831" s="123">
        <v>0</v>
      </c>
      <c r="Q831" s="122">
        <f>5*Table1[[#This Row],[Quantity of Sets]]</f>
        <v>0</v>
      </c>
      <c r="R831" s="123">
        <v>0</v>
      </c>
      <c r="S831" s="119">
        <v>0</v>
      </c>
      <c r="T831" s="119">
        <v>0</v>
      </c>
      <c r="U831" s="119">
        <v>0</v>
      </c>
      <c r="V831" s="124" t="str">
        <f t="shared" si="85"/>
        <v xml:space="preserve"> </v>
      </c>
    </row>
    <row r="832" spans="1:22" hidden="1">
      <c r="A832" s="460" t="s">
        <v>2468</v>
      </c>
      <c r="B832" s="114">
        <f>_xlfn.IFNA(VLOOKUP(Table1[[#This Row],[SKU]],'Urban Plastix Holds'!$I$36:$L$501,4,0),0)</f>
        <v>0</v>
      </c>
      <c r="C832" s="407">
        <v>10</v>
      </c>
      <c r="D832" s="117">
        <f>10*Table1[[#This Row],[Quantity of Sets]]</f>
        <v>0</v>
      </c>
      <c r="E832" s="117">
        <v>0</v>
      </c>
      <c r="F832" s="122">
        <v>0</v>
      </c>
      <c r="G832" s="123">
        <v>0</v>
      </c>
      <c r="H832" s="122">
        <v>0</v>
      </c>
      <c r="I832" s="122">
        <v>0</v>
      </c>
      <c r="J832" s="122">
        <v>0</v>
      </c>
      <c r="K832" s="123">
        <v>0</v>
      </c>
      <c r="L832" s="123">
        <v>0</v>
      </c>
      <c r="M832" s="122">
        <v>0</v>
      </c>
      <c r="N832" s="123">
        <v>0</v>
      </c>
      <c r="O832" s="122">
        <v>0</v>
      </c>
      <c r="P832" s="123">
        <v>0</v>
      </c>
      <c r="Q832" s="122">
        <f>10*Table1[[#This Row],[Quantity of Sets]]</f>
        <v>0</v>
      </c>
      <c r="R832" s="123">
        <v>0</v>
      </c>
      <c r="S832" s="119">
        <v>0</v>
      </c>
      <c r="T832" s="119">
        <v>0</v>
      </c>
      <c r="U832" s="119">
        <v>0</v>
      </c>
      <c r="V832" s="124" t="str">
        <f t="shared" si="85"/>
        <v xml:space="preserve"> </v>
      </c>
    </row>
    <row r="833" spans="1:22" hidden="1">
      <c r="A833" s="460" t="s">
        <v>2535</v>
      </c>
      <c r="B833" s="114">
        <f>_xlfn.IFNA(VLOOKUP(Table1[[#This Row],[SKU]],'Urban Plastix Holds'!$I$36:$L$501,4,0),0)</f>
        <v>0</v>
      </c>
      <c r="C833" s="407">
        <v>5</v>
      </c>
      <c r="D833" s="117">
        <v>0</v>
      </c>
      <c r="E833" s="117">
        <v>0</v>
      </c>
      <c r="F833" s="122">
        <f>5*Table1[[#This Row],[Quantity of Sets]]</f>
        <v>0</v>
      </c>
      <c r="G833" s="123">
        <v>0</v>
      </c>
      <c r="H833" s="122">
        <v>0</v>
      </c>
      <c r="I833" s="123">
        <v>0</v>
      </c>
      <c r="J833" s="122">
        <v>0</v>
      </c>
      <c r="K833" s="123">
        <v>0</v>
      </c>
      <c r="L833" s="122">
        <v>0</v>
      </c>
      <c r="M833" s="123">
        <v>0</v>
      </c>
      <c r="N833" s="122">
        <v>0</v>
      </c>
      <c r="O833" s="123">
        <v>0</v>
      </c>
      <c r="P833" s="122">
        <v>0</v>
      </c>
      <c r="Q833" s="123">
        <f>20*Table1[[#This Row],[Quantity of Sets]]</f>
        <v>0</v>
      </c>
      <c r="R833" s="122">
        <v>0</v>
      </c>
      <c r="S833" s="123">
        <v>0</v>
      </c>
      <c r="T833" s="122">
        <v>0</v>
      </c>
      <c r="U833" s="123">
        <v>0</v>
      </c>
      <c r="V833" s="124" t="str">
        <f t="shared" ref="V833:V834" si="87">IF(B833&gt;0,"Added"," ")</f>
        <v xml:space="preserve"> </v>
      </c>
    </row>
    <row r="834" spans="1:22" hidden="1">
      <c r="A834" s="460" t="s">
        <v>2537</v>
      </c>
      <c r="B834" s="114">
        <f>_xlfn.IFNA(VLOOKUP(Table1[[#This Row],[SKU]],'Urban Plastix Holds'!$I$36:$L$501,4,0),0)</f>
        <v>0</v>
      </c>
      <c r="C834" s="407">
        <v>3</v>
      </c>
      <c r="D834" s="117">
        <v>0</v>
      </c>
      <c r="E834" s="117">
        <v>0</v>
      </c>
      <c r="F834" s="122">
        <v>0</v>
      </c>
      <c r="G834" s="123">
        <v>0</v>
      </c>
      <c r="H834" s="122">
        <v>0</v>
      </c>
      <c r="I834" s="122">
        <v>0</v>
      </c>
      <c r="J834" s="122">
        <f>3*Table1[[#This Row],[Quantity of Sets]]</f>
        <v>0</v>
      </c>
      <c r="K834" s="123">
        <v>0</v>
      </c>
      <c r="L834" s="123">
        <v>0</v>
      </c>
      <c r="M834" s="123">
        <v>0</v>
      </c>
      <c r="N834" s="123">
        <v>0</v>
      </c>
      <c r="O834" s="123">
        <v>0</v>
      </c>
      <c r="P834" s="123">
        <v>0</v>
      </c>
      <c r="Q834" s="123">
        <v>0</v>
      </c>
      <c r="R834" s="123">
        <f>13*Table1[[#This Row],[Quantity of Sets]]</f>
        <v>0</v>
      </c>
      <c r="S834" s="123">
        <v>0</v>
      </c>
      <c r="T834" s="123">
        <v>0</v>
      </c>
      <c r="U834" s="123">
        <v>0</v>
      </c>
      <c r="V834" s="124" t="str">
        <f t="shared" si="87"/>
        <v xml:space="preserve"> </v>
      </c>
    </row>
    <row r="835" spans="1:22" hidden="1">
      <c r="A835" s="460" t="s">
        <v>2532</v>
      </c>
      <c r="B835" s="114">
        <f>_xlfn.IFNA(VLOOKUP(Table1[[#This Row],[SKU]],'Urban Plastix Holds'!$I$36:$L$501,4,0),0)</f>
        <v>0</v>
      </c>
      <c r="C835" s="407">
        <v>10</v>
      </c>
      <c r="D835" s="117">
        <f>10*Table1[[#This Row],[Quantity of Sets]]</f>
        <v>0</v>
      </c>
      <c r="E835" s="117">
        <v>0</v>
      </c>
      <c r="F835" s="122">
        <v>0</v>
      </c>
      <c r="G835" s="117">
        <v>0</v>
      </c>
      <c r="H835" s="122">
        <v>0</v>
      </c>
      <c r="I835" s="117">
        <v>0</v>
      </c>
      <c r="J835" s="122">
        <v>0</v>
      </c>
      <c r="K835" s="117">
        <v>0</v>
      </c>
      <c r="L835" s="122">
        <v>0</v>
      </c>
      <c r="M835" s="117">
        <v>0</v>
      </c>
      <c r="N835" s="122">
        <v>0</v>
      </c>
      <c r="O835" s="117">
        <v>0</v>
      </c>
      <c r="P835" s="122">
        <v>0</v>
      </c>
      <c r="Q835" s="117">
        <f>10*Table1[[#This Row],[Quantity of Sets]]</f>
        <v>0</v>
      </c>
      <c r="R835" s="122">
        <v>0</v>
      </c>
      <c r="S835" s="117">
        <v>0</v>
      </c>
      <c r="T835" s="122">
        <v>0</v>
      </c>
      <c r="U835" s="117">
        <v>0</v>
      </c>
      <c r="V835" s="124" t="str">
        <f t="shared" ref="V835:V837" si="88">IF(B835&gt;0,"Added"," ")</f>
        <v xml:space="preserve"> </v>
      </c>
    </row>
    <row r="836" spans="1:22" hidden="1">
      <c r="A836" s="460" t="s">
        <v>2533</v>
      </c>
      <c r="B836" s="114">
        <f>_xlfn.IFNA(VLOOKUP(Table1[[#This Row],[SKU]],'Urban Plastix Holds'!$I$36:$L$501,4,0),0)</f>
        <v>0</v>
      </c>
      <c r="C836" s="407">
        <v>3</v>
      </c>
      <c r="D836" s="117">
        <v>0</v>
      </c>
      <c r="E836" s="117">
        <v>0</v>
      </c>
      <c r="F836" s="122">
        <v>0</v>
      </c>
      <c r="G836" s="123">
        <f>1*Table1[[#This Row],[Quantity of Sets]]</f>
        <v>0</v>
      </c>
      <c r="H836" s="122">
        <f>2*Table1[[#This Row],[Quantity of Sets]]</f>
        <v>0</v>
      </c>
      <c r="I836" s="122">
        <v>0</v>
      </c>
      <c r="J836" s="122">
        <v>0</v>
      </c>
      <c r="K836" s="122">
        <v>0</v>
      </c>
      <c r="L836" s="122">
        <v>0</v>
      </c>
      <c r="M836" s="122">
        <v>0</v>
      </c>
      <c r="N836" s="122">
        <v>0</v>
      </c>
      <c r="O836" s="122">
        <v>0</v>
      </c>
      <c r="P836" s="122">
        <v>0</v>
      </c>
      <c r="Q836" s="122">
        <f>11*Table1[[#This Row],[Quantity of Sets]]</f>
        <v>0</v>
      </c>
      <c r="R836" s="122">
        <v>0</v>
      </c>
      <c r="S836" s="122">
        <v>0</v>
      </c>
      <c r="T836" s="122">
        <v>0</v>
      </c>
      <c r="U836" s="122">
        <v>0</v>
      </c>
      <c r="V836" s="124" t="str">
        <f t="shared" si="88"/>
        <v xml:space="preserve"> </v>
      </c>
    </row>
    <row r="837" spans="1:22" hidden="1">
      <c r="A837" s="460" t="s">
        <v>2534</v>
      </c>
      <c r="B837" s="114">
        <f>_xlfn.IFNA(VLOOKUP(Table1[[#This Row],[SKU]],'Urban Plastix Holds'!$I$36:$L$501,4,0),0)</f>
        <v>0</v>
      </c>
      <c r="C837" s="407">
        <v>5</v>
      </c>
      <c r="D837" s="117">
        <f>5*Table1[[#This Row],[Quantity of Sets]]</f>
        <v>0</v>
      </c>
      <c r="E837" s="117">
        <v>0</v>
      </c>
      <c r="F837" s="122">
        <v>0</v>
      </c>
      <c r="G837" s="117">
        <v>0</v>
      </c>
      <c r="H837" s="122">
        <v>0</v>
      </c>
      <c r="I837" s="117">
        <v>0</v>
      </c>
      <c r="J837" s="122">
        <v>0</v>
      </c>
      <c r="K837" s="117">
        <v>0</v>
      </c>
      <c r="L837" s="122">
        <v>0</v>
      </c>
      <c r="M837" s="117">
        <v>0</v>
      </c>
      <c r="N837" s="122">
        <v>0</v>
      </c>
      <c r="O837" s="117">
        <v>0</v>
      </c>
      <c r="P837" s="122">
        <v>0</v>
      </c>
      <c r="Q837" s="117">
        <f>5*Table1[[#This Row],[Quantity of Sets]]</f>
        <v>0</v>
      </c>
      <c r="R837" s="122">
        <v>0</v>
      </c>
      <c r="S837" s="117">
        <v>0</v>
      </c>
      <c r="T837" s="122">
        <v>0</v>
      </c>
      <c r="U837" s="117">
        <v>0</v>
      </c>
      <c r="V837" s="124" t="str">
        <f t="shared" si="88"/>
        <v xml:space="preserve"> </v>
      </c>
    </row>
    <row r="838" spans="1:22" hidden="1">
      <c r="A838" s="460" t="s">
        <v>2590</v>
      </c>
      <c r="B838" s="114">
        <f>_xlfn.IFNA(VLOOKUP(Table1[[#This Row],[SKU]],'Urban Plastix Holds'!$I$36:$L$501,4,0),0)</f>
        <v>0</v>
      </c>
      <c r="C838" s="407">
        <v>5</v>
      </c>
      <c r="D838" s="117">
        <v>0</v>
      </c>
      <c r="E838" s="117">
        <f>5*Table1[[#This Row],[Quantity of Sets]]</f>
        <v>0</v>
      </c>
      <c r="F838" s="122">
        <v>0</v>
      </c>
      <c r="G838" s="123">
        <v>0</v>
      </c>
      <c r="H838" s="122">
        <v>0</v>
      </c>
      <c r="I838" s="123">
        <v>0</v>
      </c>
      <c r="J838" s="122">
        <v>0</v>
      </c>
      <c r="K838" s="123">
        <v>0</v>
      </c>
      <c r="L838" s="122">
        <v>0</v>
      </c>
      <c r="M838" s="123">
        <v>0</v>
      </c>
      <c r="N838" s="122">
        <v>0</v>
      </c>
      <c r="O838" s="123">
        <v>0</v>
      </c>
      <c r="P838" s="122">
        <v>0</v>
      </c>
      <c r="Q838" s="123">
        <f>5*Table1[[#This Row],[Quantity of Sets]]</f>
        <v>0</v>
      </c>
      <c r="R838" s="122">
        <v>0</v>
      </c>
      <c r="S838" s="123">
        <v>0</v>
      </c>
      <c r="T838" s="122">
        <v>0</v>
      </c>
      <c r="U838" s="123">
        <v>0</v>
      </c>
      <c r="V838" s="124" t="str">
        <f>IF(B838&gt;0,"Added"," ")</f>
        <v xml:space="preserve"> </v>
      </c>
    </row>
    <row r="839" spans="1:22" hidden="1">
      <c r="A839" s="460" t="s">
        <v>2594</v>
      </c>
      <c r="B839" s="114">
        <f>_xlfn.IFNA(VLOOKUP(Table1[[#This Row],[SKU]],'Urban Plastix Holds'!$I$36:$L$501,4,0),0)</f>
        <v>0</v>
      </c>
      <c r="C839" s="407">
        <v>5</v>
      </c>
      <c r="D839" s="117">
        <v>0</v>
      </c>
      <c r="E839" s="117">
        <v>0</v>
      </c>
      <c r="F839" s="122">
        <f>5*Table1[[#This Row],[Quantity of Sets]]</f>
        <v>0</v>
      </c>
      <c r="G839" s="123">
        <v>0</v>
      </c>
      <c r="H839" s="122">
        <v>0</v>
      </c>
      <c r="I839" s="123">
        <v>0</v>
      </c>
      <c r="J839" s="122">
        <v>0</v>
      </c>
      <c r="K839" s="123">
        <v>0</v>
      </c>
      <c r="L839" s="122">
        <v>0</v>
      </c>
      <c r="M839" s="123">
        <v>0</v>
      </c>
      <c r="N839" s="122">
        <v>0</v>
      </c>
      <c r="O839" s="123">
        <v>0</v>
      </c>
      <c r="P839" s="122">
        <v>0</v>
      </c>
      <c r="Q839" s="123">
        <f>5*Table1[[#This Row],[Quantity of Sets]]</f>
        <v>0</v>
      </c>
      <c r="R839" s="122">
        <v>0</v>
      </c>
      <c r="S839" s="637">
        <v>0</v>
      </c>
      <c r="T839" s="124">
        <v>0</v>
      </c>
      <c r="U839" s="637">
        <v>0</v>
      </c>
      <c r="V839" s="124" t="str">
        <f>IF(B839&gt;0,"Added"," ")</f>
        <v xml:space="preserve"> </v>
      </c>
    </row>
    <row r="840" spans="1:22" hidden="1">
      <c r="A840" s="460" t="s">
        <v>2596</v>
      </c>
      <c r="B840" s="114">
        <f>_xlfn.IFNA(VLOOKUP(Table1[[#This Row],[SKU]],'Urban Plastix Holds'!$I$36:$L$501,4,0),0)</f>
        <v>0</v>
      </c>
      <c r="C840" s="407">
        <v>3</v>
      </c>
      <c r="D840" s="117">
        <v>0</v>
      </c>
      <c r="E840" s="117">
        <v>0</v>
      </c>
      <c r="F840" s="122">
        <v>0</v>
      </c>
      <c r="G840" s="123">
        <v>0</v>
      </c>
      <c r="H840" s="122">
        <f>3*Table1[[#This Row],[Quantity of Sets]]</f>
        <v>0</v>
      </c>
      <c r="I840" s="123">
        <v>0</v>
      </c>
      <c r="J840" s="122">
        <v>0</v>
      </c>
      <c r="K840" s="123">
        <v>0</v>
      </c>
      <c r="L840" s="122">
        <v>0</v>
      </c>
      <c r="M840" s="123">
        <v>0</v>
      </c>
      <c r="N840" s="122">
        <v>0</v>
      </c>
      <c r="O840" s="123">
        <v>0</v>
      </c>
      <c r="P840" s="122">
        <v>0</v>
      </c>
      <c r="Q840" s="123">
        <v>0</v>
      </c>
      <c r="R840" s="122">
        <v>0</v>
      </c>
      <c r="S840" s="637">
        <v>0</v>
      </c>
      <c r="T840" s="124">
        <v>0</v>
      </c>
      <c r="U840" s="637">
        <v>0</v>
      </c>
      <c r="V840" s="124" t="str">
        <f>IF(B840&gt;0,"Added"," ")</f>
        <v xml:space="preserve"> </v>
      </c>
    </row>
    <row r="841" spans="1:22" hidden="1">
      <c r="A841" s="460" t="s">
        <v>2592</v>
      </c>
      <c r="B841" s="114">
        <f>_xlfn.IFNA(VLOOKUP(Table1[[#This Row],[SKU]],'Urban Plastix Holds'!$I$36:$L$501,4,0),0)</f>
        <v>0</v>
      </c>
      <c r="C841" s="407">
        <v>5</v>
      </c>
      <c r="D841" s="117">
        <v>0</v>
      </c>
      <c r="E841" s="117">
        <v>0</v>
      </c>
      <c r="F841" s="122">
        <v>0</v>
      </c>
      <c r="G841" s="123">
        <f>5*Table1[[#This Row],[Quantity of Sets]]</f>
        <v>0</v>
      </c>
      <c r="H841" s="122">
        <v>0</v>
      </c>
      <c r="I841" s="123">
        <v>0</v>
      </c>
      <c r="J841" s="122">
        <v>0</v>
      </c>
      <c r="K841" s="123">
        <v>0</v>
      </c>
      <c r="L841" s="122">
        <v>0</v>
      </c>
      <c r="M841" s="123">
        <v>0</v>
      </c>
      <c r="N841" s="122">
        <v>0</v>
      </c>
      <c r="O841" s="123">
        <v>0</v>
      </c>
      <c r="P841" s="122">
        <v>0</v>
      </c>
      <c r="Q841" s="123">
        <f>5*Table1[[#This Row],[Quantity of Sets]]</f>
        <v>0</v>
      </c>
      <c r="R841" s="122">
        <v>0</v>
      </c>
      <c r="S841" s="637">
        <v>0</v>
      </c>
      <c r="T841" s="124">
        <v>0</v>
      </c>
      <c r="U841" s="637">
        <v>0</v>
      </c>
      <c r="V841" s="124" t="str">
        <f t="shared" ref="V841:V842" si="89">IF(B841&gt;0,"Added"," ")</f>
        <v xml:space="preserve"> </v>
      </c>
    </row>
    <row r="842" spans="1:22" hidden="1">
      <c r="A842" s="460" t="s">
        <v>2593</v>
      </c>
      <c r="B842" s="114">
        <f>_xlfn.IFNA(VLOOKUP(Table1[[#This Row],[SKU]],'Urban Plastix Holds'!$I$36:$L$501,4,0),0)</f>
        <v>0</v>
      </c>
      <c r="C842" s="407">
        <v>3</v>
      </c>
      <c r="D842" s="117">
        <v>0</v>
      </c>
      <c r="E842" s="117">
        <v>0</v>
      </c>
      <c r="F842" s="122">
        <v>0</v>
      </c>
      <c r="G842" s="123">
        <v>0</v>
      </c>
      <c r="H842" s="122">
        <v>0</v>
      </c>
      <c r="I842" s="123">
        <f>3*Table1[[#This Row],[Quantity of Sets]]</f>
        <v>0</v>
      </c>
      <c r="J842" s="122">
        <v>0</v>
      </c>
      <c r="K842" s="123">
        <v>0</v>
      </c>
      <c r="L842" s="122">
        <v>0</v>
      </c>
      <c r="M842" s="123">
        <v>0</v>
      </c>
      <c r="N842" s="122">
        <v>0</v>
      </c>
      <c r="O842" s="123">
        <v>0</v>
      </c>
      <c r="P842" s="122">
        <v>0</v>
      </c>
      <c r="Q842" s="123">
        <f>3*Table1[[#This Row],[Quantity of Sets]]</f>
        <v>0</v>
      </c>
      <c r="R842" s="122">
        <v>0</v>
      </c>
      <c r="S842" s="637">
        <v>0</v>
      </c>
      <c r="T842" s="124">
        <v>0</v>
      </c>
      <c r="U842" s="637">
        <v>0</v>
      </c>
      <c r="V842" s="124" t="str">
        <f t="shared" si="89"/>
        <v xml:space="preserve"> </v>
      </c>
    </row>
    <row r="843" spans="1:22" hidden="1">
      <c r="A843" s="460" t="s">
        <v>2642</v>
      </c>
      <c r="B843" s="114">
        <f>_xlfn.IFNA(VLOOKUP(Table1[[#This Row],[SKU]],'Urban Plastix Holds'!$I$36:$L$501,4,0),0)</f>
        <v>0</v>
      </c>
      <c r="C843" s="407">
        <v>4</v>
      </c>
      <c r="D843" s="117">
        <v>0</v>
      </c>
      <c r="E843" s="117">
        <v>0</v>
      </c>
      <c r="F843" s="117">
        <v>0</v>
      </c>
      <c r="G843" s="117">
        <v>0</v>
      </c>
      <c r="H843" s="117">
        <v>0</v>
      </c>
      <c r="I843" s="117">
        <v>0</v>
      </c>
      <c r="J843" s="117">
        <v>0</v>
      </c>
      <c r="K843" s="117">
        <v>0</v>
      </c>
      <c r="L843" s="117">
        <v>0</v>
      </c>
      <c r="M843" s="117">
        <v>0</v>
      </c>
      <c r="N843" s="117">
        <v>0</v>
      </c>
      <c r="O843" s="117">
        <v>0</v>
      </c>
      <c r="P843" s="122">
        <v>0</v>
      </c>
      <c r="Q843" s="123">
        <f>16*Table1[[#This Row],[Quantity of Sets]]</f>
        <v>0</v>
      </c>
      <c r="R843" s="122">
        <v>0</v>
      </c>
      <c r="S843" s="637">
        <v>0</v>
      </c>
      <c r="T843" s="124">
        <v>0</v>
      </c>
      <c r="U843" s="637">
        <v>0</v>
      </c>
      <c r="V843" s="124" t="str">
        <f t="shared" ref="V843:V845" si="90">IF(B843&gt;0,"Added"," ")</f>
        <v xml:space="preserve"> </v>
      </c>
    </row>
    <row r="844" spans="1:22" hidden="1">
      <c r="A844" s="460" t="s">
        <v>2644</v>
      </c>
      <c r="B844" s="114">
        <f>_xlfn.IFNA(VLOOKUP(Table1[[#This Row],[SKU]],'Urban Plastix Holds'!$I$36:$L$501,4,0),0)</f>
        <v>0</v>
      </c>
      <c r="C844" s="407">
        <v>3</v>
      </c>
      <c r="D844" s="117">
        <v>0</v>
      </c>
      <c r="E844" s="117">
        <v>0</v>
      </c>
      <c r="F844" s="122">
        <v>0</v>
      </c>
      <c r="G844" s="123">
        <f>3*Table1[[#This Row],[Quantity of Sets]]</f>
        <v>0</v>
      </c>
      <c r="H844" s="122">
        <v>0</v>
      </c>
      <c r="I844" s="123">
        <v>0</v>
      </c>
      <c r="J844" s="122">
        <v>0</v>
      </c>
      <c r="K844" s="123">
        <v>0</v>
      </c>
      <c r="L844" s="122">
        <v>0</v>
      </c>
      <c r="M844" s="123">
        <v>0</v>
      </c>
      <c r="N844" s="122">
        <v>0</v>
      </c>
      <c r="O844" s="123">
        <v>0</v>
      </c>
      <c r="P844" s="122">
        <v>0</v>
      </c>
      <c r="Q844" s="123">
        <f>3*Table1[[#This Row],[Quantity of Sets]]</f>
        <v>0</v>
      </c>
      <c r="R844" s="122">
        <v>0</v>
      </c>
      <c r="S844" s="637">
        <v>0</v>
      </c>
      <c r="T844" s="124">
        <v>0</v>
      </c>
      <c r="U844" s="637">
        <v>0</v>
      </c>
      <c r="V844" s="124" t="str">
        <f t="shared" si="90"/>
        <v xml:space="preserve"> </v>
      </c>
    </row>
    <row r="845" spans="1:22" hidden="1">
      <c r="A845" s="460" t="s">
        <v>2646</v>
      </c>
      <c r="B845" s="114">
        <f>_xlfn.IFNA(VLOOKUP(Table1[[#This Row],[SKU]],'Urban Plastix Holds'!$I$36:$L$501,4,0),0)</f>
        <v>0</v>
      </c>
      <c r="C845" s="407">
        <v>10</v>
      </c>
      <c r="D845" s="117">
        <f>10*Table1[[#This Row],[Quantity of Sets]]</f>
        <v>0</v>
      </c>
      <c r="E845" s="117">
        <v>0</v>
      </c>
      <c r="F845" s="122">
        <v>0</v>
      </c>
      <c r="G845" s="117">
        <v>0</v>
      </c>
      <c r="H845" s="122">
        <v>0</v>
      </c>
      <c r="I845" s="117">
        <v>0</v>
      </c>
      <c r="J845" s="122">
        <v>0</v>
      </c>
      <c r="K845" s="117">
        <v>0</v>
      </c>
      <c r="L845" s="122">
        <v>0</v>
      </c>
      <c r="M845" s="117">
        <v>0</v>
      </c>
      <c r="N845" s="122">
        <v>0</v>
      </c>
      <c r="O845" s="117">
        <v>0</v>
      </c>
      <c r="P845" s="122">
        <v>0</v>
      </c>
      <c r="Q845" s="117">
        <v>0</v>
      </c>
      <c r="R845" s="122">
        <v>0</v>
      </c>
      <c r="S845" s="117">
        <v>0</v>
      </c>
      <c r="T845" s="122">
        <v>0</v>
      </c>
      <c r="U845" s="117">
        <v>0</v>
      </c>
      <c r="V845" s="124" t="str">
        <f t="shared" si="90"/>
        <v xml:space="preserve"> </v>
      </c>
    </row>
    <row r="846" spans="1:22" hidden="1">
      <c r="A846" s="460" t="s">
        <v>2648</v>
      </c>
      <c r="B846" s="114">
        <f>_xlfn.IFNA(VLOOKUP(Table1[[#This Row],[SKU]],'Urban Plastix Holds'!$I$36:$L$501,4,0),0)</f>
        <v>0</v>
      </c>
      <c r="C846" s="407">
        <v>5</v>
      </c>
      <c r="D846" s="117">
        <v>0</v>
      </c>
      <c r="E846" s="117">
        <f>5*Table1[[#This Row],[Quantity of Sets]]</f>
        <v>0</v>
      </c>
      <c r="F846" s="122">
        <v>0</v>
      </c>
      <c r="G846" s="123">
        <v>0</v>
      </c>
      <c r="H846" s="122">
        <v>0</v>
      </c>
      <c r="I846" s="123">
        <v>0</v>
      </c>
      <c r="J846" s="122">
        <v>0</v>
      </c>
      <c r="K846" s="123">
        <v>0</v>
      </c>
      <c r="L846" s="122">
        <v>0</v>
      </c>
      <c r="M846" s="123">
        <v>0</v>
      </c>
      <c r="N846" s="122">
        <v>0</v>
      </c>
      <c r="O846" s="123">
        <v>0</v>
      </c>
      <c r="P846" s="122">
        <v>0</v>
      </c>
      <c r="Q846" s="123">
        <f>9*Table1[[#This Row],[Quantity of Sets]]</f>
        <v>0</v>
      </c>
      <c r="R846" s="122">
        <v>0</v>
      </c>
      <c r="S846" s="594">
        <v>0</v>
      </c>
      <c r="T846" s="124">
        <v>0</v>
      </c>
      <c r="U846" s="594">
        <v>0</v>
      </c>
      <c r="V846" s="124" t="str">
        <f>IF(B846&gt;0,"Added"," ")</f>
        <v xml:space="preserve"> </v>
      </c>
    </row>
    <row r="847" spans="1:22" hidden="1">
      <c r="A847" s="460" t="s">
        <v>2649</v>
      </c>
      <c r="B847" s="114">
        <f>_xlfn.IFNA(VLOOKUP(Table1[[#This Row],[SKU]],'Urban Plastix Holds'!$I$36:$L$501,4,0),0)</f>
        <v>0</v>
      </c>
      <c r="C847" s="407">
        <v>2</v>
      </c>
      <c r="D847" s="117">
        <v>0</v>
      </c>
      <c r="E847" s="117">
        <v>0</v>
      </c>
      <c r="F847" s="122">
        <v>0</v>
      </c>
      <c r="G847" s="123">
        <f>2*Table1[[#This Row],[Quantity of Sets]]</f>
        <v>0</v>
      </c>
      <c r="H847" s="122">
        <v>0</v>
      </c>
      <c r="I847" s="123">
        <v>0</v>
      </c>
      <c r="J847" s="122">
        <v>0</v>
      </c>
      <c r="K847" s="123">
        <v>0</v>
      </c>
      <c r="L847" s="122">
        <v>0</v>
      </c>
      <c r="M847" s="123">
        <v>0</v>
      </c>
      <c r="N847" s="122">
        <v>0</v>
      </c>
      <c r="O847" s="123">
        <v>0</v>
      </c>
      <c r="P847" s="122">
        <v>0</v>
      </c>
      <c r="Q847" s="123">
        <f>8*Table1[[#This Row],[Quantity of Sets]]</f>
        <v>0</v>
      </c>
      <c r="R847" s="122">
        <v>0</v>
      </c>
      <c r="S847" s="594">
        <v>0</v>
      </c>
      <c r="T847" s="124">
        <v>0</v>
      </c>
      <c r="U847" s="594">
        <v>0</v>
      </c>
      <c r="V847" s="124" t="str">
        <f>IF(B847&gt;0,"Added"," ")</f>
        <v xml:space="preserve"> </v>
      </c>
    </row>
    <row r="848" spans="1:22" hidden="1">
      <c r="A848" s="460" t="s">
        <v>2655</v>
      </c>
      <c r="B848" s="114">
        <f>_xlfn.IFNA(VLOOKUP(Table1[[#This Row],[SKU]],'Urban Plastix Holds'!$I$36:$L$501,4,0),0)</f>
        <v>0</v>
      </c>
      <c r="C848" s="407">
        <v>3</v>
      </c>
      <c r="D848" s="117">
        <v>0</v>
      </c>
      <c r="E848" s="117">
        <v>0</v>
      </c>
      <c r="F848" s="122">
        <f>2*Table1[[#This Row],[Quantity of Sets]]</f>
        <v>0</v>
      </c>
      <c r="G848" s="123">
        <f>1*Table1[[#This Row],[Quantity of Sets]]</f>
        <v>0</v>
      </c>
      <c r="H848" s="122">
        <v>0</v>
      </c>
      <c r="I848" s="123">
        <v>0</v>
      </c>
      <c r="J848" s="122">
        <v>0</v>
      </c>
      <c r="K848" s="123">
        <v>0</v>
      </c>
      <c r="L848" s="122">
        <v>0</v>
      </c>
      <c r="M848" s="123">
        <v>0</v>
      </c>
      <c r="N848" s="122">
        <v>0</v>
      </c>
      <c r="O848" s="123">
        <v>0</v>
      </c>
      <c r="P848" s="122">
        <v>0</v>
      </c>
      <c r="Q848" s="123">
        <f>3*Table1[[#This Row],[Quantity of Sets]]</f>
        <v>0</v>
      </c>
      <c r="R848" s="122">
        <v>0</v>
      </c>
      <c r="S848" s="594">
        <v>0</v>
      </c>
      <c r="T848" s="124">
        <v>0</v>
      </c>
      <c r="U848" s="594">
        <v>0</v>
      </c>
      <c r="V848" s="124" t="str">
        <f t="shared" ref="V848:V852" si="91">IF(B848&gt;0,"Added"," ")</f>
        <v xml:space="preserve"> </v>
      </c>
    </row>
    <row r="849" spans="1:22" hidden="1">
      <c r="A849" s="460" t="s">
        <v>2657</v>
      </c>
      <c r="B849" s="114">
        <f>_xlfn.IFNA(VLOOKUP(Table1[[#This Row],[SKU]],'Urban Plastix Holds'!$I$36:$L$501,4,0),0)</f>
        <v>0</v>
      </c>
      <c r="C849" s="407">
        <v>4</v>
      </c>
      <c r="D849" s="117">
        <v>0</v>
      </c>
      <c r="E849" s="117">
        <f>4*Table1[[#This Row],[Quantity of Sets]]</f>
        <v>0</v>
      </c>
      <c r="F849" s="122">
        <v>0</v>
      </c>
      <c r="G849" s="122">
        <v>0</v>
      </c>
      <c r="H849" s="122">
        <v>0</v>
      </c>
      <c r="I849" s="122">
        <v>0</v>
      </c>
      <c r="J849" s="122">
        <v>0</v>
      </c>
      <c r="K849" s="122">
        <v>0</v>
      </c>
      <c r="L849" s="122">
        <v>0</v>
      </c>
      <c r="M849" s="122">
        <v>0</v>
      </c>
      <c r="N849" s="122">
        <v>0</v>
      </c>
      <c r="O849" s="122">
        <v>0</v>
      </c>
      <c r="P849" s="122">
        <v>0</v>
      </c>
      <c r="Q849" s="123">
        <f>4*Table1[[#This Row],[Quantity of Sets]]</f>
        <v>0</v>
      </c>
      <c r="R849" s="122">
        <v>0</v>
      </c>
      <c r="S849" s="594">
        <v>0</v>
      </c>
      <c r="T849" s="124">
        <v>0</v>
      </c>
      <c r="U849" s="594">
        <v>0</v>
      </c>
      <c r="V849" s="124" t="str">
        <f t="shared" si="91"/>
        <v xml:space="preserve"> </v>
      </c>
    </row>
    <row r="850" spans="1:22" hidden="1">
      <c r="A850" s="460" t="s">
        <v>2658</v>
      </c>
      <c r="B850" s="114">
        <f>_xlfn.IFNA(VLOOKUP(Table1[[#This Row],[SKU]],'Urban Plastix Holds'!$I$36:$L$501,4,0),0)</f>
        <v>0</v>
      </c>
      <c r="C850" s="407">
        <v>5</v>
      </c>
      <c r="D850" s="117">
        <f>5*Table1[[#This Row],[Quantity of Sets]]</f>
        <v>0</v>
      </c>
      <c r="E850" s="117">
        <v>0</v>
      </c>
      <c r="F850" s="117">
        <v>0</v>
      </c>
      <c r="G850" s="117">
        <v>0</v>
      </c>
      <c r="H850" s="117">
        <v>0</v>
      </c>
      <c r="I850" s="117">
        <v>0</v>
      </c>
      <c r="J850" s="117">
        <v>0</v>
      </c>
      <c r="K850" s="117">
        <v>0</v>
      </c>
      <c r="L850" s="117">
        <v>0</v>
      </c>
      <c r="M850" s="117">
        <v>0</v>
      </c>
      <c r="N850" s="117">
        <v>0</v>
      </c>
      <c r="O850" s="117">
        <v>0</v>
      </c>
      <c r="P850" s="117">
        <v>0</v>
      </c>
      <c r="Q850" s="123">
        <f>7*Table1[[#This Row],[Quantity of Sets]]</f>
        <v>0</v>
      </c>
      <c r="R850" s="122">
        <v>0</v>
      </c>
      <c r="S850" s="594">
        <v>0</v>
      </c>
      <c r="T850" s="124">
        <v>0</v>
      </c>
      <c r="U850" s="594">
        <v>0</v>
      </c>
      <c r="V850" s="124" t="str">
        <f t="shared" si="91"/>
        <v xml:space="preserve"> </v>
      </c>
    </row>
    <row r="851" spans="1:22" hidden="1">
      <c r="A851" s="460" t="s">
        <v>2654</v>
      </c>
      <c r="B851" s="114">
        <f>_xlfn.IFNA(VLOOKUP(Table1[[#This Row],[SKU]],'Urban Plastix Holds'!$I$36:$L$501,4,0),0)</f>
        <v>0</v>
      </c>
      <c r="C851" s="407">
        <v>3</v>
      </c>
      <c r="D851" s="117">
        <v>0</v>
      </c>
      <c r="E851" s="117">
        <v>0</v>
      </c>
      <c r="F851" s="122">
        <v>0</v>
      </c>
      <c r="G851" s="123">
        <v>0</v>
      </c>
      <c r="H851" s="122">
        <f>2*Table1[[#This Row],[Quantity of Sets]]</f>
        <v>0</v>
      </c>
      <c r="I851" s="123">
        <v>0</v>
      </c>
      <c r="J851" s="122">
        <f>1*Table1[[#This Row],[Quantity of Sets]]</f>
        <v>0</v>
      </c>
      <c r="K851" s="123">
        <v>0</v>
      </c>
      <c r="L851" s="123">
        <v>0</v>
      </c>
      <c r="M851" s="123">
        <v>0</v>
      </c>
      <c r="N851" s="123">
        <v>0</v>
      </c>
      <c r="O851" s="123">
        <v>0</v>
      </c>
      <c r="P851" s="123">
        <v>0</v>
      </c>
      <c r="Q851" s="123">
        <f>3*Table1[[#This Row],[Quantity of Sets]]</f>
        <v>0</v>
      </c>
      <c r="R851" s="122">
        <v>0</v>
      </c>
      <c r="S851" s="594">
        <v>0</v>
      </c>
      <c r="T851" s="124">
        <v>0</v>
      </c>
      <c r="U851" s="594">
        <v>0</v>
      </c>
      <c r="V851" s="124" t="str">
        <f t="shared" si="91"/>
        <v xml:space="preserve"> </v>
      </c>
    </row>
    <row r="852" spans="1:22" hidden="1">
      <c r="A852" s="460" t="s">
        <v>2656</v>
      </c>
      <c r="B852" s="114">
        <f>_xlfn.IFNA(VLOOKUP(Table1[[#This Row],[SKU]],'Urban Plastix Holds'!$I$36:$L$501,4,0),0)</f>
        <v>0</v>
      </c>
      <c r="C852" s="407">
        <v>3</v>
      </c>
      <c r="D852" s="117">
        <v>0</v>
      </c>
      <c r="E852" s="117">
        <v>0</v>
      </c>
      <c r="F852" s="122">
        <v>0</v>
      </c>
      <c r="G852" s="123">
        <v>0</v>
      </c>
      <c r="H852" s="122">
        <f>1*Table1[[#This Row],[Quantity of Sets]]</f>
        <v>0</v>
      </c>
      <c r="I852" s="123">
        <f>2*Table1[[#This Row],[Quantity of Sets]]</f>
        <v>0</v>
      </c>
      <c r="J852" s="122">
        <v>0</v>
      </c>
      <c r="K852" s="122">
        <v>0</v>
      </c>
      <c r="L852" s="122">
        <v>0</v>
      </c>
      <c r="M852" s="122">
        <v>0</v>
      </c>
      <c r="N852" s="122">
        <v>0</v>
      </c>
      <c r="O852" s="122">
        <v>0</v>
      </c>
      <c r="P852" s="122">
        <v>0</v>
      </c>
      <c r="Q852" s="123">
        <f>7*Table1[[#This Row],[Quantity of Sets]]</f>
        <v>0</v>
      </c>
      <c r="R852" s="122">
        <v>0</v>
      </c>
      <c r="S852" s="594">
        <v>0</v>
      </c>
      <c r="T852" s="124">
        <v>0</v>
      </c>
      <c r="U852" s="594">
        <v>0</v>
      </c>
      <c r="V852" s="124" t="str">
        <f t="shared" si="91"/>
        <v xml:space="preserve"> </v>
      </c>
    </row>
    <row r="853" spans="1:22" hidden="1">
      <c r="A853" s="460" t="s">
        <v>2664</v>
      </c>
      <c r="B853" s="114">
        <f>_xlfn.IFNA(VLOOKUP(Table1[[#This Row],[SKU]],'Urban Plastix Holds'!$I$36:$L$501,4,0),0)</f>
        <v>0</v>
      </c>
      <c r="C853" s="407">
        <v>1</v>
      </c>
      <c r="D853" s="117">
        <v>0</v>
      </c>
      <c r="E853" s="117">
        <v>0</v>
      </c>
      <c r="F853" s="122">
        <v>0</v>
      </c>
      <c r="G853" s="123">
        <v>0</v>
      </c>
      <c r="H853" s="122">
        <v>0</v>
      </c>
      <c r="I853" s="123">
        <f>1*Table1[[#This Row],[Quantity of Sets]]</f>
        <v>0</v>
      </c>
      <c r="J853" s="122">
        <v>0</v>
      </c>
      <c r="K853" s="122">
        <v>0</v>
      </c>
      <c r="L853" s="122">
        <v>0</v>
      </c>
      <c r="M853" s="122">
        <v>0</v>
      </c>
      <c r="N853" s="122">
        <v>0</v>
      </c>
      <c r="O853" s="122">
        <v>0</v>
      </c>
      <c r="P853" s="122">
        <v>0</v>
      </c>
      <c r="Q853" s="123">
        <f>3*Table1[[#This Row],[Quantity of Sets]]</f>
        <v>0</v>
      </c>
      <c r="R853" s="122">
        <v>0</v>
      </c>
      <c r="S853" s="594">
        <v>0</v>
      </c>
      <c r="T853" s="124">
        <v>0</v>
      </c>
      <c r="U853" s="594">
        <v>0</v>
      </c>
      <c r="V853" s="124" t="str">
        <f t="shared" ref="V853" si="92">IF(B853&gt;0,"Added"," ")</f>
        <v xml:space="preserve"> </v>
      </c>
    </row>
    <row r="854" spans="1:22" hidden="1">
      <c r="A854" s="460" t="s">
        <v>2666</v>
      </c>
      <c r="B854" s="114">
        <f>_xlfn.IFNA(VLOOKUP(Table1[[#This Row],[SKU]],'Urban Plastix Holds'!$I$36:$L$501,4,0),0)</f>
        <v>0</v>
      </c>
      <c r="C854" s="407">
        <v>1</v>
      </c>
      <c r="D854" s="117">
        <v>0</v>
      </c>
      <c r="E854" s="117">
        <v>0</v>
      </c>
      <c r="F854" s="122">
        <v>0</v>
      </c>
      <c r="G854" s="123">
        <v>0</v>
      </c>
      <c r="H854" s="122">
        <v>0</v>
      </c>
      <c r="I854" s="123">
        <f>1*Table1[[#This Row],[Quantity of Sets]]</f>
        <v>0</v>
      </c>
      <c r="J854" s="122">
        <v>0</v>
      </c>
      <c r="K854" s="122">
        <v>0</v>
      </c>
      <c r="L854" s="122">
        <v>0</v>
      </c>
      <c r="M854" s="122">
        <v>0</v>
      </c>
      <c r="N854" s="122">
        <v>0</v>
      </c>
      <c r="O854" s="122">
        <v>0</v>
      </c>
      <c r="P854" s="122">
        <v>0</v>
      </c>
      <c r="Q854" s="123">
        <f>3*Table1[[#This Row],[Quantity of Sets]]</f>
        <v>0</v>
      </c>
      <c r="R854" s="122">
        <v>0</v>
      </c>
      <c r="S854" s="594">
        <v>0</v>
      </c>
      <c r="T854" s="124">
        <v>0</v>
      </c>
      <c r="U854" s="594">
        <v>0</v>
      </c>
      <c r="V854" s="124" t="str">
        <f t="shared" ref="V854:V856" si="93">IF(B854&gt;0,"Added"," ")</f>
        <v xml:space="preserve"> </v>
      </c>
    </row>
    <row r="855" spans="1:22" hidden="1">
      <c r="A855" s="460" t="s">
        <v>2668</v>
      </c>
      <c r="B855" s="114">
        <f>_xlfn.IFNA(VLOOKUP(Table1[[#This Row],[SKU]],'Urban Plastix Holds'!$I$36:$L$501,4,0),0)</f>
        <v>0</v>
      </c>
      <c r="C855" s="407">
        <v>1</v>
      </c>
      <c r="D855" s="117">
        <v>0</v>
      </c>
      <c r="E855" s="117">
        <v>0</v>
      </c>
      <c r="F855" s="122">
        <v>0</v>
      </c>
      <c r="G855" s="123">
        <v>0</v>
      </c>
      <c r="H855" s="122">
        <v>0</v>
      </c>
      <c r="I855" s="123">
        <v>0</v>
      </c>
      <c r="J855" s="122">
        <v>0</v>
      </c>
      <c r="K855" s="122">
        <v>0</v>
      </c>
      <c r="L855" s="122">
        <v>0</v>
      </c>
      <c r="M855" s="122">
        <v>0</v>
      </c>
      <c r="N855" s="122">
        <v>0</v>
      </c>
      <c r="O855" s="122">
        <v>0</v>
      </c>
      <c r="P855" s="122">
        <v>0</v>
      </c>
      <c r="Q855" s="123">
        <f>8*Table1[[#This Row],[Quantity of Sets]]</f>
        <v>0</v>
      </c>
      <c r="R855" s="122">
        <v>0</v>
      </c>
      <c r="S855" s="594">
        <v>0</v>
      </c>
      <c r="T855" s="124">
        <v>0</v>
      </c>
      <c r="U855" s="594">
        <v>0</v>
      </c>
      <c r="V855" s="124" t="str">
        <f t="shared" si="93"/>
        <v xml:space="preserve"> </v>
      </c>
    </row>
    <row r="856" spans="1:22" hidden="1">
      <c r="A856" s="460" t="s">
        <v>2670</v>
      </c>
      <c r="B856" s="114">
        <f>_xlfn.IFNA(VLOOKUP(Table1[[#This Row],[SKU]],'Urban Plastix Holds'!$I$36:$L$501,4,0),0)</f>
        <v>0</v>
      </c>
      <c r="C856" s="407">
        <v>5</v>
      </c>
      <c r="D856" s="117">
        <v>0</v>
      </c>
      <c r="E856" s="117">
        <f>4*Table1[[#This Row],[Quantity of Sets]]</f>
        <v>0</v>
      </c>
      <c r="F856" s="122">
        <f>1*Table1[[#This Row],[Quantity of Sets]]</f>
        <v>0</v>
      </c>
      <c r="G856" s="123">
        <v>0</v>
      </c>
      <c r="H856" s="122">
        <v>0</v>
      </c>
      <c r="I856" s="123">
        <v>0</v>
      </c>
      <c r="J856" s="122">
        <v>0</v>
      </c>
      <c r="K856" s="122">
        <v>0</v>
      </c>
      <c r="L856" s="122">
        <v>0</v>
      </c>
      <c r="M856" s="122">
        <v>0</v>
      </c>
      <c r="N856" s="122">
        <v>0</v>
      </c>
      <c r="O856" s="122">
        <v>0</v>
      </c>
      <c r="P856" s="122">
        <v>0</v>
      </c>
      <c r="Q856" s="123">
        <f>5*Table1[[#This Row],[Quantity of Sets]]</f>
        <v>0</v>
      </c>
      <c r="R856" s="122">
        <v>0</v>
      </c>
      <c r="S856" s="594">
        <v>0</v>
      </c>
      <c r="T856" s="124">
        <v>0</v>
      </c>
      <c r="U856" s="594">
        <v>0</v>
      </c>
      <c r="V856" s="124" t="str">
        <f t="shared" si="93"/>
        <v xml:space="preserve"> </v>
      </c>
    </row>
    <row r="857" spans="1:22" hidden="1">
      <c r="A857" s="460" t="s">
        <v>2690</v>
      </c>
      <c r="B857" s="114">
        <f>_xlfn.IFNA(VLOOKUP(Table1[[#This Row],[SKU]],'Urban Plastix Holds'!$I$36:$L$501,4,0),0)</f>
        <v>0</v>
      </c>
      <c r="C857" s="407">
        <v>10</v>
      </c>
      <c r="D857" s="117">
        <f>10*Table1[[#This Row],[Quantity of Sets]]</f>
        <v>0</v>
      </c>
      <c r="E857" s="117">
        <v>0</v>
      </c>
      <c r="F857" s="122">
        <v>0</v>
      </c>
      <c r="G857" s="123">
        <v>0</v>
      </c>
      <c r="H857" s="122">
        <v>0</v>
      </c>
      <c r="I857" s="123">
        <v>0</v>
      </c>
      <c r="J857" s="122">
        <v>0</v>
      </c>
      <c r="K857" s="122">
        <v>0</v>
      </c>
      <c r="L857" s="122">
        <v>0</v>
      </c>
      <c r="M857" s="122">
        <v>0</v>
      </c>
      <c r="N857" s="122">
        <v>0</v>
      </c>
      <c r="O857" s="122">
        <v>0</v>
      </c>
      <c r="P857" s="122">
        <v>0</v>
      </c>
      <c r="Q857" s="123">
        <f>10*Table1[[#This Row],[Quantity of Sets]]</f>
        <v>0</v>
      </c>
      <c r="R857" s="122">
        <v>0</v>
      </c>
      <c r="S857" s="594">
        <v>0</v>
      </c>
      <c r="T857" s="124">
        <v>0</v>
      </c>
      <c r="U857" s="594">
        <v>0</v>
      </c>
      <c r="V857" s="124" t="str">
        <f t="shared" ref="V857:V868" si="94">IF(B857&gt;0,"Added"," ")</f>
        <v xml:space="preserve"> </v>
      </c>
    </row>
    <row r="858" spans="1:22" hidden="1">
      <c r="A858" s="460" t="s">
        <v>2692</v>
      </c>
      <c r="B858" s="114">
        <f>_xlfn.IFNA(VLOOKUP(Table1[[#This Row],[SKU]],'Urban Plastix Holds'!$I$36:$L$501,4,0),0)</f>
        <v>0</v>
      </c>
      <c r="C858" s="407">
        <v>10</v>
      </c>
      <c r="D858" s="117">
        <f>10*Table1[[#This Row],[Quantity of Sets]]</f>
        <v>0</v>
      </c>
      <c r="E858" s="117">
        <v>0</v>
      </c>
      <c r="F858" s="122">
        <v>0</v>
      </c>
      <c r="G858" s="123">
        <v>0</v>
      </c>
      <c r="H858" s="122">
        <v>0</v>
      </c>
      <c r="I858" s="123">
        <v>0</v>
      </c>
      <c r="J858" s="122">
        <v>0</v>
      </c>
      <c r="K858" s="122">
        <v>0</v>
      </c>
      <c r="L858" s="122">
        <v>0</v>
      </c>
      <c r="M858" s="122">
        <v>0</v>
      </c>
      <c r="N858" s="122">
        <v>0</v>
      </c>
      <c r="O858" s="122">
        <v>0</v>
      </c>
      <c r="P858" s="122">
        <v>0</v>
      </c>
      <c r="Q858" s="123">
        <f>10*Table1[[#This Row],[Quantity of Sets]]</f>
        <v>0</v>
      </c>
      <c r="R858" s="122">
        <v>0</v>
      </c>
      <c r="S858" s="594">
        <v>0</v>
      </c>
      <c r="T858" s="124">
        <v>0</v>
      </c>
      <c r="U858" s="594">
        <v>0</v>
      </c>
      <c r="V858" s="124" t="str">
        <f t="shared" si="94"/>
        <v xml:space="preserve"> </v>
      </c>
    </row>
    <row r="859" spans="1:22" hidden="1">
      <c r="A859" s="460" t="s">
        <v>2694</v>
      </c>
      <c r="B859" s="114">
        <f>_xlfn.IFNA(VLOOKUP(Table1[[#This Row],[SKU]],'Urban Plastix Holds'!$I$36:$L$501,4,0),0)</f>
        <v>0</v>
      </c>
      <c r="C859" s="407">
        <v>5</v>
      </c>
      <c r="D859" s="117">
        <v>0</v>
      </c>
      <c r="E859" s="117">
        <f>5*Table1[[#This Row],[Quantity of Sets]]</f>
        <v>0</v>
      </c>
      <c r="F859" s="122">
        <v>0</v>
      </c>
      <c r="G859" s="123">
        <v>0</v>
      </c>
      <c r="H859" s="122">
        <v>0</v>
      </c>
      <c r="I859" s="123">
        <v>0</v>
      </c>
      <c r="J859" s="122">
        <v>0</v>
      </c>
      <c r="K859" s="122">
        <v>0</v>
      </c>
      <c r="L859" s="122">
        <v>0</v>
      </c>
      <c r="M859" s="122">
        <v>0</v>
      </c>
      <c r="N859" s="122">
        <v>0</v>
      </c>
      <c r="O859" s="122">
        <v>0</v>
      </c>
      <c r="P859" s="122">
        <v>0</v>
      </c>
      <c r="Q859" s="123">
        <f>10*Table1[[#This Row],[Quantity of Sets]]</f>
        <v>0</v>
      </c>
      <c r="R859" s="122">
        <v>0</v>
      </c>
      <c r="S859" s="594">
        <v>0</v>
      </c>
      <c r="T859" s="124">
        <v>0</v>
      </c>
      <c r="U859" s="594">
        <v>0</v>
      </c>
      <c r="V859" s="124" t="str">
        <f t="shared" si="94"/>
        <v xml:space="preserve"> </v>
      </c>
    </row>
    <row r="860" spans="1:22" hidden="1">
      <c r="A860" s="460" t="s">
        <v>2696</v>
      </c>
      <c r="B860" s="114">
        <f>_xlfn.IFNA(VLOOKUP(Table1[[#This Row],[SKU]],'Urban Plastix Holds'!$I$36:$L$501,4,0),0)</f>
        <v>0</v>
      </c>
      <c r="C860" s="407">
        <v>10</v>
      </c>
      <c r="D860" s="117">
        <f>10*Table1[[#This Row],[Quantity of Sets]]</f>
        <v>0</v>
      </c>
      <c r="E860" s="117">
        <v>0</v>
      </c>
      <c r="F860" s="122">
        <v>0</v>
      </c>
      <c r="G860" s="123">
        <v>0</v>
      </c>
      <c r="H860" s="122">
        <v>0</v>
      </c>
      <c r="I860" s="123">
        <v>0</v>
      </c>
      <c r="J860" s="122">
        <v>0</v>
      </c>
      <c r="K860" s="122">
        <v>0</v>
      </c>
      <c r="L860" s="122">
        <v>0</v>
      </c>
      <c r="M860" s="122">
        <v>0</v>
      </c>
      <c r="N860" s="122">
        <v>0</v>
      </c>
      <c r="O860" s="122">
        <v>0</v>
      </c>
      <c r="P860" s="122">
        <v>0</v>
      </c>
      <c r="Q860" s="123">
        <f>10*Table1[[#This Row],[Quantity of Sets]]</f>
        <v>0</v>
      </c>
      <c r="R860" s="122">
        <v>0</v>
      </c>
      <c r="S860" s="594">
        <v>0</v>
      </c>
      <c r="T860" s="124">
        <v>0</v>
      </c>
      <c r="U860" s="594">
        <v>0</v>
      </c>
      <c r="V860" s="124" t="str">
        <f t="shared" si="94"/>
        <v xml:space="preserve"> </v>
      </c>
    </row>
    <row r="861" spans="1:22" hidden="1">
      <c r="A861" s="460" t="s">
        <v>2698</v>
      </c>
      <c r="B861" s="114">
        <f>_xlfn.IFNA(VLOOKUP(Table1[[#This Row],[SKU]],'Urban Plastix Holds'!$I$36:$L$501,4,0),0)</f>
        <v>0</v>
      </c>
      <c r="C861" s="407">
        <v>10</v>
      </c>
      <c r="D861" s="117">
        <f>10*Table1[[#This Row],[Quantity of Sets]]</f>
        <v>0</v>
      </c>
      <c r="E861" s="117">
        <v>0</v>
      </c>
      <c r="F861" s="122">
        <v>0</v>
      </c>
      <c r="G861" s="123">
        <v>0</v>
      </c>
      <c r="H861" s="122">
        <v>0</v>
      </c>
      <c r="I861" s="123">
        <v>0</v>
      </c>
      <c r="J861" s="122">
        <v>0</v>
      </c>
      <c r="K861" s="122">
        <v>0</v>
      </c>
      <c r="L861" s="122">
        <v>0</v>
      </c>
      <c r="M861" s="122">
        <v>0</v>
      </c>
      <c r="N861" s="122">
        <v>0</v>
      </c>
      <c r="O861" s="122">
        <v>0</v>
      </c>
      <c r="P861" s="122">
        <v>0</v>
      </c>
      <c r="Q861" s="123">
        <f>10*Table1[[#This Row],[Quantity of Sets]]</f>
        <v>0</v>
      </c>
      <c r="R861" s="122">
        <v>0</v>
      </c>
      <c r="S861" s="594">
        <v>0</v>
      </c>
      <c r="T861" s="124">
        <v>0</v>
      </c>
      <c r="U861" s="594">
        <v>0</v>
      </c>
      <c r="V861" s="124" t="str">
        <f t="shared" si="94"/>
        <v xml:space="preserve"> </v>
      </c>
    </row>
    <row r="862" spans="1:22" hidden="1">
      <c r="A862" s="460" t="s">
        <v>2700</v>
      </c>
      <c r="B862" s="114">
        <f>_xlfn.IFNA(VLOOKUP(Table1[[#This Row],[SKU]],'Urban Plastix Holds'!$I$36:$L$501,4,0),0)</f>
        <v>0</v>
      </c>
      <c r="C862" s="407">
        <v>5</v>
      </c>
      <c r="D862" s="117">
        <v>0</v>
      </c>
      <c r="E862" s="117">
        <v>0</v>
      </c>
      <c r="F862" s="122">
        <v>0</v>
      </c>
      <c r="G862" s="123">
        <f>5*Table1[[#This Row],[Quantity of Sets]]</f>
        <v>0</v>
      </c>
      <c r="H862" s="122">
        <v>0</v>
      </c>
      <c r="I862" s="123">
        <v>0</v>
      </c>
      <c r="J862" s="122">
        <v>0</v>
      </c>
      <c r="K862" s="122">
        <v>0</v>
      </c>
      <c r="L862" s="122">
        <v>0</v>
      </c>
      <c r="M862" s="122">
        <v>0</v>
      </c>
      <c r="N862" s="122">
        <v>0</v>
      </c>
      <c r="O862" s="122">
        <v>0</v>
      </c>
      <c r="P862" s="122">
        <v>0</v>
      </c>
      <c r="Q862" s="123">
        <f>5*Table1[[#This Row],[Quantity of Sets]]</f>
        <v>0</v>
      </c>
      <c r="R862" s="122">
        <v>0</v>
      </c>
      <c r="S862" s="594">
        <v>0</v>
      </c>
      <c r="T862" s="124">
        <v>0</v>
      </c>
      <c r="U862" s="594">
        <v>0</v>
      </c>
      <c r="V862" s="124" t="str">
        <f t="shared" si="94"/>
        <v xml:space="preserve"> </v>
      </c>
    </row>
    <row r="863" spans="1:22" hidden="1">
      <c r="A863" s="460" t="s">
        <v>2708</v>
      </c>
      <c r="B863" s="114">
        <f>_xlfn.IFNA(VLOOKUP(Table1[[#This Row],[SKU]],'Urban Plastix Holds'!$I$36:$L$501,4,0),0)</f>
        <v>0</v>
      </c>
      <c r="C863" s="407">
        <v>10</v>
      </c>
      <c r="D863" s="117">
        <f>10*Table1[[#This Row],[Quantity of Sets]]</f>
        <v>0</v>
      </c>
      <c r="E863" s="117">
        <v>0</v>
      </c>
      <c r="F863" s="122">
        <v>0</v>
      </c>
      <c r="G863" s="123">
        <v>0</v>
      </c>
      <c r="H863" s="122">
        <v>0</v>
      </c>
      <c r="I863" s="123">
        <v>0</v>
      </c>
      <c r="J863" s="122">
        <v>0</v>
      </c>
      <c r="K863" s="122">
        <v>0</v>
      </c>
      <c r="L863" s="122">
        <v>0</v>
      </c>
      <c r="M863" s="122">
        <v>0</v>
      </c>
      <c r="N863" s="122">
        <v>0</v>
      </c>
      <c r="O863" s="122">
        <v>0</v>
      </c>
      <c r="P863" s="122">
        <v>0</v>
      </c>
      <c r="Q863" s="123">
        <f>10*Table1[[#This Row],[Quantity of Sets]]</f>
        <v>0</v>
      </c>
      <c r="R863" s="122">
        <v>0</v>
      </c>
      <c r="S863" s="594">
        <v>0</v>
      </c>
      <c r="T863" s="124">
        <v>0</v>
      </c>
      <c r="U863" s="594">
        <v>0</v>
      </c>
      <c r="V863" s="124" t="str">
        <f t="shared" si="94"/>
        <v xml:space="preserve"> </v>
      </c>
    </row>
    <row r="864" spans="1:22" hidden="1">
      <c r="A864" s="460" t="s">
        <v>2710</v>
      </c>
      <c r="B864" s="114">
        <f>_xlfn.IFNA(VLOOKUP(Table1[[#This Row],[SKU]],'Urban Plastix Holds'!$I$36:$L$501,4,0),0)</f>
        <v>0</v>
      </c>
      <c r="C864" s="407">
        <v>10</v>
      </c>
      <c r="D864" s="117">
        <f>10*Table1[[#This Row],[Quantity of Sets]]</f>
        <v>0</v>
      </c>
      <c r="E864" s="117">
        <v>0</v>
      </c>
      <c r="F864" s="122">
        <v>0</v>
      </c>
      <c r="G864" s="123">
        <v>0</v>
      </c>
      <c r="H864" s="122">
        <v>0</v>
      </c>
      <c r="I864" s="123">
        <v>0</v>
      </c>
      <c r="J864" s="122">
        <v>0</v>
      </c>
      <c r="K864" s="122">
        <v>0</v>
      </c>
      <c r="L864" s="122">
        <v>0</v>
      </c>
      <c r="M864" s="122">
        <v>0</v>
      </c>
      <c r="N864" s="122">
        <v>0</v>
      </c>
      <c r="O864" s="122">
        <v>0</v>
      </c>
      <c r="P864" s="122">
        <v>0</v>
      </c>
      <c r="Q864" s="123">
        <f>10*Table1[[#This Row],[Quantity of Sets]]</f>
        <v>0</v>
      </c>
      <c r="R864" s="122">
        <v>0</v>
      </c>
      <c r="S864" s="594">
        <v>0</v>
      </c>
      <c r="T864" s="124">
        <v>0</v>
      </c>
      <c r="U864" s="594">
        <v>0</v>
      </c>
      <c r="V864" s="124" t="str">
        <f t="shared" si="94"/>
        <v xml:space="preserve"> </v>
      </c>
    </row>
    <row r="865" spans="1:22" hidden="1">
      <c r="A865" s="460" t="s">
        <v>2712</v>
      </c>
      <c r="B865" s="114">
        <f>_xlfn.IFNA(VLOOKUP(Table1[[#This Row],[SKU]],'Urban Plastix Holds'!$I$36:$L$501,4,0),0)</f>
        <v>0</v>
      </c>
      <c r="C865" s="407">
        <v>5</v>
      </c>
      <c r="D865" s="117">
        <v>0</v>
      </c>
      <c r="E865" s="117">
        <f>5*Table1[[#This Row],[Quantity of Sets]]</f>
        <v>0</v>
      </c>
      <c r="F865" s="122">
        <v>0</v>
      </c>
      <c r="G865" s="123">
        <v>0</v>
      </c>
      <c r="H865" s="122">
        <v>0</v>
      </c>
      <c r="I865" s="123">
        <v>0</v>
      </c>
      <c r="J865" s="122">
        <v>0</v>
      </c>
      <c r="K865" s="122">
        <v>0</v>
      </c>
      <c r="L865" s="122">
        <v>0</v>
      </c>
      <c r="M865" s="122">
        <v>0</v>
      </c>
      <c r="N865" s="122">
        <v>0</v>
      </c>
      <c r="O865" s="122">
        <v>0</v>
      </c>
      <c r="P865" s="122">
        <v>0</v>
      </c>
      <c r="Q865" s="123">
        <f>10*Table1[[#This Row],[Quantity of Sets]]</f>
        <v>0</v>
      </c>
      <c r="R865" s="122">
        <v>0</v>
      </c>
      <c r="S865" s="594">
        <v>0</v>
      </c>
      <c r="T865" s="124">
        <v>0</v>
      </c>
      <c r="U865" s="594">
        <v>0</v>
      </c>
      <c r="V865" s="124" t="str">
        <f t="shared" si="94"/>
        <v xml:space="preserve"> </v>
      </c>
    </row>
    <row r="866" spans="1:22" hidden="1">
      <c r="A866" s="460" t="s">
        <v>2714</v>
      </c>
      <c r="B866" s="114">
        <f>_xlfn.IFNA(VLOOKUP(Table1[[#This Row],[SKU]],'Urban Plastix Holds'!$I$36:$L$501,4,0),0)</f>
        <v>0</v>
      </c>
      <c r="C866" s="407">
        <v>10</v>
      </c>
      <c r="D866" s="117">
        <v>0</v>
      </c>
      <c r="E866" s="117">
        <v>0</v>
      </c>
      <c r="F866" s="122">
        <v>0</v>
      </c>
      <c r="G866" s="123">
        <v>0</v>
      </c>
      <c r="H866" s="122">
        <v>0</v>
      </c>
      <c r="I866" s="123">
        <v>0</v>
      </c>
      <c r="J866" s="122">
        <v>0</v>
      </c>
      <c r="K866" s="122">
        <v>0</v>
      </c>
      <c r="L866" s="122">
        <v>0</v>
      </c>
      <c r="M866" s="122">
        <v>0</v>
      </c>
      <c r="N866" s="122">
        <v>0</v>
      </c>
      <c r="O866" s="122">
        <v>0</v>
      </c>
      <c r="P866" s="122">
        <v>0</v>
      </c>
      <c r="Q866" s="123">
        <f>26*Table1[[#This Row],[Quantity of Sets]]</f>
        <v>0</v>
      </c>
      <c r="R866" s="122">
        <v>0</v>
      </c>
      <c r="S866" s="594">
        <v>0</v>
      </c>
      <c r="T866" s="124">
        <v>0</v>
      </c>
      <c r="U866" s="594">
        <v>0</v>
      </c>
      <c r="V866" s="124" t="str">
        <f t="shared" si="94"/>
        <v xml:space="preserve"> </v>
      </c>
    </row>
    <row r="867" spans="1:22" hidden="1">
      <c r="A867" s="460" t="s">
        <v>2716</v>
      </c>
      <c r="B867" s="114">
        <f>_xlfn.IFNA(VLOOKUP(Table1[[#This Row],[SKU]],'Urban Plastix Holds'!$I$36:$L$501,4,0),0)</f>
        <v>0</v>
      </c>
      <c r="C867" s="407">
        <v>5</v>
      </c>
      <c r="D867" s="117">
        <v>0</v>
      </c>
      <c r="E867" s="117">
        <v>0</v>
      </c>
      <c r="F867" s="122">
        <v>0</v>
      </c>
      <c r="G867" s="123">
        <f>5*Table1[[#This Row],[Quantity of Sets]]</f>
        <v>0</v>
      </c>
      <c r="H867" s="122">
        <v>0</v>
      </c>
      <c r="I867" s="123">
        <v>0</v>
      </c>
      <c r="J867" s="122">
        <v>0</v>
      </c>
      <c r="K867" s="122">
        <v>0</v>
      </c>
      <c r="L867" s="122">
        <v>0</v>
      </c>
      <c r="M867" s="122">
        <v>0</v>
      </c>
      <c r="N867" s="122">
        <v>0</v>
      </c>
      <c r="O867" s="122">
        <v>0</v>
      </c>
      <c r="P867" s="122">
        <v>0</v>
      </c>
      <c r="Q867" s="123">
        <f>10*Table1[[#This Row],[Quantity of Sets]]</f>
        <v>0</v>
      </c>
      <c r="R867" s="122">
        <v>0</v>
      </c>
      <c r="S867" s="594">
        <v>0</v>
      </c>
      <c r="T867" s="124">
        <v>0</v>
      </c>
      <c r="U867" s="594">
        <v>0</v>
      </c>
      <c r="V867" s="124" t="str">
        <f t="shared" si="94"/>
        <v xml:space="preserve"> </v>
      </c>
    </row>
    <row r="868" spans="1:22" hidden="1">
      <c r="A868" s="460" t="s">
        <v>2718</v>
      </c>
      <c r="B868" s="114">
        <f>_xlfn.IFNA(VLOOKUP(Table1[[#This Row],[SKU]],'Urban Plastix Holds'!$I$36:$L$501,4,0),0)</f>
        <v>0</v>
      </c>
      <c r="C868" s="407">
        <v>10</v>
      </c>
      <c r="D868" s="117">
        <f>10*Table1[[#This Row],[Quantity of Sets]]</f>
        <v>0</v>
      </c>
      <c r="E868" s="117">
        <v>0</v>
      </c>
      <c r="F868" s="122">
        <v>0</v>
      </c>
      <c r="G868" s="123">
        <v>0</v>
      </c>
      <c r="H868" s="122">
        <v>0</v>
      </c>
      <c r="I868" s="123">
        <v>0</v>
      </c>
      <c r="J868" s="122">
        <v>0</v>
      </c>
      <c r="K868" s="122">
        <v>0</v>
      </c>
      <c r="L868" s="122">
        <v>0</v>
      </c>
      <c r="M868" s="122">
        <v>0</v>
      </c>
      <c r="N868" s="122">
        <v>0</v>
      </c>
      <c r="O868" s="122">
        <v>0</v>
      </c>
      <c r="P868" s="122">
        <v>0</v>
      </c>
      <c r="Q868" s="123">
        <f>10*Table1[[#This Row],[Quantity of Sets]]</f>
        <v>0</v>
      </c>
      <c r="R868" s="122">
        <v>0</v>
      </c>
      <c r="S868" s="594">
        <v>0</v>
      </c>
      <c r="T868" s="124">
        <v>0</v>
      </c>
      <c r="U868" s="594">
        <v>0</v>
      </c>
      <c r="V868" s="124" t="str">
        <f t="shared" si="94"/>
        <v xml:space="preserve"> </v>
      </c>
    </row>
    <row r="869" spans="1:22" hidden="1">
      <c r="A869" s="460" t="s">
        <v>2741</v>
      </c>
      <c r="B869" s="114">
        <f>_xlfn.IFNA(VLOOKUP(Table1[[#This Row],[SKU]],'Urban Plastix Holds'!$I$36:$L$501,4,0),0)</f>
        <v>0</v>
      </c>
      <c r="C869" s="407">
        <v>5</v>
      </c>
      <c r="D869" s="117">
        <f>5*Table1[[#This Row],[Quantity of Sets]]</f>
        <v>0</v>
      </c>
      <c r="E869" s="117">
        <v>0</v>
      </c>
      <c r="F869" s="122">
        <v>0</v>
      </c>
      <c r="G869" s="123">
        <v>0</v>
      </c>
      <c r="H869" s="122">
        <v>0</v>
      </c>
      <c r="I869" s="123">
        <v>0</v>
      </c>
      <c r="J869" s="122">
        <v>0</v>
      </c>
      <c r="K869" s="122">
        <v>0</v>
      </c>
      <c r="L869" s="122">
        <v>0</v>
      </c>
      <c r="M869" s="122">
        <v>0</v>
      </c>
      <c r="N869" s="122">
        <v>0</v>
      </c>
      <c r="O869" s="122">
        <v>0</v>
      </c>
      <c r="P869" s="122">
        <v>0</v>
      </c>
      <c r="Q869" s="123">
        <f>5*Table1[[#This Row],[Quantity of Sets]]</f>
        <v>0</v>
      </c>
      <c r="R869" s="122">
        <v>0</v>
      </c>
      <c r="S869" s="594">
        <v>0</v>
      </c>
      <c r="T869" s="124">
        <v>0</v>
      </c>
      <c r="U869" s="594">
        <v>0</v>
      </c>
      <c r="V869" s="124" t="str">
        <f t="shared" ref="V869:V872" si="95">IF(B869&gt;0,"Added"," ")</f>
        <v xml:space="preserve"> </v>
      </c>
    </row>
    <row r="870" spans="1:22" hidden="1">
      <c r="A870" s="460" t="s">
        <v>2743</v>
      </c>
      <c r="B870" s="114">
        <f>_xlfn.IFNA(VLOOKUP(Table1[[#This Row],[SKU]],'Urban Plastix Holds'!$I$36:$L$501,4,0),0)</f>
        <v>0</v>
      </c>
      <c r="C870" s="407">
        <v>5</v>
      </c>
      <c r="D870" s="117">
        <v>0</v>
      </c>
      <c r="E870" s="117">
        <v>0</v>
      </c>
      <c r="F870" s="122">
        <f>5*Table1[[#This Row],[Quantity of Sets]]</f>
        <v>0</v>
      </c>
      <c r="G870" s="123">
        <v>0</v>
      </c>
      <c r="H870" s="122">
        <v>0</v>
      </c>
      <c r="I870" s="123">
        <v>0</v>
      </c>
      <c r="J870" s="122">
        <v>0</v>
      </c>
      <c r="K870" s="122">
        <v>0</v>
      </c>
      <c r="L870" s="122">
        <v>0</v>
      </c>
      <c r="M870" s="122">
        <v>0</v>
      </c>
      <c r="N870" s="122">
        <v>0</v>
      </c>
      <c r="O870" s="122">
        <v>0</v>
      </c>
      <c r="P870" s="122">
        <v>0</v>
      </c>
      <c r="Q870" s="123">
        <f>5*Table1[[#This Row],[Quantity of Sets]]</f>
        <v>0</v>
      </c>
      <c r="R870" s="122">
        <v>0</v>
      </c>
      <c r="S870" s="594">
        <v>0</v>
      </c>
      <c r="T870" s="124">
        <v>0</v>
      </c>
      <c r="U870" s="594">
        <v>0</v>
      </c>
      <c r="V870" s="124" t="str">
        <f t="shared" si="95"/>
        <v xml:space="preserve"> </v>
      </c>
    </row>
    <row r="871" spans="1:22" hidden="1">
      <c r="A871" s="460" t="s">
        <v>2745</v>
      </c>
      <c r="B871" s="114">
        <f>_xlfn.IFNA(VLOOKUP(Table1[[#This Row],[SKU]],'Urban Plastix Holds'!$I$36:$L$501,4,0),0)</f>
        <v>0</v>
      </c>
      <c r="C871" s="407">
        <v>5</v>
      </c>
      <c r="D871" s="117">
        <v>0</v>
      </c>
      <c r="E871" s="117">
        <v>0</v>
      </c>
      <c r="F871" s="122">
        <f>5*Table1[[#This Row],[Quantity of Sets]]</f>
        <v>0</v>
      </c>
      <c r="G871" s="123">
        <v>0</v>
      </c>
      <c r="H871" s="122">
        <v>0</v>
      </c>
      <c r="I871" s="123">
        <v>0</v>
      </c>
      <c r="J871" s="122">
        <v>0</v>
      </c>
      <c r="K871" s="122">
        <v>0</v>
      </c>
      <c r="L871" s="122">
        <v>0</v>
      </c>
      <c r="M871" s="122">
        <v>0</v>
      </c>
      <c r="N871" s="122">
        <v>0</v>
      </c>
      <c r="O871" s="122">
        <v>0</v>
      </c>
      <c r="P871" s="122">
        <v>0</v>
      </c>
      <c r="Q871" s="123">
        <f>5*Table1[[#This Row],[Quantity of Sets]]</f>
        <v>0</v>
      </c>
      <c r="R871" s="122">
        <v>0</v>
      </c>
      <c r="S871" s="594">
        <v>0</v>
      </c>
      <c r="T871" s="124">
        <v>0</v>
      </c>
      <c r="U871" s="594">
        <v>0</v>
      </c>
      <c r="V871" s="124" t="str">
        <f t="shared" si="95"/>
        <v xml:space="preserve"> </v>
      </c>
    </row>
    <row r="872" spans="1:22" hidden="1">
      <c r="A872" s="460" t="s">
        <v>2747</v>
      </c>
      <c r="B872" s="114">
        <f>_xlfn.IFNA(VLOOKUP(Table1[[#This Row],[SKU]],'Urban Plastix Holds'!$I$36:$L$501,4,0),0)</f>
        <v>0</v>
      </c>
      <c r="C872" s="407">
        <v>10</v>
      </c>
      <c r="D872" s="117">
        <f>10*Table1[[#This Row],[Quantity of Sets]]</f>
        <v>0</v>
      </c>
      <c r="E872" s="117">
        <v>0</v>
      </c>
      <c r="F872" s="122">
        <v>0</v>
      </c>
      <c r="G872" s="123">
        <v>0</v>
      </c>
      <c r="H872" s="122">
        <v>0</v>
      </c>
      <c r="I872" s="123">
        <v>0</v>
      </c>
      <c r="J872" s="122">
        <v>0</v>
      </c>
      <c r="K872" s="122">
        <v>0</v>
      </c>
      <c r="L872" s="122">
        <v>0</v>
      </c>
      <c r="M872" s="122">
        <v>0</v>
      </c>
      <c r="N872" s="122">
        <v>0</v>
      </c>
      <c r="O872" s="122">
        <v>0</v>
      </c>
      <c r="P872" s="122">
        <v>0</v>
      </c>
      <c r="Q872" s="123">
        <f>10*Table1[[#This Row],[Quantity of Sets]]</f>
        <v>0</v>
      </c>
      <c r="R872" s="122">
        <v>0</v>
      </c>
      <c r="S872" s="594">
        <v>0</v>
      </c>
      <c r="T872" s="124">
        <v>0</v>
      </c>
      <c r="U872" s="594">
        <v>0</v>
      </c>
      <c r="V872" s="124" t="str">
        <f t="shared" si="95"/>
        <v xml:space="preserve"> </v>
      </c>
    </row>
    <row r="873" spans="1:22" hidden="1">
      <c r="A873" s="460" t="s">
        <v>2753</v>
      </c>
      <c r="B873" s="114">
        <f>_xlfn.IFNA(VLOOKUP(Table1[[#This Row],[SKU]],'Urban Plastix Holds'!$I$36:$L$501,4,0),0)</f>
        <v>0</v>
      </c>
      <c r="C873" s="407">
        <v>10</v>
      </c>
      <c r="D873" s="117">
        <v>0</v>
      </c>
      <c r="E873" s="117">
        <v>0</v>
      </c>
      <c r="F873" s="122">
        <v>0</v>
      </c>
      <c r="G873" s="123">
        <v>0</v>
      </c>
      <c r="H873" s="122">
        <v>0</v>
      </c>
      <c r="I873" s="123">
        <v>0</v>
      </c>
      <c r="J873" s="122">
        <v>0</v>
      </c>
      <c r="K873" s="122">
        <v>0</v>
      </c>
      <c r="L873" s="122">
        <v>0</v>
      </c>
      <c r="M873" s="122">
        <v>0</v>
      </c>
      <c r="N873" s="122">
        <v>0</v>
      </c>
      <c r="O873" s="122">
        <v>0</v>
      </c>
      <c r="P873" s="122">
        <v>0</v>
      </c>
      <c r="Q873" s="123">
        <f>20*Table1[[#This Row],[Quantity of Sets]]</f>
        <v>0</v>
      </c>
      <c r="R873" s="122">
        <v>0</v>
      </c>
      <c r="S873" s="594">
        <v>0</v>
      </c>
      <c r="T873" s="124">
        <v>0</v>
      </c>
      <c r="U873" s="594">
        <v>0</v>
      </c>
      <c r="V873" s="124" t="str">
        <f>IF(B873&gt;0,"Added"," ")</f>
        <v xml:space="preserve"> </v>
      </c>
    </row>
    <row r="874" spans="1:22" hidden="1">
      <c r="A874" s="460" t="s">
        <v>2755</v>
      </c>
      <c r="B874" s="114">
        <f>_xlfn.IFNA(VLOOKUP(Table1[[#This Row],[SKU]],'Urban Plastix Holds'!$I$36:$L$501,4,0),0)</f>
        <v>0</v>
      </c>
      <c r="C874" s="407">
        <v>10</v>
      </c>
      <c r="D874" s="117">
        <f>10*Table1[[#This Row],[Quantity of Sets]]</f>
        <v>0</v>
      </c>
      <c r="E874" s="117">
        <v>0</v>
      </c>
      <c r="F874" s="122">
        <v>0</v>
      </c>
      <c r="G874" s="123">
        <v>0</v>
      </c>
      <c r="H874" s="122">
        <v>0</v>
      </c>
      <c r="I874" s="123">
        <v>0</v>
      </c>
      <c r="J874" s="122">
        <v>0</v>
      </c>
      <c r="K874" s="122">
        <v>0</v>
      </c>
      <c r="L874" s="122">
        <v>0</v>
      </c>
      <c r="M874" s="122">
        <v>0</v>
      </c>
      <c r="N874" s="122">
        <v>0</v>
      </c>
      <c r="O874" s="122">
        <v>0</v>
      </c>
      <c r="P874" s="122">
        <v>0</v>
      </c>
      <c r="Q874" s="123">
        <f>10*Table1[[#This Row],[Quantity of Sets]]</f>
        <v>0</v>
      </c>
      <c r="R874" s="122">
        <v>0</v>
      </c>
      <c r="S874" s="594">
        <v>0</v>
      </c>
      <c r="T874" s="124">
        <v>0</v>
      </c>
      <c r="U874" s="594">
        <v>0</v>
      </c>
      <c r="V874" s="124" t="str">
        <f>IF(B874&gt;0,"Added"," ")</f>
        <v xml:space="preserve"> </v>
      </c>
    </row>
    <row r="875" spans="1:22" hidden="1">
      <c r="A875" s="460" t="s">
        <v>2757</v>
      </c>
      <c r="B875" s="114">
        <f>_xlfn.IFNA(VLOOKUP(Table1[[#This Row],[SKU]],'Urban Plastix Holds'!$I$36:$L$501,4,0),0)</f>
        <v>0</v>
      </c>
      <c r="C875" s="407">
        <v>10</v>
      </c>
      <c r="D875" s="117">
        <f>10*Table1[[#This Row],[Quantity of Sets]]</f>
        <v>0</v>
      </c>
      <c r="E875" s="117">
        <v>0</v>
      </c>
      <c r="F875" s="122">
        <v>0</v>
      </c>
      <c r="G875" s="123">
        <v>0</v>
      </c>
      <c r="H875" s="122">
        <v>0</v>
      </c>
      <c r="I875" s="123">
        <v>0</v>
      </c>
      <c r="J875" s="122">
        <v>0</v>
      </c>
      <c r="K875" s="122">
        <v>0</v>
      </c>
      <c r="L875" s="122">
        <v>0</v>
      </c>
      <c r="M875" s="122">
        <v>0</v>
      </c>
      <c r="N875" s="122">
        <v>0</v>
      </c>
      <c r="O875" s="122">
        <v>0</v>
      </c>
      <c r="P875" s="122">
        <v>0</v>
      </c>
      <c r="Q875" s="123">
        <f>10*Table1[[#This Row],[Quantity of Sets]]</f>
        <v>0</v>
      </c>
      <c r="R875" s="122">
        <v>0</v>
      </c>
      <c r="S875" s="594">
        <v>0</v>
      </c>
      <c r="T875" s="124">
        <v>0</v>
      </c>
      <c r="U875" s="594">
        <v>0</v>
      </c>
      <c r="V875" s="124" t="str">
        <f>IF(B875&gt;0,"Added"," ")</f>
        <v xml:space="preserve"> </v>
      </c>
    </row>
    <row r="876" spans="1:22" hidden="1">
      <c r="A876" s="460" t="s">
        <v>2749</v>
      </c>
      <c r="B876" s="114">
        <f>_xlfn.IFNA(VLOOKUP(Table1[[#This Row],[SKU]],'Urban Plastix Holds'!$I$36:$L$501,4,0),0)</f>
        <v>0</v>
      </c>
      <c r="C876" s="407">
        <v>5</v>
      </c>
      <c r="D876" s="117">
        <v>0</v>
      </c>
      <c r="E876" s="117">
        <v>0</v>
      </c>
      <c r="F876" s="122">
        <f>5*Table1[[#This Row],[Quantity of Sets]]</f>
        <v>0</v>
      </c>
      <c r="G876" s="123">
        <v>0</v>
      </c>
      <c r="H876" s="122">
        <v>0</v>
      </c>
      <c r="I876" s="123">
        <v>0</v>
      </c>
      <c r="J876" s="122">
        <v>0</v>
      </c>
      <c r="K876" s="122">
        <v>0</v>
      </c>
      <c r="L876" s="122">
        <v>0</v>
      </c>
      <c r="M876" s="122">
        <v>0</v>
      </c>
      <c r="N876" s="122">
        <v>0</v>
      </c>
      <c r="O876" s="122">
        <v>0</v>
      </c>
      <c r="P876" s="122">
        <v>0</v>
      </c>
      <c r="Q876" s="123">
        <f>5*Table1[[#This Row],[Quantity of Sets]]</f>
        <v>0</v>
      </c>
      <c r="R876" s="122">
        <v>0</v>
      </c>
      <c r="S876" s="594">
        <v>0</v>
      </c>
      <c r="T876" s="124">
        <v>0</v>
      </c>
      <c r="U876" s="594">
        <v>0</v>
      </c>
      <c r="V876" s="124" t="str">
        <f t="shared" ref="V876:V878" si="96">IF(B876&gt;0,"Added"," ")</f>
        <v xml:space="preserve"> </v>
      </c>
    </row>
    <row r="877" spans="1:22" hidden="1">
      <c r="A877" s="460" t="s">
        <v>2750</v>
      </c>
      <c r="B877" s="114">
        <f>_xlfn.IFNA(VLOOKUP(Table1[[#This Row],[SKU]],'Urban Plastix Holds'!$I$36:$L$501,4,0),0)</f>
        <v>0</v>
      </c>
      <c r="C877" s="407">
        <v>10</v>
      </c>
      <c r="D877" s="117">
        <f>10*Table1[[#This Row],[Quantity of Sets]]</f>
        <v>0</v>
      </c>
      <c r="E877" s="117">
        <v>0</v>
      </c>
      <c r="F877" s="122">
        <v>0</v>
      </c>
      <c r="G877" s="123">
        <v>0</v>
      </c>
      <c r="H877" s="122">
        <v>0</v>
      </c>
      <c r="I877" s="123">
        <v>0</v>
      </c>
      <c r="J877" s="122">
        <v>0</v>
      </c>
      <c r="K877" s="122">
        <v>0</v>
      </c>
      <c r="L877" s="122">
        <v>0</v>
      </c>
      <c r="M877" s="122">
        <v>0</v>
      </c>
      <c r="N877" s="122">
        <v>0</v>
      </c>
      <c r="O877" s="122">
        <v>0</v>
      </c>
      <c r="P877" s="122">
        <v>0</v>
      </c>
      <c r="Q877" s="123">
        <f>10*Table1[[#This Row],[Quantity of Sets]]</f>
        <v>0</v>
      </c>
      <c r="R877" s="122">
        <v>0</v>
      </c>
      <c r="S877" s="594">
        <v>0</v>
      </c>
      <c r="T877" s="124">
        <v>0</v>
      </c>
      <c r="U877" s="594">
        <v>0</v>
      </c>
      <c r="V877" s="124" t="str">
        <f t="shared" si="96"/>
        <v xml:space="preserve"> </v>
      </c>
    </row>
    <row r="878" spans="1:22" hidden="1">
      <c r="A878" s="460" t="s">
        <v>2751</v>
      </c>
      <c r="B878" s="114">
        <f>_xlfn.IFNA(VLOOKUP(Table1[[#This Row],[SKU]],'Urban Plastix Holds'!$I$36:$L$501,4,0),0)</f>
        <v>0</v>
      </c>
      <c r="C878" s="407">
        <v>5</v>
      </c>
      <c r="D878" s="117">
        <f>5*Table1[[#This Row],[Quantity of Sets]]</f>
        <v>0</v>
      </c>
      <c r="E878" s="117">
        <v>0</v>
      </c>
      <c r="F878" s="122">
        <v>0</v>
      </c>
      <c r="G878" s="123">
        <v>0</v>
      </c>
      <c r="H878" s="122">
        <v>0</v>
      </c>
      <c r="I878" s="123">
        <v>0</v>
      </c>
      <c r="J878" s="122">
        <v>0</v>
      </c>
      <c r="K878" s="122">
        <v>0</v>
      </c>
      <c r="L878" s="122">
        <v>0</v>
      </c>
      <c r="M878" s="122">
        <v>0</v>
      </c>
      <c r="N878" s="122">
        <v>0</v>
      </c>
      <c r="O878" s="122">
        <v>0</v>
      </c>
      <c r="P878" s="122">
        <v>0</v>
      </c>
      <c r="Q878" s="123">
        <f>5*Table1[[#This Row],[Quantity of Sets]]</f>
        <v>0</v>
      </c>
      <c r="R878" s="122">
        <v>0</v>
      </c>
      <c r="S878" s="594">
        <v>0</v>
      </c>
      <c r="T878" s="124">
        <v>0</v>
      </c>
      <c r="U878" s="594">
        <v>0</v>
      </c>
      <c r="V878" s="124" t="str">
        <f t="shared" si="96"/>
        <v xml:space="preserve"> </v>
      </c>
    </row>
    <row r="879" spans="1:22" hidden="1">
      <c r="A879" s="460" t="s">
        <v>2752</v>
      </c>
      <c r="B879" s="114">
        <f>_xlfn.IFNA(VLOOKUP(Table1[[#This Row],[SKU]],'Urban Plastix Holds'!$I$36:$L$501,4,0),0)</f>
        <v>0</v>
      </c>
      <c r="C879" s="407">
        <v>5</v>
      </c>
      <c r="D879" s="117">
        <v>0</v>
      </c>
      <c r="E879" s="117">
        <v>0</v>
      </c>
      <c r="F879" s="122">
        <f>5*Table1[[#This Row],[Quantity of Sets]]</f>
        <v>0</v>
      </c>
      <c r="G879" s="123">
        <v>0</v>
      </c>
      <c r="H879" s="122">
        <v>0</v>
      </c>
      <c r="I879" s="123">
        <v>0</v>
      </c>
      <c r="J879" s="122">
        <v>0</v>
      </c>
      <c r="K879" s="122">
        <v>0</v>
      </c>
      <c r="L879" s="122">
        <v>0</v>
      </c>
      <c r="M879" s="122">
        <v>0</v>
      </c>
      <c r="N879" s="122">
        <v>0</v>
      </c>
      <c r="O879" s="122">
        <v>0</v>
      </c>
      <c r="P879" s="122">
        <v>0</v>
      </c>
      <c r="Q879" s="123">
        <f>15*Table1[[#This Row],[Quantity of Sets]]</f>
        <v>0</v>
      </c>
      <c r="R879" s="122">
        <v>0</v>
      </c>
      <c r="S879" s="594">
        <v>0</v>
      </c>
      <c r="T879" s="124">
        <v>0</v>
      </c>
      <c r="U879" s="594">
        <v>0</v>
      </c>
      <c r="V879" s="124" t="str">
        <f>IF(B879&gt;0,"Added"," ")</f>
        <v xml:space="preserve"> </v>
      </c>
    </row>
    <row r="880" spans="1:22" hidden="1">
      <c r="A880" s="460" t="s">
        <v>2788</v>
      </c>
      <c r="B880" s="114">
        <f>_xlfn.IFNA(VLOOKUP(Table1[[#This Row],[SKU]],'Urban Plastix Holds'!$I$36:$L$501,4,0),0)</f>
        <v>0</v>
      </c>
      <c r="C880" s="407">
        <v>3</v>
      </c>
      <c r="D880" s="117">
        <v>0</v>
      </c>
      <c r="E880" s="117">
        <v>0</v>
      </c>
      <c r="F880" s="122">
        <v>0</v>
      </c>
      <c r="G880" s="123">
        <v>0</v>
      </c>
      <c r="H880" s="122">
        <v>0</v>
      </c>
      <c r="I880" s="123">
        <v>0</v>
      </c>
      <c r="J880" s="122">
        <v>0</v>
      </c>
      <c r="K880" s="122">
        <f>3*Table1[[#This Row],[Quantity of Sets]]</f>
        <v>0</v>
      </c>
      <c r="L880" s="122">
        <v>0</v>
      </c>
      <c r="M880" s="122">
        <v>0</v>
      </c>
      <c r="N880" s="122">
        <v>0</v>
      </c>
      <c r="O880" s="122">
        <v>0</v>
      </c>
      <c r="P880" s="122">
        <v>0</v>
      </c>
      <c r="Q880" s="123">
        <f>6*Table1[[#This Row],[Quantity of Sets]]</f>
        <v>0</v>
      </c>
      <c r="R880" s="122">
        <v>0</v>
      </c>
      <c r="S880" s="594">
        <v>0</v>
      </c>
      <c r="T880" s="124">
        <v>0</v>
      </c>
      <c r="U880" s="594">
        <v>0</v>
      </c>
      <c r="V880" s="124" t="str">
        <f t="shared" ref="V880:V889" si="97">IF(B880&gt;0,"Added"," ")</f>
        <v xml:space="preserve"> </v>
      </c>
    </row>
    <row r="881" spans="1:22" hidden="1">
      <c r="A881" s="460" t="s">
        <v>2787</v>
      </c>
      <c r="B881" s="114">
        <f>_xlfn.IFNA(VLOOKUP(Table1[[#This Row],[SKU]],'Urban Plastix Holds'!$I$36:$L$501,4,0),0)</f>
        <v>0</v>
      </c>
      <c r="C881" s="407">
        <v>3</v>
      </c>
      <c r="D881" s="117">
        <v>0</v>
      </c>
      <c r="E881" s="117">
        <v>0</v>
      </c>
      <c r="F881" s="122">
        <f>2*Table1[[#This Row],[Quantity of Sets]]</f>
        <v>0</v>
      </c>
      <c r="G881" s="123">
        <f>1*Table1[[#This Row],[Quantity of Sets]]</f>
        <v>0</v>
      </c>
      <c r="H881" s="122">
        <v>0</v>
      </c>
      <c r="I881" s="123">
        <v>0</v>
      </c>
      <c r="J881" s="122">
        <v>0</v>
      </c>
      <c r="K881" s="122">
        <v>0</v>
      </c>
      <c r="L881" s="122">
        <v>0</v>
      </c>
      <c r="M881" s="122">
        <v>0</v>
      </c>
      <c r="N881" s="122">
        <v>0</v>
      </c>
      <c r="O881" s="122">
        <v>0</v>
      </c>
      <c r="P881" s="122">
        <v>0</v>
      </c>
      <c r="Q881" s="123">
        <f>3*Table1[[#This Row],[Quantity of Sets]]</f>
        <v>0</v>
      </c>
      <c r="R881" s="122">
        <v>0</v>
      </c>
      <c r="S881" s="594">
        <v>0</v>
      </c>
      <c r="T881" s="124">
        <v>0</v>
      </c>
      <c r="U881" s="594">
        <v>0</v>
      </c>
      <c r="V881" s="124" t="str">
        <f t="shared" si="97"/>
        <v xml:space="preserve"> </v>
      </c>
    </row>
    <row r="882" spans="1:22" hidden="1">
      <c r="A882" s="460" t="s">
        <v>2789</v>
      </c>
      <c r="B882" s="114">
        <f>_xlfn.IFNA(VLOOKUP(Table1[[#This Row],[SKU]],'Urban Plastix Holds'!$I$36:$L$501,4,0),0)</f>
        <v>0</v>
      </c>
      <c r="C882" s="407">
        <v>4</v>
      </c>
      <c r="D882" s="117">
        <v>0</v>
      </c>
      <c r="E882" s="117">
        <v>0</v>
      </c>
      <c r="F882" s="122">
        <v>0</v>
      </c>
      <c r="G882" s="123">
        <f>1*Table1[[#This Row],[Quantity of Sets]]</f>
        <v>0</v>
      </c>
      <c r="H882" s="122">
        <f>3*Table1[[#This Row],[Quantity of Sets]]</f>
        <v>0</v>
      </c>
      <c r="I882" s="123">
        <v>0</v>
      </c>
      <c r="J882" s="122">
        <v>0</v>
      </c>
      <c r="K882" s="122">
        <v>0</v>
      </c>
      <c r="L882" s="122">
        <v>0</v>
      </c>
      <c r="M882" s="122">
        <v>0</v>
      </c>
      <c r="N882" s="122">
        <v>0</v>
      </c>
      <c r="O882" s="122">
        <v>0</v>
      </c>
      <c r="P882" s="122">
        <v>0</v>
      </c>
      <c r="Q882" s="123">
        <f>4*Table1[[#This Row],[Quantity of Sets]]</f>
        <v>0</v>
      </c>
      <c r="R882" s="122">
        <v>0</v>
      </c>
      <c r="S882" s="594">
        <v>0</v>
      </c>
      <c r="T882" s="124">
        <v>0</v>
      </c>
      <c r="U882" s="594">
        <v>0</v>
      </c>
      <c r="V882" s="124" t="str">
        <f t="shared" si="97"/>
        <v xml:space="preserve"> </v>
      </c>
    </row>
    <row r="883" spans="1:22" hidden="1">
      <c r="A883" s="460" t="s">
        <v>2790</v>
      </c>
      <c r="B883" s="114">
        <f>_xlfn.IFNA(VLOOKUP(Table1[[#This Row],[SKU]],'Urban Plastix Holds'!$I$36:$L$501,4,0),0)</f>
        <v>0</v>
      </c>
      <c r="C883" s="407">
        <v>10</v>
      </c>
      <c r="D883" s="117">
        <f>10*Table1[[#This Row],[Quantity of Sets]]</f>
        <v>0</v>
      </c>
      <c r="E883" s="117">
        <v>0</v>
      </c>
      <c r="F883" s="122">
        <v>0</v>
      </c>
      <c r="G883" s="123">
        <v>0</v>
      </c>
      <c r="H883" s="122">
        <v>0</v>
      </c>
      <c r="I883" s="123">
        <v>0</v>
      </c>
      <c r="J883" s="122">
        <v>0</v>
      </c>
      <c r="K883" s="122">
        <v>0</v>
      </c>
      <c r="L883" s="122">
        <v>0</v>
      </c>
      <c r="M883" s="122">
        <v>0</v>
      </c>
      <c r="N883" s="122">
        <v>0</v>
      </c>
      <c r="O883" s="122">
        <v>0</v>
      </c>
      <c r="P883" s="122">
        <v>0</v>
      </c>
      <c r="Q883" s="123">
        <f>10*Table1[[#This Row],[Quantity of Sets]]</f>
        <v>0</v>
      </c>
      <c r="R883" s="122">
        <v>0</v>
      </c>
      <c r="S883" s="594">
        <v>0</v>
      </c>
      <c r="T883" s="124">
        <v>0</v>
      </c>
      <c r="U883" s="594">
        <v>0</v>
      </c>
      <c r="V883" s="124" t="str">
        <f t="shared" si="97"/>
        <v xml:space="preserve"> </v>
      </c>
    </row>
    <row r="884" spans="1:22" hidden="1">
      <c r="A884" s="460" t="s">
        <v>2791</v>
      </c>
      <c r="B884" s="114">
        <f>_xlfn.IFNA(VLOOKUP(Table1[[#This Row],[SKU]],'Urban Plastix Holds'!$I$36:$L$501,4,0),0)</f>
        <v>0</v>
      </c>
      <c r="C884" s="407">
        <v>5</v>
      </c>
      <c r="D884" s="117">
        <f>5*Table1[[#This Row],[Quantity of Sets]]</f>
        <v>0</v>
      </c>
      <c r="E884" s="117">
        <v>0</v>
      </c>
      <c r="F884" s="122">
        <v>0</v>
      </c>
      <c r="G884" s="123">
        <v>0</v>
      </c>
      <c r="H884" s="122">
        <v>0</v>
      </c>
      <c r="I884" s="123">
        <v>0</v>
      </c>
      <c r="J884" s="122">
        <v>0</v>
      </c>
      <c r="K884" s="122">
        <v>0</v>
      </c>
      <c r="L884" s="122">
        <v>0</v>
      </c>
      <c r="M884" s="122">
        <v>0</v>
      </c>
      <c r="N884" s="122">
        <v>0</v>
      </c>
      <c r="O884" s="122">
        <v>0</v>
      </c>
      <c r="P884" s="122">
        <v>0</v>
      </c>
      <c r="Q884" s="123">
        <f>5*Table1[[#This Row],[Quantity of Sets]]</f>
        <v>0</v>
      </c>
      <c r="R884" s="122">
        <v>0</v>
      </c>
      <c r="S884" s="594">
        <v>0</v>
      </c>
      <c r="T884" s="124">
        <v>0</v>
      </c>
      <c r="U884" s="594">
        <v>0</v>
      </c>
      <c r="V884" s="124" t="str">
        <f t="shared" si="97"/>
        <v xml:space="preserve"> </v>
      </c>
    </row>
    <row r="885" spans="1:22" hidden="1">
      <c r="A885" s="460" t="s">
        <v>2792</v>
      </c>
      <c r="B885" s="114">
        <f>_xlfn.IFNA(VLOOKUP(Table1[[#This Row],[SKU]],'Urban Plastix Holds'!$I$36:$L$501,4,0),0)</f>
        <v>0</v>
      </c>
      <c r="C885" s="407">
        <v>5</v>
      </c>
      <c r="D885" s="117">
        <v>0</v>
      </c>
      <c r="E885" s="117">
        <v>0</v>
      </c>
      <c r="F885" s="117">
        <v>0</v>
      </c>
      <c r="G885" s="117">
        <v>0</v>
      </c>
      <c r="H885" s="117">
        <v>0</v>
      </c>
      <c r="I885" s="117">
        <v>0</v>
      </c>
      <c r="J885" s="117">
        <v>0</v>
      </c>
      <c r="K885" s="117">
        <v>0</v>
      </c>
      <c r="L885" s="117">
        <v>0</v>
      </c>
      <c r="M885" s="117">
        <v>0</v>
      </c>
      <c r="N885" s="117">
        <v>0</v>
      </c>
      <c r="O885" s="117">
        <v>0</v>
      </c>
      <c r="P885" s="117">
        <v>0</v>
      </c>
      <c r="Q885" s="123">
        <f>15*Table1[[#This Row],[Quantity of Sets]]</f>
        <v>0</v>
      </c>
      <c r="R885" s="122">
        <v>0</v>
      </c>
      <c r="S885" s="594">
        <v>0</v>
      </c>
      <c r="T885" s="124">
        <v>0</v>
      </c>
      <c r="U885" s="594">
        <v>0</v>
      </c>
      <c r="V885" s="124" t="str">
        <f t="shared" si="97"/>
        <v xml:space="preserve"> </v>
      </c>
    </row>
    <row r="886" spans="1:22" hidden="1">
      <c r="A886" s="460" t="s">
        <v>2793</v>
      </c>
      <c r="B886" s="114">
        <f>_xlfn.IFNA(VLOOKUP(Table1[[#This Row],[SKU]],'Urban Plastix Holds'!$I$36:$L$501,4,0),0)</f>
        <v>0</v>
      </c>
      <c r="C886" s="407">
        <v>5</v>
      </c>
      <c r="D886" s="117">
        <v>0</v>
      </c>
      <c r="E886" s="117">
        <f>1*Table1[[#This Row],[Quantity of Sets]]</f>
        <v>0</v>
      </c>
      <c r="F886" s="122">
        <f>4*Table1[[#This Row],[Quantity of Sets]]</f>
        <v>0</v>
      </c>
      <c r="G886" s="123">
        <v>0</v>
      </c>
      <c r="H886" s="122">
        <v>0</v>
      </c>
      <c r="I886" s="123">
        <v>0</v>
      </c>
      <c r="J886" s="122">
        <v>0</v>
      </c>
      <c r="K886" s="122">
        <v>0</v>
      </c>
      <c r="L886" s="122">
        <v>0</v>
      </c>
      <c r="M886" s="122">
        <v>0</v>
      </c>
      <c r="N886" s="122">
        <v>0</v>
      </c>
      <c r="O886" s="122">
        <v>0</v>
      </c>
      <c r="P886" s="122">
        <v>0</v>
      </c>
      <c r="Q886" s="123">
        <f>5*Table1[[#This Row],[Quantity of Sets]]</f>
        <v>0</v>
      </c>
      <c r="R886" s="122">
        <v>0</v>
      </c>
      <c r="S886" s="594">
        <v>0</v>
      </c>
      <c r="T886" s="124">
        <v>0</v>
      </c>
      <c r="U886" s="594">
        <v>0</v>
      </c>
      <c r="V886" s="124" t="str">
        <f t="shared" si="97"/>
        <v xml:space="preserve"> </v>
      </c>
    </row>
    <row r="887" spans="1:22" hidden="1">
      <c r="A887" s="460" t="s">
        <v>2794</v>
      </c>
      <c r="B887" s="114">
        <f>_xlfn.IFNA(VLOOKUP(Table1[[#This Row],[SKU]],'Urban Plastix Holds'!$I$36:$L$501,4,0),0)</f>
        <v>0</v>
      </c>
      <c r="C887" s="407">
        <v>2</v>
      </c>
      <c r="D887" s="117">
        <v>0</v>
      </c>
      <c r="E887" s="117">
        <v>0</v>
      </c>
      <c r="F887" s="122">
        <f>2*Table1[[#This Row],[Quantity of Sets]]</f>
        <v>0</v>
      </c>
      <c r="G887" s="123">
        <v>0</v>
      </c>
      <c r="H887" s="122">
        <v>0</v>
      </c>
      <c r="I887" s="123">
        <v>0</v>
      </c>
      <c r="J887" s="122">
        <v>0</v>
      </c>
      <c r="K887" s="122">
        <v>0</v>
      </c>
      <c r="L887" s="122">
        <v>0</v>
      </c>
      <c r="M887" s="122">
        <v>0</v>
      </c>
      <c r="N887" s="122">
        <v>0</v>
      </c>
      <c r="O887" s="122">
        <v>0</v>
      </c>
      <c r="P887" s="122">
        <v>0</v>
      </c>
      <c r="Q887" s="123">
        <f>7*Table1[[#This Row],[Quantity of Sets]]</f>
        <v>0</v>
      </c>
      <c r="R887" s="122">
        <v>0</v>
      </c>
      <c r="S887" s="594">
        <v>0</v>
      </c>
      <c r="T887" s="124">
        <v>0</v>
      </c>
      <c r="U887" s="594">
        <v>0</v>
      </c>
      <c r="V887" s="124" t="str">
        <f t="shared" si="97"/>
        <v xml:space="preserve"> </v>
      </c>
    </row>
    <row r="888" spans="1:22" hidden="1">
      <c r="A888" s="460" t="s">
        <v>2795</v>
      </c>
      <c r="B888" s="114">
        <f>_xlfn.IFNA(VLOOKUP(Table1[[#This Row],[SKU]],'Urban Plastix Holds'!$I$36:$L$501,4,0),0)</f>
        <v>0</v>
      </c>
      <c r="C888" s="407">
        <v>5</v>
      </c>
      <c r="D888" s="117">
        <f>5*Table1[[#This Row],[Quantity of Sets]]</f>
        <v>0</v>
      </c>
      <c r="E888" s="117">
        <v>0</v>
      </c>
      <c r="F888" s="122">
        <v>0</v>
      </c>
      <c r="G888" s="123">
        <v>0</v>
      </c>
      <c r="H888" s="122">
        <v>0</v>
      </c>
      <c r="I888" s="123">
        <v>0</v>
      </c>
      <c r="J888" s="122">
        <v>0</v>
      </c>
      <c r="K888" s="122">
        <v>0</v>
      </c>
      <c r="L888" s="122">
        <v>0</v>
      </c>
      <c r="M888" s="122">
        <v>0</v>
      </c>
      <c r="N888" s="122">
        <v>0</v>
      </c>
      <c r="O888" s="122">
        <v>0</v>
      </c>
      <c r="P888" s="122">
        <v>0</v>
      </c>
      <c r="Q888" s="123">
        <f>10*Table1[[#This Row],[Quantity of Sets]]</f>
        <v>0</v>
      </c>
      <c r="R888" s="122">
        <v>0</v>
      </c>
      <c r="S888" s="594">
        <v>0</v>
      </c>
      <c r="T888" s="124">
        <v>0</v>
      </c>
      <c r="U888" s="594">
        <v>0</v>
      </c>
      <c r="V888" s="124" t="str">
        <f t="shared" si="97"/>
        <v xml:space="preserve"> </v>
      </c>
    </row>
    <row r="889" spans="1:22" hidden="1">
      <c r="A889" s="460" t="s">
        <v>2796</v>
      </c>
      <c r="B889" s="114">
        <f>_xlfn.IFNA(VLOOKUP(Table1[[#This Row],[SKU]],'Urban Plastix Holds'!$I$36:$L$501,4,0),0)</f>
        <v>0</v>
      </c>
      <c r="C889" s="407">
        <v>5</v>
      </c>
      <c r="D889" s="117">
        <f>5*Table1[[#This Row],[Quantity of Sets]]</f>
        <v>0</v>
      </c>
      <c r="E889" s="117">
        <v>0</v>
      </c>
      <c r="F889" s="122">
        <v>0</v>
      </c>
      <c r="G889" s="123">
        <v>0</v>
      </c>
      <c r="H889" s="122">
        <v>0</v>
      </c>
      <c r="I889" s="123">
        <v>0</v>
      </c>
      <c r="J889" s="122">
        <v>0</v>
      </c>
      <c r="K889" s="122">
        <v>0</v>
      </c>
      <c r="L889" s="122">
        <v>0</v>
      </c>
      <c r="M889" s="122">
        <v>0</v>
      </c>
      <c r="N889" s="122">
        <v>0</v>
      </c>
      <c r="O889" s="122">
        <v>0</v>
      </c>
      <c r="P889" s="122">
        <v>0</v>
      </c>
      <c r="Q889" s="123">
        <f>10*Table1[[#This Row],[Quantity of Sets]]</f>
        <v>0</v>
      </c>
      <c r="R889" s="122">
        <v>0</v>
      </c>
      <c r="S889" s="594">
        <v>0</v>
      </c>
      <c r="T889" s="124">
        <v>0</v>
      </c>
      <c r="U889" s="594">
        <v>0</v>
      </c>
      <c r="V889" s="124" t="str">
        <f t="shared" si="97"/>
        <v xml:space="preserve"> </v>
      </c>
    </row>
    <row r="890" spans="1:22" hidden="1">
      <c r="A890" s="460" t="s">
        <v>2961</v>
      </c>
      <c r="B890" s="114">
        <f>_xlfn.IFNA(VLOOKUP(Table1[[#This Row],[SKU]],'Urban Plastix Holds'!$I$36:$L$501,4,0),0)</f>
        <v>0</v>
      </c>
      <c r="C890" s="407">
        <v>1</v>
      </c>
      <c r="D890" s="117">
        <v>0</v>
      </c>
      <c r="E890" s="117">
        <v>0</v>
      </c>
      <c r="F890" s="122">
        <v>0</v>
      </c>
      <c r="G890" s="123">
        <v>0</v>
      </c>
      <c r="H890" s="122">
        <v>0</v>
      </c>
      <c r="I890" s="123">
        <v>0</v>
      </c>
      <c r="J890" s="122">
        <v>0</v>
      </c>
      <c r="K890" s="122">
        <v>0</v>
      </c>
      <c r="L890" s="122">
        <f>1*Table1[[#This Row],[Quantity of Sets]]</f>
        <v>0</v>
      </c>
      <c r="M890" s="122">
        <v>0</v>
      </c>
      <c r="N890" s="122">
        <v>0</v>
      </c>
      <c r="O890" s="122">
        <v>0</v>
      </c>
      <c r="P890" s="122">
        <v>0</v>
      </c>
      <c r="Q890" s="123">
        <f>5*Table1[[#This Row],[Quantity of Sets]]</f>
        <v>0</v>
      </c>
      <c r="R890" s="122">
        <v>0</v>
      </c>
      <c r="S890" s="594">
        <v>0</v>
      </c>
      <c r="T890" s="124">
        <v>0</v>
      </c>
      <c r="U890" s="594">
        <v>0</v>
      </c>
      <c r="V890" s="124" t="str">
        <f>IF(B890&gt;0,"Added"," ")</f>
        <v xml:space="preserve"> </v>
      </c>
    </row>
    <row r="891" spans="1:22" hidden="1">
      <c r="A891" s="460" t="s">
        <v>2963</v>
      </c>
      <c r="B891" s="114">
        <f>_xlfn.IFNA(VLOOKUP(Table1[[#This Row],[SKU]],'Urban Plastix Holds'!$I$36:$L$501,4,0),0)</f>
        <v>0</v>
      </c>
      <c r="C891" s="407">
        <v>2</v>
      </c>
      <c r="D891" s="117">
        <v>0</v>
      </c>
      <c r="E891" s="117">
        <v>0</v>
      </c>
      <c r="F891" s="122">
        <v>0</v>
      </c>
      <c r="G891" s="123">
        <v>0</v>
      </c>
      <c r="H891" s="122">
        <v>0</v>
      </c>
      <c r="I891" s="123">
        <v>0</v>
      </c>
      <c r="J891" s="122">
        <v>0</v>
      </c>
      <c r="K891" s="122">
        <f>1*Table1[[#This Row],[Quantity of Sets]]</f>
        <v>0</v>
      </c>
      <c r="L891" s="122">
        <f>1*Table1[[#This Row],[Quantity of Sets]]</f>
        <v>0</v>
      </c>
      <c r="M891" s="122">
        <v>0</v>
      </c>
      <c r="N891" s="122">
        <v>0</v>
      </c>
      <c r="O891" s="122">
        <v>0</v>
      </c>
      <c r="P891" s="122">
        <v>0</v>
      </c>
      <c r="Q891" s="123">
        <f>6*Table1[[#This Row],[Quantity of Sets]]</f>
        <v>0</v>
      </c>
      <c r="R891" s="122">
        <v>0</v>
      </c>
      <c r="S891" s="594">
        <v>0</v>
      </c>
      <c r="T891" s="124">
        <v>0</v>
      </c>
      <c r="U891" s="594">
        <v>0</v>
      </c>
      <c r="V891" s="124" t="str">
        <f>IF(B891&gt;0,"Added"," ")</f>
        <v xml:space="preserve"> </v>
      </c>
    </row>
    <row r="892" spans="1:22" hidden="1">
      <c r="A892" s="460" t="s">
        <v>2960</v>
      </c>
      <c r="B892" s="114">
        <f>_xlfn.IFNA(VLOOKUP(Table1[[#This Row],[SKU]],'Urban Plastix Holds'!$I$36:$L$501,4,0),0)</f>
        <v>0</v>
      </c>
      <c r="C892" s="407">
        <v>3</v>
      </c>
      <c r="D892" s="117">
        <v>0</v>
      </c>
      <c r="E892" s="117">
        <f>3*Table1[[#This Row],[Quantity of Sets]]</f>
        <v>0</v>
      </c>
      <c r="F892" s="122">
        <v>0</v>
      </c>
      <c r="G892" s="123">
        <v>0</v>
      </c>
      <c r="H892" s="122">
        <v>0</v>
      </c>
      <c r="I892" s="123">
        <v>0</v>
      </c>
      <c r="J892" s="122">
        <v>0</v>
      </c>
      <c r="K892" s="122">
        <v>0</v>
      </c>
      <c r="L892" s="122">
        <v>0</v>
      </c>
      <c r="M892" s="122">
        <v>0</v>
      </c>
      <c r="N892" s="122">
        <v>0</v>
      </c>
      <c r="O892" s="122">
        <v>0</v>
      </c>
      <c r="P892" s="122">
        <v>0</v>
      </c>
      <c r="Q892" s="123">
        <f>6*Table1[[#This Row],[Quantity of Sets]]</f>
        <v>0</v>
      </c>
      <c r="R892" s="122">
        <v>0</v>
      </c>
      <c r="S892" s="594">
        <v>0</v>
      </c>
      <c r="T892" s="124">
        <v>0</v>
      </c>
      <c r="U892" s="594">
        <v>0</v>
      </c>
      <c r="V892" s="124" t="str">
        <f>IF(B892&gt;0,"Added"," ")</f>
        <v xml:space="preserve"> </v>
      </c>
    </row>
    <row r="893" spans="1:22" hidden="1">
      <c r="A893" s="460" t="s">
        <v>2984</v>
      </c>
      <c r="B893" s="114">
        <f>_xlfn.IFNA(VLOOKUP(Table1[[#This Row],[SKU]],'Urban Plastix Holds'!$I$36:$L$501,4,0),0)</f>
        <v>0</v>
      </c>
      <c r="C893" s="719">
        <v>2</v>
      </c>
      <c r="D893" s="720">
        <v>0</v>
      </c>
      <c r="E893" s="720">
        <v>0</v>
      </c>
      <c r="F893" s="722">
        <v>0</v>
      </c>
      <c r="G893" s="720">
        <f>2*Table1[[#This Row],[Quantity of Sets]]</f>
        <v>0</v>
      </c>
      <c r="H893" s="722">
        <v>0</v>
      </c>
      <c r="I893" s="720">
        <v>0</v>
      </c>
      <c r="J893" s="722">
        <v>0</v>
      </c>
      <c r="K893" s="722">
        <v>0</v>
      </c>
      <c r="L893" s="721">
        <v>0</v>
      </c>
      <c r="M893" s="722">
        <v>0</v>
      </c>
      <c r="N893" s="722">
        <v>0</v>
      </c>
      <c r="O893" s="722">
        <v>0</v>
      </c>
      <c r="P893" s="722">
        <v>0</v>
      </c>
      <c r="Q893" s="633">
        <f>6*Table1[[#This Row],[Quantity of Sets]]</f>
        <v>0</v>
      </c>
      <c r="R893" s="722">
        <v>0</v>
      </c>
      <c r="S893" s="723">
        <v>0</v>
      </c>
      <c r="T893" s="724">
        <v>0</v>
      </c>
      <c r="U893" s="724">
        <v>0</v>
      </c>
      <c r="V893" s="722" t="str">
        <f>IF(B893&gt;0,"Added"," ")</f>
        <v xml:space="preserve"> </v>
      </c>
    </row>
    <row r="894" spans="1:22" hidden="1">
      <c r="A894" s="460" t="s">
        <v>2988</v>
      </c>
      <c r="B894" s="114">
        <f>_xlfn.IFNA(VLOOKUP(Table1[[#This Row],[SKU]],'Urban Plastix Holds'!$I$36:$L$501,4,0),0)</f>
        <v>0</v>
      </c>
      <c r="C894" s="733">
        <v>3</v>
      </c>
      <c r="D894" s="734">
        <v>0</v>
      </c>
      <c r="E894" s="734">
        <f>1*Table1[[#This Row],[Quantity of Sets]]</f>
        <v>0</v>
      </c>
      <c r="F894" s="735">
        <f>1*Table1[[#This Row],[Quantity of Sets]]</f>
        <v>0</v>
      </c>
      <c r="G894" s="734">
        <v>0</v>
      </c>
      <c r="H894" s="735">
        <v>0</v>
      </c>
      <c r="I894" s="734">
        <f>1*Table1[[#This Row],[Quantity of Sets]]</f>
        <v>0</v>
      </c>
      <c r="J894" s="735">
        <v>0</v>
      </c>
      <c r="K894" s="735">
        <v>0</v>
      </c>
      <c r="L894" s="732">
        <v>0</v>
      </c>
      <c r="M894" s="735">
        <v>0</v>
      </c>
      <c r="N894" s="735">
        <v>0</v>
      </c>
      <c r="O894" s="735">
        <v>0</v>
      </c>
      <c r="P894" s="735">
        <v>0</v>
      </c>
      <c r="Q894" s="633">
        <f>18*Table1[[#This Row],[Quantity of Sets]]</f>
        <v>0</v>
      </c>
      <c r="R894" s="735">
        <v>0</v>
      </c>
      <c r="S894" s="736">
        <v>0</v>
      </c>
      <c r="T894" s="731">
        <v>0</v>
      </c>
      <c r="U894" s="731">
        <v>0</v>
      </c>
      <c r="V894" s="735" t="str">
        <f>IF(B894&gt;0,"Added"," ")</f>
        <v xml:space="preserve"> </v>
      </c>
    </row>
    <row r="895" spans="1:22" hidden="1">
      <c r="A895" s="460" t="s">
        <v>2990</v>
      </c>
      <c r="B895" s="114">
        <f>_xlfn.IFNA(VLOOKUP(Table1[[#This Row],[SKU]],'Urban Plastix Holds'!$I$36:$L$501,4,0),0)</f>
        <v>0</v>
      </c>
      <c r="C895" s="719">
        <v>3</v>
      </c>
      <c r="D895" s="720">
        <v>0</v>
      </c>
      <c r="E895" s="720">
        <v>0</v>
      </c>
      <c r="F895" s="722">
        <v>0</v>
      </c>
      <c r="G895" s="720">
        <v>0</v>
      </c>
      <c r="H895" s="722">
        <v>0</v>
      </c>
      <c r="I895" s="720">
        <f>1*Table1[[#This Row],[Quantity of Sets]]</f>
        <v>0</v>
      </c>
      <c r="J895" s="722">
        <f>1*Table1[[#This Row],[Quantity of Sets]]</f>
        <v>0</v>
      </c>
      <c r="K895" s="722">
        <f>1*Table1[[#This Row],[Quantity of Sets]]</f>
        <v>0</v>
      </c>
      <c r="L895" s="721">
        <v>0</v>
      </c>
      <c r="M895" s="722">
        <v>0</v>
      </c>
      <c r="N895" s="722">
        <v>0</v>
      </c>
      <c r="O895" s="722">
        <v>0</v>
      </c>
      <c r="P895" s="722">
        <v>0</v>
      </c>
      <c r="Q895" s="633">
        <f>12*Table1[[#This Row],[Quantity of Sets]]</f>
        <v>0</v>
      </c>
      <c r="R895" s="722">
        <v>0</v>
      </c>
      <c r="S895" s="723">
        <v>0</v>
      </c>
      <c r="T895" s="724">
        <v>0</v>
      </c>
      <c r="U895" s="724">
        <v>0</v>
      </c>
      <c r="V895" s="722" t="str">
        <f t="shared" ref="V895:V896" si="98">IF(B895&gt;0,"Added"," ")</f>
        <v xml:space="preserve"> </v>
      </c>
    </row>
    <row r="896" spans="1:22" hidden="1">
      <c r="A896" s="460" t="s">
        <v>2992</v>
      </c>
      <c r="B896" s="114">
        <f>_xlfn.IFNA(VLOOKUP(Table1[[#This Row],[SKU]],'Urban Plastix Holds'!$I$36:$L$501,4,0),0)</f>
        <v>0</v>
      </c>
      <c r="C896" s="719">
        <v>5</v>
      </c>
      <c r="D896" s="720">
        <f>5*Table1[[#This Row],[Quantity of Sets]]</f>
        <v>0</v>
      </c>
      <c r="E896" s="720">
        <v>0</v>
      </c>
      <c r="F896" s="722">
        <v>0</v>
      </c>
      <c r="G896" s="720">
        <v>0</v>
      </c>
      <c r="H896" s="722">
        <v>0</v>
      </c>
      <c r="I896" s="720">
        <v>0</v>
      </c>
      <c r="J896" s="722">
        <v>0</v>
      </c>
      <c r="K896" s="722">
        <v>0</v>
      </c>
      <c r="L896" s="721">
        <v>0</v>
      </c>
      <c r="M896" s="722">
        <v>0</v>
      </c>
      <c r="N896" s="722">
        <v>0</v>
      </c>
      <c r="O896" s="722">
        <v>0</v>
      </c>
      <c r="P896" s="722">
        <v>0</v>
      </c>
      <c r="Q896" s="633">
        <f>5*Table1[[#This Row],[Quantity of Sets]]</f>
        <v>0</v>
      </c>
      <c r="R896" s="722">
        <v>0</v>
      </c>
      <c r="S896" s="723">
        <v>0</v>
      </c>
      <c r="T896" s="724">
        <v>0</v>
      </c>
      <c r="U896" s="724">
        <v>0</v>
      </c>
      <c r="V896" s="722" t="str">
        <f t="shared" si="98"/>
        <v xml:space="preserve"> </v>
      </c>
    </row>
    <row r="897" spans="1:22" hidden="1">
      <c r="A897" s="460" t="s">
        <v>2999</v>
      </c>
      <c r="B897" s="114">
        <f>_xlfn.IFNA(VLOOKUP(Table1[[#This Row],[SKU]],'Urban Plastix Holds'!$I$36:$L$501,4,0),0)</f>
        <v>0</v>
      </c>
      <c r="C897" s="733">
        <v>4</v>
      </c>
      <c r="D897" s="734">
        <v>0</v>
      </c>
      <c r="E897" s="734">
        <v>0</v>
      </c>
      <c r="F897" s="735">
        <v>0</v>
      </c>
      <c r="G897" s="734">
        <f>4*Table1[[#This Row],[Quantity of Sets]]</f>
        <v>0</v>
      </c>
      <c r="H897" s="735">
        <v>0</v>
      </c>
      <c r="I897" s="734">
        <v>0</v>
      </c>
      <c r="J897" s="735">
        <v>0</v>
      </c>
      <c r="K897" s="735">
        <v>0</v>
      </c>
      <c r="L897" s="732">
        <v>0</v>
      </c>
      <c r="M897" s="735">
        <v>0</v>
      </c>
      <c r="N897" s="735">
        <v>0</v>
      </c>
      <c r="O897" s="735">
        <v>0</v>
      </c>
      <c r="P897" s="735">
        <v>0</v>
      </c>
      <c r="Q897" s="633">
        <f>4*Table1[[#This Row],[Quantity of Sets]]</f>
        <v>0</v>
      </c>
      <c r="R897" s="735">
        <v>0</v>
      </c>
      <c r="S897" s="736">
        <v>0</v>
      </c>
      <c r="T897" s="731">
        <v>0</v>
      </c>
      <c r="U897" s="731">
        <v>0</v>
      </c>
      <c r="V897" s="735" t="str">
        <f>IF(B897&gt;0,"Added"," ")</f>
        <v xml:space="preserve"> </v>
      </c>
    </row>
    <row r="898" spans="1:22" hidden="1">
      <c r="A898" s="460" t="s">
        <v>3001</v>
      </c>
      <c r="B898" s="114">
        <f>_xlfn.IFNA(VLOOKUP(Table1[[#This Row],[SKU]],'Urban Plastix Holds'!$I$36:$L$501,4,0),0)</f>
        <v>0</v>
      </c>
      <c r="C898" s="728">
        <v>4</v>
      </c>
      <c r="D898" s="726">
        <v>0</v>
      </c>
      <c r="E898" s="726">
        <v>0</v>
      </c>
      <c r="F898" s="727">
        <v>0</v>
      </c>
      <c r="G898" s="726">
        <f>1*Table1[[#This Row],[Quantity of Sets]]</f>
        <v>0</v>
      </c>
      <c r="H898" s="727">
        <f>3*Table1[[#This Row],[Quantity of Sets]]</f>
        <v>0</v>
      </c>
      <c r="I898" s="726">
        <v>0</v>
      </c>
      <c r="J898" s="727">
        <v>0</v>
      </c>
      <c r="K898" s="727">
        <v>0</v>
      </c>
      <c r="L898" s="732">
        <v>0</v>
      </c>
      <c r="M898" s="727">
        <v>0</v>
      </c>
      <c r="N898" s="727">
        <v>0</v>
      </c>
      <c r="O898" s="727">
        <v>0</v>
      </c>
      <c r="P898" s="727">
        <v>0</v>
      </c>
      <c r="Q898" s="633">
        <f>4*Table1[[#This Row],[Quantity of Sets]]</f>
        <v>0</v>
      </c>
      <c r="R898" s="727">
        <v>0</v>
      </c>
      <c r="S898" s="730">
        <v>0</v>
      </c>
      <c r="T898" s="731">
        <v>0</v>
      </c>
      <c r="U898" s="731">
        <v>0</v>
      </c>
      <c r="V898" s="727" t="str">
        <f>IF(B898&gt;0,"Added"," ")</f>
        <v xml:space="preserve"> </v>
      </c>
    </row>
    <row r="899" spans="1:22" hidden="1">
      <c r="A899" s="460" t="s">
        <v>3003</v>
      </c>
      <c r="B899" s="114">
        <f>_xlfn.IFNA(VLOOKUP(Table1[[#This Row],[SKU]],'Urban Plastix Holds'!$I$36:$L$501,4,0),0)</f>
        <v>0</v>
      </c>
      <c r="C899" s="733">
        <v>5</v>
      </c>
      <c r="D899" s="734">
        <f>5*Table1[[#This Row],[Quantity of Sets]]</f>
        <v>0</v>
      </c>
      <c r="E899" s="734">
        <v>0</v>
      </c>
      <c r="F899" s="735">
        <v>0</v>
      </c>
      <c r="G899" s="734">
        <v>0</v>
      </c>
      <c r="H899" s="735">
        <v>0</v>
      </c>
      <c r="I899" s="734">
        <v>0</v>
      </c>
      <c r="J899" s="735">
        <v>0</v>
      </c>
      <c r="K899" s="735">
        <v>0</v>
      </c>
      <c r="L899" s="732">
        <v>0</v>
      </c>
      <c r="M899" s="735">
        <v>0</v>
      </c>
      <c r="N899" s="735">
        <v>0</v>
      </c>
      <c r="O899" s="735">
        <v>0</v>
      </c>
      <c r="P899" s="735">
        <v>0</v>
      </c>
      <c r="Q899" s="633">
        <f>5*Table1[[#This Row],[Quantity of Sets]]</f>
        <v>0</v>
      </c>
      <c r="R899" s="735">
        <v>0</v>
      </c>
      <c r="S899" s="736">
        <v>0</v>
      </c>
      <c r="T899" s="731">
        <v>0</v>
      </c>
      <c r="U899" s="731">
        <v>0</v>
      </c>
      <c r="V899" s="735" t="str">
        <f>IF(B899&gt;0,"Added"," ")</f>
        <v xml:space="preserve"> </v>
      </c>
    </row>
    <row r="900" spans="1:22" hidden="1">
      <c r="A900" s="460" t="s">
        <v>3005</v>
      </c>
      <c r="B900" s="114">
        <f>_xlfn.IFNA(VLOOKUP(Table1[[#This Row],[SKU]],'Urban Plastix Holds'!$I$36:$L$501,4,0),0)</f>
        <v>0</v>
      </c>
      <c r="C900" s="733">
        <v>5</v>
      </c>
      <c r="D900" s="734">
        <f>5*Table1[[#This Row],[Quantity of Sets]]</f>
        <v>0</v>
      </c>
      <c r="E900" s="734">
        <v>0</v>
      </c>
      <c r="F900" s="735">
        <v>0</v>
      </c>
      <c r="G900" s="734">
        <v>0</v>
      </c>
      <c r="H900" s="735">
        <v>0</v>
      </c>
      <c r="I900" s="734">
        <v>0</v>
      </c>
      <c r="J900" s="735">
        <v>0</v>
      </c>
      <c r="K900" s="735">
        <v>0</v>
      </c>
      <c r="L900" s="732">
        <v>0</v>
      </c>
      <c r="M900" s="735">
        <v>0</v>
      </c>
      <c r="N900" s="735">
        <v>0</v>
      </c>
      <c r="O900" s="735">
        <v>0</v>
      </c>
      <c r="P900" s="735">
        <v>0</v>
      </c>
      <c r="Q900" s="633">
        <f>5*Table1[[#This Row],[Quantity of Sets]]</f>
        <v>0</v>
      </c>
      <c r="R900" s="735">
        <v>0</v>
      </c>
      <c r="S900" s="736">
        <v>0</v>
      </c>
      <c r="T900" s="731">
        <v>0</v>
      </c>
      <c r="U900" s="731">
        <v>0</v>
      </c>
      <c r="V900" s="740" t="str">
        <f t="shared" ref="V900:V912" si="99">IF(B900&gt;0,"Added"," ")</f>
        <v xml:space="preserve"> </v>
      </c>
    </row>
    <row r="901" spans="1:22" hidden="1">
      <c r="A901" s="460" t="s">
        <v>3007</v>
      </c>
      <c r="B901" s="114">
        <f>_xlfn.IFNA(VLOOKUP(Table1[[#This Row],[SKU]],'Urban Plastix Holds'!$I$36:$L$501,4,0),0)</f>
        <v>0</v>
      </c>
      <c r="C901" s="733">
        <v>5</v>
      </c>
      <c r="D901" s="734">
        <f>5*Table1[[#This Row],[Quantity of Sets]]</f>
        <v>0</v>
      </c>
      <c r="E901" s="734">
        <v>0</v>
      </c>
      <c r="F901" s="735">
        <v>0</v>
      </c>
      <c r="G901" s="734">
        <v>0</v>
      </c>
      <c r="H901" s="735">
        <v>0</v>
      </c>
      <c r="I901" s="734">
        <v>0</v>
      </c>
      <c r="J901" s="735">
        <v>0</v>
      </c>
      <c r="K901" s="735">
        <v>0</v>
      </c>
      <c r="L901" s="732">
        <v>0</v>
      </c>
      <c r="M901" s="735">
        <v>0</v>
      </c>
      <c r="N901" s="735">
        <v>0</v>
      </c>
      <c r="O901" s="735">
        <v>0</v>
      </c>
      <c r="P901" s="735">
        <v>0</v>
      </c>
      <c r="Q901" s="633">
        <f>5*Table1[[#This Row],[Quantity of Sets]]</f>
        <v>0</v>
      </c>
      <c r="R901" s="735">
        <v>0</v>
      </c>
      <c r="S901" s="736">
        <v>0</v>
      </c>
      <c r="T901" s="731">
        <v>0</v>
      </c>
      <c r="U901" s="731">
        <v>0</v>
      </c>
      <c r="V901" s="740" t="str">
        <f t="shared" si="99"/>
        <v xml:space="preserve"> </v>
      </c>
    </row>
    <row r="902" spans="1:22" hidden="1">
      <c r="A902" s="460" t="s">
        <v>3009</v>
      </c>
      <c r="B902" s="114">
        <f>_xlfn.IFNA(VLOOKUP(Table1[[#This Row],[SKU]],'Urban Plastix Holds'!$I$36:$L$501,4,0),0)</f>
        <v>0</v>
      </c>
      <c r="C902" s="733">
        <v>5</v>
      </c>
      <c r="D902" s="734">
        <f>5*Table1[[#This Row],[Quantity of Sets]]</f>
        <v>0</v>
      </c>
      <c r="E902" s="734">
        <v>0</v>
      </c>
      <c r="F902" s="738">
        <v>0</v>
      </c>
      <c r="G902" s="739">
        <v>0</v>
      </c>
      <c r="H902" s="738">
        <v>0</v>
      </c>
      <c r="I902" s="739">
        <v>0</v>
      </c>
      <c r="J902" s="738">
        <v>0</v>
      </c>
      <c r="K902" s="738">
        <v>0</v>
      </c>
      <c r="L902" s="732">
        <v>0</v>
      </c>
      <c r="M902" s="738">
        <v>0</v>
      </c>
      <c r="N902" s="738">
        <v>0</v>
      </c>
      <c r="O902" s="738">
        <v>0</v>
      </c>
      <c r="P902" s="738">
        <v>0</v>
      </c>
      <c r="Q902" s="689">
        <f>5*Table1[[#This Row],[Quantity of Sets]]</f>
        <v>0</v>
      </c>
      <c r="R902" s="738">
        <v>0</v>
      </c>
      <c r="S902" s="736">
        <v>0</v>
      </c>
      <c r="T902" s="731">
        <v>0</v>
      </c>
      <c r="U902" s="731">
        <v>0</v>
      </c>
      <c r="V902" s="740" t="str">
        <f t="shared" si="99"/>
        <v xml:space="preserve"> </v>
      </c>
    </row>
    <row r="903" spans="1:22" hidden="1">
      <c r="A903" s="460" t="s">
        <v>3011</v>
      </c>
      <c r="B903" s="114">
        <f>_xlfn.IFNA(VLOOKUP(Table1[[#This Row],[SKU]],'Urban Plastix Holds'!$I$36:$L$501,4,0),0)</f>
        <v>0</v>
      </c>
      <c r="C903" s="733">
        <v>5</v>
      </c>
      <c r="D903" s="734">
        <f>5*Table1[[#This Row],[Quantity of Sets]]</f>
        <v>0</v>
      </c>
      <c r="E903" s="734">
        <v>0</v>
      </c>
      <c r="F903" s="738">
        <v>0</v>
      </c>
      <c r="G903" s="739">
        <v>0</v>
      </c>
      <c r="H903" s="738">
        <v>0</v>
      </c>
      <c r="I903" s="739">
        <v>0</v>
      </c>
      <c r="J903" s="738">
        <v>0</v>
      </c>
      <c r="K903" s="738">
        <v>0</v>
      </c>
      <c r="L903" s="732">
        <v>0</v>
      </c>
      <c r="M903" s="738">
        <v>0</v>
      </c>
      <c r="N903" s="738">
        <v>0</v>
      </c>
      <c r="O903" s="738">
        <v>0</v>
      </c>
      <c r="P903" s="738">
        <v>0</v>
      </c>
      <c r="Q903" s="689">
        <f>5*Table1[[#This Row],[Quantity of Sets]]</f>
        <v>0</v>
      </c>
      <c r="R903" s="738">
        <v>0</v>
      </c>
      <c r="S903" s="736">
        <v>0</v>
      </c>
      <c r="T903" s="731">
        <v>0</v>
      </c>
      <c r="U903" s="731">
        <v>0</v>
      </c>
      <c r="V903" s="740" t="str">
        <f t="shared" si="99"/>
        <v xml:space="preserve"> </v>
      </c>
    </row>
    <row r="904" spans="1:22" hidden="1">
      <c r="A904" s="460" t="s">
        <v>3013</v>
      </c>
      <c r="B904" s="114">
        <f>_xlfn.IFNA(VLOOKUP(Table1[[#This Row],[SKU]],'Urban Plastix Holds'!$I$36:$L$501,4,0),0)</f>
        <v>0</v>
      </c>
      <c r="C904" s="733">
        <v>5</v>
      </c>
      <c r="D904" s="734">
        <f>4*Table1[[#This Row],[Quantity of Sets]]</f>
        <v>0</v>
      </c>
      <c r="E904" s="734">
        <f>1*Table1[[#This Row],[Quantity of Sets]]</f>
        <v>0</v>
      </c>
      <c r="F904" s="738">
        <v>0</v>
      </c>
      <c r="G904" s="739">
        <v>0</v>
      </c>
      <c r="H904" s="738">
        <v>0</v>
      </c>
      <c r="I904" s="739">
        <v>0</v>
      </c>
      <c r="J904" s="738">
        <v>0</v>
      </c>
      <c r="K904" s="738">
        <v>0</v>
      </c>
      <c r="L904" s="732">
        <v>0</v>
      </c>
      <c r="M904" s="738">
        <v>0</v>
      </c>
      <c r="N904" s="738">
        <v>0</v>
      </c>
      <c r="O904" s="738">
        <v>0</v>
      </c>
      <c r="P904" s="738">
        <v>0</v>
      </c>
      <c r="Q904" s="689">
        <f>5*Table1[[#This Row],[Quantity of Sets]]</f>
        <v>0</v>
      </c>
      <c r="R904" s="738">
        <v>0</v>
      </c>
      <c r="S904" s="736">
        <v>0</v>
      </c>
      <c r="T904" s="731">
        <v>0</v>
      </c>
      <c r="U904" s="731">
        <v>0</v>
      </c>
      <c r="V904" s="740" t="str">
        <f t="shared" si="99"/>
        <v xml:space="preserve"> </v>
      </c>
    </row>
    <row r="905" spans="1:22" hidden="1">
      <c r="A905" s="460" t="s">
        <v>3015</v>
      </c>
      <c r="B905" s="114">
        <f>_xlfn.IFNA(VLOOKUP(Table1[[#This Row],[SKU]],'Urban Plastix Holds'!$I$36:$L$501,4,0),0)</f>
        <v>0</v>
      </c>
      <c r="C905" s="733">
        <v>5</v>
      </c>
      <c r="D905" s="734">
        <f>3*Table1[[#This Row],[Quantity of Sets]]</f>
        <v>0</v>
      </c>
      <c r="E905" s="734">
        <f>2*Table1[[#This Row],[Quantity of Sets]]</f>
        <v>0</v>
      </c>
      <c r="F905" s="738">
        <v>0</v>
      </c>
      <c r="G905" s="739">
        <v>0</v>
      </c>
      <c r="H905" s="738">
        <v>0</v>
      </c>
      <c r="I905" s="739">
        <v>0</v>
      </c>
      <c r="J905" s="738">
        <v>0</v>
      </c>
      <c r="K905" s="738">
        <v>0</v>
      </c>
      <c r="L905" s="732">
        <v>0</v>
      </c>
      <c r="M905" s="738">
        <v>0</v>
      </c>
      <c r="N905" s="738">
        <v>0</v>
      </c>
      <c r="O905" s="738">
        <v>0</v>
      </c>
      <c r="P905" s="738">
        <v>0</v>
      </c>
      <c r="Q905" s="689">
        <f>5*Table1[[#This Row],[Quantity of Sets]]</f>
        <v>0</v>
      </c>
      <c r="R905" s="738">
        <v>0</v>
      </c>
      <c r="S905" s="736">
        <v>0</v>
      </c>
      <c r="T905" s="731">
        <v>0</v>
      </c>
      <c r="U905" s="731">
        <v>0</v>
      </c>
      <c r="V905" s="740" t="str">
        <f t="shared" si="99"/>
        <v xml:space="preserve"> </v>
      </c>
    </row>
    <row r="906" spans="1:22" hidden="1">
      <c r="A906" s="460" t="s">
        <v>3017</v>
      </c>
      <c r="B906" s="114">
        <f>_xlfn.IFNA(VLOOKUP(Table1[[#This Row],[SKU]],'Urban Plastix Holds'!$I$36:$L$501,4,0),0)</f>
        <v>0</v>
      </c>
      <c r="C906" s="737">
        <v>3</v>
      </c>
      <c r="D906" s="734">
        <v>0</v>
      </c>
      <c r="E906" s="734">
        <v>0</v>
      </c>
      <c r="F906" s="738">
        <f>3*Table1[[#This Row],[Quantity of Sets]]</f>
        <v>0</v>
      </c>
      <c r="G906" s="739">
        <v>0</v>
      </c>
      <c r="H906" s="738">
        <v>0</v>
      </c>
      <c r="I906" s="739">
        <v>0</v>
      </c>
      <c r="J906" s="738">
        <v>0</v>
      </c>
      <c r="K906" s="738">
        <v>0</v>
      </c>
      <c r="L906" s="732">
        <v>0</v>
      </c>
      <c r="M906" s="738">
        <v>0</v>
      </c>
      <c r="N906" s="738">
        <v>0</v>
      </c>
      <c r="O906" s="738">
        <v>0</v>
      </c>
      <c r="P906" s="738">
        <v>0</v>
      </c>
      <c r="Q906" s="689">
        <f>6*Table1[[#This Row],[Quantity of Sets]]</f>
        <v>0</v>
      </c>
      <c r="R906" s="738">
        <v>0</v>
      </c>
      <c r="S906" s="736">
        <v>0</v>
      </c>
      <c r="T906" s="731">
        <v>0</v>
      </c>
      <c r="U906" s="731">
        <v>0</v>
      </c>
      <c r="V906" s="740" t="str">
        <f t="shared" si="99"/>
        <v xml:space="preserve"> </v>
      </c>
    </row>
    <row r="907" spans="1:22" hidden="1">
      <c r="A907" s="460" t="s">
        <v>3019</v>
      </c>
      <c r="B907" s="114">
        <f>_xlfn.IFNA(VLOOKUP(Table1[[#This Row],[SKU]],'Urban Plastix Holds'!$I$36:$L$501,4,0),0)</f>
        <v>0</v>
      </c>
      <c r="C907" s="733">
        <v>5</v>
      </c>
      <c r="D907" s="734">
        <f>5*Table1[[#This Row],[Quantity of Sets]]</f>
        <v>0</v>
      </c>
      <c r="E907" s="734">
        <v>0</v>
      </c>
      <c r="F907" s="735">
        <v>0</v>
      </c>
      <c r="G907" s="734">
        <v>0</v>
      </c>
      <c r="H907" s="735">
        <v>0</v>
      </c>
      <c r="I907" s="734">
        <v>0</v>
      </c>
      <c r="J907" s="735">
        <v>0</v>
      </c>
      <c r="K907" s="735">
        <v>0</v>
      </c>
      <c r="L907" s="732">
        <v>0</v>
      </c>
      <c r="M907" s="735">
        <v>0</v>
      </c>
      <c r="N907" s="735">
        <v>0</v>
      </c>
      <c r="O907" s="735">
        <v>0</v>
      </c>
      <c r="P907" s="735">
        <v>0</v>
      </c>
      <c r="Q907" s="633">
        <f>5*Table1[[#This Row],[Quantity of Sets]]</f>
        <v>0</v>
      </c>
      <c r="R907" s="735">
        <v>0</v>
      </c>
      <c r="S907" s="736">
        <v>0</v>
      </c>
      <c r="T907" s="731">
        <v>0</v>
      </c>
      <c r="U907" s="731">
        <v>0</v>
      </c>
      <c r="V907" s="740" t="str">
        <f t="shared" si="99"/>
        <v xml:space="preserve"> </v>
      </c>
    </row>
    <row r="908" spans="1:22" hidden="1">
      <c r="A908" s="460" t="s">
        <v>3021</v>
      </c>
      <c r="B908" s="114">
        <f>_xlfn.IFNA(VLOOKUP(Table1[[#This Row],[SKU]],'Urban Plastix Holds'!$I$36:$L$501,4,0),0)</f>
        <v>0</v>
      </c>
      <c r="C908" s="733">
        <v>5</v>
      </c>
      <c r="D908" s="734">
        <f>5*Table1[[#This Row],[Quantity of Sets]]</f>
        <v>0</v>
      </c>
      <c r="E908" s="734">
        <v>0</v>
      </c>
      <c r="F908" s="735">
        <v>0</v>
      </c>
      <c r="G908" s="734">
        <v>0</v>
      </c>
      <c r="H908" s="735">
        <v>0</v>
      </c>
      <c r="I908" s="734">
        <v>0</v>
      </c>
      <c r="J908" s="735">
        <v>0</v>
      </c>
      <c r="K908" s="735">
        <v>0</v>
      </c>
      <c r="L908" s="732">
        <v>0</v>
      </c>
      <c r="M908" s="735">
        <v>0</v>
      </c>
      <c r="N908" s="735">
        <v>0</v>
      </c>
      <c r="O908" s="735">
        <v>0</v>
      </c>
      <c r="P908" s="735">
        <v>0</v>
      </c>
      <c r="Q908" s="633">
        <f>5*Table1[[#This Row],[Quantity of Sets]]</f>
        <v>0</v>
      </c>
      <c r="R908" s="735">
        <v>0</v>
      </c>
      <c r="S908" s="736">
        <v>0</v>
      </c>
      <c r="T908" s="731">
        <v>0</v>
      </c>
      <c r="U908" s="731">
        <v>0</v>
      </c>
      <c r="V908" s="740" t="str">
        <f t="shared" si="99"/>
        <v xml:space="preserve"> </v>
      </c>
    </row>
    <row r="909" spans="1:22" hidden="1">
      <c r="A909" s="460" t="s">
        <v>3023</v>
      </c>
      <c r="B909" s="114">
        <f>_xlfn.IFNA(VLOOKUP(Table1[[#This Row],[SKU]],'Urban Plastix Holds'!$I$36:$L$501,4,0),0)</f>
        <v>0</v>
      </c>
      <c r="C909" s="733">
        <v>5</v>
      </c>
      <c r="D909" s="734">
        <f>5*Table1[[#This Row],[Quantity of Sets]]</f>
        <v>0</v>
      </c>
      <c r="E909" s="734">
        <v>0</v>
      </c>
      <c r="F909" s="735">
        <v>0</v>
      </c>
      <c r="G909" s="734">
        <v>0</v>
      </c>
      <c r="H909" s="735">
        <v>0</v>
      </c>
      <c r="I909" s="734">
        <v>0</v>
      </c>
      <c r="J909" s="735">
        <v>0</v>
      </c>
      <c r="K909" s="735">
        <v>0</v>
      </c>
      <c r="L909" s="732">
        <v>0</v>
      </c>
      <c r="M909" s="735">
        <v>0</v>
      </c>
      <c r="N909" s="735">
        <v>0</v>
      </c>
      <c r="O909" s="735">
        <v>0</v>
      </c>
      <c r="P909" s="735">
        <v>0</v>
      </c>
      <c r="Q909" s="633">
        <f>5*Table1[[#This Row],[Quantity of Sets]]</f>
        <v>0</v>
      </c>
      <c r="R909" s="735">
        <v>0</v>
      </c>
      <c r="S909" s="736">
        <v>0</v>
      </c>
      <c r="T909" s="731">
        <v>0</v>
      </c>
      <c r="U909" s="731">
        <v>0</v>
      </c>
      <c r="V909" s="740" t="str">
        <f t="shared" si="99"/>
        <v xml:space="preserve"> </v>
      </c>
    </row>
    <row r="910" spans="1:22" hidden="1">
      <c r="A910" s="460" t="s">
        <v>3025</v>
      </c>
      <c r="B910" s="114">
        <f>_xlfn.IFNA(VLOOKUP(Table1[[#This Row],[SKU]],'Urban Plastix Holds'!$I$36:$L$501,4,0),0)</f>
        <v>0</v>
      </c>
      <c r="C910" s="733">
        <v>5</v>
      </c>
      <c r="D910" s="734">
        <f>5*Table1[[#This Row],[Quantity of Sets]]</f>
        <v>0</v>
      </c>
      <c r="E910" s="734">
        <v>0</v>
      </c>
      <c r="F910" s="735">
        <v>0</v>
      </c>
      <c r="G910" s="734">
        <v>0</v>
      </c>
      <c r="H910" s="735">
        <v>0</v>
      </c>
      <c r="I910" s="734">
        <v>0</v>
      </c>
      <c r="J910" s="735">
        <v>0</v>
      </c>
      <c r="K910" s="735">
        <v>0</v>
      </c>
      <c r="L910" s="732">
        <v>0</v>
      </c>
      <c r="M910" s="735">
        <v>0</v>
      </c>
      <c r="N910" s="735">
        <v>0</v>
      </c>
      <c r="O910" s="735">
        <v>0</v>
      </c>
      <c r="P910" s="735">
        <v>0</v>
      </c>
      <c r="Q910" s="633">
        <f>5*Table1[[#This Row],[Quantity of Sets]]</f>
        <v>0</v>
      </c>
      <c r="R910" s="735">
        <v>0</v>
      </c>
      <c r="S910" s="736">
        <v>0</v>
      </c>
      <c r="T910" s="731">
        <v>0</v>
      </c>
      <c r="U910" s="731">
        <v>0</v>
      </c>
      <c r="V910" s="740" t="str">
        <f t="shared" si="99"/>
        <v xml:space="preserve"> </v>
      </c>
    </row>
    <row r="911" spans="1:22" hidden="1">
      <c r="A911" s="460" t="s">
        <v>3027</v>
      </c>
      <c r="B911" s="114">
        <f>_xlfn.IFNA(VLOOKUP(Table1[[#This Row],[SKU]],'Urban Plastix Holds'!$I$36:$L$501,4,0),0)</f>
        <v>0</v>
      </c>
      <c r="C911" s="733">
        <v>5</v>
      </c>
      <c r="D911" s="734">
        <f>5*Table1[[#This Row],[Quantity of Sets]]</f>
        <v>0</v>
      </c>
      <c r="E911" s="734">
        <v>0</v>
      </c>
      <c r="F911" s="735">
        <v>0</v>
      </c>
      <c r="G911" s="734">
        <v>0</v>
      </c>
      <c r="H911" s="735">
        <v>0</v>
      </c>
      <c r="I911" s="734">
        <v>0</v>
      </c>
      <c r="J911" s="735">
        <v>0</v>
      </c>
      <c r="K911" s="735">
        <v>0</v>
      </c>
      <c r="L911" s="732">
        <v>0</v>
      </c>
      <c r="M911" s="735">
        <v>0</v>
      </c>
      <c r="N911" s="735">
        <v>0</v>
      </c>
      <c r="O911" s="735">
        <v>0</v>
      </c>
      <c r="P911" s="735">
        <v>0</v>
      </c>
      <c r="Q911" s="633">
        <f>5*Table1[[#This Row],[Quantity of Sets]]</f>
        <v>0</v>
      </c>
      <c r="R911" s="735">
        <v>0</v>
      </c>
      <c r="S911" s="736">
        <v>0</v>
      </c>
      <c r="T911" s="731">
        <v>0</v>
      </c>
      <c r="U911" s="731">
        <v>0</v>
      </c>
      <c r="V911" s="740" t="str">
        <f t="shared" si="99"/>
        <v xml:space="preserve"> </v>
      </c>
    </row>
    <row r="912" spans="1:22" hidden="1">
      <c r="A912" s="460" t="s">
        <v>3029</v>
      </c>
      <c r="B912" s="114">
        <f>_xlfn.IFNA(VLOOKUP(Table1[[#This Row],[SKU]],'Urban Plastix Holds'!$I$36:$L$501,4,0),0)</f>
        <v>0</v>
      </c>
      <c r="C912" s="733">
        <v>3</v>
      </c>
      <c r="D912" s="734">
        <v>0</v>
      </c>
      <c r="E912" s="734">
        <v>0</v>
      </c>
      <c r="F912" s="735">
        <v>0</v>
      </c>
      <c r="G912" s="734">
        <f>3*Table1[[#This Row],[Quantity of Sets]]</f>
        <v>0</v>
      </c>
      <c r="H912" s="735">
        <v>0</v>
      </c>
      <c r="I912" s="734">
        <v>0</v>
      </c>
      <c r="J912" s="735">
        <v>0</v>
      </c>
      <c r="K912" s="735">
        <v>0</v>
      </c>
      <c r="L912" s="732">
        <v>0</v>
      </c>
      <c r="M912" s="735">
        <v>0</v>
      </c>
      <c r="N912" s="735">
        <v>0</v>
      </c>
      <c r="O912" s="735">
        <v>0</v>
      </c>
      <c r="P912" s="735">
        <v>0</v>
      </c>
      <c r="Q912" s="633">
        <f>9*Table1[[#This Row],[Quantity of Sets]]</f>
        <v>0</v>
      </c>
      <c r="R912" s="735">
        <v>0</v>
      </c>
      <c r="S912" s="736">
        <v>0</v>
      </c>
      <c r="T912" s="731">
        <v>0</v>
      </c>
      <c r="U912" s="731">
        <v>0</v>
      </c>
      <c r="V912" s="740" t="str">
        <f t="shared" si="99"/>
        <v xml:space="preserve"> </v>
      </c>
    </row>
    <row r="913" spans="1:22" hidden="1">
      <c r="A913" s="460" t="s">
        <v>3088</v>
      </c>
      <c r="B913" s="114">
        <f>_xlfn.IFNA(VLOOKUP(Table1[[#This Row],[SKU]],'Urban Plastix Holds'!$I$36:$L$501,4,0),0)</f>
        <v>0</v>
      </c>
      <c r="C913" s="733">
        <v>3</v>
      </c>
      <c r="D913" s="734">
        <v>0</v>
      </c>
      <c r="E913" s="734">
        <v>0</v>
      </c>
      <c r="F913" s="735">
        <v>0</v>
      </c>
      <c r="G913" s="734">
        <v>0</v>
      </c>
      <c r="H913" s="735">
        <f>3*Table1[[#This Row],[Quantity of Sets]]</f>
        <v>0</v>
      </c>
      <c r="I913" s="734">
        <v>0</v>
      </c>
      <c r="J913" s="735">
        <v>0</v>
      </c>
      <c r="K913" s="735">
        <v>0</v>
      </c>
      <c r="L913" s="732">
        <v>0</v>
      </c>
      <c r="M913" s="735">
        <v>0</v>
      </c>
      <c r="N913" s="735">
        <v>0</v>
      </c>
      <c r="O913" s="735">
        <v>0</v>
      </c>
      <c r="P913" s="735">
        <v>0</v>
      </c>
      <c r="Q913" s="633">
        <f>12*Table1[[#This Row],[Quantity of Sets]]</f>
        <v>0</v>
      </c>
      <c r="R913" s="735">
        <v>0</v>
      </c>
      <c r="S913" s="736">
        <v>0</v>
      </c>
      <c r="T913" s="731">
        <v>0</v>
      </c>
      <c r="U913" s="731">
        <v>0</v>
      </c>
      <c r="V913" s="740" t="str">
        <f t="shared" ref="V913" si="100">IF(B913&gt;0,"Added"," ")</f>
        <v xml:space="preserve"> </v>
      </c>
    </row>
    <row r="914" spans="1:22" hidden="1">
      <c r="A914" s="460" t="s">
        <v>3089</v>
      </c>
      <c r="B914" s="114">
        <f>_xlfn.IFNA(VLOOKUP(Table1[[#This Row],[SKU]],'Urban Plastix Holds'!$I$36:$L$501,4,0),0)</f>
        <v>0</v>
      </c>
      <c r="C914" s="733">
        <v>5</v>
      </c>
      <c r="D914" s="734">
        <v>0</v>
      </c>
      <c r="E914" s="734">
        <v>0</v>
      </c>
      <c r="F914" s="735">
        <v>0</v>
      </c>
      <c r="G914" s="734">
        <f>2*Table1[[#This Row],[Quantity of Sets]]</f>
        <v>0</v>
      </c>
      <c r="H914" s="735">
        <f>3*Table1[[#This Row],[Quantity of Sets]]</f>
        <v>0</v>
      </c>
      <c r="I914" s="734">
        <v>0</v>
      </c>
      <c r="J914" s="735">
        <v>0</v>
      </c>
      <c r="K914" s="735">
        <v>0</v>
      </c>
      <c r="L914" s="732">
        <v>0</v>
      </c>
      <c r="M914" s="735">
        <v>0</v>
      </c>
      <c r="N914" s="735">
        <v>0</v>
      </c>
      <c r="O914" s="735">
        <v>0</v>
      </c>
      <c r="P914" s="735">
        <v>0</v>
      </c>
      <c r="Q914" s="633">
        <f>10*Table1[[#This Row],[Quantity of Sets]]</f>
        <v>0</v>
      </c>
      <c r="R914" s="735">
        <v>0</v>
      </c>
      <c r="S914" s="736">
        <v>0</v>
      </c>
      <c r="T914" s="731">
        <v>0</v>
      </c>
      <c r="U914" s="731">
        <v>0</v>
      </c>
      <c r="V914" s="740" t="str">
        <f t="shared" ref="V914" si="101">IF(B914&gt;0,"Added"," ")</f>
        <v xml:space="preserve"> </v>
      </c>
    </row>
    <row r="915" spans="1:22" hidden="1">
      <c r="A915" s="460" t="s">
        <v>3131</v>
      </c>
      <c r="B915" s="114">
        <f>_xlfn.IFNA(VLOOKUP(Table1[[#This Row],[SKU]],'Urban Plastix Holds'!$I$36:$L$501,4,0),0)</f>
        <v>0</v>
      </c>
      <c r="C915" s="733">
        <v>5</v>
      </c>
      <c r="D915" s="734">
        <v>0</v>
      </c>
      <c r="E915" s="734">
        <v>0</v>
      </c>
      <c r="F915" s="735">
        <v>0</v>
      </c>
      <c r="G915" s="734">
        <f>1*Table1[[#This Row],[Quantity of Sets]]</f>
        <v>0</v>
      </c>
      <c r="H915" s="735">
        <f>4*Table1[[#This Row],[Quantity of Sets]]</f>
        <v>0</v>
      </c>
      <c r="I915" s="734">
        <v>0</v>
      </c>
      <c r="J915" s="735">
        <v>0</v>
      </c>
      <c r="K915" s="735">
        <v>0</v>
      </c>
      <c r="L915" s="732">
        <v>0</v>
      </c>
      <c r="M915" s="735">
        <v>0</v>
      </c>
      <c r="N915" s="735">
        <v>0</v>
      </c>
      <c r="O915" s="735">
        <v>0</v>
      </c>
      <c r="P915" s="735">
        <v>0</v>
      </c>
      <c r="Q915" s="633">
        <f>10*Table1[[#This Row],[Quantity of Sets]]</f>
        <v>0</v>
      </c>
      <c r="R915" s="735">
        <v>0</v>
      </c>
      <c r="S915" s="736">
        <v>0</v>
      </c>
      <c r="T915" s="731">
        <v>0</v>
      </c>
      <c r="U915" s="731">
        <v>0</v>
      </c>
      <c r="V915" s="740" t="str">
        <f t="shared" ref="V915" si="102">IF(B915&gt;0,"Added"," ")</f>
        <v xml:space="preserve"> </v>
      </c>
    </row>
    <row r="916" spans="1:22" hidden="1">
      <c r="A916" s="460" t="s">
        <v>3133</v>
      </c>
      <c r="B916" s="114">
        <f>_xlfn.IFNA(VLOOKUP(Table1[[#This Row],[SKU]],'Urban Plastix Holds'!$I$36:$L$501,4,0),0)</f>
        <v>0</v>
      </c>
      <c r="C916" s="733">
        <v>1</v>
      </c>
      <c r="D916" s="734">
        <v>0</v>
      </c>
      <c r="E916" s="734">
        <v>0</v>
      </c>
      <c r="F916" s="735">
        <v>0</v>
      </c>
      <c r="G916" s="734">
        <v>0</v>
      </c>
      <c r="H916" s="735">
        <v>0</v>
      </c>
      <c r="I916" s="734">
        <v>0</v>
      </c>
      <c r="J916" s="735">
        <v>0</v>
      </c>
      <c r="K916" s="735">
        <v>0</v>
      </c>
      <c r="L916" s="732">
        <v>0</v>
      </c>
      <c r="M916" s="735">
        <f>1*Table1[[#This Row],[Quantity of Sets]]</f>
        <v>0</v>
      </c>
      <c r="N916" s="735">
        <v>0</v>
      </c>
      <c r="O916" s="735">
        <v>0</v>
      </c>
      <c r="P916" s="735">
        <v>0</v>
      </c>
      <c r="Q916" s="633">
        <f>4*Table1[[#This Row],[Quantity of Sets]]</f>
        <v>0</v>
      </c>
      <c r="R916" s="735">
        <v>0</v>
      </c>
      <c r="S916" s="736">
        <v>0</v>
      </c>
      <c r="T916" s="731">
        <v>0</v>
      </c>
      <c r="U916" s="731">
        <v>0</v>
      </c>
      <c r="V916" s="740" t="str">
        <f t="shared" ref="V916:V920" si="103">IF(B916&gt;0,"Added"," ")</f>
        <v xml:space="preserve"> </v>
      </c>
    </row>
    <row r="917" spans="1:22" hidden="1">
      <c r="A917" s="460" t="s">
        <v>3135</v>
      </c>
      <c r="B917" s="114">
        <f>_xlfn.IFNA(VLOOKUP(Table1[[#This Row],[SKU]],'Urban Plastix Holds'!$I$36:$L$501,4,0),0)</f>
        <v>0</v>
      </c>
      <c r="C917" s="733">
        <v>10</v>
      </c>
      <c r="D917" s="734">
        <f>10*Table1[[#This Row],[Quantity of Sets]]</f>
        <v>0</v>
      </c>
      <c r="E917" s="734">
        <v>0</v>
      </c>
      <c r="F917" s="735">
        <v>0</v>
      </c>
      <c r="G917" s="734">
        <v>0</v>
      </c>
      <c r="H917" s="735">
        <v>0</v>
      </c>
      <c r="I917" s="734">
        <v>0</v>
      </c>
      <c r="J917" s="735">
        <v>0</v>
      </c>
      <c r="K917" s="735">
        <v>0</v>
      </c>
      <c r="L917" s="732">
        <v>0</v>
      </c>
      <c r="M917" s="735">
        <v>0</v>
      </c>
      <c r="N917" s="735">
        <v>0</v>
      </c>
      <c r="O917" s="735">
        <v>0</v>
      </c>
      <c r="P917" s="735">
        <v>0</v>
      </c>
      <c r="Q917" s="633">
        <f>10*Table1[[#This Row],[Quantity of Sets]]</f>
        <v>0</v>
      </c>
      <c r="R917" s="735">
        <v>0</v>
      </c>
      <c r="S917" s="736">
        <v>0</v>
      </c>
      <c r="T917" s="731">
        <v>0</v>
      </c>
      <c r="U917" s="731">
        <v>0</v>
      </c>
      <c r="V917" s="740" t="str">
        <f t="shared" si="103"/>
        <v xml:space="preserve"> </v>
      </c>
    </row>
    <row r="918" spans="1:22" hidden="1">
      <c r="A918" s="460" t="s">
        <v>3137</v>
      </c>
      <c r="B918" s="114">
        <f>_xlfn.IFNA(VLOOKUP(Table1[[#This Row],[SKU]],'Urban Plastix Holds'!$I$36:$L$501,4,0),0)</f>
        <v>0</v>
      </c>
      <c r="C918" s="733">
        <v>3</v>
      </c>
      <c r="D918" s="734">
        <v>0</v>
      </c>
      <c r="E918" s="734">
        <v>0</v>
      </c>
      <c r="F918" s="735">
        <v>0</v>
      </c>
      <c r="G918" s="734">
        <v>0</v>
      </c>
      <c r="H918" s="735">
        <f>3*Table1[[#This Row],[Quantity of Sets]]</f>
        <v>0</v>
      </c>
      <c r="I918" s="734">
        <v>0</v>
      </c>
      <c r="J918" s="735">
        <v>0</v>
      </c>
      <c r="K918" s="735">
        <v>0</v>
      </c>
      <c r="L918" s="732">
        <v>0</v>
      </c>
      <c r="M918" s="735">
        <v>0</v>
      </c>
      <c r="N918" s="735">
        <v>0</v>
      </c>
      <c r="O918" s="735">
        <v>0</v>
      </c>
      <c r="P918" s="735">
        <v>0</v>
      </c>
      <c r="Q918" s="633">
        <f>15*Table1[[#This Row],[Quantity of Sets]]</f>
        <v>0</v>
      </c>
      <c r="R918" s="735">
        <v>0</v>
      </c>
      <c r="S918" s="736">
        <v>0</v>
      </c>
      <c r="T918" s="731">
        <v>0</v>
      </c>
      <c r="U918" s="731">
        <v>0</v>
      </c>
      <c r="V918" s="740" t="str">
        <f t="shared" si="103"/>
        <v xml:space="preserve"> </v>
      </c>
    </row>
    <row r="919" spans="1:22" hidden="1">
      <c r="A919" s="460" t="s">
        <v>3139</v>
      </c>
      <c r="B919" s="114">
        <f>_xlfn.IFNA(VLOOKUP(Table1[[#This Row],[SKU]],'Urban Plastix Holds'!$I$36:$L$501,4,0),0)</f>
        <v>0</v>
      </c>
      <c r="C919" s="733">
        <v>1</v>
      </c>
      <c r="D919" s="734">
        <v>0</v>
      </c>
      <c r="E919" s="734">
        <v>0</v>
      </c>
      <c r="F919" s="735">
        <f>1*Table1[[#This Row],[Quantity of Sets]]</f>
        <v>0</v>
      </c>
      <c r="G919" s="734">
        <v>0</v>
      </c>
      <c r="H919" s="735">
        <v>0</v>
      </c>
      <c r="I919" s="734">
        <v>0</v>
      </c>
      <c r="J919" s="735">
        <v>0</v>
      </c>
      <c r="K919" s="735">
        <v>0</v>
      </c>
      <c r="L919" s="732">
        <v>0</v>
      </c>
      <c r="M919" s="735">
        <v>0</v>
      </c>
      <c r="N919" s="735">
        <v>0</v>
      </c>
      <c r="O919" s="735">
        <v>0</v>
      </c>
      <c r="P919" s="735">
        <v>0</v>
      </c>
      <c r="Q919" s="633">
        <f>3*Table1[[#This Row],[Quantity of Sets]]</f>
        <v>0</v>
      </c>
      <c r="R919" s="735">
        <v>0</v>
      </c>
      <c r="S919" s="736">
        <v>0</v>
      </c>
      <c r="T919" s="731">
        <v>0</v>
      </c>
      <c r="U919" s="731">
        <v>0</v>
      </c>
      <c r="V919" s="740" t="str">
        <f t="shared" si="103"/>
        <v xml:space="preserve"> </v>
      </c>
    </row>
    <row r="920" spans="1:22" hidden="1">
      <c r="A920" s="460" t="s">
        <v>3141</v>
      </c>
      <c r="B920" s="114">
        <f>_xlfn.IFNA(VLOOKUP(Table1[[#This Row],[SKU]],'Urban Plastix Holds'!$I$36:$L$501,4,0),0)</f>
        <v>0</v>
      </c>
      <c r="C920" s="733">
        <v>3</v>
      </c>
      <c r="D920" s="734">
        <v>0</v>
      </c>
      <c r="E920" s="734">
        <v>0</v>
      </c>
      <c r="F920" s="735">
        <v>0</v>
      </c>
      <c r="G920" s="734">
        <v>0</v>
      </c>
      <c r="H920" s="735">
        <v>0</v>
      </c>
      <c r="I920" s="734">
        <f>1*Table1[[#This Row],[Quantity of Sets]]</f>
        <v>0</v>
      </c>
      <c r="J920" s="735">
        <f>2*Table1[[#This Row],[Quantity of Sets]]</f>
        <v>0</v>
      </c>
      <c r="K920" s="735">
        <v>0</v>
      </c>
      <c r="L920" s="732">
        <v>0</v>
      </c>
      <c r="M920" s="735">
        <v>0</v>
      </c>
      <c r="N920" s="735">
        <v>0</v>
      </c>
      <c r="O920" s="735">
        <v>0</v>
      </c>
      <c r="P920" s="735">
        <v>0</v>
      </c>
      <c r="Q920" s="633">
        <f>12*Table1[[#This Row],[Quantity of Sets]]</f>
        <v>0</v>
      </c>
      <c r="R920" s="735">
        <v>0</v>
      </c>
      <c r="S920" s="736">
        <v>0</v>
      </c>
      <c r="T920" s="731">
        <v>0</v>
      </c>
      <c r="U920" s="731">
        <v>0</v>
      </c>
      <c r="V920" s="740" t="str">
        <f t="shared" si="103"/>
        <v xml:space="preserve"> </v>
      </c>
    </row>
    <row r="921" spans="1:22" hidden="1">
      <c r="A921" s="460" t="s">
        <v>2300</v>
      </c>
      <c r="B921" s="114">
        <f>_xlfn.IFNA(VLOOKUP(Table1[[#This Row],[SKU]],'Urban Plastix Holds'!$I$36:$L$501,4,0),0)</f>
        <v>0</v>
      </c>
      <c r="C921" s="407">
        <v>1</v>
      </c>
      <c r="D921" s="117">
        <v>0</v>
      </c>
      <c r="E921" s="117">
        <v>0</v>
      </c>
      <c r="F921" s="122">
        <v>0</v>
      </c>
      <c r="G921" s="123">
        <v>0</v>
      </c>
      <c r="H921" s="122">
        <v>0</v>
      </c>
      <c r="I921" s="122">
        <v>0</v>
      </c>
      <c r="J921" s="122">
        <v>0</v>
      </c>
      <c r="K921" s="123">
        <v>0</v>
      </c>
      <c r="L921" s="123">
        <v>0</v>
      </c>
      <c r="M921" s="122">
        <f>1*Table1[[#This Row],[Quantity of Sets]]</f>
        <v>0</v>
      </c>
      <c r="N921" s="123">
        <v>0</v>
      </c>
      <c r="O921" s="122">
        <v>0</v>
      </c>
      <c r="P921" s="123">
        <v>0</v>
      </c>
      <c r="Q921" s="122">
        <f>5*Table1[[#This Row],[Quantity of Sets]]</f>
        <v>0</v>
      </c>
      <c r="R921" s="123">
        <v>0</v>
      </c>
      <c r="S921" s="119">
        <v>0</v>
      </c>
      <c r="T921" s="119">
        <v>0</v>
      </c>
      <c r="U921" s="119">
        <v>0</v>
      </c>
      <c r="V921" s="124" t="str">
        <f t="shared" ref="V921:V924" si="104">IF(B921&gt;0,"Added"," ")</f>
        <v xml:space="preserve"> </v>
      </c>
    </row>
    <row r="922" spans="1:22" hidden="1">
      <c r="A922" s="460" t="s">
        <v>2305</v>
      </c>
      <c r="B922" s="114">
        <f>_xlfn.IFNA(VLOOKUP(Table1[[#This Row],[SKU]],'Urban Plastix Holds'!$I$36:$L$501,4,0),0)</f>
        <v>0</v>
      </c>
      <c r="C922" s="407">
        <v>5</v>
      </c>
      <c r="D922" s="117">
        <v>0</v>
      </c>
      <c r="E922" s="117">
        <v>0</v>
      </c>
      <c r="F922" s="122">
        <v>0</v>
      </c>
      <c r="G922" s="123">
        <v>0</v>
      </c>
      <c r="H922" s="122">
        <f>5*Table1[[#This Row],[Quantity of Sets]]</f>
        <v>0</v>
      </c>
      <c r="I922" s="122">
        <v>0</v>
      </c>
      <c r="J922" s="122">
        <v>0</v>
      </c>
      <c r="K922" s="123">
        <v>0</v>
      </c>
      <c r="L922" s="123">
        <v>0</v>
      </c>
      <c r="M922" s="122">
        <v>0</v>
      </c>
      <c r="N922" s="123">
        <v>0</v>
      </c>
      <c r="O922" s="122">
        <v>0</v>
      </c>
      <c r="P922" s="123">
        <v>0</v>
      </c>
      <c r="Q922" s="603">
        <f>10*Table1[[#This Row],[Quantity of Sets]]</f>
        <v>0</v>
      </c>
      <c r="R922" s="123">
        <v>0</v>
      </c>
      <c r="S922" s="119">
        <v>0</v>
      </c>
      <c r="T922" s="119">
        <v>0</v>
      </c>
      <c r="U922" s="119">
        <v>0</v>
      </c>
      <c r="V922" s="124" t="str">
        <f t="shared" si="104"/>
        <v xml:space="preserve"> </v>
      </c>
    </row>
    <row r="923" spans="1:22" hidden="1">
      <c r="A923" s="460" t="s">
        <v>2303</v>
      </c>
      <c r="B923" s="114">
        <f>_xlfn.IFNA(VLOOKUP(Table1[[#This Row],[SKU]],'Urban Plastix Holds'!$I$36:$L$501,4,0),0)</f>
        <v>0</v>
      </c>
      <c r="C923" s="407">
        <v>1</v>
      </c>
      <c r="D923" s="117">
        <v>0</v>
      </c>
      <c r="E923" s="117">
        <v>0</v>
      </c>
      <c r="F923" s="122">
        <v>0</v>
      </c>
      <c r="G923" s="123">
        <v>0</v>
      </c>
      <c r="H923" s="122">
        <v>0</v>
      </c>
      <c r="I923" s="122">
        <v>0</v>
      </c>
      <c r="J923" s="122">
        <f>1*Table1[[#This Row],[Quantity of Sets]]</f>
        <v>0</v>
      </c>
      <c r="K923" s="123">
        <v>0</v>
      </c>
      <c r="L923" s="123">
        <v>0</v>
      </c>
      <c r="M923" s="122">
        <v>0</v>
      </c>
      <c r="N923" s="123">
        <v>0</v>
      </c>
      <c r="O923" s="122">
        <v>0</v>
      </c>
      <c r="P923" s="123">
        <v>0</v>
      </c>
      <c r="Q923" s="122">
        <f>9*Table1[[#This Row],[Quantity of Sets]]</f>
        <v>0</v>
      </c>
      <c r="R923" s="123">
        <v>0</v>
      </c>
      <c r="S923" s="119">
        <v>0</v>
      </c>
      <c r="T923" s="119">
        <v>0</v>
      </c>
      <c r="U923" s="119">
        <v>0</v>
      </c>
      <c r="V923" s="124" t="str">
        <f t="shared" si="104"/>
        <v xml:space="preserve"> </v>
      </c>
    </row>
    <row r="924" spans="1:22" hidden="1">
      <c r="A924" s="460" t="s">
        <v>2301</v>
      </c>
      <c r="B924" s="114">
        <f>_xlfn.IFNA(VLOOKUP(Table1[[#This Row],[SKU]],'Urban Plastix Holds'!$I$36:$L$501,4,0),0)</f>
        <v>0</v>
      </c>
      <c r="C924" s="407">
        <v>1</v>
      </c>
      <c r="D924" s="117">
        <v>0</v>
      </c>
      <c r="E924" s="117">
        <v>0</v>
      </c>
      <c r="F924" s="122">
        <v>0</v>
      </c>
      <c r="G924" s="123">
        <v>0</v>
      </c>
      <c r="H924" s="122">
        <v>0</v>
      </c>
      <c r="I924" s="122">
        <v>0</v>
      </c>
      <c r="J924" s="122">
        <v>0</v>
      </c>
      <c r="K924" s="123">
        <v>0</v>
      </c>
      <c r="L924" s="123">
        <v>0</v>
      </c>
      <c r="M924" s="122">
        <v>0</v>
      </c>
      <c r="N924" s="123">
        <v>0</v>
      </c>
      <c r="O924" s="122">
        <v>0</v>
      </c>
      <c r="P924" s="123">
        <f>1*Table1[[#This Row],[Quantity of Sets]]</f>
        <v>0</v>
      </c>
      <c r="Q924" s="122">
        <f>9*Table1[[#This Row],[Quantity of Sets]]</f>
        <v>0</v>
      </c>
      <c r="R924" s="123">
        <v>0</v>
      </c>
      <c r="S924" s="119">
        <v>0</v>
      </c>
      <c r="T924" s="119">
        <v>0</v>
      </c>
      <c r="U924" s="119">
        <v>0</v>
      </c>
      <c r="V924" s="124" t="str">
        <f t="shared" si="104"/>
        <v xml:space="preserve"> </v>
      </c>
    </row>
    <row r="925" spans="1:22" hidden="1">
      <c r="A925" s="460" t="s">
        <v>2192</v>
      </c>
      <c r="B925" s="114">
        <f>_xlfn.IFNA(VLOOKUP(Table1[[#This Row],[SKU]],'Urban Plastix Holds'!$I$36:$L$501,4,0),0)</f>
        <v>0</v>
      </c>
      <c r="C925" s="407">
        <v>10</v>
      </c>
      <c r="D925" s="117">
        <f>Table1[[#This Row],[Quantity of Sets]]*10</f>
        <v>0</v>
      </c>
      <c r="E925" s="117">
        <v>0</v>
      </c>
      <c r="F925" s="122">
        <v>0</v>
      </c>
      <c r="G925" s="123">
        <v>0</v>
      </c>
      <c r="H925" s="122">
        <v>0</v>
      </c>
      <c r="I925" s="122">
        <v>0</v>
      </c>
      <c r="J925" s="122">
        <v>0</v>
      </c>
      <c r="K925" s="123">
        <v>0</v>
      </c>
      <c r="L925" s="123">
        <v>0</v>
      </c>
      <c r="M925" s="122">
        <v>0</v>
      </c>
      <c r="N925" s="123">
        <v>0</v>
      </c>
      <c r="O925" s="122">
        <v>0</v>
      </c>
      <c r="P925" s="123">
        <v>0</v>
      </c>
      <c r="Q925" s="122">
        <f>Table1[[#This Row],[Quantity of Sets]]*10</f>
        <v>0</v>
      </c>
      <c r="R925" s="123">
        <v>0</v>
      </c>
      <c r="S925" s="119">
        <v>0</v>
      </c>
      <c r="T925" s="119">
        <v>0</v>
      </c>
      <c r="U925" s="119">
        <v>0</v>
      </c>
      <c r="V925" s="124" t="str">
        <f t="shared" si="83"/>
        <v xml:space="preserve"> </v>
      </c>
    </row>
    <row r="926" spans="1:22" hidden="1">
      <c r="A926" s="460" t="s">
        <v>2194</v>
      </c>
      <c r="B926" s="114">
        <f>_xlfn.IFNA(VLOOKUP(Table1[[#This Row],[SKU]],'Urban Plastix Holds'!$I$36:$L$501,4,0),0)</f>
        <v>0</v>
      </c>
      <c r="C926" s="407">
        <v>10</v>
      </c>
      <c r="D926" s="117">
        <f>Table1[[#This Row],[Quantity of Sets]]*10</f>
        <v>0</v>
      </c>
      <c r="E926" s="117">
        <v>0</v>
      </c>
      <c r="F926" s="122">
        <v>0</v>
      </c>
      <c r="G926" s="123">
        <v>0</v>
      </c>
      <c r="H926" s="122">
        <v>0</v>
      </c>
      <c r="I926" s="122">
        <v>0</v>
      </c>
      <c r="J926" s="122">
        <v>0</v>
      </c>
      <c r="K926" s="123">
        <v>0</v>
      </c>
      <c r="L926" s="123">
        <v>0</v>
      </c>
      <c r="M926" s="122">
        <v>0</v>
      </c>
      <c r="N926" s="123">
        <v>0</v>
      </c>
      <c r="O926" s="122">
        <v>0</v>
      </c>
      <c r="P926" s="123">
        <v>0</v>
      </c>
      <c r="Q926" s="122">
        <f>Table1[[#This Row],[Quantity of Sets]]*10</f>
        <v>0</v>
      </c>
      <c r="R926" s="123">
        <v>0</v>
      </c>
      <c r="S926" s="119">
        <v>0</v>
      </c>
      <c r="T926" s="119">
        <v>0</v>
      </c>
      <c r="U926" s="119">
        <v>0</v>
      </c>
      <c r="V926" s="124" t="str">
        <f t="shared" si="83"/>
        <v xml:space="preserve"> </v>
      </c>
    </row>
    <row r="927" spans="1:22" hidden="1">
      <c r="A927" s="460" t="s">
        <v>2196</v>
      </c>
      <c r="B927" s="114">
        <f>_xlfn.IFNA(VLOOKUP(Table1[[#This Row],[SKU]],'Urban Plastix Holds'!$I$36:$L$501,4,0),0)</f>
        <v>0</v>
      </c>
      <c r="C927" s="407">
        <v>5</v>
      </c>
      <c r="D927" s="117">
        <f>Table1[[#This Row],[Quantity of Sets]]*5</f>
        <v>0</v>
      </c>
      <c r="E927" s="117">
        <v>0</v>
      </c>
      <c r="F927" s="122">
        <v>0</v>
      </c>
      <c r="G927" s="123">
        <v>0</v>
      </c>
      <c r="H927" s="122">
        <v>0</v>
      </c>
      <c r="I927" s="122">
        <v>0</v>
      </c>
      <c r="J927" s="122">
        <v>0</v>
      </c>
      <c r="K927" s="123">
        <v>0</v>
      </c>
      <c r="L927" s="123">
        <v>0</v>
      </c>
      <c r="M927" s="122">
        <v>0</v>
      </c>
      <c r="N927" s="123">
        <v>0</v>
      </c>
      <c r="O927" s="122">
        <v>0</v>
      </c>
      <c r="P927" s="123">
        <v>0</v>
      </c>
      <c r="Q927" s="122">
        <f>Table1[[#This Row],[Quantity of Sets]]*5</f>
        <v>0</v>
      </c>
      <c r="R927" s="123">
        <v>0</v>
      </c>
      <c r="S927" s="119">
        <v>0</v>
      </c>
      <c r="T927" s="119">
        <v>0</v>
      </c>
      <c r="U927" s="119">
        <v>0</v>
      </c>
      <c r="V927" s="124" t="str">
        <f t="shared" si="83"/>
        <v xml:space="preserve"> </v>
      </c>
    </row>
    <row r="928" spans="1:22" hidden="1">
      <c r="A928" s="460" t="s">
        <v>2215</v>
      </c>
      <c r="B928" s="114">
        <f>_xlfn.IFNA(VLOOKUP(Table1[[#This Row],[SKU]],'Urban Plastix Holds'!$I$36:$L$501,4,0),0)</f>
        <v>0</v>
      </c>
      <c r="C928" s="407">
        <v>5</v>
      </c>
      <c r="D928" s="117">
        <v>0</v>
      </c>
      <c r="E928" s="117">
        <f>Table1[[#This Row],[Quantity of Sets]]*5</f>
        <v>0</v>
      </c>
      <c r="F928" s="122">
        <v>0</v>
      </c>
      <c r="G928" s="123">
        <v>0</v>
      </c>
      <c r="H928" s="122">
        <v>0</v>
      </c>
      <c r="I928" s="122">
        <v>0</v>
      </c>
      <c r="J928" s="122">
        <v>0</v>
      </c>
      <c r="K928" s="123">
        <v>0</v>
      </c>
      <c r="L928" s="123">
        <v>0</v>
      </c>
      <c r="M928" s="122">
        <v>0</v>
      </c>
      <c r="N928" s="123">
        <v>0</v>
      </c>
      <c r="O928" s="122">
        <v>0</v>
      </c>
      <c r="P928" s="123">
        <v>0</v>
      </c>
      <c r="Q928" s="122">
        <f>Table1[[#This Row],[Quantity of Sets]]*5</f>
        <v>0</v>
      </c>
      <c r="R928" s="123">
        <v>0</v>
      </c>
      <c r="S928" s="119">
        <v>0</v>
      </c>
      <c r="T928" s="119">
        <v>0</v>
      </c>
      <c r="U928" s="119">
        <v>0</v>
      </c>
      <c r="V928" s="124" t="str">
        <f>IF(B928&gt;0,"Added"," ")</f>
        <v xml:space="preserve"> </v>
      </c>
    </row>
    <row r="929" spans="1:22" hidden="1">
      <c r="A929" s="460" t="s">
        <v>2217</v>
      </c>
      <c r="B929" s="114">
        <f>_xlfn.IFNA(VLOOKUP(Table1[[#This Row],[SKU]],'Urban Plastix Holds'!$I$36:$L$501,4,0),0)</f>
        <v>0</v>
      </c>
      <c r="C929" s="407">
        <v>5</v>
      </c>
      <c r="D929" s="117">
        <v>0</v>
      </c>
      <c r="E929" s="117">
        <f>Table1[[#This Row],[Quantity of Sets]]*5</f>
        <v>0</v>
      </c>
      <c r="F929" s="122">
        <v>0</v>
      </c>
      <c r="G929" s="123">
        <v>0</v>
      </c>
      <c r="H929" s="122">
        <v>0</v>
      </c>
      <c r="I929" s="122">
        <v>0</v>
      </c>
      <c r="J929" s="122">
        <v>0</v>
      </c>
      <c r="K929" s="123">
        <v>0</v>
      </c>
      <c r="L929" s="123">
        <v>0</v>
      </c>
      <c r="M929" s="122">
        <v>0</v>
      </c>
      <c r="N929" s="123">
        <v>0</v>
      </c>
      <c r="O929" s="122">
        <v>0</v>
      </c>
      <c r="P929" s="123">
        <v>0</v>
      </c>
      <c r="Q929" s="122">
        <f>Table1[[#This Row],[Quantity of Sets]]*5</f>
        <v>0</v>
      </c>
      <c r="R929" s="123">
        <v>0</v>
      </c>
      <c r="S929" s="119">
        <v>0</v>
      </c>
      <c r="T929" s="119">
        <v>0</v>
      </c>
      <c r="U929" s="119">
        <v>0</v>
      </c>
      <c r="V929" s="124" t="str">
        <f>IF(B929&gt;0,"Added"," ")</f>
        <v xml:space="preserve"> </v>
      </c>
    </row>
    <row r="930" spans="1:22" hidden="1">
      <c r="A930" s="460" t="s">
        <v>2219</v>
      </c>
      <c r="B930" s="114">
        <f>_xlfn.IFNA(VLOOKUP(Table1[[#This Row],[SKU]],'Urban Plastix Holds'!$I$36:$L$501,4,0),0)</f>
        <v>0</v>
      </c>
      <c r="C930" s="407">
        <v>3</v>
      </c>
      <c r="D930" s="117">
        <v>0</v>
      </c>
      <c r="E930" s="117">
        <v>0</v>
      </c>
      <c r="F930" s="122">
        <v>0</v>
      </c>
      <c r="G930" s="123">
        <v>0</v>
      </c>
      <c r="H930" s="122">
        <f>Table1[[#This Row],[Quantity of Sets]]*2</f>
        <v>0</v>
      </c>
      <c r="I930" s="122">
        <v>0</v>
      </c>
      <c r="J930" s="122">
        <v>0</v>
      </c>
      <c r="K930" s="123">
        <f>Table1[[#This Row],[Quantity of Sets]]*1</f>
        <v>0</v>
      </c>
      <c r="L930" s="123">
        <v>0</v>
      </c>
      <c r="M930" s="122">
        <v>0</v>
      </c>
      <c r="N930" s="123">
        <v>0</v>
      </c>
      <c r="O930" s="122">
        <v>0</v>
      </c>
      <c r="P930" s="123">
        <v>0</v>
      </c>
      <c r="Q930" s="122">
        <f>Table1[[#This Row],[Quantity of Sets]]*3</f>
        <v>0</v>
      </c>
      <c r="R930" s="123">
        <v>0</v>
      </c>
      <c r="S930" s="119">
        <v>0</v>
      </c>
      <c r="T930" s="119">
        <v>0</v>
      </c>
      <c r="U930" s="119">
        <v>0</v>
      </c>
      <c r="V930" s="124" t="str">
        <f>IF(B930&gt;0,"Added"," ")</f>
        <v xml:space="preserve"> </v>
      </c>
    </row>
    <row r="931" spans="1:22" hidden="1">
      <c r="A931" s="451" t="s">
        <v>1283</v>
      </c>
      <c r="B931" s="114">
        <f>_xlfn.IFNA(VLOOKUP(Table1[[#This Row],[SKU]],'Urban Plastix Holds'!$I$36:$L$501,4,0),0)</f>
        <v>0</v>
      </c>
      <c r="C931" s="407">
        <v>5</v>
      </c>
      <c r="D931" s="117">
        <v>0</v>
      </c>
      <c r="E931" s="117">
        <v>0</v>
      </c>
      <c r="F931" s="122">
        <v>0</v>
      </c>
      <c r="G931" s="123">
        <v>0</v>
      </c>
      <c r="H931" s="122">
        <v>0</v>
      </c>
      <c r="I931" s="122">
        <f>IFERROR(5*B931,0)</f>
        <v>0</v>
      </c>
      <c r="J931" s="122">
        <v>0</v>
      </c>
      <c r="K931" s="123">
        <v>0</v>
      </c>
      <c r="L931" s="123">
        <v>0</v>
      </c>
      <c r="M931" s="122">
        <v>0</v>
      </c>
      <c r="N931" s="123">
        <v>0</v>
      </c>
      <c r="O931" s="122">
        <v>0</v>
      </c>
      <c r="P931" s="123">
        <v>0</v>
      </c>
      <c r="Q931" s="122">
        <v>0</v>
      </c>
      <c r="R931" s="123">
        <v>0</v>
      </c>
      <c r="S931" s="119">
        <v>0</v>
      </c>
      <c r="T931" s="119">
        <v>0</v>
      </c>
      <c r="U931" s="119">
        <v>0</v>
      </c>
      <c r="V931" s="124" t="str">
        <f t="shared" si="83"/>
        <v xml:space="preserve"> </v>
      </c>
    </row>
    <row r="932" spans="1:22" hidden="1">
      <c r="A932" s="451" t="s">
        <v>1447</v>
      </c>
      <c r="B932" s="114">
        <f>_xlfn.IFNA(VLOOKUP(Table1[[#This Row],[SKU]],'Urban Plastix Holds'!$I$36:$L$501,4,0),0)</f>
        <v>0</v>
      </c>
      <c r="C932" s="407">
        <v>5</v>
      </c>
      <c r="D932" s="117">
        <f>IFERROR(5*B932,0)</f>
        <v>0</v>
      </c>
      <c r="E932" s="117">
        <v>0</v>
      </c>
      <c r="F932" s="122">
        <v>0</v>
      </c>
      <c r="G932" s="123">
        <v>0</v>
      </c>
      <c r="H932" s="122">
        <v>0</v>
      </c>
      <c r="I932" s="123">
        <v>0</v>
      </c>
      <c r="J932" s="122">
        <v>0</v>
      </c>
      <c r="K932" s="123">
        <v>0</v>
      </c>
      <c r="L932" s="123">
        <v>0</v>
      </c>
      <c r="M932" s="122">
        <v>0</v>
      </c>
      <c r="N932" s="123">
        <v>0</v>
      </c>
      <c r="O932" s="122">
        <v>0</v>
      </c>
      <c r="P932" s="123">
        <v>0</v>
      </c>
      <c r="Q932" s="122">
        <v>0</v>
      </c>
      <c r="R932" s="123">
        <v>0</v>
      </c>
      <c r="S932" s="119">
        <v>0</v>
      </c>
      <c r="T932" s="119">
        <v>0</v>
      </c>
      <c r="U932" s="119">
        <v>0</v>
      </c>
      <c r="V932" s="124" t="str">
        <f t="shared" si="83"/>
        <v xml:space="preserve"> </v>
      </c>
    </row>
    <row r="933" spans="1:22" hidden="1">
      <c r="A933" s="451" t="s">
        <v>1446</v>
      </c>
      <c r="B933" s="114">
        <f>_xlfn.IFNA(VLOOKUP(Table1[[#This Row],[SKU]],'Urban Plastix Holds'!$I$36:$L$501,4,0),0)</f>
        <v>0</v>
      </c>
      <c r="C933" s="407">
        <v>10</v>
      </c>
      <c r="D933" s="117">
        <f>IFERROR(10*B933,0)</f>
        <v>0</v>
      </c>
      <c r="E933" s="117">
        <v>0</v>
      </c>
      <c r="F933" s="122">
        <v>0</v>
      </c>
      <c r="G933" s="123">
        <v>0</v>
      </c>
      <c r="H933" s="122">
        <v>0</v>
      </c>
      <c r="I933" s="123">
        <v>0</v>
      </c>
      <c r="J933" s="122">
        <v>0</v>
      </c>
      <c r="K933" s="123">
        <v>0</v>
      </c>
      <c r="L933" s="123">
        <v>0</v>
      </c>
      <c r="M933" s="122">
        <v>0</v>
      </c>
      <c r="N933" s="123">
        <v>0</v>
      </c>
      <c r="O933" s="122">
        <v>0</v>
      </c>
      <c r="P933" s="123">
        <v>0</v>
      </c>
      <c r="Q933" s="122">
        <v>0</v>
      </c>
      <c r="R933" s="123">
        <v>0</v>
      </c>
      <c r="S933" s="119">
        <v>0</v>
      </c>
      <c r="T933" s="119">
        <v>0</v>
      </c>
      <c r="U933" s="119">
        <v>0</v>
      </c>
      <c r="V933" s="124" t="str">
        <f t="shared" si="83"/>
        <v xml:space="preserve"> </v>
      </c>
    </row>
    <row r="934" spans="1:22" hidden="1">
      <c r="A934" s="451" t="s">
        <v>1596</v>
      </c>
      <c r="B934" s="114">
        <f>_xlfn.IFNA(VLOOKUP(Table1[[#This Row],[SKU]],'Urban Plastix Holds'!$I$36:$L$501,4,0),0)</f>
        <v>0</v>
      </c>
      <c r="C934" s="407">
        <v>10</v>
      </c>
      <c r="D934" s="117">
        <v>0</v>
      </c>
      <c r="E934" s="117">
        <f>IFERROR(5*B934,0)</f>
        <v>0</v>
      </c>
      <c r="F934" s="122">
        <f>IFERROR(5*B934,0)</f>
        <v>0</v>
      </c>
      <c r="G934" s="123">
        <v>0</v>
      </c>
      <c r="H934" s="122">
        <v>0</v>
      </c>
      <c r="I934" s="123">
        <v>0</v>
      </c>
      <c r="J934" s="122">
        <v>0</v>
      </c>
      <c r="K934" s="123">
        <v>0</v>
      </c>
      <c r="L934" s="123">
        <v>0</v>
      </c>
      <c r="M934" s="122">
        <v>0</v>
      </c>
      <c r="N934" s="123">
        <v>0</v>
      </c>
      <c r="O934" s="122">
        <v>0</v>
      </c>
      <c r="P934" s="123">
        <v>0</v>
      </c>
      <c r="Q934" s="122">
        <v>0</v>
      </c>
      <c r="R934" s="123">
        <v>0</v>
      </c>
      <c r="S934" s="119">
        <v>0</v>
      </c>
      <c r="T934" s="119">
        <v>0</v>
      </c>
      <c r="U934" s="119">
        <v>0</v>
      </c>
      <c r="V934" s="124" t="str">
        <f t="shared" si="83"/>
        <v xml:space="preserve"> </v>
      </c>
    </row>
    <row r="935" spans="1:22" hidden="1">
      <c r="A935" s="451" t="s">
        <v>1881</v>
      </c>
      <c r="B935" s="114">
        <f>_xlfn.IFNA(VLOOKUP(Table1[[#This Row],[SKU]],'Urban Plastix Holds'!$I$36:$L$501,4,0),0)</f>
        <v>0</v>
      </c>
      <c r="C935" s="407">
        <v>10</v>
      </c>
      <c r="D935" s="117">
        <v>0</v>
      </c>
      <c r="E935" s="117">
        <f>IFERROR(10*B935,0)</f>
        <v>0</v>
      </c>
      <c r="F935" s="122">
        <v>0</v>
      </c>
      <c r="G935" s="123">
        <v>0</v>
      </c>
      <c r="H935" s="122">
        <v>0</v>
      </c>
      <c r="I935" s="123">
        <v>0</v>
      </c>
      <c r="J935" s="122">
        <v>0</v>
      </c>
      <c r="K935" s="123">
        <v>0</v>
      </c>
      <c r="L935" s="123">
        <v>0</v>
      </c>
      <c r="M935" s="122">
        <v>0</v>
      </c>
      <c r="N935" s="123">
        <v>0</v>
      </c>
      <c r="O935" s="122">
        <v>0</v>
      </c>
      <c r="P935" s="123">
        <v>0</v>
      </c>
      <c r="Q935" s="122">
        <v>0</v>
      </c>
      <c r="R935" s="123">
        <v>0</v>
      </c>
      <c r="S935" s="119">
        <v>0</v>
      </c>
      <c r="T935" s="119">
        <v>0</v>
      </c>
      <c r="U935" s="119">
        <v>0</v>
      </c>
      <c r="V935" s="124" t="str">
        <f t="shared" si="83"/>
        <v xml:space="preserve"> </v>
      </c>
    </row>
    <row r="936" spans="1:22" hidden="1">
      <c r="A936" s="451" t="s">
        <v>1588</v>
      </c>
      <c r="B936" s="114">
        <f>_xlfn.IFNA(VLOOKUP(Table1[[#This Row],[SKU]],'Urban Plastix Holds'!$I$36:$L$501,4,0),0)</f>
        <v>0</v>
      </c>
      <c r="C936" s="407">
        <v>10</v>
      </c>
      <c r="D936" s="117">
        <f>IFERROR(10*B936,0)</f>
        <v>0</v>
      </c>
      <c r="E936" s="117">
        <v>0</v>
      </c>
      <c r="F936" s="122">
        <v>0</v>
      </c>
      <c r="G936" s="123">
        <v>0</v>
      </c>
      <c r="H936" s="122">
        <v>0</v>
      </c>
      <c r="I936" s="123">
        <v>0</v>
      </c>
      <c r="J936" s="122">
        <v>0</v>
      </c>
      <c r="K936" s="123">
        <v>0</v>
      </c>
      <c r="L936" s="123">
        <v>0</v>
      </c>
      <c r="M936" s="122">
        <v>0</v>
      </c>
      <c r="N936" s="123">
        <v>0</v>
      </c>
      <c r="O936" s="122">
        <v>0</v>
      </c>
      <c r="P936" s="123">
        <v>0</v>
      </c>
      <c r="Q936" s="122">
        <v>0</v>
      </c>
      <c r="R936" s="123">
        <v>0</v>
      </c>
      <c r="S936" s="119">
        <v>0</v>
      </c>
      <c r="T936" s="119">
        <v>0</v>
      </c>
      <c r="U936" s="119">
        <v>0</v>
      </c>
      <c r="V936" s="124" t="str">
        <f t="shared" si="83"/>
        <v xml:space="preserve"> </v>
      </c>
    </row>
    <row r="937" spans="1:22" hidden="1">
      <c r="A937" s="451" t="s">
        <v>1592</v>
      </c>
      <c r="B937" s="114">
        <f>_xlfn.IFNA(VLOOKUP(Table1[[#This Row],[SKU]],'Urban Plastix Holds'!$I$36:$L$501,4,0),0)</f>
        <v>0</v>
      </c>
      <c r="C937" s="407">
        <v>10</v>
      </c>
      <c r="D937" s="117">
        <f>IFERROR(8*B937,0)</f>
        <v>0</v>
      </c>
      <c r="E937" s="117">
        <f>IFERROR(2*B937,0)</f>
        <v>0</v>
      </c>
      <c r="F937" s="122">
        <v>0</v>
      </c>
      <c r="G937" s="123">
        <v>0</v>
      </c>
      <c r="H937" s="122">
        <v>0</v>
      </c>
      <c r="I937" s="123">
        <v>0</v>
      </c>
      <c r="J937" s="122">
        <v>0</v>
      </c>
      <c r="K937" s="123">
        <v>0</v>
      </c>
      <c r="L937" s="123">
        <v>0</v>
      </c>
      <c r="M937" s="122">
        <v>0</v>
      </c>
      <c r="N937" s="123">
        <v>0</v>
      </c>
      <c r="O937" s="122">
        <v>0</v>
      </c>
      <c r="P937" s="123">
        <v>0</v>
      </c>
      <c r="Q937" s="122">
        <v>0</v>
      </c>
      <c r="R937" s="123">
        <v>0</v>
      </c>
      <c r="S937" s="119">
        <v>0</v>
      </c>
      <c r="T937" s="119">
        <v>0</v>
      </c>
      <c r="U937" s="119">
        <v>0</v>
      </c>
      <c r="V937" s="124" t="str">
        <f t="shared" si="83"/>
        <v xml:space="preserve"> </v>
      </c>
    </row>
    <row r="938" spans="1:22" hidden="1">
      <c r="A938" s="451" t="s">
        <v>1590</v>
      </c>
      <c r="B938" s="114">
        <f>_xlfn.IFNA(VLOOKUP(Table1[[#This Row],[SKU]],'Urban Plastix Holds'!$I$36:$L$501,4,0),0)</f>
        <v>0</v>
      </c>
      <c r="C938" s="407">
        <v>10</v>
      </c>
      <c r="D938" s="117">
        <f>IFERROR(3*B938,0)</f>
        <v>0</v>
      </c>
      <c r="E938" s="117">
        <f>IFERROR(7*B938,0)</f>
        <v>0</v>
      </c>
      <c r="F938" s="122">
        <v>0</v>
      </c>
      <c r="G938" s="123">
        <v>0</v>
      </c>
      <c r="H938" s="122">
        <v>0</v>
      </c>
      <c r="I938" s="123">
        <v>0</v>
      </c>
      <c r="J938" s="122">
        <v>0</v>
      </c>
      <c r="K938" s="123">
        <v>0</v>
      </c>
      <c r="L938" s="123">
        <v>0</v>
      </c>
      <c r="M938" s="122">
        <v>0</v>
      </c>
      <c r="N938" s="123">
        <v>0</v>
      </c>
      <c r="O938" s="122">
        <v>0</v>
      </c>
      <c r="P938" s="123">
        <v>0</v>
      </c>
      <c r="Q938" s="122">
        <v>0</v>
      </c>
      <c r="R938" s="123">
        <v>0</v>
      </c>
      <c r="S938" s="119">
        <v>0</v>
      </c>
      <c r="T938" s="119">
        <v>0</v>
      </c>
      <c r="U938" s="119">
        <v>0</v>
      </c>
      <c r="V938" s="124" t="str">
        <f t="shared" si="83"/>
        <v xml:space="preserve"> </v>
      </c>
    </row>
    <row r="939" spans="1:22" hidden="1">
      <c r="A939" s="451" t="s">
        <v>1594</v>
      </c>
      <c r="B939" s="114">
        <f>_xlfn.IFNA(VLOOKUP(Table1[[#This Row],[SKU]],'Urban Plastix Holds'!$I$36:$L$501,4,0),0)</f>
        <v>0</v>
      </c>
      <c r="C939" s="407">
        <v>10</v>
      </c>
      <c r="D939" s="117">
        <f>IFERROR(4*B939,0)</f>
        <v>0</v>
      </c>
      <c r="E939" s="117">
        <f>IFERROR(6*B939,0)</f>
        <v>0</v>
      </c>
      <c r="F939" s="122">
        <v>0</v>
      </c>
      <c r="G939" s="123">
        <v>0</v>
      </c>
      <c r="H939" s="122">
        <v>0</v>
      </c>
      <c r="I939" s="123">
        <v>0</v>
      </c>
      <c r="J939" s="122">
        <v>0</v>
      </c>
      <c r="K939" s="123">
        <v>0</v>
      </c>
      <c r="L939" s="123">
        <v>0</v>
      </c>
      <c r="M939" s="122">
        <v>0</v>
      </c>
      <c r="N939" s="123">
        <v>0</v>
      </c>
      <c r="O939" s="122">
        <v>0</v>
      </c>
      <c r="P939" s="123">
        <v>0</v>
      </c>
      <c r="Q939" s="122">
        <v>0</v>
      </c>
      <c r="R939" s="123">
        <v>0</v>
      </c>
      <c r="S939" s="119">
        <v>0</v>
      </c>
      <c r="T939" s="119">
        <v>0</v>
      </c>
      <c r="U939" s="119">
        <v>0</v>
      </c>
      <c r="V939" s="124" t="str">
        <f t="shared" si="83"/>
        <v xml:space="preserve"> </v>
      </c>
    </row>
    <row r="940" spans="1:22" hidden="1">
      <c r="A940" s="451" t="s">
        <v>1879</v>
      </c>
      <c r="B940" s="114">
        <f>_xlfn.IFNA(VLOOKUP(Table1[[#This Row],[SKU]],'Urban Plastix Holds'!$I$36:$L$501,4,0),0)</f>
        <v>0</v>
      </c>
      <c r="C940" s="407">
        <v>20</v>
      </c>
      <c r="D940" s="117">
        <f>IFERROR(20*B940,0)</f>
        <v>0</v>
      </c>
      <c r="E940" s="117">
        <v>0</v>
      </c>
      <c r="F940" s="122">
        <v>0</v>
      </c>
      <c r="G940" s="123">
        <v>0</v>
      </c>
      <c r="H940" s="122">
        <v>0</v>
      </c>
      <c r="I940" s="123">
        <v>0</v>
      </c>
      <c r="J940" s="122">
        <v>0</v>
      </c>
      <c r="K940" s="123">
        <v>0</v>
      </c>
      <c r="L940" s="123">
        <v>0</v>
      </c>
      <c r="M940" s="122">
        <v>0</v>
      </c>
      <c r="N940" s="123">
        <v>0</v>
      </c>
      <c r="O940" s="122">
        <v>0</v>
      </c>
      <c r="P940" s="123">
        <v>0</v>
      </c>
      <c r="Q940" s="122">
        <v>0</v>
      </c>
      <c r="R940" s="123">
        <v>0</v>
      </c>
      <c r="S940" s="119">
        <v>0</v>
      </c>
      <c r="T940" s="119">
        <v>0</v>
      </c>
      <c r="U940" s="119">
        <v>0</v>
      </c>
      <c r="V940" s="124" t="str">
        <f t="shared" si="83"/>
        <v xml:space="preserve"> </v>
      </c>
    </row>
    <row r="941" spans="1:22" hidden="1">
      <c r="A941" s="451" t="s">
        <v>1315</v>
      </c>
      <c r="B941" s="114">
        <f>_xlfn.IFNA(VLOOKUP(Table1[[#This Row],[SKU]],'Urban Plastix Holds'!$I$36:$L$501,4,0),0)</f>
        <v>0</v>
      </c>
      <c r="C941" s="407">
        <v>1</v>
      </c>
      <c r="D941" s="117">
        <v>0</v>
      </c>
      <c r="E941" s="117">
        <v>0</v>
      </c>
      <c r="F941" s="122">
        <v>0</v>
      </c>
      <c r="G941" s="123">
        <v>0</v>
      </c>
      <c r="H941" s="122">
        <v>0</v>
      </c>
      <c r="I941" s="123">
        <v>0</v>
      </c>
      <c r="J941" s="122">
        <f>IFERROR(1*B941,0)</f>
        <v>0</v>
      </c>
      <c r="K941" s="123">
        <v>0</v>
      </c>
      <c r="L941" s="123">
        <v>0</v>
      </c>
      <c r="M941" s="122">
        <v>0</v>
      </c>
      <c r="N941" s="123">
        <v>0</v>
      </c>
      <c r="O941" s="122">
        <v>0</v>
      </c>
      <c r="P941" s="123">
        <v>0</v>
      </c>
      <c r="Q941" s="122">
        <v>0</v>
      </c>
      <c r="R941" s="123">
        <v>0</v>
      </c>
      <c r="S941" s="119">
        <v>0</v>
      </c>
      <c r="T941" s="119">
        <v>0</v>
      </c>
      <c r="U941" s="119">
        <v>0</v>
      </c>
      <c r="V941" s="124" t="str">
        <f t="shared" si="83"/>
        <v xml:space="preserve"> </v>
      </c>
    </row>
    <row r="942" spans="1:22" hidden="1">
      <c r="A942" s="451" t="s">
        <v>1276</v>
      </c>
      <c r="B942" s="114">
        <f>_xlfn.IFNA(VLOOKUP(Table1[[#This Row],[SKU]],'Urban Plastix Holds'!$I$36:$L$501,4,0),0)</f>
        <v>0</v>
      </c>
      <c r="C942" s="407">
        <v>3</v>
      </c>
      <c r="D942" s="117">
        <v>0</v>
      </c>
      <c r="E942" s="117">
        <v>0</v>
      </c>
      <c r="F942" s="122">
        <v>0</v>
      </c>
      <c r="G942" s="123">
        <v>0</v>
      </c>
      <c r="H942" s="122">
        <v>0</v>
      </c>
      <c r="I942" s="123">
        <f>IFERROR(3*B941,0)</f>
        <v>0</v>
      </c>
      <c r="J942" s="122">
        <v>0</v>
      </c>
      <c r="K942" s="123">
        <v>0</v>
      </c>
      <c r="L942" s="123">
        <v>0</v>
      </c>
      <c r="M942" s="122">
        <v>0</v>
      </c>
      <c r="N942" s="123">
        <v>0</v>
      </c>
      <c r="O942" s="122">
        <v>0</v>
      </c>
      <c r="P942" s="123">
        <v>0</v>
      </c>
      <c r="Q942" s="122">
        <v>0</v>
      </c>
      <c r="R942" s="123">
        <v>0</v>
      </c>
      <c r="S942" s="119">
        <v>0</v>
      </c>
      <c r="T942" s="119">
        <v>0</v>
      </c>
      <c r="U942" s="119">
        <v>0</v>
      </c>
      <c r="V942" s="124" t="str">
        <f t="shared" si="83"/>
        <v xml:space="preserve"> </v>
      </c>
    </row>
    <row r="943" spans="1:22" hidden="1">
      <c r="A943" s="451" t="s">
        <v>1277</v>
      </c>
      <c r="B943" s="114">
        <f>_xlfn.IFNA(VLOOKUP(Table1[[#This Row],[SKU]],'Urban Plastix Holds'!$I$36:$L$501,4,0),0)</f>
        <v>0</v>
      </c>
      <c r="C943" s="407">
        <v>5</v>
      </c>
      <c r="D943" s="117">
        <v>0</v>
      </c>
      <c r="E943" s="117">
        <v>0</v>
      </c>
      <c r="F943" s="122">
        <v>0</v>
      </c>
      <c r="G943" s="123">
        <v>0</v>
      </c>
      <c r="H943" s="122">
        <v>0</v>
      </c>
      <c r="I943" s="123">
        <f>IFERROR(5*B942,0)</f>
        <v>0</v>
      </c>
      <c r="J943" s="122">
        <v>0</v>
      </c>
      <c r="K943" s="123">
        <v>0</v>
      </c>
      <c r="L943" s="123">
        <v>0</v>
      </c>
      <c r="M943" s="122">
        <v>0</v>
      </c>
      <c r="N943" s="123">
        <v>0</v>
      </c>
      <c r="O943" s="122">
        <v>0</v>
      </c>
      <c r="P943" s="123">
        <v>0</v>
      </c>
      <c r="Q943" s="122">
        <v>0</v>
      </c>
      <c r="R943" s="123">
        <v>0</v>
      </c>
      <c r="S943" s="119">
        <v>0</v>
      </c>
      <c r="T943" s="119">
        <v>0</v>
      </c>
      <c r="U943" s="119">
        <v>0</v>
      </c>
      <c r="V943" s="124" t="str">
        <f t="shared" si="83"/>
        <v xml:space="preserve"> </v>
      </c>
    </row>
    <row r="944" spans="1:22" hidden="1">
      <c r="A944" s="451" t="s">
        <v>1274</v>
      </c>
      <c r="B944" s="114">
        <f>_xlfn.IFNA(VLOOKUP(Table1[[#This Row],[SKU]],'Urban Plastix Holds'!$I$36:$L$501,4,0),0)</f>
        <v>0</v>
      </c>
      <c r="C944" s="407">
        <v>5</v>
      </c>
      <c r="D944" s="117">
        <v>0</v>
      </c>
      <c r="E944" s="117">
        <f>IFERROR(5*B944,0)</f>
        <v>0</v>
      </c>
      <c r="F944" s="122">
        <v>0</v>
      </c>
      <c r="G944" s="123">
        <v>0</v>
      </c>
      <c r="H944" s="122">
        <v>0</v>
      </c>
      <c r="I944" s="123">
        <v>0</v>
      </c>
      <c r="J944" s="122">
        <v>0</v>
      </c>
      <c r="K944" s="123">
        <v>0</v>
      </c>
      <c r="L944" s="123">
        <v>0</v>
      </c>
      <c r="M944" s="122">
        <v>0</v>
      </c>
      <c r="N944" s="123">
        <v>0</v>
      </c>
      <c r="O944" s="122">
        <v>0</v>
      </c>
      <c r="P944" s="123">
        <v>0</v>
      </c>
      <c r="Q944" s="122">
        <v>0</v>
      </c>
      <c r="R944" s="123">
        <v>0</v>
      </c>
      <c r="S944" s="119">
        <v>0</v>
      </c>
      <c r="T944" s="119">
        <v>0</v>
      </c>
      <c r="U944" s="119">
        <v>0</v>
      </c>
      <c r="V944" s="124" t="str">
        <f t="shared" si="83"/>
        <v xml:space="preserve"> </v>
      </c>
    </row>
    <row r="945" spans="1:22" hidden="1">
      <c r="A945" s="451" t="s">
        <v>1316</v>
      </c>
      <c r="B945" s="114">
        <f>_xlfn.IFNA(VLOOKUP(Table1[[#This Row],[SKU]],'Urban Plastix Holds'!$I$36:$L$501,4,0),0)</f>
        <v>0</v>
      </c>
      <c r="C945" s="407">
        <v>5</v>
      </c>
      <c r="D945" s="117">
        <v>0</v>
      </c>
      <c r="E945" s="117">
        <f>IFERROR(5*B945,0)</f>
        <v>0</v>
      </c>
      <c r="F945" s="122">
        <v>0</v>
      </c>
      <c r="G945" s="123">
        <v>0</v>
      </c>
      <c r="H945" s="122">
        <v>0</v>
      </c>
      <c r="I945" s="123">
        <v>0</v>
      </c>
      <c r="J945" s="122">
        <v>0</v>
      </c>
      <c r="K945" s="123">
        <v>0</v>
      </c>
      <c r="L945" s="123">
        <v>0</v>
      </c>
      <c r="M945" s="122">
        <v>0</v>
      </c>
      <c r="N945" s="123">
        <v>0</v>
      </c>
      <c r="O945" s="122">
        <v>0</v>
      </c>
      <c r="P945" s="123">
        <v>0</v>
      </c>
      <c r="Q945" s="122">
        <v>0</v>
      </c>
      <c r="R945" s="123">
        <v>0</v>
      </c>
      <c r="S945" s="119">
        <v>0</v>
      </c>
      <c r="T945" s="119">
        <v>0</v>
      </c>
      <c r="U945" s="119">
        <v>0</v>
      </c>
      <c r="V945" s="124" t="str">
        <f t="shared" si="83"/>
        <v xml:space="preserve"> </v>
      </c>
    </row>
    <row r="946" spans="1:22" hidden="1">
      <c r="A946" s="451" t="s">
        <v>1275</v>
      </c>
      <c r="B946" s="114">
        <f>_xlfn.IFNA(VLOOKUP(Table1[[#This Row],[SKU]],'Urban Plastix Holds'!$I$36:$L$501,4,0),0)</f>
        <v>0</v>
      </c>
      <c r="C946" s="407">
        <v>10</v>
      </c>
      <c r="D946" s="117">
        <f>IFERROR(10*B946,0)</f>
        <v>0</v>
      </c>
      <c r="E946" s="117">
        <v>0</v>
      </c>
      <c r="F946" s="122">
        <v>0</v>
      </c>
      <c r="G946" s="123">
        <v>0</v>
      </c>
      <c r="H946" s="122">
        <v>0</v>
      </c>
      <c r="I946" s="123">
        <v>0</v>
      </c>
      <c r="J946" s="122">
        <v>0</v>
      </c>
      <c r="K946" s="123">
        <v>0</v>
      </c>
      <c r="L946" s="123">
        <v>0</v>
      </c>
      <c r="M946" s="122">
        <v>0</v>
      </c>
      <c r="N946" s="123">
        <v>0</v>
      </c>
      <c r="O946" s="122">
        <v>0</v>
      </c>
      <c r="P946" s="123">
        <v>0</v>
      </c>
      <c r="Q946" s="122">
        <v>0</v>
      </c>
      <c r="R946" s="123">
        <v>0</v>
      </c>
      <c r="S946" s="119">
        <v>0</v>
      </c>
      <c r="T946" s="119">
        <v>0</v>
      </c>
      <c r="U946" s="119">
        <v>0</v>
      </c>
      <c r="V946" s="124" t="str">
        <f t="shared" si="83"/>
        <v xml:space="preserve"> </v>
      </c>
    </row>
    <row r="947" spans="1:22" hidden="1">
      <c r="A947" s="451" t="s">
        <v>1317</v>
      </c>
      <c r="B947" s="114">
        <f>_xlfn.IFNA(VLOOKUP(Table1[[#This Row],[SKU]],'Urban Plastix Holds'!$I$36:$L$501,4,0),0)</f>
        <v>0</v>
      </c>
      <c r="C947" s="407">
        <v>10</v>
      </c>
      <c r="D947" s="117">
        <f>IFERROR(10*B947,0)</f>
        <v>0</v>
      </c>
      <c r="E947" s="117">
        <v>0</v>
      </c>
      <c r="F947" s="122">
        <v>0</v>
      </c>
      <c r="G947" s="123">
        <v>0</v>
      </c>
      <c r="H947" s="122">
        <v>0</v>
      </c>
      <c r="I947" s="123">
        <v>0</v>
      </c>
      <c r="J947" s="122">
        <v>0</v>
      </c>
      <c r="K947" s="123">
        <v>0</v>
      </c>
      <c r="L947" s="123">
        <v>0</v>
      </c>
      <c r="M947" s="122">
        <v>0</v>
      </c>
      <c r="N947" s="123">
        <v>0</v>
      </c>
      <c r="O947" s="122">
        <v>0</v>
      </c>
      <c r="P947" s="123">
        <v>0</v>
      </c>
      <c r="Q947" s="122">
        <v>0</v>
      </c>
      <c r="R947" s="123">
        <v>0</v>
      </c>
      <c r="S947" s="119">
        <v>0</v>
      </c>
      <c r="T947" s="119">
        <v>0</v>
      </c>
      <c r="U947" s="119">
        <v>0</v>
      </c>
      <c r="V947" s="124" t="str">
        <f t="shared" si="83"/>
        <v xml:space="preserve"> </v>
      </c>
    </row>
    <row r="948" spans="1:22" hidden="1">
      <c r="A948" s="451" t="s">
        <v>1318</v>
      </c>
      <c r="B948" s="114">
        <f>_xlfn.IFNA(VLOOKUP(Table1[[#This Row],[SKU]],'Urban Plastix Holds'!$I$36:$L$501,4,0),0)</f>
        <v>0</v>
      </c>
      <c r="C948" s="407">
        <v>10</v>
      </c>
      <c r="D948" s="117">
        <f>IFERROR(10*B948,0)</f>
        <v>0</v>
      </c>
      <c r="E948" s="117">
        <v>0</v>
      </c>
      <c r="F948" s="122">
        <v>0</v>
      </c>
      <c r="G948" s="123">
        <v>0</v>
      </c>
      <c r="H948" s="122">
        <v>0</v>
      </c>
      <c r="I948" s="123">
        <v>0</v>
      </c>
      <c r="J948" s="122">
        <v>0</v>
      </c>
      <c r="K948" s="123">
        <v>0</v>
      </c>
      <c r="L948" s="123">
        <v>0</v>
      </c>
      <c r="M948" s="122">
        <v>0</v>
      </c>
      <c r="N948" s="123">
        <v>0</v>
      </c>
      <c r="O948" s="122">
        <v>0</v>
      </c>
      <c r="P948" s="123">
        <v>0</v>
      </c>
      <c r="Q948" s="122">
        <v>0</v>
      </c>
      <c r="R948" s="123">
        <v>0</v>
      </c>
      <c r="S948" s="119">
        <v>0</v>
      </c>
      <c r="T948" s="119">
        <v>0</v>
      </c>
      <c r="U948" s="119">
        <v>0</v>
      </c>
      <c r="V948" s="124" t="str">
        <f t="shared" si="83"/>
        <v xml:space="preserve"> </v>
      </c>
    </row>
    <row r="949" spans="1:22" hidden="1">
      <c r="A949" s="451" t="s">
        <v>1278</v>
      </c>
      <c r="B949" s="114">
        <f>_xlfn.IFNA(VLOOKUP(Table1[[#This Row],[SKU]],'Urban Plastix Holds'!$I$36:$L$501,4,0),0)</f>
        <v>0</v>
      </c>
      <c r="C949" s="407">
        <v>10</v>
      </c>
      <c r="D949" s="117">
        <f>IFERROR(10*B949,0)</f>
        <v>0</v>
      </c>
      <c r="E949" s="117">
        <v>0</v>
      </c>
      <c r="F949" s="122">
        <v>0</v>
      </c>
      <c r="G949" s="123">
        <v>0</v>
      </c>
      <c r="H949" s="122">
        <v>0</v>
      </c>
      <c r="I949" s="123">
        <v>0</v>
      </c>
      <c r="J949" s="122">
        <v>0</v>
      </c>
      <c r="K949" s="123">
        <v>0</v>
      </c>
      <c r="L949" s="123">
        <v>0</v>
      </c>
      <c r="M949" s="122">
        <v>0</v>
      </c>
      <c r="N949" s="123">
        <v>0</v>
      </c>
      <c r="O949" s="122">
        <v>0</v>
      </c>
      <c r="P949" s="123">
        <v>0</v>
      </c>
      <c r="Q949" s="122">
        <v>0</v>
      </c>
      <c r="R949" s="123">
        <v>0</v>
      </c>
      <c r="S949" s="119">
        <v>0</v>
      </c>
      <c r="T949" s="119">
        <v>0</v>
      </c>
      <c r="U949" s="119">
        <v>0</v>
      </c>
      <c r="V949" s="124" t="str">
        <f t="shared" si="83"/>
        <v xml:space="preserve"> </v>
      </c>
    </row>
    <row r="950" spans="1:22" hidden="1">
      <c r="A950" s="451" t="s">
        <v>1231</v>
      </c>
      <c r="B950" s="114">
        <f>_xlfn.IFNA(VLOOKUP(Table1[[#This Row],[SKU]],'Urban Plastix Holds'!$I$36:$L$501,4,0),0)</f>
        <v>0</v>
      </c>
      <c r="C950" s="407">
        <v>1</v>
      </c>
      <c r="D950" s="117">
        <v>0</v>
      </c>
      <c r="E950" s="117">
        <v>0</v>
      </c>
      <c r="F950" s="122">
        <v>0</v>
      </c>
      <c r="G950" s="123">
        <v>0</v>
      </c>
      <c r="H950" s="122">
        <v>0</v>
      </c>
      <c r="I950" s="123">
        <v>0</v>
      </c>
      <c r="J950" s="122">
        <f>IFERROR(1*B950,0)</f>
        <v>0</v>
      </c>
      <c r="K950" s="123">
        <v>0</v>
      </c>
      <c r="L950" s="123">
        <v>0</v>
      </c>
      <c r="M950" s="122">
        <v>0</v>
      </c>
      <c r="N950" s="123">
        <v>0</v>
      </c>
      <c r="O950" s="122">
        <v>0</v>
      </c>
      <c r="P950" s="123">
        <v>0</v>
      </c>
      <c r="Q950" s="122">
        <v>0</v>
      </c>
      <c r="R950" s="123">
        <v>0</v>
      </c>
      <c r="S950" s="119">
        <v>0</v>
      </c>
      <c r="T950" s="119">
        <v>0</v>
      </c>
      <c r="U950" s="119">
        <v>0</v>
      </c>
      <c r="V950" s="124" t="str">
        <f t="shared" si="83"/>
        <v xml:space="preserve"> </v>
      </c>
    </row>
    <row r="951" spans="1:22" hidden="1">
      <c r="A951" s="451" t="s">
        <v>1232</v>
      </c>
      <c r="B951" s="114">
        <f>_xlfn.IFNA(VLOOKUP(Table1[[#This Row],[SKU]],'Urban Plastix Holds'!$I$36:$L$501,4,0),0)</f>
        <v>0</v>
      </c>
      <c r="C951" s="407">
        <v>1</v>
      </c>
      <c r="D951" s="117">
        <v>0</v>
      </c>
      <c r="E951" s="117">
        <v>0</v>
      </c>
      <c r="F951" s="122">
        <v>0</v>
      </c>
      <c r="G951" s="123">
        <v>0</v>
      </c>
      <c r="H951" s="122">
        <v>0</v>
      </c>
      <c r="I951" s="123">
        <v>0</v>
      </c>
      <c r="J951" s="122">
        <f>IFERROR(1*B951,0)</f>
        <v>0</v>
      </c>
      <c r="K951" s="123">
        <v>0</v>
      </c>
      <c r="L951" s="123">
        <v>0</v>
      </c>
      <c r="M951" s="122">
        <v>0</v>
      </c>
      <c r="N951" s="123">
        <v>0</v>
      </c>
      <c r="O951" s="122">
        <v>0</v>
      </c>
      <c r="P951" s="123">
        <v>0</v>
      </c>
      <c r="Q951" s="122">
        <v>0</v>
      </c>
      <c r="R951" s="123">
        <v>0</v>
      </c>
      <c r="S951" s="119">
        <v>0</v>
      </c>
      <c r="T951" s="119">
        <v>0</v>
      </c>
      <c r="U951" s="119">
        <v>0</v>
      </c>
      <c r="V951" s="124" t="str">
        <f t="shared" si="83"/>
        <v xml:space="preserve"> </v>
      </c>
    </row>
    <row r="952" spans="1:22" hidden="1">
      <c r="A952" s="451" t="s">
        <v>1233</v>
      </c>
      <c r="B952" s="114">
        <f>_xlfn.IFNA(VLOOKUP(Table1[[#This Row],[SKU]],'Urban Plastix Holds'!$I$36:$L$501,4,0),0)</f>
        <v>0</v>
      </c>
      <c r="C952" s="407">
        <v>1</v>
      </c>
      <c r="D952" s="117">
        <v>0</v>
      </c>
      <c r="E952" s="117">
        <v>0</v>
      </c>
      <c r="F952" s="122">
        <v>0</v>
      </c>
      <c r="G952" s="123">
        <v>0</v>
      </c>
      <c r="H952" s="122">
        <v>0</v>
      </c>
      <c r="I952" s="123">
        <v>0</v>
      </c>
      <c r="J952" s="122">
        <f>IFERROR(1*B952,0)</f>
        <v>0</v>
      </c>
      <c r="K952" s="123">
        <v>0</v>
      </c>
      <c r="L952" s="123">
        <v>0</v>
      </c>
      <c r="M952" s="122">
        <v>0</v>
      </c>
      <c r="N952" s="123">
        <v>0</v>
      </c>
      <c r="O952" s="122">
        <v>0</v>
      </c>
      <c r="P952" s="123">
        <v>0</v>
      </c>
      <c r="Q952" s="122">
        <v>0</v>
      </c>
      <c r="R952" s="123">
        <v>0</v>
      </c>
      <c r="S952" s="119">
        <v>0</v>
      </c>
      <c r="T952" s="119">
        <v>0</v>
      </c>
      <c r="U952" s="119">
        <v>0</v>
      </c>
      <c r="V952" s="124" t="str">
        <f t="shared" si="83"/>
        <v xml:space="preserve"> </v>
      </c>
    </row>
    <row r="953" spans="1:22" hidden="1">
      <c r="A953" s="451" t="s">
        <v>1291</v>
      </c>
      <c r="B953" s="114">
        <f>_xlfn.IFNA(VLOOKUP(Table1[[#This Row],[SKU]],'Urban Plastix Holds'!$I$36:$L$501,4,0),0)</f>
        <v>0</v>
      </c>
      <c r="C953" s="407">
        <v>3</v>
      </c>
      <c r="D953" s="117">
        <v>0</v>
      </c>
      <c r="E953" s="117">
        <v>0</v>
      </c>
      <c r="F953" s="122">
        <v>0</v>
      </c>
      <c r="G953" s="123">
        <v>0</v>
      </c>
      <c r="H953" s="122">
        <v>0</v>
      </c>
      <c r="I953" s="123">
        <f>IFERROR(3*B953,0)</f>
        <v>0</v>
      </c>
      <c r="J953" s="122">
        <v>0</v>
      </c>
      <c r="K953" s="123">
        <v>0</v>
      </c>
      <c r="L953" s="123">
        <v>0</v>
      </c>
      <c r="M953" s="122">
        <v>0</v>
      </c>
      <c r="N953" s="123">
        <v>0</v>
      </c>
      <c r="O953" s="122">
        <v>0</v>
      </c>
      <c r="P953" s="123">
        <v>0</v>
      </c>
      <c r="Q953" s="122">
        <v>0</v>
      </c>
      <c r="R953" s="123">
        <v>0</v>
      </c>
      <c r="S953" s="119">
        <v>0</v>
      </c>
      <c r="T953" s="119">
        <v>0</v>
      </c>
      <c r="U953" s="119">
        <v>0</v>
      </c>
      <c r="V953" s="124" t="str">
        <f t="shared" si="83"/>
        <v xml:space="preserve"> </v>
      </c>
    </row>
    <row r="954" spans="1:22" hidden="1">
      <c r="A954" s="451" t="s">
        <v>1253</v>
      </c>
      <c r="B954" s="114">
        <f>_xlfn.IFNA(VLOOKUP(Table1[[#This Row],[SKU]],'Urban Plastix Holds'!$I$36:$L$501,4,0),0)</f>
        <v>0</v>
      </c>
      <c r="C954" s="407">
        <v>7</v>
      </c>
      <c r="D954" s="117">
        <v>0</v>
      </c>
      <c r="E954" s="117">
        <v>0</v>
      </c>
      <c r="F954" s="122">
        <v>0</v>
      </c>
      <c r="G954" s="123">
        <v>0</v>
      </c>
      <c r="H954" s="122">
        <f>IFERROR(7*B954,0)</f>
        <v>0</v>
      </c>
      <c r="I954" s="123">
        <v>0</v>
      </c>
      <c r="J954" s="122">
        <v>0</v>
      </c>
      <c r="K954" s="123">
        <v>0</v>
      </c>
      <c r="L954" s="123">
        <v>0</v>
      </c>
      <c r="M954" s="122">
        <v>0</v>
      </c>
      <c r="N954" s="123">
        <v>0</v>
      </c>
      <c r="O954" s="122">
        <v>0</v>
      </c>
      <c r="P954" s="123">
        <v>0</v>
      </c>
      <c r="Q954" s="122">
        <v>0</v>
      </c>
      <c r="R954" s="123">
        <v>0</v>
      </c>
      <c r="S954" s="119">
        <v>0</v>
      </c>
      <c r="T954" s="119">
        <v>0</v>
      </c>
      <c r="U954" s="119">
        <v>0</v>
      </c>
      <c r="V954" s="124" t="str">
        <f t="shared" si="83"/>
        <v xml:space="preserve"> </v>
      </c>
    </row>
    <row r="955" spans="1:22" hidden="1">
      <c r="A955" s="451" t="s">
        <v>1296</v>
      </c>
      <c r="B955" s="114">
        <f>_xlfn.IFNA(VLOOKUP(Table1[[#This Row],[SKU]],'Urban Plastix Holds'!$I$36:$L$501,4,0),0)</f>
        <v>0</v>
      </c>
      <c r="C955" s="407">
        <v>7</v>
      </c>
      <c r="D955" s="117">
        <v>0</v>
      </c>
      <c r="E955" s="117">
        <v>0</v>
      </c>
      <c r="F955" s="122">
        <v>0</v>
      </c>
      <c r="G955" s="123">
        <v>0</v>
      </c>
      <c r="H955" s="122">
        <f>IFERROR(7*B955,0)</f>
        <v>0</v>
      </c>
      <c r="I955" s="123">
        <v>0</v>
      </c>
      <c r="J955" s="122">
        <v>0</v>
      </c>
      <c r="K955" s="123">
        <v>0</v>
      </c>
      <c r="L955" s="123">
        <v>0</v>
      </c>
      <c r="M955" s="122">
        <v>0</v>
      </c>
      <c r="N955" s="123">
        <v>0</v>
      </c>
      <c r="O955" s="122">
        <v>0</v>
      </c>
      <c r="P955" s="123">
        <v>0</v>
      </c>
      <c r="Q955" s="122">
        <v>0</v>
      </c>
      <c r="R955" s="123">
        <v>0</v>
      </c>
      <c r="S955" s="119">
        <v>0</v>
      </c>
      <c r="T955" s="119">
        <v>0</v>
      </c>
      <c r="U955" s="119">
        <v>0</v>
      </c>
      <c r="V955" s="124" t="str">
        <f t="shared" si="83"/>
        <v xml:space="preserve"> </v>
      </c>
    </row>
    <row r="956" spans="1:22" hidden="1">
      <c r="A956" s="451" t="s">
        <v>1254</v>
      </c>
      <c r="B956" s="114">
        <f>_xlfn.IFNA(VLOOKUP(Table1[[#This Row],[SKU]],'Urban Plastix Holds'!$I$36:$L$501,4,0),0)</f>
        <v>0</v>
      </c>
      <c r="C956" s="407">
        <v>7</v>
      </c>
      <c r="D956" s="117">
        <v>0</v>
      </c>
      <c r="E956" s="117">
        <v>0</v>
      </c>
      <c r="F956" s="122">
        <f>IFERROR(7*B956,0)</f>
        <v>0</v>
      </c>
      <c r="G956" s="123">
        <v>0</v>
      </c>
      <c r="H956" s="122">
        <v>0</v>
      </c>
      <c r="I956" s="123">
        <v>0</v>
      </c>
      <c r="J956" s="122">
        <v>0</v>
      </c>
      <c r="K956" s="123">
        <v>0</v>
      </c>
      <c r="L956" s="123">
        <v>0</v>
      </c>
      <c r="M956" s="122">
        <v>0</v>
      </c>
      <c r="N956" s="123">
        <v>0</v>
      </c>
      <c r="O956" s="122">
        <v>0</v>
      </c>
      <c r="P956" s="123">
        <v>0</v>
      </c>
      <c r="Q956" s="122">
        <v>0</v>
      </c>
      <c r="R956" s="123">
        <v>0</v>
      </c>
      <c r="S956" s="119">
        <v>0</v>
      </c>
      <c r="T956" s="119">
        <v>0</v>
      </c>
      <c r="U956" s="119">
        <v>0</v>
      </c>
      <c r="V956" s="124" t="str">
        <f t="shared" si="83"/>
        <v xml:space="preserve"> </v>
      </c>
    </row>
    <row r="957" spans="1:22" hidden="1">
      <c r="A957" s="451" t="s">
        <v>1255</v>
      </c>
      <c r="B957" s="114">
        <f>_xlfn.IFNA(VLOOKUP(Table1[[#This Row],[SKU]],'Urban Plastix Holds'!$I$36:$L$501,4,0),0)</f>
        <v>0</v>
      </c>
      <c r="C957" s="407">
        <v>5</v>
      </c>
      <c r="D957" s="117">
        <v>0</v>
      </c>
      <c r="E957" s="117">
        <v>0</v>
      </c>
      <c r="F957" s="122">
        <f>IFERROR(5*B957,0)</f>
        <v>0</v>
      </c>
      <c r="G957" s="123">
        <v>0</v>
      </c>
      <c r="H957" s="122">
        <v>0</v>
      </c>
      <c r="I957" s="123">
        <v>0</v>
      </c>
      <c r="J957" s="122">
        <v>0</v>
      </c>
      <c r="K957" s="123">
        <v>0</v>
      </c>
      <c r="L957" s="123">
        <v>0</v>
      </c>
      <c r="M957" s="122">
        <v>0</v>
      </c>
      <c r="N957" s="123">
        <v>0</v>
      </c>
      <c r="O957" s="122">
        <v>0</v>
      </c>
      <c r="P957" s="123">
        <v>0</v>
      </c>
      <c r="Q957" s="122">
        <v>0</v>
      </c>
      <c r="R957" s="123">
        <v>0</v>
      </c>
      <c r="S957" s="119">
        <v>0</v>
      </c>
      <c r="T957" s="119">
        <v>0</v>
      </c>
      <c r="U957" s="119">
        <v>0</v>
      </c>
      <c r="V957" s="124" t="str">
        <f t="shared" si="83"/>
        <v xml:space="preserve"> </v>
      </c>
    </row>
    <row r="958" spans="1:22" hidden="1">
      <c r="A958" s="451" t="s">
        <v>1297</v>
      </c>
      <c r="B958" s="114">
        <f>_xlfn.IFNA(VLOOKUP(Table1[[#This Row],[SKU]],'Urban Plastix Holds'!$I$36:$L$501,4,0),0)</f>
        <v>0</v>
      </c>
      <c r="C958" s="407">
        <v>5</v>
      </c>
      <c r="D958" s="117">
        <f>IFERROR(5*B958,0)</f>
        <v>0</v>
      </c>
      <c r="E958" s="117">
        <v>0</v>
      </c>
      <c r="F958" s="122">
        <v>0</v>
      </c>
      <c r="G958" s="123">
        <v>0</v>
      </c>
      <c r="H958" s="122">
        <v>0</v>
      </c>
      <c r="I958" s="123">
        <v>0</v>
      </c>
      <c r="J958" s="122">
        <v>0</v>
      </c>
      <c r="K958" s="123">
        <v>0</v>
      </c>
      <c r="L958" s="123">
        <v>0</v>
      </c>
      <c r="M958" s="122">
        <v>0</v>
      </c>
      <c r="N958" s="123">
        <v>0</v>
      </c>
      <c r="O958" s="122">
        <v>0</v>
      </c>
      <c r="P958" s="123">
        <v>0</v>
      </c>
      <c r="Q958" s="122">
        <v>0</v>
      </c>
      <c r="R958" s="123">
        <v>0</v>
      </c>
      <c r="S958" s="119">
        <v>0</v>
      </c>
      <c r="T958" s="119">
        <v>0</v>
      </c>
      <c r="U958" s="119">
        <v>0</v>
      </c>
      <c r="V958" s="124" t="str">
        <f t="shared" si="83"/>
        <v xml:space="preserve"> </v>
      </c>
    </row>
    <row r="959" spans="1:22" hidden="1">
      <c r="A959" s="451" t="s">
        <v>1298</v>
      </c>
      <c r="B959" s="114">
        <f>_xlfn.IFNA(VLOOKUP(Table1[[#This Row],[SKU]],'Urban Plastix Holds'!$I$36:$L$501,4,0),0)</f>
        <v>0</v>
      </c>
      <c r="C959" s="407">
        <v>6</v>
      </c>
      <c r="D959" s="117">
        <f>IFERROR(6*B959,0)</f>
        <v>0</v>
      </c>
      <c r="E959" s="117">
        <v>0</v>
      </c>
      <c r="F959" s="122">
        <v>0</v>
      </c>
      <c r="G959" s="123">
        <v>0</v>
      </c>
      <c r="H959" s="122">
        <v>0</v>
      </c>
      <c r="I959" s="123">
        <v>0</v>
      </c>
      <c r="J959" s="122">
        <v>0</v>
      </c>
      <c r="K959" s="123">
        <v>0</v>
      </c>
      <c r="L959" s="123">
        <v>0</v>
      </c>
      <c r="M959" s="122">
        <v>0</v>
      </c>
      <c r="N959" s="123">
        <v>0</v>
      </c>
      <c r="O959" s="122">
        <v>0</v>
      </c>
      <c r="P959" s="123">
        <v>0</v>
      </c>
      <c r="Q959" s="122">
        <v>0</v>
      </c>
      <c r="R959" s="123">
        <v>0</v>
      </c>
      <c r="S959" s="119">
        <v>0</v>
      </c>
      <c r="T959" s="119">
        <v>0</v>
      </c>
      <c r="U959" s="119">
        <v>0</v>
      </c>
      <c r="V959" s="124" t="str">
        <f t="shared" si="83"/>
        <v xml:space="preserve"> </v>
      </c>
    </row>
    <row r="960" spans="1:22" hidden="1">
      <c r="A960" s="451" t="s">
        <v>1248</v>
      </c>
      <c r="B960" s="114">
        <f>_xlfn.IFNA(VLOOKUP(Table1[[#This Row],[SKU]],'Urban Plastix Holds'!$I$36:$L$501,4,0),0)</f>
        <v>0</v>
      </c>
      <c r="C960" s="407">
        <v>1</v>
      </c>
      <c r="D960" s="117">
        <v>0</v>
      </c>
      <c r="E960" s="117">
        <v>0</v>
      </c>
      <c r="F960" s="122">
        <v>0</v>
      </c>
      <c r="G960" s="123">
        <v>0</v>
      </c>
      <c r="H960" s="122">
        <v>0</v>
      </c>
      <c r="I960" s="123">
        <v>0</v>
      </c>
      <c r="J960" s="122">
        <v>0</v>
      </c>
      <c r="K960" s="123">
        <f>IFERROR(1*B960,0)</f>
        <v>0</v>
      </c>
      <c r="L960" s="123">
        <v>0</v>
      </c>
      <c r="M960" s="122">
        <v>0</v>
      </c>
      <c r="N960" s="123">
        <v>0</v>
      </c>
      <c r="O960" s="122">
        <v>0</v>
      </c>
      <c r="P960" s="123">
        <v>0</v>
      </c>
      <c r="Q960" s="122">
        <v>0</v>
      </c>
      <c r="R960" s="123">
        <v>0</v>
      </c>
      <c r="S960" s="119">
        <v>0</v>
      </c>
      <c r="T960" s="119">
        <v>0</v>
      </c>
      <c r="U960" s="119">
        <v>0</v>
      </c>
      <c r="V960" s="124" t="str">
        <f t="shared" si="83"/>
        <v xml:space="preserve"> </v>
      </c>
    </row>
    <row r="961" spans="1:22" hidden="1">
      <c r="A961" s="451" t="s">
        <v>1246</v>
      </c>
      <c r="B961" s="114">
        <f>_xlfn.IFNA(VLOOKUP(Table1[[#This Row],[SKU]],'Urban Plastix Holds'!$I$36:$L$501,4,0),0)</f>
        <v>0</v>
      </c>
      <c r="C961" s="407">
        <v>3</v>
      </c>
      <c r="D961" s="117">
        <v>0</v>
      </c>
      <c r="E961" s="117">
        <v>0</v>
      </c>
      <c r="F961" s="122">
        <v>0</v>
      </c>
      <c r="G961" s="123">
        <v>0</v>
      </c>
      <c r="H961" s="122">
        <v>0</v>
      </c>
      <c r="I961" s="123">
        <v>0</v>
      </c>
      <c r="J961" s="122">
        <f>IFERROR(3*B961,0)</f>
        <v>0</v>
      </c>
      <c r="K961" s="123">
        <v>0</v>
      </c>
      <c r="L961" s="123">
        <v>0</v>
      </c>
      <c r="M961" s="122">
        <v>0</v>
      </c>
      <c r="N961" s="123">
        <v>0</v>
      </c>
      <c r="O961" s="122">
        <v>0</v>
      </c>
      <c r="P961" s="123">
        <v>0</v>
      </c>
      <c r="Q961" s="122">
        <v>0</v>
      </c>
      <c r="R961" s="123">
        <v>0</v>
      </c>
      <c r="S961" s="119">
        <v>0</v>
      </c>
      <c r="T961" s="119">
        <v>0</v>
      </c>
      <c r="U961" s="119">
        <v>0</v>
      </c>
      <c r="V961" s="124" t="str">
        <f t="shared" si="83"/>
        <v xml:space="preserve"> </v>
      </c>
    </row>
    <row r="962" spans="1:22" hidden="1">
      <c r="A962" s="451" t="s">
        <v>1247</v>
      </c>
      <c r="B962" s="114">
        <f>_xlfn.IFNA(VLOOKUP(Table1[[#This Row],[SKU]],'Urban Plastix Holds'!$I$36:$L$501,4,0),0)</f>
        <v>0</v>
      </c>
      <c r="C962" s="407">
        <v>5</v>
      </c>
      <c r="D962" s="117">
        <v>0</v>
      </c>
      <c r="E962" s="117">
        <v>0</v>
      </c>
      <c r="F962" s="122">
        <v>0</v>
      </c>
      <c r="G962" s="123">
        <v>0</v>
      </c>
      <c r="H962" s="122">
        <v>0</v>
      </c>
      <c r="I962" s="123">
        <v>0</v>
      </c>
      <c r="J962" s="122">
        <f>IFERROR(5*B962,0)</f>
        <v>0</v>
      </c>
      <c r="K962" s="123">
        <v>0</v>
      </c>
      <c r="L962" s="123">
        <v>0</v>
      </c>
      <c r="M962" s="122">
        <v>0</v>
      </c>
      <c r="N962" s="123">
        <v>0</v>
      </c>
      <c r="O962" s="122">
        <v>0</v>
      </c>
      <c r="P962" s="123">
        <v>0</v>
      </c>
      <c r="Q962" s="122">
        <v>0</v>
      </c>
      <c r="R962" s="123">
        <v>0</v>
      </c>
      <c r="S962" s="119">
        <v>0</v>
      </c>
      <c r="T962" s="119">
        <v>0</v>
      </c>
      <c r="U962" s="119">
        <v>0</v>
      </c>
      <c r="V962" s="124" t="str">
        <f t="shared" si="83"/>
        <v xml:space="preserve"> </v>
      </c>
    </row>
    <row r="963" spans="1:22" hidden="1">
      <c r="A963" s="451" t="s">
        <v>1311</v>
      </c>
      <c r="B963" s="114">
        <f>_xlfn.IFNA(VLOOKUP(Table1[[#This Row],[SKU]],'Urban Plastix Holds'!$I$36:$L$501,4,0),0)</f>
        <v>0</v>
      </c>
      <c r="C963" s="407">
        <v>5</v>
      </c>
      <c r="D963" s="117">
        <v>0</v>
      </c>
      <c r="E963" s="117">
        <v>0</v>
      </c>
      <c r="F963" s="122">
        <v>0</v>
      </c>
      <c r="G963" s="123">
        <v>0</v>
      </c>
      <c r="H963" s="122">
        <f>IFERROR(Table1[[#This Row],[Holds per Set]]*B963,0)</f>
        <v>0</v>
      </c>
      <c r="I963" s="123">
        <v>0</v>
      </c>
      <c r="J963" s="122">
        <v>0</v>
      </c>
      <c r="K963" s="123">
        <v>0</v>
      </c>
      <c r="L963" s="123">
        <v>0</v>
      </c>
      <c r="M963" s="122">
        <v>0</v>
      </c>
      <c r="N963" s="123">
        <v>0</v>
      </c>
      <c r="O963" s="122">
        <v>0</v>
      </c>
      <c r="P963" s="123">
        <v>0</v>
      </c>
      <c r="Q963" s="122">
        <v>0</v>
      </c>
      <c r="R963" s="123">
        <v>0</v>
      </c>
      <c r="S963" s="119">
        <v>0</v>
      </c>
      <c r="T963" s="119">
        <v>0</v>
      </c>
      <c r="U963" s="119">
        <v>0</v>
      </c>
      <c r="V963" s="124" t="str">
        <f t="shared" si="83"/>
        <v xml:space="preserve"> </v>
      </c>
    </row>
    <row r="964" spans="1:22" hidden="1">
      <c r="A964" s="451" t="s">
        <v>1312</v>
      </c>
      <c r="B964" s="114">
        <f>_xlfn.IFNA(VLOOKUP(Table1[[#This Row],[SKU]],'Urban Plastix Holds'!$I$36:$L$501,4,0),0)</f>
        <v>0</v>
      </c>
      <c r="C964" s="407">
        <v>5</v>
      </c>
      <c r="D964" s="117">
        <v>0</v>
      </c>
      <c r="E964" s="117">
        <v>0</v>
      </c>
      <c r="F964" s="122">
        <v>0</v>
      </c>
      <c r="G964" s="123">
        <v>0</v>
      </c>
      <c r="H964" s="122">
        <f>IFERROR(Table1[[#This Row],[Holds per Set]]*B964,0)</f>
        <v>0</v>
      </c>
      <c r="I964" s="123">
        <v>0</v>
      </c>
      <c r="J964" s="122">
        <v>0</v>
      </c>
      <c r="K964" s="123">
        <v>0</v>
      </c>
      <c r="L964" s="123">
        <v>0</v>
      </c>
      <c r="M964" s="122">
        <v>0</v>
      </c>
      <c r="N964" s="123">
        <v>0</v>
      </c>
      <c r="O964" s="122">
        <v>0</v>
      </c>
      <c r="P964" s="123">
        <v>0</v>
      </c>
      <c r="Q964" s="122">
        <v>0</v>
      </c>
      <c r="R964" s="123">
        <v>0</v>
      </c>
      <c r="S964" s="119">
        <v>0</v>
      </c>
      <c r="T964" s="119">
        <v>0</v>
      </c>
      <c r="U964" s="119">
        <v>0</v>
      </c>
      <c r="V964" s="124" t="str">
        <f t="shared" si="83"/>
        <v xml:space="preserve"> </v>
      </c>
    </row>
    <row r="965" spans="1:22" hidden="1">
      <c r="A965" s="451" t="s">
        <v>1313</v>
      </c>
      <c r="B965" s="114">
        <f>_xlfn.IFNA(VLOOKUP(Table1[[#This Row],[SKU]],'Urban Plastix Holds'!$I$36:$L$501,4,0),0)</f>
        <v>0</v>
      </c>
      <c r="C965" s="407">
        <v>5</v>
      </c>
      <c r="D965" s="117">
        <v>0</v>
      </c>
      <c r="E965" s="117">
        <f>IFERROR(Table1[[#This Row],[Holds per Set]]*B965,0)</f>
        <v>0</v>
      </c>
      <c r="F965" s="122">
        <v>0</v>
      </c>
      <c r="G965" s="123">
        <v>0</v>
      </c>
      <c r="H965" s="122">
        <v>0</v>
      </c>
      <c r="I965" s="123">
        <v>0</v>
      </c>
      <c r="J965" s="122">
        <v>0</v>
      </c>
      <c r="K965" s="123">
        <v>0</v>
      </c>
      <c r="L965" s="123">
        <v>0</v>
      </c>
      <c r="M965" s="122">
        <v>0</v>
      </c>
      <c r="N965" s="123">
        <v>0</v>
      </c>
      <c r="O965" s="122">
        <v>0</v>
      </c>
      <c r="P965" s="123">
        <v>0</v>
      </c>
      <c r="Q965" s="122">
        <v>0</v>
      </c>
      <c r="R965" s="123">
        <v>0</v>
      </c>
      <c r="S965" s="119">
        <v>0</v>
      </c>
      <c r="T965" s="119">
        <v>0</v>
      </c>
      <c r="U965" s="119">
        <v>0</v>
      </c>
      <c r="V965" s="124" t="str">
        <f t="shared" si="83"/>
        <v xml:space="preserve"> </v>
      </c>
    </row>
    <row r="966" spans="1:22" hidden="1">
      <c r="A966" s="451" t="s">
        <v>1314</v>
      </c>
      <c r="B966" s="114">
        <f>_xlfn.IFNA(VLOOKUP(Table1[[#This Row],[SKU]],'Urban Plastix Holds'!$I$36:$L$501,4,0),0)</f>
        <v>0</v>
      </c>
      <c r="C966" s="407">
        <v>10</v>
      </c>
      <c r="D966" s="117">
        <f>IFERROR(Table1[[#This Row],[Holds per Set]]*B966,0)</f>
        <v>0</v>
      </c>
      <c r="E966" s="117">
        <v>0</v>
      </c>
      <c r="F966" s="122">
        <v>0</v>
      </c>
      <c r="G966" s="123">
        <v>0</v>
      </c>
      <c r="H966" s="122">
        <v>0</v>
      </c>
      <c r="I966" s="123">
        <v>0</v>
      </c>
      <c r="J966" s="122">
        <v>0</v>
      </c>
      <c r="K966" s="123">
        <v>0</v>
      </c>
      <c r="L966" s="123">
        <v>0</v>
      </c>
      <c r="M966" s="122">
        <v>0</v>
      </c>
      <c r="N966" s="123">
        <v>0</v>
      </c>
      <c r="O966" s="122">
        <v>0</v>
      </c>
      <c r="P966" s="123">
        <v>0</v>
      </c>
      <c r="Q966" s="122">
        <v>0</v>
      </c>
      <c r="R966" s="123">
        <v>0</v>
      </c>
      <c r="S966" s="119">
        <v>0</v>
      </c>
      <c r="T966" s="119">
        <v>0</v>
      </c>
      <c r="U966" s="119">
        <v>0</v>
      </c>
      <c r="V966" s="124" t="str">
        <f t="shared" si="83"/>
        <v xml:space="preserve"> </v>
      </c>
    </row>
    <row r="967" spans="1:22" hidden="1">
      <c r="A967" s="451" t="s">
        <v>1785</v>
      </c>
      <c r="B967" s="114">
        <f>_xlfn.IFNA(VLOOKUP(Table1[[#This Row],[SKU]],'Urban Plastix Holds'!$I$36:$L$501,4,0),0)</f>
        <v>0</v>
      </c>
      <c r="C967" s="407">
        <v>3</v>
      </c>
      <c r="D967" s="117">
        <v>0</v>
      </c>
      <c r="E967" s="117">
        <v>0</v>
      </c>
      <c r="F967" s="122">
        <v>0</v>
      </c>
      <c r="G967" s="123">
        <v>0</v>
      </c>
      <c r="H967" s="122">
        <v>0</v>
      </c>
      <c r="I967" s="123">
        <f>IFERROR(Table1[[#This Row],[Holds per Set]]*B967,0)</f>
        <v>0</v>
      </c>
      <c r="J967" s="122">
        <v>0</v>
      </c>
      <c r="K967" s="123">
        <v>0</v>
      </c>
      <c r="L967" s="123">
        <v>0</v>
      </c>
      <c r="M967" s="122">
        <v>0</v>
      </c>
      <c r="N967" s="123">
        <v>0</v>
      </c>
      <c r="O967" s="122">
        <v>0</v>
      </c>
      <c r="P967" s="123">
        <v>0</v>
      </c>
      <c r="Q967" s="122">
        <v>0</v>
      </c>
      <c r="R967" s="123">
        <v>0</v>
      </c>
      <c r="S967" s="119">
        <v>0</v>
      </c>
      <c r="T967" s="119">
        <v>0</v>
      </c>
      <c r="U967" s="119">
        <v>0</v>
      </c>
      <c r="V967" s="124" t="str">
        <f t="shared" si="83"/>
        <v xml:space="preserve"> </v>
      </c>
    </row>
    <row r="968" spans="1:22" hidden="1">
      <c r="A968" s="451" t="s">
        <v>1874</v>
      </c>
      <c r="B968" s="114">
        <f>_xlfn.IFNA(VLOOKUP(Table1[[#This Row],[SKU]],'Urban Plastix Holds'!$I$36:$L$501,4,0),0)</f>
        <v>0</v>
      </c>
      <c r="C968" s="407">
        <v>5</v>
      </c>
      <c r="D968" s="117">
        <v>0</v>
      </c>
      <c r="E968" s="117">
        <v>0</v>
      </c>
      <c r="F968" s="122">
        <v>0</v>
      </c>
      <c r="G968" s="123">
        <v>0</v>
      </c>
      <c r="H968" s="122">
        <v>0</v>
      </c>
      <c r="I968" s="123">
        <f>IFERROR(Table1[[#This Row],[Holds per Set]]*B968,0)</f>
        <v>0</v>
      </c>
      <c r="J968" s="122">
        <v>0</v>
      </c>
      <c r="K968" s="123">
        <v>0</v>
      </c>
      <c r="L968" s="123">
        <v>0</v>
      </c>
      <c r="M968" s="122">
        <v>0</v>
      </c>
      <c r="N968" s="123">
        <v>0</v>
      </c>
      <c r="O968" s="122">
        <v>0</v>
      </c>
      <c r="P968" s="123">
        <v>0</v>
      </c>
      <c r="Q968" s="122">
        <v>0</v>
      </c>
      <c r="R968" s="123">
        <v>0</v>
      </c>
      <c r="S968" s="119">
        <v>0</v>
      </c>
      <c r="T968" s="119">
        <v>0</v>
      </c>
      <c r="U968" s="119">
        <v>0</v>
      </c>
      <c r="V968" s="124" t="str">
        <f t="shared" si="83"/>
        <v xml:space="preserve"> </v>
      </c>
    </row>
    <row r="969" spans="1:22" hidden="1">
      <c r="A969" s="451" t="s">
        <v>1779</v>
      </c>
      <c r="B969" s="114">
        <f>_xlfn.IFNA(VLOOKUP(Table1[[#This Row],[SKU]],'Urban Plastix Holds'!$I$36:$L$501,4,0),0)</f>
        <v>0</v>
      </c>
      <c r="C969" s="407">
        <v>5</v>
      </c>
      <c r="D969" s="117">
        <v>0</v>
      </c>
      <c r="E969" s="117">
        <v>0</v>
      </c>
      <c r="F969" s="122">
        <v>0</v>
      </c>
      <c r="G969" s="123">
        <v>0</v>
      </c>
      <c r="H969" s="122">
        <f>IFERROR(Table1[[#This Row],[Holds per Set]]*B969,0)</f>
        <v>0</v>
      </c>
      <c r="I969" s="123">
        <v>0</v>
      </c>
      <c r="J969" s="122">
        <v>0</v>
      </c>
      <c r="K969" s="123">
        <v>0</v>
      </c>
      <c r="L969" s="123">
        <v>0</v>
      </c>
      <c r="M969" s="122">
        <v>0</v>
      </c>
      <c r="N969" s="123">
        <v>0</v>
      </c>
      <c r="O969" s="122">
        <v>0</v>
      </c>
      <c r="P969" s="123">
        <v>0</v>
      </c>
      <c r="Q969" s="122">
        <v>0</v>
      </c>
      <c r="R969" s="123">
        <v>0</v>
      </c>
      <c r="S969" s="119">
        <v>0</v>
      </c>
      <c r="T969" s="119">
        <v>0</v>
      </c>
      <c r="U969" s="119">
        <v>0</v>
      </c>
      <c r="V969" s="124" t="str">
        <f t="shared" si="83"/>
        <v xml:space="preserve"> </v>
      </c>
    </row>
    <row r="970" spans="1:22" hidden="1">
      <c r="A970" s="451" t="s">
        <v>1781</v>
      </c>
      <c r="B970" s="114">
        <f>_xlfn.IFNA(VLOOKUP(Table1[[#This Row],[SKU]],'Urban Plastix Holds'!$I$36:$L$501,4,0),0)</f>
        <v>0</v>
      </c>
      <c r="C970" s="407">
        <v>5</v>
      </c>
      <c r="D970" s="117">
        <v>0</v>
      </c>
      <c r="E970" s="117">
        <v>0</v>
      </c>
      <c r="F970" s="122">
        <v>0</v>
      </c>
      <c r="G970" s="123">
        <v>0</v>
      </c>
      <c r="H970" s="122">
        <f>IFERROR(Table1[[#This Row],[Holds per Set]]*B970,0)</f>
        <v>0</v>
      </c>
      <c r="I970" s="123">
        <v>0</v>
      </c>
      <c r="J970" s="122">
        <v>0</v>
      </c>
      <c r="K970" s="123">
        <v>0</v>
      </c>
      <c r="L970" s="123">
        <v>0</v>
      </c>
      <c r="M970" s="122">
        <v>0</v>
      </c>
      <c r="N970" s="123">
        <v>0</v>
      </c>
      <c r="O970" s="122">
        <v>0</v>
      </c>
      <c r="P970" s="123">
        <v>0</v>
      </c>
      <c r="Q970" s="122">
        <v>0</v>
      </c>
      <c r="R970" s="123">
        <v>0</v>
      </c>
      <c r="S970" s="119">
        <v>0</v>
      </c>
      <c r="T970" s="119">
        <v>0</v>
      </c>
      <c r="U970" s="119">
        <v>0</v>
      </c>
      <c r="V970" s="124" t="str">
        <f t="shared" si="83"/>
        <v xml:space="preserve"> </v>
      </c>
    </row>
    <row r="971" spans="1:22" hidden="1">
      <c r="A971" s="451" t="s">
        <v>1783</v>
      </c>
      <c r="B971" s="114">
        <f>_xlfn.IFNA(VLOOKUP(Table1[[#This Row],[SKU]],'Urban Plastix Holds'!$I$36:$L$501,4,0),0)</f>
        <v>0</v>
      </c>
      <c r="C971" s="407">
        <v>5</v>
      </c>
      <c r="D971" s="117">
        <v>0</v>
      </c>
      <c r="E971" s="117">
        <v>0</v>
      </c>
      <c r="F971" s="122">
        <v>0</v>
      </c>
      <c r="G971" s="123">
        <v>0</v>
      </c>
      <c r="H971" s="122">
        <f>IFERROR(Table1[[#This Row],[Holds per Set]]*B971,0)</f>
        <v>0</v>
      </c>
      <c r="I971" s="123">
        <v>0</v>
      </c>
      <c r="J971" s="122">
        <v>0</v>
      </c>
      <c r="K971" s="123">
        <v>0</v>
      </c>
      <c r="L971" s="123">
        <v>0</v>
      </c>
      <c r="M971" s="122">
        <v>0</v>
      </c>
      <c r="N971" s="123">
        <v>0</v>
      </c>
      <c r="O971" s="122">
        <v>0</v>
      </c>
      <c r="P971" s="123">
        <v>0</v>
      </c>
      <c r="Q971" s="122">
        <v>0</v>
      </c>
      <c r="R971" s="123">
        <v>0</v>
      </c>
      <c r="S971" s="119">
        <v>0</v>
      </c>
      <c r="T971" s="119">
        <v>0</v>
      </c>
      <c r="U971" s="119">
        <v>0</v>
      </c>
      <c r="V971" s="124" t="str">
        <f t="shared" si="83"/>
        <v xml:space="preserve"> </v>
      </c>
    </row>
    <row r="972" spans="1:22" hidden="1">
      <c r="A972" s="451" t="s">
        <v>1875</v>
      </c>
      <c r="B972" s="114">
        <f>_xlfn.IFNA(VLOOKUP(Table1[[#This Row],[SKU]],'Urban Plastix Holds'!$I$36:$L$501,4,0),0)</f>
        <v>0</v>
      </c>
      <c r="C972" s="407">
        <v>5</v>
      </c>
      <c r="D972" s="117">
        <v>0</v>
      </c>
      <c r="E972" s="117">
        <v>0</v>
      </c>
      <c r="F972" s="122">
        <v>0</v>
      </c>
      <c r="G972" s="123">
        <v>0</v>
      </c>
      <c r="H972" s="122">
        <f>IFERROR(Table1[[#This Row],[Holds per Set]]*B972,0)</f>
        <v>0</v>
      </c>
      <c r="I972" s="123">
        <v>0</v>
      </c>
      <c r="J972" s="122">
        <v>0</v>
      </c>
      <c r="K972" s="123">
        <v>0</v>
      </c>
      <c r="L972" s="123">
        <v>0</v>
      </c>
      <c r="M972" s="122">
        <v>0</v>
      </c>
      <c r="N972" s="123">
        <v>0</v>
      </c>
      <c r="O972" s="122">
        <v>0</v>
      </c>
      <c r="P972" s="123">
        <v>0</v>
      </c>
      <c r="Q972" s="122">
        <v>0</v>
      </c>
      <c r="R972" s="123">
        <v>0</v>
      </c>
      <c r="S972" s="119">
        <v>0</v>
      </c>
      <c r="T972" s="119">
        <v>0</v>
      </c>
      <c r="U972" s="119">
        <v>0</v>
      </c>
      <c r="V972" s="124" t="str">
        <f t="shared" si="83"/>
        <v xml:space="preserve"> </v>
      </c>
    </row>
    <row r="973" spans="1:22" hidden="1">
      <c r="A973" s="451" t="s">
        <v>1242</v>
      </c>
      <c r="B973" s="114">
        <f>_xlfn.IFNA(VLOOKUP(Table1[[#This Row],[SKU]],'Urban Plastix Holds'!$I$36:$L$501,4,0),0)</f>
        <v>0</v>
      </c>
      <c r="C973" s="407">
        <v>5</v>
      </c>
      <c r="D973" s="117">
        <v>0</v>
      </c>
      <c r="E973" s="117">
        <f>IFERROR(Table1[[#This Row],[Holds per Set]]*B973,0)</f>
        <v>0</v>
      </c>
      <c r="F973" s="122">
        <v>0</v>
      </c>
      <c r="G973" s="123">
        <v>0</v>
      </c>
      <c r="H973" s="122">
        <v>0</v>
      </c>
      <c r="I973" s="123">
        <v>0</v>
      </c>
      <c r="J973" s="122">
        <v>0</v>
      </c>
      <c r="K973" s="123">
        <v>0</v>
      </c>
      <c r="L973" s="123">
        <v>0</v>
      </c>
      <c r="M973" s="122">
        <v>0</v>
      </c>
      <c r="N973" s="123">
        <v>0</v>
      </c>
      <c r="O973" s="122">
        <v>0</v>
      </c>
      <c r="P973" s="123">
        <v>0</v>
      </c>
      <c r="Q973" s="122">
        <v>0</v>
      </c>
      <c r="R973" s="123">
        <v>0</v>
      </c>
      <c r="S973" s="119">
        <v>0</v>
      </c>
      <c r="T973" s="119">
        <v>0</v>
      </c>
      <c r="U973" s="119">
        <v>0</v>
      </c>
      <c r="V973" s="124" t="str">
        <f t="shared" si="83"/>
        <v xml:space="preserve"> </v>
      </c>
    </row>
    <row r="974" spans="1:22" hidden="1">
      <c r="A974" s="451" t="s">
        <v>1243</v>
      </c>
      <c r="B974" s="114">
        <f>_xlfn.IFNA(VLOOKUP(Table1[[#This Row],[SKU]],'Urban Plastix Holds'!$I$36:$L$501,4,0),0)</f>
        <v>0</v>
      </c>
      <c r="C974" s="407">
        <v>5</v>
      </c>
      <c r="D974" s="117">
        <v>0</v>
      </c>
      <c r="E974" s="117">
        <f>IFERROR(Table1[[#This Row],[Holds per Set]]*B974,0)</f>
        <v>0</v>
      </c>
      <c r="F974" s="122">
        <v>0</v>
      </c>
      <c r="G974" s="123">
        <v>0</v>
      </c>
      <c r="H974" s="122">
        <v>0</v>
      </c>
      <c r="I974" s="123">
        <v>0</v>
      </c>
      <c r="J974" s="122">
        <v>0</v>
      </c>
      <c r="K974" s="123">
        <v>0</v>
      </c>
      <c r="L974" s="123">
        <v>0</v>
      </c>
      <c r="M974" s="122">
        <v>0</v>
      </c>
      <c r="N974" s="123">
        <v>0</v>
      </c>
      <c r="O974" s="122">
        <v>0</v>
      </c>
      <c r="P974" s="123">
        <v>0</v>
      </c>
      <c r="Q974" s="122">
        <v>0</v>
      </c>
      <c r="R974" s="123">
        <v>0</v>
      </c>
      <c r="S974" s="119">
        <v>0</v>
      </c>
      <c r="T974" s="119">
        <v>0</v>
      </c>
      <c r="U974" s="119">
        <v>0</v>
      </c>
      <c r="V974" s="124" t="str">
        <f t="shared" si="83"/>
        <v xml:space="preserve"> </v>
      </c>
    </row>
    <row r="975" spans="1:22" hidden="1">
      <c r="A975" s="451" t="s">
        <v>1777</v>
      </c>
      <c r="B975" s="114">
        <f>_xlfn.IFNA(VLOOKUP(Table1[[#This Row],[SKU]],'Urban Plastix Holds'!$I$36:$L$501,4,0),0)</f>
        <v>0</v>
      </c>
      <c r="C975" s="407">
        <v>20</v>
      </c>
      <c r="D975" s="117">
        <f>IFERROR(Table1[[#This Row],[Holds per Set]]*B975,0)</f>
        <v>0</v>
      </c>
      <c r="E975" s="117">
        <v>0</v>
      </c>
      <c r="F975" s="122">
        <v>0</v>
      </c>
      <c r="G975" s="123">
        <v>0</v>
      </c>
      <c r="H975" s="122">
        <v>0</v>
      </c>
      <c r="I975" s="123">
        <v>0</v>
      </c>
      <c r="J975" s="122">
        <v>0</v>
      </c>
      <c r="K975" s="123">
        <v>0</v>
      </c>
      <c r="L975" s="123">
        <v>0</v>
      </c>
      <c r="M975" s="122">
        <v>0</v>
      </c>
      <c r="N975" s="123">
        <v>0</v>
      </c>
      <c r="O975" s="122">
        <v>0</v>
      </c>
      <c r="P975" s="123">
        <v>0</v>
      </c>
      <c r="Q975" s="122">
        <v>0</v>
      </c>
      <c r="R975" s="123">
        <v>0</v>
      </c>
      <c r="S975" s="119">
        <v>0</v>
      </c>
      <c r="T975" s="119">
        <v>0</v>
      </c>
      <c r="U975" s="119">
        <v>0</v>
      </c>
      <c r="V975" s="124" t="str">
        <f t="shared" si="83"/>
        <v xml:space="preserve"> </v>
      </c>
    </row>
    <row r="976" spans="1:22" hidden="1">
      <c r="A976" s="451" t="s">
        <v>1873</v>
      </c>
      <c r="B976" s="114">
        <f>_xlfn.IFNA(VLOOKUP(Table1[[#This Row],[SKU]],'Urban Plastix Holds'!$I$36:$L$501,4,0),0)</f>
        <v>0</v>
      </c>
      <c r="C976" s="407">
        <v>20</v>
      </c>
      <c r="D976" s="117">
        <f>IFERROR(Table1[[#This Row],[Holds per Set]]*B976,0)</f>
        <v>0</v>
      </c>
      <c r="E976" s="117">
        <v>0</v>
      </c>
      <c r="F976" s="122">
        <v>0</v>
      </c>
      <c r="G976" s="123">
        <v>0</v>
      </c>
      <c r="H976" s="122">
        <v>0</v>
      </c>
      <c r="I976" s="123">
        <v>0</v>
      </c>
      <c r="J976" s="122">
        <v>0</v>
      </c>
      <c r="K976" s="123">
        <v>0</v>
      </c>
      <c r="L976" s="123">
        <v>0</v>
      </c>
      <c r="M976" s="122">
        <v>0</v>
      </c>
      <c r="N976" s="123">
        <v>0</v>
      </c>
      <c r="O976" s="122">
        <v>0</v>
      </c>
      <c r="P976" s="123">
        <v>0</v>
      </c>
      <c r="Q976" s="122">
        <v>0</v>
      </c>
      <c r="R976" s="123">
        <v>0</v>
      </c>
      <c r="S976" s="119">
        <v>0</v>
      </c>
      <c r="T976" s="119">
        <v>0</v>
      </c>
      <c r="U976" s="119">
        <v>0</v>
      </c>
      <c r="V976" s="124" t="str">
        <f t="shared" si="83"/>
        <v xml:space="preserve"> </v>
      </c>
    </row>
    <row r="977" spans="1:22" hidden="1">
      <c r="A977" s="451" t="s">
        <v>1268</v>
      </c>
      <c r="B977" s="114">
        <f>_xlfn.IFNA(VLOOKUP(Table1[[#This Row],[SKU]],'Urban Plastix Holds'!$I$36:$L$501,4,0),0)</f>
        <v>0</v>
      </c>
      <c r="C977" s="407">
        <v>3</v>
      </c>
      <c r="D977" s="117">
        <v>0</v>
      </c>
      <c r="E977" s="117">
        <v>0</v>
      </c>
      <c r="F977" s="122">
        <v>0</v>
      </c>
      <c r="G977" s="123">
        <v>0</v>
      </c>
      <c r="H977" s="122">
        <v>0</v>
      </c>
      <c r="I977" s="123">
        <f>IFERROR(Table1[[#This Row],[Holds per Set]]*B977,0)</f>
        <v>0</v>
      </c>
      <c r="J977" s="122">
        <v>0</v>
      </c>
      <c r="K977" s="123">
        <v>0</v>
      </c>
      <c r="L977" s="123">
        <v>0</v>
      </c>
      <c r="M977" s="122">
        <v>0</v>
      </c>
      <c r="N977" s="123">
        <v>0</v>
      </c>
      <c r="O977" s="122">
        <v>0</v>
      </c>
      <c r="P977" s="123">
        <v>0</v>
      </c>
      <c r="Q977" s="122">
        <v>0</v>
      </c>
      <c r="R977" s="123">
        <v>0</v>
      </c>
      <c r="S977" s="119">
        <v>0</v>
      </c>
      <c r="T977" s="119">
        <v>0</v>
      </c>
      <c r="U977" s="119">
        <v>0</v>
      </c>
      <c r="V977" s="124" t="str">
        <f t="shared" ref="V977:V1042" si="105">IF(B977&gt;0,"Added"," ")</f>
        <v xml:space="preserve"> </v>
      </c>
    </row>
    <row r="978" spans="1:22" hidden="1">
      <c r="A978" s="451" t="s">
        <v>1269</v>
      </c>
      <c r="B978" s="114">
        <f>_xlfn.IFNA(VLOOKUP(Table1[[#This Row],[SKU]],'Urban Plastix Holds'!$I$36:$L$501,4,0),0)</f>
        <v>0</v>
      </c>
      <c r="C978" s="407">
        <v>5</v>
      </c>
      <c r="D978" s="117">
        <v>0</v>
      </c>
      <c r="E978" s="117">
        <v>0</v>
      </c>
      <c r="F978" s="122">
        <v>0</v>
      </c>
      <c r="G978" s="123">
        <v>0</v>
      </c>
      <c r="H978" s="122">
        <f>1*Table1[[#This Row],[Quantity of Sets]]</f>
        <v>0</v>
      </c>
      <c r="I978" s="123">
        <f>2*Table1[[#This Row],[Quantity of Sets]]</f>
        <v>0</v>
      </c>
      <c r="J978" s="122">
        <f>2*Table1[[#This Row],[Quantity of Sets]]</f>
        <v>0</v>
      </c>
      <c r="K978" s="123">
        <v>0</v>
      </c>
      <c r="L978" s="123">
        <v>0</v>
      </c>
      <c r="M978" s="122">
        <v>0</v>
      </c>
      <c r="N978" s="123">
        <v>0</v>
      </c>
      <c r="O978" s="122">
        <v>0</v>
      </c>
      <c r="P978" s="123">
        <v>0</v>
      </c>
      <c r="Q978" s="122">
        <v>0</v>
      </c>
      <c r="R978" s="123">
        <v>0</v>
      </c>
      <c r="S978" s="119">
        <v>0</v>
      </c>
      <c r="T978" s="119">
        <v>0</v>
      </c>
      <c r="U978" s="119">
        <v>0</v>
      </c>
      <c r="V978" s="124" t="str">
        <f t="shared" si="105"/>
        <v xml:space="preserve"> </v>
      </c>
    </row>
    <row r="979" spans="1:22" hidden="1">
      <c r="A979" s="451" t="s">
        <v>1307</v>
      </c>
      <c r="B979" s="114">
        <f>_xlfn.IFNA(VLOOKUP(Table1[[#This Row],[SKU]],'Urban Plastix Holds'!$I$36:$L$501,4,0),0)</f>
        <v>0</v>
      </c>
      <c r="C979" s="407">
        <v>3</v>
      </c>
      <c r="D979" s="117">
        <v>0</v>
      </c>
      <c r="E979" s="117">
        <v>0</v>
      </c>
      <c r="F979" s="122">
        <v>0</v>
      </c>
      <c r="G979" s="123">
        <f>3*Table1[[#This Row],[Quantity of Sets]]</f>
        <v>0</v>
      </c>
      <c r="H979" s="122">
        <v>0</v>
      </c>
      <c r="I979" s="123">
        <v>0</v>
      </c>
      <c r="J979" s="122">
        <v>0</v>
      </c>
      <c r="K979" s="123">
        <v>0</v>
      </c>
      <c r="L979" s="123">
        <v>0</v>
      </c>
      <c r="M979" s="122">
        <v>0</v>
      </c>
      <c r="N979" s="123">
        <v>0</v>
      </c>
      <c r="O979" s="122">
        <v>0</v>
      </c>
      <c r="P979" s="123">
        <v>0</v>
      </c>
      <c r="Q979" s="122">
        <f>3*Table1[[#This Row],[Quantity of Sets]]</f>
        <v>0</v>
      </c>
      <c r="R979" s="123">
        <v>0</v>
      </c>
      <c r="S979" s="119">
        <v>0</v>
      </c>
      <c r="T979" s="119">
        <v>0</v>
      </c>
      <c r="U979" s="119">
        <v>0</v>
      </c>
      <c r="V979" s="124" t="str">
        <f t="shared" si="105"/>
        <v xml:space="preserve"> </v>
      </c>
    </row>
    <row r="980" spans="1:22" hidden="1">
      <c r="A980" s="451" t="s">
        <v>1259</v>
      </c>
      <c r="B980" s="114">
        <f>_xlfn.IFNA(VLOOKUP(Table1[[#This Row],[SKU]],'Urban Plastix Holds'!$I$36:$L$501,4,0),0)</f>
        <v>0</v>
      </c>
      <c r="C980" s="407">
        <v>5</v>
      </c>
      <c r="D980" s="117">
        <v>0</v>
      </c>
      <c r="E980" s="117">
        <f>IFERROR(Table1[[#This Row],[Holds per Set]]*B980,0)</f>
        <v>0</v>
      </c>
      <c r="F980" s="122">
        <v>0</v>
      </c>
      <c r="G980" s="123">
        <v>0</v>
      </c>
      <c r="H980" s="122">
        <v>0</v>
      </c>
      <c r="I980" s="123">
        <v>0</v>
      </c>
      <c r="J980" s="122">
        <v>0</v>
      </c>
      <c r="K980" s="123">
        <v>0</v>
      </c>
      <c r="L980" s="123">
        <v>0</v>
      </c>
      <c r="M980" s="122">
        <v>0</v>
      </c>
      <c r="N980" s="123">
        <v>0</v>
      </c>
      <c r="O980" s="122">
        <v>0</v>
      </c>
      <c r="P980" s="123">
        <v>0</v>
      </c>
      <c r="Q980" s="122">
        <v>0</v>
      </c>
      <c r="R980" s="123">
        <v>0</v>
      </c>
      <c r="S980" s="119">
        <v>0</v>
      </c>
      <c r="T980" s="119">
        <v>0</v>
      </c>
      <c r="U980" s="119">
        <v>0</v>
      </c>
      <c r="V980" s="124" t="str">
        <f t="shared" si="105"/>
        <v xml:space="preserve"> </v>
      </c>
    </row>
    <row r="981" spans="1:22" hidden="1">
      <c r="A981" s="451" t="s">
        <v>1260</v>
      </c>
      <c r="B981" s="114">
        <f>_xlfn.IFNA(VLOOKUP(Table1[[#This Row],[SKU]],'Urban Plastix Holds'!$I$36:$L$501,4,0),0)</f>
        <v>0</v>
      </c>
      <c r="C981" s="407">
        <v>5</v>
      </c>
      <c r="D981" s="117">
        <v>0</v>
      </c>
      <c r="E981" s="117">
        <f>IFERROR(Table1[[#This Row],[Holds per Set]]*B981,0)</f>
        <v>0</v>
      </c>
      <c r="F981" s="122">
        <v>0</v>
      </c>
      <c r="G981" s="123">
        <v>0</v>
      </c>
      <c r="H981" s="122">
        <v>0</v>
      </c>
      <c r="I981" s="123">
        <v>0</v>
      </c>
      <c r="J981" s="122">
        <v>0</v>
      </c>
      <c r="K981" s="123">
        <v>0</v>
      </c>
      <c r="L981" s="123">
        <v>0</v>
      </c>
      <c r="M981" s="122">
        <v>0</v>
      </c>
      <c r="N981" s="123">
        <v>0</v>
      </c>
      <c r="O981" s="122">
        <v>0</v>
      </c>
      <c r="P981" s="123">
        <v>0</v>
      </c>
      <c r="Q981" s="122">
        <v>0</v>
      </c>
      <c r="R981" s="123">
        <v>0</v>
      </c>
      <c r="S981" s="119">
        <v>0</v>
      </c>
      <c r="T981" s="119">
        <v>0</v>
      </c>
      <c r="U981" s="119">
        <v>0</v>
      </c>
      <c r="V981" s="124" t="str">
        <f t="shared" si="105"/>
        <v xml:space="preserve"> </v>
      </c>
    </row>
    <row r="982" spans="1:22" hidden="1">
      <c r="A982" s="451" t="s">
        <v>1261</v>
      </c>
      <c r="B982" s="114">
        <f>_xlfn.IFNA(VLOOKUP(Table1[[#This Row],[SKU]],'Urban Plastix Holds'!$I$36:$L$501,4,0),0)</f>
        <v>0</v>
      </c>
      <c r="C982" s="407">
        <v>5</v>
      </c>
      <c r="D982" s="117">
        <v>0</v>
      </c>
      <c r="E982" s="117">
        <f>IFERROR(Table1[[#This Row],[Holds per Set]]*B982,0)</f>
        <v>0</v>
      </c>
      <c r="F982" s="122">
        <v>0</v>
      </c>
      <c r="G982" s="123">
        <v>0</v>
      </c>
      <c r="H982" s="122">
        <v>0</v>
      </c>
      <c r="I982" s="123">
        <v>0</v>
      </c>
      <c r="J982" s="122">
        <v>0</v>
      </c>
      <c r="K982" s="123">
        <v>0</v>
      </c>
      <c r="L982" s="123">
        <v>0</v>
      </c>
      <c r="M982" s="122">
        <v>0</v>
      </c>
      <c r="N982" s="123">
        <v>0</v>
      </c>
      <c r="O982" s="122">
        <v>0</v>
      </c>
      <c r="P982" s="123">
        <v>0</v>
      </c>
      <c r="Q982" s="122">
        <v>0</v>
      </c>
      <c r="R982" s="123">
        <v>0</v>
      </c>
      <c r="S982" s="119">
        <v>0</v>
      </c>
      <c r="T982" s="119">
        <v>0</v>
      </c>
      <c r="U982" s="119">
        <v>0</v>
      </c>
      <c r="V982" s="124" t="str">
        <f t="shared" si="105"/>
        <v xml:space="preserve"> </v>
      </c>
    </row>
    <row r="983" spans="1:22" hidden="1">
      <c r="A983" s="451" t="s">
        <v>1262</v>
      </c>
      <c r="B983" s="114">
        <f>_xlfn.IFNA(VLOOKUP(Table1[[#This Row],[SKU]],'Urban Plastix Holds'!$I$36:$L$501,4,0),0)</f>
        <v>0</v>
      </c>
      <c r="C983" s="407">
        <v>5</v>
      </c>
      <c r="D983" s="117">
        <v>0</v>
      </c>
      <c r="E983" s="117">
        <f>IFERROR(Table1[[#This Row],[Holds per Set]]*B983,0)</f>
        <v>0</v>
      </c>
      <c r="F983" s="122">
        <v>0</v>
      </c>
      <c r="G983" s="123">
        <v>0</v>
      </c>
      <c r="H983" s="122">
        <v>0</v>
      </c>
      <c r="I983" s="123">
        <v>0</v>
      </c>
      <c r="J983" s="122">
        <v>0</v>
      </c>
      <c r="K983" s="123">
        <v>0</v>
      </c>
      <c r="L983" s="123">
        <v>0</v>
      </c>
      <c r="M983" s="122">
        <v>0</v>
      </c>
      <c r="N983" s="123">
        <v>0</v>
      </c>
      <c r="O983" s="122">
        <v>0</v>
      </c>
      <c r="P983" s="123">
        <v>0</v>
      </c>
      <c r="Q983" s="122">
        <v>0</v>
      </c>
      <c r="R983" s="123">
        <v>0</v>
      </c>
      <c r="S983" s="119">
        <v>0</v>
      </c>
      <c r="T983" s="119">
        <v>0</v>
      </c>
      <c r="U983" s="119">
        <v>0</v>
      </c>
      <c r="V983" s="124" t="str">
        <f t="shared" si="105"/>
        <v xml:space="preserve"> </v>
      </c>
    </row>
    <row r="984" spans="1:22" hidden="1">
      <c r="A984" s="451" t="s">
        <v>1263</v>
      </c>
      <c r="B984" s="114">
        <f>_xlfn.IFNA(VLOOKUP(Table1[[#This Row],[SKU]],'Urban Plastix Holds'!$I$36:$L$501,4,0),0)</f>
        <v>0</v>
      </c>
      <c r="C984" s="407">
        <v>5</v>
      </c>
      <c r="D984" s="117">
        <v>0</v>
      </c>
      <c r="E984" s="117">
        <f>3*Table1[[#This Row],[Quantity of Sets]]</f>
        <v>0</v>
      </c>
      <c r="F984" s="122">
        <f>2*Table1[[#This Row],[Quantity of Sets]]</f>
        <v>0</v>
      </c>
      <c r="G984" s="123">
        <v>0</v>
      </c>
      <c r="H984" s="122">
        <v>0</v>
      </c>
      <c r="I984" s="123">
        <v>0</v>
      </c>
      <c r="J984" s="122">
        <v>0</v>
      </c>
      <c r="K984" s="123">
        <v>0</v>
      </c>
      <c r="L984" s="123">
        <v>0</v>
      </c>
      <c r="M984" s="122">
        <v>0</v>
      </c>
      <c r="N984" s="123">
        <v>0</v>
      </c>
      <c r="O984" s="122">
        <v>0</v>
      </c>
      <c r="P984" s="123">
        <v>0</v>
      </c>
      <c r="Q984" s="122">
        <v>0</v>
      </c>
      <c r="R984" s="123">
        <v>0</v>
      </c>
      <c r="S984" s="119">
        <v>0</v>
      </c>
      <c r="T984" s="119">
        <v>0</v>
      </c>
      <c r="U984" s="119">
        <v>0</v>
      </c>
      <c r="V984" s="124" t="str">
        <f t="shared" si="105"/>
        <v xml:space="preserve"> </v>
      </c>
    </row>
    <row r="985" spans="1:22" hidden="1">
      <c r="A985" s="451" t="s">
        <v>1308</v>
      </c>
      <c r="B985" s="114">
        <f>_xlfn.IFNA(VLOOKUP(Table1[[#This Row],[SKU]],'Urban Plastix Holds'!$I$36:$L$501,4,0),0)</f>
        <v>0</v>
      </c>
      <c r="C985" s="407">
        <v>5</v>
      </c>
      <c r="D985" s="117">
        <v>0</v>
      </c>
      <c r="E985" s="117">
        <f>IFERROR(Table1[[#This Row],[Holds per Set]]*B985,0)</f>
        <v>0</v>
      </c>
      <c r="F985" s="122">
        <v>0</v>
      </c>
      <c r="G985" s="123">
        <v>0</v>
      </c>
      <c r="H985" s="122">
        <v>0</v>
      </c>
      <c r="I985" s="123">
        <v>0</v>
      </c>
      <c r="J985" s="122">
        <v>0</v>
      </c>
      <c r="K985" s="123">
        <v>0</v>
      </c>
      <c r="L985" s="123">
        <v>0</v>
      </c>
      <c r="M985" s="122">
        <v>0</v>
      </c>
      <c r="N985" s="123">
        <v>0</v>
      </c>
      <c r="O985" s="122">
        <v>0</v>
      </c>
      <c r="P985" s="123">
        <v>0</v>
      </c>
      <c r="Q985" s="122">
        <v>0</v>
      </c>
      <c r="R985" s="123">
        <v>0</v>
      </c>
      <c r="S985" s="119">
        <v>0</v>
      </c>
      <c r="T985" s="119">
        <v>0</v>
      </c>
      <c r="U985" s="119">
        <v>0</v>
      </c>
      <c r="V985" s="124" t="str">
        <f t="shared" si="105"/>
        <v xml:space="preserve"> </v>
      </c>
    </row>
    <row r="986" spans="1:22" hidden="1">
      <c r="A986" s="451" t="s">
        <v>1264</v>
      </c>
      <c r="B986" s="114">
        <f>_xlfn.IFNA(VLOOKUP(Table1[[#This Row],[SKU]],'Urban Plastix Holds'!$I$36:$L$501,4,0),0)</f>
        <v>0</v>
      </c>
      <c r="C986" s="407">
        <v>5</v>
      </c>
      <c r="D986" s="117">
        <v>0</v>
      </c>
      <c r="E986" s="117">
        <f>IFERROR(Table1[[#This Row],[Holds per Set]]*B986,0)</f>
        <v>0</v>
      </c>
      <c r="F986" s="122">
        <v>0</v>
      </c>
      <c r="G986" s="123">
        <v>0</v>
      </c>
      <c r="H986" s="122">
        <v>0</v>
      </c>
      <c r="I986" s="123">
        <v>0</v>
      </c>
      <c r="J986" s="122">
        <v>0</v>
      </c>
      <c r="K986" s="123">
        <v>0</v>
      </c>
      <c r="L986" s="123">
        <v>0</v>
      </c>
      <c r="M986" s="122">
        <v>0</v>
      </c>
      <c r="N986" s="123">
        <v>0</v>
      </c>
      <c r="O986" s="122">
        <v>0</v>
      </c>
      <c r="P986" s="123">
        <v>0</v>
      </c>
      <c r="Q986" s="122">
        <v>0</v>
      </c>
      <c r="R986" s="123">
        <v>0</v>
      </c>
      <c r="S986" s="119">
        <v>0</v>
      </c>
      <c r="T986" s="119">
        <v>0</v>
      </c>
      <c r="U986" s="119">
        <v>0</v>
      </c>
      <c r="V986" s="124" t="str">
        <f t="shared" si="105"/>
        <v xml:space="preserve"> </v>
      </c>
    </row>
    <row r="987" spans="1:22" hidden="1">
      <c r="A987" s="451" t="s">
        <v>1265</v>
      </c>
      <c r="B987" s="114">
        <f>_xlfn.IFNA(VLOOKUP(Table1[[#This Row],[SKU]],'Urban Plastix Holds'!$I$36:$L$501,4,0),0)</f>
        <v>0</v>
      </c>
      <c r="C987" s="407">
        <v>10</v>
      </c>
      <c r="D987" s="117">
        <f>IFERROR(Table1[[#This Row],[Holds per Set]]*B987,0)</f>
        <v>0</v>
      </c>
      <c r="E987" s="117">
        <v>0</v>
      </c>
      <c r="F987" s="122">
        <v>0</v>
      </c>
      <c r="G987" s="123">
        <v>0</v>
      </c>
      <c r="H987" s="122">
        <v>0</v>
      </c>
      <c r="I987" s="123">
        <v>0</v>
      </c>
      <c r="J987" s="122">
        <v>0</v>
      </c>
      <c r="K987" s="123">
        <v>0</v>
      </c>
      <c r="L987" s="123">
        <v>0</v>
      </c>
      <c r="M987" s="122">
        <v>0</v>
      </c>
      <c r="N987" s="123">
        <v>0</v>
      </c>
      <c r="O987" s="122">
        <v>0</v>
      </c>
      <c r="P987" s="123">
        <v>0</v>
      </c>
      <c r="Q987" s="122">
        <v>0</v>
      </c>
      <c r="R987" s="123">
        <v>0</v>
      </c>
      <c r="S987" s="119">
        <v>0</v>
      </c>
      <c r="T987" s="119">
        <v>0</v>
      </c>
      <c r="U987" s="119">
        <v>0</v>
      </c>
      <c r="V987" s="124" t="str">
        <f t="shared" si="105"/>
        <v xml:space="preserve"> </v>
      </c>
    </row>
    <row r="988" spans="1:22" hidden="1">
      <c r="A988" s="451" t="s">
        <v>1266</v>
      </c>
      <c r="B988" s="114">
        <f>_xlfn.IFNA(VLOOKUP(Table1[[#This Row],[SKU]],'Urban Plastix Holds'!$I$36:$L$501,4,0),0)</f>
        <v>0</v>
      </c>
      <c r="C988" s="407">
        <v>5</v>
      </c>
      <c r="D988" s="117">
        <f>IFERROR(Table1[[#This Row],[Holds per Set]]*B988,0)</f>
        <v>0</v>
      </c>
      <c r="E988" s="117">
        <v>0</v>
      </c>
      <c r="F988" s="122">
        <v>0</v>
      </c>
      <c r="G988" s="123">
        <v>0</v>
      </c>
      <c r="H988" s="122">
        <v>0</v>
      </c>
      <c r="I988" s="123">
        <v>0</v>
      </c>
      <c r="J988" s="122">
        <v>0</v>
      </c>
      <c r="K988" s="123">
        <v>0</v>
      </c>
      <c r="L988" s="123">
        <v>0</v>
      </c>
      <c r="M988" s="122">
        <v>0</v>
      </c>
      <c r="N988" s="123">
        <v>0</v>
      </c>
      <c r="O988" s="122">
        <v>0</v>
      </c>
      <c r="P988" s="123">
        <v>0</v>
      </c>
      <c r="Q988" s="122">
        <v>0</v>
      </c>
      <c r="R988" s="123">
        <v>0</v>
      </c>
      <c r="S988" s="119">
        <v>0</v>
      </c>
      <c r="T988" s="119">
        <v>0</v>
      </c>
      <c r="U988" s="119">
        <v>0</v>
      </c>
      <c r="V988" s="124" t="str">
        <f t="shared" si="105"/>
        <v xml:space="preserve"> </v>
      </c>
    </row>
    <row r="989" spans="1:22" hidden="1">
      <c r="A989" s="451" t="s">
        <v>1267</v>
      </c>
      <c r="B989" s="114">
        <f>_xlfn.IFNA(VLOOKUP(Table1[[#This Row],[SKU]],'Urban Plastix Holds'!$I$36:$L$501,4,0),0)</f>
        <v>0</v>
      </c>
      <c r="C989" s="407">
        <v>5</v>
      </c>
      <c r="D989" s="117">
        <f>IFERROR(Table1[[#This Row],[Holds per Set]]*B989,0)</f>
        <v>0</v>
      </c>
      <c r="E989" s="117">
        <v>0</v>
      </c>
      <c r="F989" s="122">
        <v>0</v>
      </c>
      <c r="G989" s="123">
        <v>0</v>
      </c>
      <c r="H989" s="122">
        <v>0</v>
      </c>
      <c r="I989" s="123">
        <v>0</v>
      </c>
      <c r="J989" s="122">
        <v>0</v>
      </c>
      <c r="K989" s="123">
        <v>0</v>
      </c>
      <c r="L989" s="123">
        <v>0</v>
      </c>
      <c r="M989" s="122">
        <v>0</v>
      </c>
      <c r="N989" s="123">
        <v>0</v>
      </c>
      <c r="O989" s="122">
        <v>0</v>
      </c>
      <c r="P989" s="123">
        <v>0</v>
      </c>
      <c r="Q989" s="122">
        <v>0</v>
      </c>
      <c r="R989" s="123">
        <v>0</v>
      </c>
      <c r="S989" s="119">
        <v>0</v>
      </c>
      <c r="T989" s="119">
        <v>0</v>
      </c>
      <c r="U989" s="119">
        <v>0</v>
      </c>
      <c r="V989" s="124" t="str">
        <f t="shared" si="105"/>
        <v xml:space="preserve"> </v>
      </c>
    </row>
    <row r="990" spans="1:22" hidden="1">
      <c r="A990" s="451" t="s">
        <v>1270</v>
      </c>
      <c r="B990" s="114">
        <f>_xlfn.IFNA(VLOOKUP(Table1[[#This Row],[SKU]],'Urban Plastix Holds'!$I$36:$L$501,4,0),0)</f>
        <v>0</v>
      </c>
      <c r="C990" s="407">
        <v>9</v>
      </c>
      <c r="D990" s="117">
        <f>IFERROR(Table1[[#This Row],[Holds per Set]]*B990,0)</f>
        <v>0</v>
      </c>
      <c r="E990" s="117">
        <v>0</v>
      </c>
      <c r="F990" s="122">
        <v>0</v>
      </c>
      <c r="G990" s="123">
        <v>0</v>
      </c>
      <c r="H990" s="122">
        <v>0</v>
      </c>
      <c r="I990" s="123">
        <v>0</v>
      </c>
      <c r="J990" s="122">
        <v>0</v>
      </c>
      <c r="K990" s="123">
        <v>0</v>
      </c>
      <c r="L990" s="123">
        <v>0</v>
      </c>
      <c r="M990" s="122">
        <v>0</v>
      </c>
      <c r="N990" s="123">
        <v>0</v>
      </c>
      <c r="O990" s="122">
        <v>0</v>
      </c>
      <c r="P990" s="123">
        <v>0</v>
      </c>
      <c r="Q990" s="122">
        <v>0</v>
      </c>
      <c r="R990" s="123">
        <v>0</v>
      </c>
      <c r="S990" s="119">
        <v>0</v>
      </c>
      <c r="T990" s="119">
        <v>0</v>
      </c>
      <c r="U990" s="119">
        <v>0</v>
      </c>
      <c r="V990" s="124" t="str">
        <f t="shared" si="105"/>
        <v xml:space="preserve"> </v>
      </c>
    </row>
    <row r="991" spans="1:22" hidden="1">
      <c r="A991" s="451" t="s">
        <v>1309</v>
      </c>
      <c r="B991" s="114">
        <f>_xlfn.IFNA(VLOOKUP(Table1[[#This Row],[SKU]],'Urban Plastix Holds'!$I$36:$L$501,4,0),0)</f>
        <v>0</v>
      </c>
      <c r="C991" s="407">
        <v>25</v>
      </c>
      <c r="D991" s="117">
        <f>IFERROR(Table1[[#This Row],[Holds per Set]]*B991,0)</f>
        <v>0</v>
      </c>
      <c r="E991" s="117">
        <v>0</v>
      </c>
      <c r="F991" s="122">
        <v>0</v>
      </c>
      <c r="G991" s="123">
        <v>0</v>
      </c>
      <c r="H991" s="122">
        <v>0</v>
      </c>
      <c r="I991" s="123">
        <v>0</v>
      </c>
      <c r="J991" s="122">
        <v>0</v>
      </c>
      <c r="K991" s="123">
        <v>0</v>
      </c>
      <c r="L991" s="123">
        <v>0</v>
      </c>
      <c r="M991" s="122">
        <v>0</v>
      </c>
      <c r="N991" s="123">
        <v>0</v>
      </c>
      <c r="O991" s="122">
        <v>0</v>
      </c>
      <c r="P991" s="123">
        <v>0</v>
      </c>
      <c r="Q991" s="122">
        <v>0</v>
      </c>
      <c r="R991" s="123">
        <v>0</v>
      </c>
      <c r="S991" s="119">
        <v>0</v>
      </c>
      <c r="T991" s="119">
        <v>0</v>
      </c>
      <c r="U991" s="119">
        <v>0</v>
      </c>
      <c r="V991" s="124" t="str">
        <f t="shared" si="105"/>
        <v xml:space="preserve"> </v>
      </c>
    </row>
    <row r="992" spans="1:22" hidden="1">
      <c r="A992" s="451" t="s">
        <v>1310</v>
      </c>
      <c r="B992" s="114">
        <f>_xlfn.IFNA(VLOOKUP(Table1[[#This Row],[SKU]],'Urban Plastix Holds'!$I$36:$L$501,4,0),0)</f>
        <v>0</v>
      </c>
      <c r="C992" s="407">
        <v>9</v>
      </c>
      <c r="D992" s="117">
        <f>IFERROR(Table1[[#This Row],[Holds per Set]]*B992,0)</f>
        <v>0</v>
      </c>
      <c r="E992" s="117">
        <v>0</v>
      </c>
      <c r="F992" s="122">
        <v>0</v>
      </c>
      <c r="G992" s="123">
        <v>0</v>
      </c>
      <c r="H992" s="122">
        <v>0</v>
      </c>
      <c r="I992" s="123">
        <v>0</v>
      </c>
      <c r="J992" s="122">
        <v>0</v>
      </c>
      <c r="K992" s="123">
        <v>0</v>
      </c>
      <c r="L992" s="123">
        <v>0</v>
      </c>
      <c r="M992" s="122">
        <v>0</v>
      </c>
      <c r="N992" s="123">
        <v>0</v>
      </c>
      <c r="O992" s="122">
        <v>0</v>
      </c>
      <c r="P992" s="123">
        <v>0</v>
      </c>
      <c r="Q992" s="122">
        <v>0</v>
      </c>
      <c r="R992" s="123">
        <v>0</v>
      </c>
      <c r="S992" s="119">
        <v>0</v>
      </c>
      <c r="T992" s="119">
        <v>0</v>
      </c>
      <c r="U992" s="119">
        <v>0</v>
      </c>
      <c r="V992" s="124" t="str">
        <f t="shared" si="105"/>
        <v xml:space="preserve"> </v>
      </c>
    </row>
    <row r="993" spans="1:22" hidden="1">
      <c r="A993" s="451" t="s">
        <v>1251</v>
      </c>
      <c r="B993" s="114">
        <f>_xlfn.IFNA(VLOOKUP(Table1[[#This Row],[SKU]],'Urban Plastix Holds'!$I$36:$L$501,4,0),0)</f>
        <v>0</v>
      </c>
      <c r="C993" s="407">
        <v>4</v>
      </c>
      <c r="D993" s="117">
        <v>0</v>
      </c>
      <c r="E993" s="117">
        <v>0</v>
      </c>
      <c r="F993" s="122">
        <v>0</v>
      </c>
      <c r="G993" s="123">
        <v>0</v>
      </c>
      <c r="H993" s="122">
        <v>0</v>
      </c>
      <c r="I993" s="123">
        <f>IFERROR(Table1[[#This Row],[Holds per Set]]*B993,0)</f>
        <v>0</v>
      </c>
      <c r="J993" s="122">
        <v>0</v>
      </c>
      <c r="K993" s="123">
        <v>0</v>
      </c>
      <c r="L993" s="123">
        <v>0</v>
      </c>
      <c r="M993" s="122">
        <v>0</v>
      </c>
      <c r="N993" s="123">
        <v>0</v>
      </c>
      <c r="O993" s="122">
        <v>0</v>
      </c>
      <c r="P993" s="123">
        <v>0</v>
      </c>
      <c r="Q993" s="122">
        <v>0</v>
      </c>
      <c r="R993" s="123">
        <v>0</v>
      </c>
      <c r="S993" s="119">
        <v>0</v>
      </c>
      <c r="T993" s="119">
        <v>0</v>
      </c>
      <c r="U993" s="119">
        <v>0</v>
      </c>
      <c r="V993" s="124" t="str">
        <f t="shared" si="105"/>
        <v xml:space="preserve"> </v>
      </c>
    </row>
    <row r="994" spans="1:22" hidden="1">
      <c r="A994" s="451" t="s">
        <v>1295</v>
      </c>
      <c r="B994" s="114">
        <f>_xlfn.IFNA(VLOOKUP(Table1[[#This Row],[SKU]],'Urban Plastix Holds'!$I$36:$L$501,4,0),0)</f>
        <v>0</v>
      </c>
      <c r="C994" s="407">
        <v>1</v>
      </c>
      <c r="D994" s="117">
        <v>0</v>
      </c>
      <c r="E994" s="117">
        <v>0</v>
      </c>
      <c r="F994" s="122">
        <v>0</v>
      </c>
      <c r="G994" s="123">
        <v>0</v>
      </c>
      <c r="H994" s="122">
        <v>0</v>
      </c>
      <c r="I994" s="123">
        <f>IFERROR(Table1[[#This Row],[Holds per Set]]*B994,0)</f>
        <v>0</v>
      </c>
      <c r="J994" s="122">
        <v>0</v>
      </c>
      <c r="K994" s="123">
        <v>0</v>
      </c>
      <c r="L994" s="123">
        <v>0</v>
      </c>
      <c r="M994" s="122">
        <v>0</v>
      </c>
      <c r="N994" s="123">
        <v>0</v>
      </c>
      <c r="O994" s="122">
        <v>0</v>
      </c>
      <c r="P994" s="123">
        <v>0</v>
      </c>
      <c r="Q994" s="122">
        <v>0</v>
      </c>
      <c r="R994" s="123">
        <v>0</v>
      </c>
      <c r="S994" s="119">
        <v>0</v>
      </c>
      <c r="T994" s="119">
        <v>0</v>
      </c>
      <c r="U994" s="119">
        <v>0</v>
      </c>
      <c r="V994" s="124" t="str">
        <f t="shared" si="105"/>
        <v xml:space="preserve"> </v>
      </c>
    </row>
    <row r="995" spans="1:22" hidden="1">
      <c r="A995" s="451" t="s">
        <v>1300</v>
      </c>
      <c r="B995" s="114">
        <f>_xlfn.IFNA(VLOOKUP(Table1[[#This Row],[SKU]],'Urban Plastix Holds'!$I$36:$L$501,4,0),0)</f>
        <v>0</v>
      </c>
      <c r="C995" s="407">
        <v>1</v>
      </c>
      <c r="D995" s="117">
        <v>0</v>
      </c>
      <c r="E995" s="117">
        <v>0</v>
      </c>
      <c r="F995" s="122">
        <v>0</v>
      </c>
      <c r="G995" s="123">
        <v>0</v>
      </c>
      <c r="H995" s="122">
        <v>0</v>
      </c>
      <c r="I995" s="123">
        <v>0</v>
      </c>
      <c r="J995" s="122">
        <f>IFERROR(Table1[[#This Row],[Holds per Set]]*B995,0)</f>
        <v>0</v>
      </c>
      <c r="K995" s="123">
        <v>0</v>
      </c>
      <c r="L995" s="123">
        <v>0</v>
      </c>
      <c r="M995" s="122">
        <v>0</v>
      </c>
      <c r="N995" s="123">
        <v>0</v>
      </c>
      <c r="O995" s="122">
        <v>0</v>
      </c>
      <c r="P995" s="123">
        <v>0</v>
      </c>
      <c r="Q995" s="122">
        <v>0</v>
      </c>
      <c r="R995" s="123">
        <v>0</v>
      </c>
      <c r="S995" s="119">
        <v>0</v>
      </c>
      <c r="T995" s="119">
        <v>0</v>
      </c>
      <c r="U995" s="119">
        <v>0</v>
      </c>
      <c r="V995" s="124" t="str">
        <f t="shared" si="105"/>
        <v xml:space="preserve"> </v>
      </c>
    </row>
    <row r="996" spans="1:22" hidden="1">
      <c r="A996" s="451" t="s">
        <v>1299</v>
      </c>
      <c r="B996" s="114">
        <f>_xlfn.IFNA(VLOOKUP(Table1[[#This Row],[SKU]],'Urban Plastix Holds'!$I$36:$L$501,4,0),0)</f>
        <v>0</v>
      </c>
      <c r="C996" s="407">
        <v>7</v>
      </c>
      <c r="D996" s="117">
        <v>0</v>
      </c>
      <c r="E996" s="117">
        <f>IFERROR(Table1[[#This Row],[Holds per Set]]*B996,0)</f>
        <v>0</v>
      </c>
      <c r="F996" s="122">
        <v>0</v>
      </c>
      <c r="G996" s="123">
        <v>0</v>
      </c>
      <c r="H996" s="122">
        <v>0</v>
      </c>
      <c r="I996" s="123">
        <v>0</v>
      </c>
      <c r="J996" s="122">
        <v>0</v>
      </c>
      <c r="K996" s="123">
        <v>0</v>
      </c>
      <c r="L996" s="123">
        <v>0</v>
      </c>
      <c r="M996" s="122">
        <v>0</v>
      </c>
      <c r="N996" s="123">
        <v>0</v>
      </c>
      <c r="O996" s="122">
        <v>0</v>
      </c>
      <c r="P996" s="123">
        <v>0</v>
      </c>
      <c r="Q996" s="122">
        <v>0</v>
      </c>
      <c r="R996" s="123">
        <v>0</v>
      </c>
      <c r="S996" s="119">
        <v>0</v>
      </c>
      <c r="T996" s="119">
        <v>0</v>
      </c>
      <c r="U996" s="119">
        <v>0</v>
      </c>
      <c r="V996" s="124" t="str">
        <f t="shared" si="105"/>
        <v xml:space="preserve"> </v>
      </c>
    </row>
    <row r="997" spans="1:22" hidden="1">
      <c r="A997" s="460" t="s">
        <v>2443</v>
      </c>
      <c r="B997" s="114">
        <f>_xlfn.IFNA(VLOOKUP(Table1[[#This Row],[SKU]],'Urban Plastix Holds'!$I$36:$L$501,4,0),0)</f>
        <v>0</v>
      </c>
      <c r="C997" s="407">
        <v>5</v>
      </c>
      <c r="D997" s="117">
        <v>0</v>
      </c>
      <c r="E997" s="117">
        <v>0</v>
      </c>
      <c r="F997" s="122">
        <v>0</v>
      </c>
      <c r="G997" s="123">
        <f>4*Table1[[#This Row],[Quantity of Sets]]</f>
        <v>0</v>
      </c>
      <c r="H997" s="122">
        <f>1*Table1[[#This Row],[Quantity of Sets]]</f>
        <v>0</v>
      </c>
      <c r="I997" s="123">
        <v>0</v>
      </c>
      <c r="J997" s="122">
        <v>0</v>
      </c>
      <c r="K997" s="123">
        <v>0</v>
      </c>
      <c r="L997" s="123">
        <v>0</v>
      </c>
      <c r="M997" s="122">
        <v>0</v>
      </c>
      <c r="N997" s="123">
        <v>0</v>
      </c>
      <c r="O997" s="122">
        <v>0</v>
      </c>
      <c r="P997" s="123">
        <v>0</v>
      </c>
      <c r="Q997" s="122">
        <f>5*Table1[[#This Row],[Quantity of Sets]]</f>
        <v>0</v>
      </c>
      <c r="R997" s="123">
        <v>0</v>
      </c>
      <c r="S997" s="119">
        <v>0</v>
      </c>
      <c r="T997" s="119">
        <v>0</v>
      </c>
      <c r="U997" s="119">
        <v>0</v>
      </c>
      <c r="V997" s="124" t="str">
        <f>IF(B997&gt;0,"Added"," ")</f>
        <v xml:space="preserve"> </v>
      </c>
    </row>
    <row r="998" spans="1:22" hidden="1">
      <c r="A998" s="451" t="s">
        <v>1279</v>
      </c>
      <c r="B998" s="114">
        <f>_xlfn.IFNA(VLOOKUP(Table1[[#This Row],[SKU]],'Urban Plastix Holds'!$I$36:$L$501,4,0),0)</f>
        <v>0</v>
      </c>
      <c r="C998" s="407">
        <v>1</v>
      </c>
      <c r="D998" s="117">
        <v>0</v>
      </c>
      <c r="E998" s="117">
        <v>0</v>
      </c>
      <c r="F998" s="122">
        <v>0</v>
      </c>
      <c r="G998" s="123">
        <v>0</v>
      </c>
      <c r="H998" s="122">
        <v>0</v>
      </c>
      <c r="I998" s="123">
        <v>0</v>
      </c>
      <c r="J998" s="122">
        <f>IFERROR(Table1[[#This Row],[Holds per Set]]*B998,0)</f>
        <v>0</v>
      </c>
      <c r="K998" s="123">
        <v>0</v>
      </c>
      <c r="L998" s="123">
        <v>0</v>
      </c>
      <c r="M998" s="122">
        <v>0</v>
      </c>
      <c r="N998" s="123">
        <v>0</v>
      </c>
      <c r="O998" s="122">
        <v>0</v>
      </c>
      <c r="P998" s="123">
        <v>0</v>
      </c>
      <c r="Q998" s="122">
        <v>0</v>
      </c>
      <c r="R998" s="123">
        <v>0</v>
      </c>
      <c r="S998" s="119">
        <v>0</v>
      </c>
      <c r="T998" s="119">
        <v>0</v>
      </c>
      <c r="U998" s="119">
        <v>0</v>
      </c>
      <c r="V998" s="124" t="str">
        <f t="shared" si="105"/>
        <v xml:space="preserve"> </v>
      </c>
    </row>
    <row r="999" spans="1:22" hidden="1">
      <c r="A999" s="451" t="s">
        <v>1319</v>
      </c>
      <c r="B999" s="114">
        <f>_xlfn.IFNA(VLOOKUP(Table1[[#This Row],[SKU]],'Urban Plastix Holds'!$I$36:$L$501,4,0),0)</f>
        <v>0</v>
      </c>
      <c r="C999" s="407">
        <v>5</v>
      </c>
      <c r="D999" s="117">
        <v>0</v>
      </c>
      <c r="E999" s="117">
        <v>0</v>
      </c>
      <c r="F999" s="122">
        <v>0</v>
      </c>
      <c r="G999" s="123">
        <v>0</v>
      </c>
      <c r="H999" s="122">
        <f>IFERROR(Table1[[#This Row],[Holds per Set]]*B999,0)</f>
        <v>0</v>
      </c>
      <c r="I999" s="123">
        <v>0</v>
      </c>
      <c r="J999" s="122">
        <v>0</v>
      </c>
      <c r="K999" s="123">
        <v>0</v>
      </c>
      <c r="L999" s="123">
        <v>0</v>
      </c>
      <c r="M999" s="122">
        <v>0</v>
      </c>
      <c r="N999" s="123">
        <v>0</v>
      </c>
      <c r="O999" s="122">
        <v>0</v>
      </c>
      <c r="P999" s="123">
        <v>0</v>
      </c>
      <c r="Q999" s="122">
        <v>0</v>
      </c>
      <c r="R999" s="123">
        <v>0</v>
      </c>
      <c r="S999" s="119">
        <v>0</v>
      </c>
      <c r="T999" s="119">
        <v>0</v>
      </c>
      <c r="U999" s="119">
        <v>0</v>
      </c>
      <c r="V999" s="124" t="str">
        <f t="shared" si="105"/>
        <v xml:space="preserve"> </v>
      </c>
    </row>
    <row r="1000" spans="1:22" hidden="1">
      <c r="A1000" s="451" t="s">
        <v>1271</v>
      </c>
      <c r="B1000" s="114">
        <f>_xlfn.IFNA(VLOOKUP(Table1[[#This Row],[SKU]],'Urban Plastix Holds'!$I$36:$L$501,4,0),0)</f>
        <v>0</v>
      </c>
      <c r="C1000" s="407">
        <v>10</v>
      </c>
      <c r="D1000" s="117">
        <v>0</v>
      </c>
      <c r="E1000" s="117">
        <f>IFERROR(Table1[[#This Row],[Holds per Set]]*B1000,0)</f>
        <v>0</v>
      </c>
      <c r="F1000" s="122">
        <v>0</v>
      </c>
      <c r="G1000" s="123">
        <v>0</v>
      </c>
      <c r="H1000" s="122">
        <v>0</v>
      </c>
      <c r="I1000" s="123">
        <v>0</v>
      </c>
      <c r="J1000" s="122">
        <v>0</v>
      </c>
      <c r="K1000" s="123">
        <v>0</v>
      </c>
      <c r="L1000" s="123">
        <v>0</v>
      </c>
      <c r="M1000" s="122">
        <v>0</v>
      </c>
      <c r="N1000" s="123">
        <v>0</v>
      </c>
      <c r="O1000" s="122">
        <v>0</v>
      </c>
      <c r="P1000" s="123">
        <v>0</v>
      </c>
      <c r="Q1000" s="122">
        <v>0</v>
      </c>
      <c r="R1000" s="123">
        <v>0</v>
      </c>
      <c r="S1000" s="119">
        <v>0</v>
      </c>
      <c r="T1000" s="119">
        <v>0</v>
      </c>
      <c r="U1000" s="119">
        <v>0</v>
      </c>
      <c r="V1000" s="124" t="str">
        <f t="shared" si="105"/>
        <v xml:space="preserve"> </v>
      </c>
    </row>
    <row r="1001" spans="1:22" hidden="1">
      <c r="A1001" s="451" t="s">
        <v>1272</v>
      </c>
      <c r="B1001" s="114">
        <f>_xlfn.IFNA(VLOOKUP(Table1[[#This Row],[SKU]],'Urban Plastix Holds'!$I$36:$L$501,4,0),0)</f>
        <v>0</v>
      </c>
      <c r="C1001" s="407">
        <v>10</v>
      </c>
      <c r="D1001" s="117">
        <v>0</v>
      </c>
      <c r="E1001" s="117">
        <f>IFERROR(Table1[[#This Row],[Holds per Set]]*B1001,0)</f>
        <v>0</v>
      </c>
      <c r="F1001" s="122">
        <v>0</v>
      </c>
      <c r="G1001" s="123">
        <v>0</v>
      </c>
      <c r="H1001" s="122">
        <v>0</v>
      </c>
      <c r="I1001" s="123">
        <v>0</v>
      </c>
      <c r="J1001" s="122">
        <v>0</v>
      </c>
      <c r="K1001" s="123">
        <v>0</v>
      </c>
      <c r="L1001" s="123">
        <v>0</v>
      </c>
      <c r="M1001" s="122">
        <v>0</v>
      </c>
      <c r="N1001" s="123">
        <v>0</v>
      </c>
      <c r="O1001" s="122">
        <v>0</v>
      </c>
      <c r="P1001" s="123">
        <v>0</v>
      </c>
      <c r="Q1001" s="122">
        <v>0</v>
      </c>
      <c r="R1001" s="123">
        <v>0</v>
      </c>
      <c r="S1001" s="119">
        <v>0</v>
      </c>
      <c r="T1001" s="119">
        <v>0</v>
      </c>
      <c r="U1001" s="119">
        <v>0</v>
      </c>
      <c r="V1001" s="124" t="str">
        <f t="shared" si="105"/>
        <v xml:space="preserve"> </v>
      </c>
    </row>
    <row r="1002" spans="1:22" hidden="1">
      <c r="A1002" s="451" t="s">
        <v>1284</v>
      </c>
      <c r="B1002" s="114">
        <f>_xlfn.IFNA(VLOOKUP(Table1[[#This Row],[SKU]],'Urban Plastix Holds'!$I$36:$L$501,4,0),0)</f>
        <v>0</v>
      </c>
      <c r="C1002" s="407">
        <v>5</v>
      </c>
      <c r="D1002" s="117">
        <v>0</v>
      </c>
      <c r="E1002" s="117">
        <f>IFERROR(Table1[[#This Row],[Holds per Set]]*B1002,0)</f>
        <v>0</v>
      </c>
      <c r="F1002" s="122">
        <v>0</v>
      </c>
      <c r="G1002" s="123">
        <v>0</v>
      </c>
      <c r="H1002" s="122">
        <v>0</v>
      </c>
      <c r="I1002" s="123">
        <v>0</v>
      </c>
      <c r="J1002" s="122">
        <v>0</v>
      </c>
      <c r="K1002" s="123">
        <v>0</v>
      </c>
      <c r="L1002" s="123">
        <v>0</v>
      </c>
      <c r="M1002" s="122">
        <v>0</v>
      </c>
      <c r="N1002" s="123">
        <v>0</v>
      </c>
      <c r="O1002" s="122">
        <v>0</v>
      </c>
      <c r="P1002" s="123">
        <v>0</v>
      </c>
      <c r="Q1002" s="122">
        <v>0</v>
      </c>
      <c r="R1002" s="123">
        <v>0</v>
      </c>
      <c r="S1002" s="119">
        <v>0</v>
      </c>
      <c r="T1002" s="119">
        <v>0</v>
      </c>
      <c r="U1002" s="119">
        <v>0</v>
      </c>
      <c r="V1002" s="124" t="str">
        <f t="shared" si="105"/>
        <v xml:space="preserve"> </v>
      </c>
    </row>
    <row r="1003" spans="1:22" hidden="1">
      <c r="A1003" s="451" t="s">
        <v>1288</v>
      </c>
      <c r="B1003" s="114">
        <f>_xlfn.IFNA(VLOOKUP(Table1[[#This Row],[SKU]],'Urban Plastix Holds'!$I$36:$L$501,4,0),0)</f>
        <v>0</v>
      </c>
      <c r="C1003" s="407">
        <v>1</v>
      </c>
      <c r="D1003" s="117">
        <v>0</v>
      </c>
      <c r="E1003" s="117">
        <v>0</v>
      </c>
      <c r="F1003" s="122">
        <v>0</v>
      </c>
      <c r="G1003" s="123">
        <v>0</v>
      </c>
      <c r="H1003" s="122">
        <v>0</v>
      </c>
      <c r="I1003" s="123">
        <v>0</v>
      </c>
      <c r="J1003" s="122">
        <f>IFERROR(Table1[[#This Row],[Holds per Set]]*B1003,0)</f>
        <v>0</v>
      </c>
      <c r="K1003" s="123">
        <v>0</v>
      </c>
      <c r="L1003" s="123">
        <v>0</v>
      </c>
      <c r="M1003" s="122">
        <v>0</v>
      </c>
      <c r="N1003" s="123">
        <v>0</v>
      </c>
      <c r="O1003" s="122">
        <v>0</v>
      </c>
      <c r="P1003" s="123">
        <v>0</v>
      </c>
      <c r="Q1003" s="122">
        <v>0</v>
      </c>
      <c r="R1003" s="123">
        <v>0</v>
      </c>
      <c r="S1003" s="119">
        <v>0</v>
      </c>
      <c r="T1003" s="119">
        <v>0</v>
      </c>
      <c r="U1003" s="119">
        <v>0</v>
      </c>
      <c r="V1003" s="124" t="str">
        <f t="shared" si="105"/>
        <v xml:space="preserve"> </v>
      </c>
    </row>
    <row r="1004" spans="1:22" hidden="1">
      <c r="A1004" s="451" t="s">
        <v>1289</v>
      </c>
      <c r="B1004" s="114">
        <f>_xlfn.IFNA(VLOOKUP(Table1[[#This Row],[SKU]],'Urban Plastix Holds'!$I$36:$L$501,4,0),0)</f>
        <v>0</v>
      </c>
      <c r="C1004" s="407">
        <v>7</v>
      </c>
      <c r="D1004" s="117">
        <v>0</v>
      </c>
      <c r="E1004" s="117">
        <f>IFERROR(Table1[[#This Row],[Holds per Set]]*B1004,0)</f>
        <v>0</v>
      </c>
      <c r="F1004" s="122">
        <v>0</v>
      </c>
      <c r="G1004" s="123">
        <v>0</v>
      </c>
      <c r="H1004" s="122">
        <v>0</v>
      </c>
      <c r="I1004" s="123">
        <v>0</v>
      </c>
      <c r="J1004" s="122">
        <v>0</v>
      </c>
      <c r="K1004" s="123">
        <v>0</v>
      </c>
      <c r="L1004" s="123">
        <v>0</v>
      </c>
      <c r="M1004" s="122">
        <v>0</v>
      </c>
      <c r="N1004" s="123">
        <v>0</v>
      </c>
      <c r="O1004" s="122">
        <v>0</v>
      </c>
      <c r="P1004" s="123">
        <v>0</v>
      </c>
      <c r="Q1004" s="122">
        <v>0</v>
      </c>
      <c r="R1004" s="123">
        <v>0</v>
      </c>
      <c r="S1004" s="119">
        <v>0</v>
      </c>
      <c r="T1004" s="119">
        <v>0</v>
      </c>
      <c r="U1004" s="119">
        <v>0</v>
      </c>
      <c r="V1004" s="124" t="str">
        <f t="shared" si="105"/>
        <v xml:space="preserve"> </v>
      </c>
    </row>
    <row r="1005" spans="1:22" hidden="1">
      <c r="A1005" s="451" t="s">
        <v>1249</v>
      </c>
      <c r="B1005" s="114">
        <f>_xlfn.IFNA(VLOOKUP(Table1[[#This Row],[SKU]],'Urban Plastix Holds'!$I$36:$L$501,4,0),0)</f>
        <v>0</v>
      </c>
      <c r="C1005" s="407">
        <v>1</v>
      </c>
      <c r="D1005" s="117">
        <v>0</v>
      </c>
      <c r="E1005" s="117">
        <v>0</v>
      </c>
      <c r="F1005" s="122">
        <v>0</v>
      </c>
      <c r="G1005" s="123">
        <v>0</v>
      </c>
      <c r="H1005" s="122">
        <v>0</v>
      </c>
      <c r="I1005" s="123">
        <v>0</v>
      </c>
      <c r="J1005" s="122">
        <f>IFERROR(Table1[[#This Row],[Holds per Set]]*B1005,0)</f>
        <v>0</v>
      </c>
      <c r="K1005" s="123">
        <v>0</v>
      </c>
      <c r="L1005" s="123">
        <v>0</v>
      </c>
      <c r="M1005" s="122">
        <v>0</v>
      </c>
      <c r="N1005" s="123">
        <v>0</v>
      </c>
      <c r="O1005" s="122">
        <v>0</v>
      </c>
      <c r="P1005" s="123">
        <v>0</v>
      </c>
      <c r="Q1005" s="122">
        <v>0</v>
      </c>
      <c r="R1005" s="123">
        <v>0</v>
      </c>
      <c r="S1005" s="119">
        <v>0</v>
      </c>
      <c r="T1005" s="119">
        <v>0</v>
      </c>
      <c r="U1005" s="119">
        <v>0</v>
      </c>
      <c r="V1005" s="124" t="str">
        <f t="shared" si="105"/>
        <v xml:space="preserve"> </v>
      </c>
    </row>
    <row r="1006" spans="1:22" hidden="1">
      <c r="A1006" s="451" t="s">
        <v>1250</v>
      </c>
      <c r="B1006" s="114">
        <f>_xlfn.IFNA(VLOOKUP(Table1[[#This Row],[SKU]],'Urban Plastix Holds'!$I$36:$L$501,4,0),0)</f>
        <v>0</v>
      </c>
      <c r="C1006" s="407">
        <v>5</v>
      </c>
      <c r="D1006" s="117">
        <v>0</v>
      </c>
      <c r="E1006" s="117">
        <v>0</v>
      </c>
      <c r="F1006" s="122">
        <v>0</v>
      </c>
      <c r="G1006" s="123">
        <v>0</v>
      </c>
      <c r="H1006" s="122">
        <f>IFERROR(Table1[[#This Row],[Holds per Set]]*B1006,0)</f>
        <v>0</v>
      </c>
      <c r="I1006" s="123">
        <v>0</v>
      </c>
      <c r="J1006" s="122">
        <v>0</v>
      </c>
      <c r="K1006" s="123">
        <v>0</v>
      </c>
      <c r="L1006" s="123">
        <v>0</v>
      </c>
      <c r="M1006" s="122">
        <v>0</v>
      </c>
      <c r="N1006" s="123">
        <v>0</v>
      </c>
      <c r="O1006" s="122">
        <v>0</v>
      </c>
      <c r="P1006" s="123">
        <v>0</v>
      </c>
      <c r="Q1006" s="122">
        <v>0</v>
      </c>
      <c r="R1006" s="123">
        <v>0</v>
      </c>
      <c r="S1006" s="119">
        <v>0</v>
      </c>
      <c r="T1006" s="119">
        <v>0</v>
      </c>
      <c r="U1006" s="119">
        <v>0</v>
      </c>
      <c r="V1006" s="124" t="str">
        <f t="shared" si="105"/>
        <v xml:space="preserve"> </v>
      </c>
    </row>
    <row r="1007" spans="1:22" hidden="1">
      <c r="A1007" s="451" t="s">
        <v>1323</v>
      </c>
      <c r="B1007" s="114">
        <f>_xlfn.IFNA(VLOOKUP(Table1[[#This Row],[SKU]],'Urban Plastix Holds'!$I$36:$L$501,4,0),0)</f>
        <v>0</v>
      </c>
      <c r="C1007" s="407">
        <v>1</v>
      </c>
      <c r="D1007" s="117">
        <v>0</v>
      </c>
      <c r="E1007" s="117">
        <v>0</v>
      </c>
      <c r="F1007" s="122">
        <v>0</v>
      </c>
      <c r="G1007" s="123">
        <v>0</v>
      </c>
      <c r="H1007" s="122">
        <v>0</v>
      </c>
      <c r="I1007" s="123">
        <v>0</v>
      </c>
      <c r="J1007" s="122">
        <v>0</v>
      </c>
      <c r="K1007" s="123">
        <f>IFERROR(Table1[[#This Row],[Holds per Set]]*B1007,0)</f>
        <v>0</v>
      </c>
      <c r="L1007" s="123">
        <v>0</v>
      </c>
      <c r="M1007" s="122">
        <v>0</v>
      </c>
      <c r="N1007" s="123">
        <v>0</v>
      </c>
      <c r="O1007" s="122">
        <v>0</v>
      </c>
      <c r="P1007" s="123">
        <v>0</v>
      </c>
      <c r="Q1007" s="122">
        <v>0</v>
      </c>
      <c r="R1007" s="123">
        <v>0</v>
      </c>
      <c r="S1007" s="119">
        <v>0</v>
      </c>
      <c r="T1007" s="119">
        <v>0</v>
      </c>
      <c r="U1007" s="119">
        <v>0</v>
      </c>
      <c r="V1007" s="124" t="str">
        <f t="shared" si="105"/>
        <v xml:space="preserve"> </v>
      </c>
    </row>
    <row r="1008" spans="1:22" hidden="1">
      <c r="A1008" s="451" t="s">
        <v>1285</v>
      </c>
      <c r="B1008" s="114">
        <f>_xlfn.IFNA(VLOOKUP(Table1[[#This Row],[SKU]],'Urban Plastix Holds'!$I$36:$L$501,4,0),0)</f>
        <v>0</v>
      </c>
      <c r="C1008" s="407">
        <v>1</v>
      </c>
      <c r="D1008" s="117">
        <v>0</v>
      </c>
      <c r="E1008" s="117">
        <v>0</v>
      </c>
      <c r="F1008" s="122">
        <v>0</v>
      </c>
      <c r="G1008" s="123">
        <v>0</v>
      </c>
      <c r="H1008" s="122">
        <v>0</v>
      </c>
      <c r="I1008" s="123">
        <v>0</v>
      </c>
      <c r="J1008" s="122">
        <f>IFERROR(Table1[[#This Row],[Holds per Set]]*B1008,0)</f>
        <v>0</v>
      </c>
      <c r="K1008" s="123">
        <v>0</v>
      </c>
      <c r="L1008" s="123">
        <v>0</v>
      </c>
      <c r="M1008" s="122">
        <v>0</v>
      </c>
      <c r="N1008" s="123">
        <v>0</v>
      </c>
      <c r="O1008" s="122">
        <v>0</v>
      </c>
      <c r="P1008" s="123">
        <v>0</v>
      </c>
      <c r="Q1008" s="122">
        <v>0</v>
      </c>
      <c r="R1008" s="123">
        <v>0</v>
      </c>
      <c r="S1008" s="119">
        <v>0</v>
      </c>
      <c r="T1008" s="119">
        <v>0</v>
      </c>
      <c r="U1008" s="119">
        <v>0</v>
      </c>
      <c r="V1008" s="124" t="str">
        <f t="shared" si="105"/>
        <v xml:space="preserve"> </v>
      </c>
    </row>
    <row r="1009" spans="1:22" hidden="1">
      <c r="A1009" s="451" t="s">
        <v>1286</v>
      </c>
      <c r="B1009" s="114">
        <f>_xlfn.IFNA(VLOOKUP(Table1[[#This Row],[SKU]],'Urban Plastix Holds'!$I$36:$L$501,4,0),0)</f>
        <v>0</v>
      </c>
      <c r="C1009" s="407">
        <v>1</v>
      </c>
      <c r="D1009" s="117">
        <v>0</v>
      </c>
      <c r="E1009" s="117">
        <v>0</v>
      </c>
      <c r="F1009" s="122">
        <v>0</v>
      </c>
      <c r="G1009" s="123">
        <v>0</v>
      </c>
      <c r="H1009" s="122">
        <v>0</v>
      </c>
      <c r="I1009" s="123">
        <v>0</v>
      </c>
      <c r="J1009" s="122">
        <f>IFERROR(Table1[[#This Row],[Holds per Set]]*B1009,0)</f>
        <v>0</v>
      </c>
      <c r="K1009" s="123">
        <v>0</v>
      </c>
      <c r="L1009" s="123">
        <v>0</v>
      </c>
      <c r="M1009" s="122">
        <v>0</v>
      </c>
      <c r="N1009" s="123">
        <v>0</v>
      </c>
      <c r="O1009" s="122">
        <v>0</v>
      </c>
      <c r="P1009" s="123">
        <v>0</v>
      </c>
      <c r="Q1009" s="122">
        <v>0</v>
      </c>
      <c r="R1009" s="123">
        <v>0</v>
      </c>
      <c r="S1009" s="119">
        <v>0</v>
      </c>
      <c r="T1009" s="119">
        <v>0</v>
      </c>
      <c r="U1009" s="119">
        <v>0</v>
      </c>
      <c r="V1009" s="124" t="str">
        <f t="shared" si="105"/>
        <v xml:space="preserve"> </v>
      </c>
    </row>
    <row r="1010" spans="1:22" hidden="1">
      <c r="A1010" s="451" t="s">
        <v>1322</v>
      </c>
      <c r="B1010" s="114">
        <f>_xlfn.IFNA(VLOOKUP(Table1[[#This Row],[SKU]],'Urban Plastix Holds'!$I$36:$L$501,4,0),0)</f>
        <v>0</v>
      </c>
      <c r="C1010" s="407">
        <v>1</v>
      </c>
      <c r="D1010" s="117">
        <v>0</v>
      </c>
      <c r="E1010" s="117">
        <v>0</v>
      </c>
      <c r="F1010" s="122">
        <v>0</v>
      </c>
      <c r="G1010" s="123">
        <v>0</v>
      </c>
      <c r="H1010" s="122">
        <v>0</v>
      </c>
      <c r="I1010" s="123">
        <v>0</v>
      </c>
      <c r="J1010" s="122">
        <f>IFERROR(Table1[[#This Row],[Holds per Set]]*B1010,0)</f>
        <v>0</v>
      </c>
      <c r="K1010" s="123">
        <v>0</v>
      </c>
      <c r="L1010" s="123">
        <v>0</v>
      </c>
      <c r="M1010" s="122">
        <v>0</v>
      </c>
      <c r="N1010" s="123">
        <v>0</v>
      </c>
      <c r="O1010" s="122">
        <v>0</v>
      </c>
      <c r="P1010" s="123">
        <v>0</v>
      </c>
      <c r="Q1010" s="122">
        <v>0</v>
      </c>
      <c r="R1010" s="123">
        <v>0</v>
      </c>
      <c r="S1010" s="119">
        <v>0</v>
      </c>
      <c r="T1010" s="119">
        <v>0</v>
      </c>
      <c r="U1010" s="119">
        <v>0</v>
      </c>
      <c r="V1010" s="124" t="str">
        <f t="shared" si="105"/>
        <v xml:space="preserve"> </v>
      </c>
    </row>
    <row r="1011" spans="1:22" hidden="1">
      <c r="A1011" s="460" t="s">
        <v>2150</v>
      </c>
      <c r="B1011" s="114">
        <f>_xlfn.IFNA(VLOOKUP(Table1[[#This Row],[SKU]],'Urban Plastix Holds'!$I$36:$L$501,4,0),0)</f>
        <v>0</v>
      </c>
      <c r="C1011" s="407">
        <v>5</v>
      </c>
      <c r="D1011" s="117">
        <f>Table1[[#This Row],[Quantity of Sets]]*3</f>
        <v>0</v>
      </c>
      <c r="E1011" s="117">
        <f>Table1[[#This Row],[Quantity of Sets]]*2</f>
        <v>0</v>
      </c>
      <c r="F1011" s="122">
        <v>0</v>
      </c>
      <c r="G1011" s="123">
        <v>0</v>
      </c>
      <c r="H1011" s="122">
        <v>0</v>
      </c>
      <c r="I1011" s="123">
        <v>0</v>
      </c>
      <c r="J1011" s="122">
        <v>0</v>
      </c>
      <c r="K1011" s="123">
        <v>0</v>
      </c>
      <c r="L1011" s="123">
        <v>0</v>
      </c>
      <c r="M1011" s="122">
        <v>0</v>
      </c>
      <c r="N1011" s="123">
        <v>0</v>
      </c>
      <c r="O1011" s="122">
        <v>0</v>
      </c>
      <c r="P1011" s="123">
        <v>0</v>
      </c>
      <c r="Q1011" s="122">
        <v>0</v>
      </c>
      <c r="R1011" s="123">
        <v>0</v>
      </c>
      <c r="S1011" s="119">
        <v>0</v>
      </c>
      <c r="T1011" s="119">
        <v>0</v>
      </c>
      <c r="U1011" s="119">
        <v>0</v>
      </c>
      <c r="V1011" s="124" t="str">
        <f t="shared" si="105"/>
        <v xml:space="preserve"> </v>
      </c>
    </row>
    <row r="1012" spans="1:22" hidden="1">
      <c r="A1012" s="460" t="s">
        <v>2149</v>
      </c>
      <c r="B1012" s="114">
        <f>_xlfn.IFNA(VLOOKUP(Table1[[#This Row],[SKU]],'Urban Plastix Holds'!$I$36:$L$501,4,0),0)</f>
        <v>0</v>
      </c>
      <c r="C1012" s="407">
        <v>5</v>
      </c>
      <c r="D1012" s="117">
        <v>0</v>
      </c>
      <c r="E1012" s="117">
        <v>0</v>
      </c>
      <c r="F1012" s="122">
        <f>Table1[[#This Row],[Quantity of Sets]]*5</f>
        <v>0</v>
      </c>
      <c r="G1012" s="123">
        <v>0</v>
      </c>
      <c r="H1012" s="122">
        <v>0</v>
      </c>
      <c r="I1012" s="123">
        <v>0</v>
      </c>
      <c r="J1012" s="122">
        <v>0</v>
      </c>
      <c r="K1012" s="123">
        <v>0</v>
      </c>
      <c r="L1012" s="123">
        <v>0</v>
      </c>
      <c r="M1012" s="122">
        <v>0</v>
      </c>
      <c r="N1012" s="123">
        <v>0</v>
      </c>
      <c r="O1012" s="122">
        <v>0</v>
      </c>
      <c r="P1012" s="123">
        <v>0</v>
      </c>
      <c r="Q1012" s="122">
        <v>0</v>
      </c>
      <c r="R1012" s="123">
        <v>0</v>
      </c>
      <c r="S1012" s="119">
        <v>0</v>
      </c>
      <c r="T1012" s="119">
        <v>0</v>
      </c>
      <c r="U1012" s="119">
        <v>0</v>
      </c>
      <c r="V1012" s="124" t="str">
        <f t="shared" si="105"/>
        <v xml:space="preserve"> </v>
      </c>
    </row>
    <row r="1013" spans="1:22" hidden="1">
      <c r="A1013" s="451" t="s">
        <v>1287</v>
      </c>
      <c r="B1013" s="114">
        <f>_xlfn.IFNA(VLOOKUP(Table1[[#This Row],[SKU]],'Urban Plastix Holds'!$I$36:$L$501,4,0),0)</f>
        <v>0</v>
      </c>
      <c r="C1013" s="407">
        <v>1</v>
      </c>
      <c r="D1013" s="117">
        <v>0</v>
      </c>
      <c r="E1013" s="117">
        <v>0</v>
      </c>
      <c r="F1013" s="122">
        <v>0</v>
      </c>
      <c r="G1013" s="123">
        <v>0</v>
      </c>
      <c r="H1013" s="122">
        <v>0</v>
      </c>
      <c r="I1013" s="123">
        <v>0</v>
      </c>
      <c r="J1013" s="122">
        <f>IFERROR(Table1[[#This Row],[Holds per Set]]*B1013,0)</f>
        <v>0</v>
      </c>
      <c r="K1013" s="123">
        <v>0</v>
      </c>
      <c r="L1013" s="123">
        <v>0</v>
      </c>
      <c r="M1013" s="122">
        <v>0</v>
      </c>
      <c r="N1013" s="123">
        <v>0</v>
      </c>
      <c r="O1013" s="122">
        <v>0</v>
      </c>
      <c r="P1013" s="123">
        <v>0</v>
      </c>
      <c r="Q1013" s="122">
        <v>0</v>
      </c>
      <c r="R1013" s="123">
        <v>0</v>
      </c>
      <c r="S1013" s="119">
        <v>0</v>
      </c>
      <c r="T1013" s="119">
        <v>0</v>
      </c>
      <c r="U1013" s="119">
        <v>0</v>
      </c>
      <c r="V1013" s="124" t="str">
        <f t="shared" si="105"/>
        <v xml:space="preserve"> </v>
      </c>
    </row>
    <row r="1014" spans="1:22" hidden="1">
      <c r="A1014" s="451" t="s">
        <v>1234</v>
      </c>
      <c r="B1014" s="114">
        <f>_xlfn.IFNA(VLOOKUP(Table1[[#This Row],[SKU]],'Urban Plastix Holds'!$I$36:$L$501,4,0),0)</f>
        <v>0</v>
      </c>
      <c r="C1014" s="407">
        <v>4</v>
      </c>
      <c r="D1014" s="117">
        <v>0</v>
      </c>
      <c r="E1014" s="117">
        <v>0</v>
      </c>
      <c r="F1014" s="122">
        <v>0</v>
      </c>
      <c r="G1014" s="123">
        <v>0</v>
      </c>
      <c r="H1014" s="122">
        <f>IFERROR(Table1[[#This Row],[Holds per Set]]*B1014,0)</f>
        <v>0</v>
      </c>
      <c r="I1014" s="123">
        <v>0</v>
      </c>
      <c r="J1014" s="122">
        <v>0</v>
      </c>
      <c r="K1014" s="123">
        <v>0</v>
      </c>
      <c r="L1014" s="123">
        <v>0</v>
      </c>
      <c r="M1014" s="122">
        <v>0</v>
      </c>
      <c r="N1014" s="123">
        <v>0</v>
      </c>
      <c r="O1014" s="122">
        <v>0</v>
      </c>
      <c r="P1014" s="123">
        <v>0</v>
      </c>
      <c r="Q1014" s="122">
        <v>0</v>
      </c>
      <c r="R1014" s="123">
        <v>0</v>
      </c>
      <c r="S1014" s="119">
        <v>0</v>
      </c>
      <c r="T1014" s="119">
        <v>0</v>
      </c>
      <c r="U1014" s="119">
        <v>0</v>
      </c>
      <c r="V1014" s="124" t="str">
        <f t="shared" si="105"/>
        <v xml:space="preserve"> </v>
      </c>
    </row>
    <row r="1015" spans="1:22" hidden="1">
      <c r="A1015" s="451" t="s">
        <v>1235</v>
      </c>
      <c r="B1015" s="114">
        <f>_xlfn.IFNA(VLOOKUP(Table1[[#This Row],[SKU]],'Urban Plastix Holds'!$I$36:$L$501,4,0),0)</f>
        <v>0</v>
      </c>
      <c r="C1015" s="407">
        <v>5</v>
      </c>
      <c r="D1015" s="117">
        <v>0</v>
      </c>
      <c r="E1015" s="117">
        <f>1*Table1[[#This Row],[Quantity of Sets]]</f>
        <v>0</v>
      </c>
      <c r="F1015" s="122">
        <f>4*Table1[[#This Row],[Quantity of Sets]]</f>
        <v>0</v>
      </c>
      <c r="G1015" s="123">
        <v>0</v>
      </c>
      <c r="H1015" s="122">
        <v>0</v>
      </c>
      <c r="I1015" s="123">
        <v>0</v>
      </c>
      <c r="J1015" s="122">
        <v>0</v>
      </c>
      <c r="K1015" s="123">
        <v>0</v>
      </c>
      <c r="L1015" s="123">
        <v>0</v>
      </c>
      <c r="M1015" s="122">
        <v>0</v>
      </c>
      <c r="N1015" s="123">
        <v>0</v>
      </c>
      <c r="O1015" s="122">
        <v>0</v>
      </c>
      <c r="P1015" s="123">
        <v>0</v>
      </c>
      <c r="Q1015" s="122">
        <v>0</v>
      </c>
      <c r="R1015" s="123">
        <v>0</v>
      </c>
      <c r="S1015" s="119">
        <v>0</v>
      </c>
      <c r="T1015" s="119">
        <v>0</v>
      </c>
      <c r="U1015" s="119">
        <v>0</v>
      </c>
      <c r="V1015" s="124" t="str">
        <f t="shared" si="105"/>
        <v xml:space="preserve"> </v>
      </c>
    </row>
    <row r="1016" spans="1:22" hidden="1">
      <c r="A1016" s="451" t="s">
        <v>1245</v>
      </c>
      <c r="B1016" s="114">
        <f>_xlfn.IFNA(VLOOKUP(Table1[[#This Row],[SKU]],'Urban Plastix Holds'!$I$36:$L$501,4,0),0)</f>
        <v>0</v>
      </c>
      <c r="C1016" s="407">
        <v>5</v>
      </c>
      <c r="D1016" s="117">
        <v>0</v>
      </c>
      <c r="E1016" s="117">
        <v>0</v>
      </c>
      <c r="F1016" s="122">
        <v>0</v>
      </c>
      <c r="G1016" s="123">
        <v>0</v>
      </c>
      <c r="H1016" s="122">
        <f>IFERROR(Table1[[#This Row],[Holds per Set]]*B1016,0)</f>
        <v>0</v>
      </c>
      <c r="I1016" s="123">
        <v>0</v>
      </c>
      <c r="J1016" s="122">
        <v>0</v>
      </c>
      <c r="K1016" s="123">
        <v>0</v>
      </c>
      <c r="L1016" s="123">
        <v>0</v>
      </c>
      <c r="M1016" s="122">
        <v>0</v>
      </c>
      <c r="N1016" s="123">
        <v>0</v>
      </c>
      <c r="O1016" s="122">
        <v>0</v>
      </c>
      <c r="P1016" s="123">
        <v>0</v>
      </c>
      <c r="Q1016" s="122">
        <v>0</v>
      </c>
      <c r="R1016" s="123">
        <v>0</v>
      </c>
      <c r="S1016" s="119">
        <v>0</v>
      </c>
      <c r="T1016" s="119">
        <v>0</v>
      </c>
      <c r="U1016" s="119">
        <v>0</v>
      </c>
      <c r="V1016" s="124" t="str">
        <f t="shared" si="105"/>
        <v xml:space="preserve"> </v>
      </c>
    </row>
    <row r="1017" spans="1:22" hidden="1">
      <c r="A1017" s="451" t="s">
        <v>1301</v>
      </c>
      <c r="B1017" s="114">
        <f>_xlfn.IFNA(VLOOKUP(Table1[[#This Row],[SKU]],'Urban Plastix Holds'!$I$36:$L$501,4,0),0)</f>
        <v>0</v>
      </c>
      <c r="C1017" s="407">
        <v>3</v>
      </c>
      <c r="D1017" s="117">
        <v>0</v>
      </c>
      <c r="E1017" s="117">
        <v>0</v>
      </c>
      <c r="F1017" s="122">
        <v>0</v>
      </c>
      <c r="G1017" s="123">
        <v>0</v>
      </c>
      <c r="H1017" s="122">
        <f>IFERROR(Table1[[#This Row],[Holds per Set]]*B1017,0)</f>
        <v>0</v>
      </c>
      <c r="I1017" s="123">
        <v>0</v>
      </c>
      <c r="J1017" s="122">
        <v>0</v>
      </c>
      <c r="K1017" s="123">
        <v>0</v>
      </c>
      <c r="L1017" s="123">
        <v>0</v>
      </c>
      <c r="M1017" s="122">
        <v>0</v>
      </c>
      <c r="N1017" s="123">
        <v>0</v>
      </c>
      <c r="O1017" s="122">
        <v>0</v>
      </c>
      <c r="P1017" s="123">
        <v>0</v>
      </c>
      <c r="Q1017" s="122">
        <v>0</v>
      </c>
      <c r="R1017" s="123">
        <v>0</v>
      </c>
      <c r="S1017" s="119">
        <v>0</v>
      </c>
      <c r="T1017" s="119">
        <v>0</v>
      </c>
      <c r="U1017" s="119">
        <v>0</v>
      </c>
      <c r="V1017" s="124" t="str">
        <f t="shared" si="105"/>
        <v xml:space="preserve"> </v>
      </c>
    </row>
    <row r="1018" spans="1:22" hidden="1">
      <c r="A1018" s="451" t="s">
        <v>1302</v>
      </c>
      <c r="B1018" s="114">
        <f>_xlfn.IFNA(VLOOKUP(Table1[[#This Row],[SKU]],'Urban Plastix Holds'!$I$36:$L$501,4,0),0)</f>
        <v>0</v>
      </c>
      <c r="C1018" s="407">
        <v>2</v>
      </c>
      <c r="D1018" s="117">
        <v>0</v>
      </c>
      <c r="E1018" s="117">
        <v>0</v>
      </c>
      <c r="F1018" s="122">
        <v>0</v>
      </c>
      <c r="G1018" s="123">
        <v>0</v>
      </c>
      <c r="H1018" s="122">
        <f>IFERROR(Table1[[#This Row],[Holds per Set]]*B1018,0)</f>
        <v>0</v>
      </c>
      <c r="I1018" s="123">
        <v>0</v>
      </c>
      <c r="J1018" s="122">
        <v>0</v>
      </c>
      <c r="K1018" s="123">
        <v>0</v>
      </c>
      <c r="L1018" s="123">
        <v>0</v>
      </c>
      <c r="M1018" s="122">
        <v>0</v>
      </c>
      <c r="N1018" s="123">
        <v>0</v>
      </c>
      <c r="O1018" s="122">
        <v>0</v>
      </c>
      <c r="P1018" s="123">
        <v>0</v>
      </c>
      <c r="Q1018" s="122">
        <v>0</v>
      </c>
      <c r="R1018" s="123">
        <v>0</v>
      </c>
      <c r="S1018" s="119">
        <v>0</v>
      </c>
      <c r="T1018" s="119">
        <v>0</v>
      </c>
      <c r="U1018" s="119">
        <v>0</v>
      </c>
      <c r="V1018" s="124" t="str">
        <f t="shared" si="105"/>
        <v xml:space="preserve"> </v>
      </c>
    </row>
    <row r="1019" spans="1:22" hidden="1">
      <c r="A1019" s="451" t="s">
        <v>1303</v>
      </c>
      <c r="B1019" s="114">
        <f>_xlfn.IFNA(VLOOKUP(Table1[[#This Row],[SKU]],'Urban Plastix Holds'!$I$36:$L$501,4,0),0)</f>
        <v>0</v>
      </c>
      <c r="C1019" s="407">
        <v>5</v>
      </c>
      <c r="D1019" s="117">
        <v>0</v>
      </c>
      <c r="E1019" s="117">
        <v>0</v>
      </c>
      <c r="F1019" s="122">
        <v>0</v>
      </c>
      <c r="G1019" s="123">
        <v>0</v>
      </c>
      <c r="H1019" s="122">
        <f>IFERROR(Table1[[#This Row],[Holds per Set]]*B1019,0)</f>
        <v>0</v>
      </c>
      <c r="I1019" s="123">
        <v>0</v>
      </c>
      <c r="J1019" s="122">
        <v>0</v>
      </c>
      <c r="K1019" s="123">
        <v>0</v>
      </c>
      <c r="L1019" s="123">
        <v>0</v>
      </c>
      <c r="M1019" s="122">
        <v>0</v>
      </c>
      <c r="N1019" s="123">
        <v>0</v>
      </c>
      <c r="O1019" s="122">
        <v>0</v>
      </c>
      <c r="P1019" s="123">
        <v>0</v>
      </c>
      <c r="Q1019" s="122">
        <v>0</v>
      </c>
      <c r="R1019" s="123">
        <v>0</v>
      </c>
      <c r="S1019" s="119">
        <v>0</v>
      </c>
      <c r="T1019" s="119">
        <v>0</v>
      </c>
      <c r="U1019" s="119">
        <v>0</v>
      </c>
      <c r="V1019" s="124" t="str">
        <f t="shared" si="105"/>
        <v xml:space="preserve"> </v>
      </c>
    </row>
    <row r="1020" spans="1:22" hidden="1">
      <c r="A1020" s="451" t="s">
        <v>1257</v>
      </c>
      <c r="B1020" s="114">
        <f>_xlfn.IFNA(VLOOKUP(Table1[[#This Row],[SKU]],'Urban Plastix Holds'!$I$36:$L$501,4,0),0)</f>
        <v>0</v>
      </c>
      <c r="C1020" s="407">
        <v>5</v>
      </c>
      <c r="D1020" s="117">
        <v>0</v>
      </c>
      <c r="E1020" s="117">
        <v>0</v>
      </c>
      <c r="F1020" s="122">
        <v>0</v>
      </c>
      <c r="G1020" s="123">
        <v>0</v>
      </c>
      <c r="H1020" s="122">
        <f>IFERROR(Table1[[#This Row],[Holds per Set]]*B1020,0)</f>
        <v>0</v>
      </c>
      <c r="I1020" s="123">
        <v>0</v>
      </c>
      <c r="J1020" s="122">
        <v>0</v>
      </c>
      <c r="K1020" s="123">
        <v>0</v>
      </c>
      <c r="L1020" s="123">
        <v>0</v>
      </c>
      <c r="M1020" s="122">
        <v>0</v>
      </c>
      <c r="N1020" s="123">
        <v>0</v>
      </c>
      <c r="O1020" s="122">
        <v>0</v>
      </c>
      <c r="P1020" s="123">
        <v>0</v>
      </c>
      <c r="Q1020" s="122">
        <v>0</v>
      </c>
      <c r="R1020" s="123">
        <v>0</v>
      </c>
      <c r="S1020" s="119">
        <v>0</v>
      </c>
      <c r="T1020" s="119">
        <v>0</v>
      </c>
      <c r="U1020" s="119">
        <v>0</v>
      </c>
      <c r="V1020" s="124" t="str">
        <f t="shared" si="105"/>
        <v xml:space="preserve"> </v>
      </c>
    </row>
    <row r="1021" spans="1:22" hidden="1">
      <c r="A1021" s="451" t="s">
        <v>1304</v>
      </c>
      <c r="B1021" s="114">
        <f>_xlfn.IFNA(VLOOKUP(Table1[[#This Row],[SKU]],'Urban Plastix Holds'!$I$36:$L$501,4,0),0)</f>
        <v>0</v>
      </c>
      <c r="C1021" s="407">
        <v>6</v>
      </c>
      <c r="D1021" s="117">
        <v>0</v>
      </c>
      <c r="E1021" s="117">
        <v>0</v>
      </c>
      <c r="F1021" s="122">
        <v>0</v>
      </c>
      <c r="G1021" s="123">
        <v>0</v>
      </c>
      <c r="H1021" s="122">
        <f>IFERROR(Table1[[#This Row],[Holds per Set]]*B1021,0)</f>
        <v>0</v>
      </c>
      <c r="I1021" s="123">
        <v>0</v>
      </c>
      <c r="J1021" s="122">
        <v>0</v>
      </c>
      <c r="K1021" s="123">
        <v>0</v>
      </c>
      <c r="L1021" s="123">
        <v>0</v>
      </c>
      <c r="M1021" s="122">
        <v>0</v>
      </c>
      <c r="N1021" s="123">
        <v>0</v>
      </c>
      <c r="O1021" s="122">
        <v>0</v>
      </c>
      <c r="P1021" s="123">
        <v>0</v>
      </c>
      <c r="Q1021" s="122">
        <v>0</v>
      </c>
      <c r="R1021" s="123">
        <v>0</v>
      </c>
      <c r="S1021" s="119">
        <v>0</v>
      </c>
      <c r="T1021" s="119">
        <v>0</v>
      </c>
      <c r="U1021" s="119">
        <v>0</v>
      </c>
      <c r="V1021" s="124" t="str">
        <f t="shared" si="105"/>
        <v xml:space="preserve"> </v>
      </c>
    </row>
    <row r="1022" spans="1:22" hidden="1">
      <c r="A1022" s="451" t="s">
        <v>1324</v>
      </c>
      <c r="B1022" s="114">
        <f>_xlfn.IFNA(VLOOKUP(Table1[[#This Row],[SKU]],'Urban Plastix Holds'!$I$36:$L$501,4,0),0)</f>
        <v>0</v>
      </c>
      <c r="C1022" s="407">
        <v>4</v>
      </c>
      <c r="D1022" s="117">
        <v>0</v>
      </c>
      <c r="E1022" s="117">
        <v>0</v>
      </c>
      <c r="F1022" s="122">
        <v>0</v>
      </c>
      <c r="G1022" s="123">
        <v>0</v>
      </c>
      <c r="H1022" s="122">
        <f>IFERROR(Table1[[#This Row],[Holds per Set]]*B1022,0)</f>
        <v>0</v>
      </c>
      <c r="I1022" s="123">
        <v>0</v>
      </c>
      <c r="J1022" s="122">
        <v>0</v>
      </c>
      <c r="K1022" s="123">
        <v>0</v>
      </c>
      <c r="L1022" s="123">
        <v>0</v>
      </c>
      <c r="M1022" s="122">
        <v>0</v>
      </c>
      <c r="N1022" s="123">
        <v>0</v>
      </c>
      <c r="O1022" s="122">
        <v>0</v>
      </c>
      <c r="P1022" s="123">
        <v>0</v>
      </c>
      <c r="Q1022" s="122">
        <v>0</v>
      </c>
      <c r="R1022" s="123">
        <v>0</v>
      </c>
      <c r="S1022" s="119">
        <v>0</v>
      </c>
      <c r="T1022" s="119">
        <v>0</v>
      </c>
      <c r="U1022" s="119">
        <v>0</v>
      </c>
      <c r="V1022" s="124" t="str">
        <f t="shared" si="105"/>
        <v xml:space="preserve"> </v>
      </c>
    </row>
    <row r="1023" spans="1:22" hidden="1">
      <c r="A1023" s="451" t="s">
        <v>1230</v>
      </c>
      <c r="B1023" s="114">
        <f>_xlfn.IFNA(VLOOKUP(Table1[[#This Row],[SKU]],'Urban Plastix Holds'!$I$36:$L$501,4,0),0)</f>
        <v>0</v>
      </c>
      <c r="C1023" s="407">
        <v>5</v>
      </c>
      <c r="D1023" s="117">
        <v>0</v>
      </c>
      <c r="E1023" s="117">
        <f>IFERROR(Table1[[#This Row],[Holds per Set]]*B1023,0)</f>
        <v>0</v>
      </c>
      <c r="F1023" s="122">
        <v>0</v>
      </c>
      <c r="G1023" s="123">
        <v>0</v>
      </c>
      <c r="H1023" s="122">
        <v>0</v>
      </c>
      <c r="I1023" s="123">
        <v>0</v>
      </c>
      <c r="J1023" s="122">
        <v>0</v>
      </c>
      <c r="K1023" s="123">
        <v>0</v>
      </c>
      <c r="L1023" s="123">
        <v>0</v>
      </c>
      <c r="M1023" s="122">
        <v>0</v>
      </c>
      <c r="N1023" s="123">
        <v>0</v>
      </c>
      <c r="O1023" s="122">
        <v>0</v>
      </c>
      <c r="P1023" s="123">
        <v>0</v>
      </c>
      <c r="Q1023" s="122">
        <v>0</v>
      </c>
      <c r="R1023" s="123">
        <v>0</v>
      </c>
      <c r="S1023" s="119">
        <v>0</v>
      </c>
      <c r="T1023" s="119">
        <v>0</v>
      </c>
      <c r="U1023" s="119">
        <v>0</v>
      </c>
      <c r="V1023" s="124" t="str">
        <f t="shared" si="105"/>
        <v xml:space="preserve"> </v>
      </c>
    </row>
    <row r="1024" spans="1:22" hidden="1">
      <c r="A1024" s="451" t="s">
        <v>1256</v>
      </c>
      <c r="B1024" s="114">
        <f>_xlfn.IFNA(VLOOKUP(Table1[[#This Row],[SKU]],'Urban Plastix Holds'!$I$36:$L$501,4,0),0)</f>
        <v>0</v>
      </c>
      <c r="C1024" s="407">
        <v>5</v>
      </c>
      <c r="D1024" s="117">
        <v>0</v>
      </c>
      <c r="E1024" s="117">
        <f>IFERROR(Table1[[#This Row],[Holds per Set]]*B1024,0)</f>
        <v>0</v>
      </c>
      <c r="F1024" s="122">
        <v>0</v>
      </c>
      <c r="G1024" s="123">
        <v>0</v>
      </c>
      <c r="H1024" s="122">
        <v>0</v>
      </c>
      <c r="I1024" s="123">
        <v>0</v>
      </c>
      <c r="J1024" s="122">
        <v>0</v>
      </c>
      <c r="K1024" s="123">
        <v>0</v>
      </c>
      <c r="L1024" s="123">
        <v>0</v>
      </c>
      <c r="M1024" s="122">
        <v>0</v>
      </c>
      <c r="N1024" s="123">
        <v>0</v>
      </c>
      <c r="O1024" s="122">
        <v>0</v>
      </c>
      <c r="P1024" s="123">
        <v>0</v>
      </c>
      <c r="Q1024" s="122">
        <v>0</v>
      </c>
      <c r="R1024" s="123">
        <v>0</v>
      </c>
      <c r="S1024" s="119">
        <v>0</v>
      </c>
      <c r="T1024" s="119">
        <v>0</v>
      </c>
      <c r="U1024" s="119">
        <v>0</v>
      </c>
      <c r="V1024" s="124" t="str">
        <f t="shared" si="105"/>
        <v xml:space="preserve"> </v>
      </c>
    </row>
    <row r="1025" spans="1:22" hidden="1">
      <c r="A1025" s="451" t="s">
        <v>1290</v>
      </c>
      <c r="B1025" s="114">
        <f>_xlfn.IFNA(VLOOKUP(Table1[[#This Row],[SKU]],'Urban Plastix Holds'!$I$36:$L$501,4,0),0)</f>
        <v>0</v>
      </c>
      <c r="C1025" s="407">
        <v>10</v>
      </c>
      <c r="D1025" s="117">
        <v>0</v>
      </c>
      <c r="E1025" s="117">
        <f>IFERROR(Table1[[#This Row],[Holds per Set]]*B1025,0)</f>
        <v>0</v>
      </c>
      <c r="F1025" s="122">
        <v>0</v>
      </c>
      <c r="G1025" s="123">
        <v>0</v>
      </c>
      <c r="H1025" s="122">
        <v>0</v>
      </c>
      <c r="I1025" s="123">
        <v>0</v>
      </c>
      <c r="J1025" s="122">
        <v>0</v>
      </c>
      <c r="K1025" s="123">
        <v>0</v>
      </c>
      <c r="L1025" s="123">
        <v>0</v>
      </c>
      <c r="M1025" s="122">
        <v>0</v>
      </c>
      <c r="N1025" s="123">
        <v>0</v>
      </c>
      <c r="O1025" s="122">
        <v>0</v>
      </c>
      <c r="P1025" s="123">
        <v>0</v>
      </c>
      <c r="Q1025" s="122">
        <v>0</v>
      </c>
      <c r="R1025" s="123">
        <v>0</v>
      </c>
      <c r="S1025" s="119">
        <v>0</v>
      </c>
      <c r="T1025" s="119">
        <v>0</v>
      </c>
      <c r="U1025" s="119">
        <v>0</v>
      </c>
      <c r="V1025" s="124" t="str">
        <f t="shared" si="105"/>
        <v xml:space="preserve"> </v>
      </c>
    </row>
    <row r="1026" spans="1:22" hidden="1">
      <c r="A1026" s="451" t="s">
        <v>1241</v>
      </c>
      <c r="B1026" s="114">
        <f>_xlfn.IFNA(VLOOKUP(Table1[[#This Row],[SKU]],'Urban Plastix Holds'!$I$36:$L$501,4,0),0)</f>
        <v>0</v>
      </c>
      <c r="C1026" s="407">
        <v>5</v>
      </c>
      <c r="D1026" s="117">
        <v>0</v>
      </c>
      <c r="E1026" s="117">
        <f>IFERROR(Table1[[#This Row],[Holds per Set]]*B1026,0)</f>
        <v>0</v>
      </c>
      <c r="F1026" s="122">
        <v>0</v>
      </c>
      <c r="G1026" s="123">
        <v>0</v>
      </c>
      <c r="H1026" s="122">
        <v>0</v>
      </c>
      <c r="I1026" s="123">
        <v>0</v>
      </c>
      <c r="J1026" s="122">
        <v>0</v>
      </c>
      <c r="K1026" s="123">
        <v>0</v>
      </c>
      <c r="L1026" s="123">
        <v>0</v>
      </c>
      <c r="M1026" s="122">
        <v>0</v>
      </c>
      <c r="N1026" s="123">
        <v>0</v>
      </c>
      <c r="O1026" s="122">
        <v>0</v>
      </c>
      <c r="P1026" s="123">
        <v>0</v>
      </c>
      <c r="Q1026" s="122">
        <v>0</v>
      </c>
      <c r="R1026" s="123">
        <v>0</v>
      </c>
      <c r="S1026" s="119">
        <v>0</v>
      </c>
      <c r="T1026" s="119">
        <v>0</v>
      </c>
      <c r="U1026" s="119">
        <v>0</v>
      </c>
      <c r="V1026" s="124" t="str">
        <f t="shared" si="105"/>
        <v xml:space="preserve"> </v>
      </c>
    </row>
    <row r="1027" spans="1:22" hidden="1">
      <c r="A1027" s="460" t="s">
        <v>2115</v>
      </c>
      <c r="B1027" s="114">
        <f>_xlfn.IFNA(VLOOKUP(Table1[[#This Row],[SKU]],'Urban Plastix Holds'!$I$36:$L$501,4,0),0)</f>
        <v>0</v>
      </c>
      <c r="C1027" s="407">
        <v>1</v>
      </c>
      <c r="D1027" s="117">
        <v>0</v>
      </c>
      <c r="E1027" s="117">
        <f>1*Table1[[#This Row],[Quantity of Sets]]</f>
        <v>0</v>
      </c>
      <c r="F1027" s="122">
        <v>0</v>
      </c>
      <c r="G1027" s="123">
        <v>0</v>
      </c>
      <c r="H1027" s="122">
        <v>0</v>
      </c>
      <c r="I1027" s="123">
        <v>0</v>
      </c>
      <c r="J1027" s="122">
        <v>0</v>
      </c>
      <c r="K1027" s="123">
        <v>0</v>
      </c>
      <c r="L1027" s="123">
        <v>0</v>
      </c>
      <c r="M1027" s="122">
        <v>0</v>
      </c>
      <c r="N1027" s="123">
        <v>0</v>
      </c>
      <c r="O1027" s="122">
        <v>0</v>
      </c>
      <c r="P1027" s="123">
        <v>0</v>
      </c>
      <c r="Q1027" s="122">
        <v>0</v>
      </c>
      <c r="R1027" s="123">
        <v>0</v>
      </c>
      <c r="S1027" s="119">
        <v>0</v>
      </c>
      <c r="T1027" s="119">
        <v>0</v>
      </c>
      <c r="U1027" s="119">
        <v>0</v>
      </c>
      <c r="V1027" s="124" t="str">
        <f>IF(B1027&gt;0,"Added"," ")</f>
        <v xml:space="preserve"> </v>
      </c>
    </row>
    <row r="1028" spans="1:22" hidden="1">
      <c r="A1028" s="451" t="s">
        <v>1293</v>
      </c>
      <c r="B1028" s="114">
        <f>_xlfn.IFNA(VLOOKUP(Table1[[#This Row],[SKU]],'Urban Plastix Holds'!$I$36:$L$501,4,0),0)</f>
        <v>0</v>
      </c>
      <c r="C1028" s="407">
        <v>5</v>
      </c>
      <c r="D1028" s="117">
        <v>0</v>
      </c>
      <c r="E1028" s="117">
        <f>IFERROR(Table1[[#This Row],[Holds per Set]]*B1028,0)</f>
        <v>0</v>
      </c>
      <c r="F1028" s="122">
        <v>0</v>
      </c>
      <c r="G1028" s="123">
        <v>0</v>
      </c>
      <c r="H1028" s="122">
        <v>0</v>
      </c>
      <c r="I1028" s="123">
        <v>0</v>
      </c>
      <c r="J1028" s="122">
        <v>0</v>
      </c>
      <c r="K1028" s="123">
        <v>0</v>
      </c>
      <c r="L1028" s="123">
        <v>0</v>
      </c>
      <c r="M1028" s="122">
        <v>0</v>
      </c>
      <c r="N1028" s="123">
        <v>0</v>
      </c>
      <c r="O1028" s="122">
        <v>0</v>
      </c>
      <c r="P1028" s="123">
        <v>0</v>
      </c>
      <c r="Q1028" s="122">
        <v>0</v>
      </c>
      <c r="R1028" s="123">
        <v>0</v>
      </c>
      <c r="S1028" s="119">
        <v>0</v>
      </c>
      <c r="T1028" s="119">
        <v>0</v>
      </c>
      <c r="U1028" s="119">
        <v>0</v>
      </c>
      <c r="V1028" s="124" t="str">
        <f t="shared" si="105"/>
        <v xml:space="preserve"> </v>
      </c>
    </row>
    <row r="1029" spans="1:22" hidden="1">
      <c r="A1029" s="451" t="s">
        <v>1294</v>
      </c>
      <c r="B1029" s="114">
        <f>_xlfn.IFNA(VLOOKUP(Table1[[#This Row],[SKU]],'Urban Plastix Holds'!$I$36:$L$501,4,0),0)</f>
        <v>0</v>
      </c>
      <c r="C1029" s="407">
        <v>5</v>
      </c>
      <c r="D1029" s="117">
        <v>0</v>
      </c>
      <c r="E1029" s="117">
        <f>IFERROR(Table1[[#This Row],[Holds per Set]]*B1029,0)</f>
        <v>0</v>
      </c>
      <c r="F1029" s="122">
        <v>0</v>
      </c>
      <c r="G1029" s="123">
        <v>0</v>
      </c>
      <c r="H1029" s="122">
        <v>0</v>
      </c>
      <c r="I1029" s="123">
        <v>0</v>
      </c>
      <c r="J1029" s="122">
        <v>0</v>
      </c>
      <c r="K1029" s="123">
        <v>0</v>
      </c>
      <c r="L1029" s="123">
        <v>0</v>
      </c>
      <c r="M1029" s="122">
        <v>0</v>
      </c>
      <c r="N1029" s="123">
        <v>0</v>
      </c>
      <c r="O1029" s="122">
        <v>0</v>
      </c>
      <c r="P1029" s="123">
        <v>0</v>
      </c>
      <c r="Q1029" s="122">
        <v>0</v>
      </c>
      <c r="R1029" s="123">
        <v>0</v>
      </c>
      <c r="S1029" s="119">
        <v>0</v>
      </c>
      <c r="T1029" s="119">
        <v>0</v>
      </c>
      <c r="U1029" s="119">
        <v>0</v>
      </c>
      <c r="V1029" s="124" t="str">
        <f t="shared" si="105"/>
        <v xml:space="preserve"> </v>
      </c>
    </row>
    <row r="1030" spans="1:22" hidden="1">
      <c r="A1030" s="451" t="s">
        <v>1244</v>
      </c>
      <c r="B1030" s="114">
        <f>_xlfn.IFNA(VLOOKUP(Table1[[#This Row],[SKU]],'Urban Plastix Holds'!$I$36:$L$501,4,0),0)</f>
        <v>0</v>
      </c>
      <c r="C1030" s="407">
        <v>5</v>
      </c>
      <c r="D1030" s="117">
        <v>0</v>
      </c>
      <c r="E1030" s="117">
        <f>IFERROR(Table1[[#This Row],[Holds per Set]]*B1030,0)</f>
        <v>0</v>
      </c>
      <c r="F1030" s="122">
        <v>0</v>
      </c>
      <c r="G1030" s="123">
        <v>0</v>
      </c>
      <c r="H1030" s="122">
        <v>0</v>
      </c>
      <c r="I1030" s="123">
        <v>0</v>
      </c>
      <c r="J1030" s="122">
        <v>0</v>
      </c>
      <c r="K1030" s="123">
        <v>0</v>
      </c>
      <c r="L1030" s="123">
        <v>0</v>
      </c>
      <c r="M1030" s="122">
        <v>0</v>
      </c>
      <c r="N1030" s="123">
        <v>0</v>
      </c>
      <c r="O1030" s="122">
        <v>0</v>
      </c>
      <c r="P1030" s="123">
        <v>0</v>
      </c>
      <c r="Q1030" s="122">
        <v>0</v>
      </c>
      <c r="R1030" s="123">
        <v>0</v>
      </c>
      <c r="S1030" s="119">
        <v>0</v>
      </c>
      <c r="T1030" s="119">
        <v>0</v>
      </c>
      <c r="U1030" s="119">
        <v>0</v>
      </c>
      <c r="V1030" s="124" t="str">
        <f t="shared" si="105"/>
        <v xml:space="preserve"> </v>
      </c>
    </row>
    <row r="1031" spans="1:22" hidden="1">
      <c r="A1031" s="451" t="s">
        <v>1305</v>
      </c>
      <c r="B1031" s="114">
        <f>_xlfn.IFNA(VLOOKUP(Table1[[#This Row],[SKU]],'Urban Plastix Holds'!$I$36:$L$501,4,0),0)</f>
        <v>0</v>
      </c>
      <c r="C1031" s="407">
        <v>5</v>
      </c>
      <c r="D1031" s="117">
        <v>0</v>
      </c>
      <c r="E1031" s="117">
        <f>IFERROR(Table1[[#This Row],[Holds per Set]]*B1031,0)</f>
        <v>0</v>
      </c>
      <c r="F1031" s="122">
        <v>0</v>
      </c>
      <c r="G1031" s="123">
        <v>0</v>
      </c>
      <c r="H1031" s="122">
        <v>0</v>
      </c>
      <c r="I1031" s="123">
        <v>0</v>
      </c>
      <c r="J1031" s="122">
        <v>0</v>
      </c>
      <c r="K1031" s="123">
        <v>0</v>
      </c>
      <c r="L1031" s="123">
        <v>0</v>
      </c>
      <c r="M1031" s="122">
        <v>0</v>
      </c>
      <c r="N1031" s="123">
        <v>0</v>
      </c>
      <c r="O1031" s="122">
        <v>0</v>
      </c>
      <c r="P1031" s="123">
        <v>0</v>
      </c>
      <c r="Q1031" s="122">
        <v>0</v>
      </c>
      <c r="R1031" s="123">
        <v>0</v>
      </c>
      <c r="S1031" s="119">
        <v>0</v>
      </c>
      <c r="T1031" s="119">
        <v>0</v>
      </c>
      <c r="U1031" s="119">
        <v>0</v>
      </c>
      <c r="V1031" s="124" t="str">
        <f t="shared" si="105"/>
        <v xml:space="preserve"> </v>
      </c>
    </row>
    <row r="1032" spans="1:22" hidden="1">
      <c r="A1032" s="451" t="s">
        <v>1273</v>
      </c>
      <c r="B1032" s="114">
        <f>_xlfn.IFNA(VLOOKUP(Table1[[#This Row],[SKU]],'Urban Plastix Holds'!$I$36:$L$501,4,0),0)</f>
        <v>0</v>
      </c>
      <c r="C1032" s="407">
        <v>5</v>
      </c>
      <c r="D1032" s="117">
        <v>0</v>
      </c>
      <c r="E1032" s="117">
        <f>IFERROR(Table1[[#This Row],[Holds per Set]]*B1032,0)</f>
        <v>0</v>
      </c>
      <c r="F1032" s="122">
        <v>0</v>
      </c>
      <c r="G1032" s="123">
        <v>0</v>
      </c>
      <c r="H1032" s="122">
        <v>0</v>
      </c>
      <c r="I1032" s="123">
        <v>0</v>
      </c>
      <c r="J1032" s="122">
        <v>0</v>
      </c>
      <c r="K1032" s="123">
        <v>0</v>
      </c>
      <c r="L1032" s="123">
        <v>0</v>
      </c>
      <c r="M1032" s="122">
        <v>0</v>
      </c>
      <c r="N1032" s="123">
        <v>0</v>
      </c>
      <c r="O1032" s="122">
        <v>0</v>
      </c>
      <c r="P1032" s="123">
        <v>0</v>
      </c>
      <c r="Q1032" s="122">
        <v>0</v>
      </c>
      <c r="R1032" s="123">
        <v>0</v>
      </c>
      <c r="S1032" s="119">
        <v>0</v>
      </c>
      <c r="T1032" s="119">
        <v>0</v>
      </c>
      <c r="U1032" s="119">
        <v>0</v>
      </c>
      <c r="V1032" s="124" t="str">
        <f t="shared" si="105"/>
        <v xml:space="preserve"> </v>
      </c>
    </row>
    <row r="1033" spans="1:22" hidden="1">
      <c r="A1033" s="451" t="s">
        <v>1258</v>
      </c>
      <c r="B1033" s="114">
        <f>_xlfn.IFNA(VLOOKUP(Table1[[#This Row],[SKU]],'Urban Plastix Holds'!$I$36:$L$501,4,0),0)</f>
        <v>0</v>
      </c>
      <c r="C1033" s="407">
        <v>5</v>
      </c>
      <c r="D1033" s="117">
        <v>0</v>
      </c>
      <c r="E1033" s="117">
        <f>IFERROR(Table1[[#This Row],[Holds per Set]]*B1033,0)</f>
        <v>0</v>
      </c>
      <c r="F1033" s="122">
        <v>0</v>
      </c>
      <c r="G1033" s="123">
        <v>0</v>
      </c>
      <c r="H1033" s="122">
        <v>0</v>
      </c>
      <c r="I1033" s="123">
        <v>0</v>
      </c>
      <c r="J1033" s="122">
        <v>0</v>
      </c>
      <c r="K1033" s="123">
        <v>0</v>
      </c>
      <c r="L1033" s="123">
        <v>0</v>
      </c>
      <c r="M1033" s="122">
        <v>0</v>
      </c>
      <c r="N1033" s="123">
        <v>0</v>
      </c>
      <c r="O1033" s="122">
        <v>0</v>
      </c>
      <c r="P1033" s="123">
        <v>0</v>
      </c>
      <c r="Q1033" s="122">
        <v>0</v>
      </c>
      <c r="R1033" s="123">
        <v>0</v>
      </c>
      <c r="S1033" s="119">
        <v>0</v>
      </c>
      <c r="T1033" s="119">
        <v>0</v>
      </c>
      <c r="U1033" s="119">
        <v>0</v>
      </c>
      <c r="V1033" s="124" t="str">
        <f t="shared" si="105"/>
        <v xml:space="preserve"> </v>
      </c>
    </row>
    <row r="1034" spans="1:22" hidden="1">
      <c r="A1034" s="451" t="s">
        <v>1236</v>
      </c>
      <c r="B1034" s="114">
        <f>_xlfn.IFNA(VLOOKUP(Table1[[#This Row],[SKU]],'Urban Plastix Holds'!$I$36:$L$501,4,0),0)</f>
        <v>0</v>
      </c>
      <c r="C1034" s="407">
        <v>5</v>
      </c>
      <c r="D1034" s="117">
        <f>IFERROR(Table1[[#This Row],[Holds per Set]]*B1034,0)</f>
        <v>0</v>
      </c>
      <c r="E1034" s="117">
        <v>0</v>
      </c>
      <c r="F1034" s="122">
        <v>0</v>
      </c>
      <c r="G1034" s="123">
        <v>0</v>
      </c>
      <c r="H1034" s="122">
        <v>0</v>
      </c>
      <c r="I1034" s="123">
        <v>0</v>
      </c>
      <c r="J1034" s="122">
        <v>0</v>
      </c>
      <c r="K1034" s="123">
        <v>0</v>
      </c>
      <c r="L1034" s="123">
        <v>0</v>
      </c>
      <c r="M1034" s="122">
        <v>0</v>
      </c>
      <c r="N1034" s="123">
        <v>0</v>
      </c>
      <c r="O1034" s="122">
        <v>0</v>
      </c>
      <c r="P1034" s="123">
        <v>0</v>
      </c>
      <c r="Q1034" s="122">
        <v>0</v>
      </c>
      <c r="R1034" s="123">
        <v>0</v>
      </c>
      <c r="S1034" s="119">
        <v>0</v>
      </c>
      <c r="T1034" s="119">
        <v>0</v>
      </c>
      <c r="U1034" s="119">
        <v>0</v>
      </c>
      <c r="V1034" s="124" t="str">
        <f t="shared" si="105"/>
        <v xml:space="preserve"> </v>
      </c>
    </row>
    <row r="1035" spans="1:22" hidden="1">
      <c r="A1035" s="451" t="s">
        <v>1237</v>
      </c>
      <c r="B1035" s="114">
        <f>_xlfn.IFNA(VLOOKUP(Table1[[#This Row],[SKU]],'Urban Plastix Holds'!$I$36:$L$501,4,0),0)</f>
        <v>0</v>
      </c>
      <c r="C1035" s="407">
        <v>5</v>
      </c>
      <c r="D1035" s="117">
        <f>IFERROR(Table1[[#This Row],[Holds per Set]]*B1035,0)</f>
        <v>0</v>
      </c>
      <c r="E1035" s="117">
        <v>0</v>
      </c>
      <c r="F1035" s="122">
        <v>0</v>
      </c>
      <c r="G1035" s="123">
        <v>0</v>
      </c>
      <c r="H1035" s="122">
        <v>0</v>
      </c>
      <c r="I1035" s="123">
        <v>0</v>
      </c>
      <c r="J1035" s="122">
        <v>0</v>
      </c>
      <c r="K1035" s="123">
        <v>0</v>
      </c>
      <c r="L1035" s="123">
        <v>0</v>
      </c>
      <c r="M1035" s="122">
        <v>0</v>
      </c>
      <c r="N1035" s="123">
        <v>0</v>
      </c>
      <c r="O1035" s="122">
        <v>0</v>
      </c>
      <c r="P1035" s="123">
        <v>0</v>
      </c>
      <c r="Q1035" s="122">
        <v>0</v>
      </c>
      <c r="R1035" s="123">
        <v>0</v>
      </c>
      <c r="S1035" s="119">
        <v>0</v>
      </c>
      <c r="T1035" s="119">
        <v>0</v>
      </c>
      <c r="U1035" s="119">
        <v>0</v>
      </c>
      <c r="V1035" s="124" t="str">
        <f t="shared" si="105"/>
        <v xml:space="preserve"> </v>
      </c>
    </row>
    <row r="1036" spans="1:22" hidden="1">
      <c r="A1036" s="451" t="s">
        <v>1238</v>
      </c>
      <c r="B1036" s="114">
        <f>_xlfn.IFNA(VLOOKUP(Table1[[#This Row],[SKU]],'Urban Plastix Holds'!$I$36:$L$501,4,0),0)</f>
        <v>0</v>
      </c>
      <c r="C1036" s="407">
        <v>5</v>
      </c>
      <c r="D1036" s="117">
        <f>IFERROR(Table1[[#This Row],[Holds per Set]]*B1036,0)</f>
        <v>0</v>
      </c>
      <c r="E1036" s="117">
        <v>0</v>
      </c>
      <c r="F1036" s="122">
        <v>0</v>
      </c>
      <c r="G1036" s="123">
        <v>0</v>
      </c>
      <c r="H1036" s="122">
        <v>0</v>
      </c>
      <c r="I1036" s="123">
        <v>0</v>
      </c>
      <c r="J1036" s="122">
        <v>0</v>
      </c>
      <c r="K1036" s="123">
        <v>0</v>
      </c>
      <c r="L1036" s="123">
        <v>0</v>
      </c>
      <c r="M1036" s="122">
        <v>0</v>
      </c>
      <c r="N1036" s="123">
        <v>0</v>
      </c>
      <c r="O1036" s="122">
        <v>0</v>
      </c>
      <c r="P1036" s="123">
        <v>0</v>
      </c>
      <c r="Q1036" s="122">
        <v>0</v>
      </c>
      <c r="R1036" s="123">
        <v>0</v>
      </c>
      <c r="S1036" s="119">
        <v>0</v>
      </c>
      <c r="T1036" s="119">
        <v>0</v>
      </c>
      <c r="U1036" s="119">
        <v>0</v>
      </c>
      <c r="V1036" s="124" t="str">
        <f t="shared" si="105"/>
        <v xml:space="preserve"> </v>
      </c>
    </row>
    <row r="1037" spans="1:22" hidden="1">
      <c r="A1037" s="451" t="s">
        <v>1239</v>
      </c>
      <c r="B1037" s="114">
        <f>_xlfn.IFNA(VLOOKUP(Table1[[#This Row],[SKU]],'Urban Plastix Holds'!$I$36:$L$501,4,0),0)</f>
        <v>0</v>
      </c>
      <c r="C1037" s="407">
        <v>10</v>
      </c>
      <c r="D1037" s="117">
        <f>IFERROR(Table1[[#This Row],[Holds per Set]]*B1037,0)</f>
        <v>0</v>
      </c>
      <c r="E1037" s="117">
        <v>0</v>
      </c>
      <c r="F1037" s="122">
        <v>0</v>
      </c>
      <c r="G1037" s="123">
        <v>0</v>
      </c>
      <c r="H1037" s="122">
        <v>0</v>
      </c>
      <c r="I1037" s="123">
        <v>0</v>
      </c>
      <c r="J1037" s="122">
        <v>0</v>
      </c>
      <c r="K1037" s="123">
        <v>0</v>
      </c>
      <c r="L1037" s="123">
        <v>0</v>
      </c>
      <c r="M1037" s="122">
        <v>0</v>
      </c>
      <c r="N1037" s="123">
        <v>0</v>
      </c>
      <c r="O1037" s="122">
        <v>0</v>
      </c>
      <c r="P1037" s="123">
        <v>0</v>
      </c>
      <c r="Q1037" s="122">
        <v>0</v>
      </c>
      <c r="R1037" s="123">
        <v>0</v>
      </c>
      <c r="S1037" s="119">
        <v>0</v>
      </c>
      <c r="T1037" s="119">
        <v>0</v>
      </c>
      <c r="U1037" s="119">
        <v>0</v>
      </c>
      <c r="V1037" s="124" t="str">
        <f t="shared" si="105"/>
        <v xml:space="preserve"> </v>
      </c>
    </row>
    <row r="1038" spans="1:22" hidden="1">
      <c r="A1038" s="451" t="s">
        <v>1240</v>
      </c>
      <c r="B1038" s="114">
        <f>_xlfn.IFNA(VLOOKUP(Table1[[#This Row],[SKU]],'Urban Plastix Holds'!$I$36:$L$501,4,0),0)</f>
        <v>0</v>
      </c>
      <c r="C1038" s="407">
        <v>24</v>
      </c>
      <c r="D1038" s="117">
        <f>IFERROR(Table1[[#This Row],[Holds per Set]]*B1038,0)</f>
        <v>0</v>
      </c>
      <c r="E1038" s="117">
        <v>0</v>
      </c>
      <c r="F1038" s="122">
        <v>0</v>
      </c>
      <c r="G1038" s="123">
        <v>0</v>
      </c>
      <c r="H1038" s="122">
        <v>0</v>
      </c>
      <c r="I1038" s="123">
        <v>0</v>
      </c>
      <c r="J1038" s="122">
        <v>0</v>
      </c>
      <c r="K1038" s="123">
        <v>0</v>
      </c>
      <c r="L1038" s="123">
        <v>0</v>
      </c>
      <c r="M1038" s="122">
        <v>0</v>
      </c>
      <c r="N1038" s="123">
        <v>0</v>
      </c>
      <c r="O1038" s="122">
        <v>0</v>
      </c>
      <c r="P1038" s="123">
        <v>0</v>
      </c>
      <c r="Q1038" s="122">
        <v>0</v>
      </c>
      <c r="R1038" s="123">
        <v>0</v>
      </c>
      <c r="S1038" s="119">
        <v>0</v>
      </c>
      <c r="T1038" s="119">
        <v>0</v>
      </c>
      <c r="U1038" s="119">
        <v>0</v>
      </c>
      <c r="V1038" s="124" t="str">
        <f t="shared" si="105"/>
        <v xml:space="preserve"> </v>
      </c>
    </row>
    <row r="1039" spans="1:22" hidden="1">
      <c r="A1039" s="451" t="s">
        <v>1306</v>
      </c>
      <c r="B1039" s="114">
        <f>_xlfn.IFNA(VLOOKUP(Table1[[#This Row],[SKU]],'Urban Plastix Holds'!$I$36:$L$501,4,0),0)</f>
        <v>0</v>
      </c>
      <c r="C1039" s="407">
        <v>10</v>
      </c>
      <c r="D1039" s="117">
        <f>IFERROR(Table1[[#This Row],[Holds per Set]]*B1039,0)</f>
        <v>0</v>
      </c>
      <c r="E1039" s="117">
        <v>0</v>
      </c>
      <c r="F1039" s="122">
        <v>0</v>
      </c>
      <c r="G1039" s="123">
        <v>0</v>
      </c>
      <c r="H1039" s="122">
        <v>0</v>
      </c>
      <c r="I1039" s="123">
        <v>0</v>
      </c>
      <c r="J1039" s="122">
        <v>0</v>
      </c>
      <c r="K1039" s="123">
        <v>0</v>
      </c>
      <c r="L1039" s="123">
        <v>0</v>
      </c>
      <c r="M1039" s="122">
        <v>0</v>
      </c>
      <c r="N1039" s="123">
        <v>0</v>
      </c>
      <c r="O1039" s="122">
        <v>0</v>
      </c>
      <c r="P1039" s="123">
        <v>0</v>
      </c>
      <c r="Q1039" s="122">
        <v>0</v>
      </c>
      <c r="R1039" s="123">
        <v>0</v>
      </c>
      <c r="S1039" s="119">
        <v>0</v>
      </c>
      <c r="T1039" s="119">
        <v>0</v>
      </c>
      <c r="U1039" s="119">
        <v>0</v>
      </c>
      <c r="V1039" s="124" t="str">
        <f t="shared" si="105"/>
        <v xml:space="preserve"> </v>
      </c>
    </row>
    <row r="1040" spans="1:22" hidden="1">
      <c r="A1040" s="451" t="s">
        <v>1252</v>
      </c>
      <c r="B1040" s="114">
        <f>_xlfn.IFNA(VLOOKUP(Table1[[#This Row],[SKU]],'Urban Plastix Holds'!$I$36:$L$501,4,0),0)</f>
        <v>0</v>
      </c>
      <c r="C1040" s="407">
        <v>1</v>
      </c>
      <c r="D1040" s="117">
        <v>0</v>
      </c>
      <c r="E1040" s="117">
        <v>0</v>
      </c>
      <c r="F1040" s="122">
        <v>0</v>
      </c>
      <c r="G1040" s="123">
        <v>0</v>
      </c>
      <c r="H1040" s="122">
        <v>0</v>
      </c>
      <c r="I1040" s="123">
        <v>0</v>
      </c>
      <c r="J1040" s="122">
        <v>0</v>
      </c>
      <c r="K1040" s="123">
        <v>0</v>
      </c>
      <c r="L1040" s="123">
        <v>0</v>
      </c>
      <c r="M1040" s="122">
        <v>0</v>
      </c>
      <c r="N1040" s="123">
        <v>0</v>
      </c>
      <c r="O1040" s="122">
        <v>0</v>
      </c>
      <c r="P1040" s="123">
        <v>0</v>
      </c>
      <c r="Q1040" s="122">
        <v>0</v>
      </c>
      <c r="R1040" s="123">
        <v>0</v>
      </c>
      <c r="S1040" s="119">
        <f>IFERROR(7*B1040,0)</f>
        <v>0</v>
      </c>
      <c r="T1040" s="119">
        <v>0</v>
      </c>
      <c r="U1040" s="119">
        <v>0</v>
      </c>
      <c r="V1040" s="124" t="str">
        <f t="shared" si="105"/>
        <v xml:space="preserve"> </v>
      </c>
    </row>
    <row r="1041" spans="1:22" hidden="1">
      <c r="A1041" s="451" t="s">
        <v>1292</v>
      </c>
      <c r="B1041" s="114">
        <f>_xlfn.IFNA(VLOOKUP(Table1[[#This Row],[SKU]],'Urban Plastix Holds'!$I$36:$L$501,4,0),0)</f>
        <v>0</v>
      </c>
      <c r="C1041" s="407">
        <v>1</v>
      </c>
      <c r="D1041" s="117">
        <v>0</v>
      </c>
      <c r="E1041" s="117">
        <v>0</v>
      </c>
      <c r="F1041" s="122">
        <v>0</v>
      </c>
      <c r="G1041" s="123">
        <v>0</v>
      </c>
      <c r="H1041" s="122">
        <v>0</v>
      </c>
      <c r="I1041" s="123">
        <v>0</v>
      </c>
      <c r="J1041" s="122">
        <v>0</v>
      </c>
      <c r="K1041" s="123">
        <v>0</v>
      </c>
      <c r="L1041" s="123">
        <v>0</v>
      </c>
      <c r="M1041" s="122">
        <v>0</v>
      </c>
      <c r="N1041" s="123">
        <v>0</v>
      </c>
      <c r="O1041" s="122">
        <v>0</v>
      </c>
      <c r="P1041" s="123">
        <v>0</v>
      </c>
      <c r="Q1041" s="122">
        <v>0</v>
      </c>
      <c r="R1041" s="123">
        <v>0</v>
      </c>
      <c r="S1041" s="119">
        <v>0</v>
      </c>
      <c r="T1041" s="119">
        <v>0</v>
      </c>
      <c r="U1041" s="119">
        <f>IFERROR(9*B1041,0)</f>
        <v>0</v>
      </c>
      <c r="V1041" s="124" t="str">
        <f t="shared" si="105"/>
        <v xml:space="preserve"> </v>
      </c>
    </row>
    <row r="1042" spans="1:22" hidden="1">
      <c r="A1042" s="451" t="s">
        <v>1354</v>
      </c>
      <c r="B1042" s="114">
        <f>_xlfn.IFNA(VLOOKUP(Table1[[#This Row],[SKU]],'Urban Plastix Holds'!$I$36:$L$501,4,0),0)</f>
        <v>12</v>
      </c>
      <c r="C1042" s="407">
        <v>2</v>
      </c>
      <c r="D1042" s="117">
        <v>0</v>
      </c>
      <c r="E1042" s="117">
        <v>0</v>
      </c>
      <c r="F1042" s="122">
        <v>0</v>
      </c>
      <c r="G1042" s="123">
        <v>0</v>
      </c>
      <c r="H1042" s="122">
        <v>0</v>
      </c>
      <c r="I1042" s="123">
        <v>0</v>
      </c>
      <c r="J1042" s="122">
        <f>IFERROR(2*B1042,0)</f>
        <v>24</v>
      </c>
      <c r="K1042" s="123">
        <v>0</v>
      </c>
      <c r="L1042" s="123">
        <v>0</v>
      </c>
      <c r="M1042" s="122">
        <v>0</v>
      </c>
      <c r="N1042" s="123">
        <v>0</v>
      </c>
      <c r="O1042" s="122">
        <v>0</v>
      </c>
      <c r="P1042" s="123">
        <v>0</v>
      </c>
      <c r="Q1042" s="122">
        <v>0</v>
      </c>
      <c r="R1042" s="123">
        <v>0</v>
      </c>
      <c r="S1042" s="119">
        <v>0</v>
      </c>
      <c r="T1042" s="119">
        <v>0</v>
      </c>
      <c r="U1042" s="119">
        <v>0</v>
      </c>
      <c r="V1042" s="124" t="str">
        <f t="shared" si="105"/>
        <v>Added</v>
      </c>
    </row>
    <row r="1043" spans="1:22" hidden="1">
      <c r="A1043" s="451" t="s">
        <v>1355</v>
      </c>
      <c r="B1043" s="114">
        <f>_xlfn.IFNA(VLOOKUP(Table1[[#This Row],[SKU]],'Urban Plastix Holds'!$I$36:$L$501,4,0),0)</f>
        <v>14</v>
      </c>
      <c r="C1043" s="407">
        <v>3</v>
      </c>
      <c r="D1043" s="117">
        <v>0</v>
      </c>
      <c r="E1043" s="117">
        <v>0</v>
      </c>
      <c r="F1043" s="122">
        <v>0</v>
      </c>
      <c r="G1043" s="123">
        <v>0</v>
      </c>
      <c r="H1043" s="122">
        <v>0</v>
      </c>
      <c r="I1043" s="123">
        <v>0</v>
      </c>
      <c r="J1043" s="122">
        <f>IFERROR(3*B1043,0)</f>
        <v>42</v>
      </c>
      <c r="K1043" s="123">
        <v>0</v>
      </c>
      <c r="L1043" s="123">
        <v>0</v>
      </c>
      <c r="M1043" s="122">
        <v>0</v>
      </c>
      <c r="N1043" s="123">
        <v>0</v>
      </c>
      <c r="O1043" s="122">
        <v>0</v>
      </c>
      <c r="P1043" s="123">
        <v>0</v>
      </c>
      <c r="Q1043" s="122">
        <v>0</v>
      </c>
      <c r="R1043" s="123">
        <v>0</v>
      </c>
      <c r="S1043" s="119">
        <v>0</v>
      </c>
      <c r="T1043" s="119">
        <v>0</v>
      </c>
      <c r="U1043" s="119">
        <v>0</v>
      </c>
      <c r="V1043" s="124" t="str">
        <f t="shared" ref="V1043:V1132" si="106">IF(B1043&gt;0,"Added"," ")</f>
        <v>Added</v>
      </c>
    </row>
    <row r="1044" spans="1:22" hidden="1">
      <c r="A1044" s="451" t="s">
        <v>1356</v>
      </c>
      <c r="B1044" s="114">
        <f>_xlfn.IFNA(VLOOKUP(Table1[[#This Row],[SKU]],'Urban Plastix Holds'!$I$36:$L$501,4,0),0)</f>
        <v>13</v>
      </c>
      <c r="C1044" s="407">
        <v>2</v>
      </c>
      <c r="D1044" s="117">
        <v>0</v>
      </c>
      <c r="E1044" s="117">
        <v>0</v>
      </c>
      <c r="F1044" s="122">
        <v>0</v>
      </c>
      <c r="G1044" s="123">
        <v>0</v>
      </c>
      <c r="H1044" s="122">
        <v>0</v>
      </c>
      <c r="I1044" s="123">
        <f>IFERROR(2*B1044,0)</f>
        <v>26</v>
      </c>
      <c r="J1044" s="122">
        <v>0</v>
      </c>
      <c r="K1044" s="123">
        <v>0</v>
      </c>
      <c r="L1044" s="123">
        <v>0</v>
      </c>
      <c r="M1044" s="122">
        <v>0</v>
      </c>
      <c r="N1044" s="123">
        <v>0</v>
      </c>
      <c r="O1044" s="122">
        <v>0</v>
      </c>
      <c r="P1044" s="123">
        <v>0</v>
      </c>
      <c r="Q1044" s="122">
        <v>0</v>
      </c>
      <c r="R1044" s="123">
        <v>0</v>
      </c>
      <c r="S1044" s="119">
        <v>0</v>
      </c>
      <c r="T1044" s="119">
        <v>0</v>
      </c>
      <c r="U1044" s="119">
        <v>0</v>
      </c>
      <c r="V1044" s="124" t="str">
        <f t="shared" si="106"/>
        <v>Added</v>
      </c>
    </row>
    <row r="1045" spans="1:22" hidden="1">
      <c r="A1045" s="451" t="s">
        <v>1357</v>
      </c>
      <c r="B1045" s="114">
        <f>_xlfn.IFNA(VLOOKUP(Table1[[#This Row],[SKU]],'Urban Plastix Holds'!$I$36:$L$501,4,0),0)</f>
        <v>14</v>
      </c>
      <c r="C1045" s="407">
        <v>5</v>
      </c>
      <c r="D1045" s="117">
        <v>0</v>
      </c>
      <c r="E1045" s="117">
        <v>0</v>
      </c>
      <c r="F1045" s="122">
        <v>0</v>
      </c>
      <c r="G1045" s="123">
        <v>0</v>
      </c>
      <c r="H1045" s="122">
        <v>0</v>
      </c>
      <c r="I1045" s="123">
        <f>IFERROR(5*B1045,0)</f>
        <v>70</v>
      </c>
      <c r="J1045" s="122">
        <v>0</v>
      </c>
      <c r="K1045" s="123">
        <v>0</v>
      </c>
      <c r="L1045" s="123">
        <v>0</v>
      </c>
      <c r="M1045" s="122">
        <v>0</v>
      </c>
      <c r="N1045" s="123">
        <v>0</v>
      </c>
      <c r="O1045" s="122">
        <v>0</v>
      </c>
      <c r="P1045" s="123">
        <v>0</v>
      </c>
      <c r="Q1045" s="122">
        <v>0</v>
      </c>
      <c r="R1045" s="123">
        <v>0</v>
      </c>
      <c r="S1045" s="119">
        <v>0</v>
      </c>
      <c r="T1045" s="119">
        <v>0</v>
      </c>
      <c r="U1045" s="119">
        <v>0</v>
      </c>
      <c r="V1045" s="124" t="str">
        <f t="shared" si="106"/>
        <v>Added</v>
      </c>
    </row>
    <row r="1046" spans="1:22" hidden="1">
      <c r="A1046" s="451" t="s">
        <v>1358</v>
      </c>
      <c r="B1046" s="114">
        <f>_xlfn.IFNA(VLOOKUP(Table1[[#This Row],[SKU]],'Urban Plastix Holds'!$I$36:$L$501,4,0),0)</f>
        <v>12</v>
      </c>
      <c r="C1046" s="407">
        <v>2</v>
      </c>
      <c r="D1046" s="117">
        <v>0</v>
      </c>
      <c r="E1046" s="117">
        <v>0</v>
      </c>
      <c r="F1046" s="122">
        <v>0</v>
      </c>
      <c r="G1046" s="123">
        <v>0</v>
      </c>
      <c r="H1046" s="122">
        <f>IFERROR(2*B1046,0)</f>
        <v>24</v>
      </c>
      <c r="I1046" s="123">
        <v>0</v>
      </c>
      <c r="J1046" s="122">
        <v>0</v>
      </c>
      <c r="K1046" s="123">
        <v>0</v>
      </c>
      <c r="L1046" s="123">
        <v>0</v>
      </c>
      <c r="M1046" s="122">
        <v>0</v>
      </c>
      <c r="N1046" s="123">
        <v>0</v>
      </c>
      <c r="O1046" s="122">
        <v>0</v>
      </c>
      <c r="P1046" s="123">
        <v>0</v>
      </c>
      <c r="Q1046" s="122">
        <v>0</v>
      </c>
      <c r="R1046" s="123">
        <v>0</v>
      </c>
      <c r="S1046" s="119">
        <v>0</v>
      </c>
      <c r="T1046" s="119">
        <v>0</v>
      </c>
      <c r="U1046" s="119">
        <v>0</v>
      </c>
      <c r="V1046" s="124" t="str">
        <f t="shared" si="106"/>
        <v>Added</v>
      </c>
    </row>
    <row r="1047" spans="1:22" hidden="1">
      <c r="A1047" s="451" t="s">
        <v>1359</v>
      </c>
      <c r="B1047" s="114">
        <f>_xlfn.IFNA(VLOOKUP(Table1[[#This Row],[SKU]],'Urban Plastix Holds'!$I$36:$L$501,4,0),0)</f>
        <v>13</v>
      </c>
      <c r="C1047" s="407">
        <v>5</v>
      </c>
      <c r="D1047" s="117">
        <v>0</v>
      </c>
      <c r="E1047" s="117">
        <v>0</v>
      </c>
      <c r="F1047" s="122">
        <v>0</v>
      </c>
      <c r="G1047" s="123">
        <v>0</v>
      </c>
      <c r="H1047" s="122">
        <f>IFERROR(5*B1047,0)</f>
        <v>65</v>
      </c>
      <c r="I1047" s="123">
        <v>0</v>
      </c>
      <c r="J1047" s="122">
        <v>0</v>
      </c>
      <c r="K1047" s="123">
        <v>0</v>
      </c>
      <c r="L1047" s="123">
        <v>0</v>
      </c>
      <c r="M1047" s="122">
        <v>0</v>
      </c>
      <c r="N1047" s="123">
        <v>0</v>
      </c>
      <c r="O1047" s="122">
        <v>0</v>
      </c>
      <c r="P1047" s="123">
        <v>0</v>
      </c>
      <c r="Q1047" s="122">
        <v>0</v>
      </c>
      <c r="R1047" s="123">
        <v>0</v>
      </c>
      <c r="S1047" s="119">
        <v>0</v>
      </c>
      <c r="T1047" s="119">
        <v>0</v>
      </c>
      <c r="U1047" s="119">
        <v>0</v>
      </c>
      <c r="V1047" s="124" t="str">
        <f t="shared" si="106"/>
        <v>Added</v>
      </c>
    </row>
    <row r="1048" spans="1:22" hidden="1">
      <c r="A1048" s="451" t="s">
        <v>1360</v>
      </c>
      <c r="B1048" s="114">
        <f>_xlfn.IFNA(VLOOKUP(Table1[[#This Row],[SKU]],'Urban Plastix Holds'!$I$36:$L$501,4,0),0)</f>
        <v>13</v>
      </c>
      <c r="C1048" s="407">
        <v>15</v>
      </c>
      <c r="D1048" s="117">
        <f>IFERROR(15*B1048,0)</f>
        <v>195</v>
      </c>
      <c r="E1048" s="117">
        <v>0</v>
      </c>
      <c r="F1048" s="122">
        <v>0</v>
      </c>
      <c r="G1048" s="123">
        <v>0</v>
      </c>
      <c r="H1048" s="122">
        <v>0</v>
      </c>
      <c r="I1048" s="123">
        <v>0</v>
      </c>
      <c r="J1048" s="122">
        <v>0</v>
      </c>
      <c r="K1048" s="123">
        <v>0</v>
      </c>
      <c r="L1048" s="123">
        <v>0</v>
      </c>
      <c r="M1048" s="122">
        <v>0</v>
      </c>
      <c r="N1048" s="123">
        <v>0</v>
      </c>
      <c r="O1048" s="122">
        <v>0</v>
      </c>
      <c r="P1048" s="123">
        <v>0</v>
      </c>
      <c r="Q1048" s="122">
        <v>0</v>
      </c>
      <c r="R1048" s="123">
        <v>0</v>
      </c>
      <c r="S1048" s="119">
        <v>0</v>
      </c>
      <c r="T1048" s="119">
        <v>0</v>
      </c>
      <c r="U1048" s="119">
        <v>0</v>
      </c>
      <c r="V1048" s="124" t="str">
        <f t="shared" si="106"/>
        <v>Added</v>
      </c>
    </row>
    <row r="1049" spans="1:22" hidden="1">
      <c r="A1049" s="451" t="s">
        <v>1361</v>
      </c>
      <c r="B1049" s="114">
        <f>_xlfn.IFNA(VLOOKUP(Table1[[#This Row],[SKU]],'Urban Plastix Holds'!$I$36:$L$501,4,0),0)</f>
        <v>14</v>
      </c>
      <c r="C1049" s="407">
        <v>25</v>
      </c>
      <c r="D1049" s="117">
        <f>IFERROR(25*B1049,0)</f>
        <v>350</v>
      </c>
      <c r="E1049" s="117">
        <v>0</v>
      </c>
      <c r="F1049" s="122">
        <v>0</v>
      </c>
      <c r="G1049" s="123">
        <v>0</v>
      </c>
      <c r="H1049" s="122">
        <v>0</v>
      </c>
      <c r="I1049" s="123">
        <v>0</v>
      </c>
      <c r="J1049" s="122">
        <v>0</v>
      </c>
      <c r="K1049" s="123">
        <v>0</v>
      </c>
      <c r="L1049" s="123">
        <v>0</v>
      </c>
      <c r="M1049" s="122">
        <v>0</v>
      </c>
      <c r="N1049" s="123">
        <v>0</v>
      </c>
      <c r="O1049" s="122">
        <v>0</v>
      </c>
      <c r="P1049" s="123">
        <v>0</v>
      </c>
      <c r="Q1049" s="122">
        <v>0</v>
      </c>
      <c r="R1049" s="123">
        <v>0</v>
      </c>
      <c r="S1049" s="119">
        <v>0</v>
      </c>
      <c r="T1049" s="119">
        <v>0</v>
      </c>
      <c r="U1049" s="119">
        <v>0</v>
      </c>
      <c r="V1049" s="124" t="str">
        <f t="shared" si="106"/>
        <v>Added</v>
      </c>
    </row>
    <row r="1050" spans="1:22" hidden="1">
      <c r="A1050" s="451" t="s">
        <v>1370</v>
      </c>
      <c r="B1050" s="114">
        <f>_xlfn.IFNA(VLOOKUP(Table1[[#This Row],[SKU]],'Urban Plastix Holds'!$I$36:$L$501,4,0),0)</f>
        <v>14</v>
      </c>
      <c r="C1050" s="407">
        <v>1</v>
      </c>
      <c r="D1050" s="117">
        <v>0</v>
      </c>
      <c r="E1050" s="117">
        <v>0</v>
      </c>
      <c r="F1050" s="122">
        <v>0</v>
      </c>
      <c r="G1050" s="123">
        <v>0</v>
      </c>
      <c r="H1050" s="122">
        <v>0</v>
      </c>
      <c r="I1050" s="123">
        <v>0</v>
      </c>
      <c r="J1050" s="122">
        <v>0</v>
      </c>
      <c r="K1050" s="123">
        <f>IFERROR(1*B1050,0)</f>
        <v>14</v>
      </c>
      <c r="L1050" s="123">
        <v>0</v>
      </c>
      <c r="M1050" s="122">
        <v>0</v>
      </c>
      <c r="N1050" s="123">
        <v>0</v>
      </c>
      <c r="O1050" s="122">
        <v>0</v>
      </c>
      <c r="P1050" s="123">
        <v>0</v>
      </c>
      <c r="Q1050" s="122">
        <v>0</v>
      </c>
      <c r="R1050" s="123">
        <v>0</v>
      </c>
      <c r="S1050" s="119">
        <v>0</v>
      </c>
      <c r="T1050" s="119">
        <v>0</v>
      </c>
      <c r="U1050" s="119">
        <v>0</v>
      </c>
      <c r="V1050" s="124" t="str">
        <f t="shared" si="106"/>
        <v>Added</v>
      </c>
    </row>
    <row r="1051" spans="1:22" hidden="1">
      <c r="A1051" s="451" t="s">
        <v>1371</v>
      </c>
      <c r="B1051" s="114">
        <f>_xlfn.IFNA(VLOOKUP(Table1[[#This Row],[SKU]],'Urban Plastix Holds'!$I$36:$L$501,4,0),0)</f>
        <v>15</v>
      </c>
      <c r="C1051" s="407">
        <v>1</v>
      </c>
      <c r="D1051" s="117">
        <v>0</v>
      </c>
      <c r="E1051" s="117">
        <v>0</v>
      </c>
      <c r="F1051" s="122">
        <v>0</v>
      </c>
      <c r="G1051" s="123">
        <v>0</v>
      </c>
      <c r="H1051" s="122">
        <v>0</v>
      </c>
      <c r="I1051" s="123">
        <v>0</v>
      </c>
      <c r="J1051" s="122">
        <v>0</v>
      </c>
      <c r="K1051" s="123">
        <f>IFERROR(1*B1051,0)</f>
        <v>15</v>
      </c>
      <c r="L1051" s="123">
        <v>0</v>
      </c>
      <c r="M1051" s="122">
        <v>0</v>
      </c>
      <c r="N1051" s="123">
        <v>0</v>
      </c>
      <c r="O1051" s="122">
        <v>0</v>
      </c>
      <c r="P1051" s="123">
        <v>0</v>
      </c>
      <c r="Q1051" s="122">
        <v>0</v>
      </c>
      <c r="R1051" s="123">
        <v>0</v>
      </c>
      <c r="S1051" s="119">
        <v>0</v>
      </c>
      <c r="T1051" s="119">
        <v>0</v>
      </c>
      <c r="U1051" s="119">
        <v>0</v>
      </c>
      <c r="V1051" s="124" t="str">
        <f t="shared" si="106"/>
        <v>Added</v>
      </c>
    </row>
    <row r="1052" spans="1:22" hidden="1">
      <c r="A1052" s="451" t="s">
        <v>1372</v>
      </c>
      <c r="B1052" s="114">
        <f>_xlfn.IFNA(VLOOKUP(Table1[[#This Row],[SKU]],'Urban Plastix Holds'!$I$36:$L$501,4,0),0)</f>
        <v>11</v>
      </c>
      <c r="C1052" s="407">
        <v>2</v>
      </c>
      <c r="D1052" s="117">
        <v>0</v>
      </c>
      <c r="E1052" s="117">
        <v>0</v>
      </c>
      <c r="F1052" s="122">
        <v>0</v>
      </c>
      <c r="G1052" s="123">
        <v>0</v>
      </c>
      <c r="H1052" s="122">
        <v>0</v>
      </c>
      <c r="I1052" s="123">
        <v>0</v>
      </c>
      <c r="J1052" s="122">
        <v>0</v>
      </c>
      <c r="K1052" s="123">
        <f>IFERROR(2*B1052,0)</f>
        <v>22</v>
      </c>
      <c r="L1052" s="123">
        <v>0</v>
      </c>
      <c r="M1052" s="122">
        <v>0</v>
      </c>
      <c r="N1052" s="123">
        <v>0</v>
      </c>
      <c r="O1052" s="122">
        <v>0</v>
      </c>
      <c r="P1052" s="123">
        <v>0</v>
      </c>
      <c r="Q1052" s="122">
        <v>0</v>
      </c>
      <c r="R1052" s="123">
        <v>0</v>
      </c>
      <c r="S1052" s="119">
        <v>0</v>
      </c>
      <c r="T1052" s="119">
        <v>0</v>
      </c>
      <c r="U1052" s="119">
        <v>0</v>
      </c>
      <c r="V1052" s="124" t="str">
        <f t="shared" si="106"/>
        <v>Added</v>
      </c>
    </row>
    <row r="1053" spans="1:22" hidden="1">
      <c r="A1053" s="451" t="s">
        <v>1373</v>
      </c>
      <c r="B1053" s="114">
        <f>_xlfn.IFNA(VLOOKUP(Table1[[#This Row],[SKU]],'Urban Plastix Holds'!$I$36:$L$501,4,0),0)</f>
        <v>14</v>
      </c>
      <c r="C1053" s="407">
        <v>5</v>
      </c>
      <c r="D1053" s="117">
        <v>0</v>
      </c>
      <c r="E1053" s="117">
        <v>0</v>
      </c>
      <c r="F1053" s="122">
        <v>0</v>
      </c>
      <c r="G1053" s="123">
        <v>0</v>
      </c>
      <c r="H1053" s="122">
        <v>0</v>
      </c>
      <c r="I1053" s="123">
        <v>0</v>
      </c>
      <c r="J1053" s="122">
        <f>IFERROR(5*B1053,0)</f>
        <v>70</v>
      </c>
      <c r="K1053" s="123">
        <v>0</v>
      </c>
      <c r="L1053" s="123">
        <v>0</v>
      </c>
      <c r="M1053" s="122">
        <v>0</v>
      </c>
      <c r="N1053" s="123">
        <v>0</v>
      </c>
      <c r="O1053" s="122">
        <v>0</v>
      </c>
      <c r="P1053" s="123">
        <v>0</v>
      </c>
      <c r="Q1053" s="122">
        <v>0</v>
      </c>
      <c r="R1053" s="123">
        <v>0</v>
      </c>
      <c r="S1053" s="119">
        <v>0</v>
      </c>
      <c r="T1053" s="119">
        <v>0</v>
      </c>
      <c r="U1053" s="119">
        <v>0</v>
      </c>
      <c r="V1053" s="124" t="str">
        <f t="shared" si="106"/>
        <v>Added</v>
      </c>
    </row>
    <row r="1054" spans="1:22" hidden="1">
      <c r="A1054" s="451" t="s">
        <v>1374</v>
      </c>
      <c r="B1054" s="114">
        <f>_xlfn.IFNA(VLOOKUP(Table1[[#This Row],[SKU]],'Urban Plastix Holds'!$I$36:$L$501,4,0),0)</f>
        <v>13</v>
      </c>
      <c r="C1054" s="407">
        <v>3</v>
      </c>
      <c r="D1054" s="117">
        <v>0</v>
      </c>
      <c r="E1054" s="117">
        <v>0</v>
      </c>
      <c r="F1054" s="122">
        <v>0</v>
      </c>
      <c r="G1054" s="123">
        <v>0</v>
      </c>
      <c r="H1054" s="122">
        <v>0</v>
      </c>
      <c r="I1054" s="123">
        <v>0</v>
      </c>
      <c r="J1054" s="122">
        <f>IFERROR(3*B1054,0)</f>
        <v>39</v>
      </c>
      <c r="K1054" s="123">
        <v>0</v>
      </c>
      <c r="L1054" s="123">
        <v>0</v>
      </c>
      <c r="M1054" s="122">
        <v>0</v>
      </c>
      <c r="N1054" s="123">
        <v>0</v>
      </c>
      <c r="O1054" s="122">
        <v>0</v>
      </c>
      <c r="P1054" s="123">
        <v>0</v>
      </c>
      <c r="Q1054" s="122">
        <v>0</v>
      </c>
      <c r="R1054" s="123">
        <v>0</v>
      </c>
      <c r="S1054" s="119">
        <v>0</v>
      </c>
      <c r="T1054" s="119">
        <v>0</v>
      </c>
      <c r="U1054" s="119">
        <v>0</v>
      </c>
      <c r="V1054" s="124" t="str">
        <f t="shared" si="106"/>
        <v>Added</v>
      </c>
    </row>
    <row r="1055" spans="1:22" hidden="1">
      <c r="A1055" s="451" t="s">
        <v>1376</v>
      </c>
      <c r="B1055" s="114">
        <f>_xlfn.IFNA(VLOOKUP(Table1[[#This Row],[SKU]],'Urban Plastix Holds'!$I$36:$L$501,4,0),0)</f>
        <v>14</v>
      </c>
      <c r="C1055" s="407">
        <v>3</v>
      </c>
      <c r="D1055" s="117">
        <v>0</v>
      </c>
      <c r="E1055" s="117">
        <v>0</v>
      </c>
      <c r="F1055" s="122">
        <v>0</v>
      </c>
      <c r="G1055" s="123">
        <v>0</v>
      </c>
      <c r="H1055" s="122">
        <v>0</v>
      </c>
      <c r="I1055" s="123">
        <v>0</v>
      </c>
      <c r="J1055" s="122">
        <f>IFERROR(3*B1055,0)</f>
        <v>42</v>
      </c>
      <c r="K1055" s="123">
        <v>0</v>
      </c>
      <c r="L1055" s="123">
        <v>0</v>
      </c>
      <c r="M1055" s="122">
        <v>0</v>
      </c>
      <c r="N1055" s="123">
        <v>0</v>
      </c>
      <c r="O1055" s="122">
        <v>0</v>
      </c>
      <c r="P1055" s="123">
        <v>0</v>
      </c>
      <c r="Q1055" s="122">
        <v>0</v>
      </c>
      <c r="R1055" s="123">
        <v>0</v>
      </c>
      <c r="S1055" s="119">
        <v>0</v>
      </c>
      <c r="T1055" s="119">
        <v>0</v>
      </c>
      <c r="U1055" s="119">
        <v>0</v>
      </c>
      <c r="V1055" s="124" t="str">
        <f t="shared" si="106"/>
        <v>Added</v>
      </c>
    </row>
    <row r="1056" spans="1:22" hidden="1">
      <c r="A1056" s="460" t="s">
        <v>2585</v>
      </c>
      <c r="B1056" s="114">
        <f>_xlfn.IFNA(VLOOKUP(Table1[[#This Row],[SKU]],'Urban Plastix Holds'!$I$36:$L$501,4,0),0)</f>
        <v>13</v>
      </c>
      <c r="C1056" s="407">
        <v>25</v>
      </c>
      <c r="D1056" s="117">
        <f>Table1[[#This Row],[Holds per Set]]*Table1[[#This Row],[Quantity of Sets]]</f>
        <v>325</v>
      </c>
      <c r="E1056" s="117">
        <v>0</v>
      </c>
      <c r="F1056" s="122">
        <v>0</v>
      </c>
      <c r="G1056" s="117">
        <v>0</v>
      </c>
      <c r="H1056" s="122">
        <v>0</v>
      </c>
      <c r="I1056" s="117">
        <v>0</v>
      </c>
      <c r="J1056" s="122">
        <v>0</v>
      </c>
      <c r="K1056" s="117">
        <v>0</v>
      </c>
      <c r="L1056" s="122">
        <v>0</v>
      </c>
      <c r="M1056" s="117">
        <v>0</v>
      </c>
      <c r="N1056" s="122">
        <v>0</v>
      </c>
      <c r="O1056" s="117">
        <v>0</v>
      </c>
      <c r="P1056" s="122">
        <v>0</v>
      </c>
      <c r="Q1056" s="117">
        <v>0</v>
      </c>
      <c r="R1056" s="122">
        <v>0</v>
      </c>
      <c r="S1056" s="117">
        <v>0</v>
      </c>
      <c r="T1056" s="122">
        <v>0</v>
      </c>
      <c r="U1056" s="117">
        <v>0</v>
      </c>
      <c r="V1056" s="124" t="str">
        <f t="shared" ref="V1056:V1059" si="107">IF(B1056&gt;0,"Added"," ")</f>
        <v>Added</v>
      </c>
    </row>
    <row r="1057" spans="1:22" hidden="1">
      <c r="A1057" s="460" t="s">
        <v>2577</v>
      </c>
      <c r="B1057" s="114">
        <f>_xlfn.IFNA(VLOOKUP(Table1[[#This Row],[SKU]],'Urban Plastix Holds'!$I$36:$L$501,4,0),0)</f>
        <v>13</v>
      </c>
      <c r="C1057" s="407">
        <v>15</v>
      </c>
      <c r="D1057" s="117">
        <f>Table1[[#This Row],[Holds per Set]]*Table1[[#This Row],[Quantity of Sets]]</f>
        <v>195</v>
      </c>
      <c r="E1057" s="117">
        <v>0</v>
      </c>
      <c r="F1057" s="122">
        <v>0</v>
      </c>
      <c r="G1057" s="117">
        <v>0</v>
      </c>
      <c r="H1057" s="122">
        <v>0</v>
      </c>
      <c r="I1057" s="117">
        <v>0</v>
      </c>
      <c r="J1057" s="122">
        <v>0</v>
      </c>
      <c r="K1057" s="117">
        <v>0</v>
      </c>
      <c r="L1057" s="122">
        <v>0</v>
      </c>
      <c r="M1057" s="117">
        <v>0</v>
      </c>
      <c r="N1057" s="122">
        <v>0</v>
      </c>
      <c r="O1057" s="117">
        <v>0</v>
      </c>
      <c r="P1057" s="122">
        <v>0</v>
      </c>
      <c r="Q1057" s="117">
        <v>0</v>
      </c>
      <c r="R1057" s="122">
        <v>0</v>
      </c>
      <c r="S1057" s="117">
        <v>0</v>
      </c>
      <c r="T1057" s="122">
        <v>0</v>
      </c>
      <c r="U1057" s="117">
        <v>0</v>
      </c>
      <c r="V1057" s="124" t="str">
        <f t="shared" si="107"/>
        <v>Added</v>
      </c>
    </row>
    <row r="1058" spans="1:22" hidden="1">
      <c r="A1058" s="460" t="s">
        <v>2579</v>
      </c>
      <c r="B1058" s="114">
        <f>_xlfn.IFNA(VLOOKUP(Table1[[#This Row],[SKU]],'Urban Plastix Holds'!$I$36:$L$501,4,0),0)</f>
        <v>14</v>
      </c>
      <c r="C1058" s="407">
        <v>5</v>
      </c>
      <c r="D1058" s="117">
        <f>Table1[[#This Row],[Holds per Set]]*Table1[[#This Row],[Quantity of Sets]]</f>
        <v>70</v>
      </c>
      <c r="E1058" s="117">
        <v>0</v>
      </c>
      <c r="F1058" s="122">
        <v>0</v>
      </c>
      <c r="G1058" s="117">
        <v>0</v>
      </c>
      <c r="H1058" s="122">
        <v>0</v>
      </c>
      <c r="I1058" s="117">
        <v>0</v>
      </c>
      <c r="J1058" s="122">
        <v>0</v>
      </c>
      <c r="K1058" s="117">
        <v>0</v>
      </c>
      <c r="L1058" s="122">
        <v>0</v>
      </c>
      <c r="M1058" s="117">
        <v>0</v>
      </c>
      <c r="N1058" s="122">
        <v>0</v>
      </c>
      <c r="O1058" s="117">
        <v>0</v>
      </c>
      <c r="P1058" s="122">
        <v>0</v>
      </c>
      <c r="Q1058" s="117">
        <v>0</v>
      </c>
      <c r="R1058" s="122">
        <v>0</v>
      </c>
      <c r="S1058" s="117">
        <v>0</v>
      </c>
      <c r="T1058" s="122">
        <v>0</v>
      </c>
      <c r="U1058" s="117">
        <v>0</v>
      </c>
      <c r="V1058" s="124" t="str">
        <f t="shared" si="107"/>
        <v>Added</v>
      </c>
    </row>
    <row r="1059" spans="1:22" hidden="1">
      <c r="A1059" s="460" t="s">
        <v>2580</v>
      </c>
      <c r="B1059" s="114">
        <f>_xlfn.IFNA(VLOOKUP(Table1[[#This Row],[SKU]],'Urban Plastix Holds'!$I$36:$L$501,4,0),0)</f>
        <v>12</v>
      </c>
      <c r="C1059" s="407">
        <v>9</v>
      </c>
      <c r="D1059" s="117">
        <f>Table1[[#This Row],[Holds per Set]]*Table1[[#This Row],[Quantity of Sets]]</f>
        <v>108</v>
      </c>
      <c r="E1059" s="117">
        <v>0</v>
      </c>
      <c r="F1059" s="122">
        <v>0</v>
      </c>
      <c r="G1059" s="117">
        <v>0</v>
      </c>
      <c r="H1059" s="122">
        <v>0</v>
      </c>
      <c r="I1059" s="117">
        <v>0</v>
      </c>
      <c r="J1059" s="122">
        <v>0</v>
      </c>
      <c r="K1059" s="117">
        <v>0</v>
      </c>
      <c r="L1059" s="122">
        <v>0</v>
      </c>
      <c r="M1059" s="117">
        <v>0</v>
      </c>
      <c r="N1059" s="122">
        <v>0</v>
      </c>
      <c r="O1059" s="117">
        <v>0</v>
      </c>
      <c r="P1059" s="122">
        <v>0</v>
      </c>
      <c r="Q1059" s="117">
        <v>0</v>
      </c>
      <c r="R1059" s="122">
        <v>0</v>
      </c>
      <c r="S1059" s="117">
        <v>0</v>
      </c>
      <c r="T1059" s="122">
        <v>0</v>
      </c>
      <c r="U1059" s="117">
        <v>0</v>
      </c>
      <c r="V1059" s="124" t="str">
        <f t="shared" si="107"/>
        <v>Added</v>
      </c>
    </row>
    <row r="1060" spans="1:22" hidden="1">
      <c r="A1060" s="460" t="s">
        <v>2574</v>
      </c>
      <c r="B1060" s="114">
        <f>_xlfn.IFNA(VLOOKUP(Table1[[#This Row],[SKU]],'Urban Plastix Holds'!$I$36:$L$501,4,0),0)</f>
        <v>7</v>
      </c>
      <c r="C1060" s="640">
        <v>20</v>
      </c>
      <c r="D1060" s="117">
        <f>Table1[[#This Row],[Holds per Set]]*Table1[[#This Row],[Quantity of Sets]]</f>
        <v>140</v>
      </c>
      <c r="E1060" s="117">
        <v>0</v>
      </c>
      <c r="F1060" s="122">
        <v>0</v>
      </c>
      <c r="G1060" s="117">
        <v>0</v>
      </c>
      <c r="H1060" s="122">
        <v>0</v>
      </c>
      <c r="I1060" s="117">
        <v>0</v>
      </c>
      <c r="J1060" s="122">
        <v>0</v>
      </c>
      <c r="K1060" s="117">
        <v>0</v>
      </c>
      <c r="L1060" s="122">
        <v>0</v>
      </c>
      <c r="M1060" s="117">
        <v>0</v>
      </c>
      <c r="N1060" s="122">
        <v>0</v>
      </c>
      <c r="O1060" s="117">
        <v>0</v>
      </c>
      <c r="P1060" s="122">
        <v>0</v>
      </c>
      <c r="Q1060" s="117">
        <v>0</v>
      </c>
      <c r="R1060" s="122">
        <v>0</v>
      </c>
      <c r="S1060" s="117">
        <v>0</v>
      </c>
      <c r="T1060" s="122">
        <v>0</v>
      </c>
      <c r="U1060" s="117">
        <v>0</v>
      </c>
      <c r="V1060" s="639" t="str">
        <f>IF(B1060&gt;0,"Added"," ")</f>
        <v>Added</v>
      </c>
    </row>
    <row r="1061" spans="1:22" hidden="1">
      <c r="A1061" s="460" t="s">
        <v>2581</v>
      </c>
      <c r="B1061" s="114">
        <f>_xlfn.IFNA(VLOOKUP(Table1[[#This Row],[SKU]],'Urban Plastix Holds'!$I$36:$L$501,4,0),0)</f>
        <v>12</v>
      </c>
      <c r="C1061" s="642">
        <v>5</v>
      </c>
      <c r="D1061" s="117">
        <f>5*Table1[[#This Row],[Quantity of Sets]]</f>
        <v>60</v>
      </c>
      <c r="E1061" s="117">
        <v>0</v>
      </c>
      <c r="F1061" s="122">
        <v>0</v>
      </c>
      <c r="G1061" s="117">
        <v>0</v>
      </c>
      <c r="H1061" s="122">
        <v>0</v>
      </c>
      <c r="I1061" s="117">
        <v>0</v>
      </c>
      <c r="J1061" s="122">
        <v>0</v>
      </c>
      <c r="K1061" s="117">
        <v>0</v>
      </c>
      <c r="L1061" s="122">
        <v>0</v>
      </c>
      <c r="M1061" s="117">
        <v>0</v>
      </c>
      <c r="N1061" s="122">
        <v>0</v>
      </c>
      <c r="O1061" s="117">
        <v>0</v>
      </c>
      <c r="P1061" s="122">
        <v>0</v>
      </c>
      <c r="Q1061" s="117">
        <v>0</v>
      </c>
      <c r="R1061" s="122">
        <v>0</v>
      </c>
      <c r="S1061" s="117">
        <v>0</v>
      </c>
      <c r="T1061" s="122">
        <v>0</v>
      </c>
      <c r="U1061" s="117">
        <v>0</v>
      </c>
      <c r="V1061" s="643" t="str">
        <f>IF(B1061&gt;0,"Added"," ")</f>
        <v>Added</v>
      </c>
    </row>
    <row r="1062" spans="1:22" hidden="1">
      <c r="A1062" s="460" t="s">
        <v>2632</v>
      </c>
      <c r="B1062" s="114">
        <f>_xlfn.IFNA(VLOOKUP(Table1[[#This Row],[SKU]],'Urban Plastix Holds'!$I$36:$L$501,4,0),0)</f>
        <v>12</v>
      </c>
      <c r="C1062" s="642">
        <v>5</v>
      </c>
      <c r="D1062" s="117">
        <v>0</v>
      </c>
      <c r="E1062" s="117">
        <f>5*Table1[[#This Row],[Quantity of Sets]]</f>
        <v>60</v>
      </c>
      <c r="F1062" s="122">
        <v>0</v>
      </c>
      <c r="G1062" s="123">
        <v>0</v>
      </c>
      <c r="H1062" s="122">
        <v>0</v>
      </c>
      <c r="I1062" s="123">
        <v>0</v>
      </c>
      <c r="J1062" s="122">
        <v>0</v>
      </c>
      <c r="K1062" s="123">
        <v>0</v>
      </c>
      <c r="L1062" s="122">
        <v>0</v>
      </c>
      <c r="M1062" s="123">
        <v>0</v>
      </c>
      <c r="N1062" s="122">
        <v>0</v>
      </c>
      <c r="O1062" s="123">
        <v>0</v>
      </c>
      <c r="P1062" s="122">
        <v>0</v>
      </c>
      <c r="Q1062" s="123">
        <v>0</v>
      </c>
      <c r="R1062" s="122">
        <v>0</v>
      </c>
      <c r="S1062" s="123">
        <v>0</v>
      </c>
      <c r="T1062" s="122">
        <v>0</v>
      </c>
      <c r="U1062" s="123">
        <v>0</v>
      </c>
      <c r="V1062" s="643" t="str">
        <f>IF(B1062&gt;0,"Added"," ")</f>
        <v>Added</v>
      </c>
    </row>
    <row r="1063" spans="1:22" hidden="1">
      <c r="A1063" s="460" t="s">
        <v>2634</v>
      </c>
      <c r="B1063" s="114">
        <f>_xlfn.IFNA(VLOOKUP(Table1[[#This Row],[SKU]],'Urban Plastix Holds'!$I$36:$L$501,4,0),0)</f>
        <v>13</v>
      </c>
      <c r="C1063" s="642">
        <v>5</v>
      </c>
      <c r="D1063" s="117">
        <v>0</v>
      </c>
      <c r="E1063" s="117">
        <v>0</v>
      </c>
      <c r="F1063" s="122">
        <v>0</v>
      </c>
      <c r="G1063" s="123">
        <f>5*Table1[[#This Row],[Quantity of Sets]]</f>
        <v>65</v>
      </c>
      <c r="H1063" s="122">
        <v>0</v>
      </c>
      <c r="I1063" s="123">
        <v>0</v>
      </c>
      <c r="J1063" s="122">
        <v>0</v>
      </c>
      <c r="K1063" s="123">
        <v>0</v>
      </c>
      <c r="L1063" s="122">
        <v>0</v>
      </c>
      <c r="M1063" s="123">
        <v>0</v>
      </c>
      <c r="N1063" s="122">
        <v>0</v>
      </c>
      <c r="O1063" s="123">
        <v>0</v>
      </c>
      <c r="P1063" s="122">
        <v>0</v>
      </c>
      <c r="Q1063" s="123">
        <v>0</v>
      </c>
      <c r="R1063" s="122">
        <v>0</v>
      </c>
      <c r="S1063" s="123">
        <v>0</v>
      </c>
      <c r="T1063" s="122">
        <v>0</v>
      </c>
      <c r="U1063" s="123">
        <v>0</v>
      </c>
      <c r="V1063" s="643" t="str">
        <f>IF(B1063&gt;0,"Added"," ")</f>
        <v>Added</v>
      </c>
    </row>
    <row r="1064" spans="1:22" hidden="1">
      <c r="A1064" s="460" t="s">
        <v>2636</v>
      </c>
      <c r="B1064" s="114">
        <f>_xlfn.IFNA(VLOOKUP(Table1[[#This Row],[SKU]],'Urban Plastix Holds'!$I$36:$L$501,4,0),0)</f>
        <v>11</v>
      </c>
      <c r="C1064" s="642">
        <v>5</v>
      </c>
      <c r="D1064" s="117">
        <v>0</v>
      </c>
      <c r="E1064" s="117">
        <v>0</v>
      </c>
      <c r="F1064" s="122">
        <v>0</v>
      </c>
      <c r="G1064" s="123">
        <f>5*Table1[[#This Row],[Quantity of Sets]]</f>
        <v>55</v>
      </c>
      <c r="H1064" s="122">
        <v>0</v>
      </c>
      <c r="I1064" s="123">
        <v>0</v>
      </c>
      <c r="J1064" s="122">
        <v>0</v>
      </c>
      <c r="K1064" s="123">
        <v>0</v>
      </c>
      <c r="L1064" s="122">
        <v>0</v>
      </c>
      <c r="M1064" s="123">
        <v>0</v>
      </c>
      <c r="N1064" s="122">
        <v>0</v>
      </c>
      <c r="O1064" s="123">
        <v>0</v>
      </c>
      <c r="P1064" s="122">
        <v>0</v>
      </c>
      <c r="Q1064" s="123">
        <v>0</v>
      </c>
      <c r="R1064" s="122">
        <v>0</v>
      </c>
      <c r="S1064" s="123">
        <v>0</v>
      </c>
      <c r="T1064" s="122">
        <v>0</v>
      </c>
      <c r="U1064" s="123">
        <v>0</v>
      </c>
      <c r="V1064" s="643" t="str">
        <f>IF(B1064&gt;0,"Added"," ")</f>
        <v>Added</v>
      </c>
    </row>
    <row r="1065" spans="1:22" hidden="1">
      <c r="A1065" s="460" t="s">
        <v>2819</v>
      </c>
      <c r="B1065" s="114">
        <f>_xlfn.IFNA(VLOOKUP(Table1[[#This Row],[SKU]],'Urban Plastix Holds'!$I$36:$L$501,4,0),0)</f>
        <v>0</v>
      </c>
      <c r="C1065" s="642">
        <v>10</v>
      </c>
      <c r="D1065" s="117">
        <f>10*Table1[[#This Row],[Quantity of Sets]]</f>
        <v>0</v>
      </c>
      <c r="E1065" s="117">
        <v>0</v>
      </c>
      <c r="F1065" s="122">
        <v>0</v>
      </c>
      <c r="G1065" s="117">
        <v>0</v>
      </c>
      <c r="H1065" s="122">
        <v>0</v>
      </c>
      <c r="I1065" s="117">
        <v>0</v>
      </c>
      <c r="J1065" s="122">
        <v>0</v>
      </c>
      <c r="K1065" s="117">
        <v>0</v>
      </c>
      <c r="L1065" s="122">
        <v>0</v>
      </c>
      <c r="M1065" s="117">
        <v>0</v>
      </c>
      <c r="N1065" s="122">
        <v>0</v>
      </c>
      <c r="O1065" s="117">
        <v>0</v>
      </c>
      <c r="P1065" s="122">
        <v>0</v>
      </c>
      <c r="Q1065" s="117">
        <v>0</v>
      </c>
      <c r="R1065" s="122">
        <v>0</v>
      </c>
      <c r="S1065" s="117">
        <v>0</v>
      </c>
      <c r="T1065" s="122">
        <v>0</v>
      </c>
      <c r="U1065" s="117">
        <v>0</v>
      </c>
      <c r="V1065" s="643" t="str">
        <f t="shared" ref="V1065:V1072" si="108">IF(B1065&gt;0,"Added"," ")</f>
        <v xml:space="preserve"> </v>
      </c>
    </row>
    <row r="1066" spans="1:22" hidden="1">
      <c r="A1066" s="460" t="s">
        <v>2821</v>
      </c>
      <c r="B1066" s="114">
        <f>_xlfn.IFNA(VLOOKUP(Table1[[#This Row],[SKU]],'Urban Plastix Holds'!$I$36:$L$501,4,0),0)</f>
        <v>0</v>
      </c>
      <c r="C1066" s="642">
        <v>4</v>
      </c>
      <c r="D1066" s="117">
        <v>0</v>
      </c>
      <c r="E1066" s="117">
        <v>0</v>
      </c>
      <c r="F1066" s="122">
        <f>4*Table1[[#This Row],[Quantity of Sets]]</f>
        <v>0</v>
      </c>
      <c r="G1066" s="123">
        <v>0</v>
      </c>
      <c r="H1066" s="122">
        <v>0</v>
      </c>
      <c r="I1066" s="123">
        <v>0</v>
      </c>
      <c r="J1066" s="122">
        <v>0</v>
      </c>
      <c r="K1066" s="123">
        <v>0</v>
      </c>
      <c r="L1066" s="122">
        <v>0</v>
      </c>
      <c r="M1066" s="123">
        <v>0</v>
      </c>
      <c r="N1066" s="122">
        <v>0</v>
      </c>
      <c r="O1066" s="123">
        <v>0</v>
      </c>
      <c r="P1066" s="122">
        <v>0</v>
      </c>
      <c r="Q1066" s="123">
        <v>0</v>
      </c>
      <c r="R1066" s="122">
        <v>0</v>
      </c>
      <c r="S1066" s="637">
        <v>0</v>
      </c>
      <c r="T1066" s="124">
        <v>0</v>
      </c>
      <c r="U1066" s="637">
        <v>0</v>
      </c>
      <c r="V1066" s="643" t="str">
        <f t="shared" si="108"/>
        <v xml:space="preserve"> </v>
      </c>
    </row>
    <row r="1067" spans="1:22" hidden="1">
      <c r="A1067" s="460" t="s">
        <v>2956</v>
      </c>
      <c r="B1067" s="114">
        <f>_xlfn.IFNA(VLOOKUP(Table1[[#This Row],[SKU]],'Urban Plastix Holds'!$I$36:$L$501,4,0),0)</f>
        <v>0</v>
      </c>
      <c r="C1067" s="642">
        <v>4</v>
      </c>
      <c r="D1067" s="117">
        <v>0</v>
      </c>
      <c r="E1067" s="117">
        <v>0</v>
      </c>
      <c r="F1067" s="122">
        <v>0</v>
      </c>
      <c r="G1067" s="123">
        <v>0</v>
      </c>
      <c r="H1067" s="122">
        <f>4*Table1[[#This Row],[Quantity of Sets]]</f>
        <v>0</v>
      </c>
      <c r="I1067" s="123">
        <v>0</v>
      </c>
      <c r="J1067" s="122">
        <v>0</v>
      </c>
      <c r="K1067" s="123">
        <v>0</v>
      </c>
      <c r="L1067" s="122">
        <v>0</v>
      </c>
      <c r="M1067" s="123">
        <v>0</v>
      </c>
      <c r="N1067" s="122">
        <v>0</v>
      </c>
      <c r="O1067" s="123">
        <v>0</v>
      </c>
      <c r="P1067" s="122">
        <v>0</v>
      </c>
      <c r="Q1067" s="123">
        <f>4*Table1[[#This Row],[Quantity of Sets]]</f>
        <v>0</v>
      </c>
      <c r="R1067" s="122">
        <v>0</v>
      </c>
      <c r="S1067" s="637">
        <v>0</v>
      </c>
      <c r="T1067" s="124">
        <v>0</v>
      </c>
      <c r="U1067" s="637">
        <v>0</v>
      </c>
      <c r="V1067" s="643" t="str">
        <f>IF(B1067&gt;0,"Added"," ")</f>
        <v xml:space="preserve"> </v>
      </c>
    </row>
    <row r="1068" spans="1:22" hidden="1">
      <c r="A1068" s="460" t="s">
        <v>2921</v>
      </c>
      <c r="B1068" s="114">
        <f>_xlfn.IFNA(VLOOKUP(Table1[[#This Row],[SKU]],'Urban Plastix Holds'!$I$36:$L$501,4,0),0)</f>
        <v>0</v>
      </c>
      <c r="C1068" s="642">
        <v>5</v>
      </c>
      <c r="D1068" s="117">
        <v>0</v>
      </c>
      <c r="E1068" s="117">
        <v>0</v>
      </c>
      <c r="F1068" s="122">
        <v>0</v>
      </c>
      <c r="G1068" s="123">
        <f>5*Table1[[#This Row],[Quantity of Sets]]</f>
        <v>0</v>
      </c>
      <c r="H1068" s="122">
        <v>0</v>
      </c>
      <c r="I1068" s="123">
        <v>0</v>
      </c>
      <c r="J1068" s="122">
        <v>0</v>
      </c>
      <c r="K1068" s="123">
        <v>0</v>
      </c>
      <c r="L1068" s="122">
        <v>0</v>
      </c>
      <c r="M1068" s="123">
        <v>0</v>
      </c>
      <c r="N1068" s="122">
        <v>0</v>
      </c>
      <c r="O1068" s="123">
        <v>0</v>
      </c>
      <c r="P1068" s="122">
        <v>0</v>
      </c>
      <c r="Q1068" s="123">
        <f>5*Table1[[#This Row],[Quantity of Sets]]</f>
        <v>0</v>
      </c>
      <c r="R1068" s="122">
        <v>0</v>
      </c>
      <c r="S1068" s="637">
        <v>0</v>
      </c>
      <c r="T1068" s="124">
        <v>0</v>
      </c>
      <c r="U1068" s="637">
        <v>0</v>
      </c>
      <c r="V1068" s="643" t="str">
        <f>IF(B1068&gt;0,"Added"," ")</f>
        <v xml:space="preserve"> </v>
      </c>
    </row>
    <row r="1069" spans="1:22" hidden="1">
      <c r="A1069" s="460" t="s">
        <v>2925</v>
      </c>
      <c r="B1069" s="114">
        <f>_xlfn.IFNA(VLOOKUP(Table1[[#This Row],[SKU]],'Urban Plastix Holds'!$I$36:$L$501,4,0),0)</f>
        <v>0</v>
      </c>
      <c r="C1069" s="642">
        <v>5</v>
      </c>
      <c r="D1069" s="117">
        <v>0</v>
      </c>
      <c r="E1069" s="117">
        <v>0</v>
      </c>
      <c r="F1069" s="122">
        <v>0</v>
      </c>
      <c r="G1069" s="123">
        <f>5*Table1[[#This Row],[Quantity of Sets]]</f>
        <v>0</v>
      </c>
      <c r="H1069" s="122">
        <v>0</v>
      </c>
      <c r="I1069" s="123">
        <v>0</v>
      </c>
      <c r="J1069" s="122">
        <v>0</v>
      </c>
      <c r="K1069" s="123">
        <v>0</v>
      </c>
      <c r="L1069" s="122">
        <v>0</v>
      </c>
      <c r="M1069" s="123">
        <v>0</v>
      </c>
      <c r="N1069" s="122">
        <v>0</v>
      </c>
      <c r="O1069" s="123">
        <v>0</v>
      </c>
      <c r="P1069" s="122">
        <v>0</v>
      </c>
      <c r="Q1069" s="123">
        <f>5*Table1[[#This Row],[Quantity of Sets]]</f>
        <v>0</v>
      </c>
      <c r="R1069" s="122">
        <v>0</v>
      </c>
      <c r="S1069" s="637">
        <v>0</v>
      </c>
      <c r="T1069" s="124">
        <v>0</v>
      </c>
      <c r="U1069" s="637">
        <v>0</v>
      </c>
      <c r="V1069" s="643" t="str">
        <f>IF(B1069&gt;0,"Added"," ")</f>
        <v xml:space="preserve"> </v>
      </c>
    </row>
    <row r="1070" spans="1:22" hidden="1">
      <c r="A1070" s="460" t="s">
        <v>2922</v>
      </c>
      <c r="B1070" s="114">
        <f>_xlfn.IFNA(VLOOKUP(Table1[[#This Row],[SKU]],'Urban Plastix Holds'!$I$36:$L$501,4,0),0)</f>
        <v>0</v>
      </c>
      <c r="C1070" s="682">
        <v>5</v>
      </c>
      <c r="D1070" s="683">
        <v>0</v>
      </c>
      <c r="E1070" s="683">
        <v>0</v>
      </c>
      <c r="F1070" s="684">
        <f>5*Table1[[#This Row],[Quantity of Sets]]</f>
        <v>0</v>
      </c>
      <c r="G1070" s="683">
        <v>0</v>
      </c>
      <c r="H1070" s="684">
        <v>0</v>
      </c>
      <c r="I1070" s="683">
        <v>0</v>
      </c>
      <c r="J1070" s="684">
        <v>0</v>
      </c>
      <c r="K1070" s="683">
        <v>0</v>
      </c>
      <c r="L1070" s="674">
        <v>0</v>
      </c>
      <c r="M1070" s="683">
        <v>0</v>
      </c>
      <c r="N1070" s="684">
        <v>0</v>
      </c>
      <c r="O1070" s="683">
        <v>0</v>
      </c>
      <c r="P1070" s="684">
        <v>0</v>
      </c>
      <c r="Q1070" s="633">
        <f>5*Table1[[#This Row],[Quantity of Sets]]</f>
        <v>0</v>
      </c>
      <c r="R1070" s="684">
        <v>0</v>
      </c>
      <c r="S1070" s="685">
        <v>0</v>
      </c>
      <c r="T1070" s="676">
        <v>0</v>
      </c>
      <c r="U1070" s="676">
        <v>0</v>
      </c>
      <c r="V1070" s="684" t="str">
        <f>IF(B1070&gt;0,"Added"," ")</f>
        <v xml:space="preserve"> </v>
      </c>
    </row>
    <row r="1071" spans="1:22" hidden="1">
      <c r="A1071" s="460" t="s">
        <v>2929</v>
      </c>
      <c r="B1071" s="114">
        <f>_xlfn.IFNA(VLOOKUP(Table1[[#This Row],[SKU]],'Urban Plastix Holds'!$I$36:$L$501,4,0),0)</f>
        <v>0</v>
      </c>
      <c r="C1071" s="686">
        <v>5</v>
      </c>
      <c r="D1071" s="683">
        <v>0</v>
      </c>
      <c r="E1071" s="683">
        <f>5*Table1[[#This Row],[Quantity of Sets]]</f>
        <v>0</v>
      </c>
      <c r="F1071" s="687">
        <v>0</v>
      </c>
      <c r="G1071" s="688">
        <v>0</v>
      </c>
      <c r="H1071" s="687">
        <v>0</v>
      </c>
      <c r="I1071" s="688">
        <v>0</v>
      </c>
      <c r="J1071" s="687">
        <v>0</v>
      </c>
      <c r="K1071" s="688">
        <v>0</v>
      </c>
      <c r="L1071" s="674">
        <v>0</v>
      </c>
      <c r="M1071" s="688">
        <v>0</v>
      </c>
      <c r="N1071" s="687">
        <v>0</v>
      </c>
      <c r="O1071" s="688">
        <v>0</v>
      </c>
      <c r="P1071" s="687">
        <v>0</v>
      </c>
      <c r="Q1071" s="689">
        <f>5*Table1[[#This Row],[Quantity of Sets]]</f>
        <v>0</v>
      </c>
      <c r="R1071" s="687">
        <v>0</v>
      </c>
      <c r="S1071" s="685">
        <v>0</v>
      </c>
      <c r="T1071" s="676">
        <v>0</v>
      </c>
      <c r="U1071" s="676">
        <v>0</v>
      </c>
      <c r="V1071" s="690" t="str">
        <f>IF(B1071&gt;0,"Added"," ")</f>
        <v xml:space="preserve"> </v>
      </c>
    </row>
    <row r="1072" spans="1:22" hidden="1">
      <c r="A1072" s="460" t="s">
        <v>2823</v>
      </c>
      <c r="B1072" s="114">
        <f>_xlfn.IFNA(VLOOKUP(Table1[[#This Row],[SKU]],'Urban Plastix Holds'!$I$36:$L$501,4,0),0)</f>
        <v>0</v>
      </c>
      <c r="C1072" s="642">
        <v>5</v>
      </c>
      <c r="D1072" s="117">
        <v>0</v>
      </c>
      <c r="E1072" s="117">
        <v>0</v>
      </c>
      <c r="F1072" s="122">
        <f>5*Table1[[#This Row],[Quantity of Sets]]</f>
        <v>0</v>
      </c>
      <c r="G1072" s="123">
        <v>0</v>
      </c>
      <c r="H1072" s="122">
        <v>0</v>
      </c>
      <c r="I1072" s="123">
        <v>0</v>
      </c>
      <c r="J1072" s="122">
        <v>0</v>
      </c>
      <c r="K1072" s="123">
        <v>0</v>
      </c>
      <c r="L1072" s="122">
        <v>0</v>
      </c>
      <c r="M1072" s="123">
        <v>0</v>
      </c>
      <c r="N1072" s="122">
        <v>0</v>
      </c>
      <c r="O1072" s="123">
        <v>0</v>
      </c>
      <c r="P1072" s="122">
        <v>0</v>
      </c>
      <c r="Q1072" s="123">
        <v>0</v>
      </c>
      <c r="R1072" s="122">
        <v>0</v>
      </c>
      <c r="S1072" s="637">
        <v>0</v>
      </c>
      <c r="T1072" s="124">
        <v>0</v>
      </c>
      <c r="U1072" s="637">
        <v>0</v>
      </c>
      <c r="V1072" s="643" t="str">
        <f t="shared" si="108"/>
        <v xml:space="preserve"> </v>
      </c>
    </row>
    <row r="1073" spans="1:22" hidden="1">
      <c r="A1073" s="460" t="s">
        <v>2934</v>
      </c>
      <c r="B1073" s="114">
        <f>_xlfn.IFNA(VLOOKUP(Table1[[#This Row],[SKU]],'Urban Plastix Holds'!$I$36:$L$501,4,0),0)</f>
        <v>0</v>
      </c>
      <c r="C1073" s="642">
        <v>10</v>
      </c>
      <c r="D1073" s="117">
        <f>10*Table1[[#This Row],[Quantity of Sets]]</f>
        <v>0</v>
      </c>
      <c r="E1073" s="117">
        <v>0</v>
      </c>
      <c r="F1073" s="122">
        <v>0</v>
      </c>
      <c r="G1073" s="123">
        <v>0</v>
      </c>
      <c r="H1073" s="122">
        <v>0</v>
      </c>
      <c r="I1073" s="123">
        <v>0</v>
      </c>
      <c r="J1073" s="122">
        <v>0</v>
      </c>
      <c r="K1073" s="123">
        <v>0</v>
      </c>
      <c r="L1073" s="122">
        <v>0</v>
      </c>
      <c r="M1073" s="123">
        <v>0</v>
      </c>
      <c r="N1073" s="122">
        <v>0</v>
      </c>
      <c r="O1073" s="123">
        <v>0</v>
      </c>
      <c r="P1073" s="122">
        <v>0</v>
      </c>
      <c r="Q1073" s="123">
        <f>10*Table1[[#This Row],[Quantity of Sets]]</f>
        <v>0</v>
      </c>
      <c r="R1073" s="122">
        <v>0</v>
      </c>
      <c r="S1073" s="637">
        <v>0</v>
      </c>
      <c r="T1073" s="124">
        <v>0</v>
      </c>
      <c r="U1073" s="637">
        <v>0</v>
      </c>
      <c r="V1073" s="643" t="str">
        <f>IF(B1073&gt;0,"Added"," ")</f>
        <v xml:space="preserve"> </v>
      </c>
    </row>
    <row r="1074" spans="1:22" hidden="1">
      <c r="A1074" s="451" t="s">
        <v>1377</v>
      </c>
      <c r="B1074" s="114">
        <f>_xlfn.IFNA(VLOOKUP(Table1[[#This Row],[SKU]],'Urban Plastix Holds'!$I$36:$L$501,4,0),0)</f>
        <v>14</v>
      </c>
      <c r="C1074" s="407">
        <v>5</v>
      </c>
      <c r="D1074" s="117">
        <v>0</v>
      </c>
      <c r="E1074" s="117">
        <v>0</v>
      </c>
      <c r="F1074" s="122">
        <v>0</v>
      </c>
      <c r="G1074" s="123">
        <v>0</v>
      </c>
      <c r="H1074" s="122">
        <v>0</v>
      </c>
      <c r="I1074" s="123">
        <f>IFERROR(5*B1074,0)</f>
        <v>70</v>
      </c>
      <c r="J1074" s="122">
        <v>0</v>
      </c>
      <c r="K1074" s="123">
        <v>0</v>
      </c>
      <c r="L1074" s="123">
        <v>0</v>
      </c>
      <c r="M1074" s="122">
        <v>0</v>
      </c>
      <c r="N1074" s="123">
        <v>0</v>
      </c>
      <c r="O1074" s="122">
        <v>0</v>
      </c>
      <c r="P1074" s="123">
        <v>0</v>
      </c>
      <c r="Q1074" s="122">
        <v>0</v>
      </c>
      <c r="R1074" s="123">
        <v>0</v>
      </c>
      <c r="S1074" s="119">
        <v>0</v>
      </c>
      <c r="T1074" s="119">
        <v>0</v>
      </c>
      <c r="U1074" s="119">
        <v>0</v>
      </c>
      <c r="V1074" s="124" t="str">
        <f t="shared" si="106"/>
        <v>Added</v>
      </c>
    </row>
    <row r="1075" spans="1:22" hidden="1">
      <c r="A1075" s="451" t="s">
        <v>1379</v>
      </c>
      <c r="B1075" s="114">
        <f>_xlfn.IFNA(VLOOKUP(Table1[[#This Row],[SKU]],'Urban Plastix Holds'!$I$36:$L$501,4,0),0)</f>
        <v>16</v>
      </c>
      <c r="C1075" s="407">
        <v>5</v>
      </c>
      <c r="D1075" s="117">
        <v>0</v>
      </c>
      <c r="E1075" s="117">
        <v>0</v>
      </c>
      <c r="F1075" s="122">
        <v>0</v>
      </c>
      <c r="G1075" s="123">
        <v>0</v>
      </c>
      <c r="H1075" s="122">
        <f>IFERROR(5*B1075,0)</f>
        <v>80</v>
      </c>
      <c r="I1075" s="123">
        <v>0</v>
      </c>
      <c r="J1075" s="122">
        <v>0</v>
      </c>
      <c r="K1075" s="123">
        <v>0</v>
      </c>
      <c r="L1075" s="123">
        <v>0</v>
      </c>
      <c r="M1075" s="122">
        <v>0</v>
      </c>
      <c r="N1075" s="123">
        <v>0</v>
      </c>
      <c r="O1075" s="122">
        <v>0</v>
      </c>
      <c r="P1075" s="123">
        <v>0</v>
      </c>
      <c r="Q1075" s="122">
        <v>0</v>
      </c>
      <c r="R1075" s="123">
        <v>0</v>
      </c>
      <c r="S1075" s="119">
        <v>0</v>
      </c>
      <c r="T1075" s="119">
        <v>0</v>
      </c>
      <c r="U1075" s="119">
        <v>0</v>
      </c>
      <c r="V1075" s="124" t="str">
        <f t="shared" si="106"/>
        <v>Added</v>
      </c>
    </row>
    <row r="1076" spans="1:22" hidden="1">
      <c r="A1076" s="451" t="s">
        <v>1381</v>
      </c>
      <c r="B1076" s="114">
        <f>_xlfn.IFNA(VLOOKUP(Table1[[#This Row],[SKU]],'Urban Plastix Holds'!$I$36:$L$501,4,0),0)</f>
        <v>13</v>
      </c>
      <c r="C1076" s="407">
        <v>5</v>
      </c>
      <c r="D1076" s="117">
        <v>0</v>
      </c>
      <c r="E1076" s="117">
        <v>0</v>
      </c>
      <c r="F1076" s="122">
        <v>0</v>
      </c>
      <c r="G1076" s="123">
        <v>0</v>
      </c>
      <c r="H1076" s="122">
        <f>IFERROR(5*B1076,0)</f>
        <v>65</v>
      </c>
      <c r="I1076" s="123">
        <v>0</v>
      </c>
      <c r="J1076" s="122">
        <v>0</v>
      </c>
      <c r="K1076" s="123">
        <v>0</v>
      </c>
      <c r="L1076" s="123">
        <v>0</v>
      </c>
      <c r="M1076" s="122">
        <v>0</v>
      </c>
      <c r="N1076" s="123">
        <v>0</v>
      </c>
      <c r="O1076" s="122">
        <v>0</v>
      </c>
      <c r="P1076" s="123">
        <v>0</v>
      </c>
      <c r="Q1076" s="122">
        <v>0</v>
      </c>
      <c r="R1076" s="123">
        <v>0</v>
      </c>
      <c r="S1076" s="119">
        <v>0</v>
      </c>
      <c r="T1076" s="119">
        <v>0</v>
      </c>
      <c r="U1076" s="119">
        <v>0</v>
      </c>
      <c r="V1076" s="124" t="str">
        <f t="shared" si="106"/>
        <v>Added</v>
      </c>
    </row>
    <row r="1077" spans="1:22" hidden="1">
      <c r="A1077" s="451" t="s">
        <v>1383</v>
      </c>
      <c r="B1077" s="114">
        <f>_xlfn.IFNA(VLOOKUP(Table1[[#This Row],[SKU]],'Urban Plastix Holds'!$I$36:$L$501,4,0),0)</f>
        <v>14</v>
      </c>
      <c r="C1077" s="407">
        <v>5</v>
      </c>
      <c r="D1077" s="117">
        <v>0</v>
      </c>
      <c r="E1077" s="117">
        <f>IFERROR(5*B1077,0)</f>
        <v>70</v>
      </c>
      <c r="F1077" s="122">
        <v>0</v>
      </c>
      <c r="G1077" s="123">
        <v>0</v>
      </c>
      <c r="H1077" s="122">
        <v>0</v>
      </c>
      <c r="I1077" s="123">
        <v>0</v>
      </c>
      <c r="J1077" s="122">
        <v>0</v>
      </c>
      <c r="K1077" s="123">
        <v>0</v>
      </c>
      <c r="L1077" s="123">
        <v>0</v>
      </c>
      <c r="M1077" s="122">
        <v>0</v>
      </c>
      <c r="N1077" s="123">
        <v>0</v>
      </c>
      <c r="O1077" s="122">
        <v>0</v>
      </c>
      <c r="P1077" s="123">
        <v>0</v>
      </c>
      <c r="Q1077" s="122">
        <v>0</v>
      </c>
      <c r="R1077" s="123">
        <v>0</v>
      </c>
      <c r="S1077" s="119">
        <v>0</v>
      </c>
      <c r="T1077" s="119">
        <v>0</v>
      </c>
      <c r="U1077" s="119">
        <v>0</v>
      </c>
      <c r="V1077" s="124" t="str">
        <f t="shared" si="106"/>
        <v>Added</v>
      </c>
    </row>
    <row r="1078" spans="1:22" hidden="1">
      <c r="A1078" s="451" t="s">
        <v>1385</v>
      </c>
      <c r="B1078" s="114">
        <f>_xlfn.IFNA(VLOOKUP(Table1[[#This Row],[SKU]],'Urban Plastix Holds'!$I$36:$L$501,4,0),0)</f>
        <v>12</v>
      </c>
      <c r="C1078" s="407">
        <v>5</v>
      </c>
      <c r="D1078" s="117">
        <v>0</v>
      </c>
      <c r="E1078" s="117">
        <f>IFERROR(5*B1078,0)</f>
        <v>60</v>
      </c>
      <c r="F1078" s="122">
        <v>0</v>
      </c>
      <c r="G1078" s="123">
        <v>0</v>
      </c>
      <c r="H1078" s="122">
        <v>0</v>
      </c>
      <c r="I1078" s="123">
        <v>0</v>
      </c>
      <c r="J1078" s="122">
        <v>0</v>
      </c>
      <c r="K1078" s="123">
        <v>0</v>
      </c>
      <c r="L1078" s="123">
        <v>0</v>
      </c>
      <c r="M1078" s="122">
        <v>0</v>
      </c>
      <c r="N1078" s="123">
        <v>0</v>
      </c>
      <c r="O1078" s="122">
        <v>0</v>
      </c>
      <c r="P1078" s="123">
        <v>0</v>
      </c>
      <c r="Q1078" s="122">
        <v>0</v>
      </c>
      <c r="R1078" s="123">
        <v>0</v>
      </c>
      <c r="S1078" s="119">
        <v>0</v>
      </c>
      <c r="T1078" s="119">
        <v>0</v>
      </c>
      <c r="U1078" s="119">
        <v>0</v>
      </c>
      <c r="V1078" s="124" t="str">
        <f t="shared" si="106"/>
        <v>Added</v>
      </c>
    </row>
    <row r="1079" spans="1:22" hidden="1">
      <c r="A1079" s="451" t="s">
        <v>1387</v>
      </c>
      <c r="B1079" s="114">
        <f>_xlfn.IFNA(VLOOKUP(Table1[[#This Row],[SKU]],'Urban Plastix Holds'!$I$36:$L$501,4,0),0)</f>
        <v>14</v>
      </c>
      <c r="C1079" s="407">
        <v>25</v>
      </c>
      <c r="D1079" s="117">
        <f>IFERROR(25*B1079,0)</f>
        <v>350</v>
      </c>
      <c r="E1079" s="117">
        <v>0</v>
      </c>
      <c r="F1079" s="122">
        <v>0</v>
      </c>
      <c r="G1079" s="123">
        <v>0</v>
      </c>
      <c r="H1079" s="122">
        <v>0</v>
      </c>
      <c r="I1079" s="123">
        <v>0</v>
      </c>
      <c r="J1079" s="122">
        <v>0</v>
      </c>
      <c r="K1079" s="123">
        <v>0</v>
      </c>
      <c r="L1079" s="123">
        <v>0</v>
      </c>
      <c r="M1079" s="122">
        <v>0</v>
      </c>
      <c r="N1079" s="123">
        <v>0</v>
      </c>
      <c r="O1079" s="122">
        <v>0</v>
      </c>
      <c r="P1079" s="123">
        <v>0</v>
      </c>
      <c r="Q1079" s="122">
        <v>0</v>
      </c>
      <c r="R1079" s="123">
        <v>0</v>
      </c>
      <c r="S1079" s="119">
        <v>0</v>
      </c>
      <c r="T1079" s="119">
        <v>0</v>
      </c>
      <c r="U1079" s="119">
        <v>0</v>
      </c>
      <c r="V1079" s="124" t="str">
        <f t="shared" si="106"/>
        <v>Added</v>
      </c>
    </row>
    <row r="1080" spans="1:22" hidden="1">
      <c r="A1080" s="451" t="s">
        <v>1389</v>
      </c>
      <c r="B1080" s="114">
        <f>_xlfn.IFNA(VLOOKUP(Table1[[#This Row],[SKU]],'Urban Plastix Holds'!$I$36:$L$501,4,0),0)</f>
        <v>18</v>
      </c>
      <c r="C1080" s="407">
        <v>25</v>
      </c>
      <c r="D1080" s="117">
        <f>IFERROR(25*B1080,0)</f>
        <v>450</v>
      </c>
      <c r="E1080" s="117">
        <v>0</v>
      </c>
      <c r="F1080" s="122">
        <v>0</v>
      </c>
      <c r="G1080" s="123">
        <v>0</v>
      </c>
      <c r="H1080" s="122">
        <v>0</v>
      </c>
      <c r="I1080" s="123">
        <v>0</v>
      </c>
      <c r="J1080" s="122">
        <v>0</v>
      </c>
      <c r="K1080" s="123">
        <v>0</v>
      </c>
      <c r="L1080" s="123">
        <v>0</v>
      </c>
      <c r="M1080" s="122">
        <v>0</v>
      </c>
      <c r="N1080" s="123">
        <v>0</v>
      </c>
      <c r="O1080" s="122">
        <v>0</v>
      </c>
      <c r="P1080" s="123">
        <v>0</v>
      </c>
      <c r="Q1080" s="122">
        <v>0</v>
      </c>
      <c r="R1080" s="123">
        <v>0</v>
      </c>
      <c r="S1080" s="119">
        <v>0</v>
      </c>
      <c r="T1080" s="119">
        <v>0</v>
      </c>
      <c r="U1080" s="119">
        <v>0</v>
      </c>
      <c r="V1080" s="124" t="str">
        <f t="shared" si="106"/>
        <v>Added</v>
      </c>
    </row>
    <row r="1081" spans="1:22" hidden="1">
      <c r="A1081" s="451" t="s">
        <v>1329</v>
      </c>
      <c r="B1081" s="114">
        <f>_xlfn.IFNA(VLOOKUP(Table1[[#This Row],[SKU]],'Urban Plastix Holds'!$I$36:$L$501,4,0),0)</f>
        <v>11</v>
      </c>
      <c r="C1081" s="407">
        <v>3</v>
      </c>
      <c r="D1081" s="117">
        <v>0</v>
      </c>
      <c r="E1081" s="117">
        <v>0</v>
      </c>
      <c r="F1081" s="122">
        <v>0</v>
      </c>
      <c r="G1081" s="123">
        <v>0</v>
      </c>
      <c r="H1081" s="122">
        <v>0</v>
      </c>
      <c r="I1081" s="123">
        <f>IFERROR(3*B1081,0)</f>
        <v>33</v>
      </c>
      <c r="J1081" s="122">
        <v>0</v>
      </c>
      <c r="K1081" s="123">
        <v>0</v>
      </c>
      <c r="L1081" s="123">
        <v>0</v>
      </c>
      <c r="M1081" s="122">
        <v>0</v>
      </c>
      <c r="N1081" s="123">
        <v>0</v>
      </c>
      <c r="O1081" s="122">
        <v>0</v>
      </c>
      <c r="P1081" s="123">
        <v>0</v>
      </c>
      <c r="Q1081" s="122">
        <v>0</v>
      </c>
      <c r="R1081" s="123">
        <v>0</v>
      </c>
      <c r="S1081" s="119">
        <v>0</v>
      </c>
      <c r="T1081" s="119">
        <v>0</v>
      </c>
      <c r="U1081" s="119">
        <v>0</v>
      </c>
      <c r="V1081" s="124" t="str">
        <f t="shared" si="106"/>
        <v>Added</v>
      </c>
    </row>
    <row r="1082" spans="1:22" hidden="1">
      <c r="A1082" s="451" t="s">
        <v>1330</v>
      </c>
      <c r="B1082" s="114">
        <f>_xlfn.IFNA(VLOOKUP(Table1[[#This Row],[SKU]],'Urban Plastix Holds'!$I$36:$L$501,4,0),0)</f>
        <v>9</v>
      </c>
      <c r="C1082" s="407">
        <v>5</v>
      </c>
      <c r="D1082" s="117">
        <v>0</v>
      </c>
      <c r="E1082" s="117">
        <v>0</v>
      </c>
      <c r="F1082" s="122">
        <v>0</v>
      </c>
      <c r="G1082" s="123">
        <v>0</v>
      </c>
      <c r="H1082" s="122">
        <f>IFERROR(5*B1082,0)</f>
        <v>45</v>
      </c>
      <c r="I1082" s="123">
        <v>0</v>
      </c>
      <c r="J1082" s="122">
        <v>0</v>
      </c>
      <c r="K1082" s="123">
        <v>0</v>
      </c>
      <c r="L1082" s="123">
        <v>0</v>
      </c>
      <c r="M1082" s="122">
        <v>0</v>
      </c>
      <c r="N1082" s="123">
        <v>0</v>
      </c>
      <c r="O1082" s="122">
        <v>0</v>
      </c>
      <c r="P1082" s="123">
        <v>0</v>
      </c>
      <c r="Q1082" s="122">
        <v>0</v>
      </c>
      <c r="R1082" s="123">
        <v>0</v>
      </c>
      <c r="S1082" s="119">
        <v>0</v>
      </c>
      <c r="T1082" s="119">
        <v>0</v>
      </c>
      <c r="U1082" s="119">
        <v>0</v>
      </c>
      <c r="V1082" s="124" t="str">
        <f t="shared" si="106"/>
        <v>Added</v>
      </c>
    </row>
    <row r="1083" spans="1:22" hidden="1">
      <c r="A1083" s="451" t="s">
        <v>1331</v>
      </c>
      <c r="B1083" s="114">
        <f>_xlfn.IFNA(VLOOKUP(Table1[[#This Row],[SKU]],'Urban Plastix Holds'!$I$36:$L$501,4,0),0)</f>
        <v>10</v>
      </c>
      <c r="C1083" s="407">
        <v>10</v>
      </c>
      <c r="D1083" s="117">
        <v>0</v>
      </c>
      <c r="E1083" s="117">
        <v>0</v>
      </c>
      <c r="F1083" s="122">
        <v>0</v>
      </c>
      <c r="G1083" s="123">
        <v>0</v>
      </c>
      <c r="H1083" s="122">
        <f>IFERROR(10*B1083,0)</f>
        <v>100</v>
      </c>
      <c r="I1083" s="123">
        <v>0</v>
      </c>
      <c r="J1083" s="122">
        <v>0</v>
      </c>
      <c r="K1083" s="123">
        <v>0</v>
      </c>
      <c r="L1083" s="123">
        <v>0</v>
      </c>
      <c r="M1083" s="122">
        <v>0</v>
      </c>
      <c r="N1083" s="123">
        <v>0</v>
      </c>
      <c r="O1083" s="122">
        <v>0</v>
      </c>
      <c r="P1083" s="123">
        <v>0</v>
      </c>
      <c r="Q1083" s="122">
        <v>0</v>
      </c>
      <c r="R1083" s="123">
        <v>0</v>
      </c>
      <c r="S1083" s="119">
        <v>0</v>
      </c>
      <c r="T1083" s="119">
        <v>0</v>
      </c>
      <c r="U1083" s="119">
        <v>0</v>
      </c>
      <c r="V1083" s="124" t="str">
        <f t="shared" si="106"/>
        <v>Added</v>
      </c>
    </row>
    <row r="1084" spans="1:22" hidden="1">
      <c r="A1084" s="451" t="s">
        <v>1332</v>
      </c>
      <c r="B1084" s="114">
        <f>_xlfn.IFNA(VLOOKUP(Table1[[#This Row],[SKU]],'Urban Plastix Holds'!$I$36:$L$501,4,0),0)</f>
        <v>11</v>
      </c>
      <c r="C1084" s="407">
        <v>10</v>
      </c>
      <c r="D1084" s="117">
        <v>0</v>
      </c>
      <c r="E1084" s="117">
        <f>IFERROR(10*B1084,0)</f>
        <v>110</v>
      </c>
      <c r="F1084" s="122">
        <v>0</v>
      </c>
      <c r="G1084" s="123">
        <v>0</v>
      </c>
      <c r="H1084" s="122">
        <v>0</v>
      </c>
      <c r="I1084" s="123">
        <v>0</v>
      </c>
      <c r="J1084" s="122">
        <v>0</v>
      </c>
      <c r="K1084" s="123">
        <v>0</v>
      </c>
      <c r="L1084" s="123">
        <v>0</v>
      </c>
      <c r="M1084" s="122">
        <v>0</v>
      </c>
      <c r="N1084" s="123">
        <v>0</v>
      </c>
      <c r="O1084" s="122">
        <v>0</v>
      </c>
      <c r="P1084" s="123">
        <v>0</v>
      </c>
      <c r="Q1084" s="122">
        <v>0</v>
      </c>
      <c r="R1084" s="123">
        <v>0</v>
      </c>
      <c r="S1084" s="119">
        <v>0</v>
      </c>
      <c r="T1084" s="119">
        <v>0</v>
      </c>
      <c r="U1084" s="119">
        <v>0</v>
      </c>
      <c r="V1084" s="124" t="str">
        <f t="shared" si="106"/>
        <v>Added</v>
      </c>
    </row>
    <row r="1085" spans="1:22" hidden="1">
      <c r="A1085" s="451" t="s">
        <v>1391</v>
      </c>
      <c r="B1085" s="114">
        <f>_xlfn.IFNA(VLOOKUP(Table1[[#This Row],[SKU]],'Urban Plastix Holds'!$I$36:$L$501,4,0),0)</f>
        <v>13</v>
      </c>
      <c r="C1085" s="407">
        <v>3</v>
      </c>
      <c r="D1085" s="117">
        <v>0</v>
      </c>
      <c r="E1085" s="117">
        <v>0</v>
      </c>
      <c r="F1085" s="122">
        <v>0</v>
      </c>
      <c r="G1085" s="123">
        <v>0</v>
      </c>
      <c r="H1085" s="122">
        <v>0</v>
      </c>
      <c r="I1085" s="123">
        <f>IFERROR(3*B1085,0)</f>
        <v>39</v>
      </c>
      <c r="J1085" s="122">
        <v>0</v>
      </c>
      <c r="K1085" s="123">
        <v>0</v>
      </c>
      <c r="L1085" s="123">
        <v>0</v>
      </c>
      <c r="M1085" s="122">
        <v>0</v>
      </c>
      <c r="N1085" s="123">
        <v>0</v>
      </c>
      <c r="O1085" s="122">
        <v>0</v>
      </c>
      <c r="P1085" s="123">
        <v>0</v>
      </c>
      <c r="Q1085" s="122">
        <v>0</v>
      </c>
      <c r="R1085" s="123">
        <v>0</v>
      </c>
      <c r="S1085" s="119">
        <v>0</v>
      </c>
      <c r="T1085" s="119">
        <v>0</v>
      </c>
      <c r="U1085" s="119">
        <v>0</v>
      </c>
      <c r="V1085" s="124" t="str">
        <f t="shared" si="106"/>
        <v>Added</v>
      </c>
    </row>
    <row r="1086" spans="1:22" hidden="1">
      <c r="A1086" s="451" t="s">
        <v>1393</v>
      </c>
      <c r="B1086" s="114">
        <f>_xlfn.IFNA(VLOOKUP(Table1[[#This Row],[SKU]],'Urban Plastix Holds'!$I$36:$L$501,4,0),0)</f>
        <v>14</v>
      </c>
      <c r="C1086" s="407">
        <v>3</v>
      </c>
      <c r="D1086" s="117">
        <v>0</v>
      </c>
      <c r="E1086" s="117">
        <v>0</v>
      </c>
      <c r="F1086" s="122">
        <v>0</v>
      </c>
      <c r="G1086" s="123">
        <v>0</v>
      </c>
      <c r="H1086" s="122">
        <v>0</v>
      </c>
      <c r="I1086" s="123">
        <f>IFERROR(3*B1086,0)</f>
        <v>42</v>
      </c>
      <c r="J1086" s="122">
        <v>0</v>
      </c>
      <c r="K1086" s="123">
        <v>0</v>
      </c>
      <c r="L1086" s="123">
        <v>0</v>
      </c>
      <c r="M1086" s="122">
        <v>0</v>
      </c>
      <c r="N1086" s="123">
        <v>0</v>
      </c>
      <c r="O1086" s="122">
        <v>0</v>
      </c>
      <c r="P1086" s="123">
        <v>0</v>
      </c>
      <c r="Q1086" s="122">
        <v>0</v>
      </c>
      <c r="R1086" s="123">
        <v>0</v>
      </c>
      <c r="S1086" s="119">
        <v>0</v>
      </c>
      <c r="T1086" s="119">
        <v>0</v>
      </c>
      <c r="U1086" s="119">
        <v>0</v>
      </c>
      <c r="V1086" s="124" t="str">
        <f t="shared" si="106"/>
        <v>Added</v>
      </c>
    </row>
    <row r="1087" spans="1:22" hidden="1">
      <c r="A1087" s="451" t="s">
        <v>1395</v>
      </c>
      <c r="B1087" s="114">
        <f>_xlfn.IFNA(VLOOKUP(Table1[[#This Row],[SKU]],'Urban Plastix Holds'!$I$36:$L$501,4,0),0)</f>
        <v>13</v>
      </c>
      <c r="C1087" s="407">
        <v>5</v>
      </c>
      <c r="D1087" s="117">
        <v>0</v>
      </c>
      <c r="E1087" s="117">
        <v>0</v>
      </c>
      <c r="F1087" s="122">
        <v>0</v>
      </c>
      <c r="G1087" s="123">
        <v>0</v>
      </c>
      <c r="H1087" s="122">
        <f>IFERROR(5*B1087,0)</f>
        <v>65</v>
      </c>
      <c r="I1087" s="123">
        <v>0</v>
      </c>
      <c r="J1087" s="122">
        <v>0</v>
      </c>
      <c r="K1087" s="123">
        <v>0</v>
      </c>
      <c r="L1087" s="123">
        <v>0</v>
      </c>
      <c r="M1087" s="122">
        <v>0</v>
      </c>
      <c r="N1087" s="123">
        <v>0</v>
      </c>
      <c r="O1087" s="122">
        <v>0</v>
      </c>
      <c r="P1087" s="123">
        <v>0</v>
      </c>
      <c r="Q1087" s="122">
        <v>0</v>
      </c>
      <c r="R1087" s="123">
        <v>0</v>
      </c>
      <c r="S1087" s="119">
        <v>0</v>
      </c>
      <c r="T1087" s="119">
        <v>0</v>
      </c>
      <c r="U1087" s="119">
        <v>0</v>
      </c>
      <c r="V1087" s="124" t="str">
        <f t="shared" si="106"/>
        <v>Added</v>
      </c>
    </row>
    <row r="1088" spans="1:22" hidden="1">
      <c r="A1088" s="451" t="s">
        <v>1397</v>
      </c>
      <c r="B1088" s="114">
        <f>_xlfn.IFNA(VLOOKUP(Table1[[#This Row],[SKU]],'Urban Plastix Holds'!$I$36:$L$501,4,0),0)</f>
        <v>11</v>
      </c>
      <c r="C1088" s="407">
        <v>5</v>
      </c>
      <c r="D1088" s="117">
        <v>0</v>
      </c>
      <c r="E1088" s="117">
        <v>0</v>
      </c>
      <c r="F1088" s="122">
        <v>0</v>
      </c>
      <c r="G1088" s="123">
        <v>0</v>
      </c>
      <c r="H1088" s="122">
        <f>IFERROR(5*B1088,0)</f>
        <v>55</v>
      </c>
      <c r="I1088" s="123">
        <v>0</v>
      </c>
      <c r="J1088" s="122">
        <v>0</v>
      </c>
      <c r="K1088" s="123">
        <v>0</v>
      </c>
      <c r="L1088" s="123">
        <v>0</v>
      </c>
      <c r="M1088" s="122">
        <v>0</v>
      </c>
      <c r="N1088" s="123">
        <v>0</v>
      </c>
      <c r="O1088" s="122">
        <v>0</v>
      </c>
      <c r="P1088" s="123">
        <v>0</v>
      </c>
      <c r="Q1088" s="122">
        <v>0</v>
      </c>
      <c r="R1088" s="123">
        <v>0</v>
      </c>
      <c r="S1088" s="119">
        <v>0</v>
      </c>
      <c r="T1088" s="119">
        <v>0</v>
      </c>
      <c r="U1088" s="119">
        <v>0</v>
      </c>
      <c r="V1088" s="124" t="str">
        <f t="shared" si="106"/>
        <v>Added</v>
      </c>
    </row>
    <row r="1089" spans="1:22" hidden="1">
      <c r="A1089" s="451" t="s">
        <v>1399</v>
      </c>
      <c r="B1089" s="114">
        <f>_xlfn.IFNA(VLOOKUP(Table1[[#This Row],[SKU]],'Urban Plastix Holds'!$I$36:$L$501,4,0),0)</f>
        <v>13</v>
      </c>
      <c r="C1089" s="407">
        <v>3</v>
      </c>
      <c r="D1089" s="117">
        <v>0</v>
      </c>
      <c r="E1089" s="117">
        <v>0</v>
      </c>
      <c r="F1089" s="122">
        <v>0</v>
      </c>
      <c r="G1089" s="123">
        <v>0</v>
      </c>
      <c r="H1089" s="122">
        <f>IFERROR(3*B1089,0)</f>
        <v>39</v>
      </c>
      <c r="I1089" s="123">
        <v>0</v>
      </c>
      <c r="J1089" s="122">
        <v>0</v>
      </c>
      <c r="K1089" s="123">
        <v>0</v>
      </c>
      <c r="L1089" s="123">
        <v>0</v>
      </c>
      <c r="M1089" s="122">
        <v>0</v>
      </c>
      <c r="N1089" s="123">
        <v>0</v>
      </c>
      <c r="O1089" s="122">
        <v>0</v>
      </c>
      <c r="P1089" s="123">
        <v>0</v>
      </c>
      <c r="Q1089" s="122">
        <v>0</v>
      </c>
      <c r="R1089" s="123">
        <v>0</v>
      </c>
      <c r="S1089" s="119">
        <v>0</v>
      </c>
      <c r="T1089" s="119">
        <v>0</v>
      </c>
      <c r="U1089" s="119">
        <v>0</v>
      </c>
      <c r="V1089" s="124" t="str">
        <f t="shared" si="106"/>
        <v>Added</v>
      </c>
    </row>
    <row r="1090" spans="1:22" hidden="1">
      <c r="A1090" s="451" t="s">
        <v>1401</v>
      </c>
      <c r="B1090" s="114">
        <f>_xlfn.IFNA(VLOOKUP(Table1[[#This Row],[SKU]],'Urban Plastix Holds'!$I$36:$L$501,4,0),0)</f>
        <v>13</v>
      </c>
      <c r="C1090" s="407">
        <v>5</v>
      </c>
      <c r="D1090" s="117">
        <v>0</v>
      </c>
      <c r="E1090" s="117">
        <v>0</v>
      </c>
      <c r="F1090" s="122">
        <v>0</v>
      </c>
      <c r="G1090" s="123">
        <v>0</v>
      </c>
      <c r="H1090" s="122">
        <f>IFERROR(5*B1090,0)</f>
        <v>65</v>
      </c>
      <c r="I1090" s="123">
        <v>0</v>
      </c>
      <c r="J1090" s="122">
        <v>0</v>
      </c>
      <c r="K1090" s="123">
        <v>0</v>
      </c>
      <c r="L1090" s="123">
        <v>0</v>
      </c>
      <c r="M1090" s="122">
        <v>0</v>
      </c>
      <c r="N1090" s="123">
        <v>0</v>
      </c>
      <c r="O1090" s="122">
        <v>0</v>
      </c>
      <c r="P1090" s="123">
        <v>0</v>
      </c>
      <c r="Q1090" s="122">
        <v>0</v>
      </c>
      <c r="R1090" s="123">
        <v>0</v>
      </c>
      <c r="S1090" s="119">
        <v>0</v>
      </c>
      <c r="T1090" s="119">
        <v>0</v>
      </c>
      <c r="U1090" s="119">
        <v>0</v>
      </c>
      <c r="V1090" s="124" t="str">
        <f t="shared" si="106"/>
        <v>Added</v>
      </c>
    </row>
    <row r="1091" spans="1:22" hidden="1">
      <c r="A1091" s="451" t="s">
        <v>1403</v>
      </c>
      <c r="B1091" s="114">
        <f>_xlfn.IFNA(VLOOKUP(Table1[[#This Row],[SKU]],'Urban Plastix Holds'!$I$36:$L$501,4,0),0)</f>
        <v>13</v>
      </c>
      <c r="C1091" s="407">
        <v>3</v>
      </c>
      <c r="D1091" s="117">
        <v>0</v>
      </c>
      <c r="E1091" s="117">
        <f>IFERROR(3*B1091,0)</f>
        <v>39</v>
      </c>
      <c r="F1091" s="122">
        <v>0</v>
      </c>
      <c r="G1091" s="123">
        <v>0</v>
      </c>
      <c r="H1091" s="122">
        <v>0</v>
      </c>
      <c r="I1091" s="123">
        <v>0</v>
      </c>
      <c r="J1091" s="122">
        <v>0</v>
      </c>
      <c r="K1091" s="123">
        <v>0</v>
      </c>
      <c r="L1091" s="123">
        <v>0</v>
      </c>
      <c r="M1091" s="122">
        <v>0</v>
      </c>
      <c r="N1091" s="123">
        <v>0</v>
      </c>
      <c r="O1091" s="122">
        <v>0</v>
      </c>
      <c r="P1091" s="123">
        <v>0</v>
      </c>
      <c r="Q1091" s="122">
        <v>0</v>
      </c>
      <c r="R1091" s="123">
        <v>0</v>
      </c>
      <c r="S1091" s="119">
        <v>0</v>
      </c>
      <c r="T1091" s="119">
        <v>0</v>
      </c>
      <c r="U1091" s="119">
        <v>0</v>
      </c>
      <c r="V1091" s="124" t="str">
        <f t="shared" si="106"/>
        <v>Added</v>
      </c>
    </row>
    <row r="1092" spans="1:22" hidden="1">
      <c r="A1092" s="451" t="s">
        <v>1404</v>
      </c>
      <c r="B1092" s="114">
        <f>_xlfn.IFNA(VLOOKUP(Table1[[#This Row],[SKU]],'Urban Plastix Holds'!$I$36:$L$501,4,0),0)</f>
        <v>13</v>
      </c>
      <c r="C1092" s="407">
        <v>2</v>
      </c>
      <c r="D1092" s="117">
        <v>0</v>
      </c>
      <c r="E1092" s="117">
        <f>IFERROR(2*B1092,0)</f>
        <v>26</v>
      </c>
      <c r="F1092" s="122">
        <v>0</v>
      </c>
      <c r="G1092" s="123">
        <v>0</v>
      </c>
      <c r="H1092" s="122">
        <v>0</v>
      </c>
      <c r="I1092" s="123">
        <v>0</v>
      </c>
      <c r="J1092" s="122">
        <v>0</v>
      </c>
      <c r="K1092" s="123">
        <v>0</v>
      </c>
      <c r="L1092" s="123">
        <v>0</v>
      </c>
      <c r="M1092" s="122">
        <v>0</v>
      </c>
      <c r="N1092" s="123">
        <v>0</v>
      </c>
      <c r="O1092" s="122">
        <v>0</v>
      </c>
      <c r="P1092" s="123">
        <v>0</v>
      </c>
      <c r="Q1092" s="122">
        <v>0</v>
      </c>
      <c r="R1092" s="123">
        <v>0</v>
      </c>
      <c r="S1092" s="119">
        <v>0</v>
      </c>
      <c r="T1092" s="119">
        <v>0</v>
      </c>
      <c r="U1092" s="119">
        <v>0</v>
      </c>
      <c r="V1092" s="124" t="str">
        <f t="shared" si="106"/>
        <v>Added</v>
      </c>
    </row>
    <row r="1093" spans="1:22" hidden="1">
      <c r="A1093" s="451" t="s">
        <v>1405</v>
      </c>
      <c r="B1093" s="114">
        <f>_xlfn.IFNA(VLOOKUP(Table1[[#This Row],[SKU]],'Urban Plastix Holds'!$I$36:$L$501,4,0),0)</f>
        <v>12</v>
      </c>
      <c r="C1093" s="407">
        <v>5</v>
      </c>
      <c r="D1093" s="117">
        <v>0</v>
      </c>
      <c r="E1093" s="117">
        <f>IFERROR(5*B1093,0)</f>
        <v>60</v>
      </c>
      <c r="F1093" s="122">
        <v>0</v>
      </c>
      <c r="G1093" s="123">
        <v>0</v>
      </c>
      <c r="H1093" s="122">
        <v>0</v>
      </c>
      <c r="I1093" s="123">
        <v>0</v>
      </c>
      <c r="J1093" s="122">
        <v>0</v>
      </c>
      <c r="K1093" s="123">
        <v>0</v>
      </c>
      <c r="L1093" s="123">
        <v>0</v>
      </c>
      <c r="M1093" s="122">
        <v>0</v>
      </c>
      <c r="N1093" s="123">
        <v>0</v>
      </c>
      <c r="O1093" s="122">
        <v>0</v>
      </c>
      <c r="P1093" s="123">
        <v>0</v>
      </c>
      <c r="Q1093" s="122">
        <v>0</v>
      </c>
      <c r="R1093" s="123">
        <v>0</v>
      </c>
      <c r="S1093" s="119">
        <v>0</v>
      </c>
      <c r="T1093" s="119">
        <v>0</v>
      </c>
      <c r="U1093" s="119">
        <v>0</v>
      </c>
      <c r="V1093" s="124" t="str">
        <f t="shared" si="106"/>
        <v>Added</v>
      </c>
    </row>
    <row r="1094" spans="1:22" hidden="1">
      <c r="A1094" s="451" t="s">
        <v>1407</v>
      </c>
      <c r="B1094" s="114">
        <f>_xlfn.IFNA(VLOOKUP(Table1[[#This Row],[SKU]],'Urban Plastix Holds'!$I$36:$L$501,4,0),0)</f>
        <v>14</v>
      </c>
      <c r="C1094" s="407">
        <v>5</v>
      </c>
      <c r="D1094" s="117">
        <v>0</v>
      </c>
      <c r="E1094" s="117">
        <f>IFERROR(5*B1094,0)</f>
        <v>70</v>
      </c>
      <c r="F1094" s="122">
        <v>0</v>
      </c>
      <c r="G1094" s="123">
        <v>0</v>
      </c>
      <c r="H1094" s="122">
        <v>0</v>
      </c>
      <c r="I1094" s="123">
        <v>0</v>
      </c>
      <c r="J1094" s="122">
        <v>0</v>
      </c>
      <c r="K1094" s="123">
        <v>0</v>
      </c>
      <c r="L1094" s="123">
        <v>0</v>
      </c>
      <c r="M1094" s="122">
        <v>0</v>
      </c>
      <c r="N1094" s="123">
        <v>0</v>
      </c>
      <c r="O1094" s="122">
        <v>0</v>
      </c>
      <c r="P1094" s="123">
        <v>0</v>
      </c>
      <c r="Q1094" s="122">
        <v>0</v>
      </c>
      <c r="R1094" s="123">
        <v>0</v>
      </c>
      <c r="S1094" s="119">
        <v>0</v>
      </c>
      <c r="T1094" s="119">
        <v>0</v>
      </c>
      <c r="U1094" s="119">
        <v>0</v>
      </c>
      <c r="V1094" s="124" t="str">
        <f t="shared" si="106"/>
        <v>Added</v>
      </c>
    </row>
    <row r="1095" spans="1:22" hidden="1">
      <c r="A1095" s="451" t="s">
        <v>1409</v>
      </c>
      <c r="B1095" s="114">
        <f>_xlfn.IFNA(VLOOKUP(Table1[[#This Row],[SKU]],'Urban Plastix Holds'!$I$36:$L$501,4,0),0)</f>
        <v>13</v>
      </c>
      <c r="C1095" s="407">
        <v>10</v>
      </c>
      <c r="D1095" s="117">
        <f>IFERROR(10*B1095,0)</f>
        <v>130</v>
      </c>
      <c r="E1095" s="117">
        <v>0</v>
      </c>
      <c r="F1095" s="122">
        <v>0</v>
      </c>
      <c r="G1095" s="123">
        <v>0</v>
      </c>
      <c r="H1095" s="122">
        <v>0</v>
      </c>
      <c r="I1095" s="123">
        <v>0</v>
      </c>
      <c r="J1095" s="122">
        <v>0</v>
      </c>
      <c r="K1095" s="123">
        <v>0</v>
      </c>
      <c r="L1095" s="123">
        <v>0</v>
      </c>
      <c r="M1095" s="122">
        <v>0</v>
      </c>
      <c r="N1095" s="123">
        <v>0</v>
      </c>
      <c r="O1095" s="122">
        <v>0</v>
      </c>
      <c r="P1095" s="123">
        <v>0</v>
      </c>
      <c r="Q1095" s="122">
        <v>0</v>
      </c>
      <c r="R1095" s="123">
        <v>0</v>
      </c>
      <c r="S1095" s="119">
        <v>0</v>
      </c>
      <c r="T1095" s="119">
        <v>0</v>
      </c>
      <c r="U1095" s="119">
        <v>0</v>
      </c>
      <c r="V1095" s="124" t="str">
        <f t="shared" si="106"/>
        <v>Added</v>
      </c>
    </row>
    <row r="1096" spans="1:22" hidden="1">
      <c r="A1096" s="451" t="s">
        <v>1411</v>
      </c>
      <c r="B1096" s="114">
        <f>_xlfn.IFNA(VLOOKUP(Table1[[#This Row],[SKU]],'Urban Plastix Holds'!$I$36:$L$501,4,0),0)</f>
        <v>9</v>
      </c>
      <c r="C1096" s="407">
        <v>10</v>
      </c>
      <c r="D1096" s="117">
        <f>IFERROR(10*B1096,0)</f>
        <v>90</v>
      </c>
      <c r="E1096" s="117">
        <v>0</v>
      </c>
      <c r="F1096" s="122">
        <v>0</v>
      </c>
      <c r="G1096" s="123">
        <v>0</v>
      </c>
      <c r="H1096" s="122">
        <v>0</v>
      </c>
      <c r="I1096" s="123">
        <v>0</v>
      </c>
      <c r="J1096" s="122">
        <v>0</v>
      </c>
      <c r="K1096" s="123">
        <v>0</v>
      </c>
      <c r="L1096" s="123">
        <v>0</v>
      </c>
      <c r="M1096" s="122">
        <v>0</v>
      </c>
      <c r="N1096" s="123">
        <v>0</v>
      </c>
      <c r="O1096" s="122">
        <v>0</v>
      </c>
      <c r="P1096" s="123">
        <v>0</v>
      </c>
      <c r="Q1096" s="122">
        <v>0</v>
      </c>
      <c r="R1096" s="123">
        <v>0</v>
      </c>
      <c r="S1096" s="119">
        <v>0</v>
      </c>
      <c r="T1096" s="119">
        <v>0</v>
      </c>
      <c r="U1096" s="119">
        <v>0</v>
      </c>
      <c r="V1096" s="124" t="str">
        <f t="shared" si="106"/>
        <v>Added</v>
      </c>
    </row>
    <row r="1097" spans="1:22" hidden="1">
      <c r="A1097" s="451" t="s">
        <v>1413</v>
      </c>
      <c r="B1097" s="114">
        <f>_xlfn.IFNA(VLOOKUP(Table1[[#This Row],[SKU]],'Urban Plastix Holds'!$I$36:$L$501,4,0),0)</f>
        <v>7</v>
      </c>
      <c r="C1097" s="407">
        <v>25</v>
      </c>
      <c r="D1097" s="117">
        <f>IFERROR(25*B1097,0)</f>
        <v>175</v>
      </c>
      <c r="E1097" s="117">
        <v>0</v>
      </c>
      <c r="F1097" s="122">
        <v>0</v>
      </c>
      <c r="G1097" s="123">
        <v>0</v>
      </c>
      <c r="H1097" s="122">
        <v>0</v>
      </c>
      <c r="I1097" s="123">
        <v>0</v>
      </c>
      <c r="J1097" s="122">
        <v>0</v>
      </c>
      <c r="K1097" s="123">
        <v>0</v>
      </c>
      <c r="L1097" s="123">
        <v>0</v>
      </c>
      <c r="M1097" s="122">
        <v>0</v>
      </c>
      <c r="N1097" s="123">
        <v>0</v>
      </c>
      <c r="O1097" s="122">
        <v>0</v>
      </c>
      <c r="P1097" s="123">
        <v>0</v>
      </c>
      <c r="Q1097" s="122">
        <v>0</v>
      </c>
      <c r="R1097" s="123">
        <v>0</v>
      </c>
      <c r="S1097" s="119">
        <v>0</v>
      </c>
      <c r="T1097" s="119">
        <v>0</v>
      </c>
      <c r="U1097" s="119">
        <v>0</v>
      </c>
      <c r="V1097" s="124" t="str">
        <f t="shared" si="106"/>
        <v>Added</v>
      </c>
    </row>
    <row r="1098" spans="1:22" hidden="1">
      <c r="A1098" s="451" t="s">
        <v>1336</v>
      </c>
      <c r="B1098" s="114">
        <f>_xlfn.IFNA(VLOOKUP(Table1[[#This Row],[SKU]],'Urban Plastix Holds'!$I$36:$L$501,4,0),0)</f>
        <v>8</v>
      </c>
      <c r="C1098" s="407">
        <v>5</v>
      </c>
      <c r="D1098" s="117">
        <v>0</v>
      </c>
      <c r="E1098" s="117">
        <v>0</v>
      </c>
      <c r="F1098" s="122">
        <v>0</v>
      </c>
      <c r="G1098" s="123">
        <v>0</v>
      </c>
      <c r="H1098" s="122">
        <v>0</v>
      </c>
      <c r="I1098" s="123">
        <v>0</v>
      </c>
      <c r="J1098" s="122">
        <f>IFERROR(5*B1098,0)</f>
        <v>40</v>
      </c>
      <c r="K1098" s="123">
        <v>0</v>
      </c>
      <c r="L1098" s="123">
        <v>0</v>
      </c>
      <c r="M1098" s="122">
        <v>0</v>
      </c>
      <c r="N1098" s="123">
        <v>0</v>
      </c>
      <c r="O1098" s="122">
        <v>0</v>
      </c>
      <c r="P1098" s="123">
        <v>0</v>
      </c>
      <c r="Q1098" s="122">
        <v>0</v>
      </c>
      <c r="R1098" s="123">
        <v>0</v>
      </c>
      <c r="S1098" s="119">
        <v>0</v>
      </c>
      <c r="T1098" s="119">
        <v>0</v>
      </c>
      <c r="U1098" s="119">
        <v>0</v>
      </c>
      <c r="V1098" s="124" t="str">
        <f t="shared" si="106"/>
        <v>Added</v>
      </c>
    </row>
    <row r="1099" spans="1:22" hidden="1">
      <c r="A1099" s="451" t="s">
        <v>1337</v>
      </c>
      <c r="B1099" s="114">
        <f>_xlfn.IFNA(VLOOKUP(Table1[[#This Row],[SKU]],'Urban Plastix Holds'!$I$36:$L$501,4,0),0)</f>
        <v>13</v>
      </c>
      <c r="C1099" s="407">
        <v>2</v>
      </c>
      <c r="D1099" s="117">
        <v>0</v>
      </c>
      <c r="E1099" s="117">
        <v>0</v>
      </c>
      <c r="F1099" s="122">
        <v>0</v>
      </c>
      <c r="G1099" s="123">
        <v>0</v>
      </c>
      <c r="H1099" s="122">
        <v>0</v>
      </c>
      <c r="I1099" s="123">
        <v>0</v>
      </c>
      <c r="J1099" s="122">
        <f>IFERROR(2*B1099,0)</f>
        <v>26</v>
      </c>
      <c r="K1099" s="123">
        <v>0</v>
      </c>
      <c r="L1099" s="123">
        <v>0</v>
      </c>
      <c r="M1099" s="122">
        <v>0</v>
      </c>
      <c r="N1099" s="123">
        <v>0</v>
      </c>
      <c r="O1099" s="122">
        <v>0</v>
      </c>
      <c r="P1099" s="123">
        <v>0</v>
      </c>
      <c r="Q1099" s="122">
        <v>0</v>
      </c>
      <c r="R1099" s="123">
        <v>0</v>
      </c>
      <c r="S1099" s="119">
        <v>0</v>
      </c>
      <c r="T1099" s="119">
        <v>0</v>
      </c>
      <c r="U1099" s="119">
        <v>0</v>
      </c>
      <c r="V1099" s="124" t="str">
        <f t="shared" si="106"/>
        <v>Added</v>
      </c>
    </row>
    <row r="1100" spans="1:22" hidden="1">
      <c r="A1100" s="460" t="s">
        <v>2901</v>
      </c>
      <c r="B1100" s="114">
        <f>_xlfn.IFNA(VLOOKUP(Table1[[#This Row],[SKU]],'Urban Plastix Holds'!$I$36:$L$501,4,0),0)</f>
        <v>0</v>
      </c>
      <c r="C1100" s="673">
        <v>2</v>
      </c>
      <c r="D1100" s="671">
        <v>0</v>
      </c>
      <c r="E1100" s="671">
        <v>0</v>
      </c>
      <c r="F1100" s="672">
        <v>0</v>
      </c>
      <c r="G1100" s="671">
        <v>0</v>
      </c>
      <c r="H1100" s="672">
        <v>0</v>
      </c>
      <c r="I1100" s="671">
        <f>2*Table1[[#This Row],[Quantity of Sets]]</f>
        <v>0</v>
      </c>
      <c r="J1100" s="672">
        <v>0</v>
      </c>
      <c r="K1100" s="671">
        <v>0</v>
      </c>
      <c r="L1100" s="674">
        <v>0</v>
      </c>
      <c r="M1100" s="672">
        <v>0</v>
      </c>
      <c r="N1100" s="671">
        <v>0</v>
      </c>
      <c r="O1100" s="672">
        <v>0</v>
      </c>
      <c r="P1100" s="671">
        <v>0</v>
      </c>
      <c r="Q1100" s="607">
        <f>2*Table1[[#This Row],[Quantity of Sets]]</f>
        <v>0</v>
      </c>
      <c r="R1100" s="672">
        <v>0</v>
      </c>
      <c r="S1100" s="675">
        <v>0</v>
      </c>
      <c r="T1100" s="676">
        <v>0</v>
      </c>
      <c r="U1100" s="676">
        <v>0</v>
      </c>
      <c r="V1100" s="672" t="str">
        <f>IF(B1100&gt;0,"Added"," ")</f>
        <v xml:space="preserve"> </v>
      </c>
    </row>
    <row r="1101" spans="1:22" hidden="1">
      <c r="A1101" s="460" t="s">
        <v>2903</v>
      </c>
      <c r="B1101" s="114">
        <f>_xlfn.IFNA(VLOOKUP(Table1[[#This Row],[SKU]],'Urban Plastix Holds'!$I$36:$L$501,4,0),0)</f>
        <v>0</v>
      </c>
      <c r="C1101" s="677">
        <v>5</v>
      </c>
      <c r="D1101" s="671">
        <v>0</v>
      </c>
      <c r="E1101" s="671">
        <v>0</v>
      </c>
      <c r="F1101" s="678">
        <v>0</v>
      </c>
      <c r="G1101" s="679">
        <v>0</v>
      </c>
      <c r="H1101" s="678">
        <v>0</v>
      </c>
      <c r="I1101" s="679">
        <v>0</v>
      </c>
      <c r="J1101" s="678">
        <v>0</v>
      </c>
      <c r="K1101" s="679">
        <v>0</v>
      </c>
      <c r="L1101" s="674">
        <v>0</v>
      </c>
      <c r="M1101" s="678">
        <v>0</v>
      </c>
      <c r="N1101" s="679">
        <v>0</v>
      </c>
      <c r="O1101" s="678">
        <v>0</v>
      </c>
      <c r="P1101" s="679">
        <v>0</v>
      </c>
      <c r="Q1101" s="680">
        <f>20*Table1[[#This Row],[Quantity of Sets]]</f>
        <v>0</v>
      </c>
      <c r="R1101" s="678">
        <v>0</v>
      </c>
      <c r="S1101" s="675">
        <v>0</v>
      </c>
      <c r="T1101" s="676">
        <v>0</v>
      </c>
      <c r="U1101" s="676">
        <v>0</v>
      </c>
      <c r="V1101" s="681" t="str">
        <f>IF(B1101&gt;0,"Added"," ")</f>
        <v xml:space="preserve"> </v>
      </c>
    </row>
    <row r="1102" spans="1:22" hidden="1">
      <c r="A1102" s="460" t="s">
        <v>2907</v>
      </c>
      <c r="B1102" s="114">
        <f>_xlfn.IFNA(VLOOKUP(Table1[[#This Row],[SKU]],'Urban Plastix Holds'!$I$36:$L$501,4,0),0)</f>
        <v>0</v>
      </c>
      <c r="C1102" s="677">
        <v>12</v>
      </c>
      <c r="D1102" s="671">
        <v>0</v>
      </c>
      <c r="E1102" s="671">
        <v>0</v>
      </c>
      <c r="F1102" s="678">
        <v>0</v>
      </c>
      <c r="G1102" s="679">
        <v>0</v>
      </c>
      <c r="H1102" s="678">
        <v>0</v>
      </c>
      <c r="I1102" s="679">
        <v>0</v>
      </c>
      <c r="J1102" s="678">
        <v>0</v>
      </c>
      <c r="K1102" s="679">
        <v>0</v>
      </c>
      <c r="L1102" s="674">
        <v>0</v>
      </c>
      <c r="M1102" s="678">
        <v>0</v>
      </c>
      <c r="N1102" s="679">
        <v>0</v>
      </c>
      <c r="O1102" s="678">
        <v>0</v>
      </c>
      <c r="P1102" s="679">
        <v>0</v>
      </c>
      <c r="Q1102" s="680">
        <f>36*Table1[[#This Row],[Quantity of Sets]]</f>
        <v>0</v>
      </c>
      <c r="R1102" s="678">
        <v>0</v>
      </c>
      <c r="S1102" s="675">
        <v>0</v>
      </c>
      <c r="T1102" s="676">
        <v>0</v>
      </c>
      <c r="U1102" s="676">
        <v>0</v>
      </c>
      <c r="V1102" s="681" t="str">
        <f t="shared" ref="V1102:V1104" si="109">IF(B1102&gt;0,"Added"," ")</f>
        <v xml:space="preserve"> </v>
      </c>
    </row>
    <row r="1103" spans="1:22" hidden="1">
      <c r="A1103" s="460" t="s">
        <v>2909</v>
      </c>
      <c r="B1103" s="114">
        <f>_xlfn.IFNA(VLOOKUP(Table1[[#This Row],[SKU]],'Urban Plastix Holds'!$I$36:$L$501,4,0),0)</f>
        <v>0</v>
      </c>
      <c r="C1103" s="677">
        <v>11</v>
      </c>
      <c r="D1103" s="671">
        <v>0</v>
      </c>
      <c r="E1103" s="671">
        <v>0</v>
      </c>
      <c r="F1103" s="678">
        <v>0</v>
      </c>
      <c r="G1103" s="679">
        <v>0</v>
      </c>
      <c r="H1103" s="678">
        <v>0</v>
      </c>
      <c r="I1103" s="679">
        <v>0</v>
      </c>
      <c r="J1103" s="678">
        <v>0</v>
      </c>
      <c r="K1103" s="679">
        <v>0</v>
      </c>
      <c r="L1103" s="674">
        <v>0</v>
      </c>
      <c r="M1103" s="678">
        <v>0</v>
      </c>
      <c r="N1103" s="679">
        <v>0</v>
      </c>
      <c r="O1103" s="678">
        <v>0</v>
      </c>
      <c r="P1103" s="679">
        <v>0</v>
      </c>
      <c r="Q1103" s="680">
        <f>33*Table1[[#This Row],[Quantity of Sets]]</f>
        <v>0</v>
      </c>
      <c r="R1103" s="678">
        <v>0</v>
      </c>
      <c r="S1103" s="675">
        <v>0</v>
      </c>
      <c r="T1103" s="676">
        <v>0</v>
      </c>
      <c r="U1103" s="676">
        <v>0</v>
      </c>
      <c r="V1103" s="681" t="str">
        <f t="shared" si="109"/>
        <v xml:space="preserve"> </v>
      </c>
    </row>
    <row r="1104" spans="1:22" hidden="1">
      <c r="A1104" s="460" t="s">
        <v>2911</v>
      </c>
      <c r="B1104" s="114">
        <f>_xlfn.IFNA(VLOOKUP(Table1[[#This Row],[SKU]],'Urban Plastix Holds'!$I$36:$L$501,4,0),0)</f>
        <v>0</v>
      </c>
      <c r="C1104" s="677">
        <v>6</v>
      </c>
      <c r="D1104" s="671">
        <v>0</v>
      </c>
      <c r="E1104" s="671">
        <v>0</v>
      </c>
      <c r="F1104" s="678">
        <v>0</v>
      </c>
      <c r="G1104" s="679">
        <v>0</v>
      </c>
      <c r="H1104" s="678">
        <v>0</v>
      </c>
      <c r="I1104" s="679">
        <v>0</v>
      </c>
      <c r="J1104" s="678">
        <v>0</v>
      </c>
      <c r="K1104" s="679">
        <v>0</v>
      </c>
      <c r="L1104" s="674">
        <v>0</v>
      </c>
      <c r="M1104" s="678">
        <v>0</v>
      </c>
      <c r="N1104" s="679">
        <v>0</v>
      </c>
      <c r="O1104" s="678">
        <v>0</v>
      </c>
      <c r="P1104" s="679">
        <v>0</v>
      </c>
      <c r="Q1104" s="680">
        <f>18*Table1[[#This Row],[Quantity of Sets]]</f>
        <v>0</v>
      </c>
      <c r="R1104" s="678">
        <v>0</v>
      </c>
      <c r="S1104" s="675">
        <v>0</v>
      </c>
      <c r="T1104" s="676">
        <v>0</v>
      </c>
      <c r="U1104" s="676">
        <v>0</v>
      </c>
      <c r="V1104" s="681" t="str">
        <f t="shared" si="109"/>
        <v xml:space="preserve"> </v>
      </c>
    </row>
    <row r="1105" spans="1:22" hidden="1">
      <c r="A1105" s="460" t="s">
        <v>2917</v>
      </c>
      <c r="B1105" s="114">
        <f>_xlfn.IFNA(VLOOKUP(Table1[[#This Row],[SKU]],'Urban Plastix Holds'!$I$36:$L$501,4,0),0)</f>
        <v>0</v>
      </c>
      <c r="C1105" s="677">
        <v>5</v>
      </c>
      <c r="D1105" s="671">
        <v>0</v>
      </c>
      <c r="E1105" s="671">
        <v>0</v>
      </c>
      <c r="F1105" s="678">
        <f>5*Table1[[#This Row],[Quantity of Sets]]</f>
        <v>0</v>
      </c>
      <c r="G1105" s="679">
        <v>0</v>
      </c>
      <c r="H1105" s="678">
        <v>0</v>
      </c>
      <c r="I1105" s="679">
        <v>0</v>
      </c>
      <c r="J1105" s="678">
        <v>0</v>
      </c>
      <c r="K1105" s="679">
        <v>0</v>
      </c>
      <c r="L1105" s="674">
        <v>0</v>
      </c>
      <c r="M1105" s="678">
        <v>0</v>
      </c>
      <c r="N1105" s="679">
        <v>0</v>
      </c>
      <c r="O1105" s="678">
        <v>0</v>
      </c>
      <c r="P1105" s="679">
        <v>0</v>
      </c>
      <c r="Q1105" s="680">
        <f>5*Table1[[#This Row],[Quantity of Sets]]</f>
        <v>0</v>
      </c>
      <c r="R1105" s="678">
        <v>0</v>
      </c>
      <c r="S1105" s="675">
        <v>0</v>
      </c>
      <c r="T1105" s="676">
        <v>0</v>
      </c>
      <c r="U1105" s="676">
        <v>0</v>
      </c>
      <c r="V1105" s="681" t="str">
        <f>IF(B1105&gt;0,"Added"," ")</f>
        <v xml:space="preserve"> </v>
      </c>
    </row>
    <row r="1106" spans="1:22" hidden="1">
      <c r="A1106" s="451" t="s">
        <v>1338</v>
      </c>
      <c r="B1106" s="114">
        <f>_xlfn.IFNA(VLOOKUP(Table1[[#This Row],[SKU]],'Urban Plastix Holds'!$I$36:$L$501,4,0),0)</f>
        <v>12</v>
      </c>
      <c r="C1106" s="407">
        <v>5</v>
      </c>
      <c r="D1106" s="117">
        <v>0</v>
      </c>
      <c r="E1106" s="117">
        <v>0</v>
      </c>
      <c r="F1106" s="122">
        <v>0</v>
      </c>
      <c r="G1106" s="123">
        <v>0</v>
      </c>
      <c r="H1106" s="122">
        <v>0</v>
      </c>
      <c r="I1106" s="123">
        <v>0</v>
      </c>
      <c r="J1106" s="122">
        <f>IFERROR(5*B1106,0)</f>
        <v>60</v>
      </c>
      <c r="K1106" s="123">
        <v>0</v>
      </c>
      <c r="L1106" s="123">
        <v>0</v>
      </c>
      <c r="M1106" s="122">
        <v>0</v>
      </c>
      <c r="N1106" s="123">
        <v>0</v>
      </c>
      <c r="O1106" s="122">
        <v>0</v>
      </c>
      <c r="P1106" s="123">
        <v>0</v>
      </c>
      <c r="Q1106" s="122">
        <v>0</v>
      </c>
      <c r="R1106" s="123">
        <v>0</v>
      </c>
      <c r="S1106" s="119">
        <v>0</v>
      </c>
      <c r="T1106" s="119">
        <v>0</v>
      </c>
      <c r="U1106" s="119">
        <v>0</v>
      </c>
      <c r="V1106" s="124" t="str">
        <f t="shared" si="106"/>
        <v>Added</v>
      </c>
    </row>
    <row r="1107" spans="1:22" hidden="1">
      <c r="A1107" s="451" t="s">
        <v>1339</v>
      </c>
      <c r="B1107" s="114">
        <f>_xlfn.IFNA(VLOOKUP(Table1[[#This Row],[SKU]],'Urban Plastix Holds'!$I$36:$L$501,4,0),0)</f>
        <v>14</v>
      </c>
      <c r="C1107" s="407">
        <v>5</v>
      </c>
      <c r="D1107" s="117">
        <v>0</v>
      </c>
      <c r="E1107" s="117">
        <v>0</v>
      </c>
      <c r="F1107" s="122">
        <v>0</v>
      </c>
      <c r="G1107" s="123">
        <v>0</v>
      </c>
      <c r="H1107" s="122">
        <f>IFERROR(5*B1107,0)</f>
        <v>70</v>
      </c>
      <c r="I1107" s="123">
        <v>0</v>
      </c>
      <c r="J1107" s="122">
        <v>0</v>
      </c>
      <c r="K1107" s="123">
        <v>0</v>
      </c>
      <c r="L1107" s="123">
        <v>0</v>
      </c>
      <c r="M1107" s="122">
        <v>0</v>
      </c>
      <c r="N1107" s="123">
        <v>0</v>
      </c>
      <c r="O1107" s="122">
        <v>0</v>
      </c>
      <c r="P1107" s="123">
        <v>0</v>
      </c>
      <c r="Q1107" s="122">
        <v>0</v>
      </c>
      <c r="R1107" s="123">
        <v>0</v>
      </c>
      <c r="S1107" s="119">
        <v>0</v>
      </c>
      <c r="T1107" s="119">
        <v>0</v>
      </c>
      <c r="U1107" s="119">
        <v>0</v>
      </c>
      <c r="V1107" s="124" t="str">
        <f t="shared" si="106"/>
        <v>Added</v>
      </c>
    </row>
    <row r="1108" spans="1:22" hidden="1">
      <c r="A1108" s="451" t="s">
        <v>1340</v>
      </c>
      <c r="B1108" s="114">
        <f>_xlfn.IFNA(VLOOKUP(Table1[[#This Row],[SKU]],'Urban Plastix Holds'!$I$36:$L$501,4,0),0)</f>
        <v>10</v>
      </c>
      <c r="C1108" s="407">
        <v>5</v>
      </c>
      <c r="D1108" s="117">
        <v>0</v>
      </c>
      <c r="E1108" s="117">
        <v>0</v>
      </c>
      <c r="F1108" s="122">
        <v>0</v>
      </c>
      <c r="G1108" s="123">
        <v>0</v>
      </c>
      <c r="H1108" s="122">
        <f>IFERROR(5*B1108,0)</f>
        <v>50</v>
      </c>
      <c r="I1108" s="123">
        <v>0</v>
      </c>
      <c r="J1108" s="122">
        <v>0</v>
      </c>
      <c r="K1108" s="123">
        <v>0</v>
      </c>
      <c r="L1108" s="123">
        <v>0</v>
      </c>
      <c r="M1108" s="122">
        <v>0</v>
      </c>
      <c r="N1108" s="123">
        <v>0</v>
      </c>
      <c r="O1108" s="122">
        <v>0</v>
      </c>
      <c r="P1108" s="123">
        <v>0</v>
      </c>
      <c r="Q1108" s="122">
        <v>0</v>
      </c>
      <c r="R1108" s="123">
        <v>0</v>
      </c>
      <c r="S1108" s="119">
        <v>0</v>
      </c>
      <c r="T1108" s="119">
        <v>0</v>
      </c>
      <c r="U1108" s="119">
        <v>0</v>
      </c>
      <c r="V1108" s="124" t="str">
        <f t="shared" si="106"/>
        <v>Added</v>
      </c>
    </row>
    <row r="1109" spans="1:22" hidden="1">
      <c r="A1109" s="460" t="s">
        <v>2927</v>
      </c>
      <c r="B1109" s="114">
        <f>_xlfn.IFNA(VLOOKUP(Table1[[#This Row],[SKU]],'Urban Plastix Holds'!$I$36:$L$501,4,0),0)</f>
        <v>0</v>
      </c>
      <c r="C1109" s="407">
        <v>10</v>
      </c>
      <c r="D1109" s="117">
        <f>10*Table1[[#This Row],[Quantity of Sets]]</f>
        <v>0</v>
      </c>
      <c r="E1109" s="117">
        <v>0</v>
      </c>
      <c r="F1109" s="122">
        <v>0</v>
      </c>
      <c r="G1109" s="117">
        <v>0</v>
      </c>
      <c r="H1109" s="122">
        <v>0</v>
      </c>
      <c r="I1109" s="117">
        <v>0</v>
      </c>
      <c r="J1109" s="122">
        <v>0</v>
      </c>
      <c r="K1109" s="117">
        <v>0</v>
      </c>
      <c r="L1109" s="122">
        <v>0</v>
      </c>
      <c r="M1109" s="117">
        <v>0</v>
      </c>
      <c r="N1109" s="122">
        <v>0</v>
      </c>
      <c r="O1109" s="117">
        <v>0</v>
      </c>
      <c r="P1109" s="122">
        <v>0</v>
      </c>
      <c r="Q1109" s="122">
        <f>10*Table1[[#This Row],[Quantity of Sets]]</f>
        <v>0</v>
      </c>
      <c r="R1109" s="123">
        <v>0</v>
      </c>
      <c r="S1109" s="119">
        <v>0</v>
      </c>
      <c r="T1109" s="119">
        <v>0</v>
      </c>
      <c r="U1109" s="119">
        <v>0</v>
      </c>
      <c r="V1109" s="124" t="str">
        <f t="shared" ref="V1109:V1111" si="110">IF(B1109&gt;0,"Added"," ")</f>
        <v xml:space="preserve"> </v>
      </c>
    </row>
    <row r="1110" spans="1:22" hidden="1">
      <c r="A1110" s="460" t="s">
        <v>3116</v>
      </c>
      <c r="B1110" s="114">
        <f>_xlfn.IFNA(VLOOKUP(Table1[[#This Row],[SKU]],'Urban Plastix Holds'!$I$36:$L$501,4,0),0)</f>
        <v>0</v>
      </c>
      <c r="C1110" s="407">
        <v>10</v>
      </c>
      <c r="D1110" s="117">
        <f>10*Table1[[#This Row],[Quantity of Sets]]</f>
        <v>0</v>
      </c>
      <c r="E1110" s="117">
        <v>0</v>
      </c>
      <c r="F1110" s="122">
        <v>0</v>
      </c>
      <c r="G1110" s="117">
        <v>0</v>
      </c>
      <c r="H1110" s="122">
        <v>0</v>
      </c>
      <c r="I1110" s="117">
        <v>0</v>
      </c>
      <c r="J1110" s="122">
        <v>0</v>
      </c>
      <c r="K1110" s="117">
        <v>0</v>
      </c>
      <c r="L1110" s="122">
        <v>0</v>
      </c>
      <c r="M1110" s="117">
        <v>0</v>
      </c>
      <c r="N1110" s="122">
        <v>0</v>
      </c>
      <c r="O1110" s="117">
        <v>0</v>
      </c>
      <c r="P1110" s="122">
        <v>0</v>
      </c>
      <c r="Q1110" s="122">
        <f>10*Table1[[#This Row],[Quantity of Sets]]</f>
        <v>0</v>
      </c>
      <c r="R1110" s="123">
        <v>0</v>
      </c>
      <c r="S1110" s="119">
        <v>0</v>
      </c>
      <c r="T1110" s="119">
        <v>0</v>
      </c>
      <c r="U1110" s="119">
        <v>0</v>
      </c>
      <c r="V1110" s="124" t="str">
        <f t="shared" si="110"/>
        <v xml:space="preserve"> </v>
      </c>
    </row>
    <row r="1111" spans="1:22" hidden="1">
      <c r="A1111" s="460" t="s">
        <v>3119</v>
      </c>
      <c r="B1111" s="114">
        <f>_xlfn.IFNA(VLOOKUP(Table1[[#This Row],[SKU]],'Urban Plastix Holds'!$I$36:$L$501,4,0),0)</f>
        <v>0</v>
      </c>
      <c r="C1111" s="407">
        <v>10</v>
      </c>
      <c r="D1111" s="117">
        <f>10*Table1[[#This Row],[Quantity of Sets]]</f>
        <v>0</v>
      </c>
      <c r="E1111" s="117">
        <v>0</v>
      </c>
      <c r="F1111" s="122">
        <v>0</v>
      </c>
      <c r="G1111" s="117">
        <v>0</v>
      </c>
      <c r="H1111" s="122">
        <v>0</v>
      </c>
      <c r="I1111" s="117">
        <v>0</v>
      </c>
      <c r="J1111" s="122">
        <v>0</v>
      </c>
      <c r="K1111" s="117">
        <v>0</v>
      </c>
      <c r="L1111" s="122">
        <v>0</v>
      </c>
      <c r="M1111" s="117">
        <v>0</v>
      </c>
      <c r="N1111" s="122">
        <v>0</v>
      </c>
      <c r="O1111" s="117">
        <v>0</v>
      </c>
      <c r="P1111" s="122">
        <v>0</v>
      </c>
      <c r="Q1111" s="122">
        <f>10*Table1[[#This Row],[Quantity of Sets]]</f>
        <v>0</v>
      </c>
      <c r="R1111" s="123">
        <v>0</v>
      </c>
      <c r="S1111" s="119">
        <v>0</v>
      </c>
      <c r="T1111" s="119">
        <v>0</v>
      </c>
      <c r="U1111" s="119">
        <v>0</v>
      </c>
      <c r="V1111" s="124" t="str">
        <f t="shared" si="110"/>
        <v xml:space="preserve"> </v>
      </c>
    </row>
    <row r="1112" spans="1:22" hidden="1">
      <c r="A1112" s="451" t="s">
        <v>1341</v>
      </c>
      <c r="B1112" s="114">
        <f>_xlfn.IFNA(VLOOKUP(Table1[[#This Row],[SKU]],'Urban Plastix Holds'!$I$36:$L$501,4,0),0)</f>
        <v>15</v>
      </c>
      <c r="C1112" s="407">
        <v>5</v>
      </c>
      <c r="D1112" s="117">
        <v>0</v>
      </c>
      <c r="E1112" s="117">
        <f>IFERROR(5*B1112,0)</f>
        <v>75</v>
      </c>
      <c r="F1112" s="122">
        <v>0</v>
      </c>
      <c r="G1112" s="123">
        <v>0</v>
      </c>
      <c r="H1112" s="122">
        <v>0</v>
      </c>
      <c r="I1112" s="123">
        <v>0</v>
      </c>
      <c r="J1112" s="122">
        <v>0</v>
      </c>
      <c r="K1112" s="123">
        <v>0</v>
      </c>
      <c r="L1112" s="123">
        <v>0</v>
      </c>
      <c r="M1112" s="122">
        <v>0</v>
      </c>
      <c r="N1112" s="123">
        <v>0</v>
      </c>
      <c r="O1112" s="122">
        <v>0</v>
      </c>
      <c r="P1112" s="123">
        <v>0</v>
      </c>
      <c r="Q1112" s="122">
        <v>0</v>
      </c>
      <c r="R1112" s="123">
        <v>0</v>
      </c>
      <c r="S1112" s="119">
        <v>0</v>
      </c>
      <c r="T1112" s="119">
        <v>0</v>
      </c>
      <c r="U1112" s="119">
        <v>0</v>
      </c>
      <c r="V1112" s="124" t="str">
        <f t="shared" si="106"/>
        <v>Added</v>
      </c>
    </row>
    <row r="1113" spans="1:22" hidden="1">
      <c r="A1113" s="451" t="s">
        <v>1342</v>
      </c>
      <c r="B1113" s="114">
        <f>_xlfn.IFNA(VLOOKUP(Table1[[#This Row],[SKU]],'Urban Plastix Holds'!$I$36:$L$501,4,0),0)</f>
        <v>9</v>
      </c>
      <c r="C1113" s="407">
        <v>15</v>
      </c>
      <c r="D1113" s="117">
        <f>IFERROR(15*B1113,0)</f>
        <v>135</v>
      </c>
      <c r="E1113" s="117">
        <v>0</v>
      </c>
      <c r="F1113" s="122">
        <v>0</v>
      </c>
      <c r="G1113" s="123">
        <v>0</v>
      </c>
      <c r="H1113" s="122">
        <v>0</v>
      </c>
      <c r="I1113" s="123">
        <v>0</v>
      </c>
      <c r="J1113" s="122">
        <v>0</v>
      </c>
      <c r="K1113" s="123">
        <v>0</v>
      </c>
      <c r="L1113" s="123">
        <v>0</v>
      </c>
      <c r="M1113" s="122">
        <v>0</v>
      </c>
      <c r="N1113" s="123">
        <v>0</v>
      </c>
      <c r="O1113" s="122">
        <v>0</v>
      </c>
      <c r="P1113" s="123">
        <v>0</v>
      </c>
      <c r="Q1113" s="122">
        <v>0</v>
      </c>
      <c r="R1113" s="123">
        <v>0</v>
      </c>
      <c r="S1113" s="119">
        <v>0</v>
      </c>
      <c r="T1113" s="119">
        <v>0</v>
      </c>
      <c r="U1113" s="119">
        <v>0</v>
      </c>
      <c r="V1113" s="124" t="str">
        <f t="shared" si="106"/>
        <v>Added</v>
      </c>
    </row>
    <row r="1114" spans="1:22" hidden="1">
      <c r="A1114" s="451" t="s">
        <v>1343</v>
      </c>
      <c r="B1114" s="114">
        <f>_xlfn.IFNA(VLOOKUP(Table1[[#This Row],[SKU]],'Urban Plastix Holds'!$I$36:$L$501,4,0),0)</f>
        <v>16</v>
      </c>
      <c r="C1114" s="407">
        <v>25</v>
      </c>
      <c r="D1114" s="117">
        <f>IFERROR(25*B1114,0)</f>
        <v>400</v>
      </c>
      <c r="E1114" s="117">
        <v>0</v>
      </c>
      <c r="F1114" s="122">
        <v>0</v>
      </c>
      <c r="G1114" s="123">
        <v>0</v>
      </c>
      <c r="H1114" s="122">
        <v>0</v>
      </c>
      <c r="I1114" s="123">
        <v>0</v>
      </c>
      <c r="J1114" s="122">
        <v>0</v>
      </c>
      <c r="K1114" s="123">
        <v>0</v>
      </c>
      <c r="L1114" s="123">
        <v>0</v>
      </c>
      <c r="M1114" s="122">
        <v>0</v>
      </c>
      <c r="N1114" s="123">
        <v>0</v>
      </c>
      <c r="O1114" s="122">
        <v>0</v>
      </c>
      <c r="P1114" s="123">
        <v>0</v>
      </c>
      <c r="Q1114" s="122">
        <v>0</v>
      </c>
      <c r="R1114" s="123">
        <v>0</v>
      </c>
      <c r="S1114" s="119">
        <v>0</v>
      </c>
      <c r="T1114" s="119">
        <v>0</v>
      </c>
      <c r="U1114" s="119">
        <v>0</v>
      </c>
      <c r="V1114" s="124" t="str">
        <f t="shared" si="106"/>
        <v>Added</v>
      </c>
    </row>
    <row r="1115" spans="1:22" hidden="1">
      <c r="A1115" s="451" t="s">
        <v>1344</v>
      </c>
      <c r="B1115" s="114">
        <f>_xlfn.IFNA(VLOOKUP(Table1[[#This Row],[SKU]],'Urban Plastix Holds'!$I$36:$L$501,4,0),0)</f>
        <v>12</v>
      </c>
      <c r="C1115" s="407">
        <v>25</v>
      </c>
      <c r="D1115" s="117">
        <f>IFERROR(25*B1115,0)</f>
        <v>300</v>
      </c>
      <c r="E1115" s="117">
        <v>0</v>
      </c>
      <c r="F1115" s="122">
        <v>0</v>
      </c>
      <c r="G1115" s="123">
        <v>0</v>
      </c>
      <c r="H1115" s="122">
        <v>0</v>
      </c>
      <c r="I1115" s="123">
        <v>0</v>
      </c>
      <c r="J1115" s="122">
        <v>0</v>
      </c>
      <c r="K1115" s="123">
        <v>0</v>
      </c>
      <c r="L1115" s="123">
        <v>0</v>
      </c>
      <c r="M1115" s="122">
        <v>0</v>
      </c>
      <c r="N1115" s="123">
        <v>0</v>
      </c>
      <c r="O1115" s="122">
        <v>0</v>
      </c>
      <c r="P1115" s="123">
        <v>0</v>
      </c>
      <c r="Q1115" s="122">
        <v>0</v>
      </c>
      <c r="R1115" s="123">
        <v>0</v>
      </c>
      <c r="S1115" s="119">
        <v>0</v>
      </c>
      <c r="T1115" s="119">
        <v>0</v>
      </c>
      <c r="U1115" s="119">
        <v>0</v>
      </c>
      <c r="V1115" s="124" t="str">
        <f t="shared" si="106"/>
        <v>Added</v>
      </c>
    </row>
    <row r="1116" spans="1:22" hidden="1">
      <c r="A1116" s="451" t="s">
        <v>1345</v>
      </c>
      <c r="B1116" s="114">
        <f>_xlfn.IFNA(VLOOKUP(Table1[[#This Row],[SKU]],'Urban Plastix Holds'!$I$36:$L$501,4,0),0)</f>
        <v>14</v>
      </c>
      <c r="C1116" s="407">
        <v>20</v>
      </c>
      <c r="D1116" s="117">
        <v>0</v>
      </c>
      <c r="E1116" s="117">
        <v>0</v>
      </c>
      <c r="F1116" s="122">
        <v>0</v>
      </c>
      <c r="G1116" s="123">
        <v>0</v>
      </c>
      <c r="H1116" s="122">
        <v>0</v>
      </c>
      <c r="I1116" s="123">
        <v>0</v>
      </c>
      <c r="J1116" s="122">
        <v>0</v>
      </c>
      <c r="K1116" s="123">
        <v>0</v>
      </c>
      <c r="L1116" s="123">
        <v>0</v>
      </c>
      <c r="M1116" s="122">
        <v>0</v>
      </c>
      <c r="N1116" s="123">
        <v>0</v>
      </c>
      <c r="O1116" s="122">
        <v>0</v>
      </c>
      <c r="P1116" s="123">
        <v>0</v>
      </c>
      <c r="Q1116" s="122">
        <f>IFERROR(60*B1116,0)</f>
        <v>840</v>
      </c>
      <c r="R1116" s="123">
        <v>0</v>
      </c>
      <c r="S1116" s="119">
        <v>0</v>
      </c>
      <c r="T1116" s="119">
        <v>0</v>
      </c>
      <c r="U1116" s="119">
        <v>0</v>
      </c>
      <c r="V1116" s="124" t="str">
        <f t="shared" si="106"/>
        <v>Added</v>
      </c>
    </row>
    <row r="1117" spans="1:22" hidden="1">
      <c r="A1117" s="451" t="s">
        <v>1415</v>
      </c>
      <c r="B1117" s="114">
        <f>_xlfn.IFNA(VLOOKUP(Table1[[#This Row],[SKU]],'Urban Plastix Holds'!$I$36:$L$501,4,0),0)</f>
        <v>15</v>
      </c>
      <c r="C1117" s="407">
        <v>5</v>
      </c>
      <c r="D1117" s="117">
        <v>0</v>
      </c>
      <c r="E1117" s="117">
        <v>0</v>
      </c>
      <c r="F1117" s="122">
        <v>0</v>
      </c>
      <c r="G1117" s="123">
        <v>0</v>
      </c>
      <c r="H1117" s="122">
        <v>0</v>
      </c>
      <c r="I1117" s="123">
        <f>IFERROR(5*B1117,0)</f>
        <v>75</v>
      </c>
      <c r="J1117" s="122">
        <v>0</v>
      </c>
      <c r="K1117" s="123">
        <v>0</v>
      </c>
      <c r="L1117" s="123">
        <v>0</v>
      </c>
      <c r="M1117" s="122">
        <v>0</v>
      </c>
      <c r="N1117" s="123">
        <v>0</v>
      </c>
      <c r="O1117" s="122">
        <v>0</v>
      </c>
      <c r="P1117" s="123">
        <v>0</v>
      </c>
      <c r="Q1117" s="122">
        <v>0</v>
      </c>
      <c r="R1117" s="123">
        <v>0</v>
      </c>
      <c r="S1117" s="119">
        <v>0</v>
      </c>
      <c r="T1117" s="119">
        <v>0</v>
      </c>
      <c r="U1117" s="119">
        <v>0</v>
      </c>
      <c r="V1117" s="124" t="str">
        <f t="shared" si="106"/>
        <v>Added</v>
      </c>
    </row>
    <row r="1118" spans="1:22" hidden="1">
      <c r="A1118" s="451" t="s">
        <v>1417</v>
      </c>
      <c r="B1118" s="114">
        <f>_xlfn.IFNA(VLOOKUP(Table1[[#This Row],[SKU]],'Urban Plastix Holds'!$I$36:$L$501,4,0),0)</f>
        <v>15</v>
      </c>
      <c r="C1118" s="407">
        <v>3</v>
      </c>
      <c r="D1118" s="117">
        <v>0</v>
      </c>
      <c r="E1118" s="117">
        <v>0</v>
      </c>
      <c r="F1118" s="122">
        <v>0</v>
      </c>
      <c r="G1118" s="123">
        <v>0</v>
      </c>
      <c r="H1118" s="122">
        <v>0</v>
      </c>
      <c r="I1118" s="123">
        <f>IFERROR(3*B1118,0)</f>
        <v>45</v>
      </c>
      <c r="J1118" s="122">
        <v>0</v>
      </c>
      <c r="K1118" s="123">
        <v>0</v>
      </c>
      <c r="L1118" s="123">
        <v>0</v>
      </c>
      <c r="M1118" s="122">
        <v>0</v>
      </c>
      <c r="N1118" s="123">
        <v>0</v>
      </c>
      <c r="O1118" s="122">
        <v>0</v>
      </c>
      <c r="P1118" s="123">
        <v>0</v>
      </c>
      <c r="Q1118" s="122">
        <v>0</v>
      </c>
      <c r="R1118" s="123">
        <v>0</v>
      </c>
      <c r="S1118" s="119">
        <v>0</v>
      </c>
      <c r="T1118" s="119">
        <v>0</v>
      </c>
      <c r="U1118" s="119">
        <v>0</v>
      </c>
      <c r="V1118" s="124" t="str">
        <f t="shared" si="106"/>
        <v>Added</v>
      </c>
    </row>
    <row r="1119" spans="1:22" hidden="1">
      <c r="A1119" s="460" t="s">
        <v>2937</v>
      </c>
      <c r="B1119" s="114">
        <f>_xlfn.IFNA(VLOOKUP(Table1[[#This Row],[SKU]],'Urban Plastix Holds'!$I$36:$L$501,4,0),0)</f>
        <v>0</v>
      </c>
      <c r="C1119" s="407">
        <v>4</v>
      </c>
      <c r="D1119" s="117">
        <v>0</v>
      </c>
      <c r="E1119" s="117">
        <f>4*Table1[[#This Row],[Quantity of Sets]]</f>
        <v>0</v>
      </c>
      <c r="F1119" s="122">
        <v>0</v>
      </c>
      <c r="G1119" s="123">
        <v>0</v>
      </c>
      <c r="H1119" s="122">
        <v>0</v>
      </c>
      <c r="I1119" s="123">
        <v>0</v>
      </c>
      <c r="J1119" s="122">
        <v>0</v>
      </c>
      <c r="K1119" s="123">
        <v>0</v>
      </c>
      <c r="L1119" s="123">
        <v>0</v>
      </c>
      <c r="M1119" s="122">
        <v>0</v>
      </c>
      <c r="N1119" s="123">
        <v>0</v>
      </c>
      <c r="O1119" s="122">
        <v>0</v>
      </c>
      <c r="P1119" s="123">
        <v>0</v>
      </c>
      <c r="Q1119" s="122">
        <f>4*Table1[[#This Row],[Quantity of Sets]]</f>
        <v>0</v>
      </c>
      <c r="R1119" s="123">
        <v>0</v>
      </c>
      <c r="S1119" s="119">
        <v>0</v>
      </c>
      <c r="T1119" s="119">
        <v>0</v>
      </c>
      <c r="U1119" s="119">
        <v>0</v>
      </c>
      <c r="V1119" s="124" t="str">
        <f t="shared" ref="V1119:V1124" si="111">IF(B1119&gt;0,"Added"," ")</f>
        <v xml:space="preserve"> </v>
      </c>
    </row>
    <row r="1120" spans="1:22" hidden="1">
      <c r="A1120" s="460" t="s">
        <v>2939</v>
      </c>
      <c r="B1120" s="114">
        <f>_xlfn.IFNA(VLOOKUP(Table1[[#This Row],[SKU]],'Urban Plastix Holds'!$I$36:$L$501,4,0),0)</f>
        <v>0</v>
      </c>
      <c r="C1120" s="407">
        <v>5</v>
      </c>
      <c r="D1120" s="117">
        <v>0</v>
      </c>
      <c r="E1120" s="117">
        <v>0</v>
      </c>
      <c r="F1120" s="122">
        <f>5*Table1[[#This Row],[Quantity of Sets]]</f>
        <v>0</v>
      </c>
      <c r="G1120" s="123">
        <v>0</v>
      </c>
      <c r="H1120" s="122">
        <v>0</v>
      </c>
      <c r="I1120" s="123">
        <v>0</v>
      </c>
      <c r="J1120" s="122">
        <v>0</v>
      </c>
      <c r="K1120" s="123">
        <v>0</v>
      </c>
      <c r="L1120" s="123">
        <v>0</v>
      </c>
      <c r="M1120" s="122">
        <v>0</v>
      </c>
      <c r="N1120" s="123">
        <v>0</v>
      </c>
      <c r="O1120" s="122">
        <v>0</v>
      </c>
      <c r="P1120" s="123">
        <v>0</v>
      </c>
      <c r="Q1120" s="122">
        <f>5*Table1[[#This Row],[Quantity of Sets]]</f>
        <v>0</v>
      </c>
      <c r="R1120" s="123">
        <v>0</v>
      </c>
      <c r="S1120" s="119">
        <v>0</v>
      </c>
      <c r="T1120" s="119">
        <v>0</v>
      </c>
      <c r="U1120" s="119">
        <v>0</v>
      </c>
      <c r="V1120" s="124" t="str">
        <f t="shared" si="111"/>
        <v xml:space="preserve"> </v>
      </c>
    </row>
    <row r="1121" spans="1:22" hidden="1">
      <c r="A1121" s="460" t="s">
        <v>2944</v>
      </c>
      <c r="B1121" s="114">
        <f>_xlfn.IFNA(VLOOKUP(Table1[[#This Row],[SKU]],'Urban Plastix Holds'!$I$36:$L$501,4,0),0)</f>
        <v>0</v>
      </c>
      <c r="C1121" s="407">
        <v>5</v>
      </c>
      <c r="D1121" s="117">
        <v>0</v>
      </c>
      <c r="E1121" s="117">
        <v>0</v>
      </c>
      <c r="F1121" s="122">
        <f>5*Table1[[#This Row],[Quantity of Sets]]</f>
        <v>0</v>
      </c>
      <c r="G1121" s="123">
        <v>0</v>
      </c>
      <c r="H1121" s="122">
        <v>0</v>
      </c>
      <c r="I1121" s="123">
        <v>0</v>
      </c>
      <c r="J1121" s="122">
        <v>0</v>
      </c>
      <c r="K1121" s="123">
        <v>0</v>
      </c>
      <c r="L1121" s="123">
        <v>0</v>
      </c>
      <c r="M1121" s="122">
        <v>0</v>
      </c>
      <c r="N1121" s="123">
        <v>0</v>
      </c>
      <c r="O1121" s="122">
        <v>0</v>
      </c>
      <c r="P1121" s="123">
        <v>0</v>
      </c>
      <c r="Q1121" s="122">
        <f>5*Table1[[#This Row],[Quantity of Sets]]</f>
        <v>0</v>
      </c>
      <c r="R1121" s="123">
        <v>0</v>
      </c>
      <c r="S1121" s="119">
        <v>0</v>
      </c>
      <c r="T1121" s="119">
        <v>0</v>
      </c>
      <c r="U1121" s="119">
        <v>0</v>
      </c>
      <c r="V1121" s="124" t="str">
        <f t="shared" si="111"/>
        <v xml:space="preserve"> </v>
      </c>
    </row>
    <row r="1122" spans="1:22" hidden="1">
      <c r="A1122" s="460" t="s">
        <v>2946</v>
      </c>
      <c r="B1122" s="114">
        <f>_xlfn.IFNA(VLOOKUP(Table1[[#This Row],[SKU]],'Urban Plastix Holds'!$I$36:$L$501,4,0),0)</f>
        <v>0</v>
      </c>
      <c r="C1122" s="407">
        <v>3</v>
      </c>
      <c r="D1122" s="117">
        <v>0</v>
      </c>
      <c r="E1122" s="117">
        <v>0</v>
      </c>
      <c r="F1122" s="122">
        <v>0</v>
      </c>
      <c r="G1122" s="123">
        <v>0</v>
      </c>
      <c r="H1122" s="122">
        <f>3*Table1[[#This Row],[Quantity of Sets]]</f>
        <v>0</v>
      </c>
      <c r="I1122" s="123">
        <v>0</v>
      </c>
      <c r="J1122" s="122">
        <v>0</v>
      </c>
      <c r="K1122" s="123">
        <v>0</v>
      </c>
      <c r="L1122" s="123">
        <v>0</v>
      </c>
      <c r="M1122" s="122">
        <v>0</v>
      </c>
      <c r="N1122" s="123">
        <v>0</v>
      </c>
      <c r="O1122" s="122">
        <v>0</v>
      </c>
      <c r="P1122" s="123">
        <v>0</v>
      </c>
      <c r="Q1122" s="122">
        <f>3*Table1[[#This Row],[Quantity of Sets]]</f>
        <v>0</v>
      </c>
      <c r="R1122" s="123">
        <v>0</v>
      </c>
      <c r="S1122" s="119">
        <v>0</v>
      </c>
      <c r="T1122" s="119">
        <v>0</v>
      </c>
      <c r="U1122" s="119">
        <v>0</v>
      </c>
      <c r="V1122" s="124" t="str">
        <f t="shared" si="111"/>
        <v xml:space="preserve"> </v>
      </c>
    </row>
    <row r="1123" spans="1:22" hidden="1">
      <c r="A1123" s="460" t="s">
        <v>2948</v>
      </c>
      <c r="B1123" s="114">
        <f>_xlfn.IFNA(VLOOKUP(Table1[[#This Row],[SKU]],'Urban Plastix Holds'!$I$36:$L$501,4,0),0)</f>
        <v>0</v>
      </c>
      <c r="C1123" s="693">
        <v>5</v>
      </c>
      <c r="D1123" s="692">
        <v>0</v>
      </c>
      <c r="E1123" s="692">
        <v>0</v>
      </c>
      <c r="F1123" s="691">
        <v>0</v>
      </c>
      <c r="G1123" s="692">
        <v>0</v>
      </c>
      <c r="H1123" s="691">
        <f>5*Table1[[#This Row],[Quantity of Sets]]</f>
        <v>0</v>
      </c>
      <c r="I1123" s="692">
        <v>0</v>
      </c>
      <c r="J1123" s="691">
        <v>0</v>
      </c>
      <c r="K1123" s="692">
        <v>0</v>
      </c>
      <c r="L1123" s="694">
        <v>0</v>
      </c>
      <c r="M1123" s="691">
        <v>0</v>
      </c>
      <c r="N1123" s="692">
        <v>0</v>
      </c>
      <c r="O1123" s="691">
        <v>0</v>
      </c>
      <c r="P1123" s="692">
        <v>0</v>
      </c>
      <c r="Q1123" s="607">
        <f>5*Table1[[#This Row],[Quantity of Sets]]</f>
        <v>0</v>
      </c>
      <c r="R1123" s="691">
        <v>0</v>
      </c>
      <c r="S1123" s="695">
        <v>0</v>
      </c>
      <c r="T1123" s="696">
        <v>0</v>
      </c>
      <c r="U1123" s="696">
        <v>0</v>
      </c>
      <c r="V1123" s="691" t="str">
        <f t="shared" si="111"/>
        <v xml:space="preserve"> </v>
      </c>
    </row>
    <row r="1124" spans="1:22" hidden="1">
      <c r="A1124" s="460" t="s">
        <v>2941</v>
      </c>
      <c r="B1124" s="114">
        <f>_xlfn.IFNA(VLOOKUP(Table1[[#This Row],[SKU]],'Urban Plastix Holds'!$I$36:$L$501,4,0),0)</f>
        <v>0</v>
      </c>
      <c r="C1124" s="697">
        <v>11</v>
      </c>
      <c r="D1124" s="692">
        <f>11*Table1[[#This Row],[Quantity of Sets]]</f>
        <v>0</v>
      </c>
      <c r="E1124" s="692">
        <v>0</v>
      </c>
      <c r="F1124" s="698">
        <v>0</v>
      </c>
      <c r="G1124" s="699">
        <v>0</v>
      </c>
      <c r="H1124" s="698">
        <v>0</v>
      </c>
      <c r="I1124" s="699">
        <v>0</v>
      </c>
      <c r="J1124" s="698">
        <v>0</v>
      </c>
      <c r="K1124" s="699">
        <v>0</v>
      </c>
      <c r="L1124" s="694">
        <v>0</v>
      </c>
      <c r="M1124" s="698">
        <v>0</v>
      </c>
      <c r="N1124" s="699">
        <v>0</v>
      </c>
      <c r="O1124" s="698">
        <v>0</v>
      </c>
      <c r="P1124" s="699">
        <v>0</v>
      </c>
      <c r="Q1124" s="680">
        <f>11*Table1[[#This Row],[Quantity of Sets]]</f>
        <v>0</v>
      </c>
      <c r="R1124" s="698">
        <v>0</v>
      </c>
      <c r="S1124" s="695">
        <v>0</v>
      </c>
      <c r="T1124" s="696">
        <v>0</v>
      </c>
      <c r="U1124" s="696">
        <v>0</v>
      </c>
      <c r="V1124" s="700" t="str">
        <f t="shared" si="111"/>
        <v xml:space="preserve"> </v>
      </c>
    </row>
    <row r="1125" spans="1:22" hidden="1">
      <c r="A1125" s="451" t="s">
        <v>1419</v>
      </c>
      <c r="B1125" s="114">
        <f>_xlfn.IFNA(VLOOKUP(Table1[[#This Row],[SKU]],'Urban Plastix Holds'!$I$36:$L$501,4,0),0)</f>
        <v>14</v>
      </c>
      <c r="C1125" s="407">
        <v>5</v>
      </c>
      <c r="D1125" s="117">
        <v>0</v>
      </c>
      <c r="E1125" s="117">
        <v>0</v>
      </c>
      <c r="F1125" s="122">
        <v>0</v>
      </c>
      <c r="G1125" s="123">
        <v>0</v>
      </c>
      <c r="H1125" s="122">
        <v>0</v>
      </c>
      <c r="I1125" s="123">
        <f>IFERROR(5*B1125,0)</f>
        <v>70</v>
      </c>
      <c r="J1125" s="122">
        <v>0</v>
      </c>
      <c r="K1125" s="123">
        <v>0</v>
      </c>
      <c r="L1125" s="123">
        <v>0</v>
      </c>
      <c r="M1125" s="122">
        <v>0</v>
      </c>
      <c r="N1125" s="123">
        <v>0</v>
      </c>
      <c r="O1125" s="122">
        <v>0</v>
      </c>
      <c r="P1125" s="123">
        <v>0</v>
      </c>
      <c r="Q1125" s="122">
        <v>0</v>
      </c>
      <c r="R1125" s="123">
        <v>0</v>
      </c>
      <c r="S1125" s="119">
        <v>0</v>
      </c>
      <c r="T1125" s="119">
        <v>0</v>
      </c>
      <c r="U1125" s="119">
        <v>0</v>
      </c>
      <c r="V1125" s="124" t="str">
        <f t="shared" si="106"/>
        <v>Added</v>
      </c>
    </row>
    <row r="1126" spans="1:22" hidden="1">
      <c r="A1126" s="451" t="s">
        <v>1420</v>
      </c>
      <c r="B1126" s="114">
        <f>_xlfn.IFNA(VLOOKUP(Table1[[#This Row],[SKU]],'Urban Plastix Holds'!$I$36:$L$501,4,0),0)</f>
        <v>16</v>
      </c>
      <c r="C1126" s="407">
        <v>7</v>
      </c>
      <c r="D1126" s="117">
        <v>0</v>
      </c>
      <c r="E1126" s="117">
        <v>0</v>
      </c>
      <c r="F1126" s="122">
        <v>0</v>
      </c>
      <c r="G1126" s="123">
        <v>0</v>
      </c>
      <c r="H1126" s="122">
        <f>IFERROR(7*B1126,0)</f>
        <v>112</v>
      </c>
      <c r="I1126" s="123">
        <v>0</v>
      </c>
      <c r="J1126" s="122">
        <v>0</v>
      </c>
      <c r="K1126" s="123">
        <v>0</v>
      </c>
      <c r="L1126" s="123">
        <v>0</v>
      </c>
      <c r="M1126" s="122">
        <v>0</v>
      </c>
      <c r="N1126" s="123">
        <v>0</v>
      </c>
      <c r="O1126" s="122">
        <v>0</v>
      </c>
      <c r="P1126" s="123">
        <v>0</v>
      </c>
      <c r="Q1126" s="122">
        <v>0</v>
      </c>
      <c r="R1126" s="123">
        <v>0</v>
      </c>
      <c r="S1126" s="119">
        <v>0</v>
      </c>
      <c r="T1126" s="119">
        <v>0</v>
      </c>
      <c r="U1126" s="119">
        <v>0</v>
      </c>
      <c r="V1126" s="124" t="str">
        <f t="shared" si="106"/>
        <v>Added</v>
      </c>
    </row>
    <row r="1127" spans="1:22" hidden="1">
      <c r="A1127" s="451" t="s">
        <v>1422</v>
      </c>
      <c r="B1127" s="114">
        <f>_xlfn.IFNA(VLOOKUP(Table1[[#This Row],[SKU]],'Urban Plastix Holds'!$I$36:$L$501,4,0),0)</f>
        <v>14</v>
      </c>
      <c r="C1127" s="407">
        <v>5</v>
      </c>
      <c r="D1127" s="117">
        <v>0</v>
      </c>
      <c r="E1127" s="117">
        <v>0</v>
      </c>
      <c r="F1127" s="122">
        <v>0</v>
      </c>
      <c r="G1127" s="123">
        <v>0</v>
      </c>
      <c r="H1127" s="122">
        <f>IFERROR(5*B1127,0)</f>
        <v>70</v>
      </c>
      <c r="I1127" s="123">
        <v>0</v>
      </c>
      <c r="J1127" s="122">
        <v>0</v>
      </c>
      <c r="K1127" s="123">
        <v>0</v>
      </c>
      <c r="L1127" s="123">
        <v>0</v>
      </c>
      <c r="M1127" s="122">
        <v>0</v>
      </c>
      <c r="N1127" s="123">
        <v>0</v>
      </c>
      <c r="O1127" s="122">
        <v>0</v>
      </c>
      <c r="P1127" s="123">
        <v>0</v>
      </c>
      <c r="Q1127" s="122">
        <v>0</v>
      </c>
      <c r="R1127" s="123">
        <v>0</v>
      </c>
      <c r="S1127" s="119">
        <v>0</v>
      </c>
      <c r="T1127" s="119">
        <v>0</v>
      </c>
      <c r="U1127" s="119">
        <v>0</v>
      </c>
      <c r="V1127" s="124" t="str">
        <f t="shared" si="106"/>
        <v>Added</v>
      </c>
    </row>
    <row r="1128" spans="1:22" hidden="1">
      <c r="A1128" s="451" t="s">
        <v>1424</v>
      </c>
      <c r="B1128" s="114">
        <f>_xlfn.IFNA(VLOOKUP(Table1[[#This Row],[SKU]],'Urban Plastix Holds'!$I$36:$L$501,4,0),0)</f>
        <v>13</v>
      </c>
      <c r="C1128" s="407">
        <v>5</v>
      </c>
      <c r="D1128" s="117">
        <v>0</v>
      </c>
      <c r="E1128" s="117">
        <f>IFERROR(5*B1128,0)</f>
        <v>65</v>
      </c>
      <c r="F1128" s="122">
        <v>0</v>
      </c>
      <c r="G1128" s="123">
        <v>0</v>
      </c>
      <c r="H1128" s="122">
        <v>0</v>
      </c>
      <c r="I1128" s="123">
        <v>0</v>
      </c>
      <c r="J1128" s="122">
        <v>0</v>
      </c>
      <c r="K1128" s="123">
        <v>0</v>
      </c>
      <c r="L1128" s="123">
        <v>0</v>
      </c>
      <c r="M1128" s="122">
        <v>0</v>
      </c>
      <c r="N1128" s="123">
        <v>0</v>
      </c>
      <c r="O1128" s="122">
        <v>0</v>
      </c>
      <c r="P1128" s="123">
        <v>0</v>
      </c>
      <c r="Q1128" s="122">
        <v>0</v>
      </c>
      <c r="R1128" s="123">
        <v>0</v>
      </c>
      <c r="S1128" s="119">
        <v>0</v>
      </c>
      <c r="T1128" s="119">
        <v>0</v>
      </c>
      <c r="U1128" s="119">
        <v>0</v>
      </c>
      <c r="V1128" s="124" t="str">
        <f t="shared" si="106"/>
        <v>Added</v>
      </c>
    </row>
    <row r="1129" spans="1:22" hidden="1">
      <c r="A1129" s="451" t="s">
        <v>1426</v>
      </c>
      <c r="B1129" s="114">
        <f>_xlfn.IFNA(VLOOKUP(Table1[[#This Row],[SKU]],'Urban Plastix Holds'!$I$36:$L$501,4,0),0)</f>
        <v>12</v>
      </c>
      <c r="C1129" s="407">
        <v>10</v>
      </c>
      <c r="D1129" s="117">
        <f>IFERROR(10*B1129,0)</f>
        <v>120</v>
      </c>
      <c r="E1129" s="117">
        <v>0</v>
      </c>
      <c r="F1129" s="122">
        <v>0</v>
      </c>
      <c r="G1129" s="123">
        <v>0</v>
      </c>
      <c r="H1129" s="122">
        <v>0</v>
      </c>
      <c r="I1129" s="123">
        <v>0</v>
      </c>
      <c r="J1129" s="122">
        <v>0</v>
      </c>
      <c r="K1129" s="123">
        <v>0</v>
      </c>
      <c r="L1129" s="123">
        <v>0</v>
      </c>
      <c r="M1129" s="122">
        <v>0</v>
      </c>
      <c r="N1129" s="123">
        <v>0</v>
      </c>
      <c r="O1129" s="122">
        <v>0</v>
      </c>
      <c r="P1129" s="123">
        <v>0</v>
      </c>
      <c r="Q1129" s="122">
        <v>0</v>
      </c>
      <c r="R1129" s="123">
        <v>0</v>
      </c>
      <c r="S1129" s="119">
        <v>0</v>
      </c>
      <c r="T1129" s="119">
        <v>0</v>
      </c>
      <c r="U1129" s="119">
        <v>0</v>
      </c>
      <c r="V1129" s="124" t="str">
        <f t="shared" si="106"/>
        <v>Added</v>
      </c>
    </row>
    <row r="1130" spans="1:22" hidden="1">
      <c r="A1130" s="451" t="s">
        <v>1428</v>
      </c>
      <c r="B1130" s="114">
        <f>_xlfn.IFNA(VLOOKUP(Table1[[#This Row],[SKU]],'Urban Plastix Holds'!$I$36:$L$501,4,0),0)</f>
        <v>13</v>
      </c>
      <c r="C1130" s="407">
        <v>25</v>
      </c>
      <c r="D1130" s="117">
        <f>IFERROR(25*B1130,0)</f>
        <v>325</v>
      </c>
      <c r="E1130" s="117">
        <v>0</v>
      </c>
      <c r="F1130" s="122">
        <v>0</v>
      </c>
      <c r="G1130" s="123">
        <v>0</v>
      </c>
      <c r="H1130" s="122">
        <v>0</v>
      </c>
      <c r="I1130" s="123">
        <v>0</v>
      </c>
      <c r="J1130" s="122">
        <v>0</v>
      </c>
      <c r="K1130" s="123">
        <v>0</v>
      </c>
      <c r="L1130" s="123">
        <v>0</v>
      </c>
      <c r="M1130" s="122">
        <v>0</v>
      </c>
      <c r="N1130" s="123">
        <v>0</v>
      </c>
      <c r="O1130" s="122">
        <v>0</v>
      </c>
      <c r="P1130" s="123">
        <v>0</v>
      </c>
      <c r="Q1130" s="122">
        <v>0</v>
      </c>
      <c r="R1130" s="123">
        <v>0</v>
      </c>
      <c r="S1130" s="119">
        <v>0</v>
      </c>
      <c r="T1130" s="119">
        <v>0</v>
      </c>
      <c r="U1130" s="119">
        <v>0</v>
      </c>
      <c r="V1130" s="124" t="str">
        <f t="shared" si="106"/>
        <v>Added</v>
      </c>
    </row>
    <row r="1131" spans="1:22">
      <c r="A1131" s="125" t="s">
        <v>79</v>
      </c>
      <c r="B1131" s="126">
        <f>SUM(B4:B1130)</f>
        <v>8391</v>
      </c>
      <c r="C1131" s="126"/>
      <c r="D1131" s="126">
        <f t="shared" ref="D1131:U1131" si="112">SUM(D4:D1130)</f>
        <v>9739</v>
      </c>
      <c r="E1131" s="126">
        <f t="shared" si="112"/>
        <v>4991</v>
      </c>
      <c r="F1131" s="126">
        <f t="shared" si="112"/>
        <v>3567</v>
      </c>
      <c r="G1131" s="126">
        <f t="shared" si="112"/>
        <v>2110</v>
      </c>
      <c r="H1131" s="126">
        <f t="shared" si="112"/>
        <v>3843</v>
      </c>
      <c r="I1131" s="126">
        <f t="shared" si="112"/>
        <v>8120</v>
      </c>
      <c r="J1131" s="126">
        <f t="shared" si="112"/>
        <v>3398</v>
      </c>
      <c r="K1131" s="126">
        <f t="shared" si="112"/>
        <v>1815</v>
      </c>
      <c r="L1131" s="126">
        <f t="shared" si="112"/>
        <v>0</v>
      </c>
      <c r="M1131" s="126">
        <f t="shared" si="112"/>
        <v>54</v>
      </c>
      <c r="N1131" s="126">
        <f t="shared" si="112"/>
        <v>0</v>
      </c>
      <c r="O1131" s="126">
        <f t="shared" si="112"/>
        <v>0</v>
      </c>
      <c r="P1131" s="126">
        <f t="shared" si="112"/>
        <v>0</v>
      </c>
      <c r="Q1131" s="126">
        <f t="shared" si="112"/>
        <v>31655</v>
      </c>
      <c r="R1131" s="126">
        <f t="shared" si="112"/>
        <v>6159</v>
      </c>
      <c r="S1131" s="126">
        <f t="shared" si="112"/>
        <v>1370</v>
      </c>
      <c r="T1131" s="126">
        <f t="shared" si="112"/>
        <v>38</v>
      </c>
      <c r="U1131" s="126">
        <f t="shared" si="112"/>
        <v>76</v>
      </c>
      <c r="V1131" s="127" t="str">
        <f t="shared" si="106"/>
        <v>Added</v>
      </c>
    </row>
    <row r="1132" spans="1:22">
      <c r="A1132" s="107" t="s">
        <v>927</v>
      </c>
      <c r="B1132" s="103"/>
      <c r="C1132" s="104"/>
      <c r="D1132" s="106"/>
      <c r="E1132" s="106"/>
      <c r="F1132" s="106"/>
      <c r="G1132" s="106">
        <v>0</v>
      </c>
      <c r="H1132" s="106">
        <v>0</v>
      </c>
      <c r="I1132" s="106">
        <v>0</v>
      </c>
      <c r="J1132" s="106">
        <v>0</v>
      </c>
      <c r="K1132" s="106">
        <v>0</v>
      </c>
      <c r="L1132" s="106">
        <v>0</v>
      </c>
      <c r="M1132" s="106">
        <v>0</v>
      </c>
      <c r="N1132" s="106">
        <v>0</v>
      </c>
      <c r="O1132" s="106">
        <v>0</v>
      </c>
      <c r="P1132" s="106">
        <v>0</v>
      </c>
      <c r="Q1132" s="106">
        <v>0</v>
      </c>
      <c r="R1132" s="106">
        <v>0</v>
      </c>
      <c r="S1132" s="106"/>
      <c r="T1132" s="106">
        <f>IFERROR(1*B1132,0)</f>
        <v>0</v>
      </c>
      <c r="U1132" s="106">
        <f>IFERROR(2*B1132,0)</f>
        <v>0</v>
      </c>
      <c r="V1132" s="105" t="str">
        <f t="shared" si="106"/>
        <v xml:space="preserve"> </v>
      </c>
    </row>
    <row r="1133" spans="1:22">
      <c r="A1133" s="169" t="s">
        <v>925</v>
      </c>
      <c r="B1133" s="830" t="s">
        <v>520</v>
      </c>
      <c r="C1133" s="830"/>
      <c r="D1133" s="112">
        <v>0.55000000000000004</v>
      </c>
      <c r="E1133" s="112">
        <v>0.8</v>
      </c>
      <c r="F1133" s="112">
        <v>0.88</v>
      </c>
      <c r="G1133" s="112">
        <v>0.99</v>
      </c>
      <c r="H1133" s="112">
        <v>1.19</v>
      </c>
      <c r="I1133" s="112">
        <v>1.37</v>
      </c>
      <c r="J1133" s="112">
        <v>1.74</v>
      </c>
      <c r="K1133" s="112">
        <v>1.87</v>
      </c>
      <c r="L1133" s="112">
        <v>4.72</v>
      </c>
      <c r="M1133" s="112">
        <v>2.2999999999999998</v>
      </c>
      <c r="N1133" s="112">
        <v>6.9</v>
      </c>
      <c r="O1133" s="112">
        <v>6.59</v>
      </c>
      <c r="P1133" s="112">
        <v>11.33</v>
      </c>
      <c r="Q1133" s="112">
        <v>0.27</v>
      </c>
      <c r="R1133" s="112">
        <v>0.26</v>
      </c>
      <c r="S1133" s="112">
        <v>1.44</v>
      </c>
      <c r="T1133" s="112">
        <v>1.44</v>
      </c>
      <c r="U1133" s="112">
        <v>1.44</v>
      </c>
    </row>
    <row r="1134" spans="1:22">
      <c r="A1134" s="169" t="s">
        <v>926</v>
      </c>
      <c r="B1134" s="830" t="s">
        <v>521</v>
      </c>
      <c r="C1134" s="830"/>
      <c r="D1134" s="112">
        <f>(D1131+D1132)*D1133</f>
        <v>5356.4500000000007</v>
      </c>
      <c r="E1134" s="112">
        <f t="shared" ref="E1134:R1134" si="113">(E1131+E1132)*E1133</f>
        <v>3992.8</v>
      </c>
      <c r="F1134" s="112">
        <f t="shared" si="113"/>
        <v>3138.96</v>
      </c>
      <c r="G1134" s="112">
        <f t="shared" si="113"/>
        <v>2088.9</v>
      </c>
      <c r="H1134" s="112">
        <f t="shared" si="113"/>
        <v>4573.17</v>
      </c>
      <c r="I1134" s="112">
        <f t="shared" si="113"/>
        <v>11124.400000000001</v>
      </c>
      <c r="J1134" s="112">
        <f t="shared" si="113"/>
        <v>5912.5199999999995</v>
      </c>
      <c r="K1134" s="112">
        <f t="shared" si="113"/>
        <v>3394.05</v>
      </c>
      <c r="L1134" s="112">
        <f t="shared" si="113"/>
        <v>0</v>
      </c>
      <c r="M1134" s="112">
        <f t="shared" si="113"/>
        <v>124.19999999999999</v>
      </c>
      <c r="N1134" s="112">
        <f t="shared" si="113"/>
        <v>0</v>
      </c>
      <c r="O1134" s="112">
        <f t="shared" si="113"/>
        <v>0</v>
      </c>
      <c r="P1134" s="112">
        <f t="shared" si="113"/>
        <v>0</v>
      </c>
      <c r="Q1134" s="112">
        <f t="shared" si="113"/>
        <v>8546.85</v>
      </c>
      <c r="R1134" s="112">
        <f t="shared" si="113"/>
        <v>1601.3400000000001</v>
      </c>
      <c r="S1134" s="112">
        <f t="shared" ref="S1134:U1134" si="114">(S1131+S1132)*S1133</f>
        <v>1972.8</v>
      </c>
      <c r="T1134" s="112">
        <f t="shared" si="114"/>
        <v>54.72</v>
      </c>
      <c r="U1134" s="112">
        <f t="shared" si="114"/>
        <v>109.44</v>
      </c>
    </row>
    <row r="1135" spans="1:22">
      <c r="A1135" s="169"/>
      <c r="B1135" s="832" t="s">
        <v>2242</v>
      </c>
      <c r="C1135" s="833"/>
      <c r="D1135" s="833"/>
      <c r="E1135" s="833"/>
      <c r="F1135" s="833"/>
      <c r="G1135" s="834"/>
      <c r="H1135" s="593" t="s">
        <v>2243</v>
      </c>
      <c r="I1135" s="596" t="s">
        <v>523</v>
      </c>
      <c r="J1135" s="596" t="s">
        <v>79</v>
      </c>
      <c r="K1135" s="595"/>
      <c r="L1135" s="595"/>
      <c r="M1135" s="595"/>
      <c r="N1135" s="595"/>
      <c r="O1135" s="595"/>
      <c r="P1135" s="595"/>
      <c r="Q1135" s="595"/>
      <c r="R1135" s="595"/>
      <c r="S1135" s="595"/>
      <c r="T1135" s="595"/>
      <c r="U1135" s="595"/>
    </row>
    <row r="1136" spans="1:22">
      <c r="A1136" s="169"/>
      <c r="B1136" s="838" t="s">
        <v>2245</v>
      </c>
      <c r="C1136" s="836"/>
      <c r="D1136" s="836"/>
      <c r="E1136" s="836"/>
      <c r="F1136" s="836"/>
      <c r="G1136" s="837"/>
      <c r="H1136" s="597">
        <v>0</v>
      </c>
      <c r="I1136" s="112">
        <v>11</v>
      </c>
      <c r="J1136" s="112">
        <f t="shared" ref="J1136:J1137" si="115">H1136*I1136</f>
        <v>0</v>
      </c>
      <c r="K1136" s="595"/>
      <c r="L1136" s="595"/>
      <c r="M1136" s="595"/>
      <c r="N1136" s="595"/>
      <c r="O1136" s="595"/>
      <c r="P1136" s="595"/>
      <c r="Q1136" s="595"/>
      <c r="R1136" s="595"/>
      <c r="S1136" s="595"/>
      <c r="T1136" s="595"/>
      <c r="U1136" s="595"/>
    </row>
    <row r="1137" spans="1:21">
      <c r="A1137" s="169"/>
      <c r="B1137" s="839" t="s">
        <v>2246</v>
      </c>
      <c r="C1137" s="836"/>
      <c r="D1137" s="836"/>
      <c r="E1137" s="836"/>
      <c r="F1137" s="836"/>
      <c r="G1137" s="837"/>
      <c r="H1137" s="597">
        <v>0</v>
      </c>
      <c r="I1137" s="112">
        <v>6</v>
      </c>
      <c r="J1137" s="112">
        <f t="shared" si="115"/>
        <v>0</v>
      </c>
      <c r="K1137" s="595"/>
      <c r="L1137" s="595"/>
      <c r="M1137" s="595"/>
      <c r="N1137" s="595"/>
      <c r="O1137" s="595"/>
      <c r="P1137" s="595"/>
      <c r="Q1137" s="595"/>
      <c r="R1137" s="595"/>
      <c r="S1137" s="595"/>
      <c r="T1137" s="595"/>
      <c r="U1137" s="595"/>
    </row>
    <row r="1138" spans="1:21">
      <c r="A1138" s="169"/>
      <c r="B1138" s="835" t="s">
        <v>2244</v>
      </c>
      <c r="C1138" s="836"/>
      <c r="D1138" s="836"/>
      <c r="E1138" s="836"/>
      <c r="F1138" s="836"/>
      <c r="G1138" s="837"/>
      <c r="H1138" s="597">
        <v>0</v>
      </c>
      <c r="I1138" s="112">
        <v>6</v>
      </c>
      <c r="J1138" s="112">
        <f>H1138*I1138</f>
        <v>0</v>
      </c>
      <c r="K1138" s="595"/>
      <c r="L1138" s="595"/>
      <c r="M1138" s="595"/>
      <c r="N1138" s="595"/>
      <c r="O1138" s="595"/>
      <c r="P1138" s="595"/>
      <c r="Q1138" s="595"/>
      <c r="R1138" s="595"/>
      <c r="S1138" s="595"/>
      <c r="T1138" s="595"/>
      <c r="U1138" s="595"/>
    </row>
    <row r="1139" spans="1:21">
      <c r="A1139" s="169"/>
      <c r="B1139" s="835" t="s">
        <v>2279</v>
      </c>
      <c r="C1139" s="836"/>
      <c r="D1139" s="836"/>
      <c r="E1139" s="836"/>
      <c r="F1139" s="836"/>
      <c r="G1139" s="837"/>
      <c r="H1139" s="597">
        <v>0</v>
      </c>
      <c r="I1139" s="112">
        <v>2.39</v>
      </c>
      <c r="J1139" s="112">
        <f t="shared" ref="J1139:J1140" si="116">H1139*I1139</f>
        <v>0</v>
      </c>
      <c r="K1139" s="595"/>
      <c r="L1139" s="595"/>
      <c r="M1139" s="595"/>
      <c r="N1139" s="595"/>
      <c r="O1139" s="595"/>
      <c r="P1139" s="595"/>
      <c r="Q1139" s="595"/>
      <c r="R1139" s="595"/>
      <c r="S1139" s="595"/>
      <c r="T1139" s="595"/>
      <c r="U1139" s="595"/>
    </row>
    <row r="1140" spans="1:21">
      <c r="A1140" s="169"/>
      <c r="B1140" s="835" t="s">
        <v>2282</v>
      </c>
      <c r="C1140" s="836"/>
      <c r="D1140" s="836"/>
      <c r="E1140" s="836"/>
      <c r="F1140" s="836"/>
      <c r="G1140" s="837"/>
      <c r="H1140" s="597">
        <v>0</v>
      </c>
      <c r="I1140" s="112">
        <v>38.53</v>
      </c>
      <c r="J1140" s="112">
        <f t="shared" si="116"/>
        <v>0</v>
      </c>
      <c r="K1140" s="595"/>
      <c r="L1140" s="595"/>
      <c r="M1140" s="595"/>
      <c r="N1140" s="595"/>
      <c r="O1140" s="595"/>
      <c r="P1140" s="595"/>
      <c r="Q1140" s="595"/>
      <c r="R1140" s="595"/>
      <c r="S1140" s="595"/>
      <c r="T1140" s="595"/>
      <c r="U1140" s="595"/>
    </row>
    <row r="1141" spans="1:21">
      <c r="A1141" s="169"/>
      <c r="B1141" s="835" t="s">
        <v>2274</v>
      </c>
      <c r="C1141" s="836"/>
      <c r="D1141" s="836"/>
      <c r="E1141" s="836"/>
      <c r="F1141" s="836"/>
      <c r="G1141" s="837"/>
      <c r="H1141" s="597">
        <v>0</v>
      </c>
      <c r="I1141" s="112">
        <v>22.06</v>
      </c>
      <c r="J1141" s="112">
        <f t="shared" ref="J1141:J1145" si="117">H1141*I1141</f>
        <v>0</v>
      </c>
      <c r="K1141" s="595"/>
      <c r="L1141" s="595"/>
      <c r="M1141" s="595"/>
      <c r="N1141" s="595"/>
      <c r="O1141" s="595"/>
      <c r="P1141" s="595"/>
      <c r="Q1141" s="595"/>
      <c r="R1141" s="595"/>
      <c r="S1141" s="595"/>
      <c r="T1141" s="595"/>
      <c r="U1141" s="595"/>
    </row>
    <row r="1142" spans="1:21">
      <c r="A1142" s="169"/>
      <c r="B1142" s="835" t="s">
        <v>2275</v>
      </c>
      <c r="C1142" s="836"/>
      <c r="D1142" s="836"/>
      <c r="E1142" s="836"/>
      <c r="F1142" s="836"/>
      <c r="G1142" s="837"/>
      <c r="H1142" s="597">
        <v>0</v>
      </c>
      <c r="I1142" s="112">
        <v>16.46</v>
      </c>
      <c r="J1142" s="112">
        <f t="shared" si="117"/>
        <v>0</v>
      </c>
      <c r="K1142" s="595"/>
      <c r="L1142" s="595"/>
      <c r="M1142" s="595"/>
      <c r="N1142" s="595"/>
      <c r="O1142" s="595"/>
      <c r="P1142" s="595"/>
      <c r="Q1142" s="595"/>
      <c r="R1142" s="595"/>
      <c r="S1142" s="595"/>
      <c r="T1142" s="595"/>
      <c r="U1142" s="595"/>
    </row>
    <row r="1143" spans="1:21">
      <c r="A1143" s="169"/>
      <c r="B1143" s="835" t="s">
        <v>2276</v>
      </c>
      <c r="C1143" s="836"/>
      <c r="D1143" s="836"/>
      <c r="E1143" s="836"/>
      <c r="F1143" s="836"/>
      <c r="G1143" s="837"/>
      <c r="H1143" s="597">
        <v>0</v>
      </c>
      <c r="I1143" s="112">
        <v>0.21</v>
      </c>
      <c r="J1143" s="112">
        <f t="shared" si="117"/>
        <v>0</v>
      </c>
      <c r="K1143" s="595"/>
      <c r="L1143" s="595"/>
      <c r="M1143" s="595"/>
      <c r="N1143" s="595"/>
      <c r="O1143" s="595"/>
      <c r="P1143" s="595"/>
      <c r="Q1143" s="595"/>
      <c r="R1143" s="595"/>
      <c r="S1143" s="595"/>
      <c r="T1143" s="595"/>
      <c r="U1143" s="595"/>
    </row>
    <row r="1144" spans="1:21">
      <c r="A1144" s="169"/>
      <c r="B1144" s="835" t="s">
        <v>2277</v>
      </c>
      <c r="C1144" s="836"/>
      <c r="D1144" s="836"/>
      <c r="E1144" s="836"/>
      <c r="F1144" s="836"/>
      <c r="G1144" s="837"/>
      <c r="H1144" s="597">
        <v>0</v>
      </c>
      <c r="I1144" s="112">
        <v>1.05</v>
      </c>
      <c r="J1144" s="112">
        <f t="shared" si="117"/>
        <v>0</v>
      </c>
      <c r="K1144" s="595"/>
      <c r="L1144" s="595"/>
      <c r="M1144" s="595"/>
      <c r="N1144" s="595"/>
      <c r="O1144" s="595"/>
      <c r="P1144" s="595"/>
      <c r="Q1144" s="595"/>
      <c r="R1144" s="595"/>
      <c r="S1144" s="595"/>
      <c r="T1144" s="595"/>
      <c r="U1144" s="595"/>
    </row>
    <row r="1145" spans="1:21">
      <c r="A1145" s="169"/>
      <c r="B1145" s="835" t="s">
        <v>2278</v>
      </c>
      <c r="C1145" s="836"/>
      <c r="D1145" s="836"/>
      <c r="E1145" s="836"/>
      <c r="F1145" s="836"/>
      <c r="G1145" s="837"/>
      <c r="H1145" s="597">
        <v>0</v>
      </c>
      <c r="I1145" s="112">
        <v>0.77</v>
      </c>
      <c r="J1145" s="112">
        <f t="shared" si="117"/>
        <v>0</v>
      </c>
      <c r="K1145" s="595"/>
      <c r="L1145" s="595"/>
      <c r="M1145" s="595"/>
      <c r="N1145" s="595"/>
      <c r="O1145" s="595"/>
      <c r="P1145" s="595"/>
      <c r="Q1145" s="595"/>
      <c r="R1145" s="595"/>
      <c r="S1145" s="595"/>
      <c r="T1145" s="595"/>
      <c r="U1145" s="595"/>
    </row>
    <row r="1146" spans="1:21">
      <c r="A1146" s="108"/>
      <c r="B1146" s="831" t="s">
        <v>35</v>
      </c>
      <c r="C1146" s="831"/>
      <c r="D1146" s="113">
        <f>SUM(D1134:U1134)+SUM(J1136:J1145)</f>
        <v>51990.600000000006</v>
      </c>
      <c r="E1146" s="102"/>
      <c r="F1146" s="102"/>
      <c r="G1146" s="102"/>
      <c r="H1146" s="102"/>
      <c r="I1146" s="102"/>
      <c r="J1146" s="102"/>
      <c r="K1146" s="102"/>
      <c r="L1146" s="102"/>
      <c r="M1146" s="102"/>
      <c r="N1146" s="102"/>
      <c r="O1146" s="102"/>
      <c r="P1146" s="102"/>
      <c r="Q1146" s="102"/>
      <c r="R1146" s="102"/>
      <c r="S1146" s="102"/>
      <c r="T1146" s="102"/>
      <c r="U1146" s="102"/>
    </row>
    <row r="1148" spans="1:21">
      <c r="A1148"/>
      <c r="B1148" t="s">
        <v>485</v>
      </c>
      <c r="C1148" s="108"/>
      <c r="D1148" s="108"/>
      <c r="E1148" s="405" t="s">
        <v>351</v>
      </c>
      <c r="H1148" s="404" t="s">
        <v>1538</v>
      </c>
      <c r="I1148" s="406" t="s">
        <v>1580</v>
      </c>
      <c r="J1148" s="408" t="s">
        <v>1598</v>
      </c>
      <c r="M1148" s="701" t="s">
        <v>2958</v>
      </c>
      <c r="N1148" s="701" t="s">
        <v>2959</v>
      </c>
      <c r="O1148" s="591"/>
      <c r="P1148" s="591"/>
      <c r="Q1148" s="591"/>
    </row>
    <row r="1149" spans="1:21">
      <c r="A1149" s="1">
        <v>1</v>
      </c>
      <c r="B1149" s="2">
        <f>IF(H1149+H1152&lt;200,3,0)</f>
        <v>3</v>
      </c>
      <c r="C1149" s="108"/>
      <c r="D1149" s="109"/>
      <c r="E1149" s="403"/>
      <c r="G1149" s="404" t="s">
        <v>1539</v>
      </c>
      <c r="H1149" s="762">
        <f>IFERROR('Kilter Holds'!AG383,0)</f>
        <v>0</v>
      </c>
      <c r="I1149" s="762">
        <f>H1149*(1-$E$1157)</f>
        <v>0</v>
      </c>
      <c r="J1149" s="409">
        <f>IFERROR(H1149/($H$1149+$H$1152),0)</f>
        <v>0</v>
      </c>
      <c r="K1149" s="409">
        <f>IFERROR(H1149/$H$1155,0)</f>
        <v>0</v>
      </c>
      <c r="L1149" s="409"/>
      <c r="M1149" s="404" t="s">
        <v>1539</v>
      </c>
      <c r="N1149" s="702">
        <f>IFERROR('Kilter Holds'!AG387,0)</f>
        <v>0</v>
      </c>
    </row>
    <row r="1150" spans="1:21">
      <c r="A1150" s="1">
        <v>2</v>
      </c>
      <c r="B1150" s="2">
        <f>IF(AND(200.01&lt;(H1149+H1152),(H1149+H1152)&lt;300),5,0)</f>
        <v>0</v>
      </c>
      <c r="C1150" s="108"/>
      <c r="D1150" s="109"/>
      <c r="E1150" s="403"/>
      <c r="G1150" s="404" t="s">
        <v>1540</v>
      </c>
      <c r="H1150" s="762">
        <f>IFERROR('Kilter Holds'!AG397,0)</f>
        <v>1499849.9473684202</v>
      </c>
      <c r="I1150" s="762">
        <f t="shared" ref="I1150:I1151" si="118">H1150*(1-$E$1157)</f>
        <v>1499849.9473684202</v>
      </c>
      <c r="J1150" s="409">
        <f>IFERROR(H1150/($H$1150+$H$1153),0)</f>
        <v>0.9083867128999944</v>
      </c>
      <c r="K1150" s="409">
        <f>IFERROR(H1150/$H$1155,0)</f>
        <v>0.9083867128999944</v>
      </c>
      <c r="L1150" s="409"/>
      <c r="M1150" s="404" t="s">
        <v>1540</v>
      </c>
      <c r="N1150" s="702">
        <f>IFERROR('Kilter Holds'!AG401,0)</f>
        <v>27305.41122516559</v>
      </c>
    </row>
    <row r="1151" spans="1:21">
      <c r="A1151" s="1">
        <v>3</v>
      </c>
      <c r="B1151" s="2">
        <f>IF(AND(300.01&lt;(H1149+H1152),(H1149+H1152)&lt;400),10,0)</f>
        <v>0</v>
      </c>
      <c r="C1151" s="108"/>
      <c r="D1151" s="109"/>
      <c r="E1151" s="403"/>
      <c r="G1151" s="549" t="s">
        <v>2071</v>
      </c>
      <c r="H1151" s="762">
        <f>IFERROR('Kilter Holds'!AG411,0)</f>
        <v>0</v>
      </c>
      <c r="I1151" s="762">
        <f t="shared" si="118"/>
        <v>0</v>
      </c>
      <c r="J1151" s="409">
        <f>IFERROR(H1151/($H$1151+$H$1154),0)</f>
        <v>0</v>
      </c>
      <c r="K1151" s="409">
        <f>IFERROR(H1151/$H$1155,0)</f>
        <v>0</v>
      </c>
      <c r="L1151" s="409"/>
      <c r="M1151" s="549" t="s">
        <v>2071</v>
      </c>
      <c r="N1151" s="702">
        <f>IFERROR('Kilter Holds'!AG415,0)</f>
        <v>0</v>
      </c>
    </row>
    <row r="1152" spans="1:21">
      <c r="A1152" s="110">
        <v>4</v>
      </c>
      <c r="B1152" s="2">
        <f>IF(AND(400.01&lt;(H1149+H1152),(H1149+H1152)&lt;800),25,0)</f>
        <v>0</v>
      </c>
      <c r="C1152" s="108"/>
      <c r="D1152" s="109"/>
      <c r="E1152" s="403"/>
      <c r="G1152" s="404" t="s">
        <v>1541</v>
      </c>
      <c r="H1152" s="762">
        <f>IFERROR('Urban Plastix Holds'!Z161,0)</f>
        <v>0</v>
      </c>
      <c r="I1152" s="762">
        <f>H1152*(1-$E$1157)</f>
        <v>0</v>
      </c>
      <c r="J1152" s="409">
        <f>IFERROR(H1152/($H$1149+$H$1152),0)</f>
        <v>0</v>
      </c>
      <c r="K1152" s="409">
        <f t="shared" ref="K1152:K1154" si="119">IFERROR(H1152/$H$1155,0)</f>
        <v>0</v>
      </c>
      <c r="L1152" s="409"/>
      <c r="M1152" s="404" t="s">
        <v>1541</v>
      </c>
      <c r="N1152" s="702">
        <f>IFERROR('Urban Plastix Holds'!Z165,0)</f>
        <v>0</v>
      </c>
    </row>
    <row r="1153" spans="1:18">
      <c r="A1153" s="110">
        <v>5</v>
      </c>
      <c r="B1153" s="2">
        <f>IF(AND(800.01&lt;(H1149+H1152),(H1149+H1152)&lt;1000),35,0)</f>
        <v>0</v>
      </c>
      <c r="C1153" s="108"/>
      <c r="D1153" s="109"/>
      <c r="E1153" s="403"/>
      <c r="G1153" s="404" t="s">
        <v>1542</v>
      </c>
      <c r="H1153" s="762">
        <f>IFERROR('Urban Plastix Holds'!Z175,0)</f>
        <v>151263.9736842105</v>
      </c>
      <c r="I1153" s="762">
        <f>H1153*(1-$E$1157)</f>
        <v>151263.9736842105</v>
      </c>
      <c r="J1153" s="409">
        <f>IFERROR(H1153/($H$1150+$H$1153),0)</f>
        <v>9.1613287100005519E-2</v>
      </c>
      <c r="K1153" s="409">
        <f t="shared" si="119"/>
        <v>9.1613287100005519E-2</v>
      </c>
      <c r="L1153" s="409"/>
      <c r="M1153" s="404" t="s">
        <v>1542</v>
      </c>
      <c r="N1153" s="702">
        <f>IFERROR('Urban Plastix Holds'!Z179,0)</f>
        <v>2744.7778049804942</v>
      </c>
    </row>
    <row r="1154" spans="1:18">
      <c r="A1154" s="110">
        <v>6</v>
      </c>
      <c r="B1154" s="2">
        <f>IF(AND(1000.01&lt;(H1149+H1152),(H1149+H1152)&lt;1500),45,0)</f>
        <v>0</v>
      </c>
      <c r="C1154" s="108"/>
      <c r="D1154" s="109"/>
      <c r="E1154" s="403"/>
      <c r="G1154" s="601" t="s">
        <v>2271</v>
      </c>
      <c r="H1154" s="762">
        <f>IFERROR('Urban Plastix Holds'!Z189,0)</f>
        <v>0</v>
      </c>
      <c r="I1154" s="762">
        <f>H1154*(1-$E$1157)</f>
        <v>0</v>
      </c>
      <c r="J1154" s="409">
        <f>IFERROR(H1154/($H$1151+$H$1154),0)</f>
        <v>0</v>
      </c>
      <c r="K1154" s="409">
        <f t="shared" si="119"/>
        <v>0</v>
      </c>
      <c r="L1154" s="409"/>
      <c r="M1154" s="601" t="s">
        <v>2271</v>
      </c>
      <c r="N1154" s="702">
        <f>IFERROR('Urban Plastix Holds'!Z193,0)</f>
        <v>0</v>
      </c>
    </row>
    <row r="1155" spans="1:18">
      <c r="A1155" s="110">
        <v>7</v>
      </c>
      <c r="B1155" s="2">
        <f>IF(AND(1500.01&lt;(H1149+H1152),(H1149+H1152)&lt;1750),55,0)</f>
        <v>0</v>
      </c>
      <c r="C1155" s="108"/>
      <c r="D1155" s="109"/>
      <c r="E1155" s="403"/>
      <c r="G1155" s="404" t="s">
        <v>79</v>
      </c>
      <c r="H1155" s="762">
        <f>SUM(H1149:H1154)</f>
        <v>1651113.9210526308</v>
      </c>
      <c r="I1155" s="762">
        <f>SUM(I1149:I1154)</f>
        <v>1651113.9210526308</v>
      </c>
      <c r="J1155" s="359"/>
      <c r="K1155" s="359"/>
      <c r="L1155" s="359"/>
      <c r="M1155" s="404" t="s">
        <v>79</v>
      </c>
      <c r="N1155" s="702">
        <f>SUM(N1149:N1154)</f>
        <v>30050.189030146084</v>
      </c>
    </row>
    <row r="1156" spans="1:18">
      <c r="A1156" s="110">
        <v>8</v>
      </c>
      <c r="B1156" s="2">
        <f>IF(AND(1750.01&lt;(H1149+H1152),(H1149+H1152)&lt;2200),65,0)</f>
        <v>0</v>
      </c>
      <c r="C1156" s="108"/>
      <c r="D1156" s="109"/>
      <c r="E1156" s="403"/>
      <c r="N1156" s="591"/>
    </row>
    <row r="1157" spans="1:18">
      <c r="A1157" s="110">
        <v>9</v>
      </c>
      <c r="B1157" s="2">
        <f>IF(AND(2200.01&lt;(H1149+H1152),(H1149+H1152)&lt;2700),75,0)</f>
        <v>0</v>
      </c>
      <c r="C1157" s="108"/>
      <c r="D1157" s="405" t="s">
        <v>537</v>
      </c>
      <c r="E1157" s="109">
        <v>0</v>
      </c>
      <c r="N1157" s="591"/>
    </row>
    <row r="1158" spans="1:18">
      <c r="A1158" s="110">
        <v>10</v>
      </c>
      <c r="B1158" s="2">
        <f>IF(AND(2700.01&lt;(H1149+H1152),(H1149+H1152)&lt;3200),100,0)</f>
        <v>0</v>
      </c>
      <c r="C1158" s="108"/>
      <c r="D1158" s="108"/>
      <c r="E1158" s="108"/>
      <c r="P1158" s="748"/>
      <c r="Q1158" s="748"/>
      <c r="R1158" s="748"/>
    </row>
    <row r="1159" spans="1:18">
      <c r="A1159" s="110">
        <v>11</v>
      </c>
      <c r="B1159" s="2">
        <f>IF(AND(3200.01&lt;(H1149+H1152),(H1149+H1152)&lt;5200),125,0)</f>
        <v>0</v>
      </c>
      <c r="C1159" s="108"/>
      <c r="D1159" s="108"/>
      <c r="E1159" s="108"/>
      <c r="O1159" s="748"/>
      <c r="P1159" s="748"/>
      <c r="Q1159" s="748"/>
      <c r="R1159" s="748"/>
    </row>
    <row r="1160" spans="1:18">
      <c r="A1160" s="110">
        <v>12</v>
      </c>
      <c r="B1160" s="2">
        <f>IF(AND(5200.01&lt;(H1149+H1152),(H1149+H1152)&lt;10200),175,0)</f>
        <v>0</v>
      </c>
      <c r="C1160" s="108"/>
      <c r="D1160" s="108"/>
      <c r="E1160" s="108"/>
      <c r="O1160" s="748"/>
      <c r="P1160" s="748"/>
      <c r="Q1160" s="748"/>
      <c r="R1160" s="748"/>
    </row>
    <row r="1161" spans="1:18">
      <c r="A1161" s="110">
        <v>13</v>
      </c>
      <c r="B1161" s="2">
        <f>IF(AND(10200.01&lt;(H1149+H1152),(H1149+H1152)&lt;20200),250,0)</f>
        <v>0</v>
      </c>
      <c r="C1161" s="108"/>
      <c r="D1161" s="108"/>
      <c r="E1161" s="108"/>
      <c r="O1161" s="748"/>
      <c r="P1161" s="748"/>
      <c r="Q1161" s="748"/>
      <c r="R1161" s="748"/>
    </row>
    <row r="1162" spans="1:18">
      <c r="A1162" s="110">
        <v>14</v>
      </c>
      <c r="B1162" s="2">
        <f>IF((H1149+H1152)&gt;20200.01,350,0)</f>
        <v>0</v>
      </c>
      <c r="C1162" s="108"/>
      <c r="D1162" s="108"/>
      <c r="E1162" s="108"/>
      <c r="O1162" s="748"/>
      <c r="P1162" s="748"/>
      <c r="Q1162" s="748"/>
      <c r="R1162" s="748"/>
    </row>
    <row r="1163" spans="1:18">
      <c r="A1163" s="85" t="s">
        <v>537</v>
      </c>
      <c r="B1163" s="111">
        <f>SUM(B1149:B1162)</f>
        <v>3</v>
      </c>
      <c r="C1163" s="108"/>
      <c r="D1163" s="108"/>
      <c r="E1163" s="108"/>
      <c r="O1163" s="748"/>
      <c r="P1163" s="748"/>
      <c r="Q1163" s="748"/>
      <c r="R1163" s="748"/>
    </row>
    <row r="1164" spans="1:18">
      <c r="O1164" s="748"/>
      <c r="P1164" s="748"/>
      <c r="Q1164" s="748"/>
      <c r="R1164" s="748"/>
    </row>
    <row r="1165" spans="1:18">
      <c r="A1165" s="136" t="s">
        <v>467</v>
      </c>
      <c r="B1165" s="137" t="s">
        <v>468</v>
      </c>
      <c r="C1165" s="138" t="s">
        <v>469</v>
      </c>
      <c r="D1165" s="139" t="s">
        <v>482</v>
      </c>
      <c r="E1165" s="140" t="s">
        <v>470</v>
      </c>
      <c r="F1165" s="141" t="s">
        <v>471</v>
      </c>
      <c r="G1165" s="142" t="s">
        <v>472</v>
      </c>
      <c r="H1165" s="143" t="s">
        <v>473</v>
      </c>
      <c r="I1165" s="144" t="s">
        <v>33</v>
      </c>
      <c r="K1165" s="442" t="s">
        <v>1928</v>
      </c>
      <c r="L1165" s="442"/>
      <c r="O1165" s="748"/>
      <c r="P1165" s="748"/>
      <c r="Q1165" s="748"/>
      <c r="R1165" s="748"/>
    </row>
    <row r="1166" spans="1:18">
      <c r="A1166" s="436" t="s">
        <v>474</v>
      </c>
      <c r="B1166" s="437" t="s">
        <v>475</v>
      </c>
      <c r="C1166" s="436" t="s">
        <v>476</v>
      </c>
      <c r="D1166" s="436" t="s">
        <v>477</v>
      </c>
      <c r="E1166" s="436" t="s">
        <v>478</v>
      </c>
      <c r="F1166" s="436" t="s">
        <v>479</v>
      </c>
      <c r="G1166" s="436" t="s">
        <v>480</v>
      </c>
      <c r="H1166" s="436" t="s">
        <v>481</v>
      </c>
      <c r="I1166" s="436" t="s">
        <v>1160</v>
      </c>
      <c r="K1166" s="442" t="s">
        <v>1935</v>
      </c>
      <c r="L1166" s="442"/>
      <c r="O1166" s="748"/>
      <c r="P1166" s="748"/>
      <c r="Q1166" s="748"/>
      <c r="R1166" s="748"/>
    </row>
    <row r="1167" spans="1:18">
      <c r="A1167" s="436" t="s">
        <v>1171</v>
      </c>
      <c r="B1167" s="437" t="s">
        <v>1163</v>
      </c>
      <c r="C1167" s="436" t="s">
        <v>1166</v>
      </c>
      <c r="D1167" s="436" t="s">
        <v>1162</v>
      </c>
      <c r="E1167" s="436" t="s">
        <v>1164</v>
      </c>
      <c r="F1167" s="436" t="s">
        <v>1193</v>
      </c>
      <c r="G1167" s="436" t="s">
        <v>1170</v>
      </c>
      <c r="H1167" s="434"/>
      <c r="I1167" s="436" t="s">
        <v>1169</v>
      </c>
      <c r="K1167" s="442" t="s">
        <v>1936</v>
      </c>
      <c r="L1167" s="442"/>
      <c r="O1167" s="748"/>
      <c r="P1167" s="748"/>
      <c r="Q1167" s="748"/>
      <c r="R1167" s="748"/>
    </row>
    <row r="1168" spans="1:18">
      <c r="A1168" s="436" t="s">
        <v>1196</v>
      </c>
      <c r="B1168" s="437" t="s">
        <v>1167</v>
      </c>
      <c r="C1168" s="436" t="s">
        <v>1205</v>
      </c>
      <c r="D1168" s="436" t="s">
        <v>1194</v>
      </c>
      <c r="E1168" s="436" t="s">
        <v>1165</v>
      </c>
      <c r="F1168" s="436" t="s">
        <v>1187</v>
      </c>
      <c r="G1168" s="436" t="s">
        <v>1203</v>
      </c>
      <c r="H1168" s="434"/>
      <c r="I1168" s="436" t="s">
        <v>1158</v>
      </c>
      <c r="K1168" s="442" t="s">
        <v>1937</v>
      </c>
      <c r="L1168" s="442"/>
      <c r="O1168" s="748"/>
      <c r="P1168" s="748"/>
      <c r="Q1168" s="748"/>
      <c r="R1168" s="748"/>
    </row>
    <row r="1169" spans="1:18">
      <c r="A1169" s="436" t="s">
        <v>1197</v>
      </c>
      <c r="B1169" s="437" t="s">
        <v>1204</v>
      </c>
      <c r="C1169" s="436" t="s">
        <v>1918</v>
      </c>
      <c r="D1169" s="436" t="s">
        <v>1195</v>
      </c>
      <c r="E1169" s="436" t="s">
        <v>1202</v>
      </c>
      <c r="F1169" s="436" t="s">
        <v>1193</v>
      </c>
      <c r="G1169" s="436" t="s">
        <v>1924</v>
      </c>
      <c r="H1169" s="434"/>
      <c r="I1169" s="436" t="s">
        <v>1168</v>
      </c>
      <c r="O1169" s="748"/>
      <c r="Q1169" s="748"/>
      <c r="R1169" s="748"/>
    </row>
    <row r="1170" spans="1:18">
      <c r="A1170" s="436" t="s">
        <v>1915</v>
      </c>
      <c r="B1170" s="437" t="s">
        <v>1916</v>
      </c>
      <c r="C1170" s="434"/>
      <c r="D1170" s="436" t="s">
        <v>1200</v>
      </c>
      <c r="E1170" s="436" t="s">
        <v>1326</v>
      </c>
      <c r="F1170" s="436" t="s">
        <v>1922</v>
      </c>
      <c r="G1170" s="434"/>
      <c r="H1170" s="434"/>
      <c r="I1170" s="436" t="s">
        <v>1172</v>
      </c>
      <c r="O1170" s="748"/>
      <c r="Q1170" s="748"/>
      <c r="R1170" s="748"/>
    </row>
    <row r="1171" spans="1:18">
      <c r="A1171" s="434"/>
      <c r="B1171" s="437" t="s">
        <v>1917</v>
      </c>
      <c r="C1171" s="434"/>
      <c r="D1171" s="436" t="s">
        <v>1201</v>
      </c>
      <c r="E1171" s="436" t="s">
        <v>1913</v>
      </c>
      <c r="F1171" s="436" t="s">
        <v>1923</v>
      </c>
      <c r="G1171" s="434"/>
      <c r="H1171" s="434"/>
      <c r="I1171" s="436" t="s">
        <v>1186</v>
      </c>
      <c r="O1171" s="748"/>
      <c r="Q1171" s="748"/>
      <c r="R1171" s="748"/>
    </row>
    <row r="1172" spans="1:18">
      <c r="A1172" s="434"/>
      <c r="B1172" s="435"/>
      <c r="C1172" s="434"/>
      <c r="D1172" s="436" t="s">
        <v>1159</v>
      </c>
      <c r="E1172" s="436" t="s">
        <v>1914</v>
      </c>
      <c r="F1172" s="434"/>
      <c r="G1172" s="434"/>
      <c r="H1172" s="434"/>
      <c r="I1172" s="436" t="s">
        <v>1188</v>
      </c>
      <c r="O1172" s="748"/>
      <c r="Q1172" s="748"/>
      <c r="R1172" s="748"/>
    </row>
    <row r="1173" spans="1:18">
      <c r="A1173" s="434"/>
      <c r="B1173" s="435"/>
      <c r="C1173" s="434"/>
      <c r="D1173" s="436" t="s">
        <v>1919</v>
      </c>
      <c r="E1173" s="434"/>
      <c r="F1173" s="434"/>
      <c r="G1173" s="434"/>
      <c r="H1173" s="434"/>
      <c r="I1173" s="436" t="s">
        <v>1198</v>
      </c>
      <c r="O1173" s="748"/>
      <c r="Q1173" s="748"/>
      <c r="R1173" s="748"/>
    </row>
    <row r="1174" spans="1:18">
      <c r="A1174" s="434"/>
      <c r="B1174" s="435"/>
      <c r="C1174" s="434"/>
      <c r="D1174" s="436" t="s">
        <v>1920</v>
      </c>
      <c r="E1174" s="434"/>
      <c r="F1174" s="434"/>
      <c r="G1174" s="434"/>
      <c r="H1174" s="434"/>
      <c r="I1174" s="436" t="s">
        <v>1199</v>
      </c>
      <c r="O1174" s="748"/>
      <c r="Q1174" s="748"/>
      <c r="R1174" s="748"/>
    </row>
    <row r="1175" spans="1:18">
      <c r="A1175" s="434"/>
      <c r="B1175" s="435"/>
      <c r="C1175" s="434"/>
      <c r="D1175" s="436" t="s">
        <v>1921</v>
      </c>
      <c r="E1175" s="434"/>
      <c r="F1175" s="434"/>
      <c r="G1175" s="434"/>
      <c r="H1175" s="434"/>
      <c r="I1175" s="436" t="s">
        <v>1925</v>
      </c>
      <c r="O1175" s="748"/>
      <c r="Q1175" s="748"/>
      <c r="R1175" s="748"/>
    </row>
    <row r="1176" spans="1:18">
      <c r="A1176" s="434"/>
      <c r="B1176" s="435"/>
      <c r="C1176" s="434"/>
      <c r="D1176" s="434"/>
      <c r="E1176" s="434"/>
      <c r="F1176" s="434"/>
      <c r="G1176" s="434"/>
      <c r="H1176" s="434"/>
      <c r="I1176" s="434"/>
      <c r="O1176" s="748"/>
      <c r="Q1176" s="748"/>
      <c r="R1176" s="748"/>
    </row>
    <row r="1177" spans="1:18">
      <c r="A1177" s="434"/>
      <c r="B1177" s="435"/>
      <c r="C1177" s="434"/>
      <c r="D1177" s="434"/>
      <c r="E1177" s="434"/>
      <c r="F1177" s="434"/>
      <c r="G1177" s="434"/>
      <c r="H1177" s="434"/>
      <c r="I1177" s="434"/>
      <c r="O1177" s="748"/>
      <c r="R1177" s="748"/>
    </row>
    <row r="1178" spans="1:18">
      <c r="A1178" s="434"/>
      <c r="B1178" s="435"/>
      <c r="C1178" s="434"/>
      <c r="D1178" s="434"/>
      <c r="E1178" s="434"/>
      <c r="F1178" s="434"/>
      <c r="G1178" s="434"/>
      <c r="H1178" s="434"/>
      <c r="I1178" s="434"/>
    </row>
    <row r="1179" spans="1:18">
      <c r="A1179" s="434"/>
      <c r="B1179" s="435"/>
      <c r="C1179" s="434"/>
      <c r="D1179" s="434"/>
      <c r="E1179" s="434"/>
      <c r="F1179" s="434"/>
      <c r="G1179" s="434"/>
      <c r="H1179" s="434"/>
      <c r="I1179" s="434"/>
    </row>
    <row r="1180" spans="1:18">
      <c r="A1180" s="434"/>
      <c r="B1180" s="435"/>
      <c r="C1180" s="434"/>
      <c r="D1180" s="434"/>
      <c r="E1180" s="434"/>
      <c r="F1180" s="434"/>
      <c r="G1180" s="434"/>
      <c r="H1180" s="434"/>
      <c r="I1180" s="434"/>
    </row>
    <row r="1181" spans="1:18">
      <c r="A1181" s="434"/>
      <c r="B1181" s="435"/>
      <c r="C1181" s="434"/>
      <c r="D1181" s="434"/>
      <c r="E1181" s="434"/>
      <c r="F1181" s="434"/>
      <c r="G1181" s="434"/>
      <c r="H1181" s="434"/>
      <c r="I1181" s="434"/>
    </row>
    <row r="1182" spans="1:18">
      <c r="A1182" s="434"/>
      <c r="B1182" s="435"/>
      <c r="C1182" s="434"/>
      <c r="D1182" s="434"/>
      <c r="E1182" s="434"/>
      <c r="F1182" s="434"/>
      <c r="G1182" s="434"/>
      <c r="H1182" s="434"/>
      <c r="I1182" s="434"/>
    </row>
    <row r="1183" spans="1:18">
      <c r="A1183" s="434"/>
      <c r="B1183" s="435"/>
      <c r="C1183" s="434"/>
      <c r="D1183" s="434"/>
      <c r="E1183" s="434"/>
      <c r="F1183" s="434"/>
      <c r="G1183" s="434"/>
      <c r="H1183" s="434"/>
      <c r="I1183" s="434"/>
    </row>
    <row r="1184" spans="1:18">
      <c r="A1184" s="434"/>
      <c r="B1184" s="435"/>
      <c r="C1184" s="434"/>
      <c r="D1184" s="434"/>
      <c r="E1184" s="434"/>
      <c r="F1184" s="434"/>
      <c r="G1184" s="434"/>
      <c r="H1184" s="434"/>
      <c r="I1184" s="434"/>
    </row>
    <row r="1185" spans="1:9">
      <c r="A1185" s="434"/>
      <c r="B1185" s="435"/>
      <c r="C1185" s="434"/>
      <c r="D1185" s="434"/>
      <c r="E1185" s="434"/>
      <c r="F1185" s="434"/>
      <c r="G1185" s="434"/>
      <c r="H1185" s="434"/>
      <c r="I1185" s="434"/>
    </row>
    <row r="1186" spans="1:9">
      <c r="A1186" s="434"/>
      <c r="B1186" s="435"/>
      <c r="C1186" s="434"/>
      <c r="D1186" s="434"/>
      <c r="E1186" s="434"/>
      <c r="F1186" s="434"/>
      <c r="G1186" s="434"/>
      <c r="H1186" s="434"/>
      <c r="I1186" s="434"/>
    </row>
    <row r="1187" spans="1:9">
      <c r="A1187" s="434"/>
      <c r="B1187" s="435"/>
      <c r="C1187" s="434"/>
      <c r="D1187" s="434"/>
      <c r="E1187" s="434"/>
      <c r="F1187" s="434"/>
      <c r="G1187" s="434"/>
      <c r="H1187" s="434"/>
      <c r="I1187" s="434"/>
    </row>
    <row r="1188" spans="1:9">
      <c r="A1188" s="434"/>
      <c r="B1188" s="435"/>
      <c r="C1188" s="434"/>
      <c r="D1188" s="434"/>
      <c r="E1188" s="434"/>
      <c r="F1188" s="434"/>
      <c r="G1188" s="434"/>
      <c r="H1188" s="434"/>
      <c r="I1188" s="434"/>
    </row>
    <row r="1189" spans="1:9">
      <c r="A1189" s="434"/>
      <c r="B1189" s="435"/>
      <c r="C1189" s="434"/>
      <c r="D1189" s="434"/>
      <c r="E1189" s="434"/>
      <c r="F1189" s="434"/>
      <c r="G1189" s="434"/>
      <c r="H1189" s="434"/>
      <c r="I1189" s="434"/>
    </row>
    <row r="1190" spans="1:9">
      <c r="A1190" s="434"/>
      <c r="B1190" s="435"/>
      <c r="C1190" s="434"/>
      <c r="D1190" s="434"/>
      <c r="E1190" s="434"/>
      <c r="F1190" s="434"/>
      <c r="G1190" s="434"/>
      <c r="H1190" s="434"/>
      <c r="I1190" s="434"/>
    </row>
    <row r="1191" spans="1:9">
      <c r="A1191" s="434"/>
      <c r="B1191" s="435"/>
      <c r="C1191" s="434"/>
      <c r="D1191" s="434"/>
      <c r="E1191" s="434"/>
      <c r="F1191" s="434"/>
      <c r="G1191" s="434"/>
      <c r="H1191" s="434"/>
      <c r="I1191" s="434"/>
    </row>
    <row r="1192" spans="1:9">
      <c r="A1192" s="434"/>
      <c r="B1192" s="435"/>
      <c r="C1192" s="434"/>
      <c r="D1192" s="434"/>
      <c r="E1192" s="434"/>
      <c r="F1192" s="434"/>
      <c r="G1192" s="434"/>
      <c r="H1192" s="434"/>
      <c r="I1192" s="434"/>
    </row>
    <row r="1193" spans="1:9">
      <c r="A1193" s="434"/>
      <c r="B1193" s="435"/>
      <c r="C1193" s="434"/>
      <c r="D1193" s="434"/>
      <c r="E1193" s="434"/>
      <c r="F1193" s="434"/>
      <c r="G1193" s="434"/>
      <c r="H1193" s="434"/>
      <c r="I1193" s="434"/>
    </row>
    <row r="1194" spans="1:9">
      <c r="A1194" s="434"/>
      <c r="B1194" s="435"/>
      <c r="C1194" s="434"/>
      <c r="D1194" s="434"/>
      <c r="E1194" s="434"/>
      <c r="F1194" s="434"/>
      <c r="G1194" s="434"/>
      <c r="H1194" s="434"/>
      <c r="I1194" s="434"/>
    </row>
    <row r="1195" spans="1:9">
      <c r="A1195" s="434"/>
      <c r="B1195" s="435"/>
      <c r="C1195" s="434"/>
      <c r="D1195" s="434"/>
      <c r="E1195" s="434"/>
      <c r="F1195" s="434"/>
      <c r="G1195" s="434"/>
      <c r="H1195" s="434"/>
      <c r="I1195" s="434"/>
    </row>
    <row r="1196" spans="1:9">
      <c r="A1196" s="434"/>
      <c r="B1196" s="435"/>
      <c r="C1196" s="434"/>
      <c r="D1196" s="434"/>
      <c r="E1196" s="434"/>
      <c r="F1196" s="434"/>
      <c r="G1196" s="434"/>
      <c r="H1196" s="434"/>
      <c r="I1196" s="434"/>
    </row>
  </sheetData>
  <sheetProtection deleteRows="0" sort="0"/>
  <protectedRanges>
    <protectedRange algorithmName="SHA-512" hashValue="rW/fl3ZTxrFMathbgW0pLnAU8Iela6AHY9A5GKCYnXOSFIQ0pFZecyZ7Ihe5pTlOCFCZkFbujY5HTtlckzCipQ==" saltValue="DsD4/z6S4Q4Uu3iFlrVWdw==" spinCount="100000" sqref="H1135:I1135 C1133:I1134 J1133:U1135 C1146:U1146 A1133:B1137 A1138 A1139:B1146 E1135:F1145 H1136:U1145" name="Bolt Prices"/>
    <protectedRange algorithmName="SHA-512" hashValue="QyoifIspWti8yQ9rbQlFCw0CZ9OH2PdM2/BrmMoquuNKp/9R99ABT4qXWCo4HjQhHOGicmp87wk+Y3ji33TYwQ==" saltValue="xVT1AhsHVmv6hXlI4D0fHw==" spinCount="100000" sqref="B1149:B1163" name="Handling"/>
    <protectedRange algorithmName="SHA-512" hashValue="KhhxIBs+eD9AzX5E5ivx82o79vjDmCSiug2gDK6OOMux9Qy0Z1jDbuMvCyM8PSImeDKe1/Q1VYoN82dVDOtULA==" saltValue="iHPnfWen5MydbY3SgLotmA==" spinCount="100000" sqref="E1149:E1157" name="Discounts"/>
  </protectedRanges>
  <sortState xmlns:xlrd2="http://schemas.microsoft.com/office/spreadsheetml/2017/richdata2" ref="N1149:Q1157">
    <sortCondition ref="N1149:N1157"/>
  </sortState>
  <mergeCells count="15">
    <mergeCell ref="A1:V2"/>
    <mergeCell ref="B1133:C1133"/>
    <mergeCell ref="B1134:C1134"/>
    <mergeCell ref="B1146:C1146"/>
    <mergeCell ref="B1135:G1135"/>
    <mergeCell ref="B1140:G1140"/>
    <mergeCell ref="B1141:G1141"/>
    <mergeCell ref="B1142:G1142"/>
    <mergeCell ref="B1143:G1143"/>
    <mergeCell ref="B1144:G1144"/>
    <mergeCell ref="B1145:G1145"/>
    <mergeCell ref="B1139:G1139"/>
    <mergeCell ref="B1136:G1136"/>
    <mergeCell ref="B1137:G1137"/>
    <mergeCell ref="B1138:G1138"/>
  </mergeCells>
  <phoneticPr fontId="39" type="noConversion"/>
  <conditionalFormatting sqref="A3:P3">
    <cfRule type="cellIs" dxfId="52" priority="1" operator="greaterThan">
      <formula>0</formula>
    </cfRule>
    <cfRule type="cellIs" dxfId="51" priority="2" operator="greaterThan">
      <formula>0</formula>
    </cfRule>
  </conditionalFormatting>
  <pageMargins left="0.7" right="0.7" top="0.75" bottom="0.75" header="0.3" footer="0.3"/>
  <pageSetup paperSize="9" orientation="portrait" r:id="rId1"/>
  <ignoredErrors>
    <ignoredError sqref="D814"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1265" r:id="rId4" name="Button 1">
              <controlPr defaultSize="0" print="0" autoFill="0" autoPict="0" macro="[0]!Discount">
                <anchor moveWithCells="1" sizeWithCells="1">
                  <from>
                    <xdr:col>3</xdr:col>
                    <xdr:colOff>0</xdr:colOff>
                    <xdr:row>1161</xdr:row>
                    <xdr:rowOff>0</xdr:rowOff>
                  </from>
                  <to>
                    <xdr:col>6</xdr:col>
                    <xdr:colOff>0</xdr:colOff>
                    <xdr:row>1165</xdr:row>
                    <xdr:rowOff>0</xdr:rowOff>
                  </to>
                </anchor>
              </controlPr>
            </control>
          </mc:Choice>
        </mc:AlternateContent>
      </controls>
    </mc:Choice>
  </mc:AlternateContent>
  <tableParts count="1">
    <tablePart r:id="rId5"/>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V7048"/>
  <sheetViews>
    <sheetView topLeftCell="E1" workbookViewId="0">
      <selection activeCell="E1" sqref="E1"/>
    </sheetView>
  </sheetViews>
  <sheetFormatPr defaultColWidth="8.84375" defaultRowHeight="13.5"/>
  <cols>
    <col min="1" max="1" width="13" hidden="1" customWidth="1"/>
    <col min="2" max="4" width="5.61328125" hidden="1" customWidth="1"/>
    <col min="5" max="5" width="13.15234375" bestFit="1" customWidth="1"/>
    <col min="6" max="6" width="34.4609375" bestFit="1" customWidth="1"/>
    <col min="7" max="7" width="9.765625" bestFit="1" customWidth="1"/>
    <col min="8" max="8" width="11.4609375" style="1" bestFit="1" customWidth="1"/>
    <col min="9" max="9" width="8.15234375" style="2" bestFit="1" customWidth="1"/>
    <col min="10" max="10" width="10.61328125" style="2" bestFit="1" customWidth="1"/>
    <col min="11" max="11" width="14.15234375" style="2" bestFit="1" customWidth="1"/>
    <col min="12" max="12" width="10.61328125" bestFit="1" customWidth="1"/>
    <col min="13" max="13" width="8.61328125" bestFit="1" customWidth="1"/>
    <col min="14" max="14" width="8.84375" style="2"/>
    <col min="15" max="15" width="13.3828125" bestFit="1" customWidth="1"/>
    <col min="16" max="16" width="10.61328125" bestFit="1" customWidth="1"/>
    <col min="17" max="17" width="7" bestFit="1" customWidth="1"/>
    <col min="18" max="18" width="12.61328125" bestFit="1" customWidth="1"/>
    <col min="21" max="21" width="11.23046875" bestFit="1" customWidth="1"/>
    <col min="22" max="22" width="11.3828125" bestFit="1" customWidth="1"/>
  </cols>
  <sheetData>
    <row r="1" spans="5:22">
      <c r="E1" s="3" t="s">
        <v>31</v>
      </c>
      <c r="F1" s="3" t="s">
        <v>522</v>
      </c>
      <c r="G1" s="3" t="s">
        <v>483</v>
      </c>
      <c r="H1" s="14" t="s">
        <v>484</v>
      </c>
      <c r="I1" s="4" t="s">
        <v>523</v>
      </c>
      <c r="J1" s="4" t="s">
        <v>524</v>
      </c>
      <c r="K1" s="4" t="s">
        <v>528</v>
      </c>
      <c r="L1" s="3" t="s">
        <v>525</v>
      </c>
      <c r="M1" s="3" t="s">
        <v>526</v>
      </c>
      <c r="N1" s="410" t="s">
        <v>1538</v>
      </c>
      <c r="P1" s="15" t="s">
        <v>532</v>
      </c>
      <c r="Q1" s="16">
        <f>SUM(J2:J5752)</f>
        <v>0</v>
      </c>
      <c r="U1" s="3" t="s">
        <v>527</v>
      </c>
      <c r="V1" s="3" t="s">
        <v>447</v>
      </c>
    </row>
    <row r="2" spans="5:22">
      <c r="E2" t="s">
        <v>168</v>
      </c>
      <c r="F2" t="s">
        <v>550</v>
      </c>
      <c r="G2" s="5" t="str">
        <f>'Kilter Holds'!T35</f>
        <v>11-12</v>
      </c>
      <c r="H2" s="1">
        <f>_xlfn.IFNA(VLOOKUP(Aragon!E2,'Kilter Holds'!$P$36:$AB$370,5,0),0)</f>
        <v>0</v>
      </c>
      <c r="J2" s="2">
        <f>H2*I2</f>
        <v>0</v>
      </c>
      <c r="K2" s="2">
        <f>IF($V$11="Y",J2*0.05,0)</f>
        <v>0</v>
      </c>
      <c r="P2" s="17" t="s">
        <v>528</v>
      </c>
      <c r="Q2" s="18">
        <f>SUM(K2:K5752)</f>
        <v>0</v>
      </c>
      <c r="U2" s="22" t="str">
        <f>'Kilter Holds'!T35</f>
        <v>11-12</v>
      </c>
      <c r="V2" s="3" t="s">
        <v>531</v>
      </c>
    </row>
    <row r="3" spans="5:22">
      <c r="E3" t="s">
        <v>168</v>
      </c>
      <c r="F3" t="s">
        <v>550</v>
      </c>
      <c r="G3" s="6" t="str">
        <f>'Kilter Holds'!U35</f>
        <v>14-01</v>
      </c>
      <c r="H3" s="1">
        <f>_xlfn.IFNA(VLOOKUP(Aragon!E3,'Kilter Holds'!$P$36:$AB$370,6,0),0)</f>
        <v>0</v>
      </c>
      <c r="J3" s="2">
        <f t="shared" ref="J3:J66" si="0">H3*I3</f>
        <v>0</v>
      </c>
      <c r="K3" s="2">
        <f t="shared" ref="K3:K11" si="1">IF($V$11="Y",J3*0.05,0)</f>
        <v>0</v>
      </c>
      <c r="P3" s="17" t="s">
        <v>534</v>
      </c>
      <c r="Q3" s="21">
        <v>0</v>
      </c>
      <c r="U3" s="23" t="str">
        <f>'Kilter Holds'!U35</f>
        <v>14-01</v>
      </c>
      <c r="V3" s="3" t="s">
        <v>531</v>
      </c>
    </row>
    <row r="4" spans="5:22">
      <c r="E4" t="s">
        <v>168</v>
      </c>
      <c r="F4" t="s">
        <v>550</v>
      </c>
      <c r="G4" s="7" t="str">
        <f>'Kilter Holds'!V35</f>
        <v>15-12</v>
      </c>
      <c r="H4" s="1">
        <f>_xlfn.IFNA(VLOOKUP(Aragon!E4,'Kilter Holds'!$P$36:$AB$370,7,0),0)</f>
        <v>0</v>
      </c>
      <c r="J4" s="2">
        <f t="shared" si="0"/>
        <v>0</v>
      </c>
      <c r="K4" s="2">
        <f t="shared" si="1"/>
        <v>0</v>
      </c>
      <c r="P4" s="17" t="s">
        <v>485</v>
      </c>
      <c r="Q4" s="18">
        <f>Bolts!B1163</f>
        <v>3</v>
      </c>
      <c r="U4" s="24" t="str">
        <f>'Kilter Holds'!V35</f>
        <v>15-12</v>
      </c>
      <c r="V4" s="3" t="s">
        <v>531</v>
      </c>
    </row>
    <row r="5" spans="5:22">
      <c r="E5" t="s">
        <v>168</v>
      </c>
      <c r="F5" t="s">
        <v>550</v>
      </c>
      <c r="G5" s="8" t="str">
        <f>'Kilter Holds'!W35</f>
        <v>16-16</v>
      </c>
      <c r="H5" s="1">
        <f>_xlfn.IFNA(VLOOKUP(Aragon!E5,'Kilter Holds'!$P$36:$AB$370,8,0),0)</f>
        <v>0</v>
      </c>
      <c r="J5" s="2">
        <f t="shared" si="0"/>
        <v>0</v>
      </c>
      <c r="K5" s="2">
        <f t="shared" si="1"/>
        <v>0</v>
      </c>
      <c r="P5" s="17" t="s">
        <v>533</v>
      </c>
      <c r="Q5" s="18"/>
      <c r="U5" s="25" t="str">
        <f>'Kilter Holds'!W35</f>
        <v>16-16</v>
      </c>
      <c r="V5" s="3" t="s">
        <v>531</v>
      </c>
    </row>
    <row r="6" spans="5:22" ht="14" thickBot="1">
      <c r="E6" t="s">
        <v>168</v>
      </c>
      <c r="F6" t="s">
        <v>550</v>
      </c>
      <c r="G6" s="9" t="str">
        <f>'Kilter Holds'!X35</f>
        <v>13-01</v>
      </c>
      <c r="H6" s="1">
        <f>_xlfn.IFNA(VLOOKUP(Aragon!E6,'Kilter Holds'!$P$36:$AB$370,9,0),0)</f>
        <v>0</v>
      </c>
      <c r="J6" s="2">
        <f t="shared" si="0"/>
        <v>0</v>
      </c>
      <c r="K6" s="2">
        <f t="shared" si="1"/>
        <v>0</v>
      </c>
      <c r="P6" s="19" t="s">
        <v>79</v>
      </c>
      <c r="Q6" s="20">
        <f>SUM(Q1:Q5)</f>
        <v>3</v>
      </c>
      <c r="U6" s="26" t="str">
        <f>'Kilter Holds'!X35</f>
        <v>13-01</v>
      </c>
      <c r="V6" s="3" t="s">
        <v>531</v>
      </c>
    </row>
    <row r="7" spans="5:22">
      <c r="E7" t="s">
        <v>168</v>
      </c>
      <c r="F7" t="s">
        <v>550</v>
      </c>
      <c r="G7" s="10" t="str">
        <f>'Kilter Holds'!Y35</f>
        <v>07-13</v>
      </c>
      <c r="H7" s="1">
        <f>_xlfn.IFNA(VLOOKUP(Aragon!E7,'Kilter Holds'!$P$36:$AB$370,10,0),0)</f>
        <v>0</v>
      </c>
      <c r="J7" s="2">
        <f t="shared" si="0"/>
        <v>0</v>
      </c>
      <c r="K7" s="2">
        <f t="shared" si="1"/>
        <v>0</v>
      </c>
      <c r="U7" s="27" t="str">
        <f>'Kilter Holds'!Y35</f>
        <v>07-13</v>
      </c>
      <c r="V7" s="3" t="s">
        <v>531</v>
      </c>
    </row>
    <row r="8" spans="5:22">
      <c r="E8" t="s">
        <v>168</v>
      </c>
      <c r="F8" t="s">
        <v>550</v>
      </c>
      <c r="G8" s="11" t="str">
        <f>'Kilter Holds'!Z35</f>
        <v>11-25</v>
      </c>
      <c r="H8" s="1">
        <f>_xlfn.IFNA(VLOOKUP(Aragon!E8,'Kilter Holds'!$P$36:$AB$370,11,0),0)</f>
        <v>0</v>
      </c>
      <c r="J8" s="2">
        <f t="shared" si="0"/>
        <v>0</v>
      </c>
      <c r="K8" s="2">
        <f t="shared" si="1"/>
        <v>0</v>
      </c>
      <c r="U8" s="28" t="str">
        <f>'Kilter Holds'!Z35</f>
        <v>11-25</v>
      </c>
      <c r="V8" s="3" t="s">
        <v>531</v>
      </c>
    </row>
    <row r="9" spans="5:22">
      <c r="E9" t="s">
        <v>168</v>
      </c>
      <c r="F9" t="s">
        <v>550</v>
      </c>
      <c r="G9" s="13" t="str">
        <f>'Kilter Holds'!AA35</f>
        <v>18-01</v>
      </c>
      <c r="H9" s="1">
        <f>_xlfn.IFNA(VLOOKUP(Aragon!E9,'Kilter Holds'!$P$36:$AB$370,12,0),0)</f>
        <v>0</v>
      </c>
      <c r="J9" s="2">
        <f t="shared" si="0"/>
        <v>0</v>
      </c>
      <c r="K9" s="2">
        <f t="shared" si="1"/>
        <v>0</v>
      </c>
      <c r="U9" s="29" t="str">
        <f>'Kilter Holds'!AA35</f>
        <v>18-01</v>
      </c>
      <c r="V9" s="3" t="s">
        <v>531</v>
      </c>
    </row>
    <row r="10" spans="5:22">
      <c r="E10" t="s">
        <v>168</v>
      </c>
      <c r="F10" t="s">
        <v>550</v>
      </c>
      <c r="G10" s="12" t="str">
        <f>'Kilter Holds'!AB35</f>
        <v>12-01</v>
      </c>
      <c r="H10" s="1">
        <f>_xlfn.IFNA(VLOOKUP(Aragon!E10,'Kilter Holds'!$P$36:$AB$370,13,0),0)</f>
        <v>0</v>
      </c>
      <c r="J10" s="2">
        <f t="shared" si="0"/>
        <v>0</v>
      </c>
      <c r="K10" s="2">
        <f t="shared" si="1"/>
        <v>0</v>
      </c>
      <c r="U10" s="12" t="str">
        <f>'Kilter Holds'!AB35</f>
        <v>12-01</v>
      </c>
      <c r="V10" s="3" t="s">
        <v>530</v>
      </c>
    </row>
    <row r="11" spans="5:22">
      <c r="E11" t="s">
        <v>246</v>
      </c>
      <c r="F11" t="s">
        <v>551</v>
      </c>
      <c r="G11" s="5" t="str">
        <f>G2</f>
        <v>11-12</v>
      </c>
      <c r="H11" s="1">
        <f>_xlfn.IFNA(VLOOKUP(Aragon!E11,'Kilter Holds'!$P$36:$AB$370,5,0),0)</f>
        <v>0</v>
      </c>
      <c r="J11" s="2">
        <f t="shared" si="0"/>
        <v>0</v>
      </c>
      <c r="K11" s="2">
        <f t="shared" si="1"/>
        <v>0</v>
      </c>
      <c r="U11" t="s">
        <v>529</v>
      </c>
      <c r="V11" s="3" t="s">
        <v>531</v>
      </c>
    </row>
    <row r="12" spans="5:22">
      <c r="E12" t="s">
        <v>246</v>
      </c>
      <c r="F12" t="s">
        <v>551</v>
      </c>
      <c r="G12" s="6" t="str">
        <f>G3</f>
        <v>14-01</v>
      </c>
      <c r="H12" s="1">
        <f>_xlfn.IFNA(VLOOKUP(Aragon!E12,'Kilter Holds'!$P$36:$AB$370,6,0),0)</f>
        <v>0</v>
      </c>
      <c r="J12" s="2">
        <f t="shared" si="0"/>
        <v>0</v>
      </c>
      <c r="K12" s="2">
        <f t="shared" ref="K12:K75" si="2">IF($V$11="Y",J12*0.05,0)</f>
        <v>0</v>
      </c>
      <c r="V12" s="3"/>
    </row>
    <row r="13" spans="5:22">
      <c r="E13" t="s">
        <v>246</v>
      </c>
      <c r="F13" t="s">
        <v>551</v>
      </c>
      <c r="G13" s="7" t="str">
        <f t="shared" ref="G13:G76" si="3">G4</f>
        <v>15-12</v>
      </c>
      <c r="H13" s="1">
        <f>_xlfn.IFNA(VLOOKUP(Aragon!E13,'Kilter Holds'!$P$36:$AB$370,7,0),0)</f>
        <v>0</v>
      </c>
      <c r="J13" s="2">
        <f t="shared" si="0"/>
        <v>0</v>
      </c>
      <c r="K13" s="2">
        <f t="shared" si="2"/>
        <v>0</v>
      </c>
    </row>
    <row r="14" spans="5:22">
      <c r="E14" t="s">
        <v>246</v>
      </c>
      <c r="F14" t="s">
        <v>551</v>
      </c>
      <c r="G14" s="8" t="str">
        <f t="shared" si="3"/>
        <v>16-16</v>
      </c>
      <c r="H14" s="1">
        <f>_xlfn.IFNA(VLOOKUP(Aragon!E14,'Kilter Holds'!$P$36:$AB$370,8,0),0)</f>
        <v>0</v>
      </c>
      <c r="J14" s="2">
        <f t="shared" si="0"/>
        <v>0</v>
      </c>
      <c r="K14" s="2">
        <f t="shared" si="2"/>
        <v>0</v>
      </c>
    </row>
    <row r="15" spans="5:22">
      <c r="E15" t="s">
        <v>246</v>
      </c>
      <c r="F15" t="s">
        <v>551</v>
      </c>
      <c r="G15" s="9" t="str">
        <f t="shared" si="3"/>
        <v>13-01</v>
      </c>
      <c r="H15" s="1">
        <f>_xlfn.IFNA(VLOOKUP(Aragon!E15,'Kilter Holds'!$P$36:$AB$370,9,0),0)</f>
        <v>0</v>
      </c>
      <c r="J15" s="2">
        <f t="shared" si="0"/>
        <v>0</v>
      </c>
      <c r="K15" s="2">
        <f t="shared" si="2"/>
        <v>0</v>
      </c>
    </row>
    <row r="16" spans="5:22">
      <c r="E16" t="s">
        <v>246</v>
      </c>
      <c r="F16" t="s">
        <v>551</v>
      </c>
      <c r="G16" s="10" t="str">
        <f t="shared" si="3"/>
        <v>07-13</v>
      </c>
      <c r="H16" s="1">
        <f>_xlfn.IFNA(VLOOKUP(Aragon!E16,'Kilter Holds'!$P$36:$AB$370,10,0),0)</f>
        <v>0</v>
      </c>
      <c r="J16" s="2">
        <f t="shared" si="0"/>
        <v>0</v>
      </c>
      <c r="K16" s="2">
        <f t="shared" si="2"/>
        <v>0</v>
      </c>
    </row>
    <row r="17" spans="5:16">
      <c r="E17" t="s">
        <v>246</v>
      </c>
      <c r="F17" t="s">
        <v>551</v>
      </c>
      <c r="G17" s="11" t="str">
        <f t="shared" si="3"/>
        <v>11-25</v>
      </c>
      <c r="H17" s="1">
        <f>_xlfn.IFNA(VLOOKUP(Aragon!E17,'Kilter Holds'!$P$36:$AB$370,11,0),0)</f>
        <v>0</v>
      </c>
      <c r="J17" s="2">
        <f t="shared" si="0"/>
        <v>0</v>
      </c>
      <c r="K17" s="2">
        <f t="shared" si="2"/>
        <v>0</v>
      </c>
    </row>
    <row r="18" spans="5:16">
      <c r="E18" t="s">
        <v>246</v>
      </c>
      <c r="F18" t="s">
        <v>551</v>
      </c>
      <c r="G18" s="13" t="str">
        <f t="shared" si="3"/>
        <v>18-01</v>
      </c>
      <c r="H18" s="1">
        <f>_xlfn.IFNA(VLOOKUP(Aragon!E18,'Kilter Holds'!$P$36:$AB$370,12,0),0)</f>
        <v>0</v>
      </c>
      <c r="J18" s="2">
        <f t="shared" si="0"/>
        <v>0</v>
      </c>
      <c r="K18" s="2">
        <f t="shared" si="2"/>
        <v>0</v>
      </c>
    </row>
    <row r="19" spans="5:16">
      <c r="E19" t="s">
        <v>246</v>
      </c>
      <c r="F19" t="s">
        <v>551</v>
      </c>
      <c r="G19" s="12" t="str">
        <f t="shared" si="3"/>
        <v>12-01</v>
      </c>
      <c r="H19" s="1">
        <f>_xlfn.IFNA(VLOOKUP(Aragon!E19,'Kilter Holds'!$P$36:$AB$370,13,0),0)</f>
        <v>0</v>
      </c>
      <c r="J19" s="2">
        <f t="shared" si="0"/>
        <v>0</v>
      </c>
      <c r="K19" s="2">
        <f t="shared" si="2"/>
        <v>0</v>
      </c>
    </row>
    <row r="20" spans="5:16">
      <c r="E20" t="s">
        <v>178</v>
      </c>
      <c r="F20" t="s">
        <v>552</v>
      </c>
      <c r="G20" s="5" t="str">
        <f t="shared" si="3"/>
        <v>11-12</v>
      </c>
      <c r="H20" s="1">
        <f>_xlfn.IFNA(VLOOKUP(Aragon!E20,'Kilter Holds'!$P$36:$AB$370,5,0),0)</f>
        <v>0</v>
      </c>
      <c r="J20" s="2">
        <f t="shared" si="0"/>
        <v>0</v>
      </c>
      <c r="K20" s="2">
        <f t="shared" si="2"/>
        <v>0</v>
      </c>
    </row>
    <row r="21" spans="5:16">
      <c r="E21" t="s">
        <v>178</v>
      </c>
      <c r="F21" t="s">
        <v>552</v>
      </c>
      <c r="G21" s="6" t="str">
        <f t="shared" si="3"/>
        <v>14-01</v>
      </c>
      <c r="H21" s="1">
        <f>_xlfn.IFNA(VLOOKUP(Aragon!E21,'Kilter Holds'!$P$36:$AB$370,6,0),0)</f>
        <v>0</v>
      </c>
      <c r="J21" s="2">
        <f t="shared" si="0"/>
        <v>0</v>
      </c>
      <c r="K21" s="2">
        <f t="shared" si="2"/>
        <v>0</v>
      </c>
    </row>
    <row r="22" spans="5:16">
      <c r="E22" t="s">
        <v>178</v>
      </c>
      <c r="F22" t="s">
        <v>552</v>
      </c>
      <c r="G22" s="7" t="str">
        <f t="shared" si="3"/>
        <v>15-12</v>
      </c>
      <c r="H22" s="1">
        <f>_xlfn.IFNA(VLOOKUP(Aragon!E22,'Kilter Holds'!$P$36:$AB$370,7,0),0)</f>
        <v>0</v>
      </c>
      <c r="J22" s="2">
        <f t="shared" si="0"/>
        <v>0</v>
      </c>
      <c r="K22" s="2">
        <f t="shared" si="2"/>
        <v>0</v>
      </c>
    </row>
    <row r="23" spans="5:16">
      <c r="E23" t="s">
        <v>178</v>
      </c>
      <c r="F23" t="s">
        <v>552</v>
      </c>
      <c r="G23" s="8" t="str">
        <f t="shared" si="3"/>
        <v>16-16</v>
      </c>
      <c r="H23" s="1">
        <f>_xlfn.IFNA(VLOOKUP(Aragon!E23,'Kilter Holds'!$P$36:$AB$370,8,0),0)</f>
        <v>0</v>
      </c>
      <c r="J23" s="2">
        <f t="shared" si="0"/>
        <v>0</v>
      </c>
      <c r="K23" s="2">
        <f t="shared" si="2"/>
        <v>0</v>
      </c>
    </row>
    <row r="24" spans="5:16">
      <c r="E24" t="s">
        <v>178</v>
      </c>
      <c r="F24" t="s">
        <v>552</v>
      </c>
      <c r="G24" s="9" t="str">
        <f t="shared" si="3"/>
        <v>13-01</v>
      </c>
      <c r="H24" s="1">
        <f>_xlfn.IFNA(VLOOKUP(Aragon!E24,'Kilter Holds'!$P$36:$AB$370,9,0),0)</f>
        <v>0</v>
      </c>
      <c r="J24" s="2">
        <f t="shared" si="0"/>
        <v>0</v>
      </c>
      <c r="K24" s="2">
        <f t="shared" si="2"/>
        <v>0</v>
      </c>
      <c r="P24" s="3"/>
    </row>
    <row r="25" spans="5:16">
      <c r="E25" t="s">
        <v>178</v>
      </c>
      <c r="F25" t="s">
        <v>552</v>
      </c>
      <c r="G25" s="10" t="str">
        <f t="shared" si="3"/>
        <v>07-13</v>
      </c>
      <c r="H25" s="1">
        <f>_xlfn.IFNA(VLOOKUP(Aragon!E25,'Kilter Holds'!$P$36:$AB$370,10,0),0)</f>
        <v>0</v>
      </c>
      <c r="J25" s="2">
        <f t="shared" si="0"/>
        <v>0</v>
      </c>
      <c r="K25" s="2">
        <f t="shared" si="2"/>
        <v>0</v>
      </c>
    </row>
    <row r="26" spans="5:16">
      <c r="E26" t="s">
        <v>178</v>
      </c>
      <c r="F26" t="s">
        <v>552</v>
      </c>
      <c r="G26" s="11" t="str">
        <f t="shared" si="3"/>
        <v>11-25</v>
      </c>
      <c r="H26" s="1">
        <f>_xlfn.IFNA(VLOOKUP(Aragon!E26,'Kilter Holds'!$P$36:$AB$370,11,0),0)</f>
        <v>0</v>
      </c>
      <c r="J26" s="2">
        <f t="shared" si="0"/>
        <v>0</v>
      </c>
      <c r="K26" s="2">
        <f t="shared" si="2"/>
        <v>0</v>
      </c>
      <c r="N26" s="410"/>
      <c r="O26" s="3"/>
    </row>
    <row r="27" spans="5:16">
      <c r="E27" t="s">
        <v>178</v>
      </c>
      <c r="F27" t="s">
        <v>552</v>
      </c>
      <c r="G27" s="13" t="str">
        <f t="shared" si="3"/>
        <v>18-01</v>
      </c>
      <c r="H27" s="1">
        <f>_xlfn.IFNA(VLOOKUP(Aragon!E27,'Kilter Holds'!$P$36:$AB$370,12,0),0)</f>
        <v>0</v>
      </c>
      <c r="J27" s="2">
        <f t="shared" si="0"/>
        <v>0</v>
      </c>
      <c r="K27" s="2">
        <f t="shared" si="2"/>
        <v>0</v>
      </c>
    </row>
    <row r="28" spans="5:16">
      <c r="E28" t="s">
        <v>178</v>
      </c>
      <c r="F28" t="s">
        <v>552</v>
      </c>
      <c r="G28" s="12" t="str">
        <f t="shared" si="3"/>
        <v>12-01</v>
      </c>
      <c r="H28" s="1">
        <f>_xlfn.IFNA(VLOOKUP(Aragon!E28,'Kilter Holds'!$P$36:$AB$370,13,0),0)</f>
        <v>0</v>
      </c>
      <c r="J28" s="2">
        <f t="shared" si="0"/>
        <v>0</v>
      </c>
      <c r="K28" s="2">
        <f t="shared" si="2"/>
        <v>0</v>
      </c>
    </row>
    <row r="29" spans="5:16">
      <c r="E29" t="s">
        <v>328</v>
      </c>
      <c r="F29" t="s">
        <v>553</v>
      </c>
      <c r="G29" s="5" t="str">
        <f t="shared" si="3"/>
        <v>11-12</v>
      </c>
      <c r="H29" s="1">
        <f>_xlfn.IFNA(VLOOKUP(Aragon!E29,'Kilter Holds'!$P$36:$AB$370,5,0),0)</f>
        <v>0</v>
      </c>
      <c r="J29" s="2">
        <f t="shared" si="0"/>
        <v>0</v>
      </c>
      <c r="K29" s="2">
        <f t="shared" si="2"/>
        <v>0</v>
      </c>
    </row>
    <row r="30" spans="5:16">
      <c r="E30" t="s">
        <v>328</v>
      </c>
      <c r="F30" t="s">
        <v>553</v>
      </c>
      <c r="G30" s="6" t="str">
        <f t="shared" si="3"/>
        <v>14-01</v>
      </c>
      <c r="H30" s="1">
        <f>_xlfn.IFNA(VLOOKUP(Aragon!E30,'Kilter Holds'!$P$36:$AB$370,6,0),0)</f>
        <v>0</v>
      </c>
      <c r="J30" s="2">
        <f t="shared" si="0"/>
        <v>0</v>
      </c>
      <c r="K30" s="2">
        <f t="shared" si="2"/>
        <v>0</v>
      </c>
    </row>
    <row r="31" spans="5:16">
      <c r="E31" t="s">
        <v>328</v>
      </c>
      <c r="F31" t="s">
        <v>553</v>
      </c>
      <c r="G31" s="7" t="str">
        <f t="shared" si="3"/>
        <v>15-12</v>
      </c>
      <c r="H31" s="1">
        <f>_xlfn.IFNA(VLOOKUP(Aragon!E31,'Kilter Holds'!$P$36:$AB$370,7,0),0)</f>
        <v>0</v>
      </c>
      <c r="J31" s="2">
        <f t="shared" si="0"/>
        <v>0</v>
      </c>
      <c r="K31" s="2">
        <f t="shared" si="2"/>
        <v>0</v>
      </c>
    </row>
    <row r="32" spans="5:16">
      <c r="E32" t="s">
        <v>328</v>
      </c>
      <c r="F32" t="s">
        <v>553</v>
      </c>
      <c r="G32" s="8" t="str">
        <f t="shared" si="3"/>
        <v>16-16</v>
      </c>
      <c r="H32" s="1">
        <f>_xlfn.IFNA(VLOOKUP(Aragon!E32,'Kilter Holds'!$P$36:$AB$370,8,0),0)</f>
        <v>0</v>
      </c>
      <c r="J32" s="2">
        <f t="shared" si="0"/>
        <v>0</v>
      </c>
      <c r="K32" s="2">
        <f t="shared" si="2"/>
        <v>0</v>
      </c>
    </row>
    <row r="33" spans="5:18">
      <c r="E33" t="s">
        <v>328</v>
      </c>
      <c r="F33" t="s">
        <v>553</v>
      </c>
      <c r="G33" s="9" t="str">
        <f t="shared" si="3"/>
        <v>13-01</v>
      </c>
      <c r="H33" s="1">
        <f>_xlfn.IFNA(VLOOKUP(Aragon!E33,'Kilter Holds'!$P$36:$AB$370,9,0),0)</f>
        <v>0</v>
      </c>
      <c r="J33" s="2">
        <f t="shared" si="0"/>
        <v>0</v>
      </c>
      <c r="K33" s="2">
        <f t="shared" si="2"/>
        <v>0</v>
      </c>
    </row>
    <row r="34" spans="5:18">
      <c r="E34" t="s">
        <v>328</v>
      </c>
      <c r="F34" t="s">
        <v>553</v>
      </c>
      <c r="G34" s="10" t="str">
        <f t="shared" si="3"/>
        <v>07-13</v>
      </c>
      <c r="H34" s="1">
        <f>_xlfn.IFNA(VLOOKUP(Aragon!E34,'Kilter Holds'!$P$36:$AB$370,10,0),0)</f>
        <v>0</v>
      </c>
      <c r="J34" s="2">
        <f t="shared" si="0"/>
        <v>0</v>
      </c>
      <c r="K34" s="2">
        <f t="shared" si="2"/>
        <v>0</v>
      </c>
    </row>
    <row r="35" spans="5:18">
      <c r="E35" t="s">
        <v>328</v>
      </c>
      <c r="F35" t="s">
        <v>553</v>
      </c>
      <c r="G35" s="11" t="str">
        <f t="shared" si="3"/>
        <v>11-25</v>
      </c>
      <c r="H35" s="1">
        <f>_xlfn.IFNA(VLOOKUP(Aragon!E35,'Kilter Holds'!$P$36:$AB$370,11,0),0)</f>
        <v>0</v>
      </c>
      <c r="J35" s="2">
        <f t="shared" si="0"/>
        <v>0</v>
      </c>
      <c r="K35" s="2">
        <f t="shared" si="2"/>
        <v>0</v>
      </c>
    </row>
    <row r="36" spans="5:18">
      <c r="E36" t="s">
        <v>328</v>
      </c>
      <c r="F36" t="s">
        <v>553</v>
      </c>
      <c r="G36" s="13" t="str">
        <f t="shared" si="3"/>
        <v>18-01</v>
      </c>
      <c r="H36" s="1">
        <f>_xlfn.IFNA(VLOOKUP(Aragon!E36,'Kilter Holds'!$P$36:$AB$370,12,0),0)</f>
        <v>0</v>
      </c>
      <c r="J36" s="2">
        <f t="shared" si="0"/>
        <v>0</v>
      </c>
      <c r="K36" s="2">
        <f t="shared" si="2"/>
        <v>0</v>
      </c>
      <c r="R36" s="2"/>
    </row>
    <row r="37" spans="5:18">
      <c r="E37" t="s">
        <v>328</v>
      </c>
      <c r="F37" t="s">
        <v>553</v>
      </c>
      <c r="G37" s="12" t="str">
        <f t="shared" si="3"/>
        <v>12-01</v>
      </c>
      <c r="H37" s="1">
        <f>_xlfn.IFNA(VLOOKUP(Aragon!E37,'Kilter Holds'!$P$36:$AB$370,13,0),0)</f>
        <v>0</v>
      </c>
      <c r="J37" s="2">
        <f t="shared" si="0"/>
        <v>0</v>
      </c>
      <c r="K37" s="2">
        <f t="shared" si="2"/>
        <v>0</v>
      </c>
    </row>
    <row r="38" spans="5:18">
      <c r="E38" t="s">
        <v>298</v>
      </c>
      <c r="F38" t="s">
        <v>554</v>
      </c>
      <c r="G38" s="5" t="str">
        <f t="shared" si="3"/>
        <v>11-12</v>
      </c>
      <c r="H38" s="1">
        <f>_xlfn.IFNA(VLOOKUP(Aragon!E38,'Kilter Holds'!$P$36:$AB$370,5,0),0)</f>
        <v>0</v>
      </c>
      <c r="J38" s="2">
        <f t="shared" si="0"/>
        <v>0</v>
      </c>
      <c r="K38" s="2">
        <f t="shared" si="2"/>
        <v>0</v>
      </c>
    </row>
    <row r="39" spans="5:18">
      <c r="E39" t="s">
        <v>298</v>
      </c>
      <c r="F39" t="s">
        <v>554</v>
      </c>
      <c r="G39" s="6" t="str">
        <f t="shared" si="3"/>
        <v>14-01</v>
      </c>
      <c r="H39" s="1">
        <f>_xlfn.IFNA(VLOOKUP(Aragon!E39,'Kilter Holds'!$P$36:$AB$370,6,0),0)</f>
        <v>0</v>
      </c>
      <c r="J39" s="2">
        <f t="shared" si="0"/>
        <v>0</v>
      </c>
      <c r="K39" s="2">
        <f t="shared" si="2"/>
        <v>0</v>
      </c>
    </row>
    <row r="40" spans="5:18">
      <c r="E40" t="s">
        <v>298</v>
      </c>
      <c r="F40" t="s">
        <v>554</v>
      </c>
      <c r="G40" s="7" t="str">
        <f t="shared" si="3"/>
        <v>15-12</v>
      </c>
      <c r="H40" s="1">
        <f>_xlfn.IFNA(VLOOKUP(Aragon!E40,'Kilter Holds'!$P$36:$AB$370,7,0),0)</f>
        <v>0</v>
      </c>
      <c r="J40" s="2">
        <f t="shared" si="0"/>
        <v>0</v>
      </c>
      <c r="K40" s="2">
        <f t="shared" si="2"/>
        <v>0</v>
      </c>
    </row>
    <row r="41" spans="5:18">
      <c r="E41" t="s">
        <v>298</v>
      </c>
      <c r="F41" t="s">
        <v>554</v>
      </c>
      <c r="G41" s="8" t="str">
        <f t="shared" si="3"/>
        <v>16-16</v>
      </c>
      <c r="H41" s="1">
        <f>_xlfn.IFNA(VLOOKUP(Aragon!E41,'Kilter Holds'!$P$36:$AB$370,8,0),0)</f>
        <v>0</v>
      </c>
      <c r="J41" s="2">
        <f t="shared" si="0"/>
        <v>0</v>
      </c>
      <c r="K41" s="2">
        <f t="shared" si="2"/>
        <v>0</v>
      </c>
      <c r="R41" s="411"/>
    </row>
    <row r="42" spans="5:18">
      <c r="E42" t="s">
        <v>298</v>
      </c>
      <c r="F42" t="s">
        <v>554</v>
      </c>
      <c r="G42" s="9" t="str">
        <f t="shared" si="3"/>
        <v>13-01</v>
      </c>
      <c r="H42" s="1">
        <f>_xlfn.IFNA(VLOOKUP(Aragon!E42,'Kilter Holds'!$P$36:$AB$370,9,0),0)</f>
        <v>0</v>
      </c>
      <c r="J42" s="2">
        <f t="shared" si="0"/>
        <v>0</v>
      </c>
      <c r="K42" s="2">
        <f t="shared" si="2"/>
        <v>0</v>
      </c>
      <c r="R42" s="411"/>
    </row>
    <row r="43" spans="5:18">
      <c r="E43" t="s">
        <v>298</v>
      </c>
      <c r="F43" t="s">
        <v>554</v>
      </c>
      <c r="G43" s="10" t="str">
        <f t="shared" si="3"/>
        <v>07-13</v>
      </c>
      <c r="H43" s="1">
        <f>_xlfn.IFNA(VLOOKUP(Aragon!E43,'Kilter Holds'!$P$36:$AB$370,10,0),0)</f>
        <v>0</v>
      </c>
      <c r="J43" s="2">
        <f t="shared" si="0"/>
        <v>0</v>
      </c>
      <c r="K43" s="2">
        <f t="shared" si="2"/>
        <v>0</v>
      </c>
    </row>
    <row r="44" spans="5:18">
      <c r="E44" t="s">
        <v>298</v>
      </c>
      <c r="F44" t="s">
        <v>554</v>
      </c>
      <c r="G44" s="11" t="str">
        <f t="shared" si="3"/>
        <v>11-25</v>
      </c>
      <c r="H44" s="1">
        <f>_xlfn.IFNA(VLOOKUP(Aragon!E44,'Kilter Holds'!$P$36:$AB$370,11,0),0)</f>
        <v>0</v>
      </c>
      <c r="J44" s="2">
        <f t="shared" si="0"/>
        <v>0</v>
      </c>
      <c r="K44" s="2">
        <f t="shared" si="2"/>
        <v>0</v>
      </c>
    </row>
    <row r="45" spans="5:18">
      <c r="E45" t="s">
        <v>298</v>
      </c>
      <c r="F45" t="s">
        <v>554</v>
      </c>
      <c r="G45" s="13" t="str">
        <f t="shared" si="3"/>
        <v>18-01</v>
      </c>
      <c r="H45" s="1">
        <f>_xlfn.IFNA(VLOOKUP(Aragon!E45,'Kilter Holds'!$P$36:$AB$370,12,0),0)</f>
        <v>0</v>
      </c>
      <c r="J45" s="2">
        <f t="shared" si="0"/>
        <v>0</v>
      </c>
      <c r="K45" s="2">
        <f t="shared" si="2"/>
        <v>0</v>
      </c>
    </row>
    <row r="46" spans="5:18">
      <c r="E46" t="s">
        <v>298</v>
      </c>
      <c r="F46" t="s">
        <v>554</v>
      </c>
      <c r="G46" s="12" t="str">
        <f t="shared" si="3"/>
        <v>12-01</v>
      </c>
      <c r="H46" s="1">
        <f>_xlfn.IFNA(VLOOKUP(Aragon!E46,'Kilter Holds'!$P$36:$AB$370,13,0),0)</f>
        <v>0</v>
      </c>
      <c r="J46" s="2">
        <f t="shared" si="0"/>
        <v>0</v>
      </c>
      <c r="K46" s="2">
        <f t="shared" si="2"/>
        <v>0</v>
      </c>
    </row>
    <row r="47" spans="5:18">
      <c r="E47" t="s">
        <v>299</v>
      </c>
      <c r="F47" t="s">
        <v>555</v>
      </c>
      <c r="G47" s="5" t="str">
        <f t="shared" si="3"/>
        <v>11-12</v>
      </c>
      <c r="H47" s="1">
        <f>_xlfn.IFNA(VLOOKUP(Aragon!E47,'Kilter Holds'!$P$36:$AB$370,5,0),0)</f>
        <v>0</v>
      </c>
      <c r="J47" s="2">
        <f t="shared" si="0"/>
        <v>0</v>
      </c>
      <c r="K47" s="2">
        <f t="shared" si="2"/>
        <v>0</v>
      </c>
    </row>
    <row r="48" spans="5:18">
      <c r="E48" t="s">
        <v>299</v>
      </c>
      <c r="F48" t="s">
        <v>555</v>
      </c>
      <c r="G48" s="6" t="str">
        <f t="shared" si="3"/>
        <v>14-01</v>
      </c>
      <c r="H48" s="1">
        <f>_xlfn.IFNA(VLOOKUP(Aragon!E48,'Kilter Holds'!$P$36:$AB$370,6,0),0)</f>
        <v>0</v>
      </c>
      <c r="J48" s="2">
        <f t="shared" si="0"/>
        <v>0</v>
      </c>
      <c r="K48" s="2">
        <f t="shared" si="2"/>
        <v>0</v>
      </c>
    </row>
    <row r="49" spans="5:11">
      <c r="E49" t="s">
        <v>299</v>
      </c>
      <c r="F49" t="s">
        <v>555</v>
      </c>
      <c r="G49" s="7" t="str">
        <f t="shared" si="3"/>
        <v>15-12</v>
      </c>
      <c r="H49" s="1">
        <f>_xlfn.IFNA(VLOOKUP(Aragon!E49,'Kilter Holds'!$P$36:$AB$370,7,0),0)</f>
        <v>0</v>
      </c>
      <c r="J49" s="2">
        <f t="shared" si="0"/>
        <v>0</v>
      </c>
      <c r="K49" s="2">
        <f t="shared" si="2"/>
        <v>0</v>
      </c>
    </row>
    <row r="50" spans="5:11">
      <c r="E50" t="s">
        <v>299</v>
      </c>
      <c r="F50" t="s">
        <v>555</v>
      </c>
      <c r="G50" s="8" t="str">
        <f t="shared" si="3"/>
        <v>16-16</v>
      </c>
      <c r="H50" s="1">
        <f>_xlfn.IFNA(VLOOKUP(Aragon!E50,'Kilter Holds'!$P$36:$AB$370,8,0),0)</f>
        <v>0</v>
      </c>
      <c r="J50" s="2">
        <f t="shared" si="0"/>
        <v>0</v>
      </c>
      <c r="K50" s="2">
        <f t="shared" si="2"/>
        <v>0</v>
      </c>
    </row>
    <row r="51" spans="5:11">
      <c r="E51" t="s">
        <v>299</v>
      </c>
      <c r="F51" t="s">
        <v>555</v>
      </c>
      <c r="G51" s="9" t="str">
        <f t="shared" si="3"/>
        <v>13-01</v>
      </c>
      <c r="H51" s="1">
        <f>_xlfn.IFNA(VLOOKUP(Aragon!E51,'Kilter Holds'!$P$36:$AB$370,9,0),0)</f>
        <v>0</v>
      </c>
      <c r="J51" s="2">
        <f t="shared" si="0"/>
        <v>0</v>
      </c>
      <c r="K51" s="2">
        <f t="shared" si="2"/>
        <v>0</v>
      </c>
    </row>
    <row r="52" spans="5:11">
      <c r="E52" t="s">
        <v>299</v>
      </c>
      <c r="F52" t="s">
        <v>555</v>
      </c>
      <c r="G52" s="10" t="str">
        <f t="shared" si="3"/>
        <v>07-13</v>
      </c>
      <c r="H52" s="1">
        <f>_xlfn.IFNA(VLOOKUP(Aragon!E52,'Kilter Holds'!$P$36:$AB$370,10,0),0)</f>
        <v>0</v>
      </c>
      <c r="J52" s="2">
        <f t="shared" si="0"/>
        <v>0</v>
      </c>
      <c r="K52" s="2">
        <f t="shared" si="2"/>
        <v>0</v>
      </c>
    </row>
    <row r="53" spans="5:11">
      <c r="E53" t="s">
        <v>299</v>
      </c>
      <c r="F53" t="s">
        <v>555</v>
      </c>
      <c r="G53" s="11" t="str">
        <f t="shared" si="3"/>
        <v>11-25</v>
      </c>
      <c r="H53" s="1">
        <f>_xlfn.IFNA(VLOOKUP(Aragon!E53,'Kilter Holds'!$P$36:$AB$370,11,0),0)</f>
        <v>0</v>
      </c>
      <c r="J53" s="2">
        <f t="shared" si="0"/>
        <v>0</v>
      </c>
      <c r="K53" s="2">
        <f t="shared" si="2"/>
        <v>0</v>
      </c>
    </row>
    <row r="54" spans="5:11">
      <c r="E54" t="s">
        <v>299</v>
      </c>
      <c r="F54" t="s">
        <v>555</v>
      </c>
      <c r="G54" s="13" t="str">
        <f t="shared" si="3"/>
        <v>18-01</v>
      </c>
      <c r="H54" s="1">
        <f>_xlfn.IFNA(VLOOKUP(Aragon!E54,'Kilter Holds'!$P$36:$AB$370,12,0),0)</f>
        <v>0</v>
      </c>
      <c r="J54" s="2">
        <f t="shared" si="0"/>
        <v>0</v>
      </c>
      <c r="K54" s="2">
        <f t="shared" si="2"/>
        <v>0</v>
      </c>
    </row>
    <row r="55" spans="5:11">
      <c r="E55" t="s">
        <v>299</v>
      </c>
      <c r="F55" t="s">
        <v>555</v>
      </c>
      <c r="G55" s="12" t="str">
        <f t="shared" si="3"/>
        <v>12-01</v>
      </c>
      <c r="H55" s="1">
        <f>_xlfn.IFNA(VLOOKUP(Aragon!E55,'Kilter Holds'!$P$36:$AB$370,13,0),0)</f>
        <v>0</v>
      </c>
      <c r="J55" s="2">
        <f t="shared" si="0"/>
        <v>0</v>
      </c>
      <c r="K55" s="2">
        <f t="shared" si="2"/>
        <v>0</v>
      </c>
    </row>
    <row r="56" spans="5:11">
      <c r="E56" t="s">
        <v>169</v>
      </c>
      <c r="F56" t="s">
        <v>556</v>
      </c>
      <c r="G56" s="5" t="str">
        <f t="shared" si="3"/>
        <v>11-12</v>
      </c>
      <c r="H56" s="1">
        <f>_xlfn.IFNA(VLOOKUP(Aragon!E56,'Kilter Holds'!$P$36:$AB$370,5,0),0)</f>
        <v>0</v>
      </c>
      <c r="J56" s="2">
        <f t="shared" si="0"/>
        <v>0</v>
      </c>
      <c r="K56" s="2">
        <f t="shared" si="2"/>
        <v>0</v>
      </c>
    </row>
    <row r="57" spans="5:11">
      <c r="E57" t="s">
        <v>169</v>
      </c>
      <c r="F57" t="s">
        <v>556</v>
      </c>
      <c r="G57" s="6" t="str">
        <f t="shared" si="3"/>
        <v>14-01</v>
      </c>
      <c r="H57" s="1">
        <f>_xlfn.IFNA(VLOOKUP(Aragon!E57,'Kilter Holds'!$P$36:$AB$370,6,0),0)</f>
        <v>0</v>
      </c>
      <c r="J57" s="2">
        <f t="shared" si="0"/>
        <v>0</v>
      </c>
      <c r="K57" s="2">
        <f t="shared" si="2"/>
        <v>0</v>
      </c>
    </row>
    <row r="58" spans="5:11">
      <c r="E58" t="s">
        <v>169</v>
      </c>
      <c r="F58" t="s">
        <v>556</v>
      </c>
      <c r="G58" s="7" t="str">
        <f t="shared" si="3"/>
        <v>15-12</v>
      </c>
      <c r="H58" s="1">
        <f>_xlfn.IFNA(VLOOKUP(Aragon!E58,'Kilter Holds'!$P$36:$AB$370,7,0),0)</f>
        <v>0</v>
      </c>
      <c r="J58" s="2">
        <f t="shared" si="0"/>
        <v>0</v>
      </c>
      <c r="K58" s="2">
        <f t="shared" si="2"/>
        <v>0</v>
      </c>
    </row>
    <row r="59" spans="5:11">
      <c r="E59" t="s">
        <v>169</v>
      </c>
      <c r="F59" t="s">
        <v>556</v>
      </c>
      <c r="G59" s="8" t="str">
        <f t="shared" si="3"/>
        <v>16-16</v>
      </c>
      <c r="H59" s="1">
        <f>_xlfn.IFNA(VLOOKUP(Aragon!E59,'Kilter Holds'!$P$36:$AB$370,8,0),0)</f>
        <v>0</v>
      </c>
      <c r="J59" s="2">
        <f t="shared" si="0"/>
        <v>0</v>
      </c>
      <c r="K59" s="2">
        <f t="shared" si="2"/>
        <v>0</v>
      </c>
    </row>
    <row r="60" spans="5:11">
      <c r="E60" t="s">
        <v>169</v>
      </c>
      <c r="F60" t="s">
        <v>556</v>
      </c>
      <c r="G60" s="9" t="str">
        <f t="shared" si="3"/>
        <v>13-01</v>
      </c>
      <c r="H60" s="1">
        <f>_xlfn.IFNA(VLOOKUP(Aragon!E60,'Kilter Holds'!$P$36:$AB$370,9,0),0)</f>
        <v>0</v>
      </c>
      <c r="J60" s="2">
        <f t="shared" si="0"/>
        <v>0</v>
      </c>
      <c r="K60" s="2">
        <f t="shared" si="2"/>
        <v>0</v>
      </c>
    </row>
    <row r="61" spans="5:11">
      <c r="E61" t="s">
        <v>169</v>
      </c>
      <c r="F61" t="s">
        <v>556</v>
      </c>
      <c r="G61" s="10" t="str">
        <f t="shared" si="3"/>
        <v>07-13</v>
      </c>
      <c r="H61" s="1">
        <f>_xlfn.IFNA(VLOOKUP(Aragon!E61,'Kilter Holds'!$P$36:$AB$370,10,0),0)</f>
        <v>0</v>
      </c>
      <c r="J61" s="2">
        <f t="shared" si="0"/>
        <v>0</v>
      </c>
      <c r="K61" s="2">
        <f t="shared" si="2"/>
        <v>0</v>
      </c>
    </row>
    <row r="62" spans="5:11">
      <c r="E62" t="s">
        <v>169</v>
      </c>
      <c r="F62" t="s">
        <v>556</v>
      </c>
      <c r="G62" s="11" t="str">
        <f t="shared" si="3"/>
        <v>11-25</v>
      </c>
      <c r="H62" s="1">
        <f>_xlfn.IFNA(VLOOKUP(Aragon!E62,'Kilter Holds'!$P$36:$AB$370,11,0),0)</f>
        <v>0</v>
      </c>
      <c r="J62" s="2">
        <f t="shared" si="0"/>
        <v>0</v>
      </c>
      <c r="K62" s="2">
        <f t="shared" si="2"/>
        <v>0</v>
      </c>
    </row>
    <row r="63" spans="5:11">
      <c r="E63" t="s">
        <v>169</v>
      </c>
      <c r="F63" t="s">
        <v>556</v>
      </c>
      <c r="G63" s="13" t="str">
        <f t="shared" si="3"/>
        <v>18-01</v>
      </c>
      <c r="H63" s="1">
        <f>_xlfn.IFNA(VLOOKUP(Aragon!E63,'Kilter Holds'!$P$36:$AB$370,12,0),0)</f>
        <v>0</v>
      </c>
      <c r="J63" s="2">
        <f t="shared" si="0"/>
        <v>0</v>
      </c>
      <c r="K63" s="2">
        <f t="shared" si="2"/>
        <v>0</v>
      </c>
    </row>
    <row r="64" spans="5:11">
      <c r="E64" t="s">
        <v>169</v>
      </c>
      <c r="F64" t="s">
        <v>556</v>
      </c>
      <c r="G64" s="12" t="str">
        <f t="shared" si="3"/>
        <v>12-01</v>
      </c>
      <c r="H64" s="1">
        <f>_xlfn.IFNA(VLOOKUP(Aragon!E64,'Kilter Holds'!$P$36:$AB$370,13,0),0)</f>
        <v>0</v>
      </c>
      <c r="J64" s="2">
        <f t="shared" si="0"/>
        <v>0</v>
      </c>
      <c r="K64" s="2">
        <f t="shared" si="2"/>
        <v>0</v>
      </c>
    </row>
    <row r="65" spans="5:11">
      <c r="E65" t="s">
        <v>170</v>
      </c>
      <c r="F65" t="s">
        <v>557</v>
      </c>
      <c r="G65" s="5" t="str">
        <f t="shared" si="3"/>
        <v>11-12</v>
      </c>
      <c r="H65" s="1">
        <f>_xlfn.IFNA(VLOOKUP(Aragon!E65,'Kilter Holds'!$P$36:$AB$370,5,0),0)</f>
        <v>0</v>
      </c>
      <c r="J65" s="2">
        <f t="shared" si="0"/>
        <v>0</v>
      </c>
      <c r="K65" s="2">
        <f t="shared" si="2"/>
        <v>0</v>
      </c>
    </row>
    <row r="66" spans="5:11">
      <c r="E66" t="s">
        <v>170</v>
      </c>
      <c r="F66" t="s">
        <v>557</v>
      </c>
      <c r="G66" s="6" t="str">
        <f t="shared" si="3"/>
        <v>14-01</v>
      </c>
      <c r="H66" s="1">
        <f>_xlfn.IFNA(VLOOKUP(Aragon!E66,'Kilter Holds'!$P$36:$AB$370,6,0),0)</f>
        <v>0</v>
      </c>
      <c r="J66" s="2">
        <f t="shared" si="0"/>
        <v>0</v>
      </c>
      <c r="K66" s="2">
        <f t="shared" si="2"/>
        <v>0</v>
      </c>
    </row>
    <row r="67" spans="5:11">
      <c r="E67" t="s">
        <v>170</v>
      </c>
      <c r="F67" t="s">
        <v>557</v>
      </c>
      <c r="G67" s="7" t="str">
        <f t="shared" si="3"/>
        <v>15-12</v>
      </c>
      <c r="H67" s="1">
        <f>_xlfn.IFNA(VLOOKUP(Aragon!E67,'Kilter Holds'!$P$36:$AB$370,7,0),0)</f>
        <v>0</v>
      </c>
      <c r="J67" s="2">
        <f t="shared" ref="J67:J130" si="4">H67*I67</f>
        <v>0</v>
      </c>
      <c r="K67" s="2">
        <f t="shared" si="2"/>
        <v>0</v>
      </c>
    </row>
    <row r="68" spans="5:11">
      <c r="E68" t="s">
        <v>170</v>
      </c>
      <c r="F68" t="s">
        <v>557</v>
      </c>
      <c r="G68" s="8" t="str">
        <f t="shared" si="3"/>
        <v>16-16</v>
      </c>
      <c r="H68" s="1">
        <f>_xlfn.IFNA(VLOOKUP(Aragon!E68,'Kilter Holds'!$P$36:$AB$370,8,0),0)</f>
        <v>0</v>
      </c>
      <c r="J68" s="2">
        <f t="shared" si="4"/>
        <v>0</v>
      </c>
      <c r="K68" s="2">
        <f t="shared" si="2"/>
        <v>0</v>
      </c>
    </row>
    <row r="69" spans="5:11">
      <c r="E69" t="s">
        <v>170</v>
      </c>
      <c r="F69" t="s">
        <v>557</v>
      </c>
      <c r="G69" s="9" t="str">
        <f t="shared" si="3"/>
        <v>13-01</v>
      </c>
      <c r="H69" s="1">
        <f>_xlfn.IFNA(VLOOKUP(Aragon!E69,'Kilter Holds'!$P$36:$AB$370,9,0),0)</f>
        <v>0</v>
      </c>
      <c r="J69" s="2">
        <f t="shared" si="4"/>
        <v>0</v>
      </c>
      <c r="K69" s="2">
        <f t="shared" si="2"/>
        <v>0</v>
      </c>
    </row>
    <row r="70" spans="5:11">
      <c r="E70" t="s">
        <v>170</v>
      </c>
      <c r="F70" t="s">
        <v>557</v>
      </c>
      <c r="G70" s="10" t="str">
        <f t="shared" si="3"/>
        <v>07-13</v>
      </c>
      <c r="H70" s="1">
        <f>_xlfn.IFNA(VLOOKUP(Aragon!E70,'Kilter Holds'!$P$36:$AB$370,10,0),0)</f>
        <v>0</v>
      </c>
      <c r="J70" s="2">
        <f t="shared" si="4"/>
        <v>0</v>
      </c>
      <c r="K70" s="2">
        <f t="shared" si="2"/>
        <v>0</v>
      </c>
    </row>
    <row r="71" spans="5:11">
      <c r="E71" t="s">
        <v>170</v>
      </c>
      <c r="F71" t="s">
        <v>557</v>
      </c>
      <c r="G71" s="11" t="str">
        <f t="shared" si="3"/>
        <v>11-25</v>
      </c>
      <c r="H71" s="1">
        <f>_xlfn.IFNA(VLOOKUP(Aragon!E71,'Kilter Holds'!$P$36:$AB$370,11,0),0)</f>
        <v>0</v>
      </c>
      <c r="J71" s="2">
        <f t="shared" si="4"/>
        <v>0</v>
      </c>
      <c r="K71" s="2">
        <f t="shared" si="2"/>
        <v>0</v>
      </c>
    </row>
    <row r="72" spans="5:11">
      <c r="E72" t="s">
        <v>170</v>
      </c>
      <c r="F72" t="s">
        <v>557</v>
      </c>
      <c r="G72" s="13" t="str">
        <f t="shared" si="3"/>
        <v>18-01</v>
      </c>
      <c r="H72" s="1">
        <f>_xlfn.IFNA(VLOOKUP(Aragon!E72,'Kilter Holds'!$P$36:$AB$370,12,0),0)</f>
        <v>0</v>
      </c>
      <c r="J72" s="2">
        <f t="shared" si="4"/>
        <v>0</v>
      </c>
      <c r="K72" s="2">
        <f t="shared" si="2"/>
        <v>0</v>
      </c>
    </row>
    <row r="73" spans="5:11">
      <c r="E73" t="s">
        <v>170</v>
      </c>
      <c r="F73" t="s">
        <v>557</v>
      </c>
      <c r="G73" s="12" t="str">
        <f t="shared" si="3"/>
        <v>12-01</v>
      </c>
      <c r="H73" s="1">
        <f>_xlfn.IFNA(VLOOKUP(Aragon!E73,'Kilter Holds'!$P$36:$AB$370,13,0),0)</f>
        <v>0</v>
      </c>
      <c r="J73" s="2">
        <f t="shared" si="4"/>
        <v>0</v>
      </c>
      <c r="K73" s="2">
        <f t="shared" si="2"/>
        <v>0</v>
      </c>
    </row>
    <row r="74" spans="5:11">
      <c r="E74" t="s">
        <v>179</v>
      </c>
      <c r="F74" t="s">
        <v>558</v>
      </c>
      <c r="G74" s="5" t="str">
        <f t="shared" si="3"/>
        <v>11-12</v>
      </c>
      <c r="H74" s="1">
        <f>_xlfn.IFNA(VLOOKUP(Aragon!E74,'Kilter Holds'!$P$36:$AB$370,5,0),0)</f>
        <v>0</v>
      </c>
      <c r="J74" s="2">
        <f t="shared" si="4"/>
        <v>0</v>
      </c>
      <c r="K74" s="2">
        <f t="shared" si="2"/>
        <v>0</v>
      </c>
    </row>
    <row r="75" spans="5:11">
      <c r="E75" t="s">
        <v>179</v>
      </c>
      <c r="F75" t="s">
        <v>558</v>
      </c>
      <c r="G75" s="6" t="str">
        <f t="shared" si="3"/>
        <v>14-01</v>
      </c>
      <c r="H75" s="1">
        <f>_xlfn.IFNA(VLOOKUP(Aragon!E75,'Kilter Holds'!$P$36:$AB$370,6,0),0)</f>
        <v>0</v>
      </c>
      <c r="J75" s="2">
        <f t="shared" si="4"/>
        <v>0</v>
      </c>
      <c r="K75" s="2">
        <f t="shared" si="2"/>
        <v>0</v>
      </c>
    </row>
    <row r="76" spans="5:11">
      <c r="E76" t="s">
        <v>179</v>
      </c>
      <c r="F76" t="s">
        <v>558</v>
      </c>
      <c r="G76" s="7" t="str">
        <f t="shared" si="3"/>
        <v>15-12</v>
      </c>
      <c r="H76" s="1">
        <f>_xlfn.IFNA(VLOOKUP(Aragon!E76,'Kilter Holds'!$P$36:$AB$370,7,0),0)</f>
        <v>0</v>
      </c>
      <c r="J76" s="2">
        <f t="shared" si="4"/>
        <v>0</v>
      </c>
      <c r="K76" s="2">
        <f t="shared" ref="K76:K139" si="5">IF($V$11="Y",J76*0.05,0)</f>
        <v>0</v>
      </c>
    </row>
    <row r="77" spans="5:11">
      <c r="E77" t="s">
        <v>179</v>
      </c>
      <c r="F77" t="s">
        <v>558</v>
      </c>
      <c r="G77" s="8" t="str">
        <f t="shared" ref="G77:G140" si="6">G68</f>
        <v>16-16</v>
      </c>
      <c r="H77" s="1">
        <f>_xlfn.IFNA(VLOOKUP(Aragon!E77,'Kilter Holds'!$P$36:$AB$370,8,0),0)</f>
        <v>0</v>
      </c>
      <c r="J77" s="2">
        <f t="shared" si="4"/>
        <v>0</v>
      </c>
      <c r="K77" s="2">
        <f t="shared" si="5"/>
        <v>0</v>
      </c>
    </row>
    <row r="78" spans="5:11">
      <c r="E78" t="s">
        <v>179</v>
      </c>
      <c r="F78" t="s">
        <v>558</v>
      </c>
      <c r="G78" s="9" t="str">
        <f t="shared" si="6"/>
        <v>13-01</v>
      </c>
      <c r="H78" s="1">
        <f>_xlfn.IFNA(VLOOKUP(Aragon!E78,'Kilter Holds'!$P$36:$AB$370,9,0),0)</f>
        <v>0</v>
      </c>
      <c r="J78" s="2">
        <f t="shared" si="4"/>
        <v>0</v>
      </c>
      <c r="K78" s="2">
        <f t="shared" si="5"/>
        <v>0</v>
      </c>
    </row>
    <row r="79" spans="5:11">
      <c r="E79" t="s">
        <v>179</v>
      </c>
      <c r="F79" t="s">
        <v>558</v>
      </c>
      <c r="G79" s="10" t="str">
        <f t="shared" si="6"/>
        <v>07-13</v>
      </c>
      <c r="H79" s="1">
        <f>_xlfn.IFNA(VLOOKUP(Aragon!E79,'Kilter Holds'!$P$36:$AB$370,10,0),0)</f>
        <v>0</v>
      </c>
      <c r="J79" s="2">
        <f t="shared" si="4"/>
        <v>0</v>
      </c>
      <c r="K79" s="2">
        <f t="shared" si="5"/>
        <v>0</v>
      </c>
    </row>
    <row r="80" spans="5:11">
      <c r="E80" t="s">
        <v>179</v>
      </c>
      <c r="F80" t="s">
        <v>558</v>
      </c>
      <c r="G80" s="11" t="str">
        <f t="shared" si="6"/>
        <v>11-25</v>
      </c>
      <c r="H80" s="1">
        <f>_xlfn.IFNA(VLOOKUP(Aragon!E80,'Kilter Holds'!$P$36:$AB$370,11,0),0)</f>
        <v>0</v>
      </c>
      <c r="J80" s="2">
        <f t="shared" si="4"/>
        <v>0</v>
      </c>
      <c r="K80" s="2">
        <f t="shared" si="5"/>
        <v>0</v>
      </c>
    </row>
    <row r="81" spans="5:11">
      <c r="E81" t="s">
        <v>179</v>
      </c>
      <c r="F81" t="s">
        <v>558</v>
      </c>
      <c r="G81" s="13" t="str">
        <f t="shared" si="6"/>
        <v>18-01</v>
      </c>
      <c r="H81" s="1">
        <f>_xlfn.IFNA(VLOOKUP(Aragon!E81,'Kilter Holds'!$P$36:$AB$370,12,0),0)</f>
        <v>0</v>
      </c>
      <c r="J81" s="2">
        <f t="shared" si="4"/>
        <v>0</v>
      </c>
      <c r="K81" s="2">
        <f t="shared" si="5"/>
        <v>0</v>
      </c>
    </row>
    <row r="82" spans="5:11">
      <c r="E82" t="s">
        <v>179</v>
      </c>
      <c r="F82" t="s">
        <v>558</v>
      </c>
      <c r="G82" s="12" t="str">
        <f t="shared" si="6"/>
        <v>12-01</v>
      </c>
      <c r="H82" s="1">
        <f>_xlfn.IFNA(VLOOKUP(Aragon!E82,'Kilter Holds'!$P$36:$AB$370,13,0),0)</f>
        <v>0</v>
      </c>
      <c r="J82" s="2">
        <f t="shared" si="4"/>
        <v>0</v>
      </c>
      <c r="K82" s="2">
        <f t="shared" si="5"/>
        <v>0</v>
      </c>
    </row>
    <row r="83" spans="5:11">
      <c r="E83" t="s">
        <v>309</v>
      </c>
      <c r="F83" t="s">
        <v>559</v>
      </c>
      <c r="G83" s="5" t="str">
        <f t="shared" si="6"/>
        <v>11-12</v>
      </c>
      <c r="H83" s="1">
        <f>_xlfn.IFNA(VLOOKUP(Aragon!E83,'Kilter Holds'!$P$36:$AB$370,5,0),0)</f>
        <v>0</v>
      </c>
      <c r="J83" s="2">
        <f t="shared" si="4"/>
        <v>0</v>
      </c>
      <c r="K83" s="2">
        <f t="shared" si="5"/>
        <v>0</v>
      </c>
    </row>
    <row r="84" spans="5:11">
      <c r="E84" t="s">
        <v>309</v>
      </c>
      <c r="F84" t="s">
        <v>559</v>
      </c>
      <c r="G84" s="6" t="str">
        <f t="shared" si="6"/>
        <v>14-01</v>
      </c>
      <c r="H84" s="1">
        <f>_xlfn.IFNA(VLOOKUP(Aragon!E84,'Kilter Holds'!$P$36:$AB$370,6,0),0)</f>
        <v>0</v>
      </c>
      <c r="J84" s="2">
        <f t="shared" si="4"/>
        <v>0</v>
      </c>
      <c r="K84" s="2">
        <f t="shared" si="5"/>
        <v>0</v>
      </c>
    </row>
    <row r="85" spans="5:11">
      <c r="E85" t="s">
        <v>309</v>
      </c>
      <c r="F85" t="s">
        <v>559</v>
      </c>
      <c r="G85" s="7" t="str">
        <f t="shared" si="6"/>
        <v>15-12</v>
      </c>
      <c r="H85" s="1">
        <f>_xlfn.IFNA(VLOOKUP(Aragon!E85,'Kilter Holds'!$P$36:$AB$370,7,0),0)</f>
        <v>0</v>
      </c>
      <c r="J85" s="2">
        <f t="shared" si="4"/>
        <v>0</v>
      </c>
      <c r="K85" s="2">
        <f t="shared" si="5"/>
        <v>0</v>
      </c>
    </row>
    <row r="86" spans="5:11">
      <c r="E86" t="s">
        <v>309</v>
      </c>
      <c r="F86" t="s">
        <v>559</v>
      </c>
      <c r="G86" s="8" t="str">
        <f t="shared" si="6"/>
        <v>16-16</v>
      </c>
      <c r="H86" s="1">
        <f>_xlfn.IFNA(VLOOKUP(Aragon!E86,'Kilter Holds'!$P$36:$AB$370,8,0),0)</f>
        <v>0</v>
      </c>
      <c r="J86" s="2">
        <f t="shared" si="4"/>
        <v>0</v>
      </c>
      <c r="K86" s="2">
        <f t="shared" si="5"/>
        <v>0</v>
      </c>
    </row>
    <row r="87" spans="5:11">
      <c r="E87" t="s">
        <v>309</v>
      </c>
      <c r="F87" t="s">
        <v>559</v>
      </c>
      <c r="G87" s="9" t="str">
        <f t="shared" si="6"/>
        <v>13-01</v>
      </c>
      <c r="H87" s="1">
        <f>_xlfn.IFNA(VLOOKUP(Aragon!E87,'Kilter Holds'!$P$36:$AB$370,9,0),0)</f>
        <v>0</v>
      </c>
      <c r="J87" s="2">
        <f t="shared" si="4"/>
        <v>0</v>
      </c>
      <c r="K87" s="2">
        <f t="shared" si="5"/>
        <v>0</v>
      </c>
    </row>
    <row r="88" spans="5:11">
      <c r="E88" t="s">
        <v>309</v>
      </c>
      <c r="F88" t="s">
        <v>559</v>
      </c>
      <c r="G88" s="10" t="str">
        <f t="shared" si="6"/>
        <v>07-13</v>
      </c>
      <c r="H88" s="1">
        <f>_xlfn.IFNA(VLOOKUP(Aragon!E88,'Kilter Holds'!$P$36:$AB$370,10,0),0)</f>
        <v>0</v>
      </c>
      <c r="J88" s="2">
        <f t="shared" si="4"/>
        <v>0</v>
      </c>
      <c r="K88" s="2">
        <f t="shared" si="5"/>
        <v>0</v>
      </c>
    </row>
    <row r="89" spans="5:11">
      <c r="E89" t="s">
        <v>309</v>
      </c>
      <c r="F89" t="s">
        <v>559</v>
      </c>
      <c r="G89" s="11" t="str">
        <f t="shared" si="6"/>
        <v>11-25</v>
      </c>
      <c r="H89" s="1">
        <f>_xlfn.IFNA(VLOOKUP(Aragon!E89,'Kilter Holds'!$P$36:$AB$370,11,0),0)</f>
        <v>0</v>
      </c>
      <c r="J89" s="2">
        <f t="shared" si="4"/>
        <v>0</v>
      </c>
      <c r="K89" s="2">
        <f t="shared" si="5"/>
        <v>0</v>
      </c>
    </row>
    <row r="90" spans="5:11">
      <c r="E90" t="s">
        <v>309</v>
      </c>
      <c r="F90" t="s">
        <v>559</v>
      </c>
      <c r="G90" s="13" t="str">
        <f t="shared" si="6"/>
        <v>18-01</v>
      </c>
      <c r="H90" s="1">
        <f>_xlfn.IFNA(VLOOKUP(Aragon!E90,'Kilter Holds'!$P$36:$AB$370,12,0),0)</f>
        <v>0</v>
      </c>
      <c r="J90" s="2">
        <f t="shared" si="4"/>
        <v>0</v>
      </c>
      <c r="K90" s="2">
        <f t="shared" si="5"/>
        <v>0</v>
      </c>
    </row>
    <row r="91" spans="5:11">
      <c r="E91" t="s">
        <v>309</v>
      </c>
      <c r="F91" t="s">
        <v>559</v>
      </c>
      <c r="G91" s="12" t="str">
        <f t="shared" si="6"/>
        <v>12-01</v>
      </c>
      <c r="H91" s="1">
        <f>_xlfn.IFNA(VLOOKUP(Aragon!E91,'Kilter Holds'!$P$36:$AB$370,13,0),0)</f>
        <v>0</v>
      </c>
      <c r="J91" s="2">
        <f t="shared" si="4"/>
        <v>0</v>
      </c>
      <c r="K91" s="2">
        <f t="shared" si="5"/>
        <v>0</v>
      </c>
    </row>
    <row r="92" spans="5:11">
      <c r="E92" t="s">
        <v>171</v>
      </c>
      <c r="F92" t="s">
        <v>560</v>
      </c>
      <c r="G92" s="5" t="str">
        <f t="shared" si="6"/>
        <v>11-12</v>
      </c>
      <c r="H92" s="1">
        <f>_xlfn.IFNA(VLOOKUP(Aragon!E92,'Kilter Holds'!$P$36:$AB$370,5,0),0)</f>
        <v>0</v>
      </c>
      <c r="J92" s="2">
        <f t="shared" si="4"/>
        <v>0</v>
      </c>
      <c r="K92" s="2">
        <f t="shared" si="5"/>
        <v>0</v>
      </c>
    </row>
    <row r="93" spans="5:11">
      <c r="E93" t="s">
        <v>171</v>
      </c>
      <c r="F93" t="s">
        <v>560</v>
      </c>
      <c r="G93" s="6" t="str">
        <f t="shared" si="6"/>
        <v>14-01</v>
      </c>
      <c r="H93" s="1">
        <f>_xlfn.IFNA(VLOOKUP(Aragon!E93,'Kilter Holds'!$P$36:$AB$370,6,0),0)</f>
        <v>0</v>
      </c>
      <c r="J93" s="2">
        <f t="shared" si="4"/>
        <v>0</v>
      </c>
      <c r="K93" s="2">
        <f t="shared" si="5"/>
        <v>0</v>
      </c>
    </row>
    <row r="94" spans="5:11">
      <c r="E94" t="s">
        <v>171</v>
      </c>
      <c r="F94" t="s">
        <v>560</v>
      </c>
      <c r="G94" s="7" t="str">
        <f t="shared" si="6"/>
        <v>15-12</v>
      </c>
      <c r="H94" s="1">
        <f>_xlfn.IFNA(VLOOKUP(Aragon!E94,'Kilter Holds'!$P$36:$AB$370,7,0),0)</f>
        <v>0</v>
      </c>
      <c r="J94" s="2">
        <f t="shared" si="4"/>
        <v>0</v>
      </c>
      <c r="K94" s="2">
        <f t="shared" si="5"/>
        <v>0</v>
      </c>
    </row>
    <row r="95" spans="5:11">
      <c r="E95" t="s">
        <v>171</v>
      </c>
      <c r="F95" t="s">
        <v>560</v>
      </c>
      <c r="G95" s="8" t="str">
        <f t="shared" si="6"/>
        <v>16-16</v>
      </c>
      <c r="H95" s="1">
        <f>_xlfn.IFNA(VLOOKUP(Aragon!E95,'Kilter Holds'!$P$36:$AB$370,8,0),0)</f>
        <v>0</v>
      </c>
      <c r="J95" s="2">
        <f t="shared" si="4"/>
        <v>0</v>
      </c>
      <c r="K95" s="2">
        <f t="shared" si="5"/>
        <v>0</v>
      </c>
    </row>
    <row r="96" spans="5:11">
      <c r="E96" t="s">
        <v>171</v>
      </c>
      <c r="F96" t="s">
        <v>560</v>
      </c>
      <c r="G96" s="9" t="str">
        <f t="shared" si="6"/>
        <v>13-01</v>
      </c>
      <c r="H96" s="1">
        <f>_xlfn.IFNA(VLOOKUP(Aragon!E96,'Kilter Holds'!$P$36:$AB$370,9,0),0)</f>
        <v>0</v>
      </c>
      <c r="J96" s="2">
        <f t="shared" si="4"/>
        <v>0</v>
      </c>
      <c r="K96" s="2">
        <f t="shared" si="5"/>
        <v>0</v>
      </c>
    </row>
    <row r="97" spans="5:11">
      <c r="E97" t="s">
        <v>171</v>
      </c>
      <c r="F97" t="s">
        <v>560</v>
      </c>
      <c r="G97" s="10" t="str">
        <f t="shared" si="6"/>
        <v>07-13</v>
      </c>
      <c r="H97" s="1">
        <f>_xlfn.IFNA(VLOOKUP(Aragon!E97,'Kilter Holds'!$P$36:$AB$370,10,0),0)</f>
        <v>0</v>
      </c>
      <c r="J97" s="2">
        <f t="shared" si="4"/>
        <v>0</v>
      </c>
      <c r="K97" s="2">
        <f t="shared" si="5"/>
        <v>0</v>
      </c>
    </row>
    <row r="98" spans="5:11">
      <c r="E98" t="s">
        <v>171</v>
      </c>
      <c r="F98" t="s">
        <v>560</v>
      </c>
      <c r="G98" s="11" t="str">
        <f t="shared" si="6"/>
        <v>11-25</v>
      </c>
      <c r="H98" s="1">
        <f>_xlfn.IFNA(VLOOKUP(Aragon!E98,'Kilter Holds'!$P$36:$AB$370,11,0),0)</f>
        <v>0</v>
      </c>
      <c r="J98" s="2">
        <f t="shared" si="4"/>
        <v>0</v>
      </c>
      <c r="K98" s="2">
        <f t="shared" si="5"/>
        <v>0</v>
      </c>
    </row>
    <row r="99" spans="5:11">
      <c r="E99" t="s">
        <v>171</v>
      </c>
      <c r="F99" t="s">
        <v>560</v>
      </c>
      <c r="G99" s="13" t="str">
        <f t="shared" si="6"/>
        <v>18-01</v>
      </c>
      <c r="H99" s="1">
        <f>_xlfn.IFNA(VLOOKUP(Aragon!E99,'Kilter Holds'!$P$36:$AB$370,12,0),0)</f>
        <v>0</v>
      </c>
      <c r="J99" s="2">
        <f t="shared" si="4"/>
        <v>0</v>
      </c>
      <c r="K99" s="2">
        <f t="shared" si="5"/>
        <v>0</v>
      </c>
    </row>
    <row r="100" spans="5:11">
      <c r="E100" t="s">
        <v>171</v>
      </c>
      <c r="F100" t="s">
        <v>560</v>
      </c>
      <c r="G100" s="12" t="str">
        <f t="shared" si="6"/>
        <v>12-01</v>
      </c>
      <c r="H100" s="1">
        <f>_xlfn.IFNA(VLOOKUP(Aragon!E100,'Kilter Holds'!$P$36:$AB$370,13,0),0)</f>
        <v>0</v>
      </c>
      <c r="J100" s="2">
        <f t="shared" si="4"/>
        <v>0</v>
      </c>
      <c r="K100" s="2">
        <f t="shared" si="5"/>
        <v>0</v>
      </c>
    </row>
    <row r="101" spans="5:11">
      <c r="E101" t="s">
        <v>180</v>
      </c>
      <c r="F101" t="s">
        <v>561</v>
      </c>
      <c r="G101" s="5" t="str">
        <f t="shared" si="6"/>
        <v>11-12</v>
      </c>
      <c r="H101" s="1">
        <f>_xlfn.IFNA(VLOOKUP(Aragon!E101,'Kilter Holds'!$P$36:$AB$370,5,0),0)</f>
        <v>0</v>
      </c>
      <c r="J101" s="2">
        <f t="shared" si="4"/>
        <v>0</v>
      </c>
      <c r="K101" s="2">
        <f t="shared" si="5"/>
        <v>0</v>
      </c>
    </row>
    <row r="102" spans="5:11">
      <c r="E102" t="s">
        <v>180</v>
      </c>
      <c r="F102" t="s">
        <v>561</v>
      </c>
      <c r="G102" s="6" t="str">
        <f t="shared" si="6"/>
        <v>14-01</v>
      </c>
      <c r="H102" s="1">
        <f>_xlfn.IFNA(VLOOKUP(Aragon!E102,'Kilter Holds'!$P$36:$AB$370,6,0),0)</f>
        <v>0</v>
      </c>
      <c r="J102" s="2">
        <f t="shared" si="4"/>
        <v>0</v>
      </c>
      <c r="K102" s="2">
        <f t="shared" si="5"/>
        <v>0</v>
      </c>
    </row>
    <row r="103" spans="5:11">
      <c r="E103" t="s">
        <v>180</v>
      </c>
      <c r="F103" t="s">
        <v>561</v>
      </c>
      <c r="G103" s="7" t="str">
        <f t="shared" si="6"/>
        <v>15-12</v>
      </c>
      <c r="H103" s="1">
        <f>_xlfn.IFNA(VLOOKUP(Aragon!E103,'Kilter Holds'!$P$36:$AB$370,7,0),0)</f>
        <v>0</v>
      </c>
      <c r="J103" s="2">
        <f t="shared" si="4"/>
        <v>0</v>
      </c>
      <c r="K103" s="2">
        <f t="shared" si="5"/>
        <v>0</v>
      </c>
    </row>
    <row r="104" spans="5:11">
      <c r="E104" t="s">
        <v>180</v>
      </c>
      <c r="F104" t="s">
        <v>561</v>
      </c>
      <c r="G104" s="8" t="str">
        <f t="shared" si="6"/>
        <v>16-16</v>
      </c>
      <c r="H104" s="1">
        <f>_xlfn.IFNA(VLOOKUP(Aragon!E104,'Kilter Holds'!$P$36:$AB$370,8,0),0)</f>
        <v>0</v>
      </c>
      <c r="J104" s="2">
        <f t="shared" si="4"/>
        <v>0</v>
      </c>
      <c r="K104" s="2">
        <f t="shared" si="5"/>
        <v>0</v>
      </c>
    </row>
    <row r="105" spans="5:11">
      <c r="E105" t="s">
        <v>180</v>
      </c>
      <c r="F105" t="s">
        <v>561</v>
      </c>
      <c r="G105" s="9" t="str">
        <f t="shared" si="6"/>
        <v>13-01</v>
      </c>
      <c r="H105" s="1">
        <f>_xlfn.IFNA(VLOOKUP(Aragon!E105,'Kilter Holds'!$P$36:$AB$370,9,0),0)</f>
        <v>0</v>
      </c>
      <c r="J105" s="2">
        <f t="shared" si="4"/>
        <v>0</v>
      </c>
      <c r="K105" s="2">
        <f t="shared" si="5"/>
        <v>0</v>
      </c>
    </row>
    <row r="106" spans="5:11">
      <c r="E106" t="s">
        <v>180</v>
      </c>
      <c r="F106" t="s">
        <v>561</v>
      </c>
      <c r="G106" s="10" t="str">
        <f t="shared" si="6"/>
        <v>07-13</v>
      </c>
      <c r="H106" s="1">
        <f>_xlfn.IFNA(VLOOKUP(Aragon!E106,'Kilter Holds'!$P$36:$AB$370,10,0),0)</f>
        <v>0</v>
      </c>
      <c r="J106" s="2">
        <f t="shared" si="4"/>
        <v>0</v>
      </c>
      <c r="K106" s="2">
        <f t="shared" si="5"/>
        <v>0</v>
      </c>
    </row>
    <row r="107" spans="5:11">
      <c r="E107" t="s">
        <v>180</v>
      </c>
      <c r="F107" t="s">
        <v>561</v>
      </c>
      <c r="G107" s="11" t="str">
        <f t="shared" si="6"/>
        <v>11-25</v>
      </c>
      <c r="H107" s="1">
        <f>_xlfn.IFNA(VLOOKUP(Aragon!E107,'Kilter Holds'!$P$36:$AB$370,11,0),0)</f>
        <v>0</v>
      </c>
      <c r="J107" s="2">
        <f t="shared" si="4"/>
        <v>0</v>
      </c>
      <c r="K107" s="2">
        <f t="shared" si="5"/>
        <v>0</v>
      </c>
    </row>
    <row r="108" spans="5:11">
      <c r="E108" t="s">
        <v>180</v>
      </c>
      <c r="F108" t="s">
        <v>561</v>
      </c>
      <c r="G108" s="13" t="str">
        <f t="shared" si="6"/>
        <v>18-01</v>
      </c>
      <c r="H108" s="1">
        <f>_xlfn.IFNA(VLOOKUP(Aragon!E108,'Kilter Holds'!$P$36:$AB$370,12,0),0)</f>
        <v>0</v>
      </c>
      <c r="J108" s="2">
        <f t="shared" si="4"/>
        <v>0</v>
      </c>
      <c r="K108" s="2">
        <f t="shared" si="5"/>
        <v>0</v>
      </c>
    </row>
    <row r="109" spans="5:11">
      <c r="E109" t="s">
        <v>180</v>
      </c>
      <c r="F109" t="s">
        <v>561</v>
      </c>
      <c r="G109" s="12" t="str">
        <f t="shared" si="6"/>
        <v>12-01</v>
      </c>
      <c r="H109" s="1">
        <f>_xlfn.IFNA(VLOOKUP(Aragon!E109,'Kilter Holds'!$P$36:$AB$370,13,0),0)</f>
        <v>0</v>
      </c>
      <c r="J109" s="2">
        <f t="shared" si="4"/>
        <v>0</v>
      </c>
      <c r="K109" s="2">
        <f t="shared" si="5"/>
        <v>0</v>
      </c>
    </row>
    <row r="110" spans="5:11">
      <c r="E110" t="s">
        <v>279</v>
      </c>
      <c r="F110" t="s">
        <v>562</v>
      </c>
      <c r="G110" s="5" t="str">
        <f t="shared" si="6"/>
        <v>11-12</v>
      </c>
      <c r="H110" s="1">
        <f>_xlfn.IFNA(VLOOKUP(Aragon!E110,'Kilter Holds'!$P$36:$AB$370,5,0),0)</f>
        <v>0</v>
      </c>
      <c r="J110" s="2">
        <f t="shared" si="4"/>
        <v>0</v>
      </c>
      <c r="K110" s="2">
        <f t="shared" si="5"/>
        <v>0</v>
      </c>
    </row>
    <row r="111" spans="5:11">
      <c r="E111" t="s">
        <v>279</v>
      </c>
      <c r="F111" t="s">
        <v>562</v>
      </c>
      <c r="G111" s="6" t="str">
        <f t="shared" si="6"/>
        <v>14-01</v>
      </c>
      <c r="H111" s="1">
        <f>_xlfn.IFNA(VLOOKUP(Aragon!E111,'Kilter Holds'!$P$36:$AB$370,6,0),0)</f>
        <v>0</v>
      </c>
      <c r="J111" s="2">
        <f t="shared" si="4"/>
        <v>0</v>
      </c>
      <c r="K111" s="2">
        <f t="shared" si="5"/>
        <v>0</v>
      </c>
    </row>
    <row r="112" spans="5:11">
      <c r="E112" t="s">
        <v>279</v>
      </c>
      <c r="F112" t="s">
        <v>562</v>
      </c>
      <c r="G112" s="7" t="str">
        <f t="shared" si="6"/>
        <v>15-12</v>
      </c>
      <c r="H112" s="1">
        <f>_xlfn.IFNA(VLOOKUP(Aragon!E112,'Kilter Holds'!$P$36:$AB$370,7,0),0)</f>
        <v>0</v>
      </c>
      <c r="J112" s="2">
        <f t="shared" si="4"/>
        <v>0</v>
      </c>
      <c r="K112" s="2">
        <f t="shared" si="5"/>
        <v>0</v>
      </c>
    </row>
    <row r="113" spans="5:11">
      <c r="E113" t="s">
        <v>279</v>
      </c>
      <c r="F113" t="s">
        <v>562</v>
      </c>
      <c r="G113" s="8" t="str">
        <f t="shared" si="6"/>
        <v>16-16</v>
      </c>
      <c r="H113" s="1">
        <f>_xlfn.IFNA(VLOOKUP(Aragon!E113,'Kilter Holds'!$P$36:$AB$370,8,0),0)</f>
        <v>0</v>
      </c>
      <c r="J113" s="2">
        <f t="shared" si="4"/>
        <v>0</v>
      </c>
      <c r="K113" s="2">
        <f t="shared" si="5"/>
        <v>0</v>
      </c>
    </row>
    <row r="114" spans="5:11">
      <c r="E114" t="s">
        <v>279</v>
      </c>
      <c r="F114" t="s">
        <v>562</v>
      </c>
      <c r="G114" s="9" t="str">
        <f t="shared" si="6"/>
        <v>13-01</v>
      </c>
      <c r="H114" s="1">
        <f>_xlfn.IFNA(VLOOKUP(Aragon!E114,'Kilter Holds'!$P$36:$AB$370,9,0),0)</f>
        <v>0</v>
      </c>
      <c r="J114" s="2">
        <f t="shared" si="4"/>
        <v>0</v>
      </c>
      <c r="K114" s="2">
        <f t="shared" si="5"/>
        <v>0</v>
      </c>
    </row>
    <row r="115" spans="5:11">
      <c r="E115" t="s">
        <v>279</v>
      </c>
      <c r="F115" t="s">
        <v>562</v>
      </c>
      <c r="G115" s="10" t="str">
        <f t="shared" si="6"/>
        <v>07-13</v>
      </c>
      <c r="H115" s="1">
        <f>_xlfn.IFNA(VLOOKUP(Aragon!E115,'Kilter Holds'!$P$36:$AB$370,10,0),0)</f>
        <v>0</v>
      </c>
      <c r="J115" s="2">
        <f t="shared" si="4"/>
        <v>0</v>
      </c>
      <c r="K115" s="2">
        <f t="shared" si="5"/>
        <v>0</v>
      </c>
    </row>
    <row r="116" spans="5:11">
      <c r="E116" t="s">
        <v>279</v>
      </c>
      <c r="F116" t="s">
        <v>562</v>
      </c>
      <c r="G116" s="11" t="str">
        <f t="shared" si="6"/>
        <v>11-25</v>
      </c>
      <c r="H116" s="1">
        <f>_xlfn.IFNA(VLOOKUP(Aragon!E116,'Kilter Holds'!$P$36:$AB$370,11,0),0)</f>
        <v>0</v>
      </c>
      <c r="J116" s="2">
        <f t="shared" si="4"/>
        <v>0</v>
      </c>
      <c r="K116" s="2">
        <f t="shared" si="5"/>
        <v>0</v>
      </c>
    </row>
    <row r="117" spans="5:11">
      <c r="E117" t="s">
        <v>279</v>
      </c>
      <c r="F117" t="s">
        <v>562</v>
      </c>
      <c r="G117" s="13" t="str">
        <f t="shared" si="6"/>
        <v>18-01</v>
      </c>
      <c r="H117" s="1">
        <f>_xlfn.IFNA(VLOOKUP(Aragon!E117,'Kilter Holds'!$P$36:$AB$370,12,0),0)</f>
        <v>0</v>
      </c>
      <c r="J117" s="2">
        <f t="shared" si="4"/>
        <v>0</v>
      </c>
      <c r="K117" s="2">
        <f t="shared" si="5"/>
        <v>0</v>
      </c>
    </row>
    <row r="118" spans="5:11">
      <c r="E118" t="s">
        <v>279</v>
      </c>
      <c r="F118" t="s">
        <v>562</v>
      </c>
      <c r="G118" s="12" t="str">
        <f t="shared" si="6"/>
        <v>12-01</v>
      </c>
      <c r="H118" s="1">
        <f>_xlfn.IFNA(VLOOKUP(Aragon!E118,'Kilter Holds'!$P$36:$AB$370,13,0),0)</f>
        <v>0</v>
      </c>
      <c r="J118" s="2">
        <f t="shared" si="4"/>
        <v>0</v>
      </c>
      <c r="K118" s="2">
        <f t="shared" si="5"/>
        <v>0</v>
      </c>
    </row>
    <row r="119" spans="5:11">
      <c r="E119" t="s">
        <v>181</v>
      </c>
      <c r="F119" t="s">
        <v>563</v>
      </c>
      <c r="G119" s="5" t="str">
        <f t="shared" si="6"/>
        <v>11-12</v>
      </c>
      <c r="H119" s="1">
        <f>_xlfn.IFNA(VLOOKUP(Aragon!E119,'Kilter Holds'!$P$36:$AB$370,5,0),0)</f>
        <v>0</v>
      </c>
      <c r="J119" s="2">
        <f t="shared" si="4"/>
        <v>0</v>
      </c>
      <c r="K119" s="2">
        <f t="shared" si="5"/>
        <v>0</v>
      </c>
    </row>
    <row r="120" spans="5:11">
      <c r="E120" t="s">
        <v>181</v>
      </c>
      <c r="F120" t="s">
        <v>563</v>
      </c>
      <c r="G120" s="6" t="str">
        <f t="shared" si="6"/>
        <v>14-01</v>
      </c>
      <c r="H120" s="1">
        <f>_xlfn.IFNA(VLOOKUP(Aragon!E120,'Kilter Holds'!$P$36:$AB$370,6,0),0)</f>
        <v>0</v>
      </c>
      <c r="J120" s="2">
        <f t="shared" si="4"/>
        <v>0</v>
      </c>
      <c r="K120" s="2">
        <f t="shared" si="5"/>
        <v>0</v>
      </c>
    </row>
    <row r="121" spans="5:11">
      <c r="E121" t="s">
        <v>181</v>
      </c>
      <c r="F121" t="s">
        <v>563</v>
      </c>
      <c r="G121" s="7" t="str">
        <f t="shared" si="6"/>
        <v>15-12</v>
      </c>
      <c r="H121" s="1">
        <f>_xlfn.IFNA(VLOOKUP(Aragon!E121,'Kilter Holds'!$P$36:$AB$370,7,0),0)</f>
        <v>0</v>
      </c>
      <c r="J121" s="2">
        <f t="shared" si="4"/>
        <v>0</v>
      </c>
      <c r="K121" s="2">
        <f t="shared" si="5"/>
        <v>0</v>
      </c>
    </row>
    <row r="122" spans="5:11">
      <c r="E122" t="s">
        <v>181</v>
      </c>
      <c r="F122" t="s">
        <v>563</v>
      </c>
      <c r="G122" s="8" t="str">
        <f t="shared" si="6"/>
        <v>16-16</v>
      </c>
      <c r="H122" s="1">
        <f>_xlfn.IFNA(VLOOKUP(Aragon!E122,'Kilter Holds'!$P$36:$AB$370,8,0),0)</f>
        <v>0</v>
      </c>
      <c r="J122" s="2">
        <f t="shared" si="4"/>
        <v>0</v>
      </c>
      <c r="K122" s="2">
        <f t="shared" si="5"/>
        <v>0</v>
      </c>
    </row>
    <row r="123" spans="5:11">
      <c r="E123" t="s">
        <v>181</v>
      </c>
      <c r="F123" t="s">
        <v>563</v>
      </c>
      <c r="G123" s="9" t="str">
        <f t="shared" si="6"/>
        <v>13-01</v>
      </c>
      <c r="H123" s="1">
        <f>_xlfn.IFNA(VLOOKUP(Aragon!E123,'Kilter Holds'!$P$36:$AB$370,9,0),0)</f>
        <v>0</v>
      </c>
      <c r="J123" s="2">
        <f t="shared" si="4"/>
        <v>0</v>
      </c>
      <c r="K123" s="2">
        <f t="shared" si="5"/>
        <v>0</v>
      </c>
    </row>
    <row r="124" spans="5:11">
      <c r="E124" t="s">
        <v>181</v>
      </c>
      <c r="F124" t="s">
        <v>563</v>
      </c>
      <c r="G124" s="10" t="str">
        <f t="shared" si="6"/>
        <v>07-13</v>
      </c>
      <c r="H124" s="1">
        <f>_xlfn.IFNA(VLOOKUP(Aragon!E124,'Kilter Holds'!$P$36:$AB$370,10,0),0)</f>
        <v>0</v>
      </c>
      <c r="J124" s="2">
        <f t="shared" si="4"/>
        <v>0</v>
      </c>
      <c r="K124" s="2">
        <f t="shared" si="5"/>
        <v>0</v>
      </c>
    </row>
    <row r="125" spans="5:11">
      <c r="E125" t="s">
        <v>181</v>
      </c>
      <c r="F125" t="s">
        <v>563</v>
      </c>
      <c r="G125" s="11" t="str">
        <f t="shared" si="6"/>
        <v>11-25</v>
      </c>
      <c r="H125" s="1">
        <f>_xlfn.IFNA(VLOOKUP(Aragon!E125,'Kilter Holds'!$P$36:$AB$370,11,0),0)</f>
        <v>0</v>
      </c>
      <c r="J125" s="2">
        <f t="shared" si="4"/>
        <v>0</v>
      </c>
      <c r="K125" s="2">
        <f t="shared" si="5"/>
        <v>0</v>
      </c>
    </row>
    <row r="126" spans="5:11">
      <c r="E126" t="s">
        <v>181</v>
      </c>
      <c r="F126" t="s">
        <v>563</v>
      </c>
      <c r="G126" s="13" t="str">
        <f t="shared" si="6"/>
        <v>18-01</v>
      </c>
      <c r="H126" s="1">
        <f>_xlfn.IFNA(VLOOKUP(Aragon!E126,'Kilter Holds'!$P$36:$AB$370,12,0),0)</f>
        <v>0</v>
      </c>
      <c r="J126" s="2">
        <f t="shared" si="4"/>
        <v>0</v>
      </c>
      <c r="K126" s="2">
        <f t="shared" si="5"/>
        <v>0</v>
      </c>
    </row>
    <row r="127" spans="5:11">
      <c r="E127" t="s">
        <v>181</v>
      </c>
      <c r="F127" t="s">
        <v>563</v>
      </c>
      <c r="G127" s="12" t="str">
        <f t="shared" si="6"/>
        <v>12-01</v>
      </c>
      <c r="H127" s="1">
        <f>_xlfn.IFNA(VLOOKUP(Aragon!E127,'Kilter Holds'!$P$36:$AB$370,13,0),0)</f>
        <v>0</v>
      </c>
      <c r="J127" s="2">
        <f t="shared" si="4"/>
        <v>0</v>
      </c>
      <c r="K127" s="2">
        <f t="shared" si="5"/>
        <v>0</v>
      </c>
    </row>
    <row r="128" spans="5:11">
      <c r="E128" t="s">
        <v>310</v>
      </c>
      <c r="F128" t="s">
        <v>564</v>
      </c>
      <c r="G128" s="5" t="str">
        <f t="shared" si="6"/>
        <v>11-12</v>
      </c>
      <c r="H128" s="1">
        <f>_xlfn.IFNA(VLOOKUP(Aragon!E128,'Kilter Holds'!$P$36:$AB$370,5,0),0)</f>
        <v>0</v>
      </c>
      <c r="J128" s="2">
        <f t="shared" si="4"/>
        <v>0</v>
      </c>
      <c r="K128" s="2">
        <f t="shared" si="5"/>
        <v>0</v>
      </c>
    </row>
    <row r="129" spans="5:11">
      <c r="E129" t="s">
        <v>310</v>
      </c>
      <c r="F129" t="s">
        <v>564</v>
      </c>
      <c r="G129" s="6" t="str">
        <f t="shared" si="6"/>
        <v>14-01</v>
      </c>
      <c r="H129" s="1">
        <f>_xlfn.IFNA(VLOOKUP(Aragon!E129,'Kilter Holds'!$P$36:$AB$370,6,0),0)</f>
        <v>0</v>
      </c>
      <c r="J129" s="2">
        <f t="shared" si="4"/>
        <v>0</v>
      </c>
      <c r="K129" s="2">
        <f t="shared" si="5"/>
        <v>0</v>
      </c>
    </row>
    <row r="130" spans="5:11">
      <c r="E130" t="s">
        <v>310</v>
      </c>
      <c r="F130" t="s">
        <v>564</v>
      </c>
      <c r="G130" s="7" t="str">
        <f t="shared" si="6"/>
        <v>15-12</v>
      </c>
      <c r="H130" s="1">
        <f>_xlfn.IFNA(VLOOKUP(Aragon!E130,'Kilter Holds'!$P$36:$AB$370,7,0),0)</f>
        <v>0</v>
      </c>
      <c r="J130" s="2">
        <f t="shared" si="4"/>
        <v>0</v>
      </c>
      <c r="K130" s="2">
        <f t="shared" si="5"/>
        <v>0</v>
      </c>
    </row>
    <row r="131" spans="5:11">
      <c r="E131" t="s">
        <v>310</v>
      </c>
      <c r="F131" t="s">
        <v>564</v>
      </c>
      <c r="G131" s="8" t="str">
        <f t="shared" si="6"/>
        <v>16-16</v>
      </c>
      <c r="H131" s="1">
        <f>_xlfn.IFNA(VLOOKUP(Aragon!E131,'Kilter Holds'!$P$36:$AB$370,8,0),0)</f>
        <v>0</v>
      </c>
      <c r="J131" s="2">
        <f t="shared" ref="J131:J194" si="7">H131*I131</f>
        <v>0</v>
      </c>
      <c r="K131" s="2">
        <f t="shared" si="5"/>
        <v>0</v>
      </c>
    </row>
    <row r="132" spans="5:11">
      <c r="E132" t="s">
        <v>310</v>
      </c>
      <c r="F132" t="s">
        <v>564</v>
      </c>
      <c r="G132" s="9" t="str">
        <f t="shared" si="6"/>
        <v>13-01</v>
      </c>
      <c r="H132" s="1">
        <f>_xlfn.IFNA(VLOOKUP(Aragon!E132,'Kilter Holds'!$P$36:$AB$370,9,0),0)</f>
        <v>0</v>
      </c>
      <c r="J132" s="2">
        <f t="shared" si="7"/>
        <v>0</v>
      </c>
      <c r="K132" s="2">
        <f t="shared" si="5"/>
        <v>0</v>
      </c>
    </row>
    <row r="133" spans="5:11">
      <c r="E133" t="s">
        <v>310</v>
      </c>
      <c r="F133" t="s">
        <v>564</v>
      </c>
      <c r="G133" s="10" t="str">
        <f t="shared" si="6"/>
        <v>07-13</v>
      </c>
      <c r="H133" s="1">
        <f>_xlfn.IFNA(VLOOKUP(Aragon!E133,'Kilter Holds'!$P$36:$AB$370,10,0),0)</f>
        <v>0</v>
      </c>
      <c r="J133" s="2">
        <f t="shared" si="7"/>
        <v>0</v>
      </c>
      <c r="K133" s="2">
        <f t="shared" si="5"/>
        <v>0</v>
      </c>
    </row>
    <row r="134" spans="5:11">
      <c r="E134" t="s">
        <v>310</v>
      </c>
      <c r="F134" t="s">
        <v>564</v>
      </c>
      <c r="G134" s="11" t="str">
        <f t="shared" si="6"/>
        <v>11-25</v>
      </c>
      <c r="H134" s="1">
        <f>_xlfn.IFNA(VLOOKUP(Aragon!E134,'Kilter Holds'!$P$36:$AB$370,11,0),0)</f>
        <v>0</v>
      </c>
      <c r="J134" s="2">
        <f t="shared" si="7"/>
        <v>0</v>
      </c>
      <c r="K134" s="2">
        <f t="shared" si="5"/>
        <v>0</v>
      </c>
    </row>
    <row r="135" spans="5:11">
      <c r="E135" t="s">
        <v>310</v>
      </c>
      <c r="F135" t="s">
        <v>564</v>
      </c>
      <c r="G135" s="13" t="str">
        <f t="shared" si="6"/>
        <v>18-01</v>
      </c>
      <c r="H135" s="1">
        <f>_xlfn.IFNA(VLOOKUP(Aragon!E135,'Kilter Holds'!$P$36:$AB$370,12,0),0)</f>
        <v>0</v>
      </c>
      <c r="J135" s="2">
        <f t="shared" si="7"/>
        <v>0</v>
      </c>
      <c r="K135" s="2">
        <f t="shared" si="5"/>
        <v>0</v>
      </c>
    </row>
    <row r="136" spans="5:11">
      <c r="E136" t="s">
        <v>310</v>
      </c>
      <c r="F136" t="s">
        <v>564</v>
      </c>
      <c r="G136" s="12" t="str">
        <f t="shared" si="6"/>
        <v>12-01</v>
      </c>
      <c r="H136" s="1">
        <f>_xlfn.IFNA(VLOOKUP(Aragon!E136,'Kilter Holds'!$P$36:$AB$370,13,0),0)</f>
        <v>0</v>
      </c>
      <c r="J136" s="2">
        <f t="shared" si="7"/>
        <v>0</v>
      </c>
      <c r="K136" s="2">
        <f t="shared" si="5"/>
        <v>0</v>
      </c>
    </row>
    <row r="137" spans="5:11">
      <c r="E137" t="s">
        <v>329</v>
      </c>
      <c r="F137" t="s">
        <v>565</v>
      </c>
      <c r="G137" s="5" t="str">
        <f t="shared" si="6"/>
        <v>11-12</v>
      </c>
      <c r="H137" s="1">
        <f>_xlfn.IFNA(VLOOKUP(Aragon!E137,'Kilter Holds'!$P$36:$AB$370,5,0),0)</f>
        <v>0</v>
      </c>
      <c r="J137" s="2">
        <f t="shared" si="7"/>
        <v>0</v>
      </c>
      <c r="K137" s="2">
        <f t="shared" si="5"/>
        <v>0</v>
      </c>
    </row>
    <row r="138" spans="5:11">
      <c r="E138" t="s">
        <v>329</v>
      </c>
      <c r="F138" t="s">
        <v>565</v>
      </c>
      <c r="G138" s="6" t="str">
        <f t="shared" si="6"/>
        <v>14-01</v>
      </c>
      <c r="H138" s="1">
        <f>_xlfn.IFNA(VLOOKUP(Aragon!E138,'Kilter Holds'!$P$36:$AB$370,6,0),0)</f>
        <v>0</v>
      </c>
      <c r="J138" s="2">
        <f t="shared" si="7"/>
        <v>0</v>
      </c>
      <c r="K138" s="2">
        <f t="shared" si="5"/>
        <v>0</v>
      </c>
    </row>
    <row r="139" spans="5:11">
      <c r="E139" t="s">
        <v>329</v>
      </c>
      <c r="F139" t="s">
        <v>565</v>
      </c>
      <c r="G139" s="7" t="str">
        <f t="shared" si="6"/>
        <v>15-12</v>
      </c>
      <c r="H139" s="1">
        <f>_xlfn.IFNA(VLOOKUP(Aragon!E139,'Kilter Holds'!$P$36:$AB$370,7,0),0)</f>
        <v>0</v>
      </c>
      <c r="J139" s="2">
        <f t="shared" si="7"/>
        <v>0</v>
      </c>
      <c r="K139" s="2">
        <f t="shared" si="5"/>
        <v>0</v>
      </c>
    </row>
    <row r="140" spans="5:11">
      <c r="E140" t="s">
        <v>329</v>
      </c>
      <c r="F140" t="s">
        <v>565</v>
      </c>
      <c r="G140" s="8" t="str">
        <f t="shared" si="6"/>
        <v>16-16</v>
      </c>
      <c r="H140" s="1">
        <f>_xlfn.IFNA(VLOOKUP(Aragon!E140,'Kilter Holds'!$P$36:$AB$370,8,0),0)</f>
        <v>0</v>
      </c>
      <c r="J140" s="2">
        <f t="shared" si="7"/>
        <v>0</v>
      </c>
      <c r="K140" s="2">
        <f t="shared" ref="K140:K203" si="8">IF($V$11="Y",J140*0.05,0)</f>
        <v>0</v>
      </c>
    </row>
    <row r="141" spans="5:11">
      <c r="E141" t="s">
        <v>329</v>
      </c>
      <c r="F141" t="s">
        <v>565</v>
      </c>
      <c r="G141" s="9" t="str">
        <f t="shared" ref="G141:G204" si="9">G132</f>
        <v>13-01</v>
      </c>
      <c r="H141" s="1">
        <f>_xlfn.IFNA(VLOOKUP(Aragon!E141,'Kilter Holds'!$P$36:$AB$370,9,0),0)</f>
        <v>0</v>
      </c>
      <c r="J141" s="2">
        <f t="shared" si="7"/>
        <v>0</v>
      </c>
      <c r="K141" s="2">
        <f t="shared" si="8"/>
        <v>0</v>
      </c>
    </row>
    <row r="142" spans="5:11">
      <c r="E142" t="s">
        <v>329</v>
      </c>
      <c r="F142" t="s">
        <v>565</v>
      </c>
      <c r="G142" s="10" t="str">
        <f t="shared" si="9"/>
        <v>07-13</v>
      </c>
      <c r="H142" s="1">
        <f>_xlfn.IFNA(VLOOKUP(Aragon!E142,'Kilter Holds'!$P$36:$AB$370,10,0),0)</f>
        <v>0</v>
      </c>
      <c r="J142" s="2">
        <f t="shared" si="7"/>
        <v>0</v>
      </c>
      <c r="K142" s="2">
        <f t="shared" si="8"/>
        <v>0</v>
      </c>
    </row>
    <row r="143" spans="5:11">
      <c r="E143" t="s">
        <v>329</v>
      </c>
      <c r="F143" t="s">
        <v>565</v>
      </c>
      <c r="G143" s="11" t="str">
        <f t="shared" si="9"/>
        <v>11-25</v>
      </c>
      <c r="H143" s="1">
        <f>_xlfn.IFNA(VLOOKUP(Aragon!E143,'Kilter Holds'!$P$36:$AB$370,11,0),0)</f>
        <v>0</v>
      </c>
      <c r="J143" s="2">
        <f t="shared" si="7"/>
        <v>0</v>
      </c>
      <c r="K143" s="2">
        <f t="shared" si="8"/>
        <v>0</v>
      </c>
    </row>
    <row r="144" spans="5:11">
      <c r="E144" t="s">
        <v>329</v>
      </c>
      <c r="F144" t="s">
        <v>565</v>
      </c>
      <c r="G144" s="13" t="str">
        <f t="shared" si="9"/>
        <v>18-01</v>
      </c>
      <c r="H144" s="1">
        <f>_xlfn.IFNA(VLOOKUP(Aragon!E144,'Kilter Holds'!$P$36:$AB$370,12,0),0)</f>
        <v>0</v>
      </c>
      <c r="J144" s="2">
        <f t="shared" si="7"/>
        <v>0</v>
      </c>
      <c r="K144" s="2">
        <f t="shared" si="8"/>
        <v>0</v>
      </c>
    </row>
    <row r="145" spans="1:11">
      <c r="E145" t="s">
        <v>329</v>
      </c>
      <c r="F145" t="s">
        <v>565</v>
      </c>
      <c r="G145" s="12" t="str">
        <f t="shared" si="9"/>
        <v>12-01</v>
      </c>
      <c r="H145" s="1">
        <f>_xlfn.IFNA(VLOOKUP(Aragon!E145,'Kilter Holds'!$P$36:$AB$370,13,0),0)</f>
        <v>0</v>
      </c>
      <c r="J145" s="2">
        <f t="shared" si="7"/>
        <v>0</v>
      </c>
      <c r="K145" s="2">
        <f t="shared" si="8"/>
        <v>0</v>
      </c>
    </row>
    <row r="146" spans="1:11">
      <c r="E146" t="s">
        <v>330</v>
      </c>
      <c r="F146" t="s">
        <v>566</v>
      </c>
      <c r="G146" s="5" t="str">
        <f t="shared" si="9"/>
        <v>11-12</v>
      </c>
      <c r="H146" s="1">
        <f>_xlfn.IFNA(VLOOKUP(Aragon!E146,'Kilter Holds'!$P$36:$AB$370,5,0),0)</f>
        <v>0</v>
      </c>
      <c r="J146" s="2">
        <f t="shared" si="7"/>
        <v>0</v>
      </c>
      <c r="K146" s="2">
        <f t="shared" si="8"/>
        <v>0</v>
      </c>
    </row>
    <row r="147" spans="1:11">
      <c r="E147" t="s">
        <v>330</v>
      </c>
      <c r="F147" t="s">
        <v>566</v>
      </c>
      <c r="G147" s="6" t="str">
        <f t="shared" si="9"/>
        <v>14-01</v>
      </c>
      <c r="H147" s="1">
        <f>_xlfn.IFNA(VLOOKUP(Aragon!E147,'Kilter Holds'!$P$36:$AB$370,6,0),0)</f>
        <v>0</v>
      </c>
      <c r="J147" s="2">
        <f t="shared" si="7"/>
        <v>0</v>
      </c>
      <c r="K147" s="2">
        <f t="shared" si="8"/>
        <v>0</v>
      </c>
    </row>
    <row r="148" spans="1:11">
      <c r="E148" t="s">
        <v>330</v>
      </c>
      <c r="F148" t="s">
        <v>566</v>
      </c>
      <c r="G148" s="7" t="str">
        <f t="shared" si="9"/>
        <v>15-12</v>
      </c>
      <c r="H148" s="1">
        <f>_xlfn.IFNA(VLOOKUP(Aragon!E148,'Kilter Holds'!$P$36:$AB$370,7,0),0)</f>
        <v>0</v>
      </c>
      <c r="J148" s="2">
        <f t="shared" si="7"/>
        <v>0</v>
      </c>
      <c r="K148" s="2">
        <f t="shared" si="8"/>
        <v>0</v>
      </c>
    </row>
    <row r="149" spans="1:11">
      <c r="E149" t="s">
        <v>330</v>
      </c>
      <c r="F149" t="s">
        <v>566</v>
      </c>
      <c r="G149" s="8" t="str">
        <f t="shared" si="9"/>
        <v>16-16</v>
      </c>
      <c r="H149" s="1">
        <f>_xlfn.IFNA(VLOOKUP(Aragon!E149,'Kilter Holds'!$P$36:$AB$370,8,0),0)</f>
        <v>0</v>
      </c>
      <c r="J149" s="2">
        <f t="shared" si="7"/>
        <v>0</v>
      </c>
      <c r="K149" s="2">
        <f t="shared" si="8"/>
        <v>0</v>
      </c>
    </row>
    <row r="150" spans="1:11">
      <c r="E150" t="s">
        <v>330</v>
      </c>
      <c r="F150" t="s">
        <v>566</v>
      </c>
      <c r="G150" s="9" t="str">
        <f t="shared" si="9"/>
        <v>13-01</v>
      </c>
      <c r="H150" s="1">
        <f>_xlfn.IFNA(VLOOKUP(Aragon!E150,'Kilter Holds'!$P$36:$AB$370,9,0),0)</f>
        <v>0</v>
      </c>
      <c r="J150" s="2">
        <f t="shared" si="7"/>
        <v>0</v>
      </c>
      <c r="K150" s="2">
        <f t="shared" si="8"/>
        <v>0</v>
      </c>
    </row>
    <row r="151" spans="1:11">
      <c r="E151" t="s">
        <v>330</v>
      </c>
      <c r="F151" t="s">
        <v>566</v>
      </c>
      <c r="G151" s="10" t="str">
        <f t="shared" si="9"/>
        <v>07-13</v>
      </c>
      <c r="H151" s="1">
        <f>_xlfn.IFNA(VLOOKUP(Aragon!E151,'Kilter Holds'!$P$36:$AB$370,10,0),0)</f>
        <v>0</v>
      </c>
      <c r="J151" s="2">
        <f t="shared" si="7"/>
        <v>0</v>
      </c>
      <c r="K151" s="2">
        <f t="shared" si="8"/>
        <v>0</v>
      </c>
    </row>
    <row r="152" spans="1:11">
      <c r="E152" t="s">
        <v>330</v>
      </c>
      <c r="F152" t="s">
        <v>566</v>
      </c>
      <c r="G152" s="11" t="str">
        <f t="shared" si="9"/>
        <v>11-25</v>
      </c>
      <c r="H152" s="1">
        <f>_xlfn.IFNA(VLOOKUP(Aragon!E152,'Kilter Holds'!$P$36:$AB$370,11,0),0)</f>
        <v>0</v>
      </c>
      <c r="J152" s="2">
        <f t="shared" si="7"/>
        <v>0</v>
      </c>
      <c r="K152" s="2">
        <f t="shared" si="8"/>
        <v>0</v>
      </c>
    </row>
    <row r="153" spans="1:11">
      <c r="E153" t="s">
        <v>330</v>
      </c>
      <c r="F153" t="s">
        <v>566</v>
      </c>
      <c r="G153" s="13" t="str">
        <f t="shared" si="9"/>
        <v>18-01</v>
      </c>
      <c r="H153" s="1">
        <f>_xlfn.IFNA(VLOOKUP(Aragon!E153,'Kilter Holds'!$P$36:$AB$370,12,0),0)</f>
        <v>0</v>
      </c>
      <c r="J153" s="2">
        <f t="shared" si="7"/>
        <v>0</v>
      </c>
      <c r="K153" s="2">
        <f t="shared" si="8"/>
        <v>0</v>
      </c>
    </row>
    <row r="154" spans="1:11">
      <c r="E154" t="s">
        <v>330</v>
      </c>
      <c r="F154" t="s">
        <v>566</v>
      </c>
      <c r="G154" s="12" t="str">
        <f t="shared" si="9"/>
        <v>12-01</v>
      </c>
      <c r="H154" s="1">
        <f>_xlfn.IFNA(VLOOKUP(Aragon!E154,'Kilter Holds'!$P$36:$AB$370,13,0),0)</f>
        <v>0</v>
      </c>
      <c r="J154" s="2">
        <f t="shared" si="7"/>
        <v>0</v>
      </c>
      <c r="K154" s="2">
        <f t="shared" si="8"/>
        <v>0</v>
      </c>
    </row>
    <row r="155" spans="1:11">
      <c r="A155" s="3" t="s">
        <v>2251</v>
      </c>
      <c r="E155" t="s">
        <v>285</v>
      </c>
      <c r="F155" t="s">
        <v>567</v>
      </c>
      <c r="G155" s="5" t="str">
        <f t="shared" si="9"/>
        <v>11-12</v>
      </c>
      <c r="H155" s="1">
        <f>_xlfn.IFNA(VLOOKUP(Aragon!E155,'Kilter Holds'!$P$36:$AB$370,5,0),0)+_xlfn.IFNA(VLOOKUP(A155,'Kilter Holds'!$P$36:$AB$370,5,0),0)</f>
        <v>0</v>
      </c>
      <c r="J155" s="2">
        <f t="shared" si="7"/>
        <v>0</v>
      </c>
      <c r="K155" s="2">
        <f t="shared" si="8"/>
        <v>0</v>
      </c>
    </row>
    <row r="156" spans="1:11">
      <c r="A156" s="3" t="s">
        <v>2251</v>
      </c>
      <c r="E156" t="s">
        <v>285</v>
      </c>
      <c r="F156" t="s">
        <v>567</v>
      </c>
      <c r="G156" s="6" t="str">
        <f t="shared" si="9"/>
        <v>14-01</v>
      </c>
      <c r="H156" s="1">
        <f>_xlfn.IFNA(VLOOKUP(Aragon!E156,'Kilter Holds'!$P$36:$AB$370,6,0),0)+_xlfn.IFNA(VLOOKUP(A156,'Kilter Holds'!$P$36:$AB$370,6,0),0)</f>
        <v>0</v>
      </c>
      <c r="J156" s="2">
        <f t="shared" si="7"/>
        <v>0</v>
      </c>
      <c r="K156" s="2">
        <f t="shared" si="8"/>
        <v>0</v>
      </c>
    </row>
    <row r="157" spans="1:11">
      <c r="A157" s="3" t="s">
        <v>2251</v>
      </c>
      <c r="E157" t="s">
        <v>285</v>
      </c>
      <c r="F157" t="s">
        <v>567</v>
      </c>
      <c r="G157" s="7" t="str">
        <f t="shared" si="9"/>
        <v>15-12</v>
      </c>
      <c r="H157" s="1">
        <f>_xlfn.IFNA(VLOOKUP(Aragon!E157,'Kilter Holds'!$P$36:$AB$370,7,0),0)+_xlfn.IFNA(VLOOKUP(A157,'Kilter Holds'!$P$36:$AB$370,7,0),0)</f>
        <v>0</v>
      </c>
      <c r="J157" s="2">
        <f t="shared" si="7"/>
        <v>0</v>
      </c>
      <c r="K157" s="2">
        <f t="shared" si="8"/>
        <v>0</v>
      </c>
    </row>
    <row r="158" spans="1:11">
      <c r="A158" s="3" t="s">
        <v>2251</v>
      </c>
      <c r="E158" t="s">
        <v>285</v>
      </c>
      <c r="F158" t="s">
        <v>567</v>
      </c>
      <c r="G158" s="8" t="str">
        <f t="shared" si="9"/>
        <v>16-16</v>
      </c>
      <c r="H158" s="1">
        <f>_xlfn.IFNA(VLOOKUP(Aragon!E158,'Kilter Holds'!$P$36:$AB$370,8,0),0)+_xlfn.IFNA(VLOOKUP(A158,'Kilter Holds'!$P$36:$AB$370,8,0),0)</f>
        <v>0</v>
      </c>
      <c r="J158" s="2">
        <f t="shared" si="7"/>
        <v>0</v>
      </c>
      <c r="K158" s="2">
        <f t="shared" si="8"/>
        <v>0</v>
      </c>
    </row>
    <row r="159" spans="1:11">
      <c r="A159" s="3" t="s">
        <v>2251</v>
      </c>
      <c r="E159" t="s">
        <v>285</v>
      </c>
      <c r="F159" t="s">
        <v>567</v>
      </c>
      <c r="G159" s="9" t="str">
        <f t="shared" si="9"/>
        <v>13-01</v>
      </c>
      <c r="H159" s="1">
        <f>_xlfn.IFNA(VLOOKUP(Aragon!E159,'Kilter Holds'!$P$36:$AB$370,9,0),0)+_xlfn.IFNA(VLOOKUP(A159,'Kilter Holds'!$P$36:$AB$370,9,0),0)</f>
        <v>0</v>
      </c>
      <c r="J159" s="2">
        <f t="shared" si="7"/>
        <v>0</v>
      </c>
      <c r="K159" s="2">
        <f t="shared" si="8"/>
        <v>0</v>
      </c>
    </row>
    <row r="160" spans="1:11">
      <c r="A160" s="3" t="s">
        <v>2251</v>
      </c>
      <c r="E160" t="s">
        <v>285</v>
      </c>
      <c r="F160" t="s">
        <v>567</v>
      </c>
      <c r="G160" s="10" t="str">
        <f t="shared" si="9"/>
        <v>07-13</v>
      </c>
      <c r="H160" s="1">
        <f>_xlfn.IFNA(VLOOKUP(Aragon!E160,'Kilter Holds'!$P$36:$AB$370,10,0),0)+_xlfn.IFNA(VLOOKUP(A160,'Kilter Holds'!$P$36:$AB$370,10,0),0)</f>
        <v>0</v>
      </c>
      <c r="J160" s="2">
        <f t="shared" si="7"/>
        <v>0</v>
      </c>
      <c r="K160" s="2">
        <f t="shared" si="8"/>
        <v>0</v>
      </c>
    </row>
    <row r="161" spans="1:11">
      <c r="A161" s="3" t="s">
        <v>2251</v>
      </c>
      <c r="E161" t="s">
        <v>285</v>
      </c>
      <c r="F161" t="s">
        <v>567</v>
      </c>
      <c r="G161" s="11" t="str">
        <f t="shared" si="9"/>
        <v>11-25</v>
      </c>
      <c r="H161" s="1">
        <f>_xlfn.IFNA(VLOOKUP(Aragon!E161,'Kilter Holds'!$P$36:$AB$370,11,0),0)+_xlfn.IFNA(VLOOKUP(A161,'Kilter Holds'!$P$36:$AB$370,11,0),0)</f>
        <v>0</v>
      </c>
      <c r="J161" s="2">
        <f t="shared" si="7"/>
        <v>0</v>
      </c>
      <c r="K161" s="2">
        <f t="shared" si="8"/>
        <v>0</v>
      </c>
    </row>
    <row r="162" spans="1:11">
      <c r="A162" s="3" t="s">
        <v>2251</v>
      </c>
      <c r="E162" t="s">
        <v>285</v>
      </c>
      <c r="F162" t="s">
        <v>567</v>
      </c>
      <c r="G162" s="13" t="str">
        <f t="shared" si="9"/>
        <v>18-01</v>
      </c>
      <c r="H162" s="1">
        <f>_xlfn.IFNA(VLOOKUP(Aragon!E162,'Kilter Holds'!$P$36:$AB$370,12,0),0)+_xlfn.IFNA(VLOOKUP(A162,'Kilter Holds'!$P$36:$AB$370,12,0),0)</f>
        <v>0</v>
      </c>
      <c r="J162" s="2">
        <f t="shared" si="7"/>
        <v>0</v>
      </c>
      <c r="K162" s="2">
        <f t="shared" si="8"/>
        <v>0</v>
      </c>
    </row>
    <row r="163" spans="1:11">
      <c r="A163" s="3" t="s">
        <v>2251</v>
      </c>
      <c r="E163" t="s">
        <v>285</v>
      </c>
      <c r="F163" t="s">
        <v>567</v>
      </c>
      <c r="G163" s="12" t="str">
        <f t="shared" si="9"/>
        <v>12-01</v>
      </c>
      <c r="H163" s="1">
        <f>_xlfn.IFNA(VLOOKUP(Aragon!E163,'Kilter Holds'!$P$36:$AB$370,13,0),0)+_xlfn.IFNA(VLOOKUP(A163,'Kilter Holds'!$P$36:$AB$370,13,0),0)</f>
        <v>0</v>
      </c>
      <c r="J163" s="2">
        <f t="shared" si="7"/>
        <v>0</v>
      </c>
      <c r="K163" s="2">
        <f t="shared" si="8"/>
        <v>0</v>
      </c>
    </row>
    <row r="164" spans="1:11">
      <c r="E164" t="s">
        <v>286</v>
      </c>
      <c r="F164" t="s">
        <v>568</v>
      </c>
      <c r="G164" s="5" t="str">
        <f t="shared" si="9"/>
        <v>11-12</v>
      </c>
      <c r="H164" s="1">
        <f>_xlfn.IFNA(VLOOKUP(Aragon!E164,'Kilter Holds'!$P$36:$AB$370,5,0),0)</f>
        <v>0</v>
      </c>
      <c r="J164" s="2">
        <f t="shared" si="7"/>
        <v>0</v>
      </c>
      <c r="K164" s="2">
        <f t="shared" si="8"/>
        <v>0</v>
      </c>
    </row>
    <row r="165" spans="1:11">
      <c r="E165" t="s">
        <v>286</v>
      </c>
      <c r="F165" t="s">
        <v>568</v>
      </c>
      <c r="G165" s="6" t="str">
        <f t="shared" si="9"/>
        <v>14-01</v>
      </c>
      <c r="H165" s="1">
        <f>_xlfn.IFNA(VLOOKUP(Aragon!E165,'Kilter Holds'!$P$36:$AB$370,6,0),0)</f>
        <v>0</v>
      </c>
      <c r="J165" s="2">
        <f t="shared" si="7"/>
        <v>0</v>
      </c>
      <c r="K165" s="2">
        <f t="shared" si="8"/>
        <v>0</v>
      </c>
    </row>
    <row r="166" spans="1:11">
      <c r="E166" t="s">
        <v>286</v>
      </c>
      <c r="F166" t="s">
        <v>568</v>
      </c>
      <c r="G166" s="7" t="str">
        <f t="shared" si="9"/>
        <v>15-12</v>
      </c>
      <c r="H166" s="1">
        <f>_xlfn.IFNA(VLOOKUP(Aragon!E166,'Kilter Holds'!$P$36:$AB$370,7,0),0)</f>
        <v>0</v>
      </c>
      <c r="J166" s="2">
        <f t="shared" si="7"/>
        <v>0</v>
      </c>
      <c r="K166" s="2">
        <f t="shared" si="8"/>
        <v>0</v>
      </c>
    </row>
    <row r="167" spans="1:11">
      <c r="E167" t="s">
        <v>286</v>
      </c>
      <c r="F167" t="s">
        <v>568</v>
      </c>
      <c r="G167" s="8" t="str">
        <f t="shared" si="9"/>
        <v>16-16</v>
      </c>
      <c r="H167" s="1">
        <f>_xlfn.IFNA(VLOOKUP(Aragon!E167,'Kilter Holds'!$P$36:$AB$370,8,0),0)</f>
        <v>0</v>
      </c>
      <c r="J167" s="2">
        <f t="shared" si="7"/>
        <v>0</v>
      </c>
      <c r="K167" s="2">
        <f t="shared" si="8"/>
        <v>0</v>
      </c>
    </row>
    <row r="168" spans="1:11">
      <c r="E168" t="s">
        <v>286</v>
      </c>
      <c r="F168" t="s">
        <v>568</v>
      </c>
      <c r="G168" s="9" t="str">
        <f t="shared" si="9"/>
        <v>13-01</v>
      </c>
      <c r="H168" s="1">
        <f>_xlfn.IFNA(VLOOKUP(Aragon!E168,'Kilter Holds'!$P$36:$AB$370,9,0),0)</f>
        <v>0</v>
      </c>
      <c r="J168" s="2">
        <f t="shared" si="7"/>
        <v>0</v>
      </c>
      <c r="K168" s="2">
        <f t="shared" si="8"/>
        <v>0</v>
      </c>
    </row>
    <row r="169" spans="1:11">
      <c r="E169" t="s">
        <v>286</v>
      </c>
      <c r="F169" t="s">
        <v>568</v>
      </c>
      <c r="G169" s="10" t="str">
        <f t="shared" si="9"/>
        <v>07-13</v>
      </c>
      <c r="H169" s="1">
        <f>_xlfn.IFNA(VLOOKUP(Aragon!E169,'Kilter Holds'!$P$36:$AB$370,10,0),0)</f>
        <v>0</v>
      </c>
      <c r="J169" s="2">
        <f t="shared" si="7"/>
        <v>0</v>
      </c>
      <c r="K169" s="2">
        <f t="shared" si="8"/>
        <v>0</v>
      </c>
    </row>
    <row r="170" spans="1:11">
      <c r="E170" t="s">
        <v>286</v>
      </c>
      <c r="F170" t="s">
        <v>568</v>
      </c>
      <c r="G170" s="11" t="str">
        <f t="shared" si="9"/>
        <v>11-25</v>
      </c>
      <c r="H170" s="1">
        <f>_xlfn.IFNA(VLOOKUP(Aragon!E170,'Kilter Holds'!$P$36:$AB$370,11,0),0)</f>
        <v>0</v>
      </c>
      <c r="J170" s="2">
        <f t="shared" si="7"/>
        <v>0</v>
      </c>
      <c r="K170" s="2">
        <f t="shared" si="8"/>
        <v>0</v>
      </c>
    </row>
    <row r="171" spans="1:11">
      <c r="E171" t="s">
        <v>286</v>
      </c>
      <c r="F171" t="s">
        <v>568</v>
      </c>
      <c r="G171" s="13" t="str">
        <f t="shared" si="9"/>
        <v>18-01</v>
      </c>
      <c r="H171" s="1">
        <f>_xlfn.IFNA(VLOOKUP(Aragon!E171,'Kilter Holds'!$P$36:$AB$370,12,0),0)</f>
        <v>0</v>
      </c>
      <c r="J171" s="2">
        <f t="shared" si="7"/>
        <v>0</v>
      </c>
      <c r="K171" s="2">
        <f t="shared" si="8"/>
        <v>0</v>
      </c>
    </row>
    <row r="172" spans="1:11">
      <c r="E172" t="s">
        <v>286</v>
      </c>
      <c r="F172" t="s">
        <v>568</v>
      </c>
      <c r="G172" s="12" t="str">
        <f t="shared" si="9"/>
        <v>12-01</v>
      </c>
      <c r="H172" s="1">
        <f>_xlfn.IFNA(VLOOKUP(Aragon!E172,'Kilter Holds'!$P$36:$AB$370,13,0),0)</f>
        <v>0</v>
      </c>
      <c r="J172" s="2">
        <f t="shared" si="7"/>
        <v>0</v>
      </c>
      <c r="K172" s="2">
        <f t="shared" si="8"/>
        <v>0</v>
      </c>
    </row>
    <row r="173" spans="1:11">
      <c r="A173" s="3" t="s">
        <v>2207</v>
      </c>
      <c r="E173" t="s">
        <v>212</v>
      </c>
      <c r="F173" t="s">
        <v>569</v>
      </c>
      <c r="G173" s="5" t="str">
        <f t="shared" si="9"/>
        <v>11-12</v>
      </c>
      <c r="H173" s="1">
        <f>_xlfn.IFNA(VLOOKUP(E173,'Kilter Holds'!$P$36:$AB$370,5,0),0)+_xlfn.IFNA(VLOOKUP(A173,'Kilter Holds'!$P$36:$AB$370,5,0),0)</f>
        <v>0</v>
      </c>
      <c r="J173" s="2">
        <f t="shared" si="7"/>
        <v>0</v>
      </c>
      <c r="K173" s="2">
        <f t="shared" si="8"/>
        <v>0</v>
      </c>
    </row>
    <row r="174" spans="1:11">
      <c r="A174" s="3" t="s">
        <v>2207</v>
      </c>
      <c r="E174" t="s">
        <v>212</v>
      </c>
      <c r="F174" t="s">
        <v>569</v>
      </c>
      <c r="G174" s="6" t="str">
        <f t="shared" si="9"/>
        <v>14-01</v>
      </c>
      <c r="H174" s="1">
        <f>_xlfn.IFNA(VLOOKUP(E174,'Kilter Holds'!$P$36:$AB$370,6,0),0)+_xlfn.IFNA(VLOOKUP(A174,'Kilter Holds'!$P$36:$AB$370,6,0),0)</f>
        <v>0</v>
      </c>
      <c r="J174" s="2">
        <f t="shared" si="7"/>
        <v>0</v>
      </c>
      <c r="K174" s="2">
        <f t="shared" si="8"/>
        <v>0</v>
      </c>
    </row>
    <row r="175" spans="1:11">
      <c r="A175" s="3" t="s">
        <v>2207</v>
      </c>
      <c r="E175" t="s">
        <v>212</v>
      </c>
      <c r="F175" t="s">
        <v>569</v>
      </c>
      <c r="G175" s="7" t="str">
        <f t="shared" si="9"/>
        <v>15-12</v>
      </c>
      <c r="H175" s="1">
        <f>_xlfn.IFNA(VLOOKUP(E175,'Kilter Holds'!$P$36:$AB$370,7,0),0)+_xlfn.IFNA(VLOOKUP(A175,'Kilter Holds'!$P$36:$AB$370,7,0),0)</f>
        <v>0</v>
      </c>
      <c r="J175" s="2">
        <f t="shared" si="7"/>
        <v>0</v>
      </c>
      <c r="K175" s="2">
        <f t="shared" si="8"/>
        <v>0</v>
      </c>
    </row>
    <row r="176" spans="1:11">
      <c r="A176" s="3" t="s">
        <v>2207</v>
      </c>
      <c r="E176" t="s">
        <v>212</v>
      </c>
      <c r="F176" t="s">
        <v>569</v>
      </c>
      <c r="G176" s="8" t="str">
        <f t="shared" si="9"/>
        <v>16-16</v>
      </c>
      <c r="H176" s="1">
        <f>_xlfn.IFNA(VLOOKUP(E176,'Kilter Holds'!$P$36:$AB$370,8,0),0)+_xlfn.IFNA(VLOOKUP(A176,'Kilter Holds'!$P$36:$AB$370,8,0),0)</f>
        <v>0</v>
      </c>
      <c r="J176" s="2">
        <f t="shared" si="7"/>
        <v>0</v>
      </c>
      <c r="K176" s="2">
        <f t="shared" si="8"/>
        <v>0</v>
      </c>
    </row>
    <row r="177" spans="1:11">
      <c r="A177" s="3" t="s">
        <v>2207</v>
      </c>
      <c r="E177" t="s">
        <v>212</v>
      </c>
      <c r="F177" t="s">
        <v>569</v>
      </c>
      <c r="G177" s="9" t="str">
        <f t="shared" si="9"/>
        <v>13-01</v>
      </c>
      <c r="H177" s="1">
        <f>_xlfn.IFNA(VLOOKUP(E177,'Kilter Holds'!$P$36:$AB$370,9,0),0)+_xlfn.IFNA(VLOOKUP(A177,'Kilter Holds'!$P$36:$AB$370,9,0),0)</f>
        <v>0</v>
      </c>
      <c r="J177" s="2">
        <f t="shared" si="7"/>
        <v>0</v>
      </c>
      <c r="K177" s="2">
        <f t="shared" si="8"/>
        <v>0</v>
      </c>
    </row>
    <row r="178" spans="1:11">
      <c r="A178" s="3" t="s">
        <v>2207</v>
      </c>
      <c r="E178" t="s">
        <v>212</v>
      </c>
      <c r="F178" t="s">
        <v>569</v>
      </c>
      <c r="G178" s="10" t="str">
        <f t="shared" si="9"/>
        <v>07-13</v>
      </c>
      <c r="H178" s="1">
        <f>_xlfn.IFNA(VLOOKUP(E178,'Kilter Holds'!$P$36:$AB$370,10,0),0)+_xlfn.IFNA(VLOOKUP(A178,'Kilter Holds'!$P$36:$AB$370,10,0),0)</f>
        <v>0</v>
      </c>
      <c r="J178" s="2">
        <f t="shared" si="7"/>
        <v>0</v>
      </c>
      <c r="K178" s="2">
        <f t="shared" si="8"/>
        <v>0</v>
      </c>
    </row>
    <row r="179" spans="1:11">
      <c r="A179" s="3" t="s">
        <v>2207</v>
      </c>
      <c r="E179" t="s">
        <v>212</v>
      </c>
      <c r="F179" t="s">
        <v>569</v>
      </c>
      <c r="G179" s="11" t="str">
        <f t="shared" si="9"/>
        <v>11-25</v>
      </c>
      <c r="H179" s="1">
        <f>_xlfn.IFNA(VLOOKUP(E179,'Kilter Holds'!$P$36:$AB$370,11,0),0)+_xlfn.IFNA(VLOOKUP(A179,'Kilter Holds'!$P$36:$AB$370,11,0),0)</f>
        <v>0</v>
      </c>
      <c r="J179" s="2">
        <f t="shared" si="7"/>
        <v>0</v>
      </c>
      <c r="K179" s="2">
        <f t="shared" si="8"/>
        <v>0</v>
      </c>
    </row>
    <row r="180" spans="1:11">
      <c r="A180" s="3" t="s">
        <v>2207</v>
      </c>
      <c r="E180" t="s">
        <v>212</v>
      </c>
      <c r="F180" t="s">
        <v>569</v>
      </c>
      <c r="G180" s="13" t="str">
        <f t="shared" si="9"/>
        <v>18-01</v>
      </c>
      <c r="H180" s="1">
        <f>_xlfn.IFNA(VLOOKUP(E180,'Kilter Holds'!$P$36:$AB$370,12,0),0)+_xlfn.IFNA(VLOOKUP(A180,'Kilter Holds'!$P$36:$AB$370,12,0),0)</f>
        <v>0</v>
      </c>
      <c r="J180" s="2">
        <f t="shared" si="7"/>
        <v>0</v>
      </c>
      <c r="K180" s="2">
        <f t="shared" si="8"/>
        <v>0</v>
      </c>
    </row>
    <row r="181" spans="1:11">
      <c r="A181" s="3" t="s">
        <v>2207</v>
      </c>
      <c r="E181" t="s">
        <v>212</v>
      </c>
      <c r="F181" t="s">
        <v>569</v>
      </c>
      <c r="G181" s="12" t="str">
        <f t="shared" si="9"/>
        <v>12-01</v>
      </c>
      <c r="H181" s="1">
        <f>_xlfn.IFNA(VLOOKUP(E181,'Kilter Holds'!$P$36:$AB$370,13,0),0)+_xlfn.IFNA(VLOOKUP(A181,'Kilter Holds'!$P$36:$AB$370,13,0),0)</f>
        <v>0</v>
      </c>
      <c r="J181" s="2">
        <f t="shared" si="7"/>
        <v>0</v>
      </c>
      <c r="K181" s="2">
        <f t="shared" si="8"/>
        <v>0</v>
      </c>
    </row>
    <row r="182" spans="1:11">
      <c r="E182" t="s">
        <v>213</v>
      </c>
      <c r="F182" t="s">
        <v>570</v>
      </c>
      <c r="G182" s="5" t="str">
        <f t="shared" si="9"/>
        <v>11-12</v>
      </c>
      <c r="H182" s="1">
        <f>_xlfn.IFNA(VLOOKUP(Aragon!E182,'Kilter Holds'!$P$36:$AB$370,5,0),0)</f>
        <v>0</v>
      </c>
      <c r="J182" s="2">
        <f t="shared" si="7"/>
        <v>0</v>
      </c>
      <c r="K182" s="2">
        <f t="shared" si="8"/>
        <v>0</v>
      </c>
    </row>
    <row r="183" spans="1:11">
      <c r="E183" t="s">
        <v>213</v>
      </c>
      <c r="F183" t="s">
        <v>570</v>
      </c>
      <c r="G183" s="6" t="str">
        <f t="shared" si="9"/>
        <v>14-01</v>
      </c>
      <c r="H183" s="1">
        <f>_xlfn.IFNA(VLOOKUP(Aragon!E183,'Kilter Holds'!$P$36:$AB$370,6,0),0)</f>
        <v>0</v>
      </c>
      <c r="J183" s="2">
        <f t="shared" si="7"/>
        <v>0</v>
      </c>
      <c r="K183" s="2">
        <f t="shared" si="8"/>
        <v>0</v>
      </c>
    </row>
    <row r="184" spans="1:11">
      <c r="E184" t="s">
        <v>213</v>
      </c>
      <c r="F184" t="s">
        <v>570</v>
      </c>
      <c r="G184" s="7" t="str">
        <f t="shared" si="9"/>
        <v>15-12</v>
      </c>
      <c r="H184" s="1">
        <f>_xlfn.IFNA(VLOOKUP(Aragon!E184,'Kilter Holds'!$P$36:$AB$370,7,0),0)</f>
        <v>0</v>
      </c>
      <c r="J184" s="2">
        <f t="shared" si="7"/>
        <v>0</v>
      </c>
      <c r="K184" s="2">
        <f t="shared" si="8"/>
        <v>0</v>
      </c>
    </row>
    <row r="185" spans="1:11">
      <c r="E185" t="s">
        <v>213</v>
      </c>
      <c r="F185" t="s">
        <v>570</v>
      </c>
      <c r="G185" s="8" t="str">
        <f t="shared" si="9"/>
        <v>16-16</v>
      </c>
      <c r="H185" s="1">
        <f>_xlfn.IFNA(VLOOKUP(Aragon!E185,'Kilter Holds'!$P$36:$AB$370,8,0),0)</f>
        <v>0</v>
      </c>
      <c r="J185" s="2">
        <f t="shared" si="7"/>
        <v>0</v>
      </c>
      <c r="K185" s="2">
        <f t="shared" si="8"/>
        <v>0</v>
      </c>
    </row>
    <row r="186" spans="1:11">
      <c r="E186" t="s">
        <v>213</v>
      </c>
      <c r="F186" t="s">
        <v>570</v>
      </c>
      <c r="G186" s="9" t="str">
        <f t="shared" si="9"/>
        <v>13-01</v>
      </c>
      <c r="H186" s="1">
        <f>_xlfn.IFNA(VLOOKUP(Aragon!E186,'Kilter Holds'!$P$36:$AB$370,9,0),0)</f>
        <v>0</v>
      </c>
      <c r="J186" s="2">
        <f t="shared" si="7"/>
        <v>0</v>
      </c>
      <c r="K186" s="2">
        <f t="shared" si="8"/>
        <v>0</v>
      </c>
    </row>
    <row r="187" spans="1:11">
      <c r="E187" t="s">
        <v>213</v>
      </c>
      <c r="F187" t="s">
        <v>570</v>
      </c>
      <c r="G187" s="10" t="str">
        <f t="shared" si="9"/>
        <v>07-13</v>
      </c>
      <c r="H187" s="1">
        <f>_xlfn.IFNA(VLOOKUP(Aragon!E187,'Kilter Holds'!$P$36:$AB$370,10,0),0)</f>
        <v>0</v>
      </c>
      <c r="J187" s="2">
        <f t="shared" si="7"/>
        <v>0</v>
      </c>
      <c r="K187" s="2">
        <f t="shared" si="8"/>
        <v>0</v>
      </c>
    </row>
    <row r="188" spans="1:11">
      <c r="E188" t="s">
        <v>213</v>
      </c>
      <c r="F188" t="s">
        <v>570</v>
      </c>
      <c r="G188" s="11" t="str">
        <f t="shared" si="9"/>
        <v>11-25</v>
      </c>
      <c r="H188" s="1">
        <f>_xlfn.IFNA(VLOOKUP(Aragon!E188,'Kilter Holds'!$P$36:$AB$370,11,0),0)</f>
        <v>0</v>
      </c>
      <c r="J188" s="2">
        <f t="shared" si="7"/>
        <v>0</v>
      </c>
      <c r="K188" s="2">
        <f t="shared" si="8"/>
        <v>0</v>
      </c>
    </row>
    <row r="189" spans="1:11">
      <c r="E189" t="s">
        <v>213</v>
      </c>
      <c r="F189" t="s">
        <v>570</v>
      </c>
      <c r="G189" s="13" t="str">
        <f t="shared" si="9"/>
        <v>18-01</v>
      </c>
      <c r="H189" s="1">
        <f>_xlfn.IFNA(VLOOKUP(Aragon!E189,'Kilter Holds'!$P$36:$AB$370,12,0),0)</f>
        <v>0</v>
      </c>
      <c r="J189" s="2">
        <f t="shared" si="7"/>
        <v>0</v>
      </c>
      <c r="K189" s="2">
        <f t="shared" si="8"/>
        <v>0</v>
      </c>
    </row>
    <row r="190" spans="1:11">
      <c r="E190" t="s">
        <v>213</v>
      </c>
      <c r="F190" t="s">
        <v>570</v>
      </c>
      <c r="G190" s="12" t="str">
        <f t="shared" si="9"/>
        <v>12-01</v>
      </c>
      <c r="H190" s="1">
        <f>_xlfn.IFNA(VLOOKUP(Aragon!E190,'Kilter Holds'!$P$36:$AB$370,13,0),0)</f>
        <v>0</v>
      </c>
      <c r="J190" s="2">
        <f t="shared" si="7"/>
        <v>0</v>
      </c>
      <c r="K190" s="2">
        <f t="shared" si="8"/>
        <v>0</v>
      </c>
    </row>
    <row r="191" spans="1:11">
      <c r="E191" t="s">
        <v>280</v>
      </c>
      <c r="F191" t="s">
        <v>571</v>
      </c>
      <c r="G191" s="5" t="str">
        <f t="shared" si="9"/>
        <v>11-12</v>
      </c>
      <c r="H191" s="1">
        <f>_xlfn.IFNA(VLOOKUP(Aragon!E191,'Kilter Holds'!$P$36:$AB$370,5,0),0)</f>
        <v>0</v>
      </c>
      <c r="J191" s="2">
        <f t="shared" si="7"/>
        <v>0</v>
      </c>
      <c r="K191" s="2">
        <f t="shared" si="8"/>
        <v>0</v>
      </c>
    </row>
    <row r="192" spans="1:11">
      <c r="E192" t="s">
        <v>280</v>
      </c>
      <c r="F192" t="s">
        <v>571</v>
      </c>
      <c r="G192" s="6" t="str">
        <f t="shared" si="9"/>
        <v>14-01</v>
      </c>
      <c r="H192" s="1">
        <f>_xlfn.IFNA(VLOOKUP(Aragon!E192,'Kilter Holds'!$P$36:$AB$370,6,0),0)</f>
        <v>0</v>
      </c>
      <c r="J192" s="2">
        <f t="shared" si="7"/>
        <v>0</v>
      </c>
      <c r="K192" s="2">
        <f t="shared" si="8"/>
        <v>0</v>
      </c>
    </row>
    <row r="193" spans="5:11">
      <c r="E193" t="s">
        <v>280</v>
      </c>
      <c r="F193" t="s">
        <v>571</v>
      </c>
      <c r="G193" s="7" t="str">
        <f t="shared" si="9"/>
        <v>15-12</v>
      </c>
      <c r="H193" s="1">
        <f>_xlfn.IFNA(VLOOKUP(Aragon!E193,'Kilter Holds'!$P$36:$AB$370,7,0),0)</f>
        <v>0</v>
      </c>
      <c r="J193" s="2">
        <f t="shared" si="7"/>
        <v>0</v>
      </c>
      <c r="K193" s="2">
        <f t="shared" si="8"/>
        <v>0</v>
      </c>
    </row>
    <row r="194" spans="5:11">
      <c r="E194" t="s">
        <v>280</v>
      </c>
      <c r="F194" t="s">
        <v>571</v>
      </c>
      <c r="G194" s="8" t="str">
        <f t="shared" si="9"/>
        <v>16-16</v>
      </c>
      <c r="H194" s="1">
        <f>_xlfn.IFNA(VLOOKUP(Aragon!E194,'Kilter Holds'!$P$36:$AB$370,8,0),0)</f>
        <v>0</v>
      </c>
      <c r="J194" s="2">
        <f t="shared" si="7"/>
        <v>0</v>
      </c>
      <c r="K194" s="2">
        <f t="shared" si="8"/>
        <v>0</v>
      </c>
    </row>
    <row r="195" spans="5:11">
      <c r="E195" t="s">
        <v>280</v>
      </c>
      <c r="F195" t="s">
        <v>571</v>
      </c>
      <c r="G195" s="9" t="str">
        <f t="shared" si="9"/>
        <v>13-01</v>
      </c>
      <c r="H195" s="1">
        <f>_xlfn.IFNA(VLOOKUP(Aragon!E195,'Kilter Holds'!$P$36:$AB$370,9,0),0)</f>
        <v>0</v>
      </c>
      <c r="J195" s="2">
        <f t="shared" ref="J195:J253" si="10">H195*I195</f>
        <v>0</v>
      </c>
      <c r="K195" s="2">
        <f t="shared" si="8"/>
        <v>0</v>
      </c>
    </row>
    <row r="196" spans="5:11">
      <c r="E196" t="s">
        <v>280</v>
      </c>
      <c r="F196" t="s">
        <v>571</v>
      </c>
      <c r="G196" s="10" t="str">
        <f t="shared" si="9"/>
        <v>07-13</v>
      </c>
      <c r="H196" s="1">
        <f>_xlfn.IFNA(VLOOKUP(Aragon!E196,'Kilter Holds'!$P$36:$AB$370,10,0),0)</f>
        <v>0</v>
      </c>
      <c r="J196" s="2">
        <f t="shared" si="10"/>
        <v>0</v>
      </c>
      <c r="K196" s="2">
        <f t="shared" si="8"/>
        <v>0</v>
      </c>
    </row>
    <row r="197" spans="5:11">
      <c r="E197" t="s">
        <v>280</v>
      </c>
      <c r="F197" t="s">
        <v>571</v>
      </c>
      <c r="G197" s="11" t="str">
        <f t="shared" si="9"/>
        <v>11-25</v>
      </c>
      <c r="H197" s="1">
        <f>_xlfn.IFNA(VLOOKUP(Aragon!E197,'Kilter Holds'!$P$36:$AB$370,11,0),0)</f>
        <v>0</v>
      </c>
      <c r="J197" s="2">
        <f t="shared" si="10"/>
        <v>0</v>
      </c>
      <c r="K197" s="2">
        <f t="shared" si="8"/>
        <v>0</v>
      </c>
    </row>
    <row r="198" spans="5:11">
      <c r="E198" t="s">
        <v>280</v>
      </c>
      <c r="F198" t="s">
        <v>571</v>
      </c>
      <c r="G198" s="13" t="str">
        <f t="shared" si="9"/>
        <v>18-01</v>
      </c>
      <c r="H198" s="1">
        <f>_xlfn.IFNA(VLOOKUP(Aragon!E198,'Kilter Holds'!$P$36:$AB$370,12,0),0)</f>
        <v>0</v>
      </c>
      <c r="J198" s="2">
        <f t="shared" si="10"/>
        <v>0</v>
      </c>
      <c r="K198" s="2">
        <f t="shared" si="8"/>
        <v>0</v>
      </c>
    </row>
    <row r="199" spans="5:11">
      <c r="E199" t="s">
        <v>280</v>
      </c>
      <c r="F199" t="s">
        <v>571</v>
      </c>
      <c r="G199" s="12" t="str">
        <f t="shared" si="9"/>
        <v>12-01</v>
      </c>
      <c r="H199" s="1">
        <f>_xlfn.IFNA(VLOOKUP(Aragon!E199,'Kilter Holds'!$P$36:$AB$370,13,0),0)</f>
        <v>0</v>
      </c>
      <c r="J199" s="2">
        <f t="shared" si="10"/>
        <v>0</v>
      </c>
      <c r="K199" s="2">
        <f t="shared" si="8"/>
        <v>0</v>
      </c>
    </row>
    <row r="200" spans="5:11">
      <c r="E200" t="s">
        <v>311</v>
      </c>
      <c r="F200" t="s">
        <v>572</v>
      </c>
      <c r="G200" s="5" t="str">
        <f t="shared" si="9"/>
        <v>11-12</v>
      </c>
      <c r="H200" s="1">
        <f>_xlfn.IFNA(VLOOKUP(Aragon!E200,'Kilter Holds'!$P$36:$AB$370,5,0),0)</f>
        <v>0</v>
      </c>
      <c r="J200" s="2">
        <f t="shared" si="10"/>
        <v>0</v>
      </c>
      <c r="K200" s="2">
        <f t="shared" si="8"/>
        <v>0</v>
      </c>
    </row>
    <row r="201" spans="5:11">
      <c r="E201" t="s">
        <v>311</v>
      </c>
      <c r="F201" t="s">
        <v>572</v>
      </c>
      <c r="G201" s="6" t="str">
        <f t="shared" si="9"/>
        <v>14-01</v>
      </c>
      <c r="H201" s="1">
        <f>_xlfn.IFNA(VLOOKUP(Aragon!E201,'Kilter Holds'!$P$36:$AB$370,6,0),0)</f>
        <v>0</v>
      </c>
      <c r="J201" s="2">
        <f t="shared" si="10"/>
        <v>0</v>
      </c>
      <c r="K201" s="2">
        <f t="shared" si="8"/>
        <v>0</v>
      </c>
    </row>
    <row r="202" spans="5:11">
      <c r="E202" t="s">
        <v>311</v>
      </c>
      <c r="F202" t="s">
        <v>572</v>
      </c>
      <c r="G202" s="7" t="str">
        <f t="shared" si="9"/>
        <v>15-12</v>
      </c>
      <c r="H202" s="1">
        <f>_xlfn.IFNA(VLOOKUP(Aragon!E202,'Kilter Holds'!$P$36:$AB$370,7,0),0)</f>
        <v>0</v>
      </c>
      <c r="J202" s="2">
        <f t="shared" si="10"/>
        <v>0</v>
      </c>
      <c r="K202" s="2">
        <f t="shared" si="8"/>
        <v>0</v>
      </c>
    </row>
    <row r="203" spans="5:11">
      <c r="E203" t="s">
        <v>311</v>
      </c>
      <c r="F203" t="s">
        <v>572</v>
      </c>
      <c r="G203" s="8" t="str">
        <f t="shared" si="9"/>
        <v>16-16</v>
      </c>
      <c r="H203" s="1">
        <f>_xlfn.IFNA(VLOOKUP(Aragon!E203,'Kilter Holds'!$P$36:$AB$370,8,0),0)</f>
        <v>0</v>
      </c>
      <c r="J203" s="2">
        <f t="shared" si="10"/>
        <v>0</v>
      </c>
      <c r="K203" s="2">
        <f t="shared" si="8"/>
        <v>0</v>
      </c>
    </row>
    <row r="204" spans="5:11">
      <c r="E204" t="s">
        <v>311</v>
      </c>
      <c r="F204" t="s">
        <v>572</v>
      </c>
      <c r="G204" s="9" t="str">
        <f t="shared" si="9"/>
        <v>13-01</v>
      </c>
      <c r="H204" s="1">
        <f>_xlfn.IFNA(VLOOKUP(Aragon!E204,'Kilter Holds'!$P$36:$AB$370,9,0),0)</f>
        <v>0</v>
      </c>
      <c r="J204" s="2">
        <f t="shared" si="10"/>
        <v>0</v>
      </c>
      <c r="K204" s="2">
        <f t="shared" ref="K204:K267" si="11">IF($V$11="Y",J204*0.05,0)</f>
        <v>0</v>
      </c>
    </row>
    <row r="205" spans="5:11">
      <c r="E205" t="s">
        <v>311</v>
      </c>
      <c r="F205" t="s">
        <v>572</v>
      </c>
      <c r="G205" s="10" t="str">
        <f t="shared" ref="G205:G268" si="12">G196</f>
        <v>07-13</v>
      </c>
      <c r="H205" s="1">
        <f>_xlfn.IFNA(VLOOKUP(Aragon!E205,'Kilter Holds'!$P$36:$AB$370,10,0),0)</f>
        <v>0</v>
      </c>
      <c r="J205" s="2">
        <f t="shared" si="10"/>
        <v>0</v>
      </c>
      <c r="K205" s="2">
        <f t="shared" si="11"/>
        <v>0</v>
      </c>
    </row>
    <row r="206" spans="5:11">
      <c r="E206" t="s">
        <v>311</v>
      </c>
      <c r="F206" t="s">
        <v>572</v>
      </c>
      <c r="G206" s="11" t="str">
        <f t="shared" si="12"/>
        <v>11-25</v>
      </c>
      <c r="H206" s="1">
        <f>_xlfn.IFNA(VLOOKUP(Aragon!E206,'Kilter Holds'!$P$36:$AB$370,11,0),0)</f>
        <v>0</v>
      </c>
      <c r="J206" s="2">
        <f t="shared" si="10"/>
        <v>0</v>
      </c>
      <c r="K206" s="2">
        <f t="shared" si="11"/>
        <v>0</v>
      </c>
    </row>
    <row r="207" spans="5:11">
      <c r="E207" t="s">
        <v>311</v>
      </c>
      <c r="F207" t="s">
        <v>572</v>
      </c>
      <c r="G207" s="13" t="str">
        <f t="shared" si="12"/>
        <v>18-01</v>
      </c>
      <c r="H207" s="1">
        <f>_xlfn.IFNA(VLOOKUP(Aragon!E207,'Kilter Holds'!$P$36:$AB$370,12,0),0)</f>
        <v>0</v>
      </c>
      <c r="J207" s="2">
        <f t="shared" si="10"/>
        <v>0</v>
      </c>
      <c r="K207" s="2">
        <f t="shared" si="11"/>
        <v>0</v>
      </c>
    </row>
    <row r="208" spans="5:11">
      <c r="E208" t="s">
        <v>311</v>
      </c>
      <c r="F208" t="s">
        <v>572</v>
      </c>
      <c r="G208" s="12" t="str">
        <f t="shared" si="12"/>
        <v>12-01</v>
      </c>
      <c r="H208" s="1">
        <f>_xlfn.IFNA(VLOOKUP(Aragon!E208,'Kilter Holds'!$P$36:$AB$370,13,0),0)</f>
        <v>0</v>
      </c>
      <c r="J208" s="2">
        <f t="shared" si="10"/>
        <v>0</v>
      </c>
      <c r="K208" s="2">
        <f t="shared" si="11"/>
        <v>0</v>
      </c>
    </row>
    <row r="209" spans="5:11">
      <c r="E209" t="s">
        <v>204</v>
      </c>
      <c r="F209" t="s">
        <v>573</v>
      </c>
      <c r="G209" s="5" t="str">
        <f t="shared" si="12"/>
        <v>11-12</v>
      </c>
      <c r="H209" s="1">
        <f>_xlfn.IFNA(VLOOKUP(Aragon!E209,'Kilter Holds'!$P$36:$AB$370,5,0),0)</f>
        <v>0</v>
      </c>
      <c r="J209" s="2">
        <f t="shared" si="10"/>
        <v>0</v>
      </c>
      <c r="K209" s="2">
        <f t="shared" si="11"/>
        <v>0</v>
      </c>
    </row>
    <row r="210" spans="5:11">
      <c r="E210" t="s">
        <v>204</v>
      </c>
      <c r="F210" t="s">
        <v>573</v>
      </c>
      <c r="G210" s="6" t="str">
        <f t="shared" si="12"/>
        <v>14-01</v>
      </c>
      <c r="H210" s="1">
        <f>_xlfn.IFNA(VLOOKUP(Aragon!E210,'Kilter Holds'!$P$36:$AB$370,6,0),0)</f>
        <v>0</v>
      </c>
      <c r="J210" s="2">
        <f t="shared" si="10"/>
        <v>0</v>
      </c>
      <c r="K210" s="2">
        <f t="shared" si="11"/>
        <v>0</v>
      </c>
    </row>
    <row r="211" spans="5:11">
      <c r="E211" t="s">
        <v>204</v>
      </c>
      <c r="F211" t="s">
        <v>573</v>
      </c>
      <c r="G211" s="7" t="str">
        <f t="shared" si="12"/>
        <v>15-12</v>
      </c>
      <c r="H211" s="1">
        <f>_xlfn.IFNA(VLOOKUP(Aragon!E211,'Kilter Holds'!$P$36:$AB$370,7,0),0)</f>
        <v>0</v>
      </c>
      <c r="J211" s="2">
        <f t="shared" si="10"/>
        <v>0</v>
      </c>
      <c r="K211" s="2">
        <f t="shared" si="11"/>
        <v>0</v>
      </c>
    </row>
    <row r="212" spans="5:11">
      <c r="E212" t="s">
        <v>204</v>
      </c>
      <c r="F212" t="s">
        <v>573</v>
      </c>
      <c r="G212" s="8" t="str">
        <f t="shared" si="12"/>
        <v>16-16</v>
      </c>
      <c r="H212" s="1">
        <f>_xlfn.IFNA(VLOOKUP(Aragon!E212,'Kilter Holds'!$P$36:$AB$370,8,0),0)</f>
        <v>0</v>
      </c>
      <c r="J212" s="2">
        <f t="shared" si="10"/>
        <v>0</v>
      </c>
      <c r="K212" s="2">
        <f t="shared" si="11"/>
        <v>0</v>
      </c>
    </row>
    <row r="213" spans="5:11">
      <c r="E213" t="s">
        <v>204</v>
      </c>
      <c r="F213" t="s">
        <v>573</v>
      </c>
      <c r="G213" s="9" t="str">
        <f t="shared" si="12"/>
        <v>13-01</v>
      </c>
      <c r="H213" s="1">
        <f>_xlfn.IFNA(VLOOKUP(Aragon!E213,'Kilter Holds'!$P$36:$AB$370,9,0),0)</f>
        <v>0</v>
      </c>
      <c r="J213" s="2">
        <f t="shared" si="10"/>
        <v>0</v>
      </c>
      <c r="K213" s="2">
        <f t="shared" si="11"/>
        <v>0</v>
      </c>
    </row>
    <row r="214" spans="5:11">
      <c r="E214" t="s">
        <v>204</v>
      </c>
      <c r="F214" t="s">
        <v>573</v>
      </c>
      <c r="G214" s="10" t="str">
        <f t="shared" si="12"/>
        <v>07-13</v>
      </c>
      <c r="H214" s="1">
        <f>_xlfn.IFNA(VLOOKUP(Aragon!E214,'Kilter Holds'!$P$36:$AB$370,10,0),0)</f>
        <v>0</v>
      </c>
      <c r="J214" s="2">
        <f t="shared" si="10"/>
        <v>0</v>
      </c>
      <c r="K214" s="2">
        <f t="shared" si="11"/>
        <v>0</v>
      </c>
    </row>
    <row r="215" spans="5:11">
      <c r="E215" t="s">
        <v>204</v>
      </c>
      <c r="F215" t="s">
        <v>573</v>
      </c>
      <c r="G215" s="11" t="str">
        <f t="shared" si="12"/>
        <v>11-25</v>
      </c>
      <c r="H215" s="1">
        <f>_xlfn.IFNA(VLOOKUP(Aragon!E215,'Kilter Holds'!$P$36:$AB$370,11,0),0)</f>
        <v>0</v>
      </c>
      <c r="J215" s="2">
        <f t="shared" si="10"/>
        <v>0</v>
      </c>
      <c r="K215" s="2">
        <f t="shared" si="11"/>
        <v>0</v>
      </c>
    </row>
    <row r="216" spans="5:11">
      <c r="E216" t="s">
        <v>204</v>
      </c>
      <c r="F216" t="s">
        <v>573</v>
      </c>
      <c r="G216" s="13" t="str">
        <f t="shared" si="12"/>
        <v>18-01</v>
      </c>
      <c r="H216" s="1">
        <f>_xlfn.IFNA(VLOOKUP(Aragon!E216,'Kilter Holds'!$P$36:$AB$370,12,0),0)</f>
        <v>0</v>
      </c>
      <c r="J216" s="2">
        <f t="shared" si="10"/>
        <v>0</v>
      </c>
      <c r="K216" s="2">
        <f t="shared" si="11"/>
        <v>0</v>
      </c>
    </row>
    <row r="217" spans="5:11">
      <c r="E217" t="s">
        <v>204</v>
      </c>
      <c r="F217" t="s">
        <v>573</v>
      </c>
      <c r="G217" s="12" t="str">
        <f t="shared" si="12"/>
        <v>12-01</v>
      </c>
      <c r="H217" s="1">
        <f>_xlfn.IFNA(VLOOKUP(Aragon!E217,'Kilter Holds'!$P$36:$AB$370,13,0),0)</f>
        <v>0</v>
      </c>
      <c r="J217" s="2">
        <f t="shared" si="10"/>
        <v>0</v>
      </c>
      <c r="K217" s="2">
        <f t="shared" si="11"/>
        <v>0</v>
      </c>
    </row>
    <row r="218" spans="5:11">
      <c r="E218" t="s">
        <v>205</v>
      </c>
      <c r="F218" t="s">
        <v>574</v>
      </c>
      <c r="G218" s="5" t="str">
        <f t="shared" si="12"/>
        <v>11-12</v>
      </c>
      <c r="H218" s="1">
        <f>_xlfn.IFNA(VLOOKUP(Aragon!E218,'Kilter Holds'!$P$36:$AB$370,5,0),0)</f>
        <v>0</v>
      </c>
      <c r="J218" s="2">
        <f t="shared" si="10"/>
        <v>0</v>
      </c>
      <c r="K218" s="2">
        <f t="shared" si="11"/>
        <v>0</v>
      </c>
    </row>
    <row r="219" spans="5:11">
      <c r="E219" t="s">
        <v>205</v>
      </c>
      <c r="F219" t="s">
        <v>574</v>
      </c>
      <c r="G219" s="6" t="str">
        <f t="shared" si="12"/>
        <v>14-01</v>
      </c>
      <c r="H219" s="1">
        <f>_xlfn.IFNA(VLOOKUP(Aragon!E219,'Kilter Holds'!$P$36:$AB$370,6,0),0)</f>
        <v>0</v>
      </c>
      <c r="J219" s="2">
        <f t="shared" si="10"/>
        <v>0</v>
      </c>
      <c r="K219" s="2">
        <f t="shared" si="11"/>
        <v>0</v>
      </c>
    </row>
    <row r="220" spans="5:11">
      <c r="E220" t="s">
        <v>205</v>
      </c>
      <c r="F220" t="s">
        <v>574</v>
      </c>
      <c r="G220" s="7" t="str">
        <f t="shared" si="12"/>
        <v>15-12</v>
      </c>
      <c r="H220" s="1">
        <f>_xlfn.IFNA(VLOOKUP(Aragon!E220,'Kilter Holds'!$P$36:$AB$370,7,0),0)</f>
        <v>0</v>
      </c>
      <c r="J220" s="2">
        <f t="shared" si="10"/>
        <v>0</v>
      </c>
      <c r="K220" s="2">
        <f t="shared" si="11"/>
        <v>0</v>
      </c>
    </row>
    <row r="221" spans="5:11">
      <c r="E221" t="s">
        <v>205</v>
      </c>
      <c r="F221" t="s">
        <v>574</v>
      </c>
      <c r="G221" s="8" t="str">
        <f t="shared" si="12"/>
        <v>16-16</v>
      </c>
      <c r="H221" s="1">
        <f>_xlfn.IFNA(VLOOKUP(Aragon!E221,'Kilter Holds'!$P$36:$AB$370,8,0),0)</f>
        <v>0</v>
      </c>
      <c r="J221" s="2">
        <f t="shared" si="10"/>
        <v>0</v>
      </c>
      <c r="K221" s="2">
        <f t="shared" si="11"/>
        <v>0</v>
      </c>
    </row>
    <row r="222" spans="5:11">
      <c r="E222" t="s">
        <v>205</v>
      </c>
      <c r="F222" t="s">
        <v>574</v>
      </c>
      <c r="G222" s="9" t="str">
        <f t="shared" si="12"/>
        <v>13-01</v>
      </c>
      <c r="H222" s="1">
        <f>_xlfn.IFNA(VLOOKUP(Aragon!E222,'Kilter Holds'!$P$36:$AB$370,9,0),0)</f>
        <v>0</v>
      </c>
      <c r="J222" s="2">
        <f t="shared" si="10"/>
        <v>0</v>
      </c>
      <c r="K222" s="2">
        <f t="shared" si="11"/>
        <v>0</v>
      </c>
    </row>
    <row r="223" spans="5:11">
      <c r="E223" t="s">
        <v>205</v>
      </c>
      <c r="F223" t="s">
        <v>574</v>
      </c>
      <c r="G223" s="10" t="str">
        <f t="shared" si="12"/>
        <v>07-13</v>
      </c>
      <c r="H223" s="1">
        <f>_xlfn.IFNA(VLOOKUP(Aragon!E223,'Kilter Holds'!$P$36:$AB$370,10,0),0)</f>
        <v>0</v>
      </c>
      <c r="J223" s="2">
        <f t="shared" si="10"/>
        <v>0</v>
      </c>
      <c r="K223" s="2">
        <f t="shared" si="11"/>
        <v>0</v>
      </c>
    </row>
    <row r="224" spans="5:11">
      <c r="E224" t="s">
        <v>205</v>
      </c>
      <c r="F224" t="s">
        <v>574</v>
      </c>
      <c r="G224" s="11" t="str">
        <f t="shared" si="12"/>
        <v>11-25</v>
      </c>
      <c r="H224" s="1">
        <f>_xlfn.IFNA(VLOOKUP(Aragon!E224,'Kilter Holds'!$P$36:$AB$370,11,0),0)</f>
        <v>0</v>
      </c>
      <c r="J224" s="2">
        <f t="shared" si="10"/>
        <v>0</v>
      </c>
      <c r="K224" s="2">
        <f t="shared" si="11"/>
        <v>0</v>
      </c>
    </row>
    <row r="225" spans="5:11">
      <c r="E225" t="s">
        <v>205</v>
      </c>
      <c r="F225" t="s">
        <v>574</v>
      </c>
      <c r="G225" s="13" t="str">
        <f t="shared" si="12"/>
        <v>18-01</v>
      </c>
      <c r="H225" s="1">
        <f>_xlfn.IFNA(VLOOKUP(Aragon!E225,'Kilter Holds'!$P$36:$AB$370,12,0),0)</f>
        <v>0</v>
      </c>
      <c r="J225" s="2">
        <f t="shared" si="10"/>
        <v>0</v>
      </c>
      <c r="K225" s="2">
        <f t="shared" si="11"/>
        <v>0</v>
      </c>
    </row>
    <row r="226" spans="5:11">
      <c r="E226" t="s">
        <v>205</v>
      </c>
      <c r="F226" t="s">
        <v>574</v>
      </c>
      <c r="G226" s="12" t="str">
        <f t="shared" si="12"/>
        <v>12-01</v>
      </c>
      <c r="H226" s="1">
        <f>_xlfn.IFNA(VLOOKUP(Aragon!E226,'Kilter Holds'!$P$36:$AB$370,13,0),0)</f>
        <v>0</v>
      </c>
      <c r="J226" s="2">
        <f t="shared" si="10"/>
        <v>0</v>
      </c>
      <c r="K226" s="2">
        <f t="shared" si="11"/>
        <v>0</v>
      </c>
    </row>
    <row r="227" spans="5:11">
      <c r="E227" t="s">
        <v>281</v>
      </c>
      <c r="F227" t="s">
        <v>575</v>
      </c>
      <c r="G227" s="5" t="str">
        <f t="shared" si="12"/>
        <v>11-12</v>
      </c>
      <c r="H227" s="1">
        <f>_xlfn.IFNA(VLOOKUP(Aragon!E227,'Kilter Holds'!$P$36:$AB$370,5,0),0)</f>
        <v>0</v>
      </c>
      <c r="J227" s="2">
        <f t="shared" si="10"/>
        <v>0</v>
      </c>
      <c r="K227" s="2">
        <f t="shared" si="11"/>
        <v>0</v>
      </c>
    </row>
    <row r="228" spans="5:11">
      <c r="E228" t="s">
        <v>281</v>
      </c>
      <c r="F228" t="s">
        <v>575</v>
      </c>
      <c r="G228" s="6" t="str">
        <f t="shared" si="12"/>
        <v>14-01</v>
      </c>
      <c r="H228" s="1">
        <f>_xlfn.IFNA(VLOOKUP(Aragon!E228,'Kilter Holds'!$P$36:$AB$370,6,0),0)</f>
        <v>0</v>
      </c>
      <c r="J228" s="2">
        <f t="shared" si="10"/>
        <v>0</v>
      </c>
      <c r="K228" s="2">
        <f t="shared" si="11"/>
        <v>0</v>
      </c>
    </row>
    <row r="229" spans="5:11">
      <c r="E229" t="s">
        <v>281</v>
      </c>
      <c r="F229" t="s">
        <v>575</v>
      </c>
      <c r="G229" s="7" t="str">
        <f t="shared" si="12"/>
        <v>15-12</v>
      </c>
      <c r="H229" s="1">
        <f>_xlfn.IFNA(VLOOKUP(Aragon!E229,'Kilter Holds'!$P$36:$AB$370,7,0),0)</f>
        <v>0</v>
      </c>
      <c r="J229" s="2">
        <f t="shared" si="10"/>
        <v>0</v>
      </c>
      <c r="K229" s="2">
        <f t="shared" si="11"/>
        <v>0</v>
      </c>
    </row>
    <row r="230" spans="5:11">
      <c r="E230" t="s">
        <v>281</v>
      </c>
      <c r="F230" t="s">
        <v>575</v>
      </c>
      <c r="G230" s="8" t="str">
        <f t="shared" si="12"/>
        <v>16-16</v>
      </c>
      <c r="H230" s="1">
        <f>_xlfn.IFNA(VLOOKUP(Aragon!E230,'Kilter Holds'!$P$36:$AB$370,8,0),0)</f>
        <v>0</v>
      </c>
      <c r="J230" s="2">
        <f t="shared" si="10"/>
        <v>0</v>
      </c>
      <c r="K230" s="2">
        <f t="shared" si="11"/>
        <v>0</v>
      </c>
    </row>
    <row r="231" spans="5:11">
      <c r="E231" t="s">
        <v>281</v>
      </c>
      <c r="F231" t="s">
        <v>575</v>
      </c>
      <c r="G231" s="9" t="str">
        <f t="shared" si="12"/>
        <v>13-01</v>
      </c>
      <c r="H231" s="1">
        <f>_xlfn.IFNA(VLOOKUP(Aragon!E231,'Kilter Holds'!$P$36:$AB$370,9,0),0)</f>
        <v>0</v>
      </c>
      <c r="J231" s="2">
        <f t="shared" si="10"/>
        <v>0</v>
      </c>
      <c r="K231" s="2">
        <f t="shared" si="11"/>
        <v>0</v>
      </c>
    </row>
    <row r="232" spans="5:11">
      <c r="E232" t="s">
        <v>281</v>
      </c>
      <c r="F232" t="s">
        <v>575</v>
      </c>
      <c r="G232" s="10" t="str">
        <f t="shared" si="12"/>
        <v>07-13</v>
      </c>
      <c r="H232" s="1">
        <f>_xlfn.IFNA(VLOOKUP(Aragon!E232,'Kilter Holds'!$P$36:$AB$370,10,0),0)</f>
        <v>0</v>
      </c>
      <c r="J232" s="2">
        <f t="shared" si="10"/>
        <v>0</v>
      </c>
      <c r="K232" s="2">
        <f t="shared" si="11"/>
        <v>0</v>
      </c>
    </row>
    <row r="233" spans="5:11">
      <c r="E233" t="s">
        <v>281</v>
      </c>
      <c r="F233" t="s">
        <v>575</v>
      </c>
      <c r="G233" s="11" t="str">
        <f t="shared" si="12"/>
        <v>11-25</v>
      </c>
      <c r="H233" s="1">
        <f>_xlfn.IFNA(VLOOKUP(Aragon!E233,'Kilter Holds'!$P$36:$AB$370,11,0),0)</f>
        <v>0</v>
      </c>
      <c r="J233" s="2">
        <f t="shared" si="10"/>
        <v>0</v>
      </c>
      <c r="K233" s="2">
        <f t="shared" si="11"/>
        <v>0</v>
      </c>
    </row>
    <row r="234" spans="5:11">
      <c r="E234" t="s">
        <v>281</v>
      </c>
      <c r="F234" t="s">
        <v>575</v>
      </c>
      <c r="G234" s="13" t="str">
        <f t="shared" si="12"/>
        <v>18-01</v>
      </c>
      <c r="H234" s="1">
        <f>_xlfn.IFNA(VLOOKUP(Aragon!E234,'Kilter Holds'!$P$36:$AB$370,12,0),0)</f>
        <v>0</v>
      </c>
      <c r="J234" s="2">
        <f t="shared" si="10"/>
        <v>0</v>
      </c>
      <c r="K234" s="2">
        <f t="shared" si="11"/>
        <v>0</v>
      </c>
    </row>
    <row r="235" spans="5:11">
      <c r="E235" t="s">
        <v>281</v>
      </c>
      <c r="F235" t="s">
        <v>575</v>
      </c>
      <c r="G235" s="12" t="str">
        <f t="shared" si="12"/>
        <v>12-01</v>
      </c>
      <c r="H235" s="1">
        <f>_xlfn.IFNA(VLOOKUP(Aragon!E235,'Kilter Holds'!$P$36:$AB$370,13,0),0)</f>
        <v>0</v>
      </c>
      <c r="J235" s="2">
        <f t="shared" si="10"/>
        <v>0</v>
      </c>
      <c r="K235" s="2">
        <f t="shared" si="11"/>
        <v>0</v>
      </c>
    </row>
    <row r="236" spans="5:11">
      <c r="E236" t="s">
        <v>337</v>
      </c>
      <c r="F236" t="s">
        <v>576</v>
      </c>
      <c r="G236" s="5" t="str">
        <f t="shared" si="12"/>
        <v>11-12</v>
      </c>
      <c r="H236" s="1">
        <f>_xlfn.IFNA(VLOOKUP(Aragon!E236,'Kilter Holds'!$P$36:$AB$370,5,0),0)</f>
        <v>0</v>
      </c>
      <c r="J236" s="2">
        <f t="shared" si="10"/>
        <v>0</v>
      </c>
      <c r="K236" s="2">
        <f t="shared" si="11"/>
        <v>0</v>
      </c>
    </row>
    <row r="237" spans="5:11">
      <c r="E237" t="s">
        <v>337</v>
      </c>
      <c r="F237" t="s">
        <v>576</v>
      </c>
      <c r="G237" s="6" t="str">
        <f t="shared" si="12"/>
        <v>14-01</v>
      </c>
      <c r="H237" s="1">
        <f>_xlfn.IFNA(VLOOKUP(Aragon!E237,'Kilter Holds'!$P$36:$AB$370,6,0),0)</f>
        <v>0</v>
      </c>
      <c r="J237" s="2">
        <f t="shared" si="10"/>
        <v>0</v>
      </c>
      <c r="K237" s="2">
        <f t="shared" si="11"/>
        <v>0</v>
      </c>
    </row>
    <row r="238" spans="5:11">
      <c r="E238" t="s">
        <v>337</v>
      </c>
      <c r="F238" t="s">
        <v>576</v>
      </c>
      <c r="G238" s="7" t="str">
        <f t="shared" si="12"/>
        <v>15-12</v>
      </c>
      <c r="H238" s="1">
        <f>_xlfn.IFNA(VLOOKUP(Aragon!E238,'Kilter Holds'!$P$36:$AB$370,7,0),0)</f>
        <v>0</v>
      </c>
      <c r="J238" s="2">
        <f t="shared" si="10"/>
        <v>0</v>
      </c>
      <c r="K238" s="2">
        <f t="shared" si="11"/>
        <v>0</v>
      </c>
    </row>
    <row r="239" spans="5:11">
      <c r="E239" t="s">
        <v>337</v>
      </c>
      <c r="F239" t="s">
        <v>576</v>
      </c>
      <c r="G239" s="8" t="str">
        <f t="shared" si="12"/>
        <v>16-16</v>
      </c>
      <c r="H239" s="1">
        <f>_xlfn.IFNA(VLOOKUP(Aragon!E239,'Kilter Holds'!$P$36:$AB$370,8,0),0)</f>
        <v>0</v>
      </c>
      <c r="J239" s="2">
        <f t="shared" si="10"/>
        <v>0</v>
      </c>
      <c r="K239" s="2">
        <f t="shared" si="11"/>
        <v>0</v>
      </c>
    </row>
    <row r="240" spans="5:11">
      <c r="E240" t="s">
        <v>337</v>
      </c>
      <c r="F240" t="s">
        <v>576</v>
      </c>
      <c r="G240" s="9" t="str">
        <f t="shared" si="12"/>
        <v>13-01</v>
      </c>
      <c r="H240" s="1">
        <f>_xlfn.IFNA(VLOOKUP(Aragon!E240,'Kilter Holds'!$P$36:$AB$370,9,0),0)</f>
        <v>0</v>
      </c>
      <c r="J240" s="2">
        <f t="shared" si="10"/>
        <v>0</v>
      </c>
      <c r="K240" s="2">
        <f t="shared" si="11"/>
        <v>0</v>
      </c>
    </row>
    <row r="241" spans="5:11">
      <c r="E241" t="s">
        <v>337</v>
      </c>
      <c r="F241" t="s">
        <v>576</v>
      </c>
      <c r="G241" s="10" t="str">
        <f t="shared" si="12"/>
        <v>07-13</v>
      </c>
      <c r="H241" s="1">
        <f>_xlfn.IFNA(VLOOKUP(Aragon!E241,'Kilter Holds'!$P$36:$AB$370,10,0),0)</f>
        <v>0</v>
      </c>
      <c r="J241" s="2">
        <f t="shared" si="10"/>
        <v>0</v>
      </c>
      <c r="K241" s="2">
        <f t="shared" si="11"/>
        <v>0</v>
      </c>
    </row>
    <row r="242" spans="5:11">
      <c r="E242" t="s">
        <v>337</v>
      </c>
      <c r="F242" t="s">
        <v>576</v>
      </c>
      <c r="G242" s="11" t="str">
        <f t="shared" si="12"/>
        <v>11-25</v>
      </c>
      <c r="H242" s="1">
        <f>_xlfn.IFNA(VLOOKUP(Aragon!E242,'Kilter Holds'!$P$36:$AB$370,11,0),0)</f>
        <v>0</v>
      </c>
      <c r="J242" s="2">
        <f t="shared" si="10"/>
        <v>0</v>
      </c>
      <c r="K242" s="2">
        <f t="shared" si="11"/>
        <v>0</v>
      </c>
    </row>
    <row r="243" spans="5:11">
      <c r="E243" t="s">
        <v>337</v>
      </c>
      <c r="F243" t="s">
        <v>576</v>
      </c>
      <c r="G243" s="13" t="str">
        <f t="shared" si="12"/>
        <v>18-01</v>
      </c>
      <c r="H243" s="1">
        <f>_xlfn.IFNA(VLOOKUP(Aragon!E243,'Kilter Holds'!$P$36:$AB$370,12,0),0)</f>
        <v>0</v>
      </c>
      <c r="J243" s="2">
        <f t="shared" si="10"/>
        <v>0</v>
      </c>
      <c r="K243" s="2">
        <f t="shared" si="11"/>
        <v>0</v>
      </c>
    </row>
    <row r="244" spans="5:11">
      <c r="E244" t="s">
        <v>337</v>
      </c>
      <c r="F244" t="s">
        <v>576</v>
      </c>
      <c r="G244" s="12" t="str">
        <f t="shared" si="12"/>
        <v>12-01</v>
      </c>
      <c r="H244" s="1">
        <f>_xlfn.IFNA(VLOOKUP(Aragon!E244,'Kilter Holds'!$P$36:$AB$370,13,0),0)</f>
        <v>0</v>
      </c>
      <c r="J244" s="2">
        <f t="shared" si="10"/>
        <v>0</v>
      </c>
      <c r="K244" s="2">
        <f t="shared" si="11"/>
        <v>0</v>
      </c>
    </row>
    <row r="245" spans="5:11">
      <c r="E245" t="s">
        <v>338</v>
      </c>
      <c r="F245" t="s">
        <v>577</v>
      </c>
      <c r="G245" s="5" t="str">
        <f t="shared" si="12"/>
        <v>11-12</v>
      </c>
      <c r="H245" s="1">
        <f>_xlfn.IFNA(VLOOKUP(Aragon!E245,'Kilter Holds'!$P$36:$AB$370,5,0),0)</f>
        <v>0</v>
      </c>
      <c r="J245" s="2">
        <f t="shared" si="10"/>
        <v>0</v>
      </c>
      <c r="K245" s="2">
        <f t="shared" si="11"/>
        <v>0</v>
      </c>
    </row>
    <row r="246" spans="5:11">
      <c r="E246" t="s">
        <v>338</v>
      </c>
      <c r="F246" t="s">
        <v>577</v>
      </c>
      <c r="G246" s="6" t="str">
        <f t="shared" si="12"/>
        <v>14-01</v>
      </c>
      <c r="H246" s="1">
        <f>_xlfn.IFNA(VLOOKUP(Aragon!E246,'Kilter Holds'!$P$36:$AB$370,6,0),0)</f>
        <v>0</v>
      </c>
      <c r="J246" s="2">
        <f t="shared" si="10"/>
        <v>0</v>
      </c>
      <c r="K246" s="2">
        <f t="shared" si="11"/>
        <v>0</v>
      </c>
    </row>
    <row r="247" spans="5:11">
      <c r="E247" t="s">
        <v>338</v>
      </c>
      <c r="F247" t="s">
        <v>577</v>
      </c>
      <c r="G247" s="7" t="str">
        <f t="shared" si="12"/>
        <v>15-12</v>
      </c>
      <c r="H247" s="1">
        <f>_xlfn.IFNA(VLOOKUP(Aragon!E247,'Kilter Holds'!$P$36:$AB$370,7,0),0)</f>
        <v>0</v>
      </c>
      <c r="J247" s="2">
        <f t="shared" si="10"/>
        <v>0</v>
      </c>
      <c r="K247" s="2">
        <f t="shared" si="11"/>
        <v>0</v>
      </c>
    </row>
    <row r="248" spans="5:11">
      <c r="E248" t="s">
        <v>338</v>
      </c>
      <c r="F248" t="s">
        <v>577</v>
      </c>
      <c r="G248" s="8" t="str">
        <f t="shared" si="12"/>
        <v>16-16</v>
      </c>
      <c r="H248" s="1">
        <f>_xlfn.IFNA(VLOOKUP(Aragon!E248,'Kilter Holds'!$P$36:$AB$370,8,0),0)</f>
        <v>0</v>
      </c>
      <c r="J248" s="2">
        <f t="shared" si="10"/>
        <v>0</v>
      </c>
      <c r="K248" s="2">
        <f t="shared" si="11"/>
        <v>0</v>
      </c>
    </row>
    <row r="249" spans="5:11">
      <c r="E249" t="s">
        <v>338</v>
      </c>
      <c r="F249" t="s">
        <v>577</v>
      </c>
      <c r="G249" s="9" t="str">
        <f t="shared" si="12"/>
        <v>13-01</v>
      </c>
      <c r="H249" s="1">
        <f>_xlfn.IFNA(VLOOKUP(Aragon!E249,'Kilter Holds'!$P$36:$AB$370,9,0),0)</f>
        <v>0</v>
      </c>
      <c r="J249" s="2">
        <f t="shared" si="10"/>
        <v>0</v>
      </c>
      <c r="K249" s="2">
        <f t="shared" si="11"/>
        <v>0</v>
      </c>
    </row>
    <row r="250" spans="5:11">
      <c r="E250" t="s">
        <v>338</v>
      </c>
      <c r="F250" t="s">
        <v>577</v>
      </c>
      <c r="G250" s="10" t="str">
        <f t="shared" si="12"/>
        <v>07-13</v>
      </c>
      <c r="H250" s="1">
        <f>_xlfn.IFNA(VLOOKUP(Aragon!E250,'Kilter Holds'!$P$36:$AB$370,10,0),0)</f>
        <v>0</v>
      </c>
      <c r="J250" s="2">
        <f t="shared" si="10"/>
        <v>0</v>
      </c>
      <c r="K250" s="2">
        <f t="shared" si="11"/>
        <v>0</v>
      </c>
    </row>
    <row r="251" spans="5:11">
      <c r="E251" t="s">
        <v>338</v>
      </c>
      <c r="F251" t="s">
        <v>577</v>
      </c>
      <c r="G251" s="11" t="str">
        <f t="shared" si="12"/>
        <v>11-25</v>
      </c>
      <c r="H251" s="1">
        <f>_xlfn.IFNA(VLOOKUP(Aragon!E251,'Kilter Holds'!$P$36:$AB$370,11,0),0)</f>
        <v>0</v>
      </c>
      <c r="J251" s="2">
        <f t="shared" si="10"/>
        <v>0</v>
      </c>
      <c r="K251" s="2">
        <f t="shared" si="11"/>
        <v>0</v>
      </c>
    </row>
    <row r="252" spans="5:11">
      <c r="E252" t="s">
        <v>338</v>
      </c>
      <c r="F252" t="s">
        <v>577</v>
      </c>
      <c r="G252" s="13" t="str">
        <f t="shared" si="12"/>
        <v>18-01</v>
      </c>
      <c r="H252" s="1">
        <f>_xlfn.IFNA(VLOOKUP(Aragon!E252,'Kilter Holds'!$P$36:$AB$370,12,0),0)</f>
        <v>0</v>
      </c>
      <c r="J252" s="2">
        <f t="shared" si="10"/>
        <v>0</v>
      </c>
      <c r="K252" s="2">
        <f t="shared" si="11"/>
        <v>0</v>
      </c>
    </row>
    <row r="253" spans="5:11">
      <c r="E253" t="s">
        <v>338</v>
      </c>
      <c r="F253" t="s">
        <v>577</v>
      </c>
      <c r="G253" s="12" t="str">
        <f t="shared" si="12"/>
        <v>12-01</v>
      </c>
      <c r="H253" s="1">
        <f>_xlfn.IFNA(VLOOKUP(Aragon!E253,'Kilter Holds'!$P$36:$AB$370,13,0),0)</f>
        <v>0</v>
      </c>
      <c r="J253" s="2">
        <f t="shared" si="10"/>
        <v>0</v>
      </c>
      <c r="K253" s="2">
        <f t="shared" si="11"/>
        <v>0</v>
      </c>
    </row>
    <row r="254" spans="5:11">
      <c r="E254" t="s">
        <v>300</v>
      </c>
      <c r="F254" t="s">
        <v>578</v>
      </c>
      <c r="G254" s="5" t="str">
        <f t="shared" si="12"/>
        <v>11-12</v>
      </c>
      <c r="H254" s="1">
        <f>_xlfn.IFNA(VLOOKUP(Aragon!E254,'Kilter Holds'!$P$36:$AB$370,5,0),0)</f>
        <v>0</v>
      </c>
      <c r="J254" s="2">
        <f t="shared" ref="J254:J313" si="13">H254*I254</f>
        <v>0</v>
      </c>
      <c r="K254" s="2">
        <f t="shared" si="11"/>
        <v>0</v>
      </c>
    </row>
    <row r="255" spans="5:11">
      <c r="E255" t="s">
        <v>300</v>
      </c>
      <c r="F255" t="s">
        <v>578</v>
      </c>
      <c r="G255" s="6" t="str">
        <f t="shared" si="12"/>
        <v>14-01</v>
      </c>
      <c r="H255" s="1">
        <f>_xlfn.IFNA(VLOOKUP(Aragon!E255,'Kilter Holds'!$P$36:$AB$370,6,0),0)</f>
        <v>0</v>
      </c>
      <c r="J255" s="2">
        <f t="shared" si="13"/>
        <v>0</v>
      </c>
      <c r="K255" s="2">
        <f t="shared" si="11"/>
        <v>0</v>
      </c>
    </row>
    <row r="256" spans="5:11">
      <c r="E256" t="s">
        <v>300</v>
      </c>
      <c r="F256" t="s">
        <v>578</v>
      </c>
      <c r="G256" s="7" t="str">
        <f t="shared" si="12"/>
        <v>15-12</v>
      </c>
      <c r="H256" s="1">
        <f>_xlfn.IFNA(VLOOKUP(Aragon!E256,'Kilter Holds'!$P$36:$AB$370,7,0),0)</f>
        <v>0</v>
      </c>
      <c r="J256" s="2">
        <f t="shared" si="13"/>
        <v>0</v>
      </c>
      <c r="K256" s="2">
        <f t="shared" si="11"/>
        <v>0</v>
      </c>
    </row>
    <row r="257" spans="5:11">
      <c r="E257" t="s">
        <v>300</v>
      </c>
      <c r="F257" t="s">
        <v>578</v>
      </c>
      <c r="G257" s="8" t="str">
        <f t="shared" si="12"/>
        <v>16-16</v>
      </c>
      <c r="H257" s="1">
        <f>_xlfn.IFNA(VLOOKUP(Aragon!E257,'Kilter Holds'!$P$36:$AB$370,8,0),0)</f>
        <v>0</v>
      </c>
      <c r="J257" s="2">
        <f t="shared" si="13"/>
        <v>0</v>
      </c>
      <c r="K257" s="2">
        <f t="shared" si="11"/>
        <v>0</v>
      </c>
    </row>
    <row r="258" spans="5:11">
      <c r="E258" t="s">
        <v>300</v>
      </c>
      <c r="F258" t="s">
        <v>578</v>
      </c>
      <c r="G258" s="9" t="str">
        <f t="shared" si="12"/>
        <v>13-01</v>
      </c>
      <c r="H258" s="1">
        <f>_xlfn.IFNA(VLOOKUP(Aragon!E258,'Kilter Holds'!$P$36:$AB$370,9,0),0)</f>
        <v>0</v>
      </c>
      <c r="J258" s="2">
        <f t="shared" si="13"/>
        <v>0</v>
      </c>
      <c r="K258" s="2">
        <f t="shared" si="11"/>
        <v>0</v>
      </c>
    </row>
    <row r="259" spans="5:11">
      <c r="E259" t="s">
        <v>300</v>
      </c>
      <c r="F259" t="s">
        <v>578</v>
      </c>
      <c r="G259" s="10" t="str">
        <f t="shared" si="12"/>
        <v>07-13</v>
      </c>
      <c r="H259" s="1">
        <f>_xlfn.IFNA(VLOOKUP(Aragon!E259,'Kilter Holds'!$P$36:$AB$370,10,0),0)</f>
        <v>0</v>
      </c>
      <c r="J259" s="2">
        <f t="shared" si="13"/>
        <v>0</v>
      </c>
      <c r="K259" s="2">
        <f t="shared" si="11"/>
        <v>0</v>
      </c>
    </row>
    <row r="260" spans="5:11">
      <c r="E260" t="s">
        <v>300</v>
      </c>
      <c r="F260" t="s">
        <v>578</v>
      </c>
      <c r="G260" s="11" t="str">
        <f t="shared" si="12"/>
        <v>11-25</v>
      </c>
      <c r="H260" s="1">
        <f>_xlfn.IFNA(VLOOKUP(Aragon!E260,'Kilter Holds'!$P$36:$AB$370,11,0),0)</f>
        <v>0</v>
      </c>
      <c r="J260" s="2">
        <f t="shared" si="13"/>
        <v>0</v>
      </c>
      <c r="K260" s="2">
        <f t="shared" si="11"/>
        <v>0</v>
      </c>
    </row>
    <row r="261" spans="5:11">
      <c r="E261" t="s">
        <v>300</v>
      </c>
      <c r="F261" t="s">
        <v>578</v>
      </c>
      <c r="G261" s="13" t="str">
        <f t="shared" si="12"/>
        <v>18-01</v>
      </c>
      <c r="H261" s="1">
        <f>_xlfn.IFNA(VLOOKUP(Aragon!E261,'Kilter Holds'!$P$36:$AB$370,12,0),0)</f>
        <v>0</v>
      </c>
      <c r="J261" s="2">
        <f t="shared" si="13"/>
        <v>0</v>
      </c>
      <c r="K261" s="2">
        <f t="shared" si="11"/>
        <v>0</v>
      </c>
    </row>
    <row r="262" spans="5:11">
      <c r="E262" t="s">
        <v>300</v>
      </c>
      <c r="F262" t="s">
        <v>578</v>
      </c>
      <c r="G262" s="12" t="str">
        <f t="shared" si="12"/>
        <v>12-01</v>
      </c>
      <c r="H262" s="1">
        <f>_xlfn.IFNA(VLOOKUP(Aragon!E262,'Kilter Holds'!$P$36:$AB$370,13,0),0)</f>
        <v>0</v>
      </c>
      <c r="J262" s="2">
        <f t="shared" si="13"/>
        <v>0</v>
      </c>
      <c r="K262" s="2">
        <f t="shared" si="11"/>
        <v>0</v>
      </c>
    </row>
    <row r="263" spans="5:11">
      <c r="E263" t="s">
        <v>301</v>
      </c>
      <c r="F263" t="s">
        <v>579</v>
      </c>
      <c r="G263" s="5" t="str">
        <f t="shared" si="12"/>
        <v>11-12</v>
      </c>
      <c r="H263" s="1">
        <f>_xlfn.IFNA(VLOOKUP(Aragon!E263,'Kilter Holds'!$P$36:$AB$370,5,0),0)</f>
        <v>0</v>
      </c>
      <c r="J263" s="2">
        <f t="shared" si="13"/>
        <v>0</v>
      </c>
      <c r="K263" s="2">
        <f t="shared" si="11"/>
        <v>0</v>
      </c>
    </row>
    <row r="264" spans="5:11">
      <c r="E264" t="s">
        <v>301</v>
      </c>
      <c r="F264" t="s">
        <v>579</v>
      </c>
      <c r="G264" s="6" t="str">
        <f t="shared" si="12"/>
        <v>14-01</v>
      </c>
      <c r="H264" s="1">
        <f>_xlfn.IFNA(VLOOKUP(Aragon!E264,'Kilter Holds'!$P$36:$AB$370,6,0),0)</f>
        <v>0</v>
      </c>
      <c r="J264" s="2">
        <f t="shared" si="13"/>
        <v>0</v>
      </c>
      <c r="K264" s="2">
        <f t="shared" si="11"/>
        <v>0</v>
      </c>
    </row>
    <row r="265" spans="5:11">
      <c r="E265" t="s">
        <v>301</v>
      </c>
      <c r="F265" t="s">
        <v>579</v>
      </c>
      <c r="G265" s="7" t="str">
        <f t="shared" si="12"/>
        <v>15-12</v>
      </c>
      <c r="H265" s="1">
        <f>_xlfn.IFNA(VLOOKUP(Aragon!E265,'Kilter Holds'!$P$36:$AB$370,7,0),0)</f>
        <v>0</v>
      </c>
      <c r="J265" s="2">
        <f t="shared" si="13"/>
        <v>0</v>
      </c>
      <c r="K265" s="2">
        <f t="shared" si="11"/>
        <v>0</v>
      </c>
    </row>
    <row r="266" spans="5:11">
      <c r="E266" t="s">
        <v>301</v>
      </c>
      <c r="F266" t="s">
        <v>579</v>
      </c>
      <c r="G266" s="8" t="str">
        <f t="shared" si="12"/>
        <v>16-16</v>
      </c>
      <c r="H266" s="1">
        <f>_xlfn.IFNA(VLOOKUP(Aragon!E266,'Kilter Holds'!$P$36:$AB$370,8,0),0)</f>
        <v>0</v>
      </c>
      <c r="J266" s="2">
        <f t="shared" si="13"/>
        <v>0</v>
      </c>
      <c r="K266" s="2">
        <f t="shared" si="11"/>
        <v>0</v>
      </c>
    </row>
    <row r="267" spans="5:11">
      <c r="E267" t="s">
        <v>301</v>
      </c>
      <c r="F267" t="s">
        <v>579</v>
      </c>
      <c r="G267" s="9" t="str">
        <f t="shared" si="12"/>
        <v>13-01</v>
      </c>
      <c r="H267" s="1">
        <f>_xlfn.IFNA(VLOOKUP(Aragon!E267,'Kilter Holds'!$P$36:$AB$370,9,0),0)</f>
        <v>0</v>
      </c>
      <c r="J267" s="2">
        <f t="shared" si="13"/>
        <v>0</v>
      </c>
      <c r="K267" s="2">
        <f t="shared" si="11"/>
        <v>0</v>
      </c>
    </row>
    <row r="268" spans="5:11">
      <c r="E268" t="s">
        <v>301</v>
      </c>
      <c r="F268" t="s">
        <v>579</v>
      </c>
      <c r="G268" s="10" t="str">
        <f t="shared" si="12"/>
        <v>07-13</v>
      </c>
      <c r="H268" s="1">
        <f>_xlfn.IFNA(VLOOKUP(Aragon!E268,'Kilter Holds'!$P$36:$AB$370,10,0),0)</f>
        <v>0</v>
      </c>
      <c r="J268" s="2">
        <f t="shared" si="13"/>
        <v>0</v>
      </c>
      <c r="K268" s="2">
        <f t="shared" ref="K268:K331" si="14">IF($V$11="Y",J268*0.05,0)</f>
        <v>0</v>
      </c>
    </row>
    <row r="269" spans="5:11">
      <c r="E269" t="s">
        <v>301</v>
      </c>
      <c r="F269" t="s">
        <v>579</v>
      </c>
      <c r="G269" s="11" t="str">
        <f t="shared" ref="G269:G332" si="15">G260</f>
        <v>11-25</v>
      </c>
      <c r="H269" s="1">
        <f>_xlfn.IFNA(VLOOKUP(Aragon!E269,'Kilter Holds'!$P$36:$AB$370,11,0),0)</f>
        <v>0</v>
      </c>
      <c r="J269" s="2">
        <f t="shared" si="13"/>
        <v>0</v>
      </c>
      <c r="K269" s="2">
        <f t="shared" si="14"/>
        <v>0</v>
      </c>
    </row>
    <row r="270" spans="5:11">
      <c r="E270" t="s">
        <v>301</v>
      </c>
      <c r="F270" t="s">
        <v>579</v>
      </c>
      <c r="G270" s="13" t="str">
        <f t="shared" si="15"/>
        <v>18-01</v>
      </c>
      <c r="H270" s="1">
        <f>_xlfn.IFNA(VLOOKUP(Aragon!E270,'Kilter Holds'!$P$36:$AB$370,12,0),0)</f>
        <v>0</v>
      </c>
      <c r="J270" s="2">
        <f t="shared" si="13"/>
        <v>0</v>
      </c>
      <c r="K270" s="2">
        <f t="shared" si="14"/>
        <v>0</v>
      </c>
    </row>
    <row r="271" spans="5:11">
      <c r="E271" t="s">
        <v>301</v>
      </c>
      <c r="F271" t="s">
        <v>579</v>
      </c>
      <c r="G271" s="12" t="str">
        <f t="shared" si="15"/>
        <v>12-01</v>
      </c>
      <c r="H271" s="1">
        <f>_xlfn.IFNA(VLOOKUP(Aragon!E271,'Kilter Holds'!$P$36:$AB$370,13,0),0)</f>
        <v>0</v>
      </c>
      <c r="J271" s="2">
        <f t="shared" si="13"/>
        <v>0</v>
      </c>
      <c r="K271" s="2">
        <f t="shared" si="14"/>
        <v>0</v>
      </c>
    </row>
    <row r="272" spans="5:11">
      <c r="E272" t="s">
        <v>248</v>
      </c>
      <c r="F272" t="s">
        <v>580</v>
      </c>
      <c r="G272" s="5" t="str">
        <f t="shared" si="15"/>
        <v>11-12</v>
      </c>
      <c r="H272" s="1">
        <f>_xlfn.IFNA(VLOOKUP(Aragon!E272,'Kilter Holds'!$P$36:$AB$370,5,0),0)</f>
        <v>0</v>
      </c>
      <c r="J272" s="2">
        <f t="shared" si="13"/>
        <v>0</v>
      </c>
      <c r="K272" s="2">
        <f t="shared" si="14"/>
        <v>0</v>
      </c>
    </row>
    <row r="273" spans="5:11">
      <c r="E273" t="s">
        <v>248</v>
      </c>
      <c r="F273" t="s">
        <v>580</v>
      </c>
      <c r="G273" s="6" t="str">
        <f t="shared" si="15"/>
        <v>14-01</v>
      </c>
      <c r="H273" s="1">
        <f>_xlfn.IFNA(VLOOKUP(Aragon!E273,'Kilter Holds'!$P$36:$AB$370,6,0),0)</f>
        <v>0</v>
      </c>
      <c r="J273" s="2">
        <f t="shared" si="13"/>
        <v>0</v>
      </c>
      <c r="K273" s="2">
        <f t="shared" si="14"/>
        <v>0</v>
      </c>
    </row>
    <row r="274" spans="5:11">
      <c r="E274" t="s">
        <v>248</v>
      </c>
      <c r="F274" t="s">
        <v>580</v>
      </c>
      <c r="G274" s="7" t="str">
        <f t="shared" si="15"/>
        <v>15-12</v>
      </c>
      <c r="H274" s="1">
        <f>_xlfn.IFNA(VLOOKUP(Aragon!E274,'Kilter Holds'!$P$36:$AB$370,7,0),0)</f>
        <v>0</v>
      </c>
      <c r="J274" s="2">
        <f t="shared" si="13"/>
        <v>0</v>
      </c>
      <c r="K274" s="2">
        <f t="shared" si="14"/>
        <v>0</v>
      </c>
    </row>
    <row r="275" spans="5:11">
      <c r="E275" t="s">
        <v>248</v>
      </c>
      <c r="F275" t="s">
        <v>580</v>
      </c>
      <c r="G275" s="8" t="str">
        <f t="shared" si="15"/>
        <v>16-16</v>
      </c>
      <c r="H275" s="1">
        <f>_xlfn.IFNA(VLOOKUP(Aragon!E275,'Kilter Holds'!$P$36:$AB$370,8,0),0)</f>
        <v>0</v>
      </c>
      <c r="J275" s="2">
        <f t="shared" si="13"/>
        <v>0</v>
      </c>
      <c r="K275" s="2">
        <f t="shared" si="14"/>
        <v>0</v>
      </c>
    </row>
    <row r="276" spans="5:11">
      <c r="E276" t="s">
        <v>248</v>
      </c>
      <c r="F276" t="s">
        <v>580</v>
      </c>
      <c r="G276" s="9" t="str">
        <f t="shared" si="15"/>
        <v>13-01</v>
      </c>
      <c r="H276" s="1">
        <f>_xlfn.IFNA(VLOOKUP(Aragon!E276,'Kilter Holds'!$P$36:$AB$370,9,0),0)</f>
        <v>0</v>
      </c>
      <c r="J276" s="2">
        <f t="shared" si="13"/>
        <v>0</v>
      </c>
      <c r="K276" s="2">
        <f t="shared" si="14"/>
        <v>0</v>
      </c>
    </row>
    <row r="277" spans="5:11">
      <c r="E277" t="s">
        <v>248</v>
      </c>
      <c r="F277" t="s">
        <v>580</v>
      </c>
      <c r="G277" s="10" t="str">
        <f t="shared" si="15"/>
        <v>07-13</v>
      </c>
      <c r="H277" s="1">
        <f>_xlfn.IFNA(VLOOKUP(Aragon!E277,'Kilter Holds'!$P$36:$AB$370,10,0),0)</f>
        <v>0</v>
      </c>
      <c r="J277" s="2">
        <f t="shared" si="13"/>
        <v>0</v>
      </c>
      <c r="K277" s="2">
        <f t="shared" si="14"/>
        <v>0</v>
      </c>
    </row>
    <row r="278" spans="5:11">
      <c r="E278" t="s">
        <v>248</v>
      </c>
      <c r="F278" t="s">
        <v>580</v>
      </c>
      <c r="G278" s="11" t="str">
        <f t="shared" si="15"/>
        <v>11-25</v>
      </c>
      <c r="H278" s="1">
        <f>_xlfn.IFNA(VLOOKUP(Aragon!E278,'Kilter Holds'!$P$36:$AB$370,11,0),0)</f>
        <v>0</v>
      </c>
      <c r="J278" s="2">
        <f t="shared" si="13"/>
        <v>0</v>
      </c>
      <c r="K278" s="2">
        <f t="shared" si="14"/>
        <v>0</v>
      </c>
    </row>
    <row r="279" spans="5:11">
      <c r="E279" t="s">
        <v>248</v>
      </c>
      <c r="F279" t="s">
        <v>580</v>
      </c>
      <c r="G279" s="13" t="str">
        <f t="shared" si="15"/>
        <v>18-01</v>
      </c>
      <c r="H279" s="1">
        <f>_xlfn.IFNA(VLOOKUP(Aragon!E279,'Kilter Holds'!$P$36:$AB$370,12,0),0)</f>
        <v>0</v>
      </c>
      <c r="J279" s="2">
        <f t="shared" si="13"/>
        <v>0</v>
      </c>
      <c r="K279" s="2">
        <f t="shared" si="14"/>
        <v>0</v>
      </c>
    </row>
    <row r="280" spans="5:11">
      <c r="E280" t="s">
        <v>248</v>
      </c>
      <c r="F280" t="s">
        <v>580</v>
      </c>
      <c r="G280" s="12" t="str">
        <f t="shared" si="15"/>
        <v>12-01</v>
      </c>
      <c r="H280" s="1">
        <f>_xlfn.IFNA(VLOOKUP(Aragon!E280,'Kilter Holds'!$P$36:$AB$370,13,0),0)</f>
        <v>0</v>
      </c>
      <c r="J280" s="2">
        <f t="shared" si="13"/>
        <v>0</v>
      </c>
      <c r="K280" s="2">
        <f t="shared" si="14"/>
        <v>0</v>
      </c>
    </row>
    <row r="281" spans="5:11">
      <c r="E281" t="s">
        <v>234</v>
      </c>
      <c r="F281" t="s">
        <v>581</v>
      </c>
      <c r="G281" s="5" t="str">
        <f t="shared" si="15"/>
        <v>11-12</v>
      </c>
      <c r="H281" s="1">
        <f>_xlfn.IFNA(VLOOKUP(Aragon!E281,'Kilter Holds'!$P$36:$AB$370,5,0),0)</f>
        <v>0</v>
      </c>
      <c r="J281" s="2">
        <f t="shared" si="13"/>
        <v>0</v>
      </c>
      <c r="K281" s="2">
        <f t="shared" si="14"/>
        <v>0</v>
      </c>
    </row>
    <row r="282" spans="5:11">
      <c r="E282" t="s">
        <v>234</v>
      </c>
      <c r="F282" t="s">
        <v>581</v>
      </c>
      <c r="G282" s="6" t="str">
        <f t="shared" si="15"/>
        <v>14-01</v>
      </c>
      <c r="H282" s="1">
        <f>_xlfn.IFNA(VLOOKUP(Aragon!E282,'Kilter Holds'!$P$36:$AB$370,6,0),0)</f>
        <v>0</v>
      </c>
      <c r="J282" s="2">
        <f t="shared" si="13"/>
        <v>0</v>
      </c>
      <c r="K282" s="2">
        <f t="shared" si="14"/>
        <v>0</v>
      </c>
    </row>
    <row r="283" spans="5:11">
      <c r="E283" t="s">
        <v>234</v>
      </c>
      <c r="F283" t="s">
        <v>581</v>
      </c>
      <c r="G283" s="7" t="str">
        <f t="shared" si="15"/>
        <v>15-12</v>
      </c>
      <c r="H283" s="1">
        <f>_xlfn.IFNA(VLOOKUP(Aragon!E283,'Kilter Holds'!$P$36:$AB$370,7,0),0)</f>
        <v>0</v>
      </c>
      <c r="J283" s="2">
        <f t="shared" si="13"/>
        <v>0</v>
      </c>
      <c r="K283" s="2">
        <f t="shared" si="14"/>
        <v>0</v>
      </c>
    </row>
    <row r="284" spans="5:11">
      <c r="E284" t="s">
        <v>234</v>
      </c>
      <c r="F284" t="s">
        <v>581</v>
      </c>
      <c r="G284" s="8" t="str">
        <f t="shared" si="15"/>
        <v>16-16</v>
      </c>
      <c r="H284" s="1">
        <f>_xlfn.IFNA(VLOOKUP(Aragon!E284,'Kilter Holds'!$P$36:$AB$370,8,0),0)</f>
        <v>0</v>
      </c>
      <c r="J284" s="2">
        <f t="shared" si="13"/>
        <v>0</v>
      </c>
      <c r="K284" s="2">
        <f t="shared" si="14"/>
        <v>0</v>
      </c>
    </row>
    <row r="285" spans="5:11">
      <c r="E285" t="s">
        <v>234</v>
      </c>
      <c r="F285" t="s">
        <v>581</v>
      </c>
      <c r="G285" s="9" t="str">
        <f t="shared" si="15"/>
        <v>13-01</v>
      </c>
      <c r="H285" s="1">
        <f>_xlfn.IFNA(VLOOKUP(Aragon!E285,'Kilter Holds'!$P$36:$AB$370,9,0),0)</f>
        <v>0</v>
      </c>
      <c r="J285" s="2">
        <f t="shared" si="13"/>
        <v>0</v>
      </c>
      <c r="K285" s="2">
        <f t="shared" si="14"/>
        <v>0</v>
      </c>
    </row>
    <row r="286" spans="5:11">
      <c r="E286" t="s">
        <v>234</v>
      </c>
      <c r="F286" t="s">
        <v>581</v>
      </c>
      <c r="G286" s="10" t="str">
        <f t="shared" si="15"/>
        <v>07-13</v>
      </c>
      <c r="H286" s="1">
        <f>_xlfn.IFNA(VLOOKUP(Aragon!E286,'Kilter Holds'!$P$36:$AB$370,10,0),0)</f>
        <v>0</v>
      </c>
      <c r="J286" s="2">
        <f t="shared" si="13"/>
        <v>0</v>
      </c>
      <c r="K286" s="2">
        <f t="shared" si="14"/>
        <v>0</v>
      </c>
    </row>
    <row r="287" spans="5:11">
      <c r="E287" t="s">
        <v>234</v>
      </c>
      <c r="F287" t="s">
        <v>581</v>
      </c>
      <c r="G287" s="11" t="str">
        <f t="shared" si="15"/>
        <v>11-25</v>
      </c>
      <c r="H287" s="1">
        <f>_xlfn.IFNA(VLOOKUP(Aragon!E287,'Kilter Holds'!$P$36:$AB$370,11,0),0)</f>
        <v>0</v>
      </c>
      <c r="J287" s="2">
        <f t="shared" si="13"/>
        <v>0</v>
      </c>
      <c r="K287" s="2">
        <f t="shared" si="14"/>
        <v>0</v>
      </c>
    </row>
    <row r="288" spans="5:11">
      <c r="E288" t="s">
        <v>234</v>
      </c>
      <c r="F288" t="s">
        <v>581</v>
      </c>
      <c r="G288" s="13" t="str">
        <f t="shared" si="15"/>
        <v>18-01</v>
      </c>
      <c r="H288" s="1">
        <f>_xlfn.IFNA(VLOOKUP(Aragon!E288,'Kilter Holds'!$P$36:$AB$370,12,0),0)</f>
        <v>0</v>
      </c>
      <c r="J288" s="2">
        <f t="shared" si="13"/>
        <v>0</v>
      </c>
      <c r="K288" s="2">
        <f t="shared" si="14"/>
        <v>0</v>
      </c>
    </row>
    <row r="289" spans="5:11">
      <c r="E289" t="s">
        <v>234</v>
      </c>
      <c r="F289" t="s">
        <v>581</v>
      </c>
      <c r="G289" s="12" t="str">
        <f t="shared" si="15"/>
        <v>12-01</v>
      </c>
      <c r="H289" s="1">
        <f>_xlfn.IFNA(VLOOKUP(Aragon!E289,'Kilter Holds'!$P$36:$AB$370,13,0),0)</f>
        <v>0</v>
      </c>
      <c r="J289" s="2">
        <f t="shared" si="13"/>
        <v>0</v>
      </c>
      <c r="K289" s="2">
        <f t="shared" si="14"/>
        <v>0</v>
      </c>
    </row>
    <row r="290" spans="5:11">
      <c r="E290" t="s">
        <v>276</v>
      </c>
      <c r="F290" t="s">
        <v>582</v>
      </c>
      <c r="G290" s="5" t="str">
        <f t="shared" si="15"/>
        <v>11-12</v>
      </c>
      <c r="H290" s="1">
        <f>_xlfn.IFNA(VLOOKUP(Aragon!E290,'Kilter Holds'!$P$36:$AB$370,5,0),0)</f>
        <v>0</v>
      </c>
      <c r="J290" s="2">
        <f t="shared" si="13"/>
        <v>0</v>
      </c>
      <c r="K290" s="2">
        <f t="shared" si="14"/>
        <v>0</v>
      </c>
    </row>
    <row r="291" spans="5:11">
      <c r="E291" t="s">
        <v>276</v>
      </c>
      <c r="F291" t="s">
        <v>582</v>
      </c>
      <c r="G291" s="6" t="str">
        <f t="shared" si="15"/>
        <v>14-01</v>
      </c>
      <c r="H291" s="1">
        <f>_xlfn.IFNA(VLOOKUP(Aragon!E291,'Kilter Holds'!$P$36:$AB$370,6,0),0)</f>
        <v>0</v>
      </c>
      <c r="J291" s="2">
        <f t="shared" si="13"/>
        <v>0</v>
      </c>
      <c r="K291" s="2">
        <f t="shared" si="14"/>
        <v>0</v>
      </c>
    </row>
    <row r="292" spans="5:11">
      <c r="E292" t="s">
        <v>276</v>
      </c>
      <c r="F292" t="s">
        <v>582</v>
      </c>
      <c r="G292" s="7" t="str">
        <f t="shared" si="15"/>
        <v>15-12</v>
      </c>
      <c r="H292" s="1">
        <f>_xlfn.IFNA(VLOOKUP(Aragon!E292,'Kilter Holds'!$P$36:$AB$370,7,0),0)</f>
        <v>0</v>
      </c>
      <c r="J292" s="2">
        <f t="shared" si="13"/>
        <v>0</v>
      </c>
      <c r="K292" s="2">
        <f t="shared" si="14"/>
        <v>0</v>
      </c>
    </row>
    <row r="293" spans="5:11">
      <c r="E293" t="s">
        <v>276</v>
      </c>
      <c r="F293" t="s">
        <v>582</v>
      </c>
      <c r="G293" s="8" t="str">
        <f t="shared" si="15"/>
        <v>16-16</v>
      </c>
      <c r="H293" s="1">
        <f>_xlfn.IFNA(VLOOKUP(Aragon!E293,'Kilter Holds'!$P$36:$AB$370,8,0),0)</f>
        <v>0</v>
      </c>
      <c r="J293" s="2">
        <f t="shared" si="13"/>
        <v>0</v>
      </c>
      <c r="K293" s="2">
        <f t="shared" si="14"/>
        <v>0</v>
      </c>
    </row>
    <row r="294" spans="5:11">
      <c r="E294" t="s">
        <v>276</v>
      </c>
      <c r="F294" t="s">
        <v>582</v>
      </c>
      <c r="G294" s="9" t="str">
        <f t="shared" si="15"/>
        <v>13-01</v>
      </c>
      <c r="H294" s="1">
        <f>_xlfn.IFNA(VLOOKUP(Aragon!E294,'Kilter Holds'!$P$36:$AB$370,9,0),0)</f>
        <v>0</v>
      </c>
      <c r="J294" s="2">
        <f t="shared" si="13"/>
        <v>0</v>
      </c>
      <c r="K294" s="2">
        <f t="shared" si="14"/>
        <v>0</v>
      </c>
    </row>
    <row r="295" spans="5:11">
      <c r="E295" t="s">
        <v>276</v>
      </c>
      <c r="F295" t="s">
        <v>582</v>
      </c>
      <c r="G295" s="10" t="str">
        <f t="shared" si="15"/>
        <v>07-13</v>
      </c>
      <c r="H295" s="1">
        <f>_xlfn.IFNA(VLOOKUP(Aragon!E295,'Kilter Holds'!$P$36:$AB$370,10,0),0)</f>
        <v>0</v>
      </c>
      <c r="J295" s="2">
        <f t="shared" si="13"/>
        <v>0</v>
      </c>
      <c r="K295" s="2">
        <f t="shared" si="14"/>
        <v>0</v>
      </c>
    </row>
    <row r="296" spans="5:11">
      <c r="E296" t="s">
        <v>276</v>
      </c>
      <c r="F296" t="s">
        <v>582</v>
      </c>
      <c r="G296" s="11" t="str">
        <f t="shared" si="15"/>
        <v>11-25</v>
      </c>
      <c r="H296" s="1">
        <f>_xlfn.IFNA(VLOOKUP(Aragon!E296,'Kilter Holds'!$P$36:$AB$370,11,0),0)</f>
        <v>0</v>
      </c>
      <c r="J296" s="2">
        <f t="shared" si="13"/>
        <v>0</v>
      </c>
      <c r="K296" s="2">
        <f t="shared" si="14"/>
        <v>0</v>
      </c>
    </row>
    <row r="297" spans="5:11">
      <c r="E297" t="s">
        <v>276</v>
      </c>
      <c r="F297" t="s">
        <v>582</v>
      </c>
      <c r="G297" s="13" t="str">
        <f t="shared" si="15"/>
        <v>18-01</v>
      </c>
      <c r="H297" s="1">
        <f>_xlfn.IFNA(VLOOKUP(Aragon!E297,'Kilter Holds'!$P$36:$AB$370,12,0),0)</f>
        <v>0</v>
      </c>
      <c r="J297" s="2">
        <f t="shared" si="13"/>
        <v>0</v>
      </c>
      <c r="K297" s="2">
        <f t="shared" si="14"/>
        <v>0</v>
      </c>
    </row>
    <row r="298" spans="5:11">
      <c r="E298" t="s">
        <v>276</v>
      </c>
      <c r="F298" t="s">
        <v>582</v>
      </c>
      <c r="G298" s="12" t="str">
        <f t="shared" si="15"/>
        <v>12-01</v>
      </c>
      <c r="H298" s="1">
        <f>_xlfn.IFNA(VLOOKUP(Aragon!E298,'Kilter Holds'!$P$36:$AB$370,13,0),0)</f>
        <v>0</v>
      </c>
      <c r="J298" s="2">
        <f t="shared" si="13"/>
        <v>0</v>
      </c>
      <c r="K298" s="2">
        <f t="shared" si="14"/>
        <v>0</v>
      </c>
    </row>
    <row r="299" spans="5:11">
      <c r="E299" t="s">
        <v>235</v>
      </c>
      <c r="F299" t="s">
        <v>583</v>
      </c>
      <c r="G299" s="5" t="str">
        <f t="shared" si="15"/>
        <v>11-12</v>
      </c>
      <c r="H299" s="1">
        <f>_xlfn.IFNA(VLOOKUP(Aragon!E299,'Kilter Holds'!$P$36:$AB$370,5,0),0)</f>
        <v>0</v>
      </c>
      <c r="J299" s="2">
        <f t="shared" si="13"/>
        <v>0</v>
      </c>
      <c r="K299" s="2">
        <f t="shared" si="14"/>
        <v>0</v>
      </c>
    </row>
    <row r="300" spans="5:11">
      <c r="E300" t="s">
        <v>235</v>
      </c>
      <c r="F300" t="s">
        <v>583</v>
      </c>
      <c r="G300" s="6" t="str">
        <f t="shared" si="15"/>
        <v>14-01</v>
      </c>
      <c r="H300" s="1">
        <f>_xlfn.IFNA(VLOOKUP(Aragon!E300,'Kilter Holds'!$P$36:$AB$370,6,0),0)</f>
        <v>0</v>
      </c>
      <c r="J300" s="2">
        <f t="shared" si="13"/>
        <v>0</v>
      </c>
      <c r="K300" s="2">
        <f t="shared" si="14"/>
        <v>0</v>
      </c>
    </row>
    <row r="301" spans="5:11">
      <c r="E301" t="s">
        <v>235</v>
      </c>
      <c r="F301" t="s">
        <v>583</v>
      </c>
      <c r="G301" s="7" t="str">
        <f t="shared" si="15"/>
        <v>15-12</v>
      </c>
      <c r="H301" s="1">
        <f>_xlfn.IFNA(VLOOKUP(Aragon!E301,'Kilter Holds'!$P$36:$AB$370,7,0),0)</f>
        <v>0</v>
      </c>
      <c r="J301" s="2">
        <f t="shared" si="13"/>
        <v>0</v>
      </c>
      <c r="K301" s="2">
        <f t="shared" si="14"/>
        <v>0</v>
      </c>
    </row>
    <row r="302" spans="5:11">
      <c r="E302" t="s">
        <v>235</v>
      </c>
      <c r="F302" t="s">
        <v>583</v>
      </c>
      <c r="G302" s="8" t="str">
        <f t="shared" si="15"/>
        <v>16-16</v>
      </c>
      <c r="H302" s="1">
        <f>_xlfn.IFNA(VLOOKUP(Aragon!E302,'Kilter Holds'!$P$36:$AB$370,8,0),0)</f>
        <v>0</v>
      </c>
      <c r="J302" s="2">
        <f t="shared" si="13"/>
        <v>0</v>
      </c>
      <c r="K302" s="2">
        <f t="shared" si="14"/>
        <v>0</v>
      </c>
    </row>
    <row r="303" spans="5:11">
      <c r="E303" t="s">
        <v>235</v>
      </c>
      <c r="F303" t="s">
        <v>583</v>
      </c>
      <c r="G303" s="9" t="str">
        <f t="shared" si="15"/>
        <v>13-01</v>
      </c>
      <c r="H303" s="1">
        <f>_xlfn.IFNA(VLOOKUP(Aragon!E303,'Kilter Holds'!$P$36:$AB$370,9,0),0)</f>
        <v>0</v>
      </c>
      <c r="J303" s="2">
        <f t="shared" si="13"/>
        <v>0</v>
      </c>
      <c r="K303" s="2">
        <f t="shared" si="14"/>
        <v>0</v>
      </c>
    </row>
    <row r="304" spans="5:11">
      <c r="E304" t="s">
        <v>235</v>
      </c>
      <c r="F304" t="s">
        <v>583</v>
      </c>
      <c r="G304" s="10" t="str">
        <f t="shared" si="15"/>
        <v>07-13</v>
      </c>
      <c r="H304" s="1">
        <f>_xlfn.IFNA(VLOOKUP(Aragon!E304,'Kilter Holds'!$P$36:$AB$370,10,0),0)</f>
        <v>0</v>
      </c>
      <c r="J304" s="2">
        <f t="shared" si="13"/>
        <v>0</v>
      </c>
      <c r="K304" s="2">
        <f t="shared" si="14"/>
        <v>0</v>
      </c>
    </row>
    <row r="305" spans="5:11">
      <c r="E305" t="s">
        <v>235</v>
      </c>
      <c r="F305" t="s">
        <v>583</v>
      </c>
      <c r="G305" s="11" t="str">
        <f t="shared" si="15"/>
        <v>11-25</v>
      </c>
      <c r="H305" s="1">
        <f>_xlfn.IFNA(VLOOKUP(Aragon!E305,'Kilter Holds'!$P$36:$AB$370,11,0),0)</f>
        <v>0</v>
      </c>
      <c r="J305" s="2">
        <f t="shared" si="13"/>
        <v>0</v>
      </c>
      <c r="K305" s="2">
        <f t="shared" si="14"/>
        <v>0</v>
      </c>
    </row>
    <row r="306" spans="5:11">
      <c r="E306" t="s">
        <v>235</v>
      </c>
      <c r="F306" t="s">
        <v>583</v>
      </c>
      <c r="G306" s="13" t="str">
        <f t="shared" si="15"/>
        <v>18-01</v>
      </c>
      <c r="H306" s="1">
        <f>_xlfn.IFNA(VLOOKUP(Aragon!E306,'Kilter Holds'!$P$36:$AB$370,12,0),0)</f>
        <v>0</v>
      </c>
      <c r="J306" s="2">
        <f t="shared" si="13"/>
        <v>0</v>
      </c>
      <c r="K306" s="2">
        <f t="shared" si="14"/>
        <v>0</v>
      </c>
    </row>
    <row r="307" spans="5:11">
      <c r="E307" t="s">
        <v>235</v>
      </c>
      <c r="F307" t="s">
        <v>583</v>
      </c>
      <c r="G307" s="12" t="str">
        <f t="shared" si="15"/>
        <v>12-01</v>
      </c>
      <c r="H307" s="1">
        <f>_xlfn.IFNA(VLOOKUP(Aragon!E307,'Kilter Holds'!$P$36:$AB$370,13,0),0)</f>
        <v>0</v>
      </c>
      <c r="J307" s="2">
        <f t="shared" si="13"/>
        <v>0</v>
      </c>
      <c r="K307" s="2">
        <f t="shared" si="14"/>
        <v>0</v>
      </c>
    </row>
    <row r="308" spans="5:11">
      <c r="E308" t="s">
        <v>277</v>
      </c>
      <c r="F308" t="s">
        <v>584</v>
      </c>
      <c r="G308" s="5" t="str">
        <f t="shared" si="15"/>
        <v>11-12</v>
      </c>
      <c r="H308" s="1">
        <f>_xlfn.IFNA(VLOOKUP(Aragon!E308,'Kilter Holds'!$P$36:$AB$370,5,0),0)</f>
        <v>0</v>
      </c>
      <c r="J308" s="2">
        <f t="shared" si="13"/>
        <v>0</v>
      </c>
      <c r="K308" s="2">
        <f t="shared" si="14"/>
        <v>0</v>
      </c>
    </row>
    <row r="309" spans="5:11">
      <c r="E309" t="s">
        <v>277</v>
      </c>
      <c r="F309" t="s">
        <v>584</v>
      </c>
      <c r="G309" s="6" t="str">
        <f t="shared" si="15"/>
        <v>14-01</v>
      </c>
      <c r="H309" s="1">
        <f>_xlfn.IFNA(VLOOKUP(Aragon!E309,'Kilter Holds'!$P$36:$AB$370,6,0),0)</f>
        <v>0</v>
      </c>
      <c r="J309" s="2">
        <f t="shared" si="13"/>
        <v>0</v>
      </c>
      <c r="K309" s="2">
        <f t="shared" si="14"/>
        <v>0</v>
      </c>
    </row>
    <row r="310" spans="5:11">
      <c r="E310" t="s">
        <v>277</v>
      </c>
      <c r="F310" t="s">
        <v>584</v>
      </c>
      <c r="G310" s="7" t="str">
        <f t="shared" si="15"/>
        <v>15-12</v>
      </c>
      <c r="H310" s="1">
        <f>_xlfn.IFNA(VLOOKUP(Aragon!E310,'Kilter Holds'!$P$36:$AB$370,7,0),0)</f>
        <v>0</v>
      </c>
      <c r="J310" s="2">
        <f t="shared" si="13"/>
        <v>0</v>
      </c>
      <c r="K310" s="2">
        <f t="shared" si="14"/>
        <v>0</v>
      </c>
    </row>
    <row r="311" spans="5:11">
      <c r="E311" t="s">
        <v>277</v>
      </c>
      <c r="F311" t="s">
        <v>584</v>
      </c>
      <c r="G311" s="8" t="str">
        <f t="shared" si="15"/>
        <v>16-16</v>
      </c>
      <c r="H311" s="1">
        <f>_xlfn.IFNA(VLOOKUP(Aragon!E311,'Kilter Holds'!$P$36:$AB$370,8,0),0)</f>
        <v>0</v>
      </c>
      <c r="J311" s="2">
        <f t="shared" si="13"/>
        <v>0</v>
      </c>
      <c r="K311" s="2">
        <f t="shared" si="14"/>
        <v>0</v>
      </c>
    </row>
    <row r="312" spans="5:11">
      <c r="E312" t="s">
        <v>277</v>
      </c>
      <c r="F312" t="s">
        <v>584</v>
      </c>
      <c r="G312" s="9" t="str">
        <f t="shared" si="15"/>
        <v>13-01</v>
      </c>
      <c r="H312" s="1">
        <f>_xlfn.IFNA(VLOOKUP(Aragon!E312,'Kilter Holds'!$P$36:$AB$370,9,0),0)</f>
        <v>0</v>
      </c>
      <c r="J312" s="2">
        <f t="shared" si="13"/>
        <v>0</v>
      </c>
      <c r="K312" s="2">
        <f t="shared" si="14"/>
        <v>0</v>
      </c>
    </row>
    <row r="313" spans="5:11">
      <c r="E313" t="s">
        <v>277</v>
      </c>
      <c r="F313" t="s">
        <v>584</v>
      </c>
      <c r="G313" s="10" t="str">
        <f t="shared" si="15"/>
        <v>07-13</v>
      </c>
      <c r="H313" s="1">
        <f>_xlfn.IFNA(VLOOKUP(Aragon!E313,'Kilter Holds'!$P$36:$AB$370,10,0),0)</f>
        <v>0</v>
      </c>
      <c r="J313" s="2">
        <f t="shared" si="13"/>
        <v>0</v>
      </c>
      <c r="K313" s="2">
        <f t="shared" si="14"/>
        <v>0</v>
      </c>
    </row>
    <row r="314" spans="5:11">
      <c r="E314" t="s">
        <v>277</v>
      </c>
      <c r="F314" t="s">
        <v>584</v>
      </c>
      <c r="G314" s="11" t="str">
        <f t="shared" si="15"/>
        <v>11-25</v>
      </c>
      <c r="H314" s="1">
        <f>_xlfn.IFNA(VLOOKUP(Aragon!E314,'Kilter Holds'!$P$36:$AB$370,11,0),0)</f>
        <v>0</v>
      </c>
      <c r="J314" s="2">
        <f t="shared" ref="J314:J377" si="16">H314*I314</f>
        <v>0</v>
      </c>
      <c r="K314" s="2">
        <f t="shared" si="14"/>
        <v>0</v>
      </c>
    </row>
    <row r="315" spans="5:11">
      <c r="E315" t="s">
        <v>277</v>
      </c>
      <c r="F315" t="s">
        <v>584</v>
      </c>
      <c r="G315" s="13" t="str">
        <f t="shared" si="15"/>
        <v>18-01</v>
      </c>
      <c r="H315" s="1">
        <f>_xlfn.IFNA(VLOOKUP(Aragon!E315,'Kilter Holds'!$P$36:$AB$370,12,0),0)</f>
        <v>0</v>
      </c>
      <c r="J315" s="2">
        <f t="shared" si="16"/>
        <v>0</v>
      </c>
      <c r="K315" s="2">
        <f t="shared" si="14"/>
        <v>0</v>
      </c>
    </row>
    <row r="316" spans="5:11">
      <c r="E316" t="s">
        <v>277</v>
      </c>
      <c r="F316" t="s">
        <v>584</v>
      </c>
      <c r="G316" s="12" t="str">
        <f t="shared" si="15"/>
        <v>12-01</v>
      </c>
      <c r="H316" s="1">
        <f>_xlfn.IFNA(VLOOKUP(Aragon!E316,'Kilter Holds'!$P$36:$AB$370,13,0),0)</f>
        <v>0</v>
      </c>
      <c r="J316" s="2">
        <f t="shared" si="16"/>
        <v>0</v>
      </c>
      <c r="K316" s="2">
        <f t="shared" si="14"/>
        <v>0</v>
      </c>
    </row>
    <row r="317" spans="5:11">
      <c r="E317" t="s">
        <v>182</v>
      </c>
      <c r="F317" t="s">
        <v>585</v>
      </c>
      <c r="G317" s="5" t="str">
        <f t="shared" si="15"/>
        <v>11-12</v>
      </c>
      <c r="H317" s="1">
        <f>_xlfn.IFNA(VLOOKUP(Aragon!E317,'Kilter Holds'!$P$36:$AB$370,5,0),0)</f>
        <v>0</v>
      </c>
      <c r="J317" s="2">
        <f t="shared" si="16"/>
        <v>0</v>
      </c>
      <c r="K317" s="2">
        <f t="shared" si="14"/>
        <v>0</v>
      </c>
    </row>
    <row r="318" spans="5:11">
      <c r="E318" t="s">
        <v>182</v>
      </c>
      <c r="F318" t="s">
        <v>585</v>
      </c>
      <c r="G318" s="6" t="str">
        <f t="shared" si="15"/>
        <v>14-01</v>
      </c>
      <c r="H318" s="1">
        <f>_xlfn.IFNA(VLOOKUP(Aragon!E318,'Kilter Holds'!$P$36:$AB$370,6,0),0)</f>
        <v>0</v>
      </c>
      <c r="J318" s="2">
        <f t="shared" si="16"/>
        <v>0</v>
      </c>
      <c r="K318" s="2">
        <f t="shared" si="14"/>
        <v>0</v>
      </c>
    </row>
    <row r="319" spans="5:11">
      <c r="E319" t="s">
        <v>182</v>
      </c>
      <c r="F319" t="s">
        <v>585</v>
      </c>
      <c r="G319" s="7" t="str">
        <f t="shared" si="15"/>
        <v>15-12</v>
      </c>
      <c r="H319" s="1">
        <f>_xlfn.IFNA(VLOOKUP(Aragon!E319,'Kilter Holds'!$P$36:$AB$370,7,0),0)</f>
        <v>0</v>
      </c>
      <c r="J319" s="2">
        <f t="shared" si="16"/>
        <v>0</v>
      </c>
      <c r="K319" s="2">
        <f t="shared" si="14"/>
        <v>0</v>
      </c>
    </row>
    <row r="320" spans="5:11">
      <c r="E320" t="s">
        <v>182</v>
      </c>
      <c r="F320" t="s">
        <v>585</v>
      </c>
      <c r="G320" s="8" t="str">
        <f t="shared" si="15"/>
        <v>16-16</v>
      </c>
      <c r="H320" s="1">
        <f>_xlfn.IFNA(VLOOKUP(Aragon!E320,'Kilter Holds'!$P$36:$AB$370,8,0),0)</f>
        <v>0</v>
      </c>
      <c r="J320" s="2">
        <f t="shared" si="16"/>
        <v>0</v>
      </c>
      <c r="K320" s="2">
        <f t="shared" si="14"/>
        <v>0</v>
      </c>
    </row>
    <row r="321" spans="1:11">
      <c r="E321" t="s">
        <v>182</v>
      </c>
      <c r="F321" t="s">
        <v>585</v>
      </c>
      <c r="G321" s="9" t="str">
        <f t="shared" si="15"/>
        <v>13-01</v>
      </c>
      <c r="H321" s="1">
        <f>_xlfn.IFNA(VLOOKUP(Aragon!E321,'Kilter Holds'!$P$36:$AB$370,9,0),0)</f>
        <v>0</v>
      </c>
      <c r="J321" s="2">
        <f t="shared" si="16"/>
        <v>0</v>
      </c>
      <c r="K321" s="2">
        <f t="shared" si="14"/>
        <v>0</v>
      </c>
    </row>
    <row r="322" spans="1:11">
      <c r="E322" t="s">
        <v>182</v>
      </c>
      <c r="F322" t="s">
        <v>585</v>
      </c>
      <c r="G322" s="10" t="str">
        <f t="shared" si="15"/>
        <v>07-13</v>
      </c>
      <c r="H322" s="1">
        <f>_xlfn.IFNA(VLOOKUP(Aragon!E322,'Kilter Holds'!$P$36:$AB$370,10,0),0)</f>
        <v>0</v>
      </c>
      <c r="J322" s="2">
        <f t="shared" si="16"/>
        <v>0</v>
      </c>
      <c r="K322" s="2">
        <f t="shared" si="14"/>
        <v>0</v>
      </c>
    </row>
    <row r="323" spans="1:11">
      <c r="E323" t="s">
        <v>182</v>
      </c>
      <c r="F323" t="s">
        <v>585</v>
      </c>
      <c r="G323" s="11" t="str">
        <f t="shared" si="15"/>
        <v>11-25</v>
      </c>
      <c r="H323" s="1">
        <f>_xlfn.IFNA(VLOOKUP(Aragon!E323,'Kilter Holds'!$P$36:$AB$370,11,0),0)</f>
        <v>0</v>
      </c>
      <c r="J323" s="2">
        <f t="shared" si="16"/>
        <v>0</v>
      </c>
      <c r="K323" s="2">
        <f t="shared" si="14"/>
        <v>0</v>
      </c>
    </row>
    <row r="324" spans="1:11">
      <c r="E324" t="s">
        <v>182</v>
      </c>
      <c r="F324" t="s">
        <v>585</v>
      </c>
      <c r="G324" s="13" t="str">
        <f t="shared" si="15"/>
        <v>18-01</v>
      </c>
      <c r="H324" s="1">
        <f>_xlfn.IFNA(VLOOKUP(Aragon!E324,'Kilter Holds'!$P$36:$AB$370,12,0),0)</f>
        <v>0</v>
      </c>
      <c r="J324" s="2">
        <f t="shared" si="16"/>
        <v>0</v>
      </c>
      <c r="K324" s="2">
        <f t="shared" si="14"/>
        <v>0</v>
      </c>
    </row>
    <row r="325" spans="1:11">
      <c r="E325" t="s">
        <v>182</v>
      </c>
      <c r="F325" t="s">
        <v>585</v>
      </c>
      <c r="G325" s="12" t="str">
        <f t="shared" si="15"/>
        <v>12-01</v>
      </c>
      <c r="H325" s="1">
        <f>_xlfn.IFNA(VLOOKUP(Aragon!E325,'Kilter Holds'!$P$36:$AB$370,13,0),0)</f>
        <v>0</v>
      </c>
      <c r="J325" s="2">
        <f t="shared" si="16"/>
        <v>0</v>
      </c>
      <c r="K325" s="2">
        <f t="shared" si="14"/>
        <v>0</v>
      </c>
    </row>
    <row r="326" spans="1:11">
      <c r="E326" t="s">
        <v>183</v>
      </c>
      <c r="F326" t="s">
        <v>586</v>
      </c>
      <c r="G326" s="5" t="str">
        <f t="shared" si="15"/>
        <v>11-12</v>
      </c>
      <c r="H326" s="1">
        <f>_xlfn.IFNA(VLOOKUP(Aragon!E326,'Kilter Holds'!$P$36:$AB$370,5,0),0)</f>
        <v>0</v>
      </c>
      <c r="J326" s="2">
        <f t="shared" si="16"/>
        <v>0</v>
      </c>
      <c r="K326" s="2">
        <f t="shared" si="14"/>
        <v>0</v>
      </c>
    </row>
    <row r="327" spans="1:11">
      <c r="E327" t="s">
        <v>183</v>
      </c>
      <c r="F327" t="s">
        <v>586</v>
      </c>
      <c r="G327" s="6" t="str">
        <f t="shared" si="15"/>
        <v>14-01</v>
      </c>
      <c r="H327" s="1">
        <f>_xlfn.IFNA(VLOOKUP(Aragon!E327,'Kilter Holds'!$P$36:$AB$370,6,0),0)</f>
        <v>0</v>
      </c>
      <c r="J327" s="2">
        <f t="shared" si="16"/>
        <v>0</v>
      </c>
      <c r="K327" s="2">
        <f t="shared" si="14"/>
        <v>0</v>
      </c>
    </row>
    <row r="328" spans="1:11">
      <c r="E328" t="s">
        <v>183</v>
      </c>
      <c r="F328" t="s">
        <v>586</v>
      </c>
      <c r="G328" s="7" t="str">
        <f t="shared" si="15"/>
        <v>15-12</v>
      </c>
      <c r="H328" s="1">
        <f>_xlfn.IFNA(VLOOKUP(Aragon!E328,'Kilter Holds'!$P$36:$AB$370,7,0),0)</f>
        <v>0</v>
      </c>
      <c r="J328" s="2">
        <f t="shared" si="16"/>
        <v>0</v>
      </c>
      <c r="K328" s="2">
        <f t="shared" si="14"/>
        <v>0</v>
      </c>
    </row>
    <row r="329" spans="1:11">
      <c r="E329" t="s">
        <v>183</v>
      </c>
      <c r="F329" t="s">
        <v>586</v>
      </c>
      <c r="G329" s="8" t="str">
        <f t="shared" si="15"/>
        <v>16-16</v>
      </c>
      <c r="H329" s="1">
        <f>_xlfn.IFNA(VLOOKUP(Aragon!E329,'Kilter Holds'!$P$36:$AB$370,8,0),0)</f>
        <v>0</v>
      </c>
      <c r="J329" s="2">
        <f t="shared" si="16"/>
        <v>0</v>
      </c>
      <c r="K329" s="2">
        <f t="shared" si="14"/>
        <v>0</v>
      </c>
    </row>
    <row r="330" spans="1:11">
      <c r="E330" t="s">
        <v>183</v>
      </c>
      <c r="F330" t="s">
        <v>586</v>
      </c>
      <c r="G330" s="9" t="str">
        <f t="shared" si="15"/>
        <v>13-01</v>
      </c>
      <c r="H330" s="1">
        <f>_xlfn.IFNA(VLOOKUP(Aragon!E330,'Kilter Holds'!$P$36:$AB$370,9,0),0)</f>
        <v>0</v>
      </c>
      <c r="J330" s="2">
        <f t="shared" si="16"/>
        <v>0</v>
      </c>
      <c r="K330" s="2">
        <f t="shared" si="14"/>
        <v>0</v>
      </c>
    </row>
    <row r="331" spans="1:11">
      <c r="E331" t="s">
        <v>183</v>
      </c>
      <c r="F331" t="s">
        <v>586</v>
      </c>
      <c r="G331" s="10" t="str">
        <f t="shared" si="15"/>
        <v>07-13</v>
      </c>
      <c r="H331" s="1">
        <f>_xlfn.IFNA(VLOOKUP(Aragon!E331,'Kilter Holds'!$P$36:$AB$370,10,0),0)</f>
        <v>0</v>
      </c>
      <c r="J331" s="2">
        <f t="shared" si="16"/>
        <v>0</v>
      </c>
      <c r="K331" s="2">
        <f t="shared" si="14"/>
        <v>0</v>
      </c>
    </row>
    <row r="332" spans="1:11">
      <c r="E332" t="s">
        <v>183</v>
      </c>
      <c r="F332" t="s">
        <v>586</v>
      </c>
      <c r="G332" s="11" t="str">
        <f t="shared" si="15"/>
        <v>11-25</v>
      </c>
      <c r="H332" s="1">
        <f>_xlfn.IFNA(VLOOKUP(Aragon!E332,'Kilter Holds'!$P$36:$AB$370,11,0),0)</f>
        <v>0</v>
      </c>
      <c r="J332" s="2">
        <f t="shared" si="16"/>
        <v>0</v>
      </c>
      <c r="K332" s="2">
        <f t="shared" ref="K332:K395" si="17">IF($V$11="Y",J332*0.05,0)</f>
        <v>0</v>
      </c>
    </row>
    <row r="333" spans="1:11">
      <c r="E333" t="s">
        <v>183</v>
      </c>
      <c r="F333" t="s">
        <v>586</v>
      </c>
      <c r="G333" s="13" t="str">
        <f t="shared" ref="G333:G396" si="18">G324</f>
        <v>18-01</v>
      </c>
      <c r="H333" s="1">
        <f>_xlfn.IFNA(VLOOKUP(Aragon!E333,'Kilter Holds'!$P$36:$AB$370,12,0),0)</f>
        <v>0</v>
      </c>
      <c r="J333" s="2">
        <f t="shared" si="16"/>
        <v>0</v>
      </c>
      <c r="K333" s="2">
        <f t="shared" si="17"/>
        <v>0</v>
      </c>
    </row>
    <row r="334" spans="1:11">
      <c r="E334" t="s">
        <v>183</v>
      </c>
      <c r="F334" t="s">
        <v>586</v>
      </c>
      <c r="G334" s="12" t="str">
        <f t="shared" si="18"/>
        <v>12-01</v>
      </c>
      <c r="H334" s="1">
        <f>_xlfn.IFNA(VLOOKUP(Aragon!E334,'Kilter Holds'!$P$36:$AB$370,13,0),0)</f>
        <v>0</v>
      </c>
      <c r="J334" s="2">
        <f t="shared" si="16"/>
        <v>0</v>
      </c>
      <c r="K334" s="2">
        <f t="shared" si="17"/>
        <v>0</v>
      </c>
    </row>
    <row r="335" spans="1:11">
      <c r="A335" s="3" t="s">
        <v>2173</v>
      </c>
      <c r="E335" t="s">
        <v>331</v>
      </c>
      <c r="F335" t="s">
        <v>587</v>
      </c>
      <c r="G335" s="5" t="str">
        <f t="shared" si="18"/>
        <v>11-12</v>
      </c>
      <c r="H335" s="1">
        <f>_xlfn.IFNA(VLOOKUP(E335,'Kilter Holds'!$P$36:$AB$370,5,0),0)+_xlfn.IFNA(VLOOKUP(A335,'Kilter Holds'!$P$36:$AB$370,5,0),0)</f>
        <v>0</v>
      </c>
      <c r="J335" s="2">
        <f t="shared" si="16"/>
        <v>0</v>
      </c>
      <c r="K335" s="2">
        <f t="shared" si="17"/>
        <v>0</v>
      </c>
    </row>
    <row r="336" spans="1:11">
      <c r="A336" s="3" t="s">
        <v>2173</v>
      </c>
      <c r="E336" t="s">
        <v>331</v>
      </c>
      <c r="F336" t="s">
        <v>587</v>
      </c>
      <c r="G336" s="6" t="str">
        <f t="shared" si="18"/>
        <v>14-01</v>
      </c>
      <c r="H336" s="1">
        <f>_xlfn.IFNA(VLOOKUP(E336,'Kilter Holds'!$P$36:$AB$370,6,0),0)+_xlfn.IFNA(VLOOKUP(A336,'Kilter Holds'!$P$36:$AB$370,6,0),0)</f>
        <v>0</v>
      </c>
      <c r="J336" s="2">
        <f t="shared" si="16"/>
        <v>0</v>
      </c>
      <c r="K336" s="2">
        <f t="shared" si="17"/>
        <v>0</v>
      </c>
    </row>
    <row r="337" spans="1:11">
      <c r="A337" s="3" t="s">
        <v>2173</v>
      </c>
      <c r="E337" t="s">
        <v>331</v>
      </c>
      <c r="F337" t="s">
        <v>587</v>
      </c>
      <c r="G337" s="7" t="str">
        <f t="shared" si="18"/>
        <v>15-12</v>
      </c>
      <c r="H337" s="1">
        <f>_xlfn.IFNA(VLOOKUP(E337,'Kilter Holds'!$P$36:$AB$370,7,0),0)+_xlfn.IFNA(VLOOKUP(A337,'Kilter Holds'!$P$36:$AB$370,7,0),0)</f>
        <v>0</v>
      </c>
      <c r="J337" s="2">
        <f t="shared" si="16"/>
        <v>0</v>
      </c>
      <c r="K337" s="2">
        <f t="shared" si="17"/>
        <v>0</v>
      </c>
    </row>
    <row r="338" spans="1:11">
      <c r="A338" s="3" t="s">
        <v>2173</v>
      </c>
      <c r="E338" t="s">
        <v>331</v>
      </c>
      <c r="F338" t="s">
        <v>587</v>
      </c>
      <c r="G338" s="8" t="str">
        <f t="shared" si="18"/>
        <v>16-16</v>
      </c>
      <c r="H338" s="1">
        <f>_xlfn.IFNA(VLOOKUP(E338,'Kilter Holds'!$P$36:$AB$370,8,0),0)+_xlfn.IFNA(VLOOKUP(A338,'Kilter Holds'!$P$36:$AB$370,8,0),0)</f>
        <v>0</v>
      </c>
      <c r="J338" s="2">
        <f t="shared" si="16"/>
        <v>0</v>
      </c>
      <c r="K338" s="2">
        <f t="shared" si="17"/>
        <v>0</v>
      </c>
    </row>
    <row r="339" spans="1:11">
      <c r="A339" s="3" t="s">
        <v>2173</v>
      </c>
      <c r="E339" t="s">
        <v>331</v>
      </c>
      <c r="F339" t="s">
        <v>587</v>
      </c>
      <c r="G339" s="9" t="str">
        <f t="shared" si="18"/>
        <v>13-01</v>
      </c>
      <c r="H339" s="1">
        <f>_xlfn.IFNA(VLOOKUP(E339,'Kilter Holds'!$P$36:$AB$370,9,0),0)+_xlfn.IFNA(VLOOKUP(A339,'Kilter Holds'!$P$36:$AB$370,9,0),0)</f>
        <v>0</v>
      </c>
      <c r="J339" s="2">
        <f t="shared" si="16"/>
        <v>0</v>
      </c>
      <c r="K339" s="2">
        <f t="shared" si="17"/>
        <v>0</v>
      </c>
    </row>
    <row r="340" spans="1:11">
      <c r="A340" s="3" t="s">
        <v>2173</v>
      </c>
      <c r="E340" t="s">
        <v>331</v>
      </c>
      <c r="F340" t="s">
        <v>587</v>
      </c>
      <c r="G340" s="10" t="str">
        <f t="shared" si="18"/>
        <v>07-13</v>
      </c>
      <c r="H340" s="1">
        <f>_xlfn.IFNA(VLOOKUP(E340,'Kilter Holds'!$P$36:$AB$370,10,0),0)+_xlfn.IFNA(VLOOKUP(A340,'Kilter Holds'!$P$36:$AB$370,10,0),0)</f>
        <v>0</v>
      </c>
      <c r="J340" s="2">
        <f t="shared" si="16"/>
        <v>0</v>
      </c>
      <c r="K340" s="2">
        <f t="shared" si="17"/>
        <v>0</v>
      </c>
    </row>
    <row r="341" spans="1:11">
      <c r="A341" s="3" t="s">
        <v>2173</v>
      </c>
      <c r="E341" t="s">
        <v>331</v>
      </c>
      <c r="F341" t="s">
        <v>587</v>
      </c>
      <c r="G341" s="11" t="str">
        <f t="shared" si="18"/>
        <v>11-25</v>
      </c>
      <c r="H341" s="1">
        <f>_xlfn.IFNA(VLOOKUP(E341,'Kilter Holds'!$P$36:$AB$370,11,0),0)+_xlfn.IFNA(VLOOKUP(A341,'Kilter Holds'!$P$36:$AB$370,11,0),0)</f>
        <v>0</v>
      </c>
      <c r="J341" s="2">
        <f t="shared" si="16"/>
        <v>0</v>
      </c>
      <c r="K341" s="2">
        <f t="shared" si="17"/>
        <v>0</v>
      </c>
    </row>
    <row r="342" spans="1:11">
      <c r="A342" s="3" t="s">
        <v>2173</v>
      </c>
      <c r="E342" t="s">
        <v>331</v>
      </c>
      <c r="F342" t="s">
        <v>587</v>
      </c>
      <c r="G342" s="13" t="str">
        <f t="shared" si="18"/>
        <v>18-01</v>
      </c>
      <c r="H342" s="1">
        <f>_xlfn.IFNA(VLOOKUP(E342,'Kilter Holds'!$P$36:$AB$370,12,0),0)+_xlfn.IFNA(VLOOKUP(A342,'Kilter Holds'!$P$36:$AB$370,12,0),0)</f>
        <v>0</v>
      </c>
      <c r="J342" s="2">
        <f t="shared" si="16"/>
        <v>0</v>
      </c>
      <c r="K342" s="2">
        <f t="shared" si="17"/>
        <v>0</v>
      </c>
    </row>
    <row r="343" spans="1:11">
      <c r="A343" s="3" t="s">
        <v>2173</v>
      </c>
      <c r="E343" t="s">
        <v>331</v>
      </c>
      <c r="F343" t="s">
        <v>587</v>
      </c>
      <c r="G343" s="12" t="str">
        <f t="shared" si="18"/>
        <v>12-01</v>
      </c>
      <c r="H343" s="1">
        <f>_xlfn.IFNA(VLOOKUP(E343,'Kilter Holds'!$P$36:$AB$370,13,0),0)+_xlfn.IFNA(VLOOKUP(A343,'Kilter Holds'!$P$36:$AB$370,13,0),0)</f>
        <v>0</v>
      </c>
      <c r="J343" s="2">
        <f t="shared" si="16"/>
        <v>0</v>
      </c>
      <c r="K343" s="2">
        <f t="shared" si="17"/>
        <v>0</v>
      </c>
    </row>
    <row r="344" spans="1:11">
      <c r="E344" t="s">
        <v>214</v>
      </c>
      <c r="F344" t="s">
        <v>588</v>
      </c>
      <c r="G344" s="5" t="str">
        <f t="shared" si="18"/>
        <v>11-12</v>
      </c>
      <c r="H344" s="1">
        <f>_xlfn.IFNA(VLOOKUP(Aragon!E344,'Kilter Holds'!$P$36:$AB$370,5,0),0)</f>
        <v>0</v>
      </c>
      <c r="J344" s="2">
        <f t="shared" si="16"/>
        <v>0</v>
      </c>
      <c r="K344" s="2">
        <f t="shared" si="17"/>
        <v>0</v>
      </c>
    </row>
    <row r="345" spans="1:11">
      <c r="E345" t="s">
        <v>214</v>
      </c>
      <c r="F345" t="s">
        <v>588</v>
      </c>
      <c r="G345" s="6" t="str">
        <f t="shared" si="18"/>
        <v>14-01</v>
      </c>
      <c r="H345" s="1">
        <f>_xlfn.IFNA(VLOOKUP(Aragon!E345,'Kilter Holds'!$P$36:$AB$370,6,0),0)</f>
        <v>0</v>
      </c>
      <c r="J345" s="2">
        <f t="shared" si="16"/>
        <v>0</v>
      </c>
      <c r="K345" s="2">
        <f t="shared" si="17"/>
        <v>0</v>
      </c>
    </row>
    <row r="346" spans="1:11">
      <c r="E346" t="s">
        <v>214</v>
      </c>
      <c r="F346" t="s">
        <v>588</v>
      </c>
      <c r="G346" s="7" t="str">
        <f t="shared" si="18"/>
        <v>15-12</v>
      </c>
      <c r="H346" s="1">
        <f>_xlfn.IFNA(VLOOKUP(Aragon!E346,'Kilter Holds'!$P$36:$AB$370,7,0),0)</f>
        <v>0</v>
      </c>
      <c r="J346" s="2">
        <f t="shared" si="16"/>
        <v>0</v>
      </c>
      <c r="K346" s="2">
        <f t="shared" si="17"/>
        <v>0</v>
      </c>
    </row>
    <row r="347" spans="1:11">
      <c r="E347" t="s">
        <v>214</v>
      </c>
      <c r="F347" t="s">
        <v>588</v>
      </c>
      <c r="G347" s="8" t="str">
        <f t="shared" si="18"/>
        <v>16-16</v>
      </c>
      <c r="H347" s="1">
        <f>_xlfn.IFNA(VLOOKUP(Aragon!E347,'Kilter Holds'!$P$36:$AB$370,8,0),0)</f>
        <v>0</v>
      </c>
      <c r="J347" s="2">
        <f t="shared" si="16"/>
        <v>0</v>
      </c>
      <c r="K347" s="2">
        <f t="shared" si="17"/>
        <v>0</v>
      </c>
    </row>
    <row r="348" spans="1:11">
      <c r="E348" t="s">
        <v>214</v>
      </c>
      <c r="F348" t="s">
        <v>588</v>
      </c>
      <c r="G348" s="9" t="str">
        <f t="shared" si="18"/>
        <v>13-01</v>
      </c>
      <c r="H348" s="1">
        <f>_xlfn.IFNA(VLOOKUP(Aragon!E348,'Kilter Holds'!$P$36:$AB$370,9,0),0)</f>
        <v>0</v>
      </c>
      <c r="J348" s="2">
        <f t="shared" si="16"/>
        <v>0</v>
      </c>
      <c r="K348" s="2">
        <f t="shared" si="17"/>
        <v>0</v>
      </c>
    </row>
    <row r="349" spans="1:11">
      <c r="E349" t="s">
        <v>214</v>
      </c>
      <c r="F349" t="s">
        <v>588</v>
      </c>
      <c r="G349" s="10" t="str">
        <f t="shared" si="18"/>
        <v>07-13</v>
      </c>
      <c r="H349" s="1">
        <f>_xlfn.IFNA(VLOOKUP(Aragon!E349,'Kilter Holds'!$P$36:$AB$370,10,0),0)</f>
        <v>0</v>
      </c>
      <c r="J349" s="2">
        <f t="shared" si="16"/>
        <v>0</v>
      </c>
      <c r="K349" s="2">
        <f t="shared" si="17"/>
        <v>0</v>
      </c>
    </row>
    <row r="350" spans="1:11">
      <c r="E350" t="s">
        <v>214</v>
      </c>
      <c r="F350" t="s">
        <v>588</v>
      </c>
      <c r="G350" s="11" t="str">
        <f t="shared" si="18"/>
        <v>11-25</v>
      </c>
      <c r="H350" s="1">
        <f>_xlfn.IFNA(VLOOKUP(Aragon!E350,'Kilter Holds'!$P$36:$AB$370,11,0),0)</f>
        <v>0</v>
      </c>
      <c r="J350" s="2">
        <f t="shared" si="16"/>
        <v>0</v>
      </c>
      <c r="K350" s="2">
        <f t="shared" si="17"/>
        <v>0</v>
      </c>
    </row>
    <row r="351" spans="1:11">
      <c r="E351" t="s">
        <v>214</v>
      </c>
      <c r="F351" t="s">
        <v>588</v>
      </c>
      <c r="G351" s="13" t="str">
        <f t="shared" si="18"/>
        <v>18-01</v>
      </c>
      <c r="H351" s="1">
        <f>_xlfn.IFNA(VLOOKUP(Aragon!E351,'Kilter Holds'!$P$36:$AB$370,12,0),0)</f>
        <v>0</v>
      </c>
      <c r="J351" s="2">
        <f t="shared" si="16"/>
        <v>0</v>
      </c>
      <c r="K351" s="2">
        <f t="shared" si="17"/>
        <v>0</v>
      </c>
    </row>
    <row r="352" spans="1:11">
      <c r="E352" t="s">
        <v>214</v>
      </c>
      <c r="F352" t="s">
        <v>588</v>
      </c>
      <c r="G352" s="12" t="str">
        <f t="shared" si="18"/>
        <v>12-01</v>
      </c>
      <c r="H352" s="1">
        <f>_xlfn.IFNA(VLOOKUP(Aragon!E352,'Kilter Holds'!$P$36:$AB$370,13,0),0)</f>
        <v>0</v>
      </c>
      <c r="J352" s="2">
        <f t="shared" si="16"/>
        <v>0</v>
      </c>
      <c r="K352" s="2">
        <f t="shared" si="17"/>
        <v>0</v>
      </c>
    </row>
    <row r="353" spans="5:11">
      <c r="E353" t="s">
        <v>282</v>
      </c>
      <c r="F353" t="s">
        <v>589</v>
      </c>
      <c r="G353" s="5" t="str">
        <f t="shared" si="18"/>
        <v>11-12</v>
      </c>
      <c r="H353" s="1">
        <f>_xlfn.IFNA(VLOOKUP(Aragon!E353,'Kilter Holds'!$P$36:$AB$370,5,0),0)</f>
        <v>0</v>
      </c>
      <c r="J353" s="2">
        <f t="shared" si="16"/>
        <v>0</v>
      </c>
      <c r="K353" s="2">
        <f t="shared" si="17"/>
        <v>0</v>
      </c>
    </row>
    <row r="354" spans="5:11">
      <c r="E354" t="s">
        <v>282</v>
      </c>
      <c r="F354" t="s">
        <v>589</v>
      </c>
      <c r="G354" s="6" t="str">
        <f t="shared" si="18"/>
        <v>14-01</v>
      </c>
      <c r="H354" s="1">
        <f>_xlfn.IFNA(VLOOKUP(Aragon!E354,'Kilter Holds'!$P$36:$AB$370,6,0),0)</f>
        <v>0</v>
      </c>
      <c r="J354" s="2">
        <f t="shared" si="16"/>
        <v>0</v>
      </c>
      <c r="K354" s="2">
        <f t="shared" si="17"/>
        <v>0</v>
      </c>
    </row>
    <row r="355" spans="5:11">
      <c r="E355" t="s">
        <v>282</v>
      </c>
      <c r="F355" t="s">
        <v>589</v>
      </c>
      <c r="G355" s="7" t="str">
        <f t="shared" si="18"/>
        <v>15-12</v>
      </c>
      <c r="H355" s="1">
        <f>_xlfn.IFNA(VLOOKUP(Aragon!E355,'Kilter Holds'!$P$36:$AB$370,7,0),0)</f>
        <v>0</v>
      </c>
      <c r="J355" s="2">
        <f t="shared" si="16"/>
        <v>0</v>
      </c>
      <c r="K355" s="2">
        <f t="shared" si="17"/>
        <v>0</v>
      </c>
    </row>
    <row r="356" spans="5:11">
      <c r="E356" t="s">
        <v>282</v>
      </c>
      <c r="F356" t="s">
        <v>589</v>
      </c>
      <c r="G356" s="8" t="str">
        <f t="shared" si="18"/>
        <v>16-16</v>
      </c>
      <c r="H356" s="1">
        <f>_xlfn.IFNA(VLOOKUP(Aragon!E356,'Kilter Holds'!$P$36:$AB$370,8,0),0)</f>
        <v>0</v>
      </c>
      <c r="J356" s="2">
        <f t="shared" si="16"/>
        <v>0</v>
      </c>
      <c r="K356" s="2">
        <f t="shared" si="17"/>
        <v>0</v>
      </c>
    </row>
    <row r="357" spans="5:11">
      <c r="E357" t="s">
        <v>282</v>
      </c>
      <c r="F357" t="s">
        <v>589</v>
      </c>
      <c r="G357" s="9" t="str">
        <f t="shared" si="18"/>
        <v>13-01</v>
      </c>
      <c r="H357" s="1">
        <f>_xlfn.IFNA(VLOOKUP(Aragon!E357,'Kilter Holds'!$P$36:$AB$370,9,0),0)</f>
        <v>0</v>
      </c>
      <c r="J357" s="2">
        <f t="shared" si="16"/>
        <v>0</v>
      </c>
      <c r="K357" s="2">
        <f t="shared" si="17"/>
        <v>0</v>
      </c>
    </row>
    <row r="358" spans="5:11">
      <c r="E358" t="s">
        <v>282</v>
      </c>
      <c r="F358" t="s">
        <v>589</v>
      </c>
      <c r="G358" s="10" t="str">
        <f t="shared" si="18"/>
        <v>07-13</v>
      </c>
      <c r="H358" s="1">
        <f>_xlfn.IFNA(VLOOKUP(Aragon!E358,'Kilter Holds'!$P$36:$AB$370,10,0),0)</f>
        <v>0</v>
      </c>
      <c r="J358" s="2">
        <f t="shared" si="16"/>
        <v>0</v>
      </c>
      <c r="K358" s="2">
        <f t="shared" si="17"/>
        <v>0</v>
      </c>
    </row>
    <row r="359" spans="5:11">
      <c r="E359" t="s">
        <v>282</v>
      </c>
      <c r="F359" t="s">
        <v>589</v>
      </c>
      <c r="G359" s="11" t="str">
        <f t="shared" si="18"/>
        <v>11-25</v>
      </c>
      <c r="H359" s="1">
        <f>_xlfn.IFNA(VLOOKUP(Aragon!E359,'Kilter Holds'!$P$36:$AB$370,11,0),0)</f>
        <v>0</v>
      </c>
      <c r="J359" s="2">
        <f t="shared" si="16"/>
        <v>0</v>
      </c>
      <c r="K359" s="2">
        <f t="shared" si="17"/>
        <v>0</v>
      </c>
    </row>
    <row r="360" spans="5:11">
      <c r="E360" t="s">
        <v>282</v>
      </c>
      <c r="F360" t="s">
        <v>589</v>
      </c>
      <c r="G360" s="13" t="str">
        <f t="shared" si="18"/>
        <v>18-01</v>
      </c>
      <c r="H360" s="1">
        <f>_xlfn.IFNA(VLOOKUP(Aragon!E360,'Kilter Holds'!$P$36:$AB$370,12,0),0)</f>
        <v>0</v>
      </c>
      <c r="J360" s="2">
        <f t="shared" si="16"/>
        <v>0</v>
      </c>
      <c r="K360" s="2">
        <f t="shared" si="17"/>
        <v>0</v>
      </c>
    </row>
    <row r="361" spans="5:11">
      <c r="E361" t="s">
        <v>282</v>
      </c>
      <c r="F361" t="s">
        <v>589</v>
      </c>
      <c r="G361" s="12" t="str">
        <f t="shared" si="18"/>
        <v>12-01</v>
      </c>
      <c r="H361" s="1">
        <f>_xlfn.IFNA(VLOOKUP(Aragon!E361,'Kilter Holds'!$P$36:$AB$370,13,0),0)</f>
        <v>0</v>
      </c>
      <c r="J361" s="2">
        <f t="shared" si="16"/>
        <v>0</v>
      </c>
      <c r="K361" s="2">
        <f t="shared" si="17"/>
        <v>0</v>
      </c>
    </row>
    <row r="362" spans="5:11">
      <c r="E362" t="s">
        <v>184</v>
      </c>
      <c r="F362" t="s">
        <v>590</v>
      </c>
      <c r="G362" s="5" t="str">
        <f t="shared" si="18"/>
        <v>11-12</v>
      </c>
      <c r="H362" s="1">
        <f>_xlfn.IFNA(VLOOKUP(Aragon!E362,'Kilter Holds'!$P$36:$AB$370,5,0),0)</f>
        <v>0</v>
      </c>
      <c r="J362" s="2">
        <f t="shared" si="16"/>
        <v>0</v>
      </c>
      <c r="K362" s="2">
        <f t="shared" si="17"/>
        <v>0</v>
      </c>
    </row>
    <row r="363" spans="5:11">
      <c r="E363" t="s">
        <v>184</v>
      </c>
      <c r="F363" t="s">
        <v>590</v>
      </c>
      <c r="G363" s="6" t="str">
        <f t="shared" si="18"/>
        <v>14-01</v>
      </c>
      <c r="H363" s="1">
        <f>_xlfn.IFNA(VLOOKUP(Aragon!E363,'Kilter Holds'!$P$36:$AB$370,6,0),0)</f>
        <v>0</v>
      </c>
      <c r="J363" s="2">
        <f t="shared" si="16"/>
        <v>0</v>
      </c>
      <c r="K363" s="2">
        <f t="shared" si="17"/>
        <v>0</v>
      </c>
    </row>
    <row r="364" spans="5:11">
      <c r="E364" t="s">
        <v>184</v>
      </c>
      <c r="F364" t="s">
        <v>590</v>
      </c>
      <c r="G364" s="7" t="str">
        <f t="shared" si="18"/>
        <v>15-12</v>
      </c>
      <c r="H364" s="1">
        <f>_xlfn.IFNA(VLOOKUP(Aragon!E364,'Kilter Holds'!$P$36:$AB$370,7,0),0)</f>
        <v>0</v>
      </c>
      <c r="J364" s="2">
        <f t="shared" si="16"/>
        <v>0</v>
      </c>
      <c r="K364" s="2">
        <f t="shared" si="17"/>
        <v>0</v>
      </c>
    </row>
    <row r="365" spans="5:11">
      <c r="E365" t="s">
        <v>184</v>
      </c>
      <c r="F365" t="s">
        <v>590</v>
      </c>
      <c r="G365" s="8" t="str">
        <f t="shared" si="18"/>
        <v>16-16</v>
      </c>
      <c r="H365" s="1">
        <f>_xlfn.IFNA(VLOOKUP(Aragon!E365,'Kilter Holds'!$P$36:$AB$370,8,0),0)</f>
        <v>0</v>
      </c>
      <c r="J365" s="2">
        <f t="shared" si="16"/>
        <v>0</v>
      </c>
      <c r="K365" s="2">
        <f t="shared" si="17"/>
        <v>0</v>
      </c>
    </row>
    <row r="366" spans="5:11">
      <c r="E366" t="s">
        <v>184</v>
      </c>
      <c r="F366" t="s">
        <v>590</v>
      </c>
      <c r="G366" s="9" t="str">
        <f t="shared" si="18"/>
        <v>13-01</v>
      </c>
      <c r="H366" s="1">
        <f>_xlfn.IFNA(VLOOKUP(Aragon!E366,'Kilter Holds'!$P$36:$AB$370,9,0),0)</f>
        <v>0</v>
      </c>
      <c r="J366" s="2">
        <f t="shared" si="16"/>
        <v>0</v>
      </c>
      <c r="K366" s="2">
        <f t="shared" si="17"/>
        <v>0</v>
      </c>
    </row>
    <row r="367" spans="5:11">
      <c r="E367" t="s">
        <v>184</v>
      </c>
      <c r="F367" t="s">
        <v>590</v>
      </c>
      <c r="G367" s="10" t="str">
        <f t="shared" si="18"/>
        <v>07-13</v>
      </c>
      <c r="H367" s="1">
        <f>_xlfn.IFNA(VLOOKUP(Aragon!E367,'Kilter Holds'!$P$36:$AB$370,10,0),0)</f>
        <v>0</v>
      </c>
      <c r="J367" s="2">
        <f t="shared" si="16"/>
        <v>0</v>
      </c>
      <c r="K367" s="2">
        <f t="shared" si="17"/>
        <v>0</v>
      </c>
    </row>
    <row r="368" spans="5:11">
      <c r="E368" t="s">
        <v>184</v>
      </c>
      <c r="F368" t="s">
        <v>590</v>
      </c>
      <c r="G368" s="11" t="str">
        <f t="shared" si="18"/>
        <v>11-25</v>
      </c>
      <c r="H368" s="1">
        <f>_xlfn.IFNA(VLOOKUP(Aragon!E368,'Kilter Holds'!$P$36:$AB$370,11,0),0)</f>
        <v>0</v>
      </c>
      <c r="J368" s="2">
        <f t="shared" si="16"/>
        <v>0</v>
      </c>
      <c r="K368" s="2">
        <f t="shared" si="17"/>
        <v>0</v>
      </c>
    </row>
    <row r="369" spans="5:11">
      <c r="E369" t="s">
        <v>184</v>
      </c>
      <c r="F369" t="s">
        <v>590</v>
      </c>
      <c r="G369" s="13" t="str">
        <f t="shared" si="18"/>
        <v>18-01</v>
      </c>
      <c r="H369" s="1">
        <f>_xlfn.IFNA(VLOOKUP(Aragon!E369,'Kilter Holds'!$P$36:$AB$370,12,0),0)</f>
        <v>0</v>
      </c>
      <c r="J369" s="2">
        <f t="shared" si="16"/>
        <v>0</v>
      </c>
      <c r="K369" s="2">
        <f t="shared" si="17"/>
        <v>0</v>
      </c>
    </row>
    <row r="370" spans="5:11">
      <c r="E370" t="s">
        <v>184</v>
      </c>
      <c r="F370" t="s">
        <v>590</v>
      </c>
      <c r="G370" s="12" t="str">
        <f t="shared" si="18"/>
        <v>12-01</v>
      </c>
      <c r="H370" s="1">
        <f>_xlfn.IFNA(VLOOKUP(Aragon!E370,'Kilter Holds'!$P$36:$AB$370,13,0),0)</f>
        <v>0</v>
      </c>
      <c r="J370" s="2">
        <f t="shared" si="16"/>
        <v>0</v>
      </c>
      <c r="K370" s="2">
        <f t="shared" si="17"/>
        <v>0</v>
      </c>
    </row>
    <row r="371" spans="5:11">
      <c r="E371" t="s">
        <v>283</v>
      </c>
      <c r="F371" t="s">
        <v>591</v>
      </c>
      <c r="G371" s="5" t="str">
        <f t="shared" si="18"/>
        <v>11-12</v>
      </c>
      <c r="H371" s="1">
        <f>_xlfn.IFNA(VLOOKUP(Aragon!E371,'Kilter Holds'!$P$36:$AB$370,5,0),0)</f>
        <v>0</v>
      </c>
      <c r="J371" s="2">
        <f t="shared" si="16"/>
        <v>0</v>
      </c>
      <c r="K371" s="2">
        <f t="shared" si="17"/>
        <v>0</v>
      </c>
    </row>
    <row r="372" spans="5:11">
      <c r="E372" t="s">
        <v>283</v>
      </c>
      <c r="F372" t="s">
        <v>591</v>
      </c>
      <c r="G372" s="6" t="str">
        <f t="shared" si="18"/>
        <v>14-01</v>
      </c>
      <c r="H372" s="1">
        <f>_xlfn.IFNA(VLOOKUP(Aragon!E372,'Kilter Holds'!$P$36:$AB$370,6,0),0)</f>
        <v>0</v>
      </c>
      <c r="J372" s="2">
        <f t="shared" si="16"/>
        <v>0</v>
      </c>
      <c r="K372" s="2">
        <f t="shared" si="17"/>
        <v>0</v>
      </c>
    </row>
    <row r="373" spans="5:11">
      <c r="E373" t="s">
        <v>283</v>
      </c>
      <c r="F373" t="s">
        <v>591</v>
      </c>
      <c r="G373" s="7" t="str">
        <f t="shared" si="18"/>
        <v>15-12</v>
      </c>
      <c r="H373" s="1">
        <f>_xlfn.IFNA(VLOOKUP(Aragon!E373,'Kilter Holds'!$P$36:$AB$370,7,0),0)</f>
        <v>0</v>
      </c>
      <c r="J373" s="2">
        <f t="shared" si="16"/>
        <v>0</v>
      </c>
      <c r="K373" s="2">
        <f t="shared" si="17"/>
        <v>0</v>
      </c>
    </row>
    <row r="374" spans="5:11">
      <c r="E374" t="s">
        <v>283</v>
      </c>
      <c r="F374" t="s">
        <v>591</v>
      </c>
      <c r="G374" s="8" t="str">
        <f t="shared" si="18"/>
        <v>16-16</v>
      </c>
      <c r="H374" s="1">
        <f>_xlfn.IFNA(VLOOKUP(Aragon!E374,'Kilter Holds'!$P$36:$AB$370,8,0),0)</f>
        <v>0</v>
      </c>
      <c r="J374" s="2">
        <f t="shared" si="16"/>
        <v>0</v>
      </c>
      <c r="K374" s="2">
        <f t="shared" si="17"/>
        <v>0</v>
      </c>
    </row>
    <row r="375" spans="5:11">
      <c r="E375" t="s">
        <v>283</v>
      </c>
      <c r="F375" t="s">
        <v>591</v>
      </c>
      <c r="G375" s="9" t="str">
        <f t="shared" si="18"/>
        <v>13-01</v>
      </c>
      <c r="H375" s="1">
        <f>_xlfn.IFNA(VLOOKUP(Aragon!E375,'Kilter Holds'!$P$36:$AB$370,9,0),0)</f>
        <v>0</v>
      </c>
      <c r="J375" s="2">
        <f t="shared" si="16"/>
        <v>0</v>
      </c>
      <c r="K375" s="2">
        <f t="shared" si="17"/>
        <v>0</v>
      </c>
    </row>
    <row r="376" spans="5:11">
      <c r="E376" t="s">
        <v>283</v>
      </c>
      <c r="F376" t="s">
        <v>591</v>
      </c>
      <c r="G376" s="10" t="str">
        <f t="shared" si="18"/>
        <v>07-13</v>
      </c>
      <c r="H376" s="1">
        <f>_xlfn.IFNA(VLOOKUP(Aragon!E376,'Kilter Holds'!$P$36:$AB$370,10,0),0)</f>
        <v>0</v>
      </c>
      <c r="J376" s="2">
        <f t="shared" si="16"/>
        <v>0</v>
      </c>
      <c r="K376" s="2">
        <f t="shared" si="17"/>
        <v>0</v>
      </c>
    </row>
    <row r="377" spans="5:11">
      <c r="E377" t="s">
        <v>283</v>
      </c>
      <c r="F377" t="s">
        <v>591</v>
      </c>
      <c r="G377" s="11" t="str">
        <f t="shared" si="18"/>
        <v>11-25</v>
      </c>
      <c r="H377" s="1">
        <f>_xlfn.IFNA(VLOOKUP(Aragon!E377,'Kilter Holds'!$P$36:$AB$370,11,0),0)</f>
        <v>0</v>
      </c>
      <c r="J377" s="2">
        <f t="shared" si="16"/>
        <v>0</v>
      </c>
      <c r="K377" s="2">
        <f t="shared" si="17"/>
        <v>0</v>
      </c>
    </row>
    <row r="378" spans="5:11">
      <c r="E378" t="s">
        <v>283</v>
      </c>
      <c r="F378" t="s">
        <v>591</v>
      </c>
      <c r="G378" s="13" t="str">
        <f t="shared" si="18"/>
        <v>18-01</v>
      </c>
      <c r="H378" s="1">
        <f>_xlfn.IFNA(VLOOKUP(Aragon!E378,'Kilter Holds'!$P$36:$AB$370,12,0),0)</f>
        <v>0</v>
      </c>
      <c r="J378" s="2">
        <f t="shared" ref="J378:J441" si="19">H378*I378</f>
        <v>0</v>
      </c>
      <c r="K378" s="2">
        <f t="shared" si="17"/>
        <v>0</v>
      </c>
    </row>
    <row r="379" spans="5:11">
      <c r="E379" t="s">
        <v>283</v>
      </c>
      <c r="F379" t="s">
        <v>591</v>
      </c>
      <c r="G379" s="12" t="str">
        <f t="shared" si="18"/>
        <v>12-01</v>
      </c>
      <c r="H379" s="1">
        <f>_xlfn.IFNA(VLOOKUP(Aragon!E379,'Kilter Holds'!$P$36:$AB$370,13,0),0)</f>
        <v>0</v>
      </c>
      <c r="J379" s="2">
        <f t="shared" si="19"/>
        <v>0</v>
      </c>
      <c r="K379" s="2">
        <f t="shared" si="17"/>
        <v>0</v>
      </c>
    </row>
    <row r="380" spans="5:11">
      <c r="E380" t="s">
        <v>185</v>
      </c>
      <c r="F380" t="s">
        <v>592</v>
      </c>
      <c r="G380" s="5" t="str">
        <f t="shared" si="18"/>
        <v>11-12</v>
      </c>
      <c r="H380" s="1">
        <f>_xlfn.IFNA(VLOOKUP(Aragon!E380,'Kilter Holds'!$P$36:$AB$370,5,0),0)</f>
        <v>0</v>
      </c>
      <c r="J380" s="2">
        <f t="shared" si="19"/>
        <v>0</v>
      </c>
      <c r="K380" s="2">
        <f t="shared" si="17"/>
        <v>0</v>
      </c>
    </row>
    <row r="381" spans="5:11">
      <c r="E381" t="s">
        <v>185</v>
      </c>
      <c r="F381" t="s">
        <v>592</v>
      </c>
      <c r="G381" s="6" t="str">
        <f t="shared" si="18"/>
        <v>14-01</v>
      </c>
      <c r="H381" s="1">
        <f>_xlfn.IFNA(VLOOKUP(Aragon!E381,'Kilter Holds'!$P$36:$AB$370,6,0),0)</f>
        <v>0</v>
      </c>
      <c r="J381" s="2">
        <f t="shared" si="19"/>
        <v>0</v>
      </c>
      <c r="K381" s="2">
        <f t="shared" si="17"/>
        <v>0</v>
      </c>
    </row>
    <row r="382" spans="5:11">
      <c r="E382" t="s">
        <v>185</v>
      </c>
      <c r="F382" t="s">
        <v>592</v>
      </c>
      <c r="G382" s="7" t="str">
        <f t="shared" si="18"/>
        <v>15-12</v>
      </c>
      <c r="H382" s="1">
        <f>_xlfn.IFNA(VLOOKUP(Aragon!E382,'Kilter Holds'!$P$36:$AB$370,7,0),0)</f>
        <v>0</v>
      </c>
      <c r="J382" s="2">
        <f t="shared" si="19"/>
        <v>0</v>
      </c>
      <c r="K382" s="2">
        <f t="shared" si="17"/>
        <v>0</v>
      </c>
    </row>
    <row r="383" spans="5:11">
      <c r="E383" t="s">
        <v>185</v>
      </c>
      <c r="F383" t="s">
        <v>592</v>
      </c>
      <c r="G383" s="8" t="str">
        <f t="shared" si="18"/>
        <v>16-16</v>
      </c>
      <c r="H383" s="1">
        <f>_xlfn.IFNA(VLOOKUP(Aragon!E383,'Kilter Holds'!$P$36:$AB$370,8,0),0)</f>
        <v>0</v>
      </c>
      <c r="J383" s="2">
        <f t="shared" si="19"/>
        <v>0</v>
      </c>
      <c r="K383" s="2">
        <f t="shared" si="17"/>
        <v>0</v>
      </c>
    </row>
    <row r="384" spans="5:11">
      <c r="E384" t="s">
        <v>185</v>
      </c>
      <c r="F384" t="s">
        <v>592</v>
      </c>
      <c r="G384" s="9" t="str">
        <f t="shared" si="18"/>
        <v>13-01</v>
      </c>
      <c r="H384" s="1">
        <f>_xlfn.IFNA(VLOOKUP(Aragon!E384,'Kilter Holds'!$P$36:$AB$370,9,0),0)</f>
        <v>0</v>
      </c>
      <c r="J384" s="2">
        <f t="shared" si="19"/>
        <v>0</v>
      </c>
      <c r="K384" s="2">
        <f t="shared" si="17"/>
        <v>0</v>
      </c>
    </row>
    <row r="385" spans="1:11">
      <c r="E385" t="s">
        <v>185</v>
      </c>
      <c r="F385" t="s">
        <v>592</v>
      </c>
      <c r="G385" s="10" t="str">
        <f t="shared" si="18"/>
        <v>07-13</v>
      </c>
      <c r="H385" s="1">
        <f>_xlfn.IFNA(VLOOKUP(Aragon!E385,'Kilter Holds'!$P$36:$AB$370,10,0),0)</f>
        <v>0</v>
      </c>
      <c r="J385" s="2">
        <f t="shared" si="19"/>
        <v>0</v>
      </c>
      <c r="K385" s="2">
        <f t="shared" si="17"/>
        <v>0</v>
      </c>
    </row>
    <row r="386" spans="1:11">
      <c r="E386" t="s">
        <v>185</v>
      </c>
      <c r="F386" t="s">
        <v>592</v>
      </c>
      <c r="G386" s="11" t="str">
        <f t="shared" si="18"/>
        <v>11-25</v>
      </c>
      <c r="H386" s="1">
        <f>_xlfn.IFNA(VLOOKUP(Aragon!E386,'Kilter Holds'!$P$36:$AB$370,11,0),0)</f>
        <v>0</v>
      </c>
      <c r="J386" s="2">
        <f t="shared" si="19"/>
        <v>0</v>
      </c>
      <c r="K386" s="2">
        <f t="shared" si="17"/>
        <v>0</v>
      </c>
    </row>
    <row r="387" spans="1:11">
      <c r="E387" t="s">
        <v>185</v>
      </c>
      <c r="F387" t="s">
        <v>592</v>
      </c>
      <c r="G387" s="13" t="str">
        <f t="shared" si="18"/>
        <v>18-01</v>
      </c>
      <c r="H387" s="1">
        <f>_xlfn.IFNA(VLOOKUP(Aragon!E387,'Kilter Holds'!$P$36:$AB$370,12,0),0)</f>
        <v>0</v>
      </c>
      <c r="J387" s="2">
        <f t="shared" si="19"/>
        <v>0</v>
      </c>
      <c r="K387" s="2">
        <f t="shared" si="17"/>
        <v>0</v>
      </c>
    </row>
    <row r="388" spans="1:11">
      <c r="E388" t="s">
        <v>185</v>
      </c>
      <c r="F388" t="s">
        <v>592</v>
      </c>
      <c r="G388" s="12" t="str">
        <f t="shared" si="18"/>
        <v>12-01</v>
      </c>
      <c r="H388" s="1">
        <f>_xlfn.IFNA(VLOOKUP(Aragon!E388,'Kilter Holds'!$P$36:$AB$370,13,0),0)</f>
        <v>0</v>
      </c>
      <c r="J388" s="2">
        <f t="shared" si="19"/>
        <v>0</v>
      </c>
      <c r="K388" s="2">
        <f t="shared" si="17"/>
        <v>0</v>
      </c>
    </row>
    <row r="389" spans="1:11">
      <c r="E389" t="s">
        <v>284</v>
      </c>
      <c r="F389" t="s">
        <v>593</v>
      </c>
      <c r="G389" s="5" t="str">
        <f t="shared" si="18"/>
        <v>11-12</v>
      </c>
      <c r="H389" s="1">
        <f>_xlfn.IFNA(VLOOKUP(Aragon!E389,'Kilter Holds'!$P$36:$AB$370,5,0),0)</f>
        <v>0</v>
      </c>
      <c r="J389" s="2">
        <f t="shared" si="19"/>
        <v>0</v>
      </c>
      <c r="K389" s="2">
        <f t="shared" si="17"/>
        <v>0</v>
      </c>
    </row>
    <row r="390" spans="1:11">
      <c r="E390" t="s">
        <v>284</v>
      </c>
      <c r="F390" t="s">
        <v>593</v>
      </c>
      <c r="G390" s="6" t="str">
        <f t="shared" si="18"/>
        <v>14-01</v>
      </c>
      <c r="H390" s="1">
        <f>_xlfn.IFNA(VLOOKUP(Aragon!E390,'Kilter Holds'!$P$36:$AB$370,6,0),0)</f>
        <v>0</v>
      </c>
      <c r="J390" s="2">
        <f t="shared" si="19"/>
        <v>0</v>
      </c>
      <c r="K390" s="2">
        <f t="shared" si="17"/>
        <v>0</v>
      </c>
    </row>
    <row r="391" spans="1:11">
      <c r="E391" t="s">
        <v>284</v>
      </c>
      <c r="F391" t="s">
        <v>593</v>
      </c>
      <c r="G391" s="7" t="str">
        <f t="shared" si="18"/>
        <v>15-12</v>
      </c>
      <c r="H391" s="1">
        <f>_xlfn.IFNA(VLOOKUP(Aragon!E391,'Kilter Holds'!$P$36:$AB$370,7,0),0)</f>
        <v>0</v>
      </c>
      <c r="J391" s="2">
        <f t="shared" si="19"/>
        <v>0</v>
      </c>
      <c r="K391" s="2">
        <f t="shared" si="17"/>
        <v>0</v>
      </c>
    </row>
    <row r="392" spans="1:11">
      <c r="E392" t="s">
        <v>284</v>
      </c>
      <c r="F392" t="s">
        <v>593</v>
      </c>
      <c r="G392" s="8" t="str">
        <f t="shared" si="18"/>
        <v>16-16</v>
      </c>
      <c r="H392" s="1">
        <f>_xlfn.IFNA(VLOOKUP(Aragon!E392,'Kilter Holds'!$P$36:$AB$370,8,0),0)</f>
        <v>0</v>
      </c>
      <c r="J392" s="2">
        <f t="shared" si="19"/>
        <v>0</v>
      </c>
      <c r="K392" s="2">
        <f t="shared" si="17"/>
        <v>0</v>
      </c>
    </row>
    <row r="393" spans="1:11">
      <c r="E393" t="s">
        <v>284</v>
      </c>
      <c r="F393" t="s">
        <v>593</v>
      </c>
      <c r="G393" s="9" t="str">
        <f t="shared" si="18"/>
        <v>13-01</v>
      </c>
      <c r="H393" s="1">
        <f>_xlfn.IFNA(VLOOKUP(Aragon!E393,'Kilter Holds'!$P$36:$AB$370,9,0),0)</f>
        <v>0</v>
      </c>
      <c r="J393" s="2">
        <f t="shared" si="19"/>
        <v>0</v>
      </c>
      <c r="K393" s="2">
        <f t="shared" si="17"/>
        <v>0</v>
      </c>
    </row>
    <row r="394" spans="1:11">
      <c r="E394" t="s">
        <v>284</v>
      </c>
      <c r="F394" t="s">
        <v>593</v>
      </c>
      <c r="G394" s="10" t="str">
        <f t="shared" si="18"/>
        <v>07-13</v>
      </c>
      <c r="H394" s="1">
        <f>_xlfn.IFNA(VLOOKUP(Aragon!E394,'Kilter Holds'!$P$36:$AB$370,10,0),0)</f>
        <v>0</v>
      </c>
      <c r="J394" s="2">
        <f t="shared" si="19"/>
        <v>0</v>
      </c>
      <c r="K394" s="2">
        <f t="shared" si="17"/>
        <v>0</v>
      </c>
    </row>
    <row r="395" spans="1:11">
      <c r="E395" t="s">
        <v>284</v>
      </c>
      <c r="F395" t="s">
        <v>593</v>
      </c>
      <c r="G395" s="11" t="str">
        <f t="shared" si="18"/>
        <v>11-25</v>
      </c>
      <c r="H395" s="1">
        <f>_xlfn.IFNA(VLOOKUP(Aragon!E395,'Kilter Holds'!$P$36:$AB$370,11,0),0)</f>
        <v>0</v>
      </c>
      <c r="J395" s="2">
        <f t="shared" si="19"/>
        <v>0</v>
      </c>
      <c r="K395" s="2">
        <f t="shared" si="17"/>
        <v>0</v>
      </c>
    </row>
    <row r="396" spans="1:11">
      <c r="E396" t="s">
        <v>284</v>
      </c>
      <c r="F396" t="s">
        <v>593</v>
      </c>
      <c r="G396" s="13" t="str">
        <f t="shared" si="18"/>
        <v>18-01</v>
      </c>
      <c r="H396" s="1">
        <f>_xlfn.IFNA(VLOOKUP(Aragon!E396,'Kilter Holds'!$P$36:$AB$370,12,0),0)</f>
        <v>0</v>
      </c>
      <c r="J396" s="2">
        <f t="shared" si="19"/>
        <v>0</v>
      </c>
      <c r="K396" s="2">
        <f t="shared" ref="K396:K459" si="20">IF($V$11="Y",J396*0.05,0)</f>
        <v>0</v>
      </c>
    </row>
    <row r="397" spans="1:11">
      <c r="E397" t="s">
        <v>284</v>
      </c>
      <c r="F397" t="s">
        <v>593</v>
      </c>
      <c r="G397" s="12" t="str">
        <f t="shared" ref="G397:G460" si="21">G388</f>
        <v>12-01</v>
      </c>
      <c r="H397" s="1">
        <f>_xlfn.IFNA(VLOOKUP(Aragon!E397,'Kilter Holds'!$P$36:$AB$370,13,0),0)</f>
        <v>0</v>
      </c>
      <c r="J397" s="2">
        <f t="shared" si="19"/>
        <v>0</v>
      </c>
      <c r="K397" s="2">
        <f t="shared" si="20"/>
        <v>0</v>
      </c>
    </row>
    <row r="398" spans="1:11">
      <c r="A398" s="3" t="s">
        <v>2173</v>
      </c>
      <c r="E398" t="s">
        <v>332</v>
      </c>
      <c r="F398" t="s">
        <v>594</v>
      </c>
      <c r="G398" s="5" t="str">
        <f t="shared" si="21"/>
        <v>11-12</v>
      </c>
      <c r="H398" s="1">
        <f>_xlfn.IFNA(VLOOKUP(E398,'Kilter Holds'!$P$36:$AB$370,5,0),0)+_xlfn.IFNA(VLOOKUP(A398,'Kilter Holds'!$P$36:$AB$370,5,0),0)</f>
        <v>0</v>
      </c>
      <c r="J398" s="2">
        <f t="shared" si="19"/>
        <v>0</v>
      </c>
      <c r="K398" s="2">
        <f t="shared" si="20"/>
        <v>0</v>
      </c>
    </row>
    <row r="399" spans="1:11">
      <c r="A399" s="3" t="s">
        <v>2173</v>
      </c>
      <c r="E399" t="s">
        <v>332</v>
      </c>
      <c r="F399" t="s">
        <v>594</v>
      </c>
      <c r="G399" s="6" t="str">
        <f t="shared" si="21"/>
        <v>14-01</v>
      </c>
      <c r="H399" s="1">
        <f>_xlfn.IFNA(VLOOKUP(E399,'Kilter Holds'!$P$36:$AB$370,6,0),0)+_xlfn.IFNA(VLOOKUP(A399,'Kilter Holds'!$P$36:$AB$370,6,0),0)</f>
        <v>0</v>
      </c>
      <c r="J399" s="2">
        <f t="shared" si="19"/>
        <v>0</v>
      </c>
      <c r="K399" s="2">
        <f t="shared" si="20"/>
        <v>0</v>
      </c>
    </row>
    <row r="400" spans="1:11">
      <c r="A400" s="3" t="s">
        <v>2173</v>
      </c>
      <c r="E400" t="s">
        <v>332</v>
      </c>
      <c r="F400" t="s">
        <v>594</v>
      </c>
      <c r="G400" s="7" t="str">
        <f t="shared" si="21"/>
        <v>15-12</v>
      </c>
      <c r="H400" s="1">
        <f>_xlfn.IFNA(VLOOKUP(E400,'Kilter Holds'!$P$36:$AB$370,7,0),0)+_xlfn.IFNA(VLOOKUP(A400,'Kilter Holds'!$P$36:$AB$370,7,0),0)</f>
        <v>0</v>
      </c>
      <c r="J400" s="2">
        <f t="shared" si="19"/>
        <v>0</v>
      </c>
      <c r="K400" s="2">
        <f t="shared" si="20"/>
        <v>0</v>
      </c>
    </row>
    <row r="401" spans="1:11">
      <c r="A401" s="3" t="s">
        <v>2173</v>
      </c>
      <c r="E401" t="s">
        <v>332</v>
      </c>
      <c r="F401" t="s">
        <v>594</v>
      </c>
      <c r="G401" s="8" t="str">
        <f t="shared" si="21"/>
        <v>16-16</v>
      </c>
      <c r="H401" s="1">
        <f>_xlfn.IFNA(VLOOKUP(E401,'Kilter Holds'!$P$36:$AB$370,8,0),0)+_xlfn.IFNA(VLOOKUP(A401,'Kilter Holds'!$P$36:$AB$370,8,0),0)</f>
        <v>0</v>
      </c>
      <c r="J401" s="2">
        <f t="shared" si="19"/>
        <v>0</v>
      </c>
      <c r="K401" s="2">
        <f t="shared" si="20"/>
        <v>0</v>
      </c>
    </row>
    <row r="402" spans="1:11">
      <c r="A402" s="3" t="s">
        <v>2173</v>
      </c>
      <c r="E402" t="s">
        <v>332</v>
      </c>
      <c r="F402" t="s">
        <v>594</v>
      </c>
      <c r="G402" s="9" t="str">
        <f t="shared" si="21"/>
        <v>13-01</v>
      </c>
      <c r="H402" s="1">
        <f>_xlfn.IFNA(VLOOKUP(E402,'Kilter Holds'!$P$36:$AB$370,9,0),0)+_xlfn.IFNA(VLOOKUP(A402,'Kilter Holds'!$P$36:$AB$370,9,0),0)</f>
        <v>0</v>
      </c>
      <c r="J402" s="2">
        <f t="shared" si="19"/>
        <v>0</v>
      </c>
      <c r="K402" s="2">
        <f t="shared" si="20"/>
        <v>0</v>
      </c>
    </row>
    <row r="403" spans="1:11">
      <c r="A403" s="3" t="s">
        <v>2173</v>
      </c>
      <c r="E403" t="s">
        <v>332</v>
      </c>
      <c r="F403" t="s">
        <v>594</v>
      </c>
      <c r="G403" s="10" t="str">
        <f t="shared" si="21"/>
        <v>07-13</v>
      </c>
      <c r="H403" s="1">
        <f>_xlfn.IFNA(VLOOKUP(E403,'Kilter Holds'!$P$36:$AB$370,10,0),0)+_xlfn.IFNA(VLOOKUP(A403,'Kilter Holds'!$P$36:$AB$370,10,0),0)</f>
        <v>0</v>
      </c>
      <c r="J403" s="2">
        <f t="shared" si="19"/>
        <v>0</v>
      </c>
      <c r="K403" s="2">
        <f t="shared" si="20"/>
        <v>0</v>
      </c>
    </row>
    <row r="404" spans="1:11">
      <c r="A404" s="3" t="s">
        <v>2173</v>
      </c>
      <c r="E404" t="s">
        <v>332</v>
      </c>
      <c r="F404" t="s">
        <v>594</v>
      </c>
      <c r="G404" s="11" t="str">
        <f t="shared" si="21"/>
        <v>11-25</v>
      </c>
      <c r="H404" s="1">
        <f>_xlfn.IFNA(VLOOKUP(E404,'Kilter Holds'!$P$36:$AB$370,11,0),0)+_xlfn.IFNA(VLOOKUP(A404,'Kilter Holds'!$P$36:$AB$370,11,0),0)</f>
        <v>0</v>
      </c>
      <c r="J404" s="2">
        <f t="shared" si="19"/>
        <v>0</v>
      </c>
      <c r="K404" s="2">
        <f t="shared" si="20"/>
        <v>0</v>
      </c>
    </row>
    <row r="405" spans="1:11">
      <c r="A405" s="3" t="s">
        <v>2173</v>
      </c>
      <c r="E405" t="s">
        <v>332</v>
      </c>
      <c r="F405" t="s">
        <v>594</v>
      </c>
      <c r="G405" s="13" t="str">
        <f t="shared" si="21"/>
        <v>18-01</v>
      </c>
      <c r="H405" s="1">
        <f>_xlfn.IFNA(VLOOKUP(E405,'Kilter Holds'!$P$36:$AB$370,12,0),0)+_xlfn.IFNA(VLOOKUP(A405,'Kilter Holds'!$P$36:$AB$370,12,0),0)</f>
        <v>0</v>
      </c>
      <c r="J405" s="2">
        <f t="shared" si="19"/>
        <v>0</v>
      </c>
      <c r="K405" s="2">
        <f t="shared" si="20"/>
        <v>0</v>
      </c>
    </row>
    <row r="406" spans="1:11">
      <c r="A406" s="3" t="s">
        <v>2173</v>
      </c>
      <c r="E406" t="s">
        <v>332</v>
      </c>
      <c r="F406" t="s">
        <v>594</v>
      </c>
      <c r="G406" s="12" t="str">
        <f t="shared" si="21"/>
        <v>12-01</v>
      </c>
      <c r="H406" s="1">
        <f>_xlfn.IFNA(VLOOKUP(E406,'Kilter Holds'!$P$36:$AB$370,13,0),0)+_xlfn.IFNA(VLOOKUP(A406,'Kilter Holds'!$P$36:$AB$370,13,0),0)</f>
        <v>0</v>
      </c>
      <c r="J406" s="2">
        <f t="shared" si="19"/>
        <v>0</v>
      </c>
      <c r="K406" s="2">
        <f t="shared" si="20"/>
        <v>0</v>
      </c>
    </row>
    <row r="407" spans="1:11">
      <c r="E407" t="s">
        <v>885</v>
      </c>
      <c r="F407" t="s">
        <v>895</v>
      </c>
      <c r="G407" s="5" t="str">
        <f t="shared" si="21"/>
        <v>11-12</v>
      </c>
      <c r="H407" s="1">
        <f>_xlfn.IFNA(VLOOKUP(Aragon!E407,'Kilter Holds'!$P$36:$AB$370,5,0),0)</f>
        <v>0</v>
      </c>
      <c r="J407" s="2">
        <f t="shared" si="19"/>
        <v>0</v>
      </c>
      <c r="K407" s="2">
        <f t="shared" si="20"/>
        <v>0</v>
      </c>
    </row>
    <row r="408" spans="1:11">
      <c r="E408" t="s">
        <v>885</v>
      </c>
      <c r="F408" t="s">
        <v>895</v>
      </c>
      <c r="G408" s="6" t="str">
        <f t="shared" si="21"/>
        <v>14-01</v>
      </c>
      <c r="H408" s="1">
        <f>_xlfn.IFNA(VLOOKUP(Aragon!E408,'Kilter Holds'!$P$36:$AB$370,6,0),0)</f>
        <v>0</v>
      </c>
      <c r="J408" s="2">
        <f t="shared" si="19"/>
        <v>0</v>
      </c>
      <c r="K408" s="2">
        <f t="shared" si="20"/>
        <v>0</v>
      </c>
    </row>
    <row r="409" spans="1:11">
      <c r="E409" t="s">
        <v>885</v>
      </c>
      <c r="F409" t="s">
        <v>895</v>
      </c>
      <c r="G409" s="7" t="str">
        <f t="shared" si="21"/>
        <v>15-12</v>
      </c>
      <c r="H409" s="1">
        <f>_xlfn.IFNA(VLOOKUP(Aragon!E409,'Kilter Holds'!$P$36:$AB$370,7,0),0)</f>
        <v>0</v>
      </c>
      <c r="J409" s="2">
        <f t="shared" si="19"/>
        <v>0</v>
      </c>
      <c r="K409" s="2">
        <f t="shared" si="20"/>
        <v>0</v>
      </c>
    </row>
    <row r="410" spans="1:11">
      <c r="E410" t="s">
        <v>885</v>
      </c>
      <c r="F410" t="s">
        <v>895</v>
      </c>
      <c r="G410" s="8" t="str">
        <f t="shared" si="21"/>
        <v>16-16</v>
      </c>
      <c r="H410" s="1">
        <f>_xlfn.IFNA(VLOOKUP(Aragon!E410,'Kilter Holds'!$P$36:$AB$370,8,0),0)</f>
        <v>0</v>
      </c>
      <c r="J410" s="2">
        <f t="shared" si="19"/>
        <v>0</v>
      </c>
      <c r="K410" s="2">
        <f t="shared" si="20"/>
        <v>0</v>
      </c>
    </row>
    <row r="411" spans="1:11">
      <c r="E411" t="s">
        <v>885</v>
      </c>
      <c r="F411" t="s">
        <v>895</v>
      </c>
      <c r="G411" s="9" t="str">
        <f t="shared" si="21"/>
        <v>13-01</v>
      </c>
      <c r="H411" s="1">
        <f>_xlfn.IFNA(VLOOKUP(Aragon!E411,'Kilter Holds'!$P$36:$AB$370,9,0),0)</f>
        <v>0</v>
      </c>
      <c r="J411" s="2">
        <f t="shared" si="19"/>
        <v>0</v>
      </c>
      <c r="K411" s="2">
        <f t="shared" si="20"/>
        <v>0</v>
      </c>
    </row>
    <row r="412" spans="1:11">
      <c r="E412" t="s">
        <v>885</v>
      </c>
      <c r="F412" t="s">
        <v>895</v>
      </c>
      <c r="G412" s="10" t="str">
        <f t="shared" si="21"/>
        <v>07-13</v>
      </c>
      <c r="H412" s="1">
        <f>_xlfn.IFNA(VLOOKUP(Aragon!E412,'Kilter Holds'!$P$36:$AB$370,10,0),0)</f>
        <v>0</v>
      </c>
      <c r="J412" s="2">
        <f t="shared" si="19"/>
        <v>0</v>
      </c>
      <c r="K412" s="2">
        <f t="shared" si="20"/>
        <v>0</v>
      </c>
    </row>
    <row r="413" spans="1:11">
      <c r="E413" t="s">
        <v>885</v>
      </c>
      <c r="F413" t="s">
        <v>895</v>
      </c>
      <c r="G413" s="11" t="str">
        <f t="shared" si="21"/>
        <v>11-25</v>
      </c>
      <c r="H413" s="1">
        <f>_xlfn.IFNA(VLOOKUP(Aragon!E413,'Kilter Holds'!$P$36:$AB$370,11,0),0)</f>
        <v>0</v>
      </c>
      <c r="J413" s="2">
        <f t="shared" si="19"/>
        <v>0</v>
      </c>
      <c r="K413" s="2">
        <f t="shared" si="20"/>
        <v>0</v>
      </c>
    </row>
    <row r="414" spans="1:11">
      <c r="E414" t="s">
        <v>885</v>
      </c>
      <c r="F414" t="s">
        <v>895</v>
      </c>
      <c r="G414" s="13" t="str">
        <f t="shared" si="21"/>
        <v>18-01</v>
      </c>
      <c r="H414" s="1">
        <f>_xlfn.IFNA(VLOOKUP(Aragon!E414,'Kilter Holds'!$P$36:$AB$370,12,0),0)</f>
        <v>0</v>
      </c>
      <c r="J414" s="2">
        <f t="shared" si="19"/>
        <v>0</v>
      </c>
      <c r="K414" s="2">
        <f t="shared" si="20"/>
        <v>0</v>
      </c>
    </row>
    <row r="415" spans="1:11">
      <c r="E415" t="s">
        <v>885</v>
      </c>
      <c r="F415" t="s">
        <v>895</v>
      </c>
      <c r="G415" s="12" t="str">
        <f t="shared" si="21"/>
        <v>12-01</v>
      </c>
      <c r="H415" s="1">
        <f>_xlfn.IFNA(VLOOKUP(Aragon!E415,'Kilter Holds'!$P$36:$AB$370,13,0),0)</f>
        <v>0</v>
      </c>
      <c r="J415" s="2">
        <f t="shared" si="19"/>
        <v>0</v>
      </c>
      <c r="K415" s="2">
        <f t="shared" si="20"/>
        <v>0</v>
      </c>
    </row>
    <row r="416" spans="1:11">
      <c r="E416" t="s">
        <v>272</v>
      </c>
      <c r="F416" t="s">
        <v>595</v>
      </c>
      <c r="G416" s="5" t="str">
        <f t="shared" si="21"/>
        <v>11-12</v>
      </c>
      <c r="H416" s="1">
        <f>_xlfn.IFNA(VLOOKUP(Aragon!E416,'Kilter Holds'!$P$36:$AB$370,5,0),0)</f>
        <v>0</v>
      </c>
      <c r="J416" s="2">
        <f t="shared" si="19"/>
        <v>0</v>
      </c>
      <c r="K416" s="2">
        <f t="shared" si="20"/>
        <v>0</v>
      </c>
    </row>
    <row r="417" spans="5:11">
      <c r="E417" t="s">
        <v>272</v>
      </c>
      <c r="F417" t="s">
        <v>595</v>
      </c>
      <c r="G417" s="6" t="str">
        <f t="shared" si="21"/>
        <v>14-01</v>
      </c>
      <c r="H417" s="1">
        <f>_xlfn.IFNA(VLOOKUP(Aragon!E417,'Kilter Holds'!$P$36:$AB$370,6,0),0)</f>
        <v>0</v>
      </c>
      <c r="J417" s="2">
        <f t="shared" si="19"/>
        <v>0</v>
      </c>
      <c r="K417" s="2">
        <f t="shared" si="20"/>
        <v>0</v>
      </c>
    </row>
    <row r="418" spans="5:11">
      <c r="E418" t="s">
        <v>272</v>
      </c>
      <c r="F418" t="s">
        <v>595</v>
      </c>
      <c r="G418" s="7" t="str">
        <f t="shared" si="21"/>
        <v>15-12</v>
      </c>
      <c r="H418" s="1">
        <f>_xlfn.IFNA(VLOOKUP(Aragon!E418,'Kilter Holds'!$P$36:$AB$370,7,0),0)</f>
        <v>0</v>
      </c>
      <c r="J418" s="2">
        <f t="shared" si="19"/>
        <v>0</v>
      </c>
      <c r="K418" s="2">
        <f t="shared" si="20"/>
        <v>0</v>
      </c>
    </row>
    <row r="419" spans="5:11">
      <c r="E419" t="s">
        <v>272</v>
      </c>
      <c r="F419" t="s">
        <v>595</v>
      </c>
      <c r="G419" s="8" t="str">
        <f t="shared" si="21"/>
        <v>16-16</v>
      </c>
      <c r="H419" s="1">
        <f>_xlfn.IFNA(VLOOKUP(Aragon!E419,'Kilter Holds'!$P$36:$AB$370,8,0),0)</f>
        <v>0</v>
      </c>
      <c r="J419" s="2">
        <f t="shared" si="19"/>
        <v>0</v>
      </c>
      <c r="K419" s="2">
        <f t="shared" si="20"/>
        <v>0</v>
      </c>
    </row>
    <row r="420" spans="5:11">
      <c r="E420" t="s">
        <v>272</v>
      </c>
      <c r="F420" t="s">
        <v>595</v>
      </c>
      <c r="G420" s="9" t="str">
        <f t="shared" si="21"/>
        <v>13-01</v>
      </c>
      <c r="H420" s="1">
        <f>_xlfn.IFNA(VLOOKUP(Aragon!E420,'Kilter Holds'!$P$36:$AB$370,9,0),0)</f>
        <v>0</v>
      </c>
      <c r="J420" s="2">
        <f t="shared" si="19"/>
        <v>0</v>
      </c>
      <c r="K420" s="2">
        <f t="shared" si="20"/>
        <v>0</v>
      </c>
    </row>
    <row r="421" spans="5:11">
      <c r="E421" t="s">
        <v>272</v>
      </c>
      <c r="F421" t="s">
        <v>595</v>
      </c>
      <c r="G421" s="10" t="str">
        <f t="shared" si="21"/>
        <v>07-13</v>
      </c>
      <c r="H421" s="1">
        <f>_xlfn.IFNA(VLOOKUP(Aragon!E421,'Kilter Holds'!$P$36:$AB$370,10,0),0)</f>
        <v>0</v>
      </c>
      <c r="J421" s="2">
        <f t="shared" si="19"/>
        <v>0</v>
      </c>
      <c r="K421" s="2">
        <f t="shared" si="20"/>
        <v>0</v>
      </c>
    </row>
    <row r="422" spans="5:11">
      <c r="E422" t="s">
        <v>272</v>
      </c>
      <c r="F422" t="s">
        <v>595</v>
      </c>
      <c r="G422" s="11" t="str">
        <f t="shared" si="21"/>
        <v>11-25</v>
      </c>
      <c r="H422" s="1">
        <f>_xlfn.IFNA(VLOOKUP(Aragon!E422,'Kilter Holds'!$P$36:$AB$370,11,0),0)</f>
        <v>0</v>
      </c>
      <c r="J422" s="2">
        <f t="shared" si="19"/>
        <v>0</v>
      </c>
      <c r="K422" s="2">
        <f t="shared" si="20"/>
        <v>0</v>
      </c>
    </row>
    <row r="423" spans="5:11">
      <c r="E423" t="s">
        <v>272</v>
      </c>
      <c r="F423" t="s">
        <v>595</v>
      </c>
      <c r="G423" s="13" t="str">
        <f t="shared" si="21"/>
        <v>18-01</v>
      </c>
      <c r="H423" s="1">
        <f>_xlfn.IFNA(VLOOKUP(Aragon!E423,'Kilter Holds'!$P$36:$AB$370,12,0),0)</f>
        <v>0</v>
      </c>
      <c r="J423" s="2">
        <f t="shared" si="19"/>
        <v>0</v>
      </c>
      <c r="K423" s="2">
        <f t="shared" si="20"/>
        <v>0</v>
      </c>
    </row>
    <row r="424" spans="5:11">
      <c r="E424" t="s">
        <v>272</v>
      </c>
      <c r="F424" t="s">
        <v>595</v>
      </c>
      <c r="G424" s="12" t="str">
        <f t="shared" si="21"/>
        <v>12-01</v>
      </c>
      <c r="H424" s="1">
        <f>_xlfn.IFNA(VLOOKUP(Aragon!E424,'Kilter Holds'!$P$36:$AB$370,13,0),0)</f>
        <v>0</v>
      </c>
      <c r="J424" s="2">
        <f t="shared" si="19"/>
        <v>0</v>
      </c>
      <c r="K424" s="2">
        <f t="shared" si="20"/>
        <v>0</v>
      </c>
    </row>
    <row r="425" spans="5:11">
      <c r="E425" t="s">
        <v>273</v>
      </c>
      <c r="F425" t="s">
        <v>596</v>
      </c>
      <c r="G425" s="5" t="str">
        <f t="shared" si="21"/>
        <v>11-12</v>
      </c>
      <c r="H425" s="1">
        <f>_xlfn.IFNA(VLOOKUP(Aragon!E425,'Kilter Holds'!$P$36:$AB$370,5,0),0)</f>
        <v>0</v>
      </c>
      <c r="J425" s="2">
        <f t="shared" si="19"/>
        <v>0</v>
      </c>
      <c r="K425" s="2">
        <f t="shared" si="20"/>
        <v>0</v>
      </c>
    </row>
    <row r="426" spans="5:11">
      <c r="E426" t="s">
        <v>273</v>
      </c>
      <c r="F426" t="s">
        <v>596</v>
      </c>
      <c r="G426" s="6" t="str">
        <f t="shared" si="21"/>
        <v>14-01</v>
      </c>
      <c r="H426" s="1">
        <f>_xlfn.IFNA(VLOOKUP(Aragon!E426,'Kilter Holds'!$P$36:$AB$370,6,0),0)</f>
        <v>0</v>
      </c>
      <c r="J426" s="2">
        <f t="shared" si="19"/>
        <v>0</v>
      </c>
      <c r="K426" s="2">
        <f t="shared" si="20"/>
        <v>0</v>
      </c>
    </row>
    <row r="427" spans="5:11">
      <c r="E427" t="s">
        <v>273</v>
      </c>
      <c r="F427" t="s">
        <v>596</v>
      </c>
      <c r="G427" s="7" t="str">
        <f t="shared" si="21"/>
        <v>15-12</v>
      </c>
      <c r="H427" s="1">
        <f>_xlfn.IFNA(VLOOKUP(Aragon!E427,'Kilter Holds'!$P$36:$AB$370,7,0),0)</f>
        <v>0</v>
      </c>
      <c r="J427" s="2">
        <f t="shared" si="19"/>
        <v>0</v>
      </c>
      <c r="K427" s="2">
        <f t="shared" si="20"/>
        <v>0</v>
      </c>
    </row>
    <row r="428" spans="5:11">
      <c r="E428" t="s">
        <v>273</v>
      </c>
      <c r="F428" t="s">
        <v>596</v>
      </c>
      <c r="G428" s="8" t="str">
        <f t="shared" si="21"/>
        <v>16-16</v>
      </c>
      <c r="H428" s="1">
        <f>_xlfn.IFNA(VLOOKUP(Aragon!E428,'Kilter Holds'!$P$36:$AB$370,8,0),0)</f>
        <v>0</v>
      </c>
      <c r="J428" s="2">
        <f t="shared" si="19"/>
        <v>0</v>
      </c>
      <c r="K428" s="2">
        <f t="shared" si="20"/>
        <v>0</v>
      </c>
    </row>
    <row r="429" spans="5:11">
      <c r="E429" t="s">
        <v>273</v>
      </c>
      <c r="F429" t="s">
        <v>596</v>
      </c>
      <c r="G429" s="9" t="str">
        <f t="shared" si="21"/>
        <v>13-01</v>
      </c>
      <c r="H429" s="1">
        <f>_xlfn.IFNA(VLOOKUP(Aragon!E429,'Kilter Holds'!$P$36:$AB$370,9,0),0)</f>
        <v>0</v>
      </c>
      <c r="J429" s="2">
        <f t="shared" si="19"/>
        <v>0</v>
      </c>
      <c r="K429" s="2">
        <f t="shared" si="20"/>
        <v>0</v>
      </c>
    </row>
    <row r="430" spans="5:11">
      <c r="E430" t="s">
        <v>273</v>
      </c>
      <c r="F430" t="s">
        <v>596</v>
      </c>
      <c r="G430" s="10" t="str">
        <f t="shared" si="21"/>
        <v>07-13</v>
      </c>
      <c r="H430" s="1">
        <f>_xlfn.IFNA(VLOOKUP(Aragon!E430,'Kilter Holds'!$P$36:$AB$370,10,0),0)</f>
        <v>0</v>
      </c>
      <c r="J430" s="2">
        <f t="shared" si="19"/>
        <v>0</v>
      </c>
      <c r="K430" s="2">
        <f t="shared" si="20"/>
        <v>0</v>
      </c>
    </row>
    <row r="431" spans="5:11">
      <c r="E431" t="s">
        <v>273</v>
      </c>
      <c r="F431" t="s">
        <v>596</v>
      </c>
      <c r="G431" s="11" t="str">
        <f t="shared" si="21"/>
        <v>11-25</v>
      </c>
      <c r="H431" s="1">
        <f>_xlfn.IFNA(VLOOKUP(Aragon!E431,'Kilter Holds'!$P$36:$AB$370,11,0),0)</f>
        <v>0</v>
      </c>
      <c r="J431" s="2">
        <f t="shared" si="19"/>
        <v>0</v>
      </c>
      <c r="K431" s="2">
        <f t="shared" si="20"/>
        <v>0</v>
      </c>
    </row>
    <row r="432" spans="5:11">
      <c r="E432" t="s">
        <v>273</v>
      </c>
      <c r="F432" t="s">
        <v>596</v>
      </c>
      <c r="G432" s="13" t="str">
        <f t="shared" si="21"/>
        <v>18-01</v>
      </c>
      <c r="H432" s="1">
        <f>_xlfn.IFNA(VLOOKUP(Aragon!E432,'Kilter Holds'!$P$36:$AB$370,12,0),0)</f>
        <v>0</v>
      </c>
      <c r="J432" s="2">
        <f t="shared" si="19"/>
        <v>0</v>
      </c>
      <c r="K432" s="2">
        <f t="shared" si="20"/>
        <v>0</v>
      </c>
    </row>
    <row r="433" spans="5:11">
      <c r="E433" t="s">
        <v>273</v>
      </c>
      <c r="F433" t="s">
        <v>596</v>
      </c>
      <c r="G433" s="12" t="str">
        <f t="shared" si="21"/>
        <v>12-01</v>
      </c>
      <c r="H433" s="1">
        <f>_xlfn.IFNA(VLOOKUP(Aragon!E433,'Kilter Holds'!$P$36:$AB$370,13,0),0)</f>
        <v>0</v>
      </c>
      <c r="J433" s="2">
        <f t="shared" si="19"/>
        <v>0</v>
      </c>
      <c r="K433" s="2">
        <f t="shared" si="20"/>
        <v>0</v>
      </c>
    </row>
    <row r="434" spans="5:11">
      <c r="E434" t="s">
        <v>274</v>
      </c>
      <c r="F434" t="s">
        <v>597</v>
      </c>
      <c r="G434" s="5" t="str">
        <f t="shared" si="21"/>
        <v>11-12</v>
      </c>
      <c r="H434" s="1">
        <f>_xlfn.IFNA(VLOOKUP(Aragon!E434,'Kilter Holds'!$P$36:$AB$370,5,0),0)</f>
        <v>0</v>
      </c>
      <c r="J434" s="2">
        <f t="shared" si="19"/>
        <v>0</v>
      </c>
      <c r="K434" s="2">
        <f t="shared" si="20"/>
        <v>0</v>
      </c>
    </row>
    <row r="435" spans="5:11">
      <c r="E435" t="s">
        <v>274</v>
      </c>
      <c r="F435" t="s">
        <v>597</v>
      </c>
      <c r="G435" s="6" t="str">
        <f t="shared" si="21"/>
        <v>14-01</v>
      </c>
      <c r="H435" s="1">
        <f>_xlfn.IFNA(VLOOKUP(Aragon!E435,'Kilter Holds'!$P$36:$AB$370,6,0),0)</f>
        <v>0</v>
      </c>
      <c r="J435" s="2">
        <f t="shared" si="19"/>
        <v>0</v>
      </c>
      <c r="K435" s="2">
        <f t="shared" si="20"/>
        <v>0</v>
      </c>
    </row>
    <row r="436" spans="5:11">
      <c r="E436" t="s">
        <v>274</v>
      </c>
      <c r="F436" t="s">
        <v>597</v>
      </c>
      <c r="G436" s="7" t="str">
        <f t="shared" si="21"/>
        <v>15-12</v>
      </c>
      <c r="H436" s="1">
        <f>_xlfn.IFNA(VLOOKUP(Aragon!E436,'Kilter Holds'!$P$36:$AB$370,7,0),0)</f>
        <v>0</v>
      </c>
      <c r="J436" s="2">
        <f t="shared" si="19"/>
        <v>0</v>
      </c>
      <c r="K436" s="2">
        <f t="shared" si="20"/>
        <v>0</v>
      </c>
    </row>
    <row r="437" spans="5:11">
      <c r="E437" t="s">
        <v>274</v>
      </c>
      <c r="F437" t="s">
        <v>597</v>
      </c>
      <c r="G437" s="8" t="str">
        <f t="shared" si="21"/>
        <v>16-16</v>
      </c>
      <c r="H437" s="1">
        <f>_xlfn.IFNA(VLOOKUP(Aragon!E437,'Kilter Holds'!$P$36:$AB$370,8,0),0)</f>
        <v>0</v>
      </c>
      <c r="J437" s="2">
        <f t="shared" si="19"/>
        <v>0</v>
      </c>
      <c r="K437" s="2">
        <f t="shared" si="20"/>
        <v>0</v>
      </c>
    </row>
    <row r="438" spans="5:11">
      <c r="E438" t="s">
        <v>274</v>
      </c>
      <c r="F438" t="s">
        <v>597</v>
      </c>
      <c r="G438" s="9" t="str">
        <f t="shared" si="21"/>
        <v>13-01</v>
      </c>
      <c r="H438" s="1">
        <f>_xlfn.IFNA(VLOOKUP(Aragon!E438,'Kilter Holds'!$P$36:$AB$370,9,0),0)</f>
        <v>0</v>
      </c>
      <c r="J438" s="2">
        <f t="shared" si="19"/>
        <v>0</v>
      </c>
      <c r="K438" s="2">
        <f t="shared" si="20"/>
        <v>0</v>
      </c>
    </row>
    <row r="439" spans="5:11">
      <c r="E439" t="s">
        <v>274</v>
      </c>
      <c r="F439" t="s">
        <v>597</v>
      </c>
      <c r="G439" s="10" t="str">
        <f t="shared" si="21"/>
        <v>07-13</v>
      </c>
      <c r="H439" s="1">
        <f>_xlfn.IFNA(VLOOKUP(Aragon!E439,'Kilter Holds'!$P$36:$AB$370,10,0),0)</f>
        <v>0</v>
      </c>
      <c r="J439" s="2">
        <f t="shared" si="19"/>
        <v>0</v>
      </c>
      <c r="K439" s="2">
        <f t="shared" si="20"/>
        <v>0</v>
      </c>
    </row>
    <row r="440" spans="5:11">
      <c r="E440" t="s">
        <v>274</v>
      </c>
      <c r="F440" t="s">
        <v>597</v>
      </c>
      <c r="G440" s="11" t="str">
        <f t="shared" si="21"/>
        <v>11-25</v>
      </c>
      <c r="H440" s="1">
        <f>_xlfn.IFNA(VLOOKUP(Aragon!E440,'Kilter Holds'!$P$36:$AB$370,11,0),0)</f>
        <v>0</v>
      </c>
      <c r="J440" s="2">
        <f t="shared" si="19"/>
        <v>0</v>
      </c>
      <c r="K440" s="2">
        <f t="shared" si="20"/>
        <v>0</v>
      </c>
    </row>
    <row r="441" spans="5:11">
      <c r="E441" t="s">
        <v>274</v>
      </c>
      <c r="F441" t="s">
        <v>597</v>
      </c>
      <c r="G441" s="13" t="str">
        <f t="shared" si="21"/>
        <v>18-01</v>
      </c>
      <c r="H441" s="1">
        <f>_xlfn.IFNA(VLOOKUP(Aragon!E441,'Kilter Holds'!$P$36:$AB$370,12,0),0)</f>
        <v>0</v>
      </c>
      <c r="J441" s="2">
        <f t="shared" si="19"/>
        <v>0</v>
      </c>
      <c r="K441" s="2">
        <f t="shared" si="20"/>
        <v>0</v>
      </c>
    </row>
    <row r="442" spans="5:11">
      <c r="E442" t="s">
        <v>274</v>
      </c>
      <c r="F442" t="s">
        <v>597</v>
      </c>
      <c r="G442" s="12" t="str">
        <f t="shared" si="21"/>
        <v>12-01</v>
      </c>
      <c r="H442" s="1">
        <f>_xlfn.IFNA(VLOOKUP(Aragon!E442,'Kilter Holds'!$P$36:$AB$370,13,0),0)</f>
        <v>0</v>
      </c>
      <c r="J442" s="2">
        <f t="shared" ref="J442:J505" si="22">H442*I442</f>
        <v>0</v>
      </c>
      <c r="K442" s="2">
        <f t="shared" si="20"/>
        <v>0</v>
      </c>
    </row>
    <row r="443" spans="5:11">
      <c r="E443" t="s">
        <v>886</v>
      </c>
      <c r="F443" t="s">
        <v>896</v>
      </c>
      <c r="G443" s="5" t="str">
        <f t="shared" si="21"/>
        <v>11-12</v>
      </c>
      <c r="H443" s="1">
        <f>_xlfn.IFNA(VLOOKUP(Aragon!E443,'Kilter Holds'!$P$36:$AB$370,5,0),0)</f>
        <v>0</v>
      </c>
      <c r="J443" s="2">
        <f t="shared" si="22"/>
        <v>0</v>
      </c>
      <c r="K443" s="2">
        <f t="shared" si="20"/>
        <v>0</v>
      </c>
    </row>
    <row r="444" spans="5:11">
      <c r="E444" t="s">
        <v>886</v>
      </c>
      <c r="F444" t="s">
        <v>896</v>
      </c>
      <c r="G444" s="6" t="str">
        <f t="shared" si="21"/>
        <v>14-01</v>
      </c>
      <c r="H444" s="1">
        <f>_xlfn.IFNA(VLOOKUP(Aragon!E444,'Kilter Holds'!$P$36:$AB$370,6,0),0)</f>
        <v>0</v>
      </c>
      <c r="J444" s="2">
        <f t="shared" si="22"/>
        <v>0</v>
      </c>
      <c r="K444" s="2">
        <f t="shared" si="20"/>
        <v>0</v>
      </c>
    </row>
    <row r="445" spans="5:11">
      <c r="E445" t="s">
        <v>886</v>
      </c>
      <c r="F445" t="s">
        <v>896</v>
      </c>
      <c r="G445" s="7" t="str">
        <f t="shared" si="21"/>
        <v>15-12</v>
      </c>
      <c r="H445" s="1">
        <f>_xlfn.IFNA(VLOOKUP(Aragon!E445,'Kilter Holds'!$P$36:$AB$370,7,0),0)</f>
        <v>0</v>
      </c>
      <c r="J445" s="2">
        <f t="shared" si="22"/>
        <v>0</v>
      </c>
      <c r="K445" s="2">
        <f t="shared" si="20"/>
        <v>0</v>
      </c>
    </row>
    <row r="446" spans="5:11">
      <c r="E446" t="s">
        <v>886</v>
      </c>
      <c r="F446" t="s">
        <v>896</v>
      </c>
      <c r="G446" s="8" t="str">
        <f t="shared" si="21"/>
        <v>16-16</v>
      </c>
      <c r="H446" s="1">
        <f>_xlfn.IFNA(VLOOKUP(Aragon!E446,'Kilter Holds'!$P$36:$AB$370,8,0),0)</f>
        <v>0</v>
      </c>
      <c r="J446" s="2">
        <f t="shared" si="22"/>
        <v>0</v>
      </c>
      <c r="K446" s="2">
        <f t="shared" si="20"/>
        <v>0</v>
      </c>
    </row>
    <row r="447" spans="5:11">
      <c r="E447" t="s">
        <v>886</v>
      </c>
      <c r="F447" t="s">
        <v>896</v>
      </c>
      <c r="G447" s="9" t="str">
        <f t="shared" si="21"/>
        <v>13-01</v>
      </c>
      <c r="H447" s="1">
        <f>_xlfn.IFNA(VLOOKUP(Aragon!E447,'Kilter Holds'!$P$36:$AB$370,9,0),0)</f>
        <v>0</v>
      </c>
      <c r="J447" s="2">
        <f t="shared" si="22"/>
        <v>0</v>
      </c>
      <c r="K447" s="2">
        <f t="shared" si="20"/>
        <v>0</v>
      </c>
    </row>
    <row r="448" spans="5:11">
      <c r="E448" t="s">
        <v>886</v>
      </c>
      <c r="F448" t="s">
        <v>896</v>
      </c>
      <c r="G448" s="10" t="str">
        <f t="shared" si="21"/>
        <v>07-13</v>
      </c>
      <c r="H448" s="1">
        <f>_xlfn.IFNA(VLOOKUP(Aragon!E448,'Kilter Holds'!$P$36:$AB$370,10,0),0)</f>
        <v>0</v>
      </c>
      <c r="J448" s="2">
        <f t="shared" si="22"/>
        <v>0</v>
      </c>
      <c r="K448" s="2">
        <f t="shared" si="20"/>
        <v>0</v>
      </c>
    </row>
    <row r="449" spans="5:11">
      <c r="E449" t="s">
        <v>886</v>
      </c>
      <c r="F449" t="s">
        <v>896</v>
      </c>
      <c r="G449" s="11" t="str">
        <f t="shared" si="21"/>
        <v>11-25</v>
      </c>
      <c r="H449" s="1">
        <f>_xlfn.IFNA(VLOOKUP(Aragon!E449,'Kilter Holds'!$P$36:$AB$370,11,0),0)</f>
        <v>0</v>
      </c>
      <c r="J449" s="2">
        <f t="shared" si="22"/>
        <v>0</v>
      </c>
      <c r="K449" s="2">
        <f t="shared" si="20"/>
        <v>0</v>
      </c>
    </row>
    <row r="450" spans="5:11">
      <c r="E450" t="s">
        <v>886</v>
      </c>
      <c r="F450" t="s">
        <v>896</v>
      </c>
      <c r="G450" s="13" t="str">
        <f t="shared" si="21"/>
        <v>18-01</v>
      </c>
      <c r="H450" s="1">
        <f>_xlfn.IFNA(VLOOKUP(Aragon!E450,'Kilter Holds'!$P$36:$AB$370,12,0),0)</f>
        <v>0</v>
      </c>
      <c r="J450" s="2">
        <f t="shared" si="22"/>
        <v>0</v>
      </c>
      <c r="K450" s="2">
        <f t="shared" si="20"/>
        <v>0</v>
      </c>
    </row>
    <row r="451" spans="5:11">
      <c r="E451" t="s">
        <v>886</v>
      </c>
      <c r="F451" t="s">
        <v>896</v>
      </c>
      <c r="G451" s="12" t="str">
        <f t="shared" si="21"/>
        <v>12-01</v>
      </c>
      <c r="H451" s="1">
        <f>_xlfn.IFNA(VLOOKUP(Aragon!E451,'Kilter Holds'!$P$36:$AB$370,13,0),0)</f>
        <v>0</v>
      </c>
      <c r="J451" s="2">
        <f t="shared" si="22"/>
        <v>0</v>
      </c>
      <c r="K451" s="2">
        <f t="shared" si="20"/>
        <v>0</v>
      </c>
    </row>
    <row r="452" spans="5:11">
      <c r="E452" t="s">
        <v>287</v>
      </c>
      <c r="F452" t="s">
        <v>598</v>
      </c>
      <c r="G452" s="5" t="str">
        <f t="shared" si="21"/>
        <v>11-12</v>
      </c>
      <c r="H452" s="1">
        <f>_xlfn.IFNA(VLOOKUP(Aragon!E452,'Kilter Holds'!$P$36:$AB$370,5,0),0)</f>
        <v>0</v>
      </c>
      <c r="J452" s="2">
        <f t="shared" si="22"/>
        <v>0</v>
      </c>
      <c r="K452" s="2">
        <f t="shared" si="20"/>
        <v>0</v>
      </c>
    </row>
    <row r="453" spans="5:11">
      <c r="E453" t="s">
        <v>287</v>
      </c>
      <c r="F453" t="s">
        <v>598</v>
      </c>
      <c r="G453" s="6" t="str">
        <f t="shared" si="21"/>
        <v>14-01</v>
      </c>
      <c r="H453" s="1">
        <f>_xlfn.IFNA(VLOOKUP(Aragon!E453,'Kilter Holds'!$P$36:$AB$370,6,0),0)</f>
        <v>0</v>
      </c>
      <c r="J453" s="2">
        <f t="shared" si="22"/>
        <v>0</v>
      </c>
      <c r="K453" s="2">
        <f t="shared" si="20"/>
        <v>0</v>
      </c>
    </row>
    <row r="454" spans="5:11">
      <c r="E454" t="s">
        <v>287</v>
      </c>
      <c r="F454" t="s">
        <v>598</v>
      </c>
      <c r="G454" s="7" t="str">
        <f t="shared" si="21"/>
        <v>15-12</v>
      </c>
      <c r="H454" s="1">
        <f>_xlfn.IFNA(VLOOKUP(Aragon!E454,'Kilter Holds'!$P$36:$AB$370,7,0),0)</f>
        <v>0</v>
      </c>
      <c r="J454" s="2">
        <f t="shared" si="22"/>
        <v>0</v>
      </c>
      <c r="K454" s="2">
        <f t="shared" si="20"/>
        <v>0</v>
      </c>
    </row>
    <row r="455" spans="5:11">
      <c r="E455" t="s">
        <v>287</v>
      </c>
      <c r="F455" t="s">
        <v>598</v>
      </c>
      <c r="G455" s="8" t="str">
        <f t="shared" si="21"/>
        <v>16-16</v>
      </c>
      <c r="H455" s="1">
        <f>_xlfn.IFNA(VLOOKUP(Aragon!E455,'Kilter Holds'!$P$36:$AB$370,8,0),0)</f>
        <v>0</v>
      </c>
      <c r="J455" s="2">
        <f t="shared" si="22"/>
        <v>0</v>
      </c>
      <c r="K455" s="2">
        <f t="shared" si="20"/>
        <v>0</v>
      </c>
    </row>
    <row r="456" spans="5:11">
      <c r="E456" t="s">
        <v>287</v>
      </c>
      <c r="F456" t="s">
        <v>598</v>
      </c>
      <c r="G456" s="9" t="str">
        <f t="shared" si="21"/>
        <v>13-01</v>
      </c>
      <c r="H456" s="1">
        <f>_xlfn.IFNA(VLOOKUP(Aragon!E456,'Kilter Holds'!$P$36:$AB$370,9,0),0)</f>
        <v>0</v>
      </c>
      <c r="J456" s="2">
        <f t="shared" si="22"/>
        <v>0</v>
      </c>
      <c r="K456" s="2">
        <f t="shared" si="20"/>
        <v>0</v>
      </c>
    </row>
    <row r="457" spans="5:11">
      <c r="E457" t="s">
        <v>287</v>
      </c>
      <c r="F457" t="s">
        <v>598</v>
      </c>
      <c r="G457" s="10" t="str">
        <f t="shared" si="21"/>
        <v>07-13</v>
      </c>
      <c r="H457" s="1">
        <f>_xlfn.IFNA(VLOOKUP(Aragon!E457,'Kilter Holds'!$P$36:$AB$370,10,0),0)</f>
        <v>0</v>
      </c>
      <c r="J457" s="2">
        <f t="shared" si="22"/>
        <v>0</v>
      </c>
      <c r="K457" s="2">
        <f t="shared" si="20"/>
        <v>0</v>
      </c>
    </row>
    <row r="458" spans="5:11">
      <c r="E458" t="s">
        <v>287</v>
      </c>
      <c r="F458" t="s">
        <v>598</v>
      </c>
      <c r="G458" s="11" t="str">
        <f t="shared" si="21"/>
        <v>11-25</v>
      </c>
      <c r="H458" s="1">
        <f>_xlfn.IFNA(VLOOKUP(Aragon!E458,'Kilter Holds'!$P$36:$AB$370,11,0),0)</f>
        <v>0</v>
      </c>
      <c r="J458" s="2">
        <f t="shared" si="22"/>
        <v>0</v>
      </c>
      <c r="K458" s="2">
        <f t="shared" si="20"/>
        <v>0</v>
      </c>
    </row>
    <row r="459" spans="5:11">
      <c r="E459" t="s">
        <v>287</v>
      </c>
      <c r="F459" t="s">
        <v>598</v>
      </c>
      <c r="G459" s="13" t="str">
        <f t="shared" si="21"/>
        <v>18-01</v>
      </c>
      <c r="H459" s="1">
        <f>_xlfn.IFNA(VLOOKUP(Aragon!E459,'Kilter Holds'!$P$36:$AB$370,12,0),0)</f>
        <v>0</v>
      </c>
      <c r="J459" s="2">
        <f t="shared" si="22"/>
        <v>0</v>
      </c>
      <c r="K459" s="2">
        <f t="shared" si="20"/>
        <v>0</v>
      </c>
    </row>
    <row r="460" spans="5:11">
      <c r="E460" t="s">
        <v>287</v>
      </c>
      <c r="F460" t="s">
        <v>598</v>
      </c>
      <c r="G460" s="12" t="str">
        <f t="shared" si="21"/>
        <v>12-01</v>
      </c>
      <c r="H460" s="1">
        <f>_xlfn.IFNA(VLOOKUP(Aragon!E460,'Kilter Holds'!$P$36:$AB$370,13,0),0)</f>
        <v>0</v>
      </c>
      <c r="J460" s="2">
        <f t="shared" si="22"/>
        <v>0</v>
      </c>
      <c r="K460" s="2">
        <f t="shared" ref="K460:K523" si="23">IF($V$11="Y",J460*0.05,0)</f>
        <v>0</v>
      </c>
    </row>
    <row r="461" spans="5:11">
      <c r="E461" t="s">
        <v>288</v>
      </c>
      <c r="F461" t="s">
        <v>599</v>
      </c>
      <c r="G461" s="5" t="str">
        <f t="shared" ref="G461:G524" si="24">G452</f>
        <v>11-12</v>
      </c>
      <c r="H461" s="1">
        <f>_xlfn.IFNA(VLOOKUP(Aragon!E461,'Kilter Holds'!$P$36:$AB$370,5,0),0)</f>
        <v>0</v>
      </c>
      <c r="J461" s="2">
        <f t="shared" si="22"/>
        <v>0</v>
      </c>
      <c r="K461" s="2">
        <f t="shared" si="23"/>
        <v>0</v>
      </c>
    </row>
    <row r="462" spans="5:11">
      <c r="E462" t="s">
        <v>288</v>
      </c>
      <c r="F462" t="s">
        <v>599</v>
      </c>
      <c r="G462" s="6" t="str">
        <f t="shared" si="24"/>
        <v>14-01</v>
      </c>
      <c r="H462" s="1">
        <f>_xlfn.IFNA(VLOOKUP(Aragon!E462,'Kilter Holds'!$P$36:$AB$370,6,0),0)</f>
        <v>0</v>
      </c>
      <c r="J462" s="2">
        <f t="shared" si="22"/>
        <v>0</v>
      </c>
      <c r="K462" s="2">
        <f t="shared" si="23"/>
        <v>0</v>
      </c>
    </row>
    <row r="463" spans="5:11">
      <c r="E463" t="s">
        <v>288</v>
      </c>
      <c r="F463" t="s">
        <v>599</v>
      </c>
      <c r="G463" s="7" t="str">
        <f t="shared" si="24"/>
        <v>15-12</v>
      </c>
      <c r="H463" s="1">
        <f>_xlfn.IFNA(VLOOKUP(Aragon!E463,'Kilter Holds'!$P$36:$AB$370,7,0),0)</f>
        <v>0</v>
      </c>
      <c r="J463" s="2">
        <f t="shared" si="22"/>
        <v>0</v>
      </c>
      <c r="K463" s="2">
        <f t="shared" si="23"/>
        <v>0</v>
      </c>
    </row>
    <row r="464" spans="5:11">
      <c r="E464" t="s">
        <v>288</v>
      </c>
      <c r="F464" t="s">
        <v>599</v>
      </c>
      <c r="G464" s="8" t="str">
        <f t="shared" si="24"/>
        <v>16-16</v>
      </c>
      <c r="H464" s="1">
        <f>_xlfn.IFNA(VLOOKUP(Aragon!E464,'Kilter Holds'!$P$36:$AB$370,8,0),0)</f>
        <v>0</v>
      </c>
      <c r="J464" s="2">
        <f t="shared" si="22"/>
        <v>0</v>
      </c>
      <c r="K464" s="2">
        <f t="shared" si="23"/>
        <v>0</v>
      </c>
    </row>
    <row r="465" spans="5:11">
      <c r="E465" t="s">
        <v>288</v>
      </c>
      <c r="F465" t="s">
        <v>599</v>
      </c>
      <c r="G465" s="9" t="str">
        <f t="shared" si="24"/>
        <v>13-01</v>
      </c>
      <c r="H465" s="1">
        <f>_xlfn.IFNA(VLOOKUP(Aragon!E465,'Kilter Holds'!$P$36:$AB$370,9,0),0)</f>
        <v>0</v>
      </c>
      <c r="J465" s="2">
        <f t="shared" si="22"/>
        <v>0</v>
      </c>
      <c r="K465" s="2">
        <f t="shared" si="23"/>
        <v>0</v>
      </c>
    </row>
    <row r="466" spans="5:11">
      <c r="E466" t="s">
        <v>288</v>
      </c>
      <c r="F466" t="s">
        <v>599</v>
      </c>
      <c r="G466" s="10" t="str">
        <f t="shared" si="24"/>
        <v>07-13</v>
      </c>
      <c r="H466" s="1">
        <f>_xlfn.IFNA(VLOOKUP(Aragon!E466,'Kilter Holds'!$P$36:$AB$370,10,0),0)</f>
        <v>0</v>
      </c>
      <c r="J466" s="2">
        <f t="shared" si="22"/>
        <v>0</v>
      </c>
      <c r="K466" s="2">
        <f t="shared" si="23"/>
        <v>0</v>
      </c>
    </row>
    <row r="467" spans="5:11">
      <c r="E467" t="s">
        <v>288</v>
      </c>
      <c r="F467" t="s">
        <v>599</v>
      </c>
      <c r="G467" s="11" t="str">
        <f t="shared" si="24"/>
        <v>11-25</v>
      </c>
      <c r="H467" s="1">
        <f>_xlfn.IFNA(VLOOKUP(Aragon!E467,'Kilter Holds'!$P$36:$AB$370,11,0),0)</f>
        <v>0</v>
      </c>
      <c r="J467" s="2">
        <f t="shared" si="22"/>
        <v>0</v>
      </c>
      <c r="K467" s="2">
        <f t="shared" si="23"/>
        <v>0</v>
      </c>
    </row>
    <row r="468" spans="5:11">
      <c r="E468" t="s">
        <v>288</v>
      </c>
      <c r="F468" t="s">
        <v>599</v>
      </c>
      <c r="G468" s="13" t="str">
        <f t="shared" si="24"/>
        <v>18-01</v>
      </c>
      <c r="H468" s="1">
        <f>_xlfn.IFNA(VLOOKUP(Aragon!E468,'Kilter Holds'!$P$36:$AB$370,12,0),0)</f>
        <v>0</v>
      </c>
      <c r="J468" s="2">
        <f t="shared" si="22"/>
        <v>0</v>
      </c>
      <c r="K468" s="2">
        <f t="shared" si="23"/>
        <v>0</v>
      </c>
    </row>
    <row r="469" spans="5:11">
      <c r="E469" t="s">
        <v>288</v>
      </c>
      <c r="F469" t="s">
        <v>599</v>
      </c>
      <c r="G469" s="12" t="str">
        <f t="shared" si="24"/>
        <v>12-01</v>
      </c>
      <c r="H469" s="1">
        <f>_xlfn.IFNA(VLOOKUP(Aragon!E469,'Kilter Holds'!$P$36:$AB$370,13,0),0)</f>
        <v>0</v>
      </c>
      <c r="J469" s="2">
        <f t="shared" si="22"/>
        <v>0</v>
      </c>
      <c r="K469" s="2">
        <f t="shared" si="23"/>
        <v>0</v>
      </c>
    </row>
    <row r="470" spans="5:11">
      <c r="E470" t="s">
        <v>289</v>
      </c>
      <c r="F470" t="s">
        <v>600</v>
      </c>
      <c r="G470" s="5" t="str">
        <f t="shared" si="24"/>
        <v>11-12</v>
      </c>
      <c r="H470" s="1">
        <f>_xlfn.IFNA(VLOOKUP(Aragon!E470,'Kilter Holds'!$P$36:$AB$370,5,0),0)</f>
        <v>0</v>
      </c>
      <c r="J470" s="2">
        <f t="shared" si="22"/>
        <v>0</v>
      </c>
      <c r="K470" s="2">
        <f t="shared" si="23"/>
        <v>0</v>
      </c>
    </row>
    <row r="471" spans="5:11">
      <c r="E471" t="s">
        <v>289</v>
      </c>
      <c r="F471" t="s">
        <v>600</v>
      </c>
      <c r="G471" s="6" t="str">
        <f t="shared" si="24"/>
        <v>14-01</v>
      </c>
      <c r="H471" s="1">
        <f>_xlfn.IFNA(VLOOKUP(Aragon!E471,'Kilter Holds'!$P$36:$AB$370,6,0),0)</f>
        <v>0</v>
      </c>
      <c r="J471" s="2">
        <f t="shared" si="22"/>
        <v>0</v>
      </c>
      <c r="K471" s="2">
        <f t="shared" si="23"/>
        <v>0</v>
      </c>
    </row>
    <row r="472" spans="5:11">
      <c r="E472" t="s">
        <v>289</v>
      </c>
      <c r="F472" t="s">
        <v>600</v>
      </c>
      <c r="G472" s="7" t="str">
        <f t="shared" si="24"/>
        <v>15-12</v>
      </c>
      <c r="H472" s="1">
        <f>_xlfn.IFNA(VLOOKUP(Aragon!E472,'Kilter Holds'!$P$36:$AB$370,7,0),0)</f>
        <v>0</v>
      </c>
      <c r="J472" s="2">
        <f t="shared" si="22"/>
        <v>0</v>
      </c>
      <c r="K472" s="2">
        <f t="shared" si="23"/>
        <v>0</v>
      </c>
    </row>
    <row r="473" spans="5:11">
      <c r="E473" t="s">
        <v>289</v>
      </c>
      <c r="F473" t="s">
        <v>600</v>
      </c>
      <c r="G473" s="8" t="str">
        <f t="shared" si="24"/>
        <v>16-16</v>
      </c>
      <c r="H473" s="1">
        <f>_xlfn.IFNA(VLOOKUP(Aragon!E473,'Kilter Holds'!$P$36:$AB$370,8,0),0)</f>
        <v>0</v>
      </c>
      <c r="J473" s="2">
        <f t="shared" si="22"/>
        <v>0</v>
      </c>
      <c r="K473" s="2">
        <f t="shared" si="23"/>
        <v>0</v>
      </c>
    </row>
    <row r="474" spans="5:11">
      <c r="E474" t="s">
        <v>289</v>
      </c>
      <c r="F474" t="s">
        <v>600</v>
      </c>
      <c r="G474" s="9" t="str">
        <f t="shared" si="24"/>
        <v>13-01</v>
      </c>
      <c r="H474" s="1">
        <f>_xlfn.IFNA(VLOOKUP(Aragon!E474,'Kilter Holds'!$P$36:$AB$370,9,0),0)</f>
        <v>0</v>
      </c>
      <c r="J474" s="2">
        <f t="shared" si="22"/>
        <v>0</v>
      </c>
      <c r="K474" s="2">
        <f t="shared" si="23"/>
        <v>0</v>
      </c>
    </row>
    <row r="475" spans="5:11">
      <c r="E475" t="s">
        <v>289</v>
      </c>
      <c r="F475" t="s">
        <v>600</v>
      </c>
      <c r="G475" s="10" t="str">
        <f t="shared" si="24"/>
        <v>07-13</v>
      </c>
      <c r="H475" s="1">
        <f>_xlfn.IFNA(VLOOKUP(Aragon!E475,'Kilter Holds'!$P$36:$AB$370,10,0),0)</f>
        <v>0</v>
      </c>
      <c r="J475" s="2">
        <f t="shared" si="22"/>
        <v>0</v>
      </c>
      <c r="K475" s="2">
        <f t="shared" si="23"/>
        <v>0</v>
      </c>
    </row>
    <row r="476" spans="5:11">
      <c r="E476" t="s">
        <v>289</v>
      </c>
      <c r="F476" t="s">
        <v>600</v>
      </c>
      <c r="G476" s="11" t="str">
        <f t="shared" si="24"/>
        <v>11-25</v>
      </c>
      <c r="H476" s="1">
        <f>_xlfn.IFNA(VLOOKUP(Aragon!E476,'Kilter Holds'!$P$36:$AB$370,11,0),0)</f>
        <v>0</v>
      </c>
      <c r="J476" s="2">
        <f t="shared" si="22"/>
        <v>0</v>
      </c>
      <c r="K476" s="2">
        <f t="shared" si="23"/>
        <v>0</v>
      </c>
    </row>
    <row r="477" spans="5:11">
      <c r="E477" t="s">
        <v>289</v>
      </c>
      <c r="F477" t="s">
        <v>600</v>
      </c>
      <c r="G477" s="13" t="str">
        <f t="shared" si="24"/>
        <v>18-01</v>
      </c>
      <c r="H477" s="1">
        <f>_xlfn.IFNA(VLOOKUP(Aragon!E477,'Kilter Holds'!$P$36:$AB$370,12,0),0)</f>
        <v>0</v>
      </c>
      <c r="J477" s="2">
        <f t="shared" si="22"/>
        <v>0</v>
      </c>
      <c r="K477" s="2">
        <f t="shared" si="23"/>
        <v>0</v>
      </c>
    </row>
    <row r="478" spans="5:11">
      <c r="E478" t="s">
        <v>289</v>
      </c>
      <c r="F478" t="s">
        <v>600</v>
      </c>
      <c r="G478" s="12" t="str">
        <f t="shared" si="24"/>
        <v>12-01</v>
      </c>
      <c r="H478" s="1">
        <f>_xlfn.IFNA(VLOOKUP(Aragon!E478,'Kilter Holds'!$P$36:$AB$370,13,0),0)</f>
        <v>0</v>
      </c>
      <c r="J478" s="2">
        <f t="shared" si="22"/>
        <v>0</v>
      </c>
      <c r="K478" s="2">
        <f t="shared" si="23"/>
        <v>0</v>
      </c>
    </row>
    <row r="479" spans="5:11">
      <c r="E479" t="s">
        <v>879</v>
      </c>
      <c r="F479" t="s">
        <v>897</v>
      </c>
      <c r="G479" s="5" t="str">
        <f t="shared" si="24"/>
        <v>11-12</v>
      </c>
      <c r="H479" s="1">
        <f>_xlfn.IFNA(VLOOKUP(Aragon!E479,'Kilter Holds'!$P$36:$AB$370,5,0),0)</f>
        <v>0</v>
      </c>
      <c r="J479" s="2">
        <f t="shared" si="22"/>
        <v>0</v>
      </c>
      <c r="K479" s="2">
        <f t="shared" si="23"/>
        <v>0</v>
      </c>
    </row>
    <row r="480" spans="5:11">
      <c r="E480" t="s">
        <v>879</v>
      </c>
      <c r="F480" t="s">
        <v>897</v>
      </c>
      <c r="G480" s="6" t="str">
        <f t="shared" si="24"/>
        <v>14-01</v>
      </c>
      <c r="H480" s="1">
        <f>_xlfn.IFNA(VLOOKUP(Aragon!E480,'Kilter Holds'!$P$36:$AB$370,6,0),0)</f>
        <v>0</v>
      </c>
      <c r="J480" s="2">
        <f t="shared" si="22"/>
        <v>0</v>
      </c>
      <c r="K480" s="2">
        <f t="shared" si="23"/>
        <v>0</v>
      </c>
    </row>
    <row r="481" spans="5:11">
      <c r="E481" t="s">
        <v>879</v>
      </c>
      <c r="F481" t="s">
        <v>897</v>
      </c>
      <c r="G481" s="7" t="str">
        <f t="shared" si="24"/>
        <v>15-12</v>
      </c>
      <c r="H481" s="1">
        <f>_xlfn.IFNA(VLOOKUP(Aragon!E481,'Kilter Holds'!$P$36:$AB$370,7,0),0)</f>
        <v>0</v>
      </c>
      <c r="J481" s="2">
        <f t="shared" si="22"/>
        <v>0</v>
      </c>
      <c r="K481" s="2">
        <f t="shared" si="23"/>
        <v>0</v>
      </c>
    </row>
    <row r="482" spans="5:11">
      <c r="E482" t="s">
        <v>879</v>
      </c>
      <c r="F482" t="s">
        <v>897</v>
      </c>
      <c r="G482" s="8" t="str">
        <f t="shared" si="24"/>
        <v>16-16</v>
      </c>
      <c r="H482" s="1">
        <f>_xlfn.IFNA(VLOOKUP(Aragon!E482,'Kilter Holds'!$P$36:$AB$370,8,0),0)</f>
        <v>0</v>
      </c>
      <c r="J482" s="2">
        <f t="shared" si="22"/>
        <v>0</v>
      </c>
      <c r="K482" s="2">
        <f t="shared" si="23"/>
        <v>0</v>
      </c>
    </row>
    <row r="483" spans="5:11">
      <c r="E483" t="s">
        <v>879</v>
      </c>
      <c r="F483" t="s">
        <v>897</v>
      </c>
      <c r="G483" s="9" t="str">
        <f t="shared" si="24"/>
        <v>13-01</v>
      </c>
      <c r="H483" s="1">
        <f>_xlfn.IFNA(VLOOKUP(Aragon!E483,'Kilter Holds'!$P$36:$AB$370,9,0),0)</f>
        <v>0</v>
      </c>
      <c r="J483" s="2">
        <f t="shared" si="22"/>
        <v>0</v>
      </c>
      <c r="K483" s="2">
        <f t="shared" si="23"/>
        <v>0</v>
      </c>
    </row>
    <row r="484" spans="5:11">
      <c r="E484" t="s">
        <v>879</v>
      </c>
      <c r="F484" t="s">
        <v>897</v>
      </c>
      <c r="G484" s="10" t="str">
        <f t="shared" si="24"/>
        <v>07-13</v>
      </c>
      <c r="H484" s="1">
        <f>_xlfn.IFNA(VLOOKUP(Aragon!E484,'Kilter Holds'!$P$36:$AB$370,10,0),0)</f>
        <v>0</v>
      </c>
      <c r="J484" s="2">
        <f t="shared" si="22"/>
        <v>0</v>
      </c>
      <c r="K484" s="2">
        <f t="shared" si="23"/>
        <v>0</v>
      </c>
    </row>
    <row r="485" spans="5:11">
      <c r="E485" t="s">
        <v>879</v>
      </c>
      <c r="F485" t="s">
        <v>897</v>
      </c>
      <c r="G485" s="11" t="str">
        <f t="shared" si="24"/>
        <v>11-25</v>
      </c>
      <c r="H485" s="1">
        <f>_xlfn.IFNA(VLOOKUP(Aragon!E485,'Kilter Holds'!$P$36:$AB$370,11,0),0)</f>
        <v>0</v>
      </c>
      <c r="J485" s="2">
        <f t="shared" si="22"/>
        <v>0</v>
      </c>
      <c r="K485" s="2">
        <f t="shared" si="23"/>
        <v>0</v>
      </c>
    </row>
    <row r="486" spans="5:11">
      <c r="E486" t="s">
        <v>879</v>
      </c>
      <c r="F486" t="s">
        <v>897</v>
      </c>
      <c r="G486" s="13" t="str">
        <f t="shared" si="24"/>
        <v>18-01</v>
      </c>
      <c r="H486" s="1">
        <f>_xlfn.IFNA(VLOOKUP(Aragon!E486,'Kilter Holds'!$P$36:$AB$370,12,0),0)</f>
        <v>0</v>
      </c>
      <c r="J486" s="2">
        <f t="shared" si="22"/>
        <v>0</v>
      </c>
      <c r="K486" s="2">
        <f t="shared" si="23"/>
        <v>0</v>
      </c>
    </row>
    <row r="487" spans="5:11">
      <c r="E487" t="s">
        <v>879</v>
      </c>
      <c r="F487" t="s">
        <v>897</v>
      </c>
      <c r="G487" s="12" t="str">
        <f t="shared" si="24"/>
        <v>12-01</v>
      </c>
      <c r="H487" s="1">
        <f>_xlfn.IFNA(VLOOKUP(Aragon!E487,'Kilter Holds'!$P$36:$AB$370,13,0),0)</f>
        <v>0</v>
      </c>
      <c r="J487" s="2">
        <f t="shared" si="22"/>
        <v>0</v>
      </c>
      <c r="K487" s="2">
        <f t="shared" si="23"/>
        <v>0</v>
      </c>
    </row>
    <row r="488" spans="5:11">
      <c r="E488" t="s">
        <v>146</v>
      </c>
      <c r="F488" t="s">
        <v>601</v>
      </c>
      <c r="G488" s="5" t="str">
        <f t="shared" si="24"/>
        <v>11-12</v>
      </c>
      <c r="H488" s="1">
        <f>_xlfn.IFNA(VLOOKUP(Aragon!E488,'Kilter Holds'!$P$36:$AB$370,5,0),0)</f>
        <v>0</v>
      </c>
      <c r="J488" s="2">
        <f t="shared" si="22"/>
        <v>0</v>
      </c>
      <c r="K488" s="2">
        <f t="shared" si="23"/>
        <v>0</v>
      </c>
    </row>
    <row r="489" spans="5:11">
      <c r="E489" t="s">
        <v>146</v>
      </c>
      <c r="F489" t="s">
        <v>601</v>
      </c>
      <c r="G489" s="6" t="str">
        <f t="shared" si="24"/>
        <v>14-01</v>
      </c>
      <c r="H489" s="1">
        <f>_xlfn.IFNA(VLOOKUP(Aragon!E489,'Kilter Holds'!$P$36:$AB$370,6,0),0)</f>
        <v>0</v>
      </c>
      <c r="J489" s="2">
        <f t="shared" si="22"/>
        <v>0</v>
      </c>
      <c r="K489" s="2">
        <f t="shared" si="23"/>
        <v>0</v>
      </c>
    </row>
    <row r="490" spans="5:11">
      <c r="E490" t="s">
        <v>146</v>
      </c>
      <c r="F490" t="s">
        <v>601</v>
      </c>
      <c r="G490" s="7" t="str">
        <f t="shared" si="24"/>
        <v>15-12</v>
      </c>
      <c r="H490" s="1">
        <f>_xlfn.IFNA(VLOOKUP(Aragon!E490,'Kilter Holds'!$P$36:$AB$370,7,0),0)</f>
        <v>0</v>
      </c>
      <c r="J490" s="2">
        <f t="shared" si="22"/>
        <v>0</v>
      </c>
      <c r="K490" s="2">
        <f t="shared" si="23"/>
        <v>0</v>
      </c>
    </row>
    <row r="491" spans="5:11">
      <c r="E491" t="s">
        <v>146</v>
      </c>
      <c r="F491" t="s">
        <v>601</v>
      </c>
      <c r="G491" s="8" t="str">
        <f t="shared" si="24"/>
        <v>16-16</v>
      </c>
      <c r="H491" s="1">
        <f>_xlfn.IFNA(VLOOKUP(Aragon!E491,'Kilter Holds'!$P$36:$AB$370,8,0),0)</f>
        <v>0</v>
      </c>
      <c r="J491" s="2">
        <f t="shared" si="22"/>
        <v>0</v>
      </c>
      <c r="K491" s="2">
        <f t="shared" si="23"/>
        <v>0</v>
      </c>
    </row>
    <row r="492" spans="5:11">
      <c r="E492" t="s">
        <v>146</v>
      </c>
      <c r="F492" t="s">
        <v>601</v>
      </c>
      <c r="G492" s="9" t="str">
        <f t="shared" si="24"/>
        <v>13-01</v>
      </c>
      <c r="H492" s="1">
        <f>_xlfn.IFNA(VLOOKUP(Aragon!E492,'Kilter Holds'!$P$36:$AB$370,9,0),0)</f>
        <v>0</v>
      </c>
      <c r="J492" s="2">
        <f t="shared" si="22"/>
        <v>0</v>
      </c>
      <c r="K492" s="2">
        <f t="shared" si="23"/>
        <v>0</v>
      </c>
    </row>
    <row r="493" spans="5:11">
      <c r="E493" t="s">
        <v>146</v>
      </c>
      <c r="F493" t="s">
        <v>601</v>
      </c>
      <c r="G493" s="10" t="str">
        <f t="shared" si="24"/>
        <v>07-13</v>
      </c>
      <c r="H493" s="1">
        <f>_xlfn.IFNA(VLOOKUP(Aragon!E493,'Kilter Holds'!$P$36:$AB$370,10,0),0)</f>
        <v>0</v>
      </c>
      <c r="J493" s="2">
        <f t="shared" si="22"/>
        <v>0</v>
      </c>
      <c r="K493" s="2">
        <f t="shared" si="23"/>
        <v>0</v>
      </c>
    </row>
    <row r="494" spans="5:11">
      <c r="E494" t="s">
        <v>146</v>
      </c>
      <c r="F494" t="s">
        <v>601</v>
      </c>
      <c r="G494" s="11" t="str">
        <f t="shared" si="24"/>
        <v>11-25</v>
      </c>
      <c r="H494" s="1">
        <f>_xlfn.IFNA(VLOOKUP(Aragon!E494,'Kilter Holds'!$P$36:$AB$370,11,0),0)</f>
        <v>0</v>
      </c>
      <c r="J494" s="2">
        <f t="shared" si="22"/>
        <v>0</v>
      </c>
      <c r="K494" s="2">
        <f t="shared" si="23"/>
        <v>0</v>
      </c>
    </row>
    <row r="495" spans="5:11">
      <c r="E495" t="s">
        <v>146</v>
      </c>
      <c r="F495" t="s">
        <v>601</v>
      </c>
      <c r="G495" s="13" t="str">
        <f t="shared" si="24"/>
        <v>18-01</v>
      </c>
      <c r="H495" s="1">
        <f>_xlfn.IFNA(VLOOKUP(Aragon!E495,'Kilter Holds'!$P$36:$AB$370,12,0),0)</f>
        <v>0</v>
      </c>
      <c r="J495" s="2">
        <f t="shared" si="22"/>
        <v>0</v>
      </c>
      <c r="K495" s="2">
        <f t="shared" si="23"/>
        <v>0</v>
      </c>
    </row>
    <row r="496" spans="5:11">
      <c r="E496" t="s">
        <v>146</v>
      </c>
      <c r="F496" t="s">
        <v>601</v>
      </c>
      <c r="G496" s="12" t="str">
        <f t="shared" si="24"/>
        <v>12-01</v>
      </c>
      <c r="H496" s="1">
        <f>_xlfn.IFNA(VLOOKUP(Aragon!E496,'Kilter Holds'!$P$36:$AB$370,13,0),0)</f>
        <v>0</v>
      </c>
      <c r="J496" s="2">
        <f t="shared" si="22"/>
        <v>0</v>
      </c>
      <c r="K496" s="2">
        <f t="shared" si="23"/>
        <v>0</v>
      </c>
    </row>
    <row r="497" spans="5:11">
      <c r="E497" t="s">
        <v>147</v>
      </c>
      <c r="F497" t="s">
        <v>602</v>
      </c>
      <c r="G497" s="5" t="str">
        <f t="shared" si="24"/>
        <v>11-12</v>
      </c>
      <c r="H497" s="1">
        <f>_xlfn.IFNA(VLOOKUP(Aragon!E497,'Kilter Holds'!$P$36:$AB$370,5,0),0)</f>
        <v>0</v>
      </c>
      <c r="J497" s="2">
        <f t="shared" si="22"/>
        <v>0</v>
      </c>
      <c r="K497" s="2">
        <f t="shared" si="23"/>
        <v>0</v>
      </c>
    </row>
    <row r="498" spans="5:11">
      <c r="E498" t="s">
        <v>147</v>
      </c>
      <c r="F498" t="s">
        <v>602</v>
      </c>
      <c r="G498" s="6" t="str">
        <f t="shared" si="24"/>
        <v>14-01</v>
      </c>
      <c r="H498" s="1">
        <f>_xlfn.IFNA(VLOOKUP(Aragon!E498,'Kilter Holds'!$P$36:$AB$370,6,0),0)</f>
        <v>0</v>
      </c>
      <c r="J498" s="2">
        <f t="shared" si="22"/>
        <v>0</v>
      </c>
      <c r="K498" s="2">
        <f t="shared" si="23"/>
        <v>0</v>
      </c>
    </row>
    <row r="499" spans="5:11">
      <c r="E499" t="s">
        <v>147</v>
      </c>
      <c r="F499" t="s">
        <v>602</v>
      </c>
      <c r="G499" s="7" t="str">
        <f t="shared" si="24"/>
        <v>15-12</v>
      </c>
      <c r="H499" s="1">
        <f>_xlfn.IFNA(VLOOKUP(Aragon!E499,'Kilter Holds'!$P$36:$AB$370,7,0),0)</f>
        <v>0</v>
      </c>
      <c r="J499" s="2">
        <f t="shared" si="22"/>
        <v>0</v>
      </c>
      <c r="K499" s="2">
        <f t="shared" si="23"/>
        <v>0</v>
      </c>
    </row>
    <row r="500" spans="5:11">
      <c r="E500" t="s">
        <v>147</v>
      </c>
      <c r="F500" t="s">
        <v>602</v>
      </c>
      <c r="G500" s="8" t="str">
        <f t="shared" si="24"/>
        <v>16-16</v>
      </c>
      <c r="H500" s="1">
        <f>_xlfn.IFNA(VLOOKUP(Aragon!E500,'Kilter Holds'!$P$36:$AB$370,8,0),0)</f>
        <v>0</v>
      </c>
      <c r="J500" s="2">
        <f t="shared" si="22"/>
        <v>0</v>
      </c>
      <c r="K500" s="2">
        <f t="shared" si="23"/>
        <v>0</v>
      </c>
    </row>
    <row r="501" spans="5:11">
      <c r="E501" t="s">
        <v>147</v>
      </c>
      <c r="F501" t="s">
        <v>602</v>
      </c>
      <c r="G501" s="9" t="str">
        <f t="shared" si="24"/>
        <v>13-01</v>
      </c>
      <c r="H501" s="1">
        <f>_xlfn.IFNA(VLOOKUP(Aragon!E501,'Kilter Holds'!$P$36:$AB$370,9,0),0)</f>
        <v>0</v>
      </c>
      <c r="J501" s="2">
        <f t="shared" si="22"/>
        <v>0</v>
      </c>
      <c r="K501" s="2">
        <f t="shared" si="23"/>
        <v>0</v>
      </c>
    </row>
    <row r="502" spans="5:11">
      <c r="E502" t="s">
        <v>147</v>
      </c>
      <c r="F502" t="s">
        <v>602</v>
      </c>
      <c r="G502" s="10" t="str">
        <f t="shared" si="24"/>
        <v>07-13</v>
      </c>
      <c r="H502" s="1">
        <f>_xlfn.IFNA(VLOOKUP(Aragon!E502,'Kilter Holds'!$P$36:$AB$370,10,0),0)</f>
        <v>0</v>
      </c>
      <c r="J502" s="2">
        <f t="shared" si="22"/>
        <v>0</v>
      </c>
      <c r="K502" s="2">
        <f t="shared" si="23"/>
        <v>0</v>
      </c>
    </row>
    <row r="503" spans="5:11">
      <c r="E503" t="s">
        <v>147</v>
      </c>
      <c r="F503" t="s">
        <v>602</v>
      </c>
      <c r="G503" s="11" t="str">
        <f t="shared" si="24"/>
        <v>11-25</v>
      </c>
      <c r="H503" s="1">
        <f>_xlfn.IFNA(VLOOKUP(Aragon!E503,'Kilter Holds'!$P$36:$AB$370,11,0),0)</f>
        <v>0</v>
      </c>
      <c r="J503" s="2">
        <f t="shared" si="22"/>
        <v>0</v>
      </c>
      <c r="K503" s="2">
        <f t="shared" si="23"/>
        <v>0</v>
      </c>
    </row>
    <row r="504" spans="5:11">
      <c r="E504" t="s">
        <v>147</v>
      </c>
      <c r="F504" t="s">
        <v>602</v>
      </c>
      <c r="G504" s="13" t="str">
        <f t="shared" si="24"/>
        <v>18-01</v>
      </c>
      <c r="H504" s="1">
        <f>_xlfn.IFNA(VLOOKUP(Aragon!E504,'Kilter Holds'!$P$36:$AB$370,12,0),0)</f>
        <v>0</v>
      </c>
      <c r="J504" s="2">
        <f t="shared" si="22"/>
        <v>0</v>
      </c>
      <c r="K504" s="2">
        <f t="shared" si="23"/>
        <v>0</v>
      </c>
    </row>
    <row r="505" spans="5:11">
      <c r="E505" t="s">
        <v>147</v>
      </c>
      <c r="F505" t="s">
        <v>602</v>
      </c>
      <c r="G505" s="12" t="str">
        <f t="shared" si="24"/>
        <v>12-01</v>
      </c>
      <c r="H505" s="1">
        <f>_xlfn.IFNA(VLOOKUP(Aragon!E505,'Kilter Holds'!$P$36:$AB$370,13,0),0)</f>
        <v>0</v>
      </c>
      <c r="J505" s="2">
        <f t="shared" si="22"/>
        <v>0</v>
      </c>
      <c r="K505" s="2">
        <f t="shared" si="23"/>
        <v>0</v>
      </c>
    </row>
    <row r="506" spans="5:11">
      <c r="E506" t="s">
        <v>148</v>
      </c>
      <c r="F506" t="s">
        <v>603</v>
      </c>
      <c r="G506" s="5" t="str">
        <f t="shared" si="24"/>
        <v>11-12</v>
      </c>
      <c r="H506" s="1">
        <f>_xlfn.IFNA(VLOOKUP(Aragon!E506,'Kilter Holds'!$P$36:$AB$370,5,0),0)</f>
        <v>0</v>
      </c>
      <c r="J506" s="2">
        <f t="shared" ref="J506:J569" si="25">H506*I506</f>
        <v>0</v>
      </c>
      <c r="K506" s="2">
        <f t="shared" si="23"/>
        <v>0</v>
      </c>
    </row>
    <row r="507" spans="5:11">
      <c r="E507" t="s">
        <v>148</v>
      </c>
      <c r="F507" t="s">
        <v>603</v>
      </c>
      <c r="G507" s="6" t="str">
        <f t="shared" si="24"/>
        <v>14-01</v>
      </c>
      <c r="H507" s="1">
        <f>_xlfn.IFNA(VLOOKUP(Aragon!E507,'Kilter Holds'!$P$36:$AB$370,6,0),0)</f>
        <v>0</v>
      </c>
      <c r="J507" s="2">
        <f t="shared" si="25"/>
        <v>0</v>
      </c>
      <c r="K507" s="2">
        <f t="shared" si="23"/>
        <v>0</v>
      </c>
    </row>
    <row r="508" spans="5:11">
      <c r="E508" t="s">
        <v>148</v>
      </c>
      <c r="F508" t="s">
        <v>603</v>
      </c>
      <c r="G508" s="7" t="str">
        <f t="shared" si="24"/>
        <v>15-12</v>
      </c>
      <c r="H508" s="1">
        <f>_xlfn.IFNA(VLOOKUP(Aragon!E508,'Kilter Holds'!$P$36:$AB$370,7,0),0)</f>
        <v>0</v>
      </c>
      <c r="J508" s="2">
        <f t="shared" si="25"/>
        <v>0</v>
      </c>
      <c r="K508" s="2">
        <f t="shared" si="23"/>
        <v>0</v>
      </c>
    </row>
    <row r="509" spans="5:11">
      <c r="E509" t="s">
        <v>148</v>
      </c>
      <c r="F509" t="s">
        <v>603</v>
      </c>
      <c r="G509" s="8" t="str">
        <f t="shared" si="24"/>
        <v>16-16</v>
      </c>
      <c r="H509" s="1">
        <f>_xlfn.IFNA(VLOOKUP(Aragon!E509,'Kilter Holds'!$P$36:$AB$370,8,0),0)</f>
        <v>0</v>
      </c>
      <c r="J509" s="2">
        <f t="shared" si="25"/>
        <v>0</v>
      </c>
      <c r="K509" s="2">
        <f t="shared" si="23"/>
        <v>0</v>
      </c>
    </row>
    <row r="510" spans="5:11">
      <c r="E510" t="s">
        <v>148</v>
      </c>
      <c r="F510" t="s">
        <v>603</v>
      </c>
      <c r="G510" s="9" t="str">
        <f t="shared" si="24"/>
        <v>13-01</v>
      </c>
      <c r="H510" s="1">
        <f>_xlfn.IFNA(VLOOKUP(Aragon!E510,'Kilter Holds'!$P$36:$AB$370,9,0),0)</f>
        <v>0</v>
      </c>
      <c r="J510" s="2">
        <f t="shared" si="25"/>
        <v>0</v>
      </c>
      <c r="K510" s="2">
        <f t="shared" si="23"/>
        <v>0</v>
      </c>
    </row>
    <row r="511" spans="5:11">
      <c r="E511" t="s">
        <v>148</v>
      </c>
      <c r="F511" t="s">
        <v>603</v>
      </c>
      <c r="G511" s="10" t="str">
        <f t="shared" si="24"/>
        <v>07-13</v>
      </c>
      <c r="H511" s="1">
        <f>_xlfn.IFNA(VLOOKUP(Aragon!E511,'Kilter Holds'!$P$36:$AB$370,10,0),0)</f>
        <v>0</v>
      </c>
      <c r="J511" s="2">
        <f t="shared" si="25"/>
        <v>0</v>
      </c>
      <c r="K511" s="2">
        <f t="shared" si="23"/>
        <v>0</v>
      </c>
    </row>
    <row r="512" spans="5:11">
      <c r="E512" t="s">
        <v>148</v>
      </c>
      <c r="F512" t="s">
        <v>603</v>
      </c>
      <c r="G512" s="11" t="str">
        <f t="shared" si="24"/>
        <v>11-25</v>
      </c>
      <c r="H512" s="1">
        <f>_xlfn.IFNA(VLOOKUP(Aragon!E512,'Kilter Holds'!$P$36:$AB$370,11,0),0)</f>
        <v>0</v>
      </c>
      <c r="J512" s="2">
        <f t="shared" si="25"/>
        <v>0</v>
      </c>
      <c r="K512" s="2">
        <f t="shared" si="23"/>
        <v>0</v>
      </c>
    </row>
    <row r="513" spans="1:11">
      <c r="E513" t="s">
        <v>148</v>
      </c>
      <c r="F513" t="s">
        <v>603</v>
      </c>
      <c r="G513" s="13" t="str">
        <f t="shared" si="24"/>
        <v>18-01</v>
      </c>
      <c r="H513" s="1">
        <f>_xlfn.IFNA(VLOOKUP(Aragon!E513,'Kilter Holds'!$P$36:$AB$370,12,0),0)</f>
        <v>0</v>
      </c>
      <c r="J513" s="2">
        <f t="shared" si="25"/>
        <v>0</v>
      </c>
      <c r="K513" s="2">
        <f t="shared" si="23"/>
        <v>0</v>
      </c>
    </row>
    <row r="514" spans="1:11">
      <c r="E514" t="s">
        <v>148</v>
      </c>
      <c r="F514" t="s">
        <v>603</v>
      </c>
      <c r="G514" s="12" t="str">
        <f t="shared" si="24"/>
        <v>12-01</v>
      </c>
      <c r="H514" s="1">
        <f>_xlfn.IFNA(VLOOKUP(Aragon!E514,'Kilter Holds'!$P$36:$AB$370,13,0),0)</f>
        <v>0</v>
      </c>
      <c r="J514" s="2">
        <f t="shared" si="25"/>
        <v>0</v>
      </c>
      <c r="K514" s="2">
        <f t="shared" si="23"/>
        <v>0</v>
      </c>
    </row>
    <row r="515" spans="1:11">
      <c r="A515" s="3" t="s">
        <v>2170</v>
      </c>
      <c r="B515" s="3"/>
      <c r="C515" s="3"/>
      <c r="D515" s="3"/>
      <c r="E515" t="s">
        <v>312</v>
      </c>
      <c r="F515" t="s">
        <v>604</v>
      </c>
      <c r="G515" s="5" t="str">
        <f t="shared" si="24"/>
        <v>11-12</v>
      </c>
      <c r="H515" s="1">
        <f>_xlfn.IFNA(VLOOKUP(E515,'Kilter Holds'!$P$36:$AB$370,5,0),0)+_xlfn.IFNA(VLOOKUP(A515,'Kilter Holds'!$P$36:$AB$370,5,0),0)</f>
        <v>0</v>
      </c>
      <c r="J515" s="2">
        <f t="shared" si="25"/>
        <v>0</v>
      </c>
      <c r="K515" s="2">
        <f t="shared" si="23"/>
        <v>0</v>
      </c>
    </row>
    <row r="516" spans="1:11">
      <c r="A516" s="3" t="s">
        <v>2170</v>
      </c>
      <c r="B516" s="3"/>
      <c r="C516" s="3"/>
      <c r="D516" s="3"/>
      <c r="E516" t="s">
        <v>312</v>
      </c>
      <c r="F516" t="s">
        <v>604</v>
      </c>
      <c r="G516" s="6" t="str">
        <f t="shared" si="24"/>
        <v>14-01</v>
      </c>
      <c r="H516" s="1">
        <f>_xlfn.IFNA(VLOOKUP(E516,'Kilter Holds'!$P$36:$AB$370,6,0),0)+_xlfn.IFNA(VLOOKUP(A516,'Kilter Holds'!$P$36:$AB$370,6,0),0)</f>
        <v>0</v>
      </c>
      <c r="J516" s="2">
        <f t="shared" si="25"/>
        <v>0</v>
      </c>
      <c r="K516" s="2">
        <f t="shared" si="23"/>
        <v>0</v>
      </c>
    </row>
    <row r="517" spans="1:11">
      <c r="A517" s="3" t="s">
        <v>2170</v>
      </c>
      <c r="B517" s="3"/>
      <c r="C517" s="3"/>
      <c r="D517" s="3"/>
      <c r="E517" t="s">
        <v>312</v>
      </c>
      <c r="F517" t="s">
        <v>604</v>
      </c>
      <c r="G517" s="7" t="str">
        <f t="shared" si="24"/>
        <v>15-12</v>
      </c>
      <c r="H517" s="1">
        <f>_xlfn.IFNA(VLOOKUP(E517,'Kilter Holds'!$P$36:$AB$370,7,0),0)+_xlfn.IFNA(VLOOKUP(A517,'Kilter Holds'!$P$36:$AB$370,7,0),0)</f>
        <v>0</v>
      </c>
      <c r="J517" s="2">
        <f t="shared" si="25"/>
        <v>0</v>
      </c>
      <c r="K517" s="2">
        <f t="shared" si="23"/>
        <v>0</v>
      </c>
    </row>
    <row r="518" spans="1:11">
      <c r="A518" s="3" t="s">
        <v>2170</v>
      </c>
      <c r="B518" s="3"/>
      <c r="C518" s="3"/>
      <c r="D518" s="3"/>
      <c r="E518" t="s">
        <v>312</v>
      </c>
      <c r="F518" t="s">
        <v>604</v>
      </c>
      <c r="G518" s="8" t="str">
        <f t="shared" si="24"/>
        <v>16-16</v>
      </c>
      <c r="H518" s="1">
        <f>_xlfn.IFNA(VLOOKUP(E518,'Kilter Holds'!$P$36:$AB$370,8,0),0)+_xlfn.IFNA(VLOOKUP(A518,'Kilter Holds'!$P$36:$AB$370,8,0),0)</f>
        <v>0</v>
      </c>
      <c r="J518" s="2">
        <f t="shared" si="25"/>
        <v>0</v>
      </c>
      <c r="K518" s="2">
        <f t="shared" si="23"/>
        <v>0</v>
      </c>
    </row>
    <row r="519" spans="1:11">
      <c r="A519" s="3" t="s">
        <v>2170</v>
      </c>
      <c r="B519" s="3"/>
      <c r="C519" s="3"/>
      <c r="D519" s="3"/>
      <c r="E519" t="s">
        <v>312</v>
      </c>
      <c r="F519" t="s">
        <v>604</v>
      </c>
      <c r="G519" s="9" t="str">
        <f t="shared" si="24"/>
        <v>13-01</v>
      </c>
      <c r="H519" s="1">
        <f>_xlfn.IFNA(VLOOKUP(E519,'Kilter Holds'!$P$36:$AB$370,9,0),0)+_xlfn.IFNA(VLOOKUP(A519,'Kilter Holds'!$P$36:$AB$370,9,0),0)</f>
        <v>0</v>
      </c>
      <c r="J519" s="2">
        <f t="shared" si="25"/>
        <v>0</v>
      </c>
      <c r="K519" s="2">
        <f t="shared" si="23"/>
        <v>0</v>
      </c>
    </row>
    <row r="520" spans="1:11">
      <c r="A520" s="3" t="s">
        <v>2170</v>
      </c>
      <c r="B520" s="3"/>
      <c r="C520" s="3"/>
      <c r="D520" s="3"/>
      <c r="E520" t="s">
        <v>312</v>
      </c>
      <c r="F520" t="s">
        <v>604</v>
      </c>
      <c r="G520" s="10" t="str">
        <f t="shared" si="24"/>
        <v>07-13</v>
      </c>
      <c r="H520" s="1">
        <f>_xlfn.IFNA(VLOOKUP(E520,'Kilter Holds'!$P$36:$AB$370,10,0),0)+_xlfn.IFNA(VLOOKUP(A520,'Kilter Holds'!$P$36:$AB$370,10,0),0)</f>
        <v>0</v>
      </c>
      <c r="J520" s="2">
        <f t="shared" si="25"/>
        <v>0</v>
      </c>
      <c r="K520" s="2">
        <f t="shared" si="23"/>
        <v>0</v>
      </c>
    </row>
    <row r="521" spans="1:11">
      <c r="A521" s="3" t="s">
        <v>2170</v>
      </c>
      <c r="B521" s="3"/>
      <c r="C521" s="3"/>
      <c r="D521" s="3"/>
      <c r="E521" t="s">
        <v>312</v>
      </c>
      <c r="F521" t="s">
        <v>604</v>
      </c>
      <c r="G521" s="11" t="str">
        <f t="shared" si="24"/>
        <v>11-25</v>
      </c>
      <c r="H521" s="1">
        <f>_xlfn.IFNA(VLOOKUP(E521,'Kilter Holds'!$P$36:$AB$370,11,0),0)+_xlfn.IFNA(VLOOKUP(A521,'Kilter Holds'!$P$36:$AB$370,11,0),0)</f>
        <v>0</v>
      </c>
      <c r="J521" s="2">
        <f t="shared" si="25"/>
        <v>0</v>
      </c>
      <c r="K521" s="2">
        <f t="shared" si="23"/>
        <v>0</v>
      </c>
    </row>
    <row r="522" spans="1:11">
      <c r="A522" s="3" t="s">
        <v>2170</v>
      </c>
      <c r="B522" s="3"/>
      <c r="C522" s="3"/>
      <c r="D522" s="3"/>
      <c r="E522" t="s">
        <v>312</v>
      </c>
      <c r="F522" t="s">
        <v>604</v>
      </c>
      <c r="G522" s="13" t="str">
        <f t="shared" si="24"/>
        <v>18-01</v>
      </c>
      <c r="H522" s="1">
        <f>_xlfn.IFNA(VLOOKUP(E522,'Kilter Holds'!$P$36:$AB$370,12,0),0)+_xlfn.IFNA(VLOOKUP(A522,'Kilter Holds'!$P$36:$AB$370,12,0),0)</f>
        <v>0</v>
      </c>
      <c r="J522" s="2">
        <f t="shared" si="25"/>
        <v>0</v>
      </c>
      <c r="K522" s="2">
        <f t="shared" si="23"/>
        <v>0</v>
      </c>
    </row>
    <row r="523" spans="1:11">
      <c r="A523" s="3" t="s">
        <v>2170</v>
      </c>
      <c r="B523" s="3"/>
      <c r="C523" s="3"/>
      <c r="D523" s="3"/>
      <c r="E523" t="s">
        <v>312</v>
      </c>
      <c r="F523" t="s">
        <v>604</v>
      </c>
      <c r="G523" s="12" t="str">
        <f t="shared" si="24"/>
        <v>12-01</v>
      </c>
      <c r="H523" s="1">
        <f>_xlfn.IFNA(VLOOKUP(E523,'Kilter Holds'!$P$36:$AB$370,13,0),0)+_xlfn.IFNA(VLOOKUP(A523,'Kilter Holds'!$P$36:$AB$370,13,0),0)</f>
        <v>0</v>
      </c>
      <c r="J523" s="2">
        <f t="shared" si="25"/>
        <v>0</v>
      </c>
      <c r="K523" s="2">
        <f t="shared" si="23"/>
        <v>0</v>
      </c>
    </row>
    <row r="524" spans="1:11">
      <c r="E524" t="s">
        <v>302</v>
      </c>
      <c r="F524" t="s">
        <v>605</v>
      </c>
      <c r="G524" s="5" t="str">
        <f t="shared" si="24"/>
        <v>11-12</v>
      </c>
      <c r="H524" s="1">
        <f>_xlfn.IFNA(VLOOKUP(Aragon!E524,'Kilter Holds'!$P$36:$AB$370,5,0),0)</f>
        <v>0</v>
      </c>
      <c r="J524" s="2">
        <f t="shared" si="25"/>
        <v>0</v>
      </c>
      <c r="K524" s="2">
        <f t="shared" ref="K524:K587" si="26">IF($V$11="Y",J524*0.05,0)</f>
        <v>0</v>
      </c>
    </row>
    <row r="525" spans="1:11">
      <c r="E525" t="s">
        <v>302</v>
      </c>
      <c r="F525" t="s">
        <v>605</v>
      </c>
      <c r="G525" s="6" t="str">
        <f t="shared" ref="G525:G588" si="27">G516</f>
        <v>14-01</v>
      </c>
      <c r="H525" s="1">
        <f>_xlfn.IFNA(VLOOKUP(Aragon!E525,'Kilter Holds'!$P$36:$AB$370,6,0),0)</f>
        <v>0</v>
      </c>
      <c r="J525" s="2">
        <f t="shared" si="25"/>
        <v>0</v>
      </c>
      <c r="K525" s="2">
        <f t="shared" si="26"/>
        <v>0</v>
      </c>
    </row>
    <row r="526" spans="1:11">
      <c r="E526" t="s">
        <v>302</v>
      </c>
      <c r="F526" t="s">
        <v>605</v>
      </c>
      <c r="G526" s="7" t="str">
        <f t="shared" si="27"/>
        <v>15-12</v>
      </c>
      <c r="H526" s="1">
        <f>_xlfn.IFNA(VLOOKUP(Aragon!E526,'Kilter Holds'!$P$36:$AB$370,7,0),0)</f>
        <v>0</v>
      </c>
      <c r="J526" s="2">
        <f t="shared" si="25"/>
        <v>0</v>
      </c>
      <c r="K526" s="2">
        <f t="shared" si="26"/>
        <v>0</v>
      </c>
    </row>
    <row r="527" spans="1:11">
      <c r="E527" t="s">
        <v>302</v>
      </c>
      <c r="F527" t="s">
        <v>605</v>
      </c>
      <c r="G527" s="8" t="str">
        <f t="shared" si="27"/>
        <v>16-16</v>
      </c>
      <c r="H527" s="1">
        <f>_xlfn.IFNA(VLOOKUP(Aragon!E527,'Kilter Holds'!$P$36:$AB$370,8,0),0)</f>
        <v>0</v>
      </c>
      <c r="J527" s="2">
        <f t="shared" si="25"/>
        <v>0</v>
      </c>
      <c r="K527" s="2">
        <f t="shared" si="26"/>
        <v>0</v>
      </c>
    </row>
    <row r="528" spans="1:11">
      <c r="E528" t="s">
        <v>302</v>
      </c>
      <c r="F528" t="s">
        <v>605</v>
      </c>
      <c r="G528" s="9" t="str">
        <f t="shared" si="27"/>
        <v>13-01</v>
      </c>
      <c r="H528" s="1">
        <f>_xlfn.IFNA(VLOOKUP(Aragon!E528,'Kilter Holds'!$P$36:$AB$370,9,0),0)</f>
        <v>0</v>
      </c>
      <c r="J528" s="2">
        <f t="shared" si="25"/>
        <v>0</v>
      </c>
      <c r="K528" s="2">
        <f t="shared" si="26"/>
        <v>0</v>
      </c>
    </row>
    <row r="529" spans="5:11">
      <c r="E529" t="s">
        <v>302</v>
      </c>
      <c r="F529" t="s">
        <v>605</v>
      </c>
      <c r="G529" s="10" t="str">
        <f t="shared" si="27"/>
        <v>07-13</v>
      </c>
      <c r="H529" s="1">
        <f>_xlfn.IFNA(VLOOKUP(Aragon!E529,'Kilter Holds'!$P$36:$AB$370,10,0),0)</f>
        <v>0</v>
      </c>
      <c r="J529" s="2">
        <f t="shared" si="25"/>
        <v>0</v>
      </c>
      <c r="K529" s="2">
        <f t="shared" si="26"/>
        <v>0</v>
      </c>
    </row>
    <row r="530" spans="5:11">
      <c r="E530" t="s">
        <v>302</v>
      </c>
      <c r="F530" t="s">
        <v>605</v>
      </c>
      <c r="G530" s="11" t="str">
        <f t="shared" si="27"/>
        <v>11-25</v>
      </c>
      <c r="H530" s="1">
        <f>_xlfn.IFNA(VLOOKUP(Aragon!E530,'Kilter Holds'!$P$36:$AB$370,11,0),0)</f>
        <v>0</v>
      </c>
      <c r="J530" s="2">
        <f t="shared" si="25"/>
        <v>0</v>
      </c>
      <c r="K530" s="2">
        <f t="shared" si="26"/>
        <v>0</v>
      </c>
    </row>
    <row r="531" spans="5:11">
      <c r="E531" t="s">
        <v>302</v>
      </c>
      <c r="F531" t="s">
        <v>605</v>
      </c>
      <c r="G531" s="13" t="str">
        <f t="shared" si="27"/>
        <v>18-01</v>
      </c>
      <c r="H531" s="1">
        <f>_xlfn.IFNA(VLOOKUP(Aragon!E531,'Kilter Holds'!$P$36:$AB$370,12,0),0)</f>
        <v>0</v>
      </c>
      <c r="J531" s="2">
        <f t="shared" si="25"/>
        <v>0</v>
      </c>
      <c r="K531" s="2">
        <f t="shared" si="26"/>
        <v>0</v>
      </c>
    </row>
    <row r="532" spans="5:11">
      <c r="E532" t="s">
        <v>302</v>
      </c>
      <c r="F532" t="s">
        <v>605</v>
      </c>
      <c r="G532" s="12" t="str">
        <f t="shared" si="27"/>
        <v>12-01</v>
      </c>
      <c r="H532" s="1">
        <f>_xlfn.IFNA(VLOOKUP(Aragon!E532,'Kilter Holds'!$P$36:$AB$370,13,0),0)</f>
        <v>0</v>
      </c>
      <c r="J532" s="2">
        <f t="shared" si="25"/>
        <v>0</v>
      </c>
      <c r="K532" s="2">
        <f t="shared" si="26"/>
        <v>0</v>
      </c>
    </row>
    <row r="533" spans="5:11">
      <c r="E533" t="s">
        <v>186</v>
      </c>
      <c r="F533" t="s">
        <v>606</v>
      </c>
      <c r="G533" s="5" t="str">
        <f t="shared" si="27"/>
        <v>11-12</v>
      </c>
      <c r="H533" s="1">
        <f>_xlfn.IFNA(VLOOKUP(Aragon!E533,'Kilter Holds'!$P$36:$AB$370,5,0),0)</f>
        <v>0</v>
      </c>
      <c r="J533" s="2">
        <f t="shared" si="25"/>
        <v>0</v>
      </c>
      <c r="K533" s="2">
        <f t="shared" si="26"/>
        <v>0</v>
      </c>
    </row>
    <row r="534" spans="5:11">
      <c r="E534" t="s">
        <v>186</v>
      </c>
      <c r="F534" t="s">
        <v>606</v>
      </c>
      <c r="G534" s="6" t="str">
        <f t="shared" si="27"/>
        <v>14-01</v>
      </c>
      <c r="H534" s="1">
        <f>_xlfn.IFNA(VLOOKUP(Aragon!E534,'Kilter Holds'!$P$36:$AB$370,6,0),0)</f>
        <v>0</v>
      </c>
      <c r="J534" s="2">
        <f t="shared" si="25"/>
        <v>0</v>
      </c>
      <c r="K534" s="2">
        <f t="shared" si="26"/>
        <v>0</v>
      </c>
    </row>
    <row r="535" spans="5:11">
      <c r="E535" t="s">
        <v>186</v>
      </c>
      <c r="F535" t="s">
        <v>606</v>
      </c>
      <c r="G535" s="7" t="str">
        <f t="shared" si="27"/>
        <v>15-12</v>
      </c>
      <c r="H535" s="1">
        <f>_xlfn.IFNA(VLOOKUP(Aragon!E535,'Kilter Holds'!$P$36:$AB$370,7,0),0)</f>
        <v>0</v>
      </c>
      <c r="J535" s="2">
        <f t="shared" si="25"/>
        <v>0</v>
      </c>
      <c r="K535" s="2">
        <f t="shared" si="26"/>
        <v>0</v>
      </c>
    </row>
    <row r="536" spans="5:11">
      <c r="E536" t="s">
        <v>186</v>
      </c>
      <c r="F536" t="s">
        <v>606</v>
      </c>
      <c r="G536" s="8" t="str">
        <f t="shared" si="27"/>
        <v>16-16</v>
      </c>
      <c r="H536" s="1">
        <f>_xlfn.IFNA(VLOOKUP(Aragon!E536,'Kilter Holds'!$P$36:$AB$370,8,0),0)</f>
        <v>0</v>
      </c>
      <c r="J536" s="2">
        <f t="shared" si="25"/>
        <v>0</v>
      </c>
      <c r="K536" s="2">
        <f t="shared" si="26"/>
        <v>0</v>
      </c>
    </row>
    <row r="537" spans="5:11">
      <c r="E537" t="s">
        <v>186</v>
      </c>
      <c r="F537" t="s">
        <v>606</v>
      </c>
      <c r="G537" s="9" t="str">
        <f t="shared" si="27"/>
        <v>13-01</v>
      </c>
      <c r="H537" s="1">
        <f>_xlfn.IFNA(VLOOKUP(Aragon!E537,'Kilter Holds'!$P$36:$AB$370,9,0),0)</f>
        <v>0</v>
      </c>
      <c r="J537" s="2">
        <f t="shared" si="25"/>
        <v>0</v>
      </c>
      <c r="K537" s="2">
        <f t="shared" si="26"/>
        <v>0</v>
      </c>
    </row>
    <row r="538" spans="5:11">
      <c r="E538" t="s">
        <v>186</v>
      </c>
      <c r="F538" t="s">
        <v>606</v>
      </c>
      <c r="G538" s="10" t="str">
        <f t="shared" si="27"/>
        <v>07-13</v>
      </c>
      <c r="H538" s="1">
        <f>_xlfn.IFNA(VLOOKUP(Aragon!E538,'Kilter Holds'!$P$36:$AB$370,10,0),0)</f>
        <v>0</v>
      </c>
      <c r="J538" s="2">
        <f t="shared" si="25"/>
        <v>0</v>
      </c>
      <c r="K538" s="2">
        <f t="shared" si="26"/>
        <v>0</v>
      </c>
    </row>
    <row r="539" spans="5:11">
      <c r="E539" t="s">
        <v>186</v>
      </c>
      <c r="F539" t="s">
        <v>606</v>
      </c>
      <c r="G539" s="11" t="str">
        <f t="shared" si="27"/>
        <v>11-25</v>
      </c>
      <c r="H539" s="1">
        <f>_xlfn.IFNA(VLOOKUP(Aragon!E539,'Kilter Holds'!$P$36:$AB$370,11,0),0)</f>
        <v>0</v>
      </c>
      <c r="J539" s="2">
        <f t="shared" si="25"/>
        <v>0</v>
      </c>
      <c r="K539" s="2">
        <f t="shared" si="26"/>
        <v>0</v>
      </c>
    </row>
    <row r="540" spans="5:11">
      <c r="E540" t="s">
        <v>186</v>
      </c>
      <c r="F540" t="s">
        <v>606</v>
      </c>
      <c r="G540" s="13" t="str">
        <f t="shared" si="27"/>
        <v>18-01</v>
      </c>
      <c r="H540" s="1">
        <f>_xlfn.IFNA(VLOOKUP(Aragon!E540,'Kilter Holds'!$P$36:$AB$370,12,0),0)</f>
        <v>0</v>
      </c>
      <c r="J540" s="2">
        <f t="shared" si="25"/>
        <v>0</v>
      </c>
      <c r="K540" s="2">
        <f t="shared" si="26"/>
        <v>0</v>
      </c>
    </row>
    <row r="541" spans="5:11">
      <c r="E541" t="s">
        <v>186</v>
      </c>
      <c r="F541" t="s">
        <v>606</v>
      </c>
      <c r="G541" s="12" t="str">
        <f t="shared" si="27"/>
        <v>12-01</v>
      </c>
      <c r="H541" s="1">
        <f>_xlfn.IFNA(VLOOKUP(Aragon!E541,'Kilter Holds'!$P$36:$AB$370,13,0),0)</f>
        <v>0</v>
      </c>
      <c r="J541" s="2">
        <f t="shared" si="25"/>
        <v>0</v>
      </c>
      <c r="K541" s="2">
        <f t="shared" si="26"/>
        <v>0</v>
      </c>
    </row>
    <row r="542" spans="5:11">
      <c r="E542" t="s">
        <v>883</v>
      </c>
      <c r="F542" t="s">
        <v>898</v>
      </c>
      <c r="G542" s="5" t="str">
        <f t="shared" si="27"/>
        <v>11-12</v>
      </c>
      <c r="H542" s="1">
        <f>_xlfn.IFNA(VLOOKUP(Aragon!E542,'Kilter Holds'!$P$36:$AB$370,5,0),0)</f>
        <v>0</v>
      </c>
      <c r="J542" s="2">
        <f t="shared" si="25"/>
        <v>0</v>
      </c>
      <c r="K542" s="2">
        <f t="shared" si="26"/>
        <v>0</v>
      </c>
    </row>
    <row r="543" spans="5:11">
      <c r="E543" t="s">
        <v>883</v>
      </c>
      <c r="F543" t="s">
        <v>898</v>
      </c>
      <c r="G543" s="6" t="str">
        <f t="shared" si="27"/>
        <v>14-01</v>
      </c>
      <c r="H543" s="1">
        <f>_xlfn.IFNA(VLOOKUP(Aragon!E543,'Kilter Holds'!$P$36:$AB$370,6,0),0)</f>
        <v>0</v>
      </c>
      <c r="J543" s="2">
        <f t="shared" si="25"/>
        <v>0</v>
      </c>
      <c r="K543" s="2">
        <f t="shared" si="26"/>
        <v>0</v>
      </c>
    </row>
    <row r="544" spans="5:11">
      <c r="E544" t="s">
        <v>883</v>
      </c>
      <c r="F544" t="s">
        <v>898</v>
      </c>
      <c r="G544" s="7" t="str">
        <f t="shared" si="27"/>
        <v>15-12</v>
      </c>
      <c r="H544" s="1">
        <f>_xlfn.IFNA(VLOOKUP(Aragon!E544,'Kilter Holds'!$P$36:$AB$370,7,0),0)</f>
        <v>0</v>
      </c>
      <c r="J544" s="2">
        <f t="shared" si="25"/>
        <v>0</v>
      </c>
      <c r="K544" s="2">
        <f t="shared" si="26"/>
        <v>0</v>
      </c>
    </row>
    <row r="545" spans="5:11">
      <c r="E545" t="s">
        <v>883</v>
      </c>
      <c r="F545" t="s">
        <v>898</v>
      </c>
      <c r="G545" s="8" t="str">
        <f t="shared" si="27"/>
        <v>16-16</v>
      </c>
      <c r="H545" s="1">
        <f>_xlfn.IFNA(VLOOKUP(Aragon!E545,'Kilter Holds'!$P$36:$AB$370,8,0),0)</f>
        <v>0</v>
      </c>
      <c r="J545" s="2">
        <f t="shared" si="25"/>
        <v>0</v>
      </c>
      <c r="K545" s="2">
        <f t="shared" si="26"/>
        <v>0</v>
      </c>
    </row>
    <row r="546" spans="5:11">
      <c r="E546" t="s">
        <v>883</v>
      </c>
      <c r="F546" t="s">
        <v>898</v>
      </c>
      <c r="G546" s="9" t="str">
        <f t="shared" si="27"/>
        <v>13-01</v>
      </c>
      <c r="H546" s="1">
        <f>_xlfn.IFNA(VLOOKUP(Aragon!E546,'Kilter Holds'!$P$36:$AB$370,9,0),0)</f>
        <v>0</v>
      </c>
      <c r="J546" s="2">
        <f t="shared" si="25"/>
        <v>0</v>
      </c>
      <c r="K546" s="2">
        <f t="shared" si="26"/>
        <v>0</v>
      </c>
    </row>
    <row r="547" spans="5:11">
      <c r="E547" t="s">
        <v>883</v>
      </c>
      <c r="F547" t="s">
        <v>898</v>
      </c>
      <c r="G547" s="10" t="str">
        <f t="shared" si="27"/>
        <v>07-13</v>
      </c>
      <c r="H547" s="1">
        <f>_xlfn.IFNA(VLOOKUP(Aragon!E547,'Kilter Holds'!$P$36:$AB$370,10,0),0)</f>
        <v>0</v>
      </c>
      <c r="J547" s="2">
        <f t="shared" si="25"/>
        <v>0</v>
      </c>
      <c r="K547" s="2">
        <f t="shared" si="26"/>
        <v>0</v>
      </c>
    </row>
    <row r="548" spans="5:11">
      <c r="E548" t="s">
        <v>883</v>
      </c>
      <c r="F548" t="s">
        <v>898</v>
      </c>
      <c r="G548" s="11" t="str">
        <f t="shared" si="27"/>
        <v>11-25</v>
      </c>
      <c r="H548" s="1">
        <f>_xlfn.IFNA(VLOOKUP(Aragon!E548,'Kilter Holds'!$P$36:$AB$370,11,0),0)</f>
        <v>0</v>
      </c>
      <c r="J548" s="2">
        <f t="shared" si="25"/>
        <v>0</v>
      </c>
      <c r="K548" s="2">
        <f t="shared" si="26"/>
        <v>0</v>
      </c>
    </row>
    <row r="549" spans="5:11">
      <c r="E549" t="s">
        <v>883</v>
      </c>
      <c r="F549" t="s">
        <v>898</v>
      </c>
      <c r="G549" s="13" t="str">
        <f t="shared" si="27"/>
        <v>18-01</v>
      </c>
      <c r="H549" s="1">
        <f>_xlfn.IFNA(VLOOKUP(Aragon!E549,'Kilter Holds'!$P$36:$AB$370,12,0),0)</f>
        <v>0</v>
      </c>
      <c r="J549" s="2">
        <f t="shared" si="25"/>
        <v>0</v>
      </c>
      <c r="K549" s="2">
        <f t="shared" si="26"/>
        <v>0</v>
      </c>
    </row>
    <row r="550" spans="5:11">
      <c r="E550" t="s">
        <v>883</v>
      </c>
      <c r="F550" t="s">
        <v>898</v>
      </c>
      <c r="G550" s="12" t="str">
        <f t="shared" si="27"/>
        <v>12-01</v>
      </c>
      <c r="H550" s="1">
        <f>_xlfn.IFNA(VLOOKUP(Aragon!E550,'Kilter Holds'!$P$36:$AB$370,13,0),0)</f>
        <v>0</v>
      </c>
      <c r="J550" s="2">
        <f t="shared" si="25"/>
        <v>0</v>
      </c>
      <c r="K550" s="2">
        <f t="shared" si="26"/>
        <v>0</v>
      </c>
    </row>
    <row r="551" spans="5:11">
      <c r="E551" t="s">
        <v>161</v>
      </c>
      <c r="F551" t="s">
        <v>607</v>
      </c>
      <c r="G551" s="5" t="str">
        <f t="shared" si="27"/>
        <v>11-12</v>
      </c>
      <c r="H551" s="1">
        <f>_xlfn.IFNA(VLOOKUP(Aragon!E551,'Kilter Holds'!$P$36:$AB$370,5,0),0)</f>
        <v>0</v>
      </c>
      <c r="J551" s="2">
        <f t="shared" si="25"/>
        <v>0</v>
      </c>
      <c r="K551" s="2">
        <f t="shared" si="26"/>
        <v>0</v>
      </c>
    </row>
    <row r="552" spans="5:11">
      <c r="E552" t="s">
        <v>161</v>
      </c>
      <c r="F552" t="s">
        <v>607</v>
      </c>
      <c r="G552" s="6" t="str">
        <f t="shared" si="27"/>
        <v>14-01</v>
      </c>
      <c r="H552" s="1">
        <f>_xlfn.IFNA(VLOOKUP(Aragon!E552,'Kilter Holds'!$P$36:$AB$370,6,0),0)</f>
        <v>0</v>
      </c>
      <c r="J552" s="2">
        <f t="shared" si="25"/>
        <v>0</v>
      </c>
      <c r="K552" s="2">
        <f t="shared" si="26"/>
        <v>0</v>
      </c>
    </row>
    <row r="553" spans="5:11">
      <c r="E553" t="s">
        <v>161</v>
      </c>
      <c r="F553" t="s">
        <v>607</v>
      </c>
      <c r="G553" s="7" t="str">
        <f t="shared" si="27"/>
        <v>15-12</v>
      </c>
      <c r="H553" s="1">
        <f>_xlfn.IFNA(VLOOKUP(Aragon!E553,'Kilter Holds'!$P$36:$AB$370,7,0),0)</f>
        <v>0</v>
      </c>
      <c r="J553" s="2">
        <f t="shared" si="25"/>
        <v>0</v>
      </c>
      <c r="K553" s="2">
        <f t="shared" si="26"/>
        <v>0</v>
      </c>
    </row>
    <row r="554" spans="5:11">
      <c r="E554" t="s">
        <v>161</v>
      </c>
      <c r="F554" t="s">
        <v>607</v>
      </c>
      <c r="G554" s="8" t="str">
        <f t="shared" si="27"/>
        <v>16-16</v>
      </c>
      <c r="H554" s="1">
        <f>_xlfn.IFNA(VLOOKUP(Aragon!E554,'Kilter Holds'!$P$36:$AB$370,8,0),0)</f>
        <v>0</v>
      </c>
      <c r="J554" s="2">
        <f t="shared" si="25"/>
        <v>0</v>
      </c>
      <c r="K554" s="2">
        <f t="shared" si="26"/>
        <v>0</v>
      </c>
    </row>
    <row r="555" spans="5:11">
      <c r="E555" t="s">
        <v>161</v>
      </c>
      <c r="F555" t="s">
        <v>607</v>
      </c>
      <c r="G555" s="9" t="str">
        <f t="shared" si="27"/>
        <v>13-01</v>
      </c>
      <c r="H555" s="1">
        <f>_xlfn.IFNA(VLOOKUP(Aragon!E555,'Kilter Holds'!$P$36:$AB$370,9,0),0)</f>
        <v>0</v>
      </c>
      <c r="J555" s="2">
        <f t="shared" si="25"/>
        <v>0</v>
      </c>
      <c r="K555" s="2">
        <f t="shared" si="26"/>
        <v>0</v>
      </c>
    </row>
    <row r="556" spans="5:11">
      <c r="E556" t="s">
        <v>161</v>
      </c>
      <c r="F556" t="s">
        <v>607</v>
      </c>
      <c r="G556" s="10" t="str">
        <f t="shared" si="27"/>
        <v>07-13</v>
      </c>
      <c r="H556" s="1">
        <f>_xlfn.IFNA(VLOOKUP(Aragon!E556,'Kilter Holds'!$P$36:$AB$370,10,0),0)</f>
        <v>0</v>
      </c>
      <c r="J556" s="2">
        <f t="shared" si="25"/>
        <v>0</v>
      </c>
      <c r="K556" s="2">
        <f t="shared" si="26"/>
        <v>0</v>
      </c>
    </row>
    <row r="557" spans="5:11">
      <c r="E557" t="s">
        <v>161</v>
      </c>
      <c r="F557" t="s">
        <v>607</v>
      </c>
      <c r="G557" s="11" t="str">
        <f t="shared" si="27"/>
        <v>11-25</v>
      </c>
      <c r="H557" s="1">
        <f>_xlfn.IFNA(VLOOKUP(Aragon!E557,'Kilter Holds'!$P$36:$AB$370,11,0),0)</f>
        <v>0</v>
      </c>
      <c r="J557" s="2">
        <f t="shared" si="25"/>
        <v>0</v>
      </c>
      <c r="K557" s="2">
        <f t="shared" si="26"/>
        <v>0</v>
      </c>
    </row>
    <row r="558" spans="5:11">
      <c r="E558" t="s">
        <v>161</v>
      </c>
      <c r="F558" t="s">
        <v>607</v>
      </c>
      <c r="G558" s="13" t="str">
        <f t="shared" si="27"/>
        <v>18-01</v>
      </c>
      <c r="H558" s="1">
        <f>_xlfn.IFNA(VLOOKUP(Aragon!E558,'Kilter Holds'!$P$36:$AB$370,12,0),0)</f>
        <v>0</v>
      </c>
      <c r="J558" s="2">
        <f t="shared" si="25"/>
        <v>0</v>
      </c>
      <c r="K558" s="2">
        <f t="shared" si="26"/>
        <v>0</v>
      </c>
    </row>
    <row r="559" spans="5:11">
      <c r="E559" t="s">
        <v>161</v>
      </c>
      <c r="F559" t="s">
        <v>607</v>
      </c>
      <c r="G559" s="12" t="str">
        <f t="shared" si="27"/>
        <v>12-01</v>
      </c>
      <c r="H559" s="1">
        <f>_xlfn.IFNA(VLOOKUP(Aragon!E559,'Kilter Holds'!$P$36:$AB$370,13,0),0)</f>
        <v>0</v>
      </c>
      <c r="J559" s="2">
        <f t="shared" si="25"/>
        <v>0</v>
      </c>
      <c r="K559" s="2">
        <f t="shared" si="26"/>
        <v>0</v>
      </c>
    </row>
    <row r="560" spans="5:11">
      <c r="E560" t="s">
        <v>162</v>
      </c>
      <c r="F560" t="s">
        <v>608</v>
      </c>
      <c r="G560" s="5" t="str">
        <f t="shared" si="27"/>
        <v>11-12</v>
      </c>
      <c r="H560" s="1">
        <f>_xlfn.IFNA(VLOOKUP(Aragon!E560,'Kilter Holds'!$P$36:$AB$370,5,0),0)</f>
        <v>0</v>
      </c>
      <c r="J560" s="2">
        <f t="shared" si="25"/>
        <v>0</v>
      </c>
      <c r="K560" s="2">
        <f t="shared" si="26"/>
        <v>0</v>
      </c>
    </row>
    <row r="561" spans="5:11">
      <c r="E561" t="s">
        <v>162</v>
      </c>
      <c r="F561" t="s">
        <v>608</v>
      </c>
      <c r="G561" s="6" t="str">
        <f t="shared" si="27"/>
        <v>14-01</v>
      </c>
      <c r="H561" s="1">
        <f>_xlfn.IFNA(VLOOKUP(Aragon!E561,'Kilter Holds'!$P$36:$AB$370,6,0),0)</f>
        <v>0</v>
      </c>
      <c r="J561" s="2">
        <f t="shared" si="25"/>
        <v>0</v>
      </c>
      <c r="K561" s="2">
        <f t="shared" si="26"/>
        <v>0</v>
      </c>
    </row>
    <row r="562" spans="5:11">
      <c r="E562" t="s">
        <v>162</v>
      </c>
      <c r="F562" t="s">
        <v>608</v>
      </c>
      <c r="G562" s="7" t="str">
        <f t="shared" si="27"/>
        <v>15-12</v>
      </c>
      <c r="H562" s="1">
        <f>_xlfn.IFNA(VLOOKUP(Aragon!E562,'Kilter Holds'!$P$36:$AB$370,7,0),0)</f>
        <v>0</v>
      </c>
      <c r="J562" s="2">
        <f t="shared" si="25"/>
        <v>0</v>
      </c>
      <c r="K562" s="2">
        <f t="shared" si="26"/>
        <v>0</v>
      </c>
    </row>
    <row r="563" spans="5:11">
      <c r="E563" t="s">
        <v>162</v>
      </c>
      <c r="F563" t="s">
        <v>608</v>
      </c>
      <c r="G563" s="8" t="str">
        <f t="shared" si="27"/>
        <v>16-16</v>
      </c>
      <c r="H563" s="1">
        <f>_xlfn.IFNA(VLOOKUP(Aragon!E563,'Kilter Holds'!$P$36:$AB$370,8,0),0)</f>
        <v>0</v>
      </c>
      <c r="J563" s="2">
        <f t="shared" si="25"/>
        <v>0</v>
      </c>
      <c r="K563" s="2">
        <f t="shared" si="26"/>
        <v>0</v>
      </c>
    </row>
    <row r="564" spans="5:11">
      <c r="E564" t="s">
        <v>162</v>
      </c>
      <c r="F564" t="s">
        <v>608</v>
      </c>
      <c r="G564" s="9" t="str">
        <f t="shared" si="27"/>
        <v>13-01</v>
      </c>
      <c r="H564" s="1">
        <f>_xlfn.IFNA(VLOOKUP(Aragon!E564,'Kilter Holds'!$P$36:$AB$370,9,0),0)</f>
        <v>0</v>
      </c>
      <c r="J564" s="2">
        <f t="shared" si="25"/>
        <v>0</v>
      </c>
      <c r="K564" s="2">
        <f t="shared" si="26"/>
        <v>0</v>
      </c>
    </row>
    <row r="565" spans="5:11">
      <c r="E565" t="s">
        <v>162</v>
      </c>
      <c r="F565" t="s">
        <v>608</v>
      </c>
      <c r="G565" s="10" t="str">
        <f t="shared" si="27"/>
        <v>07-13</v>
      </c>
      <c r="H565" s="1">
        <f>_xlfn.IFNA(VLOOKUP(Aragon!E565,'Kilter Holds'!$P$36:$AB$370,10,0),0)</f>
        <v>0</v>
      </c>
      <c r="J565" s="2">
        <f t="shared" si="25"/>
        <v>0</v>
      </c>
      <c r="K565" s="2">
        <f t="shared" si="26"/>
        <v>0</v>
      </c>
    </row>
    <row r="566" spans="5:11">
      <c r="E566" t="s">
        <v>162</v>
      </c>
      <c r="F566" t="s">
        <v>608</v>
      </c>
      <c r="G566" s="11" t="str">
        <f t="shared" si="27"/>
        <v>11-25</v>
      </c>
      <c r="H566" s="1">
        <f>_xlfn.IFNA(VLOOKUP(Aragon!E566,'Kilter Holds'!$P$36:$AB$370,11,0),0)</f>
        <v>0</v>
      </c>
      <c r="J566" s="2">
        <f t="shared" si="25"/>
        <v>0</v>
      </c>
      <c r="K566" s="2">
        <f t="shared" si="26"/>
        <v>0</v>
      </c>
    </row>
    <row r="567" spans="5:11">
      <c r="E567" t="s">
        <v>162</v>
      </c>
      <c r="F567" t="s">
        <v>608</v>
      </c>
      <c r="G567" s="13" t="str">
        <f t="shared" si="27"/>
        <v>18-01</v>
      </c>
      <c r="H567" s="1">
        <f>_xlfn.IFNA(VLOOKUP(Aragon!E567,'Kilter Holds'!$P$36:$AB$370,12,0),0)</f>
        <v>0</v>
      </c>
      <c r="J567" s="2">
        <f t="shared" si="25"/>
        <v>0</v>
      </c>
      <c r="K567" s="2">
        <f t="shared" si="26"/>
        <v>0</v>
      </c>
    </row>
    <row r="568" spans="5:11">
      <c r="E568" t="s">
        <v>162</v>
      </c>
      <c r="F568" t="s">
        <v>608</v>
      </c>
      <c r="G568" s="12" t="str">
        <f t="shared" si="27"/>
        <v>12-01</v>
      </c>
      <c r="H568" s="1">
        <f>_xlfn.IFNA(VLOOKUP(Aragon!E568,'Kilter Holds'!$P$36:$AB$370,13,0),0)</f>
        <v>0</v>
      </c>
      <c r="J568" s="2">
        <f t="shared" si="25"/>
        <v>0</v>
      </c>
      <c r="K568" s="2">
        <f t="shared" si="26"/>
        <v>0</v>
      </c>
    </row>
    <row r="569" spans="5:11">
      <c r="E569" t="s">
        <v>163</v>
      </c>
      <c r="F569" t="s">
        <v>609</v>
      </c>
      <c r="G569" s="5" t="str">
        <f t="shared" si="27"/>
        <v>11-12</v>
      </c>
      <c r="H569" s="1">
        <f>_xlfn.IFNA(VLOOKUP(Aragon!E569,'Kilter Holds'!$P$36:$AB$370,5,0),0)</f>
        <v>0</v>
      </c>
      <c r="J569" s="2">
        <f t="shared" si="25"/>
        <v>0</v>
      </c>
      <c r="K569" s="2">
        <f t="shared" si="26"/>
        <v>0</v>
      </c>
    </row>
    <row r="570" spans="5:11">
      <c r="E570" t="s">
        <v>163</v>
      </c>
      <c r="F570" t="s">
        <v>609</v>
      </c>
      <c r="G570" s="6" t="str">
        <f t="shared" si="27"/>
        <v>14-01</v>
      </c>
      <c r="H570" s="1">
        <f>_xlfn.IFNA(VLOOKUP(Aragon!E570,'Kilter Holds'!$P$36:$AB$370,6,0),0)</f>
        <v>0</v>
      </c>
      <c r="J570" s="2">
        <f t="shared" ref="J570:J633" si="28">H570*I570</f>
        <v>0</v>
      </c>
      <c r="K570" s="2">
        <f t="shared" si="26"/>
        <v>0</v>
      </c>
    </row>
    <row r="571" spans="5:11">
      <c r="E571" t="s">
        <v>163</v>
      </c>
      <c r="F571" t="s">
        <v>609</v>
      </c>
      <c r="G571" s="7" t="str">
        <f t="shared" si="27"/>
        <v>15-12</v>
      </c>
      <c r="H571" s="1">
        <f>_xlfn.IFNA(VLOOKUP(Aragon!E571,'Kilter Holds'!$P$36:$AB$370,7,0),0)</f>
        <v>0</v>
      </c>
      <c r="J571" s="2">
        <f t="shared" si="28"/>
        <v>0</v>
      </c>
      <c r="K571" s="2">
        <f t="shared" si="26"/>
        <v>0</v>
      </c>
    </row>
    <row r="572" spans="5:11">
      <c r="E572" t="s">
        <v>163</v>
      </c>
      <c r="F572" t="s">
        <v>609</v>
      </c>
      <c r="G572" s="8" t="str">
        <f t="shared" si="27"/>
        <v>16-16</v>
      </c>
      <c r="H572" s="1">
        <f>_xlfn.IFNA(VLOOKUP(Aragon!E572,'Kilter Holds'!$P$36:$AB$370,8,0),0)</f>
        <v>0</v>
      </c>
      <c r="J572" s="2">
        <f t="shared" si="28"/>
        <v>0</v>
      </c>
      <c r="K572" s="2">
        <f t="shared" si="26"/>
        <v>0</v>
      </c>
    </row>
    <row r="573" spans="5:11">
      <c r="E573" t="s">
        <v>163</v>
      </c>
      <c r="F573" t="s">
        <v>609</v>
      </c>
      <c r="G573" s="9" t="str">
        <f t="shared" si="27"/>
        <v>13-01</v>
      </c>
      <c r="H573" s="1">
        <f>_xlfn.IFNA(VLOOKUP(Aragon!E573,'Kilter Holds'!$P$36:$AB$370,9,0),0)</f>
        <v>0</v>
      </c>
      <c r="J573" s="2">
        <f t="shared" si="28"/>
        <v>0</v>
      </c>
      <c r="K573" s="2">
        <f t="shared" si="26"/>
        <v>0</v>
      </c>
    </row>
    <row r="574" spans="5:11">
      <c r="E574" t="s">
        <v>163</v>
      </c>
      <c r="F574" t="s">
        <v>609</v>
      </c>
      <c r="G574" s="10" t="str">
        <f t="shared" si="27"/>
        <v>07-13</v>
      </c>
      <c r="H574" s="1">
        <f>_xlfn.IFNA(VLOOKUP(Aragon!E574,'Kilter Holds'!$P$36:$AB$370,10,0),0)</f>
        <v>0</v>
      </c>
      <c r="J574" s="2">
        <f t="shared" si="28"/>
        <v>0</v>
      </c>
      <c r="K574" s="2">
        <f t="shared" si="26"/>
        <v>0</v>
      </c>
    </row>
    <row r="575" spans="5:11">
      <c r="E575" t="s">
        <v>163</v>
      </c>
      <c r="F575" t="s">
        <v>609</v>
      </c>
      <c r="G575" s="11" t="str">
        <f t="shared" si="27"/>
        <v>11-25</v>
      </c>
      <c r="H575" s="1">
        <f>_xlfn.IFNA(VLOOKUP(Aragon!E575,'Kilter Holds'!$P$36:$AB$370,11,0),0)</f>
        <v>0</v>
      </c>
      <c r="J575" s="2">
        <f t="shared" si="28"/>
        <v>0</v>
      </c>
      <c r="K575" s="2">
        <f t="shared" si="26"/>
        <v>0</v>
      </c>
    </row>
    <row r="576" spans="5:11">
      <c r="E576" t="s">
        <v>163</v>
      </c>
      <c r="F576" t="s">
        <v>609</v>
      </c>
      <c r="G576" s="13" t="str">
        <f t="shared" si="27"/>
        <v>18-01</v>
      </c>
      <c r="H576" s="1">
        <f>_xlfn.IFNA(VLOOKUP(Aragon!E576,'Kilter Holds'!$P$36:$AB$370,12,0),0)</f>
        <v>0</v>
      </c>
      <c r="J576" s="2">
        <f t="shared" si="28"/>
        <v>0</v>
      </c>
      <c r="K576" s="2">
        <f t="shared" si="26"/>
        <v>0</v>
      </c>
    </row>
    <row r="577" spans="5:11">
      <c r="E577" t="s">
        <v>163</v>
      </c>
      <c r="F577" t="s">
        <v>609</v>
      </c>
      <c r="G577" s="12" t="str">
        <f t="shared" si="27"/>
        <v>12-01</v>
      </c>
      <c r="H577" s="1">
        <f>_xlfn.IFNA(VLOOKUP(Aragon!E577,'Kilter Holds'!$P$36:$AB$370,13,0),0)</f>
        <v>0</v>
      </c>
      <c r="J577" s="2">
        <f t="shared" si="28"/>
        <v>0</v>
      </c>
      <c r="K577" s="2">
        <f t="shared" si="26"/>
        <v>0</v>
      </c>
    </row>
    <row r="578" spans="5:11">
      <c r="E578" t="s">
        <v>172</v>
      </c>
      <c r="F578" t="s">
        <v>610</v>
      </c>
      <c r="G578" s="5" t="str">
        <f t="shared" si="27"/>
        <v>11-12</v>
      </c>
      <c r="H578" s="1">
        <f>_xlfn.IFNA(VLOOKUP(Aragon!E578,'Kilter Holds'!$P$36:$AB$370,5,0),0)</f>
        <v>0</v>
      </c>
      <c r="J578" s="2">
        <f t="shared" si="28"/>
        <v>0</v>
      </c>
      <c r="K578" s="2">
        <f t="shared" si="26"/>
        <v>0</v>
      </c>
    </row>
    <row r="579" spans="5:11">
      <c r="E579" t="s">
        <v>172</v>
      </c>
      <c r="F579" t="s">
        <v>610</v>
      </c>
      <c r="G579" s="6" t="str">
        <f t="shared" si="27"/>
        <v>14-01</v>
      </c>
      <c r="H579" s="1">
        <f>_xlfn.IFNA(VLOOKUP(Aragon!E579,'Kilter Holds'!$P$36:$AB$370,6,0),0)</f>
        <v>0</v>
      </c>
      <c r="J579" s="2">
        <f t="shared" si="28"/>
        <v>0</v>
      </c>
      <c r="K579" s="2">
        <f t="shared" si="26"/>
        <v>0</v>
      </c>
    </row>
    <row r="580" spans="5:11">
      <c r="E580" t="s">
        <v>172</v>
      </c>
      <c r="F580" t="s">
        <v>610</v>
      </c>
      <c r="G580" s="7" t="str">
        <f t="shared" si="27"/>
        <v>15-12</v>
      </c>
      <c r="H580" s="1">
        <f>_xlfn.IFNA(VLOOKUP(Aragon!E580,'Kilter Holds'!$P$36:$AB$370,7,0),0)</f>
        <v>0</v>
      </c>
      <c r="J580" s="2">
        <f t="shared" si="28"/>
        <v>0</v>
      </c>
      <c r="K580" s="2">
        <f t="shared" si="26"/>
        <v>0</v>
      </c>
    </row>
    <row r="581" spans="5:11">
      <c r="E581" t="s">
        <v>172</v>
      </c>
      <c r="F581" t="s">
        <v>610</v>
      </c>
      <c r="G581" s="8" t="str">
        <f t="shared" si="27"/>
        <v>16-16</v>
      </c>
      <c r="H581" s="1">
        <f>_xlfn.IFNA(VLOOKUP(Aragon!E581,'Kilter Holds'!$P$36:$AB$370,8,0),0)</f>
        <v>0</v>
      </c>
      <c r="J581" s="2">
        <f t="shared" si="28"/>
        <v>0</v>
      </c>
      <c r="K581" s="2">
        <f t="shared" si="26"/>
        <v>0</v>
      </c>
    </row>
    <row r="582" spans="5:11">
      <c r="E582" t="s">
        <v>172</v>
      </c>
      <c r="F582" t="s">
        <v>610</v>
      </c>
      <c r="G582" s="9" t="str">
        <f t="shared" si="27"/>
        <v>13-01</v>
      </c>
      <c r="H582" s="1">
        <f>_xlfn.IFNA(VLOOKUP(Aragon!E582,'Kilter Holds'!$P$36:$AB$370,9,0),0)</f>
        <v>0</v>
      </c>
      <c r="J582" s="2">
        <f t="shared" si="28"/>
        <v>0</v>
      </c>
      <c r="K582" s="2">
        <f t="shared" si="26"/>
        <v>0</v>
      </c>
    </row>
    <row r="583" spans="5:11">
      <c r="E583" t="s">
        <v>172</v>
      </c>
      <c r="F583" t="s">
        <v>610</v>
      </c>
      <c r="G583" s="10" t="str">
        <f t="shared" si="27"/>
        <v>07-13</v>
      </c>
      <c r="H583" s="1">
        <f>_xlfn.IFNA(VLOOKUP(Aragon!E583,'Kilter Holds'!$P$36:$AB$370,10,0),0)</f>
        <v>0</v>
      </c>
      <c r="J583" s="2">
        <f t="shared" si="28"/>
        <v>0</v>
      </c>
      <c r="K583" s="2">
        <f t="shared" si="26"/>
        <v>0</v>
      </c>
    </row>
    <row r="584" spans="5:11">
      <c r="E584" t="s">
        <v>172</v>
      </c>
      <c r="F584" t="s">
        <v>610</v>
      </c>
      <c r="G584" s="11" t="str">
        <f t="shared" si="27"/>
        <v>11-25</v>
      </c>
      <c r="H584" s="1">
        <f>_xlfn.IFNA(VLOOKUP(Aragon!E584,'Kilter Holds'!$P$36:$AB$370,11,0),0)</f>
        <v>0</v>
      </c>
      <c r="J584" s="2">
        <f t="shared" si="28"/>
        <v>0</v>
      </c>
      <c r="K584" s="2">
        <f t="shared" si="26"/>
        <v>0</v>
      </c>
    </row>
    <row r="585" spans="5:11">
      <c r="E585" t="s">
        <v>172</v>
      </c>
      <c r="F585" t="s">
        <v>610</v>
      </c>
      <c r="G585" s="13" t="str">
        <f t="shared" si="27"/>
        <v>18-01</v>
      </c>
      <c r="H585" s="1">
        <f>_xlfn.IFNA(VLOOKUP(Aragon!E585,'Kilter Holds'!$P$36:$AB$370,12,0),0)</f>
        <v>0</v>
      </c>
      <c r="J585" s="2">
        <f t="shared" si="28"/>
        <v>0</v>
      </c>
      <c r="K585" s="2">
        <f t="shared" si="26"/>
        <v>0</v>
      </c>
    </row>
    <row r="586" spans="5:11">
      <c r="E586" t="s">
        <v>172</v>
      </c>
      <c r="F586" t="s">
        <v>610</v>
      </c>
      <c r="G586" s="12" t="str">
        <f t="shared" si="27"/>
        <v>12-01</v>
      </c>
      <c r="H586" s="1">
        <f>_xlfn.IFNA(VLOOKUP(Aragon!E586,'Kilter Holds'!$P$36:$AB$370,13,0),0)</f>
        <v>0</v>
      </c>
      <c r="J586" s="2">
        <f t="shared" si="28"/>
        <v>0</v>
      </c>
      <c r="K586" s="2">
        <f t="shared" si="26"/>
        <v>0</v>
      </c>
    </row>
    <row r="587" spans="5:11">
      <c r="E587" t="s">
        <v>313</v>
      </c>
      <c r="F587" t="s">
        <v>611</v>
      </c>
      <c r="G587" s="5" t="str">
        <f t="shared" si="27"/>
        <v>11-12</v>
      </c>
      <c r="H587" s="1">
        <f>_xlfn.IFNA(VLOOKUP(Aragon!E587,'Kilter Holds'!$P$36:$AB$370,5,0),0)</f>
        <v>0</v>
      </c>
      <c r="J587" s="2">
        <f t="shared" si="28"/>
        <v>0</v>
      </c>
      <c r="K587" s="2">
        <f t="shared" si="26"/>
        <v>0</v>
      </c>
    </row>
    <row r="588" spans="5:11">
      <c r="E588" t="s">
        <v>313</v>
      </c>
      <c r="F588" t="s">
        <v>611</v>
      </c>
      <c r="G588" s="6" t="str">
        <f t="shared" si="27"/>
        <v>14-01</v>
      </c>
      <c r="H588" s="1">
        <f>_xlfn.IFNA(VLOOKUP(Aragon!E588,'Kilter Holds'!$P$36:$AB$370,6,0),0)</f>
        <v>0</v>
      </c>
      <c r="J588" s="2">
        <f t="shared" si="28"/>
        <v>0</v>
      </c>
      <c r="K588" s="2">
        <f t="shared" ref="K588:K651" si="29">IF($V$11="Y",J588*0.05,0)</f>
        <v>0</v>
      </c>
    </row>
    <row r="589" spans="5:11">
      <c r="E589" t="s">
        <v>313</v>
      </c>
      <c r="F589" t="s">
        <v>611</v>
      </c>
      <c r="G589" s="7" t="str">
        <f t="shared" ref="G589:G652" si="30">G580</f>
        <v>15-12</v>
      </c>
      <c r="H589" s="1">
        <f>_xlfn.IFNA(VLOOKUP(Aragon!E589,'Kilter Holds'!$P$36:$AB$370,7,0),0)</f>
        <v>0</v>
      </c>
      <c r="J589" s="2">
        <f t="shared" si="28"/>
        <v>0</v>
      </c>
      <c r="K589" s="2">
        <f t="shared" si="29"/>
        <v>0</v>
      </c>
    </row>
    <row r="590" spans="5:11">
      <c r="E590" t="s">
        <v>313</v>
      </c>
      <c r="F590" t="s">
        <v>611</v>
      </c>
      <c r="G590" s="8" t="str">
        <f t="shared" si="30"/>
        <v>16-16</v>
      </c>
      <c r="H590" s="1">
        <f>_xlfn.IFNA(VLOOKUP(Aragon!E590,'Kilter Holds'!$P$36:$AB$370,8,0),0)</f>
        <v>0</v>
      </c>
      <c r="J590" s="2">
        <f t="shared" si="28"/>
        <v>0</v>
      </c>
      <c r="K590" s="2">
        <f t="shared" si="29"/>
        <v>0</v>
      </c>
    </row>
    <row r="591" spans="5:11">
      <c r="E591" t="s">
        <v>313</v>
      </c>
      <c r="F591" t="s">
        <v>611</v>
      </c>
      <c r="G591" s="9" t="str">
        <f t="shared" si="30"/>
        <v>13-01</v>
      </c>
      <c r="H591" s="1">
        <f>_xlfn.IFNA(VLOOKUP(Aragon!E591,'Kilter Holds'!$P$36:$AB$370,9,0),0)</f>
        <v>0</v>
      </c>
      <c r="J591" s="2">
        <f t="shared" si="28"/>
        <v>0</v>
      </c>
      <c r="K591" s="2">
        <f t="shared" si="29"/>
        <v>0</v>
      </c>
    </row>
    <row r="592" spans="5:11">
      <c r="E592" t="s">
        <v>313</v>
      </c>
      <c r="F592" t="s">
        <v>611</v>
      </c>
      <c r="G592" s="10" t="str">
        <f t="shared" si="30"/>
        <v>07-13</v>
      </c>
      <c r="H592" s="1">
        <f>_xlfn.IFNA(VLOOKUP(Aragon!E592,'Kilter Holds'!$P$36:$AB$370,10,0),0)</f>
        <v>0</v>
      </c>
      <c r="J592" s="2">
        <f t="shared" si="28"/>
        <v>0</v>
      </c>
      <c r="K592" s="2">
        <f t="shared" si="29"/>
        <v>0</v>
      </c>
    </row>
    <row r="593" spans="1:11">
      <c r="E593" t="s">
        <v>313</v>
      </c>
      <c r="F593" t="s">
        <v>611</v>
      </c>
      <c r="G593" s="11" t="str">
        <f t="shared" si="30"/>
        <v>11-25</v>
      </c>
      <c r="H593" s="1">
        <f>_xlfn.IFNA(VLOOKUP(Aragon!E593,'Kilter Holds'!$P$36:$AB$370,11,0),0)</f>
        <v>0</v>
      </c>
      <c r="J593" s="2">
        <f t="shared" si="28"/>
        <v>0</v>
      </c>
      <c r="K593" s="2">
        <f t="shared" si="29"/>
        <v>0</v>
      </c>
    </row>
    <row r="594" spans="1:11">
      <c r="E594" t="s">
        <v>313</v>
      </c>
      <c r="F594" t="s">
        <v>611</v>
      </c>
      <c r="G594" s="13" t="str">
        <f t="shared" si="30"/>
        <v>18-01</v>
      </c>
      <c r="H594" s="1">
        <f>_xlfn.IFNA(VLOOKUP(Aragon!E594,'Kilter Holds'!$P$36:$AB$370,12,0),0)</f>
        <v>0</v>
      </c>
      <c r="J594" s="2">
        <f t="shared" si="28"/>
        <v>0</v>
      </c>
      <c r="K594" s="2">
        <f t="shared" si="29"/>
        <v>0</v>
      </c>
    </row>
    <row r="595" spans="1:11">
      <c r="E595" t="s">
        <v>313</v>
      </c>
      <c r="F595" t="s">
        <v>611</v>
      </c>
      <c r="G595" s="12" t="str">
        <f t="shared" si="30"/>
        <v>12-01</v>
      </c>
      <c r="H595" s="1">
        <f>_xlfn.IFNA(VLOOKUP(Aragon!E595,'Kilter Holds'!$P$36:$AB$370,13,0),0)</f>
        <v>0</v>
      </c>
      <c r="J595" s="2">
        <f t="shared" si="28"/>
        <v>0</v>
      </c>
      <c r="K595" s="2">
        <f t="shared" si="29"/>
        <v>0</v>
      </c>
    </row>
    <row r="596" spans="1:11">
      <c r="E596" t="s">
        <v>314</v>
      </c>
      <c r="F596" t="s">
        <v>612</v>
      </c>
      <c r="G596" s="5" t="str">
        <f t="shared" si="30"/>
        <v>11-12</v>
      </c>
      <c r="H596" s="1">
        <f>_xlfn.IFNA(VLOOKUP(Aragon!E596,'Kilter Holds'!$P$36:$AB$370,5,0),0)</f>
        <v>0</v>
      </c>
      <c r="J596" s="2">
        <f t="shared" si="28"/>
        <v>0</v>
      </c>
      <c r="K596" s="2">
        <f t="shared" si="29"/>
        <v>0</v>
      </c>
    </row>
    <row r="597" spans="1:11">
      <c r="E597" t="s">
        <v>314</v>
      </c>
      <c r="F597" t="s">
        <v>612</v>
      </c>
      <c r="G597" s="6" t="str">
        <f t="shared" si="30"/>
        <v>14-01</v>
      </c>
      <c r="H597" s="1">
        <f>_xlfn.IFNA(VLOOKUP(Aragon!E597,'Kilter Holds'!$P$36:$AB$370,6,0),0)</f>
        <v>0</v>
      </c>
      <c r="J597" s="2">
        <f t="shared" si="28"/>
        <v>0</v>
      </c>
      <c r="K597" s="2">
        <f t="shared" si="29"/>
        <v>0</v>
      </c>
    </row>
    <row r="598" spans="1:11">
      <c r="E598" t="s">
        <v>314</v>
      </c>
      <c r="F598" t="s">
        <v>612</v>
      </c>
      <c r="G598" s="7" t="str">
        <f t="shared" si="30"/>
        <v>15-12</v>
      </c>
      <c r="H598" s="1">
        <f>_xlfn.IFNA(VLOOKUP(Aragon!E598,'Kilter Holds'!$P$36:$AB$370,7,0),0)</f>
        <v>0</v>
      </c>
      <c r="J598" s="2">
        <f t="shared" si="28"/>
        <v>0</v>
      </c>
      <c r="K598" s="2">
        <f t="shared" si="29"/>
        <v>0</v>
      </c>
    </row>
    <row r="599" spans="1:11">
      <c r="E599" t="s">
        <v>314</v>
      </c>
      <c r="F599" t="s">
        <v>612</v>
      </c>
      <c r="G599" s="8" t="str">
        <f t="shared" si="30"/>
        <v>16-16</v>
      </c>
      <c r="H599" s="1">
        <f>_xlfn.IFNA(VLOOKUP(Aragon!E599,'Kilter Holds'!$P$36:$AB$370,8,0),0)</f>
        <v>0</v>
      </c>
      <c r="J599" s="2">
        <f t="shared" si="28"/>
        <v>0</v>
      </c>
      <c r="K599" s="2">
        <f t="shared" si="29"/>
        <v>0</v>
      </c>
    </row>
    <row r="600" spans="1:11">
      <c r="E600" t="s">
        <v>314</v>
      </c>
      <c r="F600" t="s">
        <v>612</v>
      </c>
      <c r="G600" s="9" t="str">
        <f t="shared" si="30"/>
        <v>13-01</v>
      </c>
      <c r="H600" s="1">
        <f>_xlfn.IFNA(VLOOKUP(Aragon!E600,'Kilter Holds'!$P$36:$AB$370,9,0),0)</f>
        <v>0</v>
      </c>
      <c r="J600" s="2">
        <f t="shared" si="28"/>
        <v>0</v>
      </c>
      <c r="K600" s="2">
        <f t="shared" si="29"/>
        <v>0</v>
      </c>
    </row>
    <row r="601" spans="1:11">
      <c r="E601" t="s">
        <v>314</v>
      </c>
      <c r="F601" t="s">
        <v>612</v>
      </c>
      <c r="G601" s="10" t="str">
        <f t="shared" si="30"/>
        <v>07-13</v>
      </c>
      <c r="H601" s="1">
        <f>_xlfn.IFNA(VLOOKUP(Aragon!E601,'Kilter Holds'!$P$36:$AB$370,10,0),0)</f>
        <v>0</v>
      </c>
      <c r="J601" s="2">
        <f t="shared" si="28"/>
        <v>0</v>
      </c>
      <c r="K601" s="2">
        <f t="shared" si="29"/>
        <v>0</v>
      </c>
    </row>
    <row r="602" spans="1:11">
      <c r="E602" t="s">
        <v>314</v>
      </c>
      <c r="F602" t="s">
        <v>612</v>
      </c>
      <c r="G602" s="11" t="str">
        <f t="shared" si="30"/>
        <v>11-25</v>
      </c>
      <c r="H602" s="1">
        <f>_xlfn.IFNA(VLOOKUP(Aragon!E602,'Kilter Holds'!$P$36:$AB$370,11,0),0)</f>
        <v>0</v>
      </c>
      <c r="J602" s="2">
        <f t="shared" si="28"/>
        <v>0</v>
      </c>
      <c r="K602" s="2">
        <f t="shared" si="29"/>
        <v>0</v>
      </c>
    </row>
    <row r="603" spans="1:11">
      <c r="E603" t="s">
        <v>314</v>
      </c>
      <c r="F603" t="s">
        <v>612</v>
      </c>
      <c r="G603" s="13" t="str">
        <f t="shared" si="30"/>
        <v>18-01</v>
      </c>
      <c r="H603" s="1">
        <f>_xlfn.IFNA(VLOOKUP(Aragon!E603,'Kilter Holds'!$P$36:$AB$370,12,0),0)</f>
        <v>0</v>
      </c>
      <c r="J603" s="2">
        <f t="shared" si="28"/>
        <v>0</v>
      </c>
      <c r="K603" s="2">
        <f t="shared" si="29"/>
        <v>0</v>
      </c>
    </row>
    <row r="604" spans="1:11">
      <c r="E604" t="s">
        <v>314</v>
      </c>
      <c r="F604" t="s">
        <v>612</v>
      </c>
      <c r="G604" s="12" t="str">
        <f t="shared" si="30"/>
        <v>12-01</v>
      </c>
      <c r="H604" s="1">
        <f>_xlfn.IFNA(VLOOKUP(Aragon!E604,'Kilter Holds'!$P$36:$AB$370,13,0),0)</f>
        <v>0</v>
      </c>
      <c r="J604" s="2">
        <f t="shared" si="28"/>
        <v>0</v>
      </c>
      <c r="K604" s="2">
        <f t="shared" si="29"/>
        <v>0</v>
      </c>
    </row>
    <row r="605" spans="1:11">
      <c r="A605" s="3" t="s">
        <v>2170</v>
      </c>
      <c r="B605" s="3"/>
      <c r="C605" s="3"/>
      <c r="D605" s="3"/>
      <c r="E605" t="s">
        <v>315</v>
      </c>
      <c r="F605" t="s">
        <v>613</v>
      </c>
      <c r="G605" s="5" t="str">
        <f t="shared" si="30"/>
        <v>11-12</v>
      </c>
      <c r="H605" s="1">
        <f>_xlfn.IFNA(VLOOKUP(E605,'Kilter Holds'!$P$36:$AB$370,5,0),0)+_xlfn.IFNA(VLOOKUP(A605,'Kilter Holds'!$P$36:$AB$370,5,0),0)</f>
        <v>0</v>
      </c>
      <c r="J605" s="2">
        <f t="shared" si="28"/>
        <v>0</v>
      </c>
      <c r="K605" s="2">
        <f t="shared" si="29"/>
        <v>0</v>
      </c>
    </row>
    <row r="606" spans="1:11">
      <c r="A606" s="3" t="s">
        <v>2170</v>
      </c>
      <c r="B606" s="3"/>
      <c r="C606" s="3"/>
      <c r="D606" s="3"/>
      <c r="E606" t="s">
        <v>315</v>
      </c>
      <c r="F606" t="s">
        <v>613</v>
      </c>
      <c r="G606" s="6" t="str">
        <f t="shared" si="30"/>
        <v>14-01</v>
      </c>
      <c r="H606" s="1">
        <f>_xlfn.IFNA(VLOOKUP(E606,'Kilter Holds'!$P$36:$AB$370,6,0),0)+_xlfn.IFNA(VLOOKUP(A606,'Kilter Holds'!$P$36:$AB$370,6,0),0)</f>
        <v>0</v>
      </c>
      <c r="J606" s="2">
        <f t="shared" si="28"/>
        <v>0</v>
      </c>
      <c r="K606" s="2">
        <f t="shared" si="29"/>
        <v>0</v>
      </c>
    </row>
    <row r="607" spans="1:11">
      <c r="A607" s="3" t="s">
        <v>2170</v>
      </c>
      <c r="B607" s="3"/>
      <c r="C607" s="3"/>
      <c r="D607" s="3"/>
      <c r="E607" t="s">
        <v>315</v>
      </c>
      <c r="F607" t="s">
        <v>613</v>
      </c>
      <c r="G607" s="7" t="str">
        <f t="shared" si="30"/>
        <v>15-12</v>
      </c>
      <c r="H607" s="1">
        <f>_xlfn.IFNA(VLOOKUP(E607,'Kilter Holds'!$P$36:$AB$370,7,0),0)+_xlfn.IFNA(VLOOKUP(A607,'Kilter Holds'!$P$36:$AB$370,7,0),0)</f>
        <v>0</v>
      </c>
      <c r="J607" s="2">
        <f t="shared" si="28"/>
        <v>0</v>
      </c>
      <c r="K607" s="2">
        <f t="shared" si="29"/>
        <v>0</v>
      </c>
    </row>
    <row r="608" spans="1:11">
      <c r="A608" s="3" t="s">
        <v>2170</v>
      </c>
      <c r="B608" s="3"/>
      <c r="C608" s="3"/>
      <c r="D608" s="3"/>
      <c r="E608" t="s">
        <v>315</v>
      </c>
      <c r="F608" t="s">
        <v>613</v>
      </c>
      <c r="G608" s="8" t="str">
        <f t="shared" si="30"/>
        <v>16-16</v>
      </c>
      <c r="H608" s="1">
        <f>_xlfn.IFNA(VLOOKUP(E608,'Kilter Holds'!$P$36:$AB$370,8,0),0)+_xlfn.IFNA(VLOOKUP(A608,'Kilter Holds'!$P$36:$AB$370,8,0),0)</f>
        <v>0</v>
      </c>
      <c r="J608" s="2">
        <f t="shared" si="28"/>
        <v>0</v>
      </c>
      <c r="K608" s="2">
        <f t="shared" si="29"/>
        <v>0</v>
      </c>
    </row>
    <row r="609" spans="1:11">
      <c r="A609" s="3" t="s">
        <v>2170</v>
      </c>
      <c r="B609" s="3"/>
      <c r="C609" s="3"/>
      <c r="D609" s="3"/>
      <c r="E609" t="s">
        <v>315</v>
      </c>
      <c r="F609" t="s">
        <v>613</v>
      </c>
      <c r="G609" s="9" t="str">
        <f t="shared" si="30"/>
        <v>13-01</v>
      </c>
      <c r="H609" s="1">
        <f>_xlfn.IFNA(VLOOKUP(E609,'Kilter Holds'!$P$36:$AB$370,9,0),0)+_xlfn.IFNA(VLOOKUP(A609,'Kilter Holds'!$P$36:$AB$370,9,0),0)</f>
        <v>0</v>
      </c>
      <c r="J609" s="2">
        <f t="shared" si="28"/>
        <v>0</v>
      </c>
      <c r="K609" s="2">
        <f t="shared" si="29"/>
        <v>0</v>
      </c>
    </row>
    <row r="610" spans="1:11">
      <c r="A610" s="3" t="s">
        <v>2170</v>
      </c>
      <c r="B610" s="3"/>
      <c r="C610" s="3"/>
      <c r="D610" s="3"/>
      <c r="E610" t="s">
        <v>315</v>
      </c>
      <c r="F610" t="s">
        <v>613</v>
      </c>
      <c r="G610" s="10" t="str">
        <f t="shared" si="30"/>
        <v>07-13</v>
      </c>
      <c r="H610" s="1">
        <f>_xlfn.IFNA(VLOOKUP(E610,'Kilter Holds'!$P$36:$AB$370,10,0),0)+_xlfn.IFNA(VLOOKUP(A610,'Kilter Holds'!$P$36:$AB$370,10,0),0)</f>
        <v>0</v>
      </c>
      <c r="J610" s="2">
        <f t="shared" si="28"/>
        <v>0</v>
      </c>
      <c r="K610" s="2">
        <f t="shared" si="29"/>
        <v>0</v>
      </c>
    </row>
    <row r="611" spans="1:11">
      <c r="A611" s="3" t="s">
        <v>2170</v>
      </c>
      <c r="B611" s="3"/>
      <c r="C611" s="3"/>
      <c r="D611" s="3"/>
      <c r="E611" t="s">
        <v>315</v>
      </c>
      <c r="F611" t="s">
        <v>613</v>
      </c>
      <c r="G611" s="11" t="str">
        <f t="shared" si="30"/>
        <v>11-25</v>
      </c>
      <c r="H611" s="1">
        <f>_xlfn.IFNA(VLOOKUP(E611,'Kilter Holds'!$P$36:$AB$370,11,0),0)+_xlfn.IFNA(VLOOKUP(A611,'Kilter Holds'!$P$36:$AB$370,11,0),0)</f>
        <v>0</v>
      </c>
      <c r="J611" s="2">
        <f t="shared" si="28"/>
        <v>0</v>
      </c>
      <c r="K611" s="2">
        <f t="shared" si="29"/>
        <v>0</v>
      </c>
    </row>
    <row r="612" spans="1:11">
      <c r="A612" s="3" t="s">
        <v>2170</v>
      </c>
      <c r="B612" s="3"/>
      <c r="C612" s="3"/>
      <c r="D612" s="3"/>
      <c r="E612" t="s">
        <v>315</v>
      </c>
      <c r="F612" t="s">
        <v>613</v>
      </c>
      <c r="G612" s="13" t="str">
        <f t="shared" si="30"/>
        <v>18-01</v>
      </c>
      <c r="H612" s="1">
        <f>_xlfn.IFNA(VLOOKUP(E612,'Kilter Holds'!$P$36:$AB$370,12,0),0)+_xlfn.IFNA(VLOOKUP(A612,'Kilter Holds'!$P$36:$AB$370,12,0),0)</f>
        <v>0</v>
      </c>
      <c r="J612" s="2">
        <f t="shared" si="28"/>
        <v>0</v>
      </c>
      <c r="K612" s="2">
        <f t="shared" si="29"/>
        <v>0</v>
      </c>
    </row>
    <row r="613" spans="1:11">
      <c r="A613" s="3" t="s">
        <v>2170</v>
      </c>
      <c r="B613" s="3"/>
      <c r="C613" s="3"/>
      <c r="D613" s="3"/>
      <c r="E613" t="s">
        <v>315</v>
      </c>
      <c r="F613" t="s">
        <v>613</v>
      </c>
      <c r="G613" s="12" t="str">
        <f t="shared" si="30"/>
        <v>12-01</v>
      </c>
      <c r="H613" s="1">
        <f>_xlfn.IFNA(VLOOKUP(E613,'Kilter Holds'!$P$36:$AB$370,13,0),0)+_xlfn.IFNA(VLOOKUP(A613,'Kilter Holds'!$P$36:$AB$370,13,0),0)</f>
        <v>0</v>
      </c>
      <c r="J613" s="2">
        <f t="shared" si="28"/>
        <v>0</v>
      </c>
      <c r="K613" s="2">
        <f t="shared" si="29"/>
        <v>0</v>
      </c>
    </row>
    <row r="614" spans="1:11">
      <c r="E614" t="s">
        <v>303</v>
      </c>
      <c r="F614" t="s">
        <v>614</v>
      </c>
      <c r="G614" s="5" t="str">
        <f t="shared" si="30"/>
        <v>11-12</v>
      </c>
      <c r="H614" s="1">
        <f>_xlfn.IFNA(VLOOKUP(Aragon!E614,'Kilter Holds'!$P$36:$AB$370,5,0),0)</f>
        <v>0</v>
      </c>
      <c r="J614" s="2">
        <f t="shared" si="28"/>
        <v>0</v>
      </c>
      <c r="K614" s="2">
        <f t="shared" si="29"/>
        <v>0</v>
      </c>
    </row>
    <row r="615" spans="1:11">
      <c r="E615" t="s">
        <v>303</v>
      </c>
      <c r="F615" t="s">
        <v>614</v>
      </c>
      <c r="G615" s="6" t="str">
        <f t="shared" si="30"/>
        <v>14-01</v>
      </c>
      <c r="H615" s="1">
        <f>_xlfn.IFNA(VLOOKUP(Aragon!E615,'Kilter Holds'!$P$36:$AB$370,6,0),0)</f>
        <v>0</v>
      </c>
      <c r="J615" s="2">
        <f t="shared" si="28"/>
        <v>0</v>
      </c>
      <c r="K615" s="2">
        <f t="shared" si="29"/>
        <v>0</v>
      </c>
    </row>
    <row r="616" spans="1:11">
      <c r="E616" t="s">
        <v>303</v>
      </c>
      <c r="F616" t="s">
        <v>614</v>
      </c>
      <c r="G616" s="7" t="str">
        <f t="shared" si="30"/>
        <v>15-12</v>
      </c>
      <c r="H616" s="1">
        <f>_xlfn.IFNA(VLOOKUP(Aragon!E616,'Kilter Holds'!$P$36:$AB$370,7,0),0)</f>
        <v>0</v>
      </c>
      <c r="J616" s="2">
        <f t="shared" si="28"/>
        <v>0</v>
      </c>
      <c r="K616" s="2">
        <f t="shared" si="29"/>
        <v>0</v>
      </c>
    </row>
    <row r="617" spans="1:11">
      <c r="E617" t="s">
        <v>303</v>
      </c>
      <c r="F617" t="s">
        <v>614</v>
      </c>
      <c r="G617" s="8" t="str">
        <f t="shared" si="30"/>
        <v>16-16</v>
      </c>
      <c r="H617" s="1">
        <f>_xlfn.IFNA(VLOOKUP(Aragon!E617,'Kilter Holds'!$P$36:$AB$370,8,0),0)</f>
        <v>0</v>
      </c>
      <c r="J617" s="2">
        <f t="shared" si="28"/>
        <v>0</v>
      </c>
      <c r="K617" s="2">
        <f t="shared" si="29"/>
        <v>0</v>
      </c>
    </row>
    <row r="618" spans="1:11">
      <c r="E618" t="s">
        <v>303</v>
      </c>
      <c r="F618" t="s">
        <v>614</v>
      </c>
      <c r="G618" s="9" t="str">
        <f t="shared" si="30"/>
        <v>13-01</v>
      </c>
      <c r="H618" s="1">
        <f>_xlfn.IFNA(VLOOKUP(Aragon!E618,'Kilter Holds'!$P$36:$AB$370,9,0),0)</f>
        <v>0</v>
      </c>
      <c r="J618" s="2">
        <f t="shared" si="28"/>
        <v>0</v>
      </c>
      <c r="K618" s="2">
        <f t="shared" si="29"/>
        <v>0</v>
      </c>
    </row>
    <row r="619" spans="1:11">
      <c r="E619" t="s">
        <v>303</v>
      </c>
      <c r="F619" t="s">
        <v>614</v>
      </c>
      <c r="G619" s="10" t="str">
        <f t="shared" si="30"/>
        <v>07-13</v>
      </c>
      <c r="H619" s="1">
        <f>_xlfn.IFNA(VLOOKUP(Aragon!E619,'Kilter Holds'!$P$36:$AB$370,10,0),0)</f>
        <v>0</v>
      </c>
      <c r="J619" s="2">
        <f t="shared" si="28"/>
        <v>0</v>
      </c>
      <c r="K619" s="2">
        <f t="shared" si="29"/>
        <v>0</v>
      </c>
    </row>
    <row r="620" spans="1:11">
      <c r="E620" t="s">
        <v>303</v>
      </c>
      <c r="F620" t="s">
        <v>614</v>
      </c>
      <c r="G620" s="11" t="str">
        <f t="shared" si="30"/>
        <v>11-25</v>
      </c>
      <c r="H620" s="1">
        <f>_xlfn.IFNA(VLOOKUP(Aragon!E620,'Kilter Holds'!$P$36:$AB$370,11,0),0)</f>
        <v>0</v>
      </c>
      <c r="J620" s="2">
        <f t="shared" si="28"/>
        <v>0</v>
      </c>
      <c r="K620" s="2">
        <f t="shared" si="29"/>
        <v>0</v>
      </c>
    </row>
    <row r="621" spans="1:11">
      <c r="E621" t="s">
        <v>303</v>
      </c>
      <c r="F621" t="s">
        <v>614</v>
      </c>
      <c r="G621" s="13" t="str">
        <f t="shared" si="30"/>
        <v>18-01</v>
      </c>
      <c r="H621" s="1">
        <f>_xlfn.IFNA(VLOOKUP(Aragon!E621,'Kilter Holds'!$P$36:$AB$370,12,0),0)</f>
        <v>0</v>
      </c>
      <c r="J621" s="2">
        <f t="shared" si="28"/>
        <v>0</v>
      </c>
      <c r="K621" s="2">
        <f t="shared" si="29"/>
        <v>0</v>
      </c>
    </row>
    <row r="622" spans="1:11">
      <c r="E622" t="s">
        <v>303</v>
      </c>
      <c r="F622" t="s">
        <v>614</v>
      </c>
      <c r="G622" s="12" t="str">
        <f t="shared" si="30"/>
        <v>12-01</v>
      </c>
      <c r="H622" s="1">
        <f>_xlfn.IFNA(VLOOKUP(Aragon!E622,'Kilter Holds'!$P$36:$AB$370,13,0),0)</f>
        <v>0</v>
      </c>
      <c r="J622" s="2">
        <f t="shared" si="28"/>
        <v>0</v>
      </c>
      <c r="K622" s="2">
        <f t="shared" si="29"/>
        <v>0</v>
      </c>
    </row>
    <row r="623" spans="1:11">
      <c r="E623" t="s">
        <v>187</v>
      </c>
      <c r="F623" t="s">
        <v>615</v>
      </c>
      <c r="G623" s="5" t="str">
        <f t="shared" si="30"/>
        <v>11-12</v>
      </c>
      <c r="H623" s="1">
        <f>_xlfn.IFNA(VLOOKUP(Aragon!E623,'Kilter Holds'!$P$36:$AB$370,5,0),0)</f>
        <v>0</v>
      </c>
      <c r="J623" s="2">
        <f t="shared" si="28"/>
        <v>0</v>
      </c>
      <c r="K623" s="2">
        <f t="shared" si="29"/>
        <v>0</v>
      </c>
    </row>
    <row r="624" spans="1:11">
      <c r="E624" t="s">
        <v>187</v>
      </c>
      <c r="F624" t="s">
        <v>615</v>
      </c>
      <c r="G624" s="6" t="str">
        <f t="shared" si="30"/>
        <v>14-01</v>
      </c>
      <c r="H624" s="1">
        <f>_xlfn.IFNA(VLOOKUP(Aragon!E624,'Kilter Holds'!$P$36:$AB$370,6,0),0)</f>
        <v>0</v>
      </c>
      <c r="J624" s="2">
        <f t="shared" si="28"/>
        <v>0</v>
      </c>
      <c r="K624" s="2">
        <f t="shared" si="29"/>
        <v>0</v>
      </c>
    </row>
    <row r="625" spans="5:11">
      <c r="E625" t="s">
        <v>187</v>
      </c>
      <c r="F625" t="s">
        <v>615</v>
      </c>
      <c r="G625" s="7" t="str">
        <f t="shared" si="30"/>
        <v>15-12</v>
      </c>
      <c r="H625" s="1">
        <f>_xlfn.IFNA(VLOOKUP(Aragon!E625,'Kilter Holds'!$P$36:$AB$370,7,0),0)</f>
        <v>0</v>
      </c>
      <c r="J625" s="2">
        <f t="shared" si="28"/>
        <v>0</v>
      </c>
      <c r="K625" s="2">
        <f t="shared" si="29"/>
        <v>0</v>
      </c>
    </row>
    <row r="626" spans="5:11">
      <c r="E626" t="s">
        <v>187</v>
      </c>
      <c r="F626" t="s">
        <v>615</v>
      </c>
      <c r="G626" s="8" t="str">
        <f t="shared" si="30"/>
        <v>16-16</v>
      </c>
      <c r="H626" s="1">
        <f>_xlfn.IFNA(VLOOKUP(Aragon!E626,'Kilter Holds'!$P$36:$AB$370,8,0),0)</f>
        <v>0</v>
      </c>
      <c r="J626" s="2">
        <f t="shared" si="28"/>
        <v>0</v>
      </c>
      <c r="K626" s="2">
        <f t="shared" si="29"/>
        <v>0</v>
      </c>
    </row>
    <row r="627" spans="5:11">
      <c r="E627" t="s">
        <v>187</v>
      </c>
      <c r="F627" t="s">
        <v>615</v>
      </c>
      <c r="G627" s="9" t="str">
        <f t="shared" si="30"/>
        <v>13-01</v>
      </c>
      <c r="H627" s="1">
        <f>_xlfn.IFNA(VLOOKUP(Aragon!E627,'Kilter Holds'!$P$36:$AB$370,9,0),0)</f>
        <v>0</v>
      </c>
      <c r="J627" s="2">
        <f t="shared" si="28"/>
        <v>0</v>
      </c>
      <c r="K627" s="2">
        <f t="shared" si="29"/>
        <v>0</v>
      </c>
    </row>
    <row r="628" spans="5:11">
      <c r="E628" t="s">
        <v>187</v>
      </c>
      <c r="F628" t="s">
        <v>615</v>
      </c>
      <c r="G628" s="10" t="str">
        <f t="shared" si="30"/>
        <v>07-13</v>
      </c>
      <c r="H628" s="1">
        <f>_xlfn.IFNA(VLOOKUP(Aragon!E628,'Kilter Holds'!$P$36:$AB$370,10,0),0)</f>
        <v>0</v>
      </c>
      <c r="J628" s="2">
        <f t="shared" si="28"/>
        <v>0</v>
      </c>
      <c r="K628" s="2">
        <f t="shared" si="29"/>
        <v>0</v>
      </c>
    </row>
    <row r="629" spans="5:11">
      <c r="E629" t="s">
        <v>187</v>
      </c>
      <c r="F629" t="s">
        <v>615</v>
      </c>
      <c r="G629" s="11" t="str">
        <f t="shared" si="30"/>
        <v>11-25</v>
      </c>
      <c r="H629" s="1">
        <f>_xlfn.IFNA(VLOOKUP(Aragon!E629,'Kilter Holds'!$P$36:$AB$370,11,0),0)</f>
        <v>0</v>
      </c>
      <c r="J629" s="2">
        <f t="shared" si="28"/>
        <v>0</v>
      </c>
      <c r="K629" s="2">
        <f t="shared" si="29"/>
        <v>0</v>
      </c>
    </row>
    <row r="630" spans="5:11">
      <c r="E630" t="s">
        <v>187</v>
      </c>
      <c r="F630" t="s">
        <v>615</v>
      </c>
      <c r="G630" s="13" t="str">
        <f t="shared" si="30"/>
        <v>18-01</v>
      </c>
      <c r="H630" s="1">
        <f>_xlfn.IFNA(VLOOKUP(Aragon!E630,'Kilter Holds'!$P$36:$AB$370,12,0),0)</f>
        <v>0</v>
      </c>
      <c r="J630" s="2">
        <f t="shared" si="28"/>
        <v>0</v>
      </c>
      <c r="K630" s="2">
        <f t="shared" si="29"/>
        <v>0</v>
      </c>
    </row>
    <row r="631" spans="5:11">
      <c r="E631" t="s">
        <v>187</v>
      </c>
      <c r="F631" t="s">
        <v>615</v>
      </c>
      <c r="G631" s="12" t="str">
        <f t="shared" si="30"/>
        <v>12-01</v>
      </c>
      <c r="H631" s="1">
        <f>_xlfn.IFNA(VLOOKUP(Aragon!E631,'Kilter Holds'!$P$36:$AB$370,13,0),0)</f>
        <v>0</v>
      </c>
      <c r="J631" s="2">
        <f t="shared" si="28"/>
        <v>0</v>
      </c>
      <c r="K631" s="2">
        <f t="shared" si="29"/>
        <v>0</v>
      </c>
    </row>
    <row r="632" spans="5:11">
      <c r="E632" t="s">
        <v>174</v>
      </c>
      <c r="F632" t="s">
        <v>616</v>
      </c>
      <c r="G632" s="5" t="str">
        <f t="shared" si="30"/>
        <v>11-12</v>
      </c>
      <c r="H632" s="1">
        <f>_xlfn.IFNA(VLOOKUP(Aragon!E632,'Kilter Holds'!$P$36:$AB$370,5,0),0)</f>
        <v>0</v>
      </c>
      <c r="J632" s="2">
        <f t="shared" si="28"/>
        <v>0</v>
      </c>
      <c r="K632" s="2">
        <f t="shared" si="29"/>
        <v>0</v>
      </c>
    </row>
    <row r="633" spans="5:11">
      <c r="E633" t="s">
        <v>174</v>
      </c>
      <c r="F633" t="s">
        <v>616</v>
      </c>
      <c r="G633" s="6" t="str">
        <f t="shared" si="30"/>
        <v>14-01</v>
      </c>
      <c r="H633" s="1">
        <f>_xlfn.IFNA(VLOOKUP(Aragon!E633,'Kilter Holds'!$P$36:$AB$370,6,0),0)</f>
        <v>0</v>
      </c>
      <c r="J633" s="2">
        <f t="shared" si="28"/>
        <v>0</v>
      </c>
      <c r="K633" s="2">
        <f t="shared" si="29"/>
        <v>0</v>
      </c>
    </row>
    <row r="634" spans="5:11">
      <c r="E634" t="s">
        <v>174</v>
      </c>
      <c r="F634" t="s">
        <v>616</v>
      </c>
      <c r="G634" s="7" t="str">
        <f t="shared" si="30"/>
        <v>15-12</v>
      </c>
      <c r="H634" s="1">
        <f>_xlfn.IFNA(VLOOKUP(Aragon!E634,'Kilter Holds'!$P$36:$AB$370,7,0),0)</f>
        <v>0</v>
      </c>
      <c r="J634" s="2">
        <f t="shared" ref="J634:J697" si="31">H634*I634</f>
        <v>0</v>
      </c>
      <c r="K634" s="2">
        <f t="shared" si="29"/>
        <v>0</v>
      </c>
    </row>
    <row r="635" spans="5:11">
      <c r="E635" t="s">
        <v>174</v>
      </c>
      <c r="F635" t="s">
        <v>616</v>
      </c>
      <c r="G635" s="8" t="str">
        <f t="shared" si="30"/>
        <v>16-16</v>
      </c>
      <c r="H635" s="1">
        <f>_xlfn.IFNA(VLOOKUP(Aragon!E635,'Kilter Holds'!$P$36:$AB$370,8,0),0)</f>
        <v>0</v>
      </c>
      <c r="J635" s="2">
        <f t="shared" si="31"/>
        <v>0</v>
      </c>
      <c r="K635" s="2">
        <f t="shared" si="29"/>
        <v>0</v>
      </c>
    </row>
    <row r="636" spans="5:11">
      <c r="E636" t="s">
        <v>174</v>
      </c>
      <c r="F636" t="s">
        <v>616</v>
      </c>
      <c r="G636" s="9" t="str">
        <f t="shared" si="30"/>
        <v>13-01</v>
      </c>
      <c r="H636" s="1">
        <f>_xlfn.IFNA(VLOOKUP(Aragon!E636,'Kilter Holds'!$P$36:$AB$370,9,0),0)</f>
        <v>0</v>
      </c>
      <c r="J636" s="2">
        <f t="shared" si="31"/>
        <v>0</v>
      </c>
      <c r="K636" s="2">
        <f t="shared" si="29"/>
        <v>0</v>
      </c>
    </row>
    <row r="637" spans="5:11">
      <c r="E637" t="s">
        <v>174</v>
      </c>
      <c r="F637" t="s">
        <v>616</v>
      </c>
      <c r="G637" s="10" t="str">
        <f t="shared" si="30"/>
        <v>07-13</v>
      </c>
      <c r="H637" s="1">
        <f>_xlfn.IFNA(VLOOKUP(Aragon!E637,'Kilter Holds'!$P$36:$AB$370,10,0),0)</f>
        <v>0</v>
      </c>
      <c r="J637" s="2">
        <f t="shared" si="31"/>
        <v>0</v>
      </c>
      <c r="K637" s="2">
        <f t="shared" si="29"/>
        <v>0</v>
      </c>
    </row>
    <row r="638" spans="5:11">
      <c r="E638" t="s">
        <v>174</v>
      </c>
      <c r="F638" t="s">
        <v>616</v>
      </c>
      <c r="G638" s="11" t="str">
        <f t="shared" si="30"/>
        <v>11-25</v>
      </c>
      <c r="H638" s="1">
        <f>_xlfn.IFNA(VLOOKUP(Aragon!E638,'Kilter Holds'!$P$36:$AB$370,11,0),0)</f>
        <v>0</v>
      </c>
      <c r="J638" s="2">
        <f t="shared" si="31"/>
        <v>0</v>
      </c>
      <c r="K638" s="2">
        <f t="shared" si="29"/>
        <v>0</v>
      </c>
    </row>
    <row r="639" spans="5:11">
      <c r="E639" t="s">
        <v>174</v>
      </c>
      <c r="F639" t="s">
        <v>616</v>
      </c>
      <c r="G639" s="13" t="str">
        <f t="shared" si="30"/>
        <v>18-01</v>
      </c>
      <c r="H639" s="1">
        <f>_xlfn.IFNA(VLOOKUP(Aragon!E639,'Kilter Holds'!$P$36:$AB$370,12,0),0)</f>
        <v>0</v>
      </c>
      <c r="J639" s="2">
        <f t="shared" si="31"/>
        <v>0</v>
      </c>
      <c r="K639" s="2">
        <f t="shared" si="29"/>
        <v>0</v>
      </c>
    </row>
    <row r="640" spans="5:11">
      <c r="E640" t="s">
        <v>174</v>
      </c>
      <c r="F640" t="s">
        <v>616</v>
      </c>
      <c r="G640" s="12" t="str">
        <f t="shared" si="30"/>
        <v>12-01</v>
      </c>
      <c r="H640" s="1">
        <f>_xlfn.IFNA(VLOOKUP(Aragon!E640,'Kilter Holds'!$P$36:$AB$370,13,0),0)</f>
        <v>0</v>
      </c>
      <c r="J640" s="2">
        <f t="shared" si="31"/>
        <v>0</v>
      </c>
      <c r="K640" s="2">
        <f t="shared" si="29"/>
        <v>0</v>
      </c>
    </row>
    <row r="641" spans="5:11">
      <c r="E641" t="s">
        <v>226</v>
      </c>
      <c r="F641" t="s">
        <v>617</v>
      </c>
      <c r="G641" s="5" t="str">
        <f t="shared" si="30"/>
        <v>11-12</v>
      </c>
      <c r="H641" s="1">
        <f>_xlfn.IFNA(VLOOKUP(Aragon!E641,'Kilter Holds'!$P$36:$AB$370,5,0),0)</f>
        <v>0</v>
      </c>
      <c r="J641" s="2">
        <f t="shared" si="31"/>
        <v>0</v>
      </c>
      <c r="K641" s="2">
        <f t="shared" si="29"/>
        <v>0</v>
      </c>
    </row>
    <row r="642" spans="5:11">
      <c r="E642" t="s">
        <v>226</v>
      </c>
      <c r="F642" t="s">
        <v>617</v>
      </c>
      <c r="G642" s="6" t="str">
        <f t="shared" si="30"/>
        <v>14-01</v>
      </c>
      <c r="H642" s="1">
        <f>_xlfn.IFNA(VLOOKUP(Aragon!E642,'Kilter Holds'!$P$36:$AB$370,6,0),0)</f>
        <v>0</v>
      </c>
      <c r="J642" s="2">
        <f t="shared" si="31"/>
        <v>0</v>
      </c>
      <c r="K642" s="2">
        <f t="shared" si="29"/>
        <v>0</v>
      </c>
    </row>
    <row r="643" spans="5:11">
      <c r="E643" t="s">
        <v>226</v>
      </c>
      <c r="F643" t="s">
        <v>617</v>
      </c>
      <c r="G643" s="7" t="str">
        <f t="shared" si="30"/>
        <v>15-12</v>
      </c>
      <c r="H643" s="1">
        <f>_xlfn.IFNA(VLOOKUP(Aragon!E643,'Kilter Holds'!$P$36:$AB$370,7,0),0)</f>
        <v>0</v>
      </c>
      <c r="J643" s="2">
        <f t="shared" si="31"/>
        <v>0</v>
      </c>
      <c r="K643" s="2">
        <f t="shared" si="29"/>
        <v>0</v>
      </c>
    </row>
    <row r="644" spans="5:11">
      <c r="E644" t="s">
        <v>226</v>
      </c>
      <c r="F644" t="s">
        <v>617</v>
      </c>
      <c r="G644" s="8" t="str">
        <f t="shared" si="30"/>
        <v>16-16</v>
      </c>
      <c r="H644" s="1">
        <f>_xlfn.IFNA(VLOOKUP(Aragon!E644,'Kilter Holds'!$P$36:$AB$370,8,0),0)</f>
        <v>0</v>
      </c>
      <c r="J644" s="2">
        <f t="shared" si="31"/>
        <v>0</v>
      </c>
      <c r="K644" s="2">
        <f t="shared" si="29"/>
        <v>0</v>
      </c>
    </row>
    <row r="645" spans="5:11">
      <c r="E645" t="s">
        <v>226</v>
      </c>
      <c r="F645" t="s">
        <v>617</v>
      </c>
      <c r="G645" s="9" t="str">
        <f t="shared" si="30"/>
        <v>13-01</v>
      </c>
      <c r="H645" s="1">
        <f>_xlfn.IFNA(VLOOKUP(Aragon!E645,'Kilter Holds'!$P$36:$AB$370,9,0),0)</f>
        <v>0</v>
      </c>
      <c r="J645" s="2">
        <f t="shared" si="31"/>
        <v>0</v>
      </c>
      <c r="K645" s="2">
        <f t="shared" si="29"/>
        <v>0</v>
      </c>
    </row>
    <row r="646" spans="5:11">
      <c r="E646" t="s">
        <v>226</v>
      </c>
      <c r="F646" t="s">
        <v>617</v>
      </c>
      <c r="G646" s="10" t="str">
        <f t="shared" si="30"/>
        <v>07-13</v>
      </c>
      <c r="H646" s="1">
        <f>_xlfn.IFNA(VLOOKUP(Aragon!E646,'Kilter Holds'!$P$36:$AB$370,10,0),0)</f>
        <v>0</v>
      </c>
      <c r="J646" s="2">
        <f t="shared" si="31"/>
        <v>0</v>
      </c>
      <c r="K646" s="2">
        <f t="shared" si="29"/>
        <v>0</v>
      </c>
    </row>
    <row r="647" spans="5:11">
      <c r="E647" t="s">
        <v>226</v>
      </c>
      <c r="F647" t="s">
        <v>617</v>
      </c>
      <c r="G647" s="11" t="str">
        <f t="shared" si="30"/>
        <v>11-25</v>
      </c>
      <c r="H647" s="1">
        <f>_xlfn.IFNA(VLOOKUP(Aragon!E647,'Kilter Holds'!$P$36:$AB$370,11,0),0)</f>
        <v>0</v>
      </c>
      <c r="J647" s="2">
        <f t="shared" si="31"/>
        <v>0</v>
      </c>
      <c r="K647" s="2">
        <f t="shared" si="29"/>
        <v>0</v>
      </c>
    </row>
    <row r="648" spans="5:11">
      <c r="E648" t="s">
        <v>226</v>
      </c>
      <c r="F648" t="s">
        <v>617</v>
      </c>
      <c r="G648" s="13" t="str">
        <f t="shared" si="30"/>
        <v>18-01</v>
      </c>
      <c r="H648" s="1">
        <f>_xlfn.IFNA(VLOOKUP(Aragon!E648,'Kilter Holds'!$P$36:$AB$370,12,0),0)</f>
        <v>0</v>
      </c>
      <c r="J648" s="2">
        <f t="shared" si="31"/>
        <v>0</v>
      </c>
      <c r="K648" s="2">
        <f t="shared" si="29"/>
        <v>0</v>
      </c>
    </row>
    <row r="649" spans="5:11">
      <c r="E649" t="s">
        <v>226</v>
      </c>
      <c r="F649" t="s">
        <v>617</v>
      </c>
      <c r="G649" s="12" t="str">
        <f t="shared" si="30"/>
        <v>12-01</v>
      </c>
      <c r="H649" s="1">
        <f>_xlfn.IFNA(VLOOKUP(Aragon!E649,'Kilter Holds'!$P$36:$AB$370,13,0),0)</f>
        <v>0</v>
      </c>
      <c r="J649" s="2">
        <f t="shared" si="31"/>
        <v>0</v>
      </c>
      <c r="K649" s="2">
        <f t="shared" si="29"/>
        <v>0</v>
      </c>
    </row>
    <row r="650" spans="5:11">
      <c r="E650" t="s">
        <v>880</v>
      </c>
      <c r="F650" t="s">
        <v>899</v>
      </c>
      <c r="G650" s="5" t="str">
        <f t="shared" si="30"/>
        <v>11-12</v>
      </c>
      <c r="H650" s="1">
        <f>_xlfn.IFNA(VLOOKUP(Aragon!E650,'Kilter Holds'!$P$36:$AB$370,5,0),0)</f>
        <v>0</v>
      </c>
      <c r="J650" s="2">
        <f t="shared" si="31"/>
        <v>0</v>
      </c>
      <c r="K650" s="2">
        <f t="shared" si="29"/>
        <v>0</v>
      </c>
    </row>
    <row r="651" spans="5:11">
      <c r="E651" t="s">
        <v>880</v>
      </c>
      <c r="F651" t="s">
        <v>899</v>
      </c>
      <c r="G651" s="6" t="str">
        <f t="shared" si="30"/>
        <v>14-01</v>
      </c>
      <c r="H651" s="1">
        <f>_xlfn.IFNA(VLOOKUP(Aragon!E651,'Kilter Holds'!$P$36:$AB$370,6,0),0)</f>
        <v>0</v>
      </c>
      <c r="J651" s="2">
        <f t="shared" si="31"/>
        <v>0</v>
      </c>
      <c r="K651" s="2">
        <f t="shared" si="29"/>
        <v>0</v>
      </c>
    </row>
    <row r="652" spans="5:11">
      <c r="E652" t="s">
        <v>880</v>
      </c>
      <c r="F652" t="s">
        <v>899</v>
      </c>
      <c r="G652" s="7" t="str">
        <f t="shared" si="30"/>
        <v>15-12</v>
      </c>
      <c r="H652" s="1">
        <f>_xlfn.IFNA(VLOOKUP(Aragon!E652,'Kilter Holds'!$P$36:$AB$370,7,0),0)</f>
        <v>0</v>
      </c>
      <c r="J652" s="2">
        <f t="shared" si="31"/>
        <v>0</v>
      </c>
      <c r="K652" s="2">
        <f t="shared" ref="K652:K715" si="32">IF($V$11="Y",J652*0.05,0)</f>
        <v>0</v>
      </c>
    </row>
    <row r="653" spans="5:11">
      <c r="E653" t="s">
        <v>880</v>
      </c>
      <c r="F653" t="s">
        <v>899</v>
      </c>
      <c r="G653" s="8" t="str">
        <f t="shared" ref="G653:G716" si="33">G644</f>
        <v>16-16</v>
      </c>
      <c r="H653" s="1">
        <f>_xlfn.IFNA(VLOOKUP(Aragon!E653,'Kilter Holds'!$P$36:$AB$370,8,0),0)</f>
        <v>0</v>
      </c>
      <c r="J653" s="2">
        <f t="shared" si="31"/>
        <v>0</v>
      </c>
      <c r="K653" s="2">
        <f t="shared" si="32"/>
        <v>0</v>
      </c>
    </row>
    <row r="654" spans="5:11">
      <c r="E654" t="s">
        <v>880</v>
      </c>
      <c r="F654" t="s">
        <v>899</v>
      </c>
      <c r="G654" s="9" t="str">
        <f t="shared" si="33"/>
        <v>13-01</v>
      </c>
      <c r="H654" s="1">
        <f>_xlfn.IFNA(VLOOKUP(Aragon!E654,'Kilter Holds'!$P$36:$AB$370,9,0),0)</f>
        <v>0</v>
      </c>
      <c r="J654" s="2">
        <f t="shared" si="31"/>
        <v>0</v>
      </c>
      <c r="K654" s="2">
        <f t="shared" si="32"/>
        <v>0</v>
      </c>
    </row>
    <row r="655" spans="5:11">
      <c r="E655" t="s">
        <v>880</v>
      </c>
      <c r="F655" t="s">
        <v>899</v>
      </c>
      <c r="G655" s="10" t="str">
        <f t="shared" si="33"/>
        <v>07-13</v>
      </c>
      <c r="H655" s="1">
        <f>_xlfn.IFNA(VLOOKUP(Aragon!E655,'Kilter Holds'!$P$36:$AB$370,10,0),0)</f>
        <v>0</v>
      </c>
      <c r="J655" s="2">
        <f t="shared" si="31"/>
        <v>0</v>
      </c>
      <c r="K655" s="2">
        <f t="shared" si="32"/>
        <v>0</v>
      </c>
    </row>
    <row r="656" spans="5:11">
      <c r="E656" t="s">
        <v>880</v>
      </c>
      <c r="F656" t="s">
        <v>899</v>
      </c>
      <c r="G656" s="11" t="str">
        <f t="shared" si="33"/>
        <v>11-25</v>
      </c>
      <c r="H656" s="1">
        <f>_xlfn.IFNA(VLOOKUP(Aragon!E656,'Kilter Holds'!$P$36:$AB$370,11,0),0)</f>
        <v>0</v>
      </c>
      <c r="J656" s="2">
        <f t="shared" si="31"/>
        <v>0</v>
      </c>
      <c r="K656" s="2">
        <f t="shared" si="32"/>
        <v>0</v>
      </c>
    </row>
    <row r="657" spans="5:11">
      <c r="E657" t="s">
        <v>880</v>
      </c>
      <c r="F657" t="s">
        <v>899</v>
      </c>
      <c r="G657" s="13" t="str">
        <f t="shared" si="33"/>
        <v>18-01</v>
      </c>
      <c r="H657" s="1">
        <f>_xlfn.IFNA(VLOOKUP(Aragon!E657,'Kilter Holds'!$P$36:$AB$370,12,0),0)</f>
        <v>0</v>
      </c>
      <c r="J657" s="2">
        <f t="shared" si="31"/>
        <v>0</v>
      </c>
      <c r="K657" s="2">
        <f t="shared" si="32"/>
        <v>0</v>
      </c>
    </row>
    <row r="658" spans="5:11">
      <c r="E658" t="s">
        <v>880</v>
      </c>
      <c r="F658" t="s">
        <v>899</v>
      </c>
      <c r="G658" s="12" t="str">
        <f t="shared" si="33"/>
        <v>12-01</v>
      </c>
      <c r="H658" s="1">
        <f>_xlfn.IFNA(VLOOKUP(Aragon!E658,'Kilter Holds'!$P$36:$AB$370,13,0),0)</f>
        <v>0</v>
      </c>
      <c r="J658" s="2">
        <f t="shared" si="31"/>
        <v>0</v>
      </c>
      <c r="K658" s="2">
        <f t="shared" si="32"/>
        <v>0</v>
      </c>
    </row>
    <row r="659" spans="5:11">
      <c r="E659" t="s">
        <v>152</v>
      </c>
      <c r="F659" t="s">
        <v>618</v>
      </c>
      <c r="G659" s="5" t="str">
        <f t="shared" si="33"/>
        <v>11-12</v>
      </c>
      <c r="H659" s="1">
        <f>_xlfn.IFNA(VLOOKUP(Aragon!E659,'Kilter Holds'!$P$36:$AB$370,5,0),0)</f>
        <v>0</v>
      </c>
      <c r="J659" s="2">
        <f t="shared" si="31"/>
        <v>0</v>
      </c>
      <c r="K659" s="2">
        <f t="shared" si="32"/>
        <v>0</v>
      </c>
    </row>
    <row r="660" spans="5:11">
      <c r="E660" t="s">
        <v>152</v>
      </c>
      <c r="F660" t="s">
        <v>618</v>
      </c>
      <c r="G660" s="6" t="str">
        <f t="shared" si="33"/>
        <v>14-01</v>
      </c>
      <c r="H660" s="1">
        <f>_xlfn.IFNA(VLOOKUP(Aragon!E660,'Kilter Holds'!$P$36:$AB$370,6,0),0)</f>
        <v>0</v>
      </c>
      <c r="J660" s="2">
        <f t="shared" si="31"/>
        <v>0</v>
      </c>
      <c r="K660" s="2">
        <f t="shared" si="32"/>
        <v>0</v>
      </c>
    </row>
    <row r="661" spans="5:11">
      <c r="E661" t="s">
        <v>152</v>
      </c>
      <c r="F661" t="s">
        <v>618</v>
      </c>
      <c r="G661" s="7" t="str">
        <f t="shared" si="33"/>
        <v>15-12</v>
      </c>
      <c r="H661" s="1">
        <f>_xlfn.IFNA(VLOOKUP(Aragon!E661,'Kilter Holds'!$P$36:$AB$370,7,0),0)</f>
        <v>0</v>
      </c>
      <c r="J661" s="2">
        <f t="shared" si="31"/>
        <v>0</v>
      </c>
      <c r="K661" s="2">
        <f t="shared" si="32"/>
        <v>0</v>
      </c>
    </row>
    <row r="662" spans="5:11">
      <c r="E662" t="s">
        <v>152</v>
      </c>
      <c r="F662" t="s">
        <v>618</v>
      </c>
      <c r="G662" s="8" t="str">
        <f t="shared" si="33"/>
        <v>16-16</v>
      </c>
      <c r="H662" s="1">
        <f>_xlfn.IFNA(VLOOKUP(Aragon!E662,'Kilter Holds'!$P$36:$AB$370,8,0),0)</f>
        <v>0</v>
      </c>
      <c r="J662" s="2">
        <f t="shared" si="31"/>
        <v>0</v>
      </c>
      <c r="K662" s="2">
        <f t="shared" si="32"/>
        <v>0</v>
      </c>
    </row>
    <row r="663" spans="5:11">
      <c r="E663" t="s">
        <v>152</v>
      </c>
      <c r="F663" t="s">
        <v>618</v>
      </c>
      <c r="G663" s="9" t="str">
        <f t="shared" si="33"/>
        <v>13-01</v>
      </c>
      <c r="H663" s="1">
        <f>_xlfn.IFNA(VLOOKUP(Aragon!E663,'Kilter Holds'!$P$36:$AB$370,9,0),0)</f>
        <v>0</v>
      </c>
      <c r="J663" s="2">
        <f t="shared" si="31"/>
        <v>0</v>
      </c>
      <c r="K663" s="2">
        <f t="shared" si="32"/>
        <v>0</v>
      </c>
    </row>
    <row r="664" spans="5:11">
      <c r="E664" t="s">
        <v>152</v>
      </c>
      <c r="F664" t="s">
        <v>618</v>
      </c>
      <c r="G664" s="10" t="str">
        <f t="shared" si="33"/>
        <v>07-13</v>
      </c>
      <c r="H664" s="1">
        <f>_xlfn.IFNA(VLOOKUP(Aragon!E664,'Kilter Holds'!$P$36:$AB$370,10,0),0)</f>
        <v>0</v>
      </c>
      <c r="J664" s="2">
        <f t="shared" si="31"/>
        <v>0</v>
      </c>
      <c r="K664" s="2">
        <f t="shared" si="32"/>
        <v>0</v>
      </c>
    </row>
    <row r="665" spans="5:11">
      <c r="E665" t="s">
        <v>152</v>
      </c>
      <c r="F665" t="s">
        <v>618</v>
      </c>
      <c r="G665" s="11" t="str">
        <f t="shared" si="33"/>
        <v>11-25</v>
      </c>
      <c r="H665" s="1">
        <f>_xlfn.IFNA(VLOOKUP(Aragon!E665,'Kilter Holds'!$P$36:$AB$370,11,0),0)</f>
        <v>0</v>
      </c>
      <c r="J665" s="2">
        <f t="shared" si="31"/>
        <v>0</v>
      </c>
      <c r="K665" s="2">
        <f t="shared" si="32"/>
        <v>0</v>
      </c>
    </row>
    <row r="666" spans="5:11">
      <c r="E666" t="s">
        <v>152</v>
      </c>
      <c r="F666" t="s">
        <v>618</v>
      </c>
      <c r="G666" s="13" t="str">
        <f t="shared" si="33"/>
        <v>18-01</v>
      </c>
      <c r="H666" s="1">
        <f>_xlfn.IFNA(VLOOKUP(Aragon!E666,'Kilter Holds'!$P$36:$AB$370,12,0),0)</f>
        <v>0</v>
      </c>
      <c r="J666" s="2">
        <f t="shared" si="31"/>
        <v>0</v>
      </c>
      <c r="K666" s="2">
        <f t="shared" si="32"/>
        <v>0</v>
      </c>
    </row>
    <row r="667" spans="5:11">
      <c r="E667" t="s">
        <v>152</v>
      </c>
      <c r="F667" t="s">
        <v>618</v>
      </c>
      <c r="G667" s="12" t="str">
        <f t="shared" si="33"/>
        <v>12-01</v>
      </c>
      <c r="H667" s="1">
        <f>_xlfn.IFNA(VLOOKUP(Aragon!E667,'Kilter Holds'!$P$36:$AB$370,13,0),0)</f>
        <v>0</v>
      </c>
      <c r="J667" s="2">
        <f t="shared" si="31"/>
        <v>0</v>
      </c>
      <c r="K667" s="2">
        <f t="shared" si="32"/>
        <v>0</v>
      </c>
    </row>
    <row r="668" spans="5:11">
      <c r="E668" t="s">
        <v>153</v>
      </c>
      <c r="F668" t="s">
        <v>619</v>
      </c>
      <c r="G668" s="5" t="str">
        <f t="shared" si="33"/>
        <v>11-12</v>
      </c>
      <c r="H668" s="1">
        <f>_xlfn.IFNA(VLOOKUP(Aragon!E668,'Kilter Holds'!$P$36:$AB$370,5,0),0)</f>
        <v>0</v>
      </c>
      <c r="J668" s="2">
        <f t="shared" si="31"/>
        <v>0</v>
      </c>
      <c r="K668" s="2">
        <f t="shared" si="32"/>
        <v>0</v>
      </c>
    </row>
    <row r="669" spans="5:11">
      <c r="E669" t="s">
        <v>153</v>
      </c>
      <c r="F669" t="s">
        <v>619</v>
      </c>
      <c r="G669" s="6" t="str">
        <f t="shared" si="33"/>
        <v>14-01</v>
      </c>
      <c r="H669" s="1">
        <f>_xlfn.IFNA(VLOOKUP(Aragon!E669,'Kilter Holds'!$P$36:$AB$370,6,0),0)</f>
        <v>0</v>
      </c>
      <c r="J669" s="2">
        <f t="shared" si="31"/>
        <v>0</v>
      </c>
      <c r="K669" s="2">
        <f t="shared" si="32"/>
        <v>0</v>
      </c>
    </row>
    <row r="670" spans="5:11">
      <c r="E670" t="s">
        <v>153</v>
      </c>
      <c r="F670" t="s">
        <v>619</v>
      </c>
      <c r="G670" s="7" t="str">
        <f t="shared" si="33"/>
        <v>15-12</v>
      </c>
      <c r="H670" s="1">
        <f>_xlfn.IFNA(VLOOKUP(Aragon!E670,'Kilter Holds'!$P$36:$AB$370,7,0),0)</f>
        <v>0</v>
      </c>
      <c r="J670" s="2">
        <f t="shared" si="31"/>
        <v>0</v>
      </c>
      <c r="K670" s="2">
        <f t="shared" si="32"/>
        <v>0</v>
      </c>
    </row>
    <row r="671" spans="5:11">
      <c r="E671" t="s">
        <v>153</v>
      </c>
      <c r="F671" t="s">
        <v>619</v>
      </c>
      <c r="G671" s="8" t="str">
        <f t="shared" si="33"/>
        <v>16-16</v>
      </c>
      <c r="H671" s="1">
        <f>_xlfn.IFNA(VLOOKUP(Aragon!E671,'Kilter Holds'!$P$36:$AB$370,8,0),0)</f>
        <v>0</v>
      </c>
      <c r="J671" s="2">
        <f t="shared" si="31"/>
        <v>0</v>
      </c>
      <c r="K671" s="2">
        <f t="shared" si="32"/>
        <v>0</v>
      </c>
    </row>
    <row r="672" spans="5:11">
      <c r="E672" t="s">
        <v>153</v>
      </c>
      <c r="F672" t="s">
        <v>619</v>
      </c>
      <c r="G672" s="9" t="str">
        <f t="shared" si="33"/>
        <v>13-01</v>
      </c>
      <c r="H672" s="1">
        <f>_xlfn.IFNA(VLOOKUP(Aragon!E672,'Kilter Holds'!$P$36:$AB$370,9,0),0)</f>
        <v>0</v>
      </c>
      <c r="J672" s="2">
        <f t="shared" si="31"/>
        <v>0</v>
      </c>
      <c r="K672" s="2">
        <f t="shared" si="32"/>
        <v>0</v>
      </c>
    </row>
    <row r="673" spans="5:11">
      <c r="E673" t="s">
        <v>153</v>
      </c>
      <c r="F673" t="s">
        <v>619</v>
      </c>
      <c r="G673" s="10" t="str">
        <f t="shared" si="33"/>
        <v>07-13</v>
      </c>
      <c r="H673" s="1">
        <f>_xlfn.IFNA(VLOOKUP(Aragon!E673,'Kilter Holds'!$P$36:$AB$370,10,0),0)</f>
        <v>0</v>
      </c>
      <c r="J673" s="2">
        <f t="shared" si="31"/>
        <v>0</v>
      </c>
      <c r="K673" s="2">
        <f t="shared" si="32"/>
        <v>0</v>
      </c>
    </row>
    <row r="674" spans="5:11">
      <c r="E674" t="s">
        <v>153</v>
      </c>
      <c r="F674" t="s">
        <v>619</v>
      </c>
      <c r="G674" s="11" t="str">
        <f t="shared" si="33"/>
        <v>11-25</v>
      </c>
      <c r="H674" s="1">
        <f>_xlfn.IFNA(VLOOKUP(Aragon!E674,'Kilter Holds'!$P$36:$AB$370,11,0),0)</f>
        <v>0</v>
      </c>
      <c r="J674" s="2">
        <f t="shared" si="31"/>
        <v>0</v>
      </c>
      <c r="K674" s="2">
        <f t="shared" si="32"/>
        <v>0</v>
      </c>
    </row>
    <row r="675" spans="5:11">
      <c r="E675" t="s">
        <v>153</v>
      </c>
      <c r="F675" t="s">
        <v>619</v>
      </c>
      <c r="G675" s="13" t="str">
        <f t="shared" si="33"/>
        <v>18-01</v>
      </c>
      <c r="H675" s="1">
        <f>_xlfn.IFNA(VLOOKUP(Aragon!E675,'Kilter Holds'!$P$36:$AB$370,12,0),0)</f>
        <v>0</v>
      </c>
      <c r="J675" s="2">
        <f t="shared" si="31"/>
        <v>0</v>
      </c>
      <c r="K675" s="2">
        <f t="shared" si="32"/>
        <v>0</v>
      </c>
    </row>
    <row r="676" spans="5:11">
      <c r="E676" t="s">
        <v>153</v>
      </c>
      <c r="F676" t="s">
        <v>619</v>
      </c>
      <c r="G676" s="12" t="str">
        <f t="shared" si="33"/>
        <v>12-01</v>
      </c>
      <c r="H676" s="1">
        <f>_xlfn.IFNA(VLOOKUP(Aragon!E676,'Kilter Holds'!$P$36:$AB$370,13,0),0)</f>
        <v>0</v>
      </c>
      <c r="J676" s="2">
        <f t="shared" si="31"/>
        <v>0</v>
      </c>
      <c r="K676" s="2">
        <f t="shared" si="32"/>
        <v>0</v>
      </c>
    </row>
    <row r="677" spans="5:11">
      <c r="E677" t="s">
        <v>154</v>
      </c>
      <c r="F677" t="s">
        <v>620</v>
      </c>
      <c r="G677" s="5" t="str">
        <f t="shared" si="33"/>
        <v>11-12</v>
      </c>
      <c r="H677" s="1">
        <f>_xlfn.IFNA(VLOOKUP(Aragon!E677,'Kilter Holds'!$P$36:$AB$370,5,0),0)</f>
        <v>0</v>
      </c>
      <c r="J677" s="2">
        <f t="shared" si="31"/>
        <v>0</v>
      </c>
      <c r="K677" s="2">
        <f t="shared" si="32"/>
        <v>0</v>
      </c>
    </row>
    <row r="678" spans="5:11">
      <c r="E678" t="s">
        <v>154</v>
      </c>
      <c r="F678" t="s">
        <v>620</v>
      </c>
      <c r="G678" s="6" t="str">
        <f t="shared" si="33"/>
        <v>14-01</v>
      </c>
      <c r="H678" s="1">
        <f>_xlfn.IFNA(VLOOKUP(Aragon!E678,'Kilter Holds'!$P$36:$AB$370,6,0),0)</f>
        <v>0</v>
      </c>
      <c r="J678" s="2">
        <f t="shared" si="31"/>
        <v>0</v>
      </c>
      <c r="K678" s="2">
        <f t="shared" si="32"/>
        <v>0</v>
      </c>
    </row>
    <row r="679" spans="5:11">
      <c r="E679" t="s">
        <v>154</v>
      </c>
      <c r="F679" t="s">
        <v>620</v>
      </c>
      <c r="G679" s="7" t="str">
        <f t="shared" si="33"/>
        <v>15-12</v>
      </c>
      <c r="H679" s="1">
        <f>_xlfn.IFNA(VLOOKUP(Aragon!E679,'Kilter Holds'!$P$36:$AB$370,7,0),0)</f>
        <v>0</v>
      </c>
      <c r="J679" s="2">
        <f t="shared" si="31"/>
        <v>0</v>
      </c>
      <c r="K679" s="2">
        <f t="shared" si="32"/>
        <v>0</v>
      </c>
    </row>
    <row r="680" spans="5:11">
      <c r="E680" t="s">
        <v>154</v>
      </c>
      <c r="F680" t="s">
        <v>620</v>
      </c>
      <c r="G680" s="8" t="str">
        <f t="shared" si="33"/>
        <v>16-16</v>
      </c>
      <c r="H680" s="1">
        <f>_xlfn.IFNA(VLOOKUP(Aragon!E680,'Kilter Holds'!$P$36:$AB$370,8,0),0)</f>
        <v>0</v>
      </c>
      <c r="J680" s="2">
        <f t="shared" si="31"/>
        <v>0</v>
      </c>
      <c r="K680" s="2">
        <f t="shared" si="32"/>
        <v>0</v>
      </c>
    </row>
    <row r="681" spans="5:11">
      <c r="E681" t="s">
        <v>154</v>
      </c>
      <c r="F681" t="s">
        <v>620</v>
      </c>
      <c r="G681" s="9" t="str">
        <f t="shared" si="33"/>
        <v>13-01</v>
      </c>
      <c r="H681" s="1">
        <f>_xlfn.IFNA(VLOOKUP(Aragon!E681,'Kilter Holds'!$P$36:$AB$370,9,0),0)</f>
        <v>0</v>
      </c>
      <c r="J681" s="2">
        <f t="shared" si="31"/>
        <v>0</v>
      </c>
      <c r="K681" s="2">
        <f t="shared" si="32"/>
        <v>0</v>
      </c>
    </row>
    <row r="682" spans="5:11">
      <c r="E682" t="s">
        <v>154</v>
      </c>
      <c r="F682" t="s">
        <v>620</v>
      </c>
      <c r="G682" s="10" t="str">
        <f t="shared" si="33"/>
        <v>07-13</v>
      </c>
      <c r="H682" s="1">
        <f>_xlfn.IFNA(VLOOKUP(Aragon!E682,'Kilter Holds'!$P$36:$AB$370,10,0),0)</f>
        <v>0</v>
      </c>
      <c r="J682" s="2">
        <f t="shared" si="31"/>
        <v>0</v>
      </c>
      <c r="K682" s="2">
        <f t="shared" si="32"/>
        <v>0</v>
      </c>
    </row>
    <row r="683" spans="5:11">
      <c r="E683" t="s">
        <v>154</v>
      </c>
      <c r="F683" t="s">
        <v>620</v>
      </c>
      <c r="G683" s="11" t="str">
        <f t="shared" si="33"/>
        <v>11-25</v>
      </c>
      <c r="H683" s="1">
        <f>_xlfn.IFNA(VLOOKUP(Aragon!E683,'Kilter Holds'!$P$36:$AB$370,11,0),0)</f>
        <v>0</v>
      </c>
      <c r="J683" s="2">
        <f t="shared" si="31"/>
        <v>0</v>
      </c>
      <c r="K683" s="2">
        <f t="shared" si="32"/>
        <v>0</v>
      </c>
    </row>
    <row r="684" spans="5:11">
      <c r="E684" t="s">
        <v>154</v>
      </c>
      <c r="F684" t="s">
        <v>620</v>
      </c>
      <c r="G684" s="13" t="str">
        <f t="shared" si="33"/>
        <v>18-01</v>
      </c>
      <c r="H684" s="1">
        <f>_xlfn.IFNA(VLOOKUP(Aragon!E684,'Kilter Holds'!$P$36:$AB$370,12,0),0)</f>
        <v>0</v>
      </c>
      <c r="J684" s="2">
        <f t="shared" si="31"/>
        <v>0</v>
      </c>
      <c r="K684" s="2">
        <f t="shared" si="32"/>
        <v>0</v>
      </c>
    </row>
    <row r="685" spans="5:11">
      <c r="E685" t="s">
        <v>154</v>
      </c>
      <c r="F685" t="s">
        <v>620</v>
      </c>
      <c r="G685" s="12" t="str">
        <f t="shared" si="33"/>
        <v>12-01</v>
      </c>
      <c r="H685" s="1">
        <f>_xlfn.IFNA(VLOOKUP(Aragon!E685,'Kilter Holds'!$P$36:$AB$370,13,0),0)</f>
        <v>0</v>
      </c>
      <c r="J685" s="2">
        <f t="shared" si="31"/>
        <v>0</v>
      </c>
      <c r="K685" s="2">
        <f t="shared" si="32"/>
        <v>0</v>
      </c>
    </row>
    <row r="686" spans="5:11">
      <c r="E686" t="s">
        <v>881</v>
      </c>
      <c r="F686" t="s">
        <v>900</v>
      </c>
      <c r="G686" s="5" t="str">
        <f t="shared" si="33"/>
        <v>11-12</v>
      </c>
      <c r="H686" s="1">
        <f>_xlfn.IFNA(VLOOKUP(Aragon!E686,'Kilter Holds'!$P$36:$AB$370,5,0),0)</f>
        <v>0</v>
      </c>
      <c r="J686" s="2">
        <f t="shared" si="31"/>
        <v>0</v>
      </c>
      <c r="K686" s="2">
        <f t="shared" si="32"/>
        <v>0</v>
      </c>
    </row>
    <row r="687" spans="5:11">
      <c r="E687" t="s">
        <v>881</v>
      </c>
      <c r="F687" t="s">
        <v>900</v>
      </c>
      <c r="G687" s="6" t="str">
        <f t="shared" si="33"/>
        <v>14-01</v>
      </c>
      <c r="H687" s="1">
        <f>_xlfn.IFNA(VLOOKUP(Aragon!E687,'Kilter Holds'!$P$36:$AB$370,6,0),0)</f>
        <v>0</v>
      </c>
      <c r="J687" s="2">
        <f t="shared" si="31"/>
        <v>0</v>
      </c>
      <c r="K687" s="2">
        <f t="shared" si="32"/>
        <v>0</v>
      </c>
    </row>
    <row r="688" spans="5:11">
      <c r="E688" t="s">
        <v>881</v>
      </c>
      <c r="F688" t="s">
        <v>900</v>
      </c>
      <c r="G688" s="7" t="str">
        <f t="shared" si="33"/>
        <v>15-12</v>
      </c>
      <c r="H688" s="1">
        <f>_xlfn.IFNA(VLOOKUP(Aragon!E688,'Kilter Holds'!$P$36:$AB$370,7,0),0)</f>
        <v>0</v>
      </c>
      <c r="J688" s="2">
        <f t="shared" si="31"/>
        <v>0</v>
      </c>
      <c r="K688" s="2">
        <f t="shared" si="32"/>
        <v>0</v>
      </c>
    </row>
    <row r="689" spans="5:11">
      <c r="E689" t="s">
        <v>881</v>
      </c>
      <c r="F689" t="s">
        <v>900</v>
      </c>
      <c r="G689" s="8" t="str">
        <f t="shared" si="33"/>
        <v>16-16</v>
      </c>
      <c r="H689" s="1">
        <f>_xlfn.IFNA(VLOOKUP(Aragon!E689,'Kilter Holds'!$P$36:$AB$370,8,0),0)</f>
        <v>0</v>
      </c>
      <c r="J689" s="2">
        <f t="shared" si="31"/>
        <v>0</v>
      </c>
      <c r="K689" s="2">
        <f t="shared" si="32"/>
        <v>0</v>
      </c>
    </row>
    <row r="690" spans="5:11">
      <c r="E690" t="s">
        <v>881</v>
      </c>
      <c r="F690" t="s">
        <v>900</v>
      </c>
      <c r="G690" s="9" t="str">
        <f t="shared" si="33"/>
        <v>13-01</v>
      </c>
      <c r="H690" s="1">
        <f>_xlfn.IFNA(VLOOKUP(Aragon!E690,'Kilter Holds'!$P$36:$AB$370,9,0),0)</f>
        <v>0</v>
      </c>
      <c r="J690" s="2">
        <f t="shared" si="31"/>
        <v>0</v>
      </c>
      <c r="K690" s="2">
        <f t="shared" si="32"/>
        <v>0</v>
      </c>
    </row>
    <row r="691" spans="5:11">
      <c r="E691" t="s">
        <v>881</v>
      </c>
      <c r="F691" t="s">
        <v>900</v>
      </c>
      <c r="G691" s="10" t="str">
        <f t="shared" si="33"/>
        <v>07-13</v>
      </c>
      <c r="H691" s="1">
        <f>_xlfn.IFNA(VLOOKUP(Aragon!E691,'Kilter Holds'!$P$36:$AB$370,10,0),0)</f>
        <v>0</v>
      </c>
      <c r="J691" s="2">
        <f t="shared" si="31"/>
        <v>0</v>
      </c>
      <c r="K691" s="2">
        <f t="shared" si="32"/>
        <v>0</v>
      </c>
    </row>
    <row r="692" spans="5:11">
      <c r="E692" t="s">
        <v>881</v>
      </c>
      <c r="F692" t="s">
        <v>900</v>
      </c>
      <c r="G692" s="11" t="str">
        <f t="shared" si="33"/>
        <v>11-25</v>
      </c>
      <c r="H692" s="1">
        <f>_xlfn.IFNA(VLOOKUP(Aragon!E692,'Kilter Holds'!$P$36:$AB$370,11,0),0)</f>
        <v>0</v>
      </c>
      <c r="J692" s="2">
        <f t="shared" si="31"/>
        <v>0</v>
      </c>
      <c r="K692" s="2">
        <f t="shared" si="32"/>
        <v>0</v>
      </c>
    </row>
    <row r="693" spans="5:11">
      <c r="E693" t="s">
        <v>881</v>
      </c>
      <c r="F693" t="s">
        <v>900</v>
      </c>
      <c r="G693" s="13" t="str">
        <f t="shared" si="33"/>
        <v>18-01</v>
      </c>
      <c r="H693" s="1">
        <f>_xlfn.IFNA(VLOOKUP(Aragon!E693,'Kilter Holds'!$P$36:$AB$370,12,0),0)</f>
        <v>0</v>
      </c>
      <c r="J693" s="2">
        <f t="shared" si="31"/>
        <v>0</v>
      </c>
      <c r="K693" s="2">
        <f t="shared" si="32"/>
        <v>0</v>
      </c>
    </row>
    <row r="694" spans="5:11">
      <c r="E694" t="s">
        <v>881</v>
      </c>
      <c r="F694" t="s">
        <v>900</v>
      </c>
      <c r="G694" s="12" t="str">
        <f t="shared" si="33"/>
        <v>12-01</v>
      </c>
      <c r="H694" s="1">
        <f>_xlfn.IFNA(VLOOKUP(Aragon!E694,'Kilter Holds'!$P$36:$AB$370,13,0),0)</f>
        <v>0</v>
      </c>
      <c r="J694" s="2">
        <f t="shared" si="31"/>
        <v>0</v>
      </c>
      <c r="K694" s="2">
        <f t="shared" si="32"/>
        <v>0</v>
      </c>
    </row>
    <row r="695" spans="5:11">
      <c r="E695" t="s">
        <v>155</v>
      </c>
      <c r="F695" t="s">
        <v>621</v>
      </c>
      <c r="G695" s="5" t="str">
        <f t="shared" si="33"/>
        <v>11-12</v>
      </c>
      <c r="H695" s="1">
        <f>_xlfn.IFNA(VLOOKUP(Aragon!E695,'Kilter Holds'!$P$36:$AB$370,5,0),0)</f>
        <v>0</v>
      </c>
      <c r="J695" s="2">
        <f t="shared" si="31"/>
        <v>0</v>
      </c>
      <c r="K695" s="2">
        <f t="shared" si="32"/>
        <v>0</v>
      </c>
    </row>
    <row r="696" spans="5:11">
      <c r="E696" t="s">
        <v>155</v>
      </c>
      <c r="F696" t="s">
        <v>621</v>
      </c>
      <c r="G696" s="6" t="str">
        <f t="shared" si="33"/>
        <v>14-01</v>
      </c>
      <c r="H696" s="1">
        <f>_xlfn.IFNA(VLOOKUP(Aragon!E696,'Kilter Holds'!$P$36:$AB$370,6,0),0)</f>
        <v>0</v>
      </c>
      <c r="J696" s="2">
        <f t="shared" si="31"/>
        <v>0</v>
      </c>
      <c r="K696" s="2">
        <f t="shared" si="32"/>
        <v>0</v>
      </c>
    </row>
    <row r="697" spans="5:11">
      <c r="E697" t="s">
        <v>155</v>
      </c>
      <c r="F697" t="s">
        <v>621</v>
      </c>
      <c r="G697" s="7" t="str">
        <f t="shared" si="33"/>
        <v>15-12</v>
      </c>
      <c r="H697" s="1">
        <f>_xlfn.IFNA(VLOOKUP(Aragon!E697,'Kilter Holds'!$P$36:$AB$370,7,0),0)</f>
        <v>0</v>
      </c>
      <c r="J697" s="2">
        <f t="shared" si="31"/>
        <v>0</v>
      </c>
      <c r="K697" s="2">
        <f t="shared" si="32"/>
        <v>0</v>
      </c>
    </row>
    <row r="698" spans="5:11">
      <c r="E698" t="s">
        <v>155</v>
      </c>
      <c r="F698" t="s">
        <v>621</v>
      </c>
      <c r="G698" s="8" t="str">
        <f t="shared" si="33"/>
        <v>16-16</v>
      </c>
      <c r="H698" s="1">
        <f>_xlfn.IFNA(VLOOKUP(Aragon!E698,'Kilter Holds'!$P$36:$AB$370,8,0),0)</f>
        <v>0</v>
      </c>
      <c r="J698" s="2">
        <f t="shared" ref="J698:J761" si="34">H698*I698</f>
        <v>0</v>
      </c>
      <c r="K698" s="2">
        <f t="shared" si="32"/>
        <v>0</v>
      </c>
    </row>
    <row r="699" spans="5:11">
      <c r="E699" t="s">
        <v>155</v>
      </c>
      <c r="F699" t="s">
        <v>621</v>
      </c>
      <c r="G699" s="9" t="str">
        <f t="shared" si="33"/>
        <v>13-01</v>
      </c>
      <c r="H699" s="1">
        <f>_xlfn.IFNA(VLOOKUP(Aragon!E699,'Kilter Holds'!$P$36:$AB$370,9,0),0)</f>
        <v>0</v>
      </c>
      <c r="J699" s="2">
        <f t="shared" si="34"/>
        <v>0</v>
      </c>
      <c r="K699" s="2">
        <f t="shared" si="32"/>
        <v>0</v>
      </c>
    </row>
    <row r="700" spans="5:11">
      <c r="E700" t="s">
        <v>155</v>
      </c>
      <c r="F700" t="s">
        <v>621</v>
      </c>
      <c r="G700" s="10" t="str">
        <f t="shared" si="33"/>
        <v>07-13</v>
      </c>
      <c r="H700" s="1">
        <f>_xlfn.IFNA(VLOOKUP(Aragon!E700,'Kilter Holds'!$P$36:$AB$370,10,0),0)</f>
        <v>0</v>
      </c>
      <c r="J700" s="2">
        <f t="shared" si="34"/>
        <v>0</v>
      </c>
      <c r="K700" s="2">
        <f t="shared" si="32"/>
        <v>0</v>
      </c>
    </row>
    <row r="701" spans="5:11">
      <c r="E701" t="s">
        <v>155</v>
      </c>
      <c r="F701" t="s">
        <v>621</v>
      </c>
      <c r="G701" s="11" t="str">
        <f t="shared" si="33"/>
        <v>11-25</v>
      </c>
      <c r="H701" s="1">
        <f>_xlfn.IFNA(VLOOKUP(Aragon!E701,'Kilter Holds'!$P$36:$AB$370,11,0),0)</f>
        <v>0</v>
      </c>
      <c r="J701" s="2">
        <f t="shared" si="34"/>
        <v>0</v>
      </c>
      <c r="K701" s="2">
        <f t="shared" si="32"/>
        <v>0</v>
      </c>
    </row>
    <row r="702" spans="5:11">
      <c r="E702" t="s">
        <v>155</v>
      </c>
      <c r="F702" t="s">
        <v>621</v>
      </c>
      <c r="G702" s="13" t="str">
        <f t="shared" si="33"/>
        <v>18-01</v>
      </c>
      <c r="H702" s="1">
        <f>_xlfn.IFNA(VLOOKUP(Aragon!E702,'Kilter Holds'!$P$36:$AB$370,12,0),0)</f>
        <v>0</v>
      </c>
      <c r="J702" s="2">
        <f t="shared" si="34"/>
        <v>0</v>
      </c>
      <c r="K702" s="2">
        <f t="shared" si="32"/>
        <v>0</v>
      </c>
    </row>
    <row r="703" spans="5:11">
      <c r="E703" t="s">
        <v>155</v>
      </c>
      <c r="F703" t="s">
        <v>621</v>
      </c>
      <c r="G703" s="12" t="str">
        <f t="shared" si="33"/>
        <v>12-01</v>
      </c>
      <c r="H703" s="1">
        <f>_xlfn.IFNA(VLOOKUP(Aragon!E703,'Kilter Holds'!$P$36:$AB$370,13,0),0)</f>
        <v>0</v>
      </c>
      <c r="J703" s="2">
        <f t="shared" si="34"/>
        <v>0</v>
      </c>
      <c r="K703" s="2">
        <f t="shared" si="32"/>
        <v>0</v>
      </c>
    </row>
    <row r="704" spans="5:11">
      <c r="E704" t="s">
        <v>156</v>
      </c>
      <c r="F704" t="s">
        <v>622</v>
      </c>
      <c r="G704" s="5" t="str">
        <f t="shared" si="33"/>
        <v>11-12</v>
      </c>
      <c r="H704" s="1">
        <f>_xlfn.IFNA(VLOOKUP(Aragon!E704,'Kilter Holds'!$P$36:$AB$370,5,0),0)</f>
        <v>0</v>
      </c>
      <c r="J704" s="2">
        <f t="shared" si="34"/>
        <v>0</v>
      </c>
      <c r="K704" s="2">
        <f t="shared" si="32"/>
        <v>0</v>
      </c>
    </row>
    <row r="705" spans="5:11">
      <c r="E705" t="s">
        <v>156</v>
      </c>
      <c r="F705" t="s">
        <v>622</v>
      </c>
      <c r="G705" s="6" t="str">
        <f t="shared" si="33"/>
        <v>14-01</v>
      </c>
      <c r="H705" s="1">
        <f>_xlfn.IFNA(VLOOKUP(Aragon!E705,'Kilter Holds'!$P$36:$AB$370,6,0),0)</f>
        <v>0</v>
      </c>
      <c r="J705" s="2">
        <f t="shared" si="34"/>
        <v>0</v>
      </c>
      <c r="K705" s="2">
        <f t="shared" si="32"/>
        <v>0</v>
      </c>
    </row>
    <row r="706" spans="5:11">
      <c r="E706" t="s">
        <v>156</v>
      </c>
      <c r="F706" t="s">
        <v>622</v>
      </c>
      <c r="G706" s="7" t="str">
        <f t="shared" si="33"/>
        <v>15-12</v>
      </c>
      <c r="H706" s="1">
        <f>_xlfn.IFNA(VLOOKUP(Aragon!E706,'Kilter Holds'!$P$36:$AB$370,7,0),0)</f>
        <v>0</v>
      </c>
      <c r="J706" s="2">
        <f t="shared" si="34"/>
        <v>0</v>
      </c>
      <c r="K706" s="2">
        <f t="shared" si="32"/>
        <v>0</v>
      </c>
    </row>
    <row r="707" spans="5:11">
      <c r="E707" t="s">
        <v>156</v>
      </c>
      <c r="F707" t="s">
        <v>622</v>
      </c>
      <c r="G707" s="8" t="str">
        <f t="shared" si="33"/>
        <v>16-16</v>
      </c>
      <c r="H707" s="1">
        <f>_xlfn.IFNA(VLOOKUP(Aragon!E707,'Kilter Holds'!$P$36:$AB$370,8,0),0)</f>
        <v>0</v>
      </c>
      <c r="J707" s="2">
        <f t="shared" si="34"/>
        <v>0</v>
      </c>
      <c r="K707" s="2">
        <f t="shared" si="32"/>
        <v>0</v>
      </c>
    </row>
    <row r="708" spans="5:11">
      <c r="E708" t="s">
        <v>156</v>
      </c>
      <c r="F708" t="s">
        <v>622</v>
      </c>
      <c r="G708" s="9" t="str">
        <f t="shared" si="33"/>
        <v>13-01</v>
      </c>
      <c r="H708" s="1">
        <f>_xlfn.IFNA(VLOOKUP(Aragon!E708,'Kilter Holds'!$P$36:$AB$370,9,0),0)</f>
        <v>0</v>
      </c>
      <c r="J708" s="2">
        <f t="shared" si="34"/>
        <v>0</v>
      </c>
      <c r="K708" s="2">
        <f t="shared" si="32"/>
        <v>0</v>
      </c>
    </row>
    <row r="709" spans="5:11">
      <c r="E709" t="s">
        <v>156</v>
      </c>
      <c r="F709" t="s">
        <v>622</v>
      </c>
      <c r="G709" s="10" t="str">
        <f t="shared" si="33"/>
        <v>07-13</v>
      </c>
      <c r="H709" s="1">
        <f>_xlfn.IFNA(VLOOKUP(Aragon!E709,'Kilter Holds'!$P$36:$AB$370,10,0),0)</f>
        <v>0</v>
      </c>
      <c r="J709" s="2">
        <f t="shared" si="34"/>
        <v>0</v>
      </c>
      <c r="K709" s="2">
        <f t="shared" si="32"/>
        <v>0</v>
      </c>
    </row>
    <row r="710" spans="5:11">
      <c r="E710" t="s">
        <v>156</v>
      </c>
      <c r="F710" t="s">
        <v>622</v>
      </c>
      <c r="G710" s="11" t="str">
        <f t="shared" si="33"/>
        <v>11-25</v>
      </c>
      <c r="H710" s="1">
        <f>_xlfn.IFNA(VLOOKUP(Aragon!E710,'Kilter Holds'!$P$36:$AB$370,11,0),0)</f>
        <v>0</v>
      </c>
      <c r="J710" s="2">
        <f t="shared" si="34"/>
        <v>0</v>
      </c>
      <c r="K710" s="2">
        <f t="shared" si="32"/>
        <v>0</v>
      </c>
    </row>
    <row r="711" spans="5:11">
      <c r="E711" t="s">
        <v>156</v>
      </c>
      <c r="F711" t="s">
        <v>622</v>
      </c>
      <c r="G711" s="13" t="str">
        <f t="shared" si="33"/>
        <v>18-01</v>
      </c>
      <c r="H711" s="1">
        <f>_xlfn.IFNA(VLOOKUP(Aragon!E711,'Kilter Holds'!$P$36:$AB$370,12,0),0)</f>
        <v>0</v>
      </c>
      <c r="J711" s="2">
        <f t="shared" si="34"/>
        <v>0</v>
      </c>
      <c r="K711" s="2">
        <f t="shared" si="32"/>
        <v>0</v>
      </c>
    </row>
    <row r="712" spans="5:11">
      <c r="E712" t="s">
        <v>156</v>
      </c>
      <c r="F712" t="s">
        <v>622</v>
      </c>
      <c r="G712" s="12" t="str">
        <f t="shared" si="33"/>
        <v>12-01</v>
      </c>
      <c r="H712" s="1">
        <f>_xlfn.IFNA(VLOOKUP(Aragon!E712,'Kilter Holds'!$P$36:$AB$370,13,0),0)</f>
        <v>0</v>
      </c>
      <c r="J712" s="2">
        <f t="shared" si="34"/>
        <v>0</v>
      </c>
      <c r="K712" s="2">
        <f t="shared" si="32"/>
        <v>0</v>
      </c>
    </row>
    <row r="713" spans="5:11">
      <c r="E713" t="s">
        <v>157</v>
      </c>
      <c r="F713" t="s">
        <v>623</v>
      </c>
      <c r="G713" s="5" t="str">
        <f t="shared" si="33"/>
        <v>11-12</v>
      </c>
      <c r="H713" s="1">
        <f>_xlfn.IFNA(VLOOKUP(Aragon!E713,'Kilter Holds'!$P$36:$AB$370,5,0),0)</f>
        <v>0</v>
      </c>
      <c r="J713" s="2">
        <f t="shared" si="34"/>
        <v>0</v>
      </c>
      <c r="K713" s="2">
        <f t="shared" si="32"/>
        <v>0</v>
      </c>
    </row>
    <row r="714" spans="5:11">
      <c r="E714" t="s">
        <v>157</v>
      </c>
      <c r="F714" t="s">
        <v>623</v>
      </c>
      <c r="G714" s="6" t="str">
        <f t="shared" si="33"/>
        <v>14-01</v>
      </c>
      <c r="H714" s="1">
        <f>_xlfn.IFNA(VLOOKUP(Aragon!E714,'Kilter Holds'!$P$36:$AB$370,6,0),0)</f>
        <v>0</v>
      </c>
      <c r="J714" s="2">
        <f t="shared" si="34"/>
        <v>0</v>
      </c>
      <c r="K714" s="2">
        <f t="shared" si="32"/>
        <v>0</v>
      </c>
    </row>
    <row r="715" spans="5:11">
      <c r="E715" t="s">
        <v>157</v>
      </c>
      <c r="F715" t="s">
        <v>623</v>
      </c>
      <c r="G715" s="7" t="str">
        <f t="shared" si="33"/>
        <v>15-12</v>
      </c>
      <c r="H715" s="1">
        <f>_xlfn.IFNA(VLOOKUP(Aragon!E715,'Kilter Holds'!$P$36:$AB$370,7,0),0)</f>
        <v>0</v>
      </c>
      <c r="J715" s="2">
        <f t="shared" si="34"/>
        <v>0</v>
      </c>
      <c r="K715" s="2">
        <f t="shared" si="32"/>
        <v>0</v>
      </c>
    </row>
    <row r="716" spans="5:11">
      <c r="E716" t="s">
        <v>157</v>
      </c>
      <c r="F716" t="s">
        <v>623</v>
      </c>
      <c r="G716" s="8" t="str">
        <f t="shared" si="33"/>
        <v>16-16</v>
      </c>
      <c r="H716" s="1">
        <f>_xlfn.IFNA(VLOOKUP(Aragon!E716,'Kilter Holds'!$P$36:$AB$370,8,0),0)</f>
        <v>0</v>
      </c>
      <c r="J716" s="2">
        <f t="shared" si="34"/>
        <v>0</v>
      </c>
      <c r="K716" s="2">
        <f t="shared" ref="K716:K779" si="35">IF($V$11="Y",J716*0.05,0)</f>
        <v>0</v>
      </c>
    </row>
    <row r="717" spans="5:11">
      <c r="E717" t="s">
        <v>157</v>
      </c>
      <c r="F717" t="s">
        <v>623</v>
      </c>
      <c r="G717" s="9" t="str">
        <f t="shared" ref="G717:G780" si="36">G708</f>
        <v>13-01</v>
      </c>
      <c r="H717" s="1">
        <f>_xlfn.IFNA(VLOOKUP(Aragon!E717,'Kilter Holds'!$P$36:$AB$370,9,0),0)</f>
        <v>0</v>
      </c>
      <c r="J717" s="2">
        <f t="shared" si="34"/>
        <v>0</v>
      </c>
      <c r="K717" s="2">
        <f t="shared" si="35"/>
        <v>0</v>
      </c>
    </row>
    <row r="718" spans="5:11">
      <c r="E718" t="s">
        <v>157</v>
      </c>
      <c r="F718" t="s">
        <v>623</v>
      </c>
      <c r="G718" s="10" t="str">
        <f t="shared" si="36"/>
        <v>07-13</v>
      </c>
      <c r="H718" s="1">
        <f>_xlfn.IFNA(VLOOKUP(Aragon!E718,'Kilter Holds'!$P$36:$AB$370,10,0),0)</f>
        <v>0</v>
      </c>
      <c r="J718" s="2">
        <f t="shared" si="34"/>
        <v>0</v>
      </c>
      <c r="K718" s="2">
        <f t="shared" si="35"/>
        <v>0</v>
      </c>
    </row>
    <row r="719" spans="5:11">
      <c r="E719" t="s">
        <v>157</v>
      </c>
      <c r="F719" t="s">
        <v>623</v>
      </c>
      <c r="G719" s="11" t="str">
        <f t="shared" si="36"/>
        <v>11-25</v>
      </c>
      <c r="H719" s="1">
        <f>_xlfn.IFNA(VLOOKUP(Aragon!E719,'Kilter Holds'!$P$36:$AB$370,11,0),0)</f>
        <v>0</v>
      </c>
      <c r="J719" s="2">
        <f t="shared" si="34"/>
        <v>0</v>
      </c>
      <c r="K719" s="2">
        <f t="shared" si="35"/>
        <v>0</v>
      </c>
    </row>
    <row r="720" spans="5:11">
      <c r="E720" t="s">
        <v>157</v>
      </c>
      <c r="F720" t="s">
        <v>623</v>
      </c>
      <c r="G720" s="13" t="str">
        <f t="shared" si="36"/>
        <v>18-01</v>
      </c>
      <c r="H720" s="1">
        <f>_xlfn.IFNA(VLOOKUP(Aragon!E720,'Kilter Holds'!$P$36:$AB$370,12,0),0)</f>
        <v>0</v>
      </c>
      <c r="J720" s="2">
        <f t="shared" si="34"/>
        <v>0</v>
      </c>
      <c r="K720" s="2">
        <f t="shared" si="35"/>
        <v>0</v>
      </c>
    </row>
    <row r="721" spans="5:11">
      <c r="E721" t="s">
        <v>157</v>
      </c>
      <c r="F721" t="s">
        <v>623</v>
      </c>
      <c r="G721" s="12" t="str">
        <f t="shared" si="36"/>
        <v>12-01</v>
      </c>
      <c r="H721" s="1">
        <f>_xlfn.IFNA(VLOOKUP(Aragon!E721,'Kilter Holds'!$P$36:$AB$370,13,0),0)</f>
        <v>0</v>
      </c>
      <c r="J721" s="2">
        <f t="shared" si="34"/>
        <v>0</v>
      </c>
      <c r="K721" s="2">
        <f t="shared" si="35"/>
        <v>0</v>
      </c>
    </row>
    <row r="722" spans="5:11">
      <c r="E722" t="s">
        <v>878</v>
      </c>
      <c r="F722" t="s">
        <v>901</v>
      </c>
      <c r="G722" s="5" t="str">
        <f t="shared" si="36"/>
        <v>11-12</v>
      </c>
      <c r="H722" s="1">
        <f>_xlfn.IFNA(VLOOKUP(Aragon!E722,'Kilter Holds'!$P$36:$AB$370,5,0),0)</f>
        <v>0</v>
      </c>
      <c r="J722" s="2">
        <f t="shared" si="34"/>
        <v>0</v>
      </c>
      <c r="K722" s="2">
        <f t="shared" si="35"/>
        <v>0</v>
      </c>
    </row>
    <row r="723" spans="5:11">
      <c r="E723" t="s">
        <v>878</v>
      </c>
      <c r="F723" t="s">
        <v>901</v>
      </c>
      <c r="G723" s="6" t="str">
        <f t="shared" si="36"/>
        <v>14-01</v>
      </c>
      <c r="H723" s="1">
        <f>_xlfn.IFNA(VLOOKUP(Aragon!E723,'Kilter Holds'!$P$36:$AB$370,6,0),0)</f>
        <v>0</v>
      </c>
      <c r="J723" s="2">
        <f t="shared" si="34"/>
        <v>0</v>
      </c>
      <c r="K723" s="2">
        <f t="shared" si="35"/>
        <v>0</v>
      </c>
    </row>
    <row r="724" spans="5:11">
      <c r="E724" t="s">
        <v>878</v>
      </c>
      <c r="F724" t="s">
        <v>901</v>
      </c>
      <c r="G724" s="7" t="str">
        <f t="shared" si="36"/>
        <v>15-12</v>
      </c>
      <c r="H724" s="1">
        <f>_xlfn.IFNA(VLOOKUP(Aragon!E724,'Kilter Holds'!$P$36:$AB$370,7,0),0)</f>
        <v>0</v>
      </c>
      <c r="J724" s="2">
        <f t="shared" si="34"/>
        <v>0</v>
      </c>
      <c r="K724" s="2">
        <f t="shared" si="35"/>
        <v>0</v>
      </c>
    </row>
    <row r="725" spans="5:11">
      <c r="E725" t="s">
        <v>878</v>
      </c>
      <c r="F725" t="s">
        <v>901</v>
      </c>
      <c r="G725" s="8" t="str">
        <f t="shared" si="36"/>
        <v>16-16</v>
      </c>
      <c r="H725" s="1">
        <f>_xlfn.IFNA(VLOOKUP(Aragon!E725,'Kilter Holds'!$P$36:$AB$370,8,0),0)</f>
        <v>0</v>
      </c>
      <c r="J725" s="2">
        <f t="shared" si="34"/>
        <v>0</v>
      </c>
      <c r="K725" s="2">
        <f t="shared" si="35"/>
        <v>0</v>
      </c>
    </row>
    <row r="726" spans="5:11">
      <c r="E726" t="s">
        <v>878</v>
      </c>
      <c r="F726" t="s">
        <v>901</v>
      </c>
      <c r="G726" s="9" t="str">
        <f t="shared" si="36"/>
        <v>13-01</v>
      </c>
      <c r="H726" s="1">
        <f>_xlfn.IFNA(VLOOKUP(Aragon!E726,'Kilter Holds'!$P$36:$AB$370,9,0),0)</f>
        <v>0</v>
      </c>
      <c r="J726" s="2">
        <f t="shared" si="34"/>
        <v>0</v>
      </c>
      <c r="K726" s="2">
        <f t="shared" si="35"/>
        <v>0</v>
      </c>
    </row>
    <row r="727" spans="5:11">
      <c r="E727" t="s">
        <v>878</v>
      </c>
      <c r="F727" t="s">
        <v>901</v>
      </c>
      <c r="G727" s="10" t="str">
        <f t="shared" si="36"/>
        <v>07-13</v>
      </c>
      <c r="H727" s="1">
        <f>_xlfn.IFNA(VLOOKUP(Aragon!E727,'Kilter Holds'!$P$36:$AB$370,10,0),0)</f>
        <v>0</v>
      </c>
      <c r="J727" s="2">
        <f t="shared" si="34"/>
        <v>0</v>
      </c>
      <c r="K727" s="2">
        <f t="shared" si="35"/>
        <v>0</v>
      </c>
    </row>
    <row r="728" spans="5:11">
      <c r="E728" t="s">
        <v>878</v>
      </c>
      <c r="F728" t="s">
        <v>901</v>
      </c>
      <c r="G728" s="11" t="str">
        <f t="shared" si="36"/>
        <v>11-25</v>
      </c>
      <c r="H728" s="1">
        <f>_xlfn.IFNA(VLOOKUP(Aragon!E728,'Kilter Holds'!$P$36:$AB$370,11,0),0)</f>
        <v>0</v>
      </c>
      <c r="J728" s="2">
        <f t="shared" si="34"/>
        <v>0</v>
      </c>
      <c r="K728" s="2">
        <f t="shared" si="35"/>
        <v>0</v>
      </c>
    </row>
    <row r="729" spans="5:11">
      <c r="E729" t="s">
        <v>878</v>
      </c>
      <c r="F729" t="s">
        <v>901</v>
      </c>
      <c r="G729" s="13" t="str">
        <f t="shared" si="36"/>
        <v>18-01</v>
      </c>
      <c r="H729" s="1">
        <f>_xlfn.IFNA(VLOOKUP(Aragon!E729,'Kilter Holds'!$P$36:$AB$370,12,0),0)</f>
        <v>0</v>
      </c>
      <c r="J729" s="2">
        <f t="shared" si="34"/>
        <v>0</v>
      </c>
      <c r="K729" s="2">
        <f t="shared" si="35"/>
        <v>0</v>
      </c>
    </row>
    <row r="730" spans="5:11">
      <c r="E730" t="s">
        <v>878</v>
      </c>
      <c r="F730" t="s">
        <v>901</v>
      </c>
      <c r="G730" s="12" t="str">
        <f t="shared" si="36"/>
        <v>12-01</v>
      </c>
      <c r="H730" s="1">
        <f>_xlfn.IFNA(VLOOKUP(Aragon!E730,'Kilter Holds'!$P$36:$AB$370,13,0),0)</f>
        <v>0</v>
      </c>
      <c r="J730" s="2">
        <f t="shared" si="34"/>
        <v>0</v>
      </c>
      <c r="K730" s="2">
        <f t="shared" si="35"/>
        <v>0</v>
      </c>
    </row>
    <row r="731" spans="5:11">
      <c r="E731" t="s">
        <v>149</v>
      </c>
      <c r="F731" t="s">
        <v>624</v>
      </c>
      <c r="G731" s="5" t="str">
        <f t="shared" si="36"/>
        <v>11-12</v>
      </c>
      <c r="H731" s="1">
        <f>_xlfn.IFNA(VLOOKUP(Aragon!E731,'Kilter Holds'!$P$36:$AB$370,5,0),0)</f>
        <v>0</v>
      </c>
      <c r="J731" s="2">
        <f t="shared" si="34"/>
        <v>0</v>
      </c>
      <c r="K731" s="2">
        <f t="shared" si="35"/>
        <v>0</v>
      </c>
    </row>
    <row r="732" spans="5:11">
      <c r="E732" t="s">
        <v>149</v>
      </c>
      <c r="F732" t="s">
        <v>624</v>
      </c>
      <c r="G732" s="6" t="str">
        <f t="shared" si="36"/>
        <v>14-01</v>
      </c>
      <c r="H732" s="1">
        <f>_xlfn.IFNA(VLOOKUP(Aragon!E732,'Kilter Holds'!$P$36:$AB$370,6,0),0)</f>
        <v>0</v>
      </c>
      <c r="J732" s="2">
        <f t="shared" si="34"/>
        <v>0</v>
      </c>
      <c r="K732" s="2">
        <f t="shared" si="35"/>
        <v>0</v>
      </c>
    </row>
    <row r="733" spans="5:11">
      <c r="E733" t="s">
        <v>149</v>
      </c>
      <c r="F733" t="s">
        <v>624</v>
      </c>
      <c r="G733" s="7" t="str">
        <f t="shared" si="36"/>
        <v>15-12</v>
      </c>
      <c r="H733" s="1">
        <f>_xlfn.IFNA(VLOOKUP(Aragon!E733,'Kilter Holds'!$P$36:$AB$370,7,0),0)</f>
        <v>0</v>
      </c>
      <c r="J733" s="2">
        <f t="shared" si="34"/>
        <v>0</v>
      </c>
      <c r="K733" s="2">
        <f t="shared" si="35"/>
        <v>0</v>
      </c>
    </row>
    <row r="734" spans="5:11">
      <c r="E734" t="s">
        <v>149</v>
      </c>
      <c r="F734" t="s">
        <v>624</v>
      </c>
      <c r="G734" s="8" t="str">
        <f t="shared" si="36"/>
        <v>16-16</v>
      </c>
      <c r="H734" s="1">
        <f>_xlfn.IFNA(VLOOKUP(Aragon!E734,'Kilter Holds'!$P$36:$AB$370,8,0),0)</f>
        <v>0</v>
      </c>
      <c r="J734" s="2">
        <f t="shared" si="34"/>
        <v>0</v>
      </c>
      <c r="K734" s="2">
        <f t="shared" si="35"/>
        <v>0</v>
      </c>
    </row>
    <row r="735" spans="5:11">
      <c r="E735" t="s">
        <v>149</v>
      </c>
      <c r="F735" t="s">
        <v>624</v>
      </c>
      <c r="G735" s="9" t="str">
        <f t="shared" si="36"/>
        <v>13-01</v>
      </c>
      <c r="H735" s="1">
        <f>_xlfn.IFNA(VLOOKUP(Aragon!E735,'Kilter Holds'!$P$36:$AB$370,9,0),0)</f>
        <v>0</v>
      </c>
      <c r="J735" s="2">
        <f t="shared" si="34"/>
        <v>0</v>
      </c>
      <c r="K735" s="2">
        <f t="shared" si="35"/>
        <v>0</v>
      </c>
    </row>
    <row r="736" spans="5:11">
      <c r="E736" t="s">
        <v>149</v>
      </c>
      <c r="F736" t="s">
        <v>624</v>
      </c>
      <c r="G736" s="10" t="str">
        <f t="shared" si="36"/>
        <v>07-13</v>
      </c>
      <c r="H736" s="1">
        <f>_xlfn.IFNA(VLOOKUP(Aragon!E736,'Kilter Holds'!$P$36:$AB$370,10,0),0)</f>
        <v>0</v>
      </c>
      <c r="J736" s="2">
        <f t="shared" si="34"/>
        <v>0</v>
      </c>
      <c r="K736" s="2">
        <f t="shared" si="35"/>
        <v>0</v>
      </c>
    </row>
    <row r="737" spans="5:11">
      <c r="E737" t="s">
        <v>149</v>
      </c>
      <c r="F737" t="s">
        <v>624</v>
      </c>
      <c r="G737" s="11" t="str">
        <f t="shared" si="36"/>
        <v>11-25</v>
      </c>
      <c r="H737" s="1">
        <f>_xlfn.IFNA(VLOOKUP(Aragon!E737,'Kilter Holds'!$P$36:$AB$370,11,0),0)</f>
        <v>0</v>
      </c>
      <c r="J737" s="2">
        <f t="shared" si="34"/>
        <v>0</v>
      </c>
      <c r="K737" s="2">
        <f t="shared" si="35"/>
        <v>0</v>
      </c>
    </row>
    <row r="738" spans="5:11">
      <c r="E738" t="s">
        <v>149</v>
      </c>
      <c r="F738" t="s">
        <v>624</v>
      </c>
      <c r="G738" s="13" t="str">
        <f t="shared" si="36"/>
        <v>18-01</v>
      </c>
      <c r="H738" s="1">
        <f>_xlfn.IFNA(VLOOKUP(Aragon!E738,'Kilter Holds'!$P$36:$AB$370,12,0),0)</f>
        <v>0</v>
      </c>
      <c r="J738" s="2">
        <f t="shared" si="34"/>
        <v>0</v>
      </c>
      <c r="K738" s="2">
        <f t="shared" si="35"/>
        <v>0</v>
      </c>
    </row>
    <row r="739" spans="5:11">
      <c r="E739" t="s">
        <v>149</v>
      </c>
      <c r="F739" t="s">
        <v>624</v>
      </c>
      <c r="G739" s="12" t="str">
        <f t="shared" si="36"/>
        <v>12-01</v>
      </c>
      <c r="H739" s="1">
        <f>_xlfn.IFNA(VLOOKUP(Aragon!E739,'Kilter Holds'!$P$36:$AB$370,13,0),0)</f>
        <v>0</v>
      </c>
      <c r="J739" s="2">
        <f t="shared" si="34"/>
        <v>0</v>
      </c>
      <c r="K739" s="2">
        <f t="shared" si="35"/>
        <v>0</v>
      </c>
    </row>
    <row r="740" spans="5:11">
      <c r="E740" t="s">
        <v>150</v>
      </c>
      <c r="F740" t="s">
        <v>625</v>
      </c>
      <c r="G740" s="5" t="str">
        <f t="shared" si="36"/>
        <v>11-12</v>
      </c>
      <c r="H740" s="1">
        <f>_xlfn.IFNA(VLOOKUP(Aragon!E740,'Kilter Holds'!$P$36:$AB$370,5,0),0)</f>
        <v>0</v>
      </c>
      <c r="J740" s="2">
        <f t="shared" si="34"/>
        <v>0</v>
      </c>
      <c r="K740" s="2">
        <f t="shared" si="35"/>
        <v>0</v>
      </c>
    </row>
    <row r="741" spans="5:11">
      <c r="E741" t="s">
        <v>150</v>
      </c>
      <c r="F741" t="s">
        <v>625</v>
      </c>
      <c r="G741" s="6" t="str">
        <f t="shared" si="36"/>
        <v>14-01</v>
      </c>
      <c r="H741" s="1">
        <f>_xlfn.IFNA(VLOOKUP(Aragon!E741,'Kilter Holds'!$P$36:$AB$370,6,0),0)</f>
        <v>0</v>
      </c>
      <c r="J741" s="2">
        <f t="shared" si="34"/>
        <v>0</v>
      </c>
      <c r="K741" s="2">
        <f t="shared" si="35"/>
        <v>0</v>
      </c>
    </row>
    <row r="742" spans="5:11">
      <c r="E742" t="s">
        <v>150</v>
      </c>
      <c r="F742" t="s">
        <v>625</v>
      </c>
      <c r="G742" s="7" t="str">
        <f t="shared" si="36"/>
        <v>15-12</v>
      </c>
      <c r="H742" s="1">
        <f>_xlfn.IFNA(VLOOKUP(Aragon!E742,'Kilter Holds'!$P$36:$AB$370,7,0),0)</f>
        <v>0</v>
      </c>
      <c r="J742" s="2">
        <f t="shared" si="34"/>
        <v>0</v>
      </c>
      <c r="K742" s="2">
        <f t="shared" si="35"/>
        <v>0</v>
      </c>
    </row>
    <row r="743" spans="5:11">
      <c r="E743" t="s">
        <v>150</v>
      </c>
      <c r="F743" t="s">
        <v>625</v>
      </c>
      <c r="G743" s="8" t="str">
        <f t="shared" si="36"/>
        <v>16-16</v>
      </c>
      <c r="H743" s="1">
        <f>_xlfn.IFNA(VLOOKUP(Aragon!E743,'Kilter Holds'!$P$36:$AB$370,8,0),0)</f>
        <v>0</v>
      </c>
      <c r="J743" s="2">
        <f t="shared" si="34"/>
        <v>0</v>
      </c>
      <c r="K743" s="2">
        <f t="shared" si="35"/>
        <v>0</v>
      </c>
    </row>
    <row r="744" spans="5:11">
      <c r="E744" t="s">
        <v>150</v>
      </c>
      <c r="F744" t="s">
        <v>625</v>
      </c>
      <c r="G744" s="9" t="str">
        <f t="shared" si="36"/>
        <v>13-01</v>
      </c>
      <c r="H744" s="1">
        <f>_xlfn.IFNA(VLOOKUP(Aragon!E744,'Kilter Holds'!$P$36:$AB$370,9,0),0)</f>
        <v>0</v>
      </c>
      <c r="J744" s="2">
        <f t="shared" si="34"/>
        <v>0</v>
      </c>
      <c r="K744" s="2">
        <f t="shared" si="35"/>
        <v>0</v>
      </c>
    </row>
    <row r="745" spans="5:11">
      <c r="E745" t="s">
        <v>150</v>
      </c>
      <c r="F745" t="s">
        <v>625</v>
      </c>
      <c r="G745" s="10" t="str">
        <f t="shared" si="36"/>
        <v>07-13</v>
      </c>
      <c r="H745" s="1">
        <f>_xlfn.IFNA(VLOOKUP(Aragon!E745,'Kilter Holds'!$P$36:$AB$370,10,0),0)</f>
        <v>0</v>
      </c>
      <c r="J745" s="2">
        <f t="shared" si="34"/>
        <v>0</v>
      </c>
      <c r="K745" s="2">
        <f t="shared" si="35"/>
        <v>0</v>
      </c>
    </row>
    <row r="746" spans="5:11">
      <c r="E746" t="s">
        <v>150</v>
      </c>
      <c r="F746" t="s">
        <v>625</v>
      </c>
      <c r="G746" s="11" t="str">
        <f t="shared" si="36"/>
        <v>11-25</v>
      </c>
      <c r="H746" s="1">
        <f>_xlfn.IFNA(VLOOKUP(Aragon!E746,'Kilter Holds'!$P$36:$AB$370,11,0),0)</f>
        <v>0</v>
      </c>
      <c r="J746" s="2">
        <f t="shared" si="34"/>
        <v>0</v>
      </c>
      <c r="K746" s="2">
        <f t="shared" si="35"/>
        <v>0</v>
      </c>
    </row>
    <row r="747" spans="5:11">
      <c r="E747" t="s">
        <v>150</v>
      </c>
      <c r="F747" t="s">
        <v>625</v>
      </c>
      <c r="G747" s="13" t="str">
        <f t="shared" si="36"/>
        <v>18-01</v>
      </c>
      <c r="H747" s="1">
        <f>_xlfn.IFNA(VLOOKUP(Aragon!E747,'Kilter Holds'!$P$36:$AB$370,12,0),0)</f>
        <v>0</v>
      </c>
      <c r="J747" s="2">
        <f t="shared" si="34"/>
        <v>0</v>
      </c>
      <c r="K747" s="2">
        <f t="shared" si="35"/>
        <v>0</v>
      </c>
    </row>
    <row r="748" spans="5:11">
      <c r="E748" t="s">
        <v>150</v>
      </c>
      <c r="F748" t="s">
        <v>625</v>
      </c>
      <c r="G748" s="12" t="str">
        <f t="shared" si="36"/>
        <v>12-01</v>
      </c>
      <c r="H748" s="1">
        <f>_xlfn.IFNA(VLOOKUP(Aragon!E748,'Kilter Holds'!$P$36:$AB$370,13,0),0)</f>
        <v>0</v>
      </c>
      <c r="J748" s="2">
        <f t="shared" si="34"/>
        <v>0</v>
      </c>
      <c r="K748" s="2">
        <f t="shared" si="35"/>
        <v>0</v>
      </c>
    </row>
    <row r="749" spans="5:11">
      <c r="E749" t="s">
        <v>151</v>
      </c>
      <c r="F749" t="s">
        <v>626</v>
      </c>
      <c r="G749" s="5" t="str">
        <f t="shared" si="36"/>
        <v>11-12</v>
      </c>
      <c r="H749" s="1">
        <f>_xlfn.IFNA(VLOOKUP(Aragon!E749,'Kilter Holds'!$P$36:$AB$370,5,0),0)</f>
        <v>0</v>
      </c>
      <c r="J749" s="2">
        <f t="shared" si="34"/>
        <v>0</v>
      </c>
      <c r="K749" s="2">
        <f t="shared" si="35"/>
        <v>0</v>
      </c>
    </row>
    <row r="750" spans="5:11">
      <c r="E750" t="s">
        <v>151</v>
      </c>
      <c r="F750" t="s">
        <v>626</v>
      </c>
      <c r="G750" s="6" t="str">
        <f t="shared" si="36"/>
        <v>14-01</v>
      </c>
      <c r="H750" s="1">
        <f>_xlfn.IFNA(VLOOKUP(Aragon!E750,'Kilter Holds'!$P$36:$AB$370,6,0),0)</f>
        <v>0</v>
      </c>
      <c r="J750" s="2">
        <f t="shared" si="34"/>
        <v>0</v>
      </c>
      <c r="K750" s="2">
        <f t="shared" si="35"/>
        <v>0</v>
      </c>
    </row>
    <row r="751" spans="5:11">
      <c r="E751" t="s">
        <v>151</v>
      </c>
      <c r="F751" t="s">
        <v>626</v>
      </c>
      <c r="G751" s="7" t="str">
        <f t="shared" si="36"/>
        <v>15-12</v>
      </c>
      <c r="H751" s="1">
        <f>_xlfn.IFNA(VLOOKUP(Aragon!E751,'Kilter Holds'!$P$36:$AB$370,7,0),0)</f>
        <v>0</v>
      </c>
      <c r="J751" s="2">
        <f t="shared" si="34"/>
        <v>0</v>
      </c>
      <c r="K751" s="2">
        <f t="shared" si="35"/>
        <v>0</v>
      </c>
    </row>
    <row r="752" spans="5:11">
      <c r="E752" t="s">
        <v>151</v>
      </c>
      <c r="F752" t="s">
        <v>626</v>
      </c>
      <c r="G752" s="8" t="str">
        <f t="shared" si="36"/>
        <v>16-16</v>
      </c>
      <c r="H752" s="1">
        <f>_xlfn.IFNA(VLOOKUP(Aragon!E752,'Kilter Holds'!$P$36:$AB$370,8,0),0)</f>
        <v>0</v>
      </c>
      <c r="J752" s="2">
        <f t="shared" si="34"/>
        <v>0</v>
      </c>
      <c r="K752" s="2">
        <f t="shared" si="35"/>
        <v>0</v>
      </c>
    </row>
    <row r="753" spans="5:11">
      <c r="E753" t="s">
        <v>151</v>
      </c>
      <c r="F753" t="s">
        <v>626</v>
      </c>
      <c r="G753" s="9" t="str">
        <f t="shared" si="36"/>
        <v>13-01</v>
      </c>
      <c r="H753" s="1">
        <f>_xlfn.IFNA(VLOOKUP(Aragon!E753,'Kilter Holds'!$P$36:$AB$370,9,0),0)</f>
        <v>0</v>
      </c>
      <c r="J753" s="2">
        <f t="shared" si="34"/>
        <v>0</v>
      </c>
      <c r="K753" s="2">
        <f t="shared" si="35"/>
        <v>0</v>
      </c>
    </row>
    <row r="754" spans="5:11">
      <c r="E754" t="s">
        <v>151</v>
      </c>
      <c r="F754" t="s">
        <v>626</v>
      </c>
      <c r="G754" s="10" t="str">
        <f t="shared" si="36"/>
        <v>07-13</v>
      </c>
      <c r="H754" s="1">
        <f>_xlfn.IFNA(VLOOKUP(Aragon!E754,'Kilter Holds'!$P$36:$AB$370,10,0),0)</f>
        <v>0</v>
      </c>
      <c r="J754" s="2">
        <f t="shared" si="34"/>
        <v>0</v>
      </c>
      <c r="K754" s="2">
        <f t="shared" si="35"/>
        <v>0</v>
      </c>
    </row>
    <row r="755" spans="5:11">
      <c r="E755" t="s">
        <v>151</v>
      </c>
      <c r="F755" t="s">
        <v>626</v>
      </c>
      <c r="G755" s="11" t="str">
        <f t="shared" si="36"/>
        <v>11-25</v>
      </c>
      <c r="H755" s="1">
        <f>_xlfn.IFNA(VLOOKUP(Aragon!E755,'Kilter Holds'!$P$36:$AB$370,11,0),0)</f>
        <v>0</v>
      </c>
      <c r="J755" s="2">
        <f t="shared" si="34"/>
        <v>0</v>
      </c>
      <c r="K755" s="2">
        <f t="shared" si="35"/>
        <v>0</v>
      </c>
    </row>
    <row r="756" spans="5:11">
      <c r="E756" t="s">
        <v>151</v>
      </c>
      <c r="F756" t="s">
        <v>626</v>
      </c>
      <c r="G756" s="13" t="str">
        <f t="shared" si="36"/>
        <v>18-01</v>
      </c>
      <c r="H756" s="1">
        <f>_xlfn.IFNA(VLOOKUP(Aragon!E756,'Kilter Holds'!$P$36:$AB$370,12,0),0)</f>
        <v>0</v>
      </c>
      <c r="J756" s="2">
        <f t="shared" si="34"/>
        <v>0</v>
      </c>
      <c r="K756" s="2">
        <f t="shared" si="35"/>
        <v>0</v>
      </c>
    </row>
    <row r="757" spans="5:11">
      <c r="E757" t="s">
        <v>151</v>
      </c>
      <c r="F757" t="s">
        <v>626</v>
      </c>
      <c r="G757" s="12" t="str">
        <f t="shared" si="36"/>
        <v>12-01</v>
      </c>
      <c r="H757" s="1">
        <f>_xlfn.IFNA(VLOOKUP(Aragon!E757,'Kilter Holds'!$P$36:$AB$370,13,0),0)</f>
        <v>0</v>
      </c>
      <c r="J757" s="2">
        <f t="shared" si="34"/>
        <v>0</v>
      </c>
      <c r="K757" s="2">
        <f t="shared" si="35"/>
        <v>0</v>
      </c>
    </row>
    <row r="758" spans="5:11">
      <c r="E758" t="s">
        <v>888</v>
      </c>
      <c r="F758" t="s">
        <v>902</v>
      </c>
      <c r="G758" s="5" t="str">
        <f t="shared" si="36"/>
        <v>11-12</v>
      </c>
      <c r="H758" s="1">
        <f>_xlfn.IFNA(VLOOKUP(Aragon!E758,'Kilter Holds'!$P$36:$AB$370,5,0),0)</f>
        <v>0</v>
      </c>
      <c r="J758" s="2">
        <f t="shared" si="34"/>
        <v>0</v>
      </c>
      <c r="K758" s="2">
        <f t="shared" si="35"/>
        <v>0</v>
      </c>
    </row>
    <row r="759" spans="5:11">
      <c r="E759" t="s">
        <v>888</v>
      </c>
      <c r="F759" t="s">
        <v>902</v>
      </c>
      <c r="G759" s="6" t="str">
        <f t="shared" si="36"/>
        <v>14-01</v>
      </c>
      <c r="H759" s="1">
        <f>_xlfn.IFNA(VLOOKUP(Aragon!E759,'Kilter Holds'!$P$36:$AB$370,6,0),0)</f>
        <v>0</v>
      </c>
      <c r="J759" s="2">
        <f t="shared" si="34"/>
        <v>0</v>
      </c>
      <c r="K759" s="2">
        <f t="shared" si="35"/>
        <v>0</v>
      </c>
    </row>
    <row r="760" spans="5:11">
      <c r="E760" t="s">
        <v>888</v>
      </c>
      <c r="F760" t="s">
        <v>902</v>
      </c>
      <c r="G760" s="7" t="str">
        <f t="shared" si="36"/>
        <v>15-12</v>
      </c>
      <c r="H760" s="1">
        <f>_xlfn.IFNA(VLOOKUP(Aragon!E760,'Kilter Holds'!$P$36:$AB$370,7,0),0)</f>
        <v>0</v>
      </c>
      <c r="J760" s="2">
        <f t="shared" si="34"/>
        <v>0</v>
      </c>
      <c r="K760" s="2">
        <f t="shared" si="35"/>
        <v>0</v>
      </c>
    </row>
    <row r="761" spans="5:11">
      <c r="E761" t="s">
        <v>888</v>
      </c>
      <c r="F761" t="s">
        <v>902</v>
      </c>
      <c r="G761" s="8" t="str">
        <f t="shared" si="36"/>
        <v>16-16</v>
      </c>
      <c r="H761" s="1">
        <f>_xlfn.IFNA(VLOOKUP(Aragon!E761,'Kilter Holds'!$P$36:$AB$370,8,0),0)</f>
        <v>0</v>
      </c>
      <c r="J761" s="2">
        <f t="shared" si="34"/>
        <v>0</v>
      </c>
      <c r="K761" s="2">
        <f t="shared" si="35"/>
        <v>0</v>
      </c>
    </row>
    <row r="762" spans="5:11">
      <c r="E762" t="s">
        <v>888</v>
      </c>
      <c r="F762" t="s">
        <v>902</v>
      </c>
      <c r="G762" s="9" t="str">
        <f t="shared" si="36"/>
        <v>13-01</v>
      </c>
      <c r="H762" s="1">
        <f>_xlfn.IFNA(VLOOKUP(Aragon!E762,'Kilter Holds'!$P$36:$AB$370,9,0),0)</f>
        <v>0</v>
      </c>
      <c r="J762" s="2">
        <f t="shared" ref="J762:J825" si="37">H762*I762</f>
        <v>0</v>
      </c>
      <c r="K762" s="2">
        <f t="shared" si="35"/>
        <v>0</v>
      </c>
    </row>
    <row r="763" spans="5:11">
      <c r="E763" t="s">
        <v>888</v>
      </c>
      <c r="F763" t="s">
        <v>902</v>
      </c>
      <c r="G763" s="10" t="str">
        <f t="shared" si="36"/>
        <v>07-13</v>
      </c>
      <c r="H763" s="1">
        <f>_xlfn.IFNA(VLOOKUP(Aragon!E763,'Kilter Holds'!$P$36:$AB$370,10,0),0)</f>
        <v>0</v>
      </c>
      <c r="J763" s="2">
        <f t="shared" si="37"/>
        <v>0</v>
      </c>
      <c r="K763" s="2">
        <f t="shared" si="35"/>
        <v>0</v>
      </c>
    </row>
    <row r="764" spans="5:11">
      <c r="E764" t="s">
        <v>888</v>
      </c>
      <c r="F764" t="s">
        <v>902</v>
      </c>
      <c r="G764" s="11" t="str">
        <f t="shared" si="36"/>
        <v>11-25</v>
      </c>
      <c r="H764" s="1">
        <f>_xlfn.IFNA(VLOOKUP(Aragon!E764,'Kilter Holds'!$P$36:$AB$370,11,0),0)</f>
        <v>0</v>
      </c>
      <c r="J764" s="2">
        <f t="shared" si="37"/>
        <v>0</v>
      </c>
      <c r="K764" s="2">
        <f t="shared" si="35"/>
        <v>0</v>
      </c>
    </row>
    <row r="765" spans="5:11">
      <c r="E765" t="s">
        <v>888</v>
      </c>
      <c r="F765" t="s">
        <v>902</v>
      </c>
      <c r="G765" s="13" t="str">
        <f t="shared" si="36"/>
        <v>18-01</v>
      </c>
      <c r="H765" s="1">
        <f>_xlfn.IFNA(VLOOKUP(Aragon!E765,'Kilter Holds'!$P$36:$AB$370,12,0),0)</f>
        <v>0</v>
      </c>
      <c r="J765" s="2">
        <f t="shared" si="37"/>
        <v>0</v>
      </c>
      <c r="K765" s="2">
        <f t="shared" si="35"/>
        <v>0</v>
      </c>
    </row>
    <row r="766" spans="5:11">
      <c r="E766" t="s">
        <v>888</v>
      </c>
      <c r="F766" t="s">
        <v>902</v>
      </c>
      <c r="G766" s="12" t="str">
        <f t="shared" si="36"/>
        <v>12-01</v>
      </c>
      <c r="H766" s="1">
        <f>_xlfn.IFNA(VLOOKUP(Aragon!E766,'Kilter Holds'!$P$36:$AB$370,13,0),0)</f>
        <v>0</v>
      </c>
      <c r="J766" s="2">
        <f t="shared" si="37"/>
        <v>0</v>
      </c>
      <c r="K766" s="2">
        <f t="shared" si="35"/>
        <v>0</v>
      </c>
    </row>
    <row r="767" spans="5:11">
      <c r="E767" t="s">
        <v>293</v>
      </c>
      <c r="F767" t="s">
        <v>627</v>
      </c>
      <c r="G767" s="5" t="str">
        <f t="shared" si="36"/>
        <v>11-12</v>
      </c>
      <c r="H767" s="1">
        <f>_xlfn.IFNA(VLOOKUP(Aragon!E767,'Kilter Holds'!$P$36:$AB$370,5,0),0)</f>
        <v>0</v>
      </c>
      <c r="J767" s="2">
        <f t="shared" si="37"/>
        <v>0</v>
      </c>
      <c r="K767" s="2">
        <f t="shared" si="35"/>
        <v>0</v>
      </c>
    </row>
    <row r="768" spans="5:11">
      <c r="E768" t="s">
        <v>293</v>
      </c>
      <c r="F768" t="s">
        <v>627</v>
      </c>
      <c r="G768" s="6" t="str">
        <f t="shared" si="36"/>
        <v>14-01</v>
      </c>
      <c r="H768" s="1">
        <f>_xlfn.IFNA(VLOOKUP(Aragon!E768,'Kilter Holds'!$P$36:$AB$370,6,0),0)</f>
        <v>0</v>
      </c>
      <c r="J768" s="2">
        <f t="shared" si="37"/>
        <v>0</v>
      </c>
      <c r="K768" s="2">
        <f t="shared" si="35"/>
        <v>0</v>
      </c>
    </row>
    <row r="769" spans="5:11">
      <c r="E769" t="s">
        <v>293</v>
      </c>
      <c r="F769" t="s">
        <v>627</v>
      </c>
      <c r="G769" s="7" t="str">
        <f t="shared" si="36"/>
        <v>15-12</v>
      </c>
      <c r="H769" s="1">
        <f>_xlfn.IFNA(VLOOKUP(Aragon!E769,'Kilter Holds'!$P$36:$AB$370,7,0),0)</f>
        <v>0</v>
      </c>
      <c r="J769" s="2">
        <f t="shared" si="37"/>
        <v>0</v>
      </c>
      <c r="K769" s="2">
        <f t="shared" si="35"/>
        <v>0</v>
      </c>
    </row>
    <row r="770" spans="5:11">
      <c r="E770" t="s">
        <v>293</v>
      </c>
      <c r="F770" t="s">
        <v>627</v>
      </c>
      <c r="G770" s="8" t="str">
        <f t="shared" si="36"/>
        <v>16-16</v>
      </c>
      <c r="H770" s="1">
        <f>_xlfn.IFNA(VLOOKUP(Aragon!E770,'Kilter Holds'!$P$36:$AB$370,8,0),0)</f>
        <v>0</v>
      </c>
      <c r="J770" s="2">
        <f t="shared" si="37"/>
        <v>0</v>
      </c>
      <c r="K770" s="2">
        <f t="shared" si="35"/>
        <v>0</v>
      </c>
    </row>
    <row r="771" spans="5:11">
      <c r="E771" t="s">
        <v>293</v>
      </c>
      <c r="F771" t="s">
        <v>627</v>
      </c>
      <c r="G771" s="9" t="str">
        <f t="shared" si="36"/>
        <v>13-01</v>
      </c>
      <c r="H771" s="1">
        <f>_xlfn.IFNA(VLOOKUP(Aragon!E771,'Kilter Holds'!$P$36:$AB$370,9,0),0)</f>
        <v>0</v>
      </c>
      <c r="J771" s="2">
        <f t="shared" si="37"/>
        <v>0</v>
      </c>
      <c r="K771" s="2">
        <f t="shared" si="35"/>
        <v>0</v>
      </c>
    </row>
    <row r="772" spans="5:11">
      <c r="E772" t="s">
        <v>293</v>
      </c>
      <c r="F772" t="s">
        <v>627</v>
      </c>
      <c r="G772" s="10" t="str">
        <f t="shared" si="36"/>
        <v>07-13</v>
      </c>
      <c r="H772" s="1">
        <f>_xlfn.IFNA(VLOOKUP(Aragon!E772,'Kilter Holds'!$P$36:$AB$370,10,0),0)</f>
        <v>0</v>
      </c>
      <c r="J772" s="2">
        <f t="shared" si="37"/>
        <v>0</v>
      </c>
      <c r="K772" s="2">
        <f t="shared" si="35"/>
        <v>0</v>
      </c>
    </row>
    <row r="773" spans="5:11">
      <c r="E773" t="s">
        <v>293</v>
      </c>
      <c r="F773" t="s">
        <v>627</v>
      </c>
      <c r="G773" s="11" t="str">
        <f t="shared" si="36"/>
        <v>11-25</v>
      </c>
      <c r="H773" s="1">
        <f>_xlfn.IFNA(VLOOKUP(Aragon!E773,'Kilter Holds'!$P$36:$AB$370,11,0),0)</f>
        <v>0</v>
      </c>
      <c r="J773" s="2">
        <f t="shared" si="37"/>
        <v>0</v>
      </c>
      <c r="K773" s="2">
        <f t="shared" si="35"/>
        <v>0</v>
      </c>
    </row>
    <row r="774" spans="5:11">
      <c r="E774" t="s">
        <v>293</v>
      </c>
      <c r="F774" t="s">
        <v>627</v>
      </c>
      <c r="G774" s="13" t="str">
        <f t="shared" si="36"/>
        <v>18-01</v>
      </c>
      <c r="H774" s="1">
        <f>_xlfn.IFNA(VLOOKUP(Aragon!E774,'Kilter Holds'!$P$36:$AB$370,12,0),0)</f>
        <v>0</v>
      </c>
      <c r="J774" s="2">
        <f t="shared" si="37"/>
        <v>0</v>
      </c>
      <c r="K774" s="2">
        <f t="shared" si="35"/>
        <v>0</v>
      </c>
    </row>
    <row r="775" spans="5:11">
      <c r="E775" t="s">
        <v>293</v>
      </c>
      <c r="F775" t="s">
        <v>627</v>
      </c>
      <c r="G775" s="12" t="str">
        <f t="shared" si="36"/>
        <v>12-01</v>
      </c>
      <c r="H775" s="1">
        <f>_xlfn.IFNA(VLOOKUP(Aragon!E775,'Kilter Holds'!$P$36:$AB$370,13,0),0)</f>
        <v>0</v>
      </c>
      <c r="J775" s="2">
        <f t="shared" si="37"/>
        <v>0</v>
      </c>
      <c r="K775" s="2">
        <f t="shared" si="35"/>
        <v>0</v>
      </c>
    </row>
    <row r="776" spans="5:11">
      <c r="E776" t="s">
        <v>294</v>
      </c>
      <c r="F776" t="s">
        <v>628</v>
      </c>
      <c r="G776" s="5" t="str">
        <f t="shared" si="36"/>
        <v>11-12</v>
      </c>
      <c r="H776" s="1">
        <f>_xlfn.IFNA(VLOOKUP(Aragon!E776,'Kilter Holds'!$P$36:$AB$370,5,0),0)</f>
        <v>0</v>
      </c>
      <c r="J776" s="2">
        <f t="shared" si="37"/>
        <v>0</v>
      </c>
      <c r="K776" s="2">
        <f t="shared" si="35"/>
        <v>0</v>
      </c>
    </row>
    <row r="777" spans="5:11">
      <c r="E777" t="s">
        <v>294</v>
      </c>
      <c r="F777" t="s">
        <v>628</v>
      </c>
      <c r="G777" s="6" t="str">
        <f t="shared" si="36"/>
        <v>14-01</v>
      </c>
      <c r="H777" s="1">
        <f>_xlfn.IFNA(VLOOKUP(Aragon!E777,'Kilter Holds'!$P$36:$AB$370,6,0),0)</f>
        <v>0</v>
      </c>
      <c r="J777" s="2">
        <f t="shared" si="37"/>
        <v>0</v>
      </c>
      <c r="K777" s="2">
        <f t="shared" si="35"/>
        <v>0</v>
      </c>
    </row>
    <row r="778" spans="5:11">
      <c r="E778" t="s">
        <v>294</v>
      </c>
      <c r="F778" t="s">
        <v>628</v>
      </c>
      <c r="G778" s="7" t="str">
        <f t="shared" si="36"/>
        <v>15-12</v>
      </c>
      <c r="H778" s="1">
        <f>_xlfn.IFNA(VLOOKUP(Aragon!E778,'Kilter Holds'!$P$36:$AB$370,7,0),0)</f>
        <v>0</v>
      </c>
      <c r="J778" s="2">
        <f t="shared" si="37"/>
        <v>0</v>
      </c>
      <c r="K778" s="2">
        <f t="shared" si="35"/>
        <v>0</v>
      </c>
    </row>
    <row r="779" spans="5:11">
      <c r="E779" t="s">
        <v>294</v>
      </c>
      <c r="F779" t="s">
        <v>628</v>
      </c>
      <c r="G779" s="8" t="str">
        <f t="shared" si="36"/>
        <v>16-16</v>
      </c>
      <c r="H779" s="1">
        <f>_xlfn.IFNA(VLOOKUP(Aragon!E779,'Kilter Holds'!$P$36:$AB$370,8,0),0)</f>
        <v>0</v>
      </c>
      <c r="J779" s="2">
        <f t="shared" si="37"/>
        <v>0</v>
      </c>
      <c r="K779" s="2">
        <f t="shared" si="35"/>
        <v>0</v>
      </c>
    </row>
    <row r="780" spans="5:11">
      <c r="E780" t="s">
        <v>294</v>
      </c>
      <c r="F780" t="s">
        <v>628</v>
      </c>
      <c r="G780" s="9" t="str">
        <f t="shared" si="36"/>
        <v>13-01</v>
      </c>
      <c r="H780" s="1">
        <f>_xlfn.IFNA(VLOOKUP(Aragon!E780,'Kilter Holds'!$P$36:$AB$370,9,0),0)</f>
        <v>0</v>
      </c>
      <c r="J780" s="2">
        <f t="shared" si="37"/>
        <v>0</v>
      </c>
      <c r="K780" s="2">
        <f t="shared" ref="K780:K843" si="38">IF($V$11="Y",J780*0.05,0)</f>
        <v>0</v>
      </c>
    </row>
    <row r="781" spans="5:11">
      <c r="E781" t="s">
        <v>294</v>
      </c>
      <c r="F781" t="s">
        <v>628</v>
      </c>
      <c r="G781" s="10" t="str">
        <f t="shared" ref="G781:G844" si="39">G772</f>
        <v>07-13</v>
      </c>
      <c r="H781" s="1">
        <f>_xlfn.IFNA(VLOOKUP(Aragon!E781,'Kilter Holds'!$P$36:$AB$370,10,0),0)</f>
        <v>0</v>
      </c>
      <c r="J781" s="2">
        <f t="shared" si="37"/>
        <v>0</v>
      </c>
      <c r="K781" s="2">
        <f t="shared" si="38"/>
        <v>0</v>
      </c>
    </row>
    <row r="782" spans="5:11">
      <c r="E782" t="s">
        <v>294</v>
      </c>
      <c r="F782" t="s">
        <v>628</v>
      </c>
      <c r="G782" s="11" t="str">
        <f t="shared" si="39"/>
        <v>11-25</v>
      </c>
      <c r="H782" s="1">
        <f>_xlfn.IFNA(VLOOKUP(Aragon!E782,'Kilter Holds'!$P$36:$AB$370,11,0),0)</f>
        <v>0</v>
      </c>
      <c r="J782" s="2">
        <f t="shared" si="37"/>
        <v>0</v>
      </c>
      <c r="K782" s="2">
        <f t="shared" si="38"/>
        <v>0</v>
      </c>
    </row>
    <row r="783" spans="5:11">
      <c r="E783" t="s">
        <v>294</v>
      </c>
      <c r="F783" t="s">
        <v>628</v>
      </c>
      <c r="G783" s="13" t="str">
        <f t="shared" si="39"/>
        <v>18-01</v>
      </c>
      <c r="H783" s="1">
        <f>_xlfn.IFNA(VLOOKUP(Aragon!E783,'Kilter Holds'!$P$36:$AB$370,12,0),0)</f>
        <v>0</v>
      </c>
      <c r="J783" s="2">
        <f t="shared" si="37"/>
        <v>0</v>
      </c>
      <c r="K783" s="2">
        <f t="shared" si="38"/>
        <v>0</v>
      </c>
    </row>
    <row r="784" spans="5:11">
      <c r="E784" t="s">
        <v>294</v>
      </c>
      <c r="F784" t="s">
        <v>628</v>
      </c>
      <c r="G784" s="12" t="str">
        <f t="shared" si="39"/>
        <v>12-01</v>
      </c>
      <c r="H784" s="1">
        <f>_xlfn.IFNA(VLOOKUP(Aragon!E784,'Kilter Holds'!$P$36:$AB$370,13,0),0)</f>
        <v>0</v>
      </c>
      <c r="J784" s="2">
        <f t="shared" si="37"/>
        <v>0</v>
      </c>
      <c r="K784" s="2">
        <f t="shared" si="38"/>
        <v>0</v>
      </c>
    </row>
    <row r="785" spans="5:11">
      <c r="E785" t="s">
        <v>295</v>
      </c>
      <c r="F785" t="s">
        <v>629</v>
      </c>
      <c r="G785" s="5" t="str">
        <f t="shared" si="39"/>
        <v>11-12</v>
      </c>
      <c r="H785" s="1">
        <f>_xlfn.IFNA(VLOOKUP(Aragon!E785,'Kilter Holds'!$P$36:$AB$370,5,0),0)</f>
        <v>0</v>
      </c>
      <c r="J785" s="2">
        <f t="shared" si="37"/>
        <v>0</v>
      </c>
      <c r="K785" s="2">
        <f t="shared" si="38"/>
        <v>0</v>
      </c>
    </row>
    <row r="786" spans="5:11">
      <c r="E786" t="s">
        <v>295</v>
      </c>
      <c r="F786" t="s">
        <v>629</v>
      </c>
      <c r="G786" s="6" t="str">
        <f t="shared" si="39"/>
        <v>14-01</v>
      </c>
      <c r="H786" s="1">
        <f>_xlfn.IFNA(VLOOKUP(Aragon!E786,'Kilter Holds'!$P$36:$AB$370,6,0),0)</f>
        <v>0</v>
      </c>
      <c r="J786" s="2">
        <f t="shared" si="37"/>
        <v>0</v>
      </c>
      <c r="K786" s="2">
        <f t="shared" si="38"/>
        <v>0</v>
      </c>
    </row>
    <row r="787" spans="5:11">
      <c r="E787" t="s">
        <v>295</v>
      </c>
      <c r="F787" t="s">
        <v>629</v>
      </c>
      <c r="G787" s="7" t="str">
        <f t="shared" si="39"/>
        <v>15-12</v>
      </c>
      <c r="H787" s="1">
        <f>_xlfn.IFNA(VLOOKUP(Aragon!E787,'Kilter Holds'!$P$36:$AB$370,7,0),0)</f>
        <v>0</v>
      </c>
      <c r="J787" s="2">
        <f t="shared" si="37"/>
        <v>0</v>
      </c>
      <c r="K787" s="2">
        <f t="shared" si="38"/>
        <v>0</v>
      </c>
    </row>
    <row r="788" spans="5:11">
      <c r="E788" t="s">
        <v>295</v>
      </c>
      <c r="F788" t="s">
        <v>629</v>
      </c>
      <c r="G788" s="8" t="str">
        <f t="shared" si="39"/>
        <v>16-16</v>
      </c>
      <c r="H788" s="1">
        <f>_xlfn.IFNA(VLOOKUP(Aragon!E788,'Kilter Holds'!$P$36:$AB$370,8,0),0)</f>
        <v>0</v>
      </c>
      <c r="J788" s="2">
        <f t="shared" si="37"/>
        <v>0</v>
      </c>
      <c r="K788" s="2">
        <f t="shared" si="38"/>
        <v>0</v>
      </c>
    </row>
    <row r="789" spans="5:11">
      <c r="E789" t="s">
        <v>295</v>
      </c>
      <c r="F789" t="s">
        <v>629</v>
      </c>
      <c r="G789" s="9" t="str">
        <f t="shared" si="39"/>
        <v>13-01</v>
      </c>
      <c r="H789" s="1">
        <f>_xlfn.IFNA(VLOOKUP(Aragon!E789,'Kilter Holds'!$P$36:$AB$370,9,0),0)</f>
        <v>0</v>
      </c>
      <c r="J789" s="2">
        <f t="shared" si="37"/>
        <v>0</v>
      </c>
      <c r="K789" s="2">
        <f t="shared" si="38"/>
        <v>0</v>
      </c>
    </row>
    <row r="790" spans="5:11">
      <c r="E790" t="s">
        <v>295</v>
      </c>
      <c r="F790" t="s">
        <v>629</v>
      </c>
      <c r="G790" s="10" t="str">
        <f t="shared" si="39"/>
        <v>07-13</v>
      </c>
      <c r="H790" s="1">
        <f>_xlfn.IFNA(VLOOKUP(Aragon!E790,'Kilter Holds'!$P$36:$AB$370,10,0),0)</f>
        <v>0</v>
      </c>
      <c r="J790" s="2">
        <f t="shared" si="37"/>
        <v>0</v>
      </c>
      <c r="K790" s="2">
        <f t="shared" si="38"/>
        <v>0</v>
      </c>
    </row>
    <row r="791" spans="5:11">
      <c r="E791" t="s">
        <v>295</v>
      </c>
      <c r="F791" t="s">
        <v>629</v>
      </c>
      <c r="G791" s="11" t="str">
        <f t="shared" si="39"/>
        <v>11-25</v>
      </c>
      <c r="H791" s="1">
        <f>_xlfn.IFNA(VLOOKUP(Aragon!E791,'Kilter Holds'!$P$36:$AB$370,11,0),0)</f>
        <v>0</v>
      </c>
      <c r="J791" s="2">
        <f t="shared" si="37"/>
        <v>0</v>
      </c>
      <c r="K791" s="2">
        <f t="shared" si="38"/>
        <v>0</v>
      </c>
    </row>
    <row r="792" spans="5:11">
      <c r="E792" t="s">
        <v>295</v>
      </c>
      <c r="F792" t="s">
        <v>629</v>
      </c>
      <c r="G792" s="13" t="str">
        <f t="shared" si="39"/>
        <v>18-01</v>
      </c>
      <c r="H792" s="1">
        <f>_xlfn.IFNA(VLOOKUP(Aragon!E792,'Kilter Holds'!$P$36:$AB$370,12,0),0)</f>
        <v>0</v>
      </c>
      <c r="J792" s="2">
        <f t="shared" si="37"/>
        <v>0</v>
      </c>
      <c r="K792" s="2">
        <f t="shared" si="38"/>
        <v>0</v>
      </c>
    </row>
    <row r="793" spans="5:11">
      <c r="E793" t="s">
        <v>295</v>
      </c>
      <c r="F793" t="s">
        <v>629</v>
      </c>
      <c r="G793" s="12" t="str">
        <f t="shared" si="39"/>
        <v>12-01</v>
      </c>
      <c r="H793" s="1">
        <f>_xlfn.IFNA(VLOOKUP(Aragon!E793,'Kilter Holds'!$P$36:$AB$370,13,0),0)</f>
        <v>0</v>
      </c>
      <c r="J793" s="2">
        <f t="shared" si="37"/>
        <v>0</v>
      </c>
      <c r="K793" s="2">
        <f t="shared" si="38"/>
        <v>0</v>
      </c>
    </row>
    <row r="794" spans="5:11">
      <c r="E794" t="s">
        <v>887</v>
      </c>
      <c r="F794" t="s">
        <v>903</v>
      </c>
      <c r="G794" s="5" t="str">
        <f t="shared" si="39"/>
        <v>11-12</v>
      </c>
      <c r="H794" s="1">
        <f>_xlfn.IFNA(VLOOKUP(Aragon!E794,'Kilter Holds'!$P$36:$AB$370,5,0),0)</f>
        <v>0</v>
      </c>
      <c r="J794" s="2">
        <f t="shared" si="37"/>
        <v>0</v>
      </c>
      <c r="K794" s="2">
        <f t="shared" si="38"/>
        <v>0</v>
      </c>
    </row>
    <row r="795" spans="5:11">
      <c r="E795" t="s">
        <v>887</v>
      </c>
      <c r="F795" t="s">
        <v>903</v>
      </c>
      <c r="G795" s="6" t="str">
        <f t="shared" si="39"/>
        <v>14-01</v>
      </c>
      <c r="H795" s="1">
        <f>_xlfn.IFNA(VLOOKUP(Aragon!E795,'Kilter Holds'!$P$36:$AB$370,6,0),0)</f>
        <v>0</v>
      </c>
      <c r="J795" s="2">
        <f t="shared" si="37"/>
        <v>0</v>
      </c>
      <c r="K795" s="2">
        <f t="shared" si="38"/>
        <v>0</v>
      </c>
    </row>
    <row r="796" spans="5:11">
      <c r="E796" t="s">
        <v>887</v>
      </c>
      <c r="F796" t="s">
        <v>903</v>
      </c>
      <c r="G796" s="7" t="str">
        <f t="shared" si="39"/>
        <v>15-12</v>
      </c>
      <c r="H796" s="1">
        <f>_xlfn.IFNA(VLOOKUP(Aragon!E796,'Kilter Holds'!$P$36:$AB$370,7,0),0)</f>
        <v>0</v>
      </c>
      <c r="J796" s="2">
        <f t="shared" si="37"/>
        <v>0</v>
      </c>
      <c r="K796" s="2">
        <f t="shared" si="38"/>
        <v>0</v>
      </c>
    </row>
    <row r="797" spans="5:11">
      <c r="E797" t="s">
        <v>887</v>
      </c>
      <c r="F797" t="s">
        <v>903</v>
      </c>
      <c r="G797" s="8" t="str">
        <f t="shared" si="39"/>
        <v>16-16</v>
      </c>
      <c r="H797" s="1">
        <f>_xlfn.IFNA(VLOOKUP(Aragon!E797,'Kilter Holds'!$P$36:$AB$370,8,0),0)</f>
        <v>0</v>
      </c>
      <c r="J797" s="2">
        <f t="shared" si="37"/>
        <v>0</v>
      </c>
      <c r="K797" s="2">
        <f t="shared" si="38"/>
        <v>0</v>
      </c>
    </row>
    <row r="798" spans="5:11">
      <c r="E798" t="s">
        <v>887</v>
      </c>
      <c r="F798" t="s">
        <v>903</v>
      </c>
      <c r="G798" s="9" t="str">
        <f t="shared" si="39"/>
        <v>13-01</v>
      </c>
      <c r="H798" s="1">
        <f>_xlfn.IFNA(VLOOKUP(Aragon!E798,'Kilter Holds'!$P$36:$AB$370,9,0),0)</f>
        <v>0</v>
      </c>
      <c r="J798" s="2">
        <f t="shared" si="37"/>
        <v>0</v>
      </c>
      <c r="K798" s="2">
        <f t="shared" si="38"/>
        <v>0</v>
      </c>
    </row>
    <row r="799" spans="5:11">
      <c r="E799" t="s">
        <v>887</v>
      </c>
      <c r="F799" t="s">
        <v>903</v>
      </c>
      <c r="G799" s="10" t="str">
        <f t="shared" si="39"/>
        <v>07-13</v>
      </c>
      <c r="H799" s="1">
        <f>_xlfn.IFNA(VLOOKUP(Aragon!E799,'Kilter Holds'!$P$36:$AB$370,10,0),0)</f>
        <v>0</v>
      </c>
      <c r="J799" s="2">
        <f t="shared" si="37"/>
        <v>0</v>
      </c>
      <c r="K799" s="2">
        <f t="shared" si="38"/>
        <v>0</v>
      </c>
    </row>
    <row r="800" spans="5:11">
      <c r="E800" t="s">
        <v>887</v>
      </c>
      <c r="F800" t="s">
        <v>903</v>
      </c>
      <c r="G800" s="11" t="str">
        <f t="shared" si="39"/>
        <v>11-25</v>
      </c>
      <c r="H800" s="1">
        <f>_xlfn.IFNA(VLOOKUP(Aragon!E800,'Kilter Holds'!$P$36:$AB$370,11,0),0)</f>
        <v>0</v>
      </c>
      <c r="J800" s="2">
        <f t="shared" si="37"/>
        <v>0</v>
      </c>
      <c r="K800" s="2">
        <f t="shared" si="38"/>
        <v>0</v>
      </c>
    </row>
    <row r="801" spans="5:11">
      <c r="E801" t="s">
        <v>887</v>
      </c>
      <c r="F801" t="s">
        <v>903</v>
      </c>
      <c r="G801" s="13" t="str">
        <f t="shared" si="39"/>
        <v>18-01</v>
      </c>
      <c r="H801" s="1">
        <f>_xlfn.IFNA(VLOOKUP(Aragon!E801,'Kilter Holds'!$P$36:$AB$370,12,0),0)</f>
        <v>0</v>
      </c>
      <c r="J801" s="2">
        <f t="shared" si="37"/>
        <v>0</v>
      </c>
      <c r="K801" s="2">
        <f t="shared" si="38"/>
        <v>0</v>
      </c>
    </row>
    <row r="802" spans="5:11">
      <c r="E802" t="s">
        <v>887</v>
      </c>
      <c r="F802" t="s">
        <v>903</v>
      </c>
      <c r="G802" s="12" t="str">
        <f t="shared" si="39"/>
        <v>12-01</v>
      </c>
      <c r="H802" s="1">
        <f>_xlfn.IFNA(VLOOKUP(Aragon!E802,'Kilter Holds'!$P$36:$AB$370,13,0),0)</f>
        <v>0</v>
      </c>
      <c r="J802" s="2">
        <f t="shared" si="37"/>
        <v>0</v>
      </c>
      <c r="K802" s="2">
        <f t="shared" si="38"/>
        <v>0</v>
      </c>
    </row>
    <row r="803" spans="5:11">
      <c r="E803" t="s">
        <v>290</v>
      </c>
      <c r="F803" t="s">
        <v>630</v>
      </c>
      <c r="G803" s="5" t="str">
        <f t="shared" si="39"/>
        <v>11-12</v>
      </c>
      <c r="H803" s="1">
        <f>_xlfn.IFNA(VLOOKUP(Aragon!E803,'Kilter Holds'!$P$36:$AB$370,5,0),0)</f>
        <v>0</v>
      </c>
      <c r="J803" s="2">
        <f t="shared" si="37"/>
        <v>0</v>
      </c>
      <c r="K803" s="2">
        <f t="shared" si="38"/>
        <v>0</v>
      </c>
    </row>
    <row r="804" spans="5:11">
      <c r="E804" t="s">
        <v>290</v>
      </c>
      <c r="F804" t="s">
        <v>630</v>
      </c>
      <c r="G804" s="6" t="str">
        <f t="shared" si="39"/>
        <v>14-01</v>
      </c>
      <c r="H804" s="1">
        <f>_xlfn.IFNA(VLOOKUP(Aragon!E804,'Kilter Holds'!$P$36:$AB$370,6,0),0)</f>
        <v>0</v>
      </c>
      <c r="J804" s="2">
        <f t="shared" si="37"/>
        <v>0</v>
      </c>
      <c r="K804" s="2">
        <f t="shared" si="38"/>
        <v>0</v>
      </c>
    </row>
    <row r="805" spans="5:11">
      <c r="E805" t="s">
        <v>290</v>
      </c>
      <c r="F805" t="s">
        <v>630</v>
      </c>
      <c r="G805" s="7" t="str">
        <f t="shared" si="39"/>
        <v>15-12</v>
      </c>
      <c r="H805" s="1">
        <f>_xlfn.IFNA(VLOOKUP(Aragon!E805,'Kilter Holds'!$P$36:$AB$370,7,0),0)</f>
        <v>0</v>
      </c>
      <c r="J805" s="2">
        <f t="shared" si="37"/>
        <v>0</v>
      </c>
      <c r="K805" s="2">
        <f t="shared" si="38"/>
        <v>0</v>
      </c>
    </row>
    <row r="806" spans="5:11">
      <c r="E806" t="s">
        <v>290</v>
      </c>
      <c r="F806" t="s">
        <v>630</v>
      </c>
      <c r="G806" s="8" t="str">
        <f t="shared" si="39"/>
        <v>16-16</v>
      </c>
      <c r="H806" s="1">
        <f>_xlfn.IFNA(VLOOKUP(Aragon!E806,'Kilter Holds'!$P$36:$AB$370,8,0),0)</f>
        <v>0</v>
      </c>
      <c r="J806" s="2">
        <f t="shared" si="37"/>
        <v>0</v>
      </c>
      <c r="K806" s="2">
        <f t="shared" si="38"/>
        <v>0</v>
      </c>
    </row>
    <row r="807" spans="5:11">
      <c r="E807" t="s">
        <v>290</v>
      </c>
      <c r="F807" t="s">
        <v>630</v>
      </c>
      <c r="G807" s="9" t="str">
        <f t="shared" si="39"/>
        <v>13-01</v>
      </c>
      <c r="H807" s="1">
        <f>_xlfn.IFNA(VLOOKUP(Aragon!E807,'Kilter Holds'!$P$36:$AB$370,9,0),0)</f>
        <v>0</v>
      </c>
      <c r="J807" s="2">
        <f t="shared" si="37"/>
        <v>0</v>
      </c>
      <c r="K807" s="2">
        <f t="shared" si="38"/>
        <v>0</v>
      </c>
    </row>
    <row r="808" spans="5:11">
      <c r="E808" t="s">
        <v>290</v>
      </c>
      <c r="F808" t="s">
        <v>630</v>
      </c>
      <c r="G808" s="10" t="str">
        <f t="shared" si="39"/>
        <v>07-13</v>
      </c>
      <c r="H808" s="1">
        <f>_xlfn.IFNA(VLOOKUP(Aragon!E808,'Kilter Holds'!$P$36:$AB$370,10,0),0)</f>
        <v>0</v>
      </c>
      <c r="J808" s="2">
        <f t="shared" si="37"/>
        <v>0</v>
      </c>
      <c r="K808" s="2">
        <f t="shared" si="38"/>
        <v>0</v>
      </c>
    </row>
    <row r="809" spans="5:11">
      <c r="E809" t="s">
        <v>290</v>
      </c>
      <c r="F809" t="s">
        <v>630</v>
      </c>
      <c r="G809" s="11" t="str">
        <f t="shared" si="39"/>
        <v>11-25</v>
      </c>
      <c r="H809" s="1">
        <f>_xlfn.IFNA(VLOOKUP(Aragon!E809,'Kilter Holds'!$P$36:$AB$370,11,0),0)</f>
        <v>0</v>
      </c>
      <c r="J809" s="2">
        <f t="shared" si="37"/>
        <v>0</v>
      </c>
      <c r="K809" s="2">
        <f t="shared" si="38"/>
        <v>0</v>
      </c>
    </row>
    <row r="810" spans="5:11">
      <c r="E810" t="s">
        <v>290</v>
      </c>
      <c r="F810" t="s">
        <v>630</v>
      </c>
      <c r="G810" s="13" t="str">
        <f t="shared" si="39"/>
        <v>18-01</v>
      </c>
      <c r="H810" s="1">
        <f>_xlfn.IFNA(VLOOKUP(Aragon!E810,'Kilter Holds'!$P$36:$AB$370,12,0),0)</f>
        <v>0</v>
      </c>
      <c r="J810" s="2">
        <f t="shared" si="37"/>
        <v>0</v>
      </c>
      <c r="K810" s="2">
        <f t="shared" si="38"/>
        <v>0</v>
      </c>
    </row>
    <row r="811" spans="5:11">
      <c r="E811" t="s">
        <v>290</v>
      </c>
      <c r="F811" t="s">
        <v>630</v>
      </c>
      <c r="G811" s="12" t="str">
        <f t="shared" si="39"/>
        <v>12-01</v>
      </c>
      <c r="H811" s="1">
        <f>_xlfn.IFNA(VLOOKUP(Aragon!E811,'Kilter Holds'!$P$36:$AB$370,13,0),0)</f>
        <v>0</v>
      </c>
      <c r="J811" s="2">
        <f t="shared" si="37"/>
        <v>0</v>
      </c>
      <c r="K811" s="2">
        <f t="shared" si="38"/>
        <v>0</v>
      </c>
    </row>
    <row r="812" spans="5:11">
      <c r="E812" t="s">
        <v>291</v>
      </c>
      <c r="F812" t="s">
        <v>631</v>
      </c>
      <c r="G812" s="5" t="str">
        <f t="shared" si="39"/>
        <v>11-12</v>
      </c>
      <c r="H812" s="1">
        <f>_xlfn.IFNA(VLOOKUP(Aragon!E812,'Kilter Holds'!$P$36:$AB$370,5,0),0)</f>
        <v>0</v>
      </c>
      <c r="J812" s="2">
        <f t="shared" si="37"/>
        <v>0</v>
      </c>
      <c r="K812" s="2">
        <f t="shared" si="38"/>
        <v>0</v>
      </c>
    </row>
    <row r="813" spans="5:11">
      <c r="E813" t="s">
        <v>291</v>
      </c>
      <c r="F813" t="s">
        <v>631</v>
      </c>
      <c r="G813" s="6" t="str">
        <f t="shared" si="39"/>
        <v>14-01</v>
      </c>
      <c r="H813" s="1">
        <f>_xlfn.IFNA(VLOOKUP(Aragon!E813,'Kilter Holds'!$P$36:$AB$370,6,0),0)</f>
        <v>0</v>
      </c>
      <c r="J813" s="2">
        <f t="shared" si="37"/>
        <v>0</v>
      </c>
      <c r="K813" s="2">
        <f t="shared" si="38"/>
        <v>0</v>
      </c>
    </row>
    <row r="814" spans="5:11">
      <c r="E814" t="s">
        <v>291</v>
      </c>
      <c r="F814" t="s">
        <v>631</v>
      </c>
      <c r="G814" s="7" t="str">
        <f t="shared" si="39"/>
        <v>15-12</v>
      </c>
      <c r="H814" s="1">
        <f>_xlfn.IFNA(VLOOKUP(Aragon!E814,'Kilter Holds'!$P$36:$AB$370,7,0),0)</f>
        <v>0</v>
      </c>
      <c r="J814" s="2">
        <f t="shared" si="37"/>
        <v>0</v>
      </c>
      <c r="K814" s="2">
        <f t="shared" si="38"/>
        <v>0</v>
      </c>
    </row>
    <row r="815" spans="5:11">
      <c r="E815" t="s">
        <v>291</v>
      </c>
      <c r="F815" t="s">
        <v>631</v>
      </c>
      <c r="G815" s="8" t="str">
        <f t="shared" si="39"/>
        <v>16-16</v>
      </c>
      <c r="H815" s="1">
        <f>_xlfn.IFNA(VLOOKUP(Aragon!E815,'Kilter Holds'!$P$36:$AB$370,8,0),0)</f>
        <v>0</v>
      </c>
      <c r="J815" s="2">
        <f t="shared" si="37"/>
        <v>0</v>
      </c>
      <c r="K815" s="2">
        <f t="shared" si="38"/>
        <v>0</v>
      </c>
    </row>
    <row r="816" spans="5:11">
      <c r="E816" t="s">
        <v>291</v>
      </c>
      <c r="F816" t="s">
        <v>631</v>
      </c>
      <c r="G816" s="9" t="str">
        <f t="shared" si="39"/>
        <v>13-01</v>
      </c>
      <c r="H816" s="1">
        <f>_xlfn.IFNA(VLOOKUP(Aragon!E816,'Kilter Holds'!$P$36:$AB$370,9,0),0)</f>
        <v>0</v>
      </c>
      <c r="J816" s="2">
        <f t="shared" si="37"/>
        <v>0</v>
      </c>
      <c r="K816" s="2">
        <f t="shared" si="38"/>
        <v>0</v>
      </c>
    </row>
    <row r="817" spans="5:11">
      <c r="E817" t="s">
        <v>291</v>
      </c>
      <c r="F817" t="s">
        <v>631</v>
      </c>
      <c r="G817" s="10" t="str">
        <f t="shared" si="39"/>
        <v>07-13</v>
      </c>
      <c r="H817" s="1">
        <f>_xlfn.IFNA(VLOOKUP(Aragon!E817,'Kilter Holds'!$P$36:$AB$370,10,0),0)</f>
        <v>0</v>
      </c>
      <c r="J817" s="2">
        <f t="shared" si="37"/>
        <v>0</v>
      </c>
      <c r="K817" s="2">
        <f t="shared" si="38"/>
        <v>0</v>
      </c>
    </row>
    <row r="818" spans="5:11">
      <c r="E818" t="s">
        <v>291</v>
      </c>
      <c r="F818" t="s">
        <v>631</v>
      </c>
      <c r="G818" s="11" t="str">
        <f t="shared" si="39"/>
        <v>11-25</v>
      </c>
      <c r="H818" s="1">
        <f>_xlfn.IFNA(VLOOKUP(Aragon!E818,'Kilter Holds'!$P$36:$AB$370,11,0),0)</f>
        <v>0</v>
      </c>
      <c r="J818" s="2">
        <f t="shared" si="37"/>
        <v>0</v>
      </c>
      <c r="K818" s="2">
        <f t="shared" si="38"/>
        <v>0</v>
      </c>
    </row>
    <row r="819" spans="5:11">
      <c r="E819" t="s">
        <v>291</v>
      </c>
      <c r="F819" t="s">
        <v>631</v>
      </c>
      <c r="G819" s="13" t="str">
        <f t="shared" si="39"/>
        <v>18-01</v>
      </c>
      <c r="H819" s="1">
        <f>_xlfn.IFNA(VLOOKUP(Aragon!E819,'Kilter Holds'!$P$36:$AB$370,12,0),0)</f>
        <v>0</v>
      </c>
      <c r="J819" s="2">
        <f t="shared" si="37"/>
        <v>0</v>
      </c>
      <c r="K819" s="2">
        <f t="shared" si="38"/>
        <v>0</v>
      </c>
    </row>
    <row r="820" spans="5:11">
      <c r="E820" t="s">
        <v>291</v>
      </c>
      <c r="F820" t="s">
        <v>631</v>
      </c>
      <c r="G820" s="12" t="str">
        <f t="shared" si="39"/>
        <v>12-01</v>
      </c>
      <c r="H820" s="1">
        <f>_xlfn.IFNA(VLOOKUP(Aragon!E820,'Kilter Holds'!$P$36:$AB$370,13,0),0)</f>
        <v>0</v>
      </c>
      <c r="J820" s="2">
        <f t="shared" si="37"/>
        <v>0</v>
      </c>
      <c r="K820" s="2">
        <f t="shared" si="38"/>
        <v>0</v>
      </c>
    </row>
    <row r="821" spans="5:11">
      <c r="E821" t="s">
        <v>292</v>
      </c>
      <c r="F821" t="s">
        <v>632</v>
      </c>
      <c r="G821" s="5" t="str">
        <f t="shared" si="39"/>
        <v>11-12</v>
      </c>
      <c r="H821" s="1">
        <f>_xlfn.IFNA(VLOOKUP(Aragon!E821,'Kilter Holds'!$P$36:$AB$370,5,0),0)</f>
        <v>0</v>
      </c>
      <c r="J821" s="2">
        <f t="shared" si="37"/>
        <v>0</v>
      </c>
      <c r="K821" s="2">
        <f t="shared" si="38"/>
        <v>0</v>
      </c>
    </row>
    <row r="822" spans="5:11">
      <c r="E822" t="s">
        <v>292</v>
      </c>
      <c r="F822" t="s">
        <v>632</v>
      </c>
      <c r="G822" s="6" t="str">
        <f t="shared" si="39"/>
        <v>14-01</v>
      </c>
      <c r="H822" s="1">
        <f>_xlfn.IFNA(VLOOKUP(Aragon!E822,'Kilter Holds'!$P$36:$AB$370,6,0),0)</f>
        <v>0</v>
      </c>
      <c r="J822" s="2">
        <f t="shared" si="37"/>
        <v>0</v>
      </c>
      <c r="K822" s="2">
        <f t="shared" si="38"/>
        <v>0</v>
      </c>
    </row>
    <row r="823" spans="5:11">
      <c r="E823" t="s">
        <v>292</v>
      </c>
      <c r="F823" t="s">
        <v>632</v>
      </c>
      <c r="G823" s="7" t="str">
        <f t="shared" si="39"/>
        <v>15-12</v>
      </c>
      <c r="H823" s="1">
        <f>_xlfn.IFNA(VLOOKUP(Aragon!E823,'Kilter Holds'!$P$36:$AB$370,7,0),0)</f>
        <v>0</v>
      </c>
      <c r="J823" s="2">
        <f t="shared" si="37"/>
        <v>0</v>
      </c>
      <c r="K823" s="2">
        <f t="shared" si="38"/>
        <v>0</v>
      </c>
    </row>
    <row r="824" spans="5:11">
      <c r="E824" t="s">
        <v>292</v>
      </c>
      <c r="F824" t="s">
        <v>632</v>
      </c>
      <c r="G824" s="8" t="str">
        <f t="shared" si="39"/>
        <v>16-16</v>
      </c>
      <c r="H824" s="1">
        <f>_xlfn.IFNA(VLOOKUP(Aragon!E824,'Kilter Holds'!$P$36:$AB$370,8,0),0)</f>
        <v>0</v>
      </c>
      <c r="J824" s="2">
        <f t="shared" si="37"/>
        <v>0</v>
      </c>
      <c r="K824" s="2">
        <f t="shared" si="38"/>
        <v>0</v>
      </c>
    </row>
    <row r="825" spans="5:11">
      <c r="E825" t="s">
        <v>292</v>
      </c>
      <c r="F825" t="s">
        <v>632</v>
      </c>
      <c r="G825" s="9" t="str">
        <f t="shared" si="39"/>
        <v>13-01</v>
      </c>
      <c r="H825" s="1">
        <f>_xlfn.IFNA(VLOOKUP(Aragon!E825,'Kilter Holds'!$P$36:$AB$370,9,0),0)</f>
        <v>0</v>
      </c>
      <c r="J825" s="2">
        <f t="shared" si="37"/>
        <v>0</v>
      </c>
      <c r="K825" s="2">
        <f t="shared" si="38"/>
        <v>0</v>
      </c>
    </row>
    <row r="826" spans="5:11">
      <c r="E826" t="s">
        <v>292</v>
      </c>
      <c r="F826" t="s">
        <v>632</v>
      </c>
      <c r="G826" s="10" t="str">
        <f t="shared" si="39"/>
        <v>07-13</v>
      </c>
      <c r="H826" s="1">
        <f>_xlfn.IFNA(VLOOKUP(Aragon!E826,'Kilter Holds'!$P$36:$AB$370,10,0),0)</f>
        <v>0</v>
      </c>
      <c r="J826" s="2">
        <f t="shared" ref="J826:J889" si="40">H826*I826</f>
        <v>0</v>
      </c>
      <c r="K826" s="2">
        <f t="shared" si="38"/>
        <v>0</v>
      </c>
    </row>
    <row r="827" spans="5:11">
      <c r="E827" t="s">
        <v>292</v>
      </c>
      <c r="F827" t="s">
        <v>632</v>
      </c>
      <c r="G827" s="11" t="str">
        <f t="shared" si="39"/>
        <v>11-25</v>
      </c>
      <c r="H827" s="1">
        <f>_xlfn.IFNA(VLOOKUP(Aragon!E827,'Kilter Holds'!$P$36:$AB$370,11,0),0)</f>
        <v>0</v>
      </c>
      <c r="J827" s="2">
        <f t="shared" si="40"/>
        <v>0</v>
      </c>
      <c r="K827" s="2">
        <f t="shared" si="38"/>
        <v>0</v>
      </c>
    </row>
    <row r="828" spans="5:11">
      <c r="E828" t="s">
        <v>292</v>
      </c>
      <c r="F828" t="s">
        <v>632</v>
      </c>
      <c r="G828" s="13" t="str">
        <f t="shared" si="39"/>
        <v>18-01</v>
      </c>
      <c r="H828" s="1">
        <f>_xlfn.IFNA(VLOOKUP(Aragon!E828,'Kilter Holds'!$P$36:$AB$370,12,0),0)</f>
        <v>0</v>
      </c>
      <c r="J828" s="2">
        <f t="shared" si="40"/>
        <v>0</v>
      </c>
      <c r="K828" s="2">
        <f t="shared" si="38"/>
        <v>0</v>
      </c>
    </row>
    <row r="829" spans="5:11">
      <c r="E829" t="s">
        <v>292</v>
      </c>
      <c r="F829" t="s">
        <v>632</v>
      </c>
      <c r="G829" s="12" t="str">
        <f t="shared" si="39"/>
        <v>12-01</v>
      </c>
      <c r="H829" s="1">
        <f>_xlfn.IFNA(VLOOKUP(Aragon!E829,'Kilter Holds'!$P$36:$AB$370,13,0),0)</f>
        <v>0</v>
      </c>
      <c r="J829" s="2">
        <f t="shared" si="40"/>
        <v>0</v>
      </c>
      <c r="K829" s="2">
        <f t="shared" si="38"/>
        <v>0</v>
      </c>
    </row>
    <row r="830" spans="5:11">
      <c r="E830" t="s">
        <v>882</v>
      </c>
      <c r="F830" t="s">
        <v>904</v>
      </c>
      <c r="G830" s="5" t="str">
        <f t="shared" si="39"/>
        <v>11-12</v>
      </c>
      <c r="H830" s="1">
        <f>_xlfn.IFNA(VLOOKUP(Aragon!E830,'Kilter Holds'!$P$36:$AB$370,5,0),0)</f>
        <v>0</v>
      </c>
      <c r="J830" s="2">
        <f t="shared" si="40"/>
        <v>0</v>
      </c>
      <c r="K830" s="2">
        <f t="shared" si="38"/>
        <v>0</v>
      </c>
    </row>
    <row r="831" spans="5:11">
      <c r="E831" t="s">
        <v>882</v>
      </c>
      <c r="F831" t="s">
        <v>904</v>
      </c>
      <c r="G831" s="6" t="str">
        <f t="shared" si="39"/>
        <v>14-01</v>
      </c>
      <c r="H831" s="1">
        <f>_xlfn.IFNA(VLOOKUP(Aragon!E831,'Kilter Holds'!$P$36:$AB$370,6,0),0)</f>
        <v>0</v>
      </c>
      <c r="J831" s="2">
        <f t="shared" si="40"/>
        <v>0</v>
      </c>
      <c r="K831" s="2">
        <f t="shared" si="38"/>
        <v>0</v>
      </c>
    </row>
    <row r="832" spans="5:11">
      <c r="E832" t="s">
        <v>882</v>
      </c>
      <c r="F832" t="s">
        <v>904</v>
      </c>
      <c r="G832" s="7" t="str">
        <f t="shared" si="39"/>
        <v>15-12</v>
      </c>
      <c r="H832" s="1">
        <f>_xlfn.IFNA(VLOOKUP(Aragon!E832,'Kilter Holds'!$P$36:$AB$370,7,0),0)</f>
        <v>0</v>
      </c>
      <c r="J832" s="2">
        <f t="shared" si="40"/>
        <v>0</v>
      </c>
      <c r="K832" s="2">
        <f t="shared" si="38"/>
        <v>0</v>
      </c>
    </row>
    <row r="833" spans="5:11">
      <c r="E833" t="s">
        <v>882</v>
      </c>
      <c r="F833" t="s">
        <v>904</v>
      </c>
      <c r="G833" s="8" t="str">
        <f t="shared" si="39"/>
        <v>16-16</v>
      </c>
      <c r="H833" s="1">
        <f>_xlfn.IFNA(VLOOKUP(Aragon!E833,'Kilter Holds'!$P$36:$AB$370,8,0),0)</f>
        <v>0</v>
      </c>
      <c r="J833" s="2">
        <f t="shared" si="40"/>
        <v>0</v>
      </c>
      <c r="K833" s="2">
        <f t="shared" si="38"/>
        <v>0</v>
      </c>
    </row>
    <row r="834" spans="5:11">
      <c r="E834" t="s">
        <v>882</v>
      </c>
      <c r="F834" t="s">
        <v>904</v>
      </c>
      <c r="G834" s="9" t="str">
        <f t="shared" si="39"/>
        <v>13-01</v>
      </c>
      <c r="H834" s="1">
        <f>_xlfn.IFNA(VLOOKUP(Aragon!E834,'Kilter Holds'!$P$36:$AB$370,9,0),0)</f>
        <v>0</v>
      </c>
      <c r="J834" s="2">
        <f t="shared" si="40"/>
        <v>0</v>
      </c>
      <c r="K834" s="2">
        <f t="shared" si="38"/>
        <v>0</v>
      </c>
    </row>
    <row r="835" spans="5:11">
      <c r="E835" t="s">
        <v>882</v>
      </c>
      <c r="F835" t="s">
        <v>904</v>
      </c>
      <c r="G835" s="10" t="str">
        <f t="shared" si="39"/>
        <v>07-13</v>
      </c>
      <c r="H835" s="1">
        <f>_xlfn.IFNA(VLOOKUP(Aragon!E835,'Kilter Holds'!$P$36:$AB$370,10,0),0)</f>
        <v>0</v>
      </c>
      <c r="J835" s="2">
        <f t="shared" si="40"/>
        <v>0</v>
      </c>
      <c r="K835" s="2">
        <f t="shared" si="38"/>
        <v>0</v>
      </c>
    </row>
    <row r="836" spans="5:11">
      <c r="E836" t="s">
        <v>882</v>
      </c>
      <c r="F836" t="s">
        <v>904</v>
      </c>
      <c r="G836" s="11" t="str">
        <f t="shared" si="39"/>
        <v>11-25</v>
      </c>
      <c r="H836" s="1">
        <f>_xlfn.IFNA(VLOOKUP(Aragon!E836,'Kilter Holds'!$P$36:$AB$370,11,0),0)</f>
        <v>0</v>
      </c>
      <c r="J836" s="2">
        <f t="shared" si="40"/>
        <v>0</v>
      </c>
      <c r="K836" s="2">
        <f t="shared" si="38"/>
        <v>0</v>
      </c>
    </row>
    <row r="837" spans="5:11">
      <c r="E837" t="s">
        <v>882</v>
      </c>
      <c r="F837" t="s">
        <v>904</v>
      </c>
      <c r="G837" s="13" t="str">
        <f t="shared" si="39"/>
        <v>18-01</v>
      </c>
      <c r="H837" s="1">
        <f>_xlfn.IFNA(VLOOKUP(Aragon!E837,'Kilter Holds'!$P$36:$AB$370,12,0),0)</f>
        <v>0</v>
      </c>
      <c r="J837" s="2">
        <f t="shared" si="40"/>
        <v>0</v>
      </c>
      <c r="K837" s="2">
        <f t="shared" si="38"/>
        <v>0</v>
      </c>
    </row>
    <row r="838" spans="5:11">
      <c r="E838" t="s">
        <v>882</v>
      </c>
      <c r="F838" t="s">
        <v>904</v>
      </c>
      <c r="G838" s="12" t="str">
        <f t="shared" si="39"/>
        <v>12-01</v>
      </c>
      <c r="H838" s="1">
        <f>_xlfn.IFNA(VLOOKUP(Aragon!E838,'Kilter Holds'!$P$36:$AB$370,13,0),0)</f>
        <v>0</v>
      </c>
      <c r="J838" s="2">
        <f t="shared" si="40"/>
        <v>0</v>
      </c>
      <c r="K838" s="2">
        <f t="shared" si="38"/>
        <v>0</v>
      </c>
    </row>
    <row r="839" spans="5:11">
      <c r="E839" t="s">
        <v>158</v>
      </c>
      <c r="F839" t="s">
        <v>633</v>
      </c>
      <c r="G839" s="5" t="str">
        <f t="shared" si="39"/>
        <v>11-12</v>
      </c>
      <c r="H839" s="1">
        <f>_xlfn.IFNA(VLOOKUP(Aragon!E839,'Kilter Holds'!$P$36:$AB$370,5,0),0)</f>
        <v>0</v>
      </c>
      <c r="J839" s="2">
        <f t="shared" si="40"/>
        <v>0</v>
      </c>
      <c r="K839" s="2">
        <f t="shared" si="38"/>
        <v>0</v>
      </c>
    </row>
    <row r="840" spans="5:11">
      <c r="E840" t="s">
        <v>158</v>
      </c>
      <c r="F840" t="s">
        <v>633</v>
      </c>
      <c r="G840" s="6" t="str">
        <f t="shared" si="39"/>
        <v>14-01</v>
      </c>
      <c r="H840" s="1">
        <f>_xlfn.IFNA(VLOOKUP(Aragon!E840,'Kilter Holds'!$P$36:$AB$370,6,0),0)</f>
        <v>0</v>
      </c>
      <c r="J840" s="2">
        <f t="shared" si="40"/>
        <v>0</v>
      </c>
      <c r="K840" s="2">
        <f t="shared" si="38"/>
        <v>0</v>
      </c>
    </row>
    <row r="841" spans="5:11">
      <c r="E841" t="s">
        <v>158</v>
      </c>
      <c r="F841" t="s">
        <v>633</v>
      </c>
      <c r="G841" s="7" t="str">
        <f t="shared" si="39"/>
        <v>15-12</v>
      </c>
      <c r="H841" s="1">
        <f>_xlfn.IFNA(VLOOKUP(Aragon!E841,'Kilter Holds'!$P$36:$AB$370,7,0),0)</f>
        <v>0</v>
      </c>
      <c r="J841" s="2">
        <f t="shared" si="40"/>
        <v>0</v>
      </c>
      <c r="K841" s="2">
        <f t="shared" si="38"/>
        <v>0</v>
      </c>
    </row>
    <row r="842" spans="5:11">
      <c r="E842" t="s">
        <v>158</v>
      </c>
      <c r="F842" t="s">
        <v>633</v>
      </c>
      <c r="G842" s="8" t="str">
        <f t="shared" si="39"/>
        <v>16-16</v>
      </c>
      <c r="H842" s="1">
        <f>_xlfn.IFNA(VLOOKUP(Aragon!E842,'Kilter Holds'!$P$36:$AB$370,8,0),0)</f>
        <v>0</v>
      </c>
      <c r="J842" s="2">
        <f t="shared" si="40"/>
        <v>0</v>
      </c>
      <c r="K842" s="2">
        <f t="shared" si="38"/>
        <v>0</v>
      </c>
    </row>
    <row r="843" spans="5:11">
      <c r="E843" t="s">
        <v>158</v>
      </c>
      <c r="F843" t="s">
        <v>633</v>
      </c>
      <c r="G843" s="9" t="str">
        <f t="shared" si="39"/>
        <v>13-01</v>
      </c>
      <c r="H843" s="1">
        <f>_xlfn.IFNA(VLOOKUP(Aragon!E843,'Kilter Holds'!$P$36:$AB$370,9,0),0)</f>
        <v>0</v>
      </c>
      <c r="J843" s="2">
        <f t="shared" si="40"/>
        <v>0</v>
      </c>
      <c r="K843" s="2">
        <f t="shared" si="38"/>
        <v>0</v>
      </c>
    </row>
    <row r="844" spans="5:11">
      <c r="E844" t="s">
        <v>158</v>
      </c>
      <c r="F844" t="s">
        <v>633</v>
      </c>
      <c r="G844" s="10" t="str">
        <f t="shared" si="39"/>
        <v>07-13</v>
      </c>
      <c r="H844" s="1">
        <f>_xlfn.IFNA(VLOOKUP(Aragon!E844,'Kilter Holds'!$P$36:$AB$370,10,0),0)</f>
        <v>0</v>
      </c>
      <c r="J844" s="2">
        <f t="shared" si="40"/>
        <v>0</v>
      </c>
      <c r="K844" s="2">
        <f t="shared" ref="K844:K907" si="41">IF($V$11="Y",J844*0.05,0)</f>
        <v>0</v>
      </c>
    </row>
    <row r="845" spans="5:11">
      <c r="E845" t="s">
        <v>158</v>
      </c>
      <c r="F845" t="s">
        <v>633</v>
      </c>
      <c r="G845" s="11" t="str">
        <f t="shared" ref="G845:G908" si="42">G836</f>
        <v>11-25</v>
      </c>
      <c r="H845" s="1">
        <f>_xlfn.IFNA(VLOOKUP(Aragon!E845,'Kilter Holds'!$P$36:$AB$370,11,0),0)</f>
        <v>0</v>
      </c>
      <c r="J845" s="2">
        <f t="shared" si="40"/>
        <v>0</v>
      </c>
      <c r="K845" s="2">
        <f t="shared" si="41"/>
        <v>0</v>
      </c>
    </row>
    <row r="846" spans="5:11">
      <c r="E846" t="s">
        <v>158</v>
      </c>
      <c r="F846" t="s">
        <v>633</v>
      </c>
      <c r="G846" s="13" t="str">
        <f t="shared" si="42"/>
        <v>18-01</v>
      </c>
      <c r="H846" s="1">
        <f>_xlfn.IFNA(VLOOKUP(Aragon!E846,'Kilter Holds'!$P$36:$AB$370,12,0),0)</f>
        <v>0</v>
      </c>
      <c r="J846" s="2">
        <f t="shared" si="40"/>
        <v>0</v>
      </c>
      <c r="K846" s="2">
        <f t="shared" si="41"/>
        <v>0</v>
      </c>
    </row>
    <row r="847" spans="5:11">
      <c r="E847" t="s">
        <v>158</v>
      </c>
      <c r="F847" t="s">
        <v>633</v>
      </c>
      <c r="G847" s="12" t="str">
        <f t="shared" si="42"/>
        <v>12-01</v>
      </c>
      <c r="H847" s="1">
        <f>_xlfn.IFNA(VLOOKUP(Aragon!E847,'Kilter Holds'!$P$36:$AB$370,13,0),0)</f>
        <v>0</v>
      </c>
      <c r="J847" s="2">
        <f t="shared" si="40"/>
        <v>0</v>
      </c>
      <c r="K847" s="2">
        <f t="shared" si="41"/>
        <v>0</v>
      </c>
    </row>
    <row r="848" spans="5:11">
      <c r="E848" t="s">
        <v>159</v>
      </c>
      <c r="F848" t="s">
        <v>634</v>
      </c>
      <c r="G848" s="5" t="str">
        <f t="shared" si="42"/>
        <v>11-12</v>
      </c>
      <c r="H848" s="1">
        <f>_xlfn.IFNA(VLOOKUP(Aragon!E848,'Kilter Holds'!$P$36:$AB$370,5,0),0)</f>
        <v>0</v>
      </c>
      <c r="J848" s="2">
        <f t="shared" si="40"/>
        <v>0</v>
      </c>
      <c r="K848" s="2">
        <f t="shared" si="41"/>
        <v>0</v>
      </c>
    </row>
    <row r="849" spans="5:11">
      <c r="E849" t="s">
        <v>159</v>
      </c>
      <c r="F849" t="s">
        <v>634</v>
      </c>
      <c r="G849" s="6" t="str">
        <f t="shared" si="42"/>
        <v>14-01</v>
      </c>
      <c r="H849" s="1">
        <f>_xlfn.IFNA(VLOOKUP(Aragon!E849,'Kilter Holds'!$P$36:$AB$370,6,0),0)</f>
        <v>0</v>
      </c>
      <c r="J849" s="2">
        <f t="shared" si="40"/>
        <v>0</v>
      </c>
      <c r="K849" s="2">
        <f t="shared" si="41"/>
        <v>0</v>
      </c>
    </row>
    <row r="850" spans="5:11">
      <c r="E850" t="s">
        <v>159</v>
      </c>
      <c r="F850" t="s">
        <v>634</v>
      </c>
      <c r="G850" s="7" t="str">
        <f t="shared" si="42"/>
        <v>15-12</v>
      </c>
      <c r="H850" s="1">
        <f>_xlfn.IFNA(VLOOKUP(Aragon!E850,'Kilter Holds'!$P$36:$AB$370,7,0),0)</f>
        <v>0</v>
      </c>
      <c r="J850" s="2">
        <f t="shared" si="40"/>
        <v>0</v>
      </c>
      <c r="K850" s="2">
        <f t="shared" si="41"/>
        <v>0</v>
      </c>
    </row>
    <row r="851" spans="5:11">
      <c r="E851" t="s">
        <v>159</v>
      </c>
      <c r="F851" t="s">
        <v>634</v>
      </c>
      <c r="G851" s="8" t="str">
        <f t="shared" si="42"/>
        <v>16-16</v>
      </c>
      <c r="H851" s="1">
        <f>_xlfn.IFNA(VLOOKUP(Aragon!E851,'Kilter Holds'!$P$36:$AB$370,8,0),0)</f>
        <v>0</v>
      </c>
      <c r="J851" s="2">
        <f t="shared" si="40"/>
        <v>0</v>
      </c>
      <c r="K851" s="2">
        <f t="shared" si="41"/>
        <v>0</v>
      </c>
    </row>
    <row r="852" spans="5:11">
      <c r="E852" t="s">
        <v>159</v>
      </c>
      <c r="F852" t="s">
        <v>634</v>
      </c>
      <c r="G852" s="9" t="str">
        <f t="shared" si="42"/>
        <v>13-01</v>
      </c>
      <c r="H852" s="1">
        <f>_xlfn.IFNA(VLOOKUP(Aragon!E852,'Kilter Holds'!$P$36:$AB$370,9,0),0)</f>
        <v>0</v>
      </c>
      <c r="J852" s="2">
        <f t="shared" si="40"/>
        <v>0</v>
      </c>
      <c r="K852" s="2">
        <f t="shared" si="41"/>
        <v>0</v>
      </c>
    </row>
    <row r="853" spans="5:11">
      <c r="E853" t="s">
        <v>159</v>
      </c>
      <c r="F853" t="s">
        <v>634</v>
      </c>
      <c r="G853" s="10" t="str">
        <f t="shared" si="42"/>
        <v>07-13</v>
      </c>
      <c r="H853" s="1">
        <f>_xlfn.IFNA(VLOOKUP(Aragon!E853,'Kilter Holds'!$P$36:$AB$370,10,0),0)</f>
        <v>0</v>
      </c>
      <c r="J853" s="2">
        <f t="shared" si="40"/>
        <v>0</v>
      </c>
      <c r="K853" s="2">
        <f t="shared" si="41"/>
        <v>0</v>
      </c>
    </row>
    <row r="854" spans="5:11">
      <c r="E854" t="s">
        <v>159</v>
      </c>
      <c r="F854" t="s">
        <v>634</v>
      </c>
      <c r="G854" s="11" t="str">
        <f t="shared" si="42"/>
        <v>11-25</v>
      </c>
      <c r="H854" s="1">
        <f>_xlfn.IFNA(VLOOKUP(Aragon!E854,'Kilter Holds'!$P$36:$AB$370,11,0),0)</f>
        <v>0</v>
      </c>
      <c r="J854" s="2">
        <f t="shared" si="40"/>
        <v>0</v>
      </c>
      <c r="K854" s="2">
        <f t="shared" si="41"/>
        <v>0</v>
      </c>
    </row>
    <row r="855" spans="5:11">
      <c r="E855" t="s">
        <v>159</v>
      </c>
      <c r="F855" t="s">
        <v>634</v>
      </c>
      <c r="G855" s="13" t="str">
        <f t="shared" si="42"/>
        <v>18-01</v>
      </c>
      <c r="H855" s="1">
        <f>_xlfn.IFNA(VLOOKUP(Aragon!E855,'Kilter Holds'!$P$36:$AB$370,12,0),0)</f>
        <v>0</v>
      </c>
      <c r="J855" s="2">
        <f t="shared" si="40"/>
        <v>0</v>
      </c>
      <c r="K855" s="2">
        <f t="shared" si="41"/>
        <v>0</v>
      </c>
    </row>
    <row r="856" spans="5:11">
      <c r="E856" t="s">
        <v>159</v>
      </c>
      <c r="F856" t="s">
        <v>634</v>
      </c>
      <c r="G856" s="12" t="str">
        <f t="shared" si="42"/>
        <v>12-01</v>
      </c>
      <c r="H856" s="1">
        <f>_xlfn.IFNA(VLOOKUP(Aragon!E856,'Kilter Holds'!$P$36:$AB$370,13,0),0)</f>
        <v>0</v>
      </c>
      <c r="J856" s="2">
        <f t="shared" si="40"/>
        <v>0</v>
      </c>
      <c r="K856" s="2">
        <f t="shared" si="41"/>
        <v>0</v>
      </c>
    </row>
    <row r="857" spans="5:11">
      <c r="E857" t="s">
        <v>160</v>
      </c>
      <c r="F857" t="s">
        <v>635</v>
      </c>
      <c r="G857" s="5" t="str">
        <f t="shared" si="42"/>
        <v>11-12</v>
      </c>
      <c r="H857" s="1">
        <f>_xlfn.IFNA(VLOOKUP(Aragon!E857,'Kilter Holds'!$P$36:$AB$370,5,0),0)</f>
        <v>0</v>
      </c>
      <c r="J857" s="2">
        <f t="shared" si="40"/>
        <v>0</v>
      </c>
      <c r="K857" s="2">
        <f t="shared" si="41"/>
        <v>0</v>
      </c>
    </row>
    <row r="858" spans="5:11">
      <c r="E858" t="s">
        <v>160</v>
      </c>
      <c r="F858" t="s">
        <v>635</v>
      </c>
      <c r="G858" s="6" t="str">
        <f t="shared" si="42"/>
        <v>14-01</v>
      </c>
      <c r="H858" s="1">
        <f>_xlfn.IFNA(VLOOKUP(Aragon!E858,'Kilter Holds'!$P$36:$AB$370,6,0),0)</f>
        <v>0</v>
      </c>
      <c r="J858" s="2">
        <f t="shared" si="40"/>
        <v>0</v>
      </c>
      <c r="K858" s="2">
        <f t="shared" si="41"/>
        <v>0</v>
      </c>
    </row>
    <row r="859" spans="5:11">
      <c r="E859" t="s">
        <v>160</v>
      </c>
      <c r="F859" t="s">
        <v>635</v>
      </c>
      <c r="G859" s="7" t="str">
        <f t="shared" si="42"/>
        <v>15-12</v>
      </c>
      <c r="H859" s="1">
        <f>_xlfn.IFNA(VLOOKUP(Aragon!E859,'Kilter Holds'!$P$36:$AB$370,7,0),0)</f>
        <v>0</v>
      </c>
      <c r="J859" s="2">
        <f t="shared" si="40"/>
        <v>0</v>
      </c>
      <c r="K859" s="2">
        <f t="shared" si="41"/>
        <v>0</v>
      </c>
    </row>
    <row r="860" spans="5:11">
      <c r="E860" t="s">
        <v>160</v>
      </c>
      <c r="F860" t="s">
        <v>635</v>
      </c>
      <c r="G860" s="8" t="str">
        <f t="shared" si="42"/>
        <v>16-16</v>
      </c>
      <c r="H860" s="1">
        <f>_xlfn.IFNA(VLOOKUP(Aragon!E860,'Kilter Holds'!$P$36:$AB$370,8,0),0)</f>
        <v>0</v>
      </c>
      <c r="J860" s="2">
        <f t="shared" si="40"/>
        <v>0</v>
      </c>
      <c r="K860" s="2">
        <f t="shared" si="41"/>
        <v>0</v>
      </c>
    </row>
    <row r="861" spans="5:11">
      <c r="E861" t="s">
        <v>160</v>
      </c>
      <c r="F861" t="s">
        <v>635</v>
      </c>
      <c r="G861" s="9" t="str">
        <f t="shared" si="42"/>
        <v>13-01</v>
      </c>
      <c r="H861" s="1">
        <f>_xlfn.IFNA(VLOOKUP(Aragon!E861,'Kilter Holds'!$P$36:$AB$370,9,0),0)</f>
        <v>0</v>
      </c>
      <c r="J861" s="2">
        <f t="shared" si="40"/>
        <v>0</v>
      </c>
      <c r="K861" s="2">
        <f t="shared" si="41"/>
        <v>0</v>
      </c>
    </row>
    <row r="862" spans="5:11">
      <c r="E862" t="s">
        <v>160</v>
      </c>
      <c r="F862" t="s">
        <v>635</v>
      </c>
      <c r="G862" s="10" t="str">
        <f t="shared" si="42"/>
        <v>07-13</v>
      </c>
      <c r="H862" s="1">
        <f>_xlfn.IFNA(VLOOKUP(Aragon!E862,'Kilter Holds'!$P$36:$AB$370,10,0),0)</f>
        <v>0</v>
      </c>
      <c r="J862" s="2">
        <f t="shared" si="40"/>
        <v>0</v>
      </c>
      <c r="K862" s="2">
        <f t="shared" si="41"/>
        <v>0</v>
      </c>
    </row>
    <row r="863" spans="5:11">
      <c r="E863" t="s">
        <v>160</v>
      </c>
      <c r="F863" t="s">
        <v>635</v>
      </c>
      <c r="G863" s="11" t="str">
        <f t="shared" si="42"/>
        <v>11-25</v>
      </c>
      <c r="H863" s="1">
        <f>_xlfn.IFNA(VLOOKUP(Aragon!E863,'Kilter Holds'!$P$36:$AB$370,11,0),0)</f>
        <v>0</v>
      </c>
      <c r="J863" s="2">
        <f t="shared" si="40"/>
        <v>0</v>
      </c>
      <c r="K863" s="2">
        <f t="shared" si="41"/>
        <v>0</v>
      </c>
    </row>
    <row r="864" spans="5:11">
      <c r="E864" t="s">
        <v>160</v>
      </c>
      <c r="F864" t="s">
        <v>635</v>
      </c>
      <c r="G864" s="13" t="str">
        <f t="shared" si="42"/>
        <v>18-01</v>
      </c>
      <c r="H864" s="1">
        <f>_xlfn.IFNA(VLOOKUP(Aragon!E864,'Kilter Holds'!$P$36:$AB$370,12,0),0)</f>
        <v>0</v>
      </c>
      <c r="J864" s="2">
        <f t="shared" si="40"/>
        <v>0</v>
      </c>
      <c r="K864" s="2">
        <f t="shared" si="41"/>
        <v>0</v>
      </c>
    </row>
    <row r="865" spans="5:11">
      <c r="E865" t="s">
        <v>160</v>
      </c>
      <c r="F865" t="s">
        <v>635</v>
      </c>
      <c r="G865" s="12" t="str">
        <f t="shared" si="42"/>
        <v>12-01</v>
      </c>
      <c r="H865" s="1">
        <f>_xlfn.IFNA(VLOOKUP(Aragon!E865,'Kilter Holds'!$P$36:$AB$370,13,0),0)</f>
        <v>0</v>
      </c>
      <c r="J865" s="2">
        <f t="shared" si="40"/>
        <v>0</v>
      </c>
      <c r="K865" s="2">
        <f t="shared" si="41"/>
        <v>0</v>
      </c>
    </row>
    <row r="866" spans="5:11">
      <c r="E866" t="s">
        <v>164</v>
      </c>
      <c r="F866" t="s">
        <v>636</v>
      </c>
      <c r="G866" s="5" t="str">
        <f t="shared" si="42"/>
        <v>11-12</v>
      </c>
      <c r="H866" s="1">
        <f>_xlfn.IFNA(VLOOKUP(Aragon!E866,'Kilter Holds'!$P$36:$AB$370,5,0),0)</f>
        <v>0</v>
      </c>
      <c r="J866" s="2">
        <f t="shared" si="40"/>
        <v>0</v>
      </c>
      <c r="K866" s="2">
        <f t="shared" si="41"/>
        <v>0</v>
      </c>
    </row>
    <row r="867" spans="5:11">
      <c r="E867" t="s">
        <v>164</v>
      </c>
      <c r="F867" t="s">
        <v>636</v>
      </c>
      <c r="G867" s="6" t="str">
        <f t="shared" si="42"/>
        <v>14-01</v>
      </c>
      <c r="H867" s="1">
        <f>_xlfn.IFNA(VLOOKUP(Aragon!E867,'Kilter Holds'!$P$36:$AB$370,6,0),0)</f>
        <v>0</v>
      </c>
      <c r="J867" s="2">
        <f t="shared" si="40"/>
        <v>0</v>
      </c>
      <c r="K867" s="2">
        <f t="shared" si="41"/>
        <v>0</v>
      </c>
    </row>
    <row r="868" spans="5:11">
      <c r="E868" t="s">
        <v>164</v>
      </c>
      <c r="F868" t="s">
        <v>636</v>
      </c>
      <c r="G868" s="7" t="str">
        <f t="shared" si="42"/>
        <v>15-12</v>
      </c>
      <c r="H868" s="1">
        <f>_xlfn.IFNA(VLOOKUP(Aragon!E868,'Kilter Holds'!$P$36:$AB$370,7,0),0)</f>
        <v>0</v>
      </c>
      <c r="J868" s="2">
        <f t="shared" si="40"/>
        <v>0</v>
      </c>
      <c r="K868" s="2">
        <f t="shared" si="41"/>
        <v>0</v>
      </c>
    </row>
    <row r="869" spans="5:11">
      <c r="E869" t="s">
        <v>164</v>
      </c>
      <c r="F869" t="s">
        <v>636</v>
      </c>
      <c r="G869" s="8" t="str">
        <f t="shared" si="42"/>
        <v>16-16</v>
      </c>
      <c r="H869" s="1">
        <f>_xlfn.IFNA(VLOOKUP(Aragon!E869,'Kilter Holds'!$P$36:$AB$370,8,0),0)</f>
        <v>0</v>
      </c>
      <c r="J869" s="2">
        <f t="shared" si="40"/>
        <v>0</v>
      </c>
      <c r="K869" s="2">
        <f t="shared" si="41"/>
        <v>0</v>
      </c>
    </row>
    <row r="870" spans="5:11">
      <c r="E870" t="s">
        <v>164</v>
      </c>
      <c r="F870" t="s">
        <v>636</v>
      </c>
      <c r="G870" s="9" t="str">
        <f t="shared" si="42"/>
        <v>13-01</v>
      </c>
      <c r="H870" s="1">
        <f>_xlfn.IFNA(VLOOKUP(Aragon!E870,'Kilter Holds'!$P$36:$AB$370,9,0),0)</f>
        <v>0</v>
      </c>
      <c r="J870" s="2">
        <f t="shared" si="40"/>
        <v>0</v>
      </c>
      <c r="K870" s="2">
        <f t="shared" si="41"/>
        <v>0</v>
      </c>
    </row>
    <row r="871" spans="5:11">
      <c r="E871" t="s">
        <v>164</v>
      </c>
      <c r="F871" t="s">
        <v>636</v>
      </c>
      <c r="G871" s="10" t="str">
        <f t="shared" si="42"/>
        <v>07-13</v>
      </c>
      <c r="H871" s="1">
        <f>_xlfn.IFNA(VLOOKUP(Aragon!E871,'Kilter Holds'!$P$36:$AB$370,10,0),0)</f>
        <v>0</v>
      </c>
      <c r="J871" s="2">
        <f t="shared" si="40"/>
        <v>0</v>
      </c>
      <c r="K871" s="2">
        <f t="shared" si="41"/>
        <v>0</v>
      </c>
    </row>
    <row r="872" spans="5:11">
      <c r="E872" t="s">
        <v>164</v>
      </c>
      <c r="F872" t="s">
        <v>636</v>
      </c>
      <c r="G872" s="11" t="str">
        <f t="shared" si="42"/>
        <v>11-25</v>
      </c>
      <c r="H872" s="1">
        <f>_xlfn.IFNA(VLOOKUP(Aragon!E872,'Kilter Holds'!$P$36:$AB$370,11,0),0)</f>
        <v>0</v>
      </c>
      <c r="J872" s="2">
        <f t="shared" si="40"/>
        <v>0</v>
      </c>
      <c r="K872" s="2">
        <f t="shared" si="41"/>
        <v>0</v>
      </c>
    </row>
    <row r="873" spans="5:11">
      <c r="E873" t="s">
        <v>164</v>
      </c>
      <c r="F873" t="s">
        <v>636</v>
      </c>
      <c r="G873" s="13" t="str">
        <f t="shared" si="42"/>
        <v>18-01</v>
      </c>
      <c r="H873" s="1">
        <f>_xlfn.IFNA(VLOOKUP(Aragon!E873,'Kilter Holds'!$P$36:$AB$370,12,0),0)</f>
        <v>0</v>
      </c>
      <c r="J873" s="2">
        <f t="shared" si="40"/>
        <v>0</v>
      </c>
      <c r="K873" s="2">
        <f t="shared" si="41"/>
        <v>0</v>
      </c>
    </row>
    <row r="874" spans="5:11">
      <c r="E874" t="s">
        <v>164</v>
      </c>
      <c r="F874" t="s">
        <v>636</v>
      </c>
      <c r="G874" s="12" t="str">
        <f t="shared" si="42"/>
        <v>12-01</v>
      </c>
      <c r="H874" s="1">
        <f>_xlfn.IFNA(VLOOKUP(Aragon!E874,'Kilter Holds'!$P$36:$AB$370,13,0),0)</f>
        <v>0</v>
      </c>
      <c r="J874" s="2">
        <f t="shared" si="40"/>
        <v>0</v>
      </c>
      <c r="K874" s="2">
        <f t="shared" si="41"/>
        <v>0</v>
      </c>
    </row>
    <row r="875" spans="5:11">
      <c r="E875" t="s">
        <v>165</v>
      </c>
      <c r="F875" t="s">
        <v>637</v>
      </c>
      <c r="G875" s="5" t="str">
        <f t="shared" si="42"/>
        <v>11-12</v>
      </c>
      <c r="H875" s="1">
        <f>_xlfn.IFNA(VLOOKUP(Aragon!E875,'Kilter Holds'!$P$36:$AB$370,5,0),0)</f>
        <v>0</v>
      </c>
      <c r="J875" s="2">
        <f t="shared" si="40"/>
        <v>0</v>
      </c>
      <c r="K875" s="2">
        <f t="shared" si="41"/>
        <v>0</v>
      </c>
    </row>
    <row r="876" spans="5:11">
      <c r="E876" t="s">
        <v>165</v>
      </c>
      <c r="F876" t="s">
        <v>637</v>
      </c>
      <c r="G876" s="6" t="str">
        <f t="shared" si="42"/>
        <v>14-01</v>
      </c>
      <c r="H876" s="1">
        <f>_xlfn.IFNA(VLOOKUP(Aragon!E876,'Kilter Holds'!$P$36:$AB$370,6,0),0)</f>
        <v>0</v>
      </c>
      <c r="J876" s="2">
        <f t="shared" si="40"/>
        <v>0</v>
      </c>
      <c r="K876" s="2">
        <f t="shared" si="41"/>
        <v>0</v>
      </c>
    </row>
    <row r="877" spans="5:11">
      <c r="E877" t="s">
        <v>165</v>
      </c>
      <c r="F877" t="s">
        <v>637</v>
      </c>
      <c r="G877" s="7" t="str">
        <f t="shared" si="42"/>
        <v>15-12</v>
      </c>
      <c r="H877" s="1">
        <f>_xlfn.IFNA(VLOOKUP(Aragon!E877,'Kilter Holds'!$P$36:$AB$370,7,0),0)</f>
        <v>0</v>
      </c>
      <c r="J877" s="2">
        <f t="shared" si="40"/>
        <v>0</v>
      </c>
      <c r="K877" s="2">
        <f t="shared" si="41"/>
        <v>0</v>
      </c>
    </row>
    <row r="878" spans="5:11">
      <c r="E878" t="s">
        <v>165</v>
      </c>
      <c r="F878" t="s">
        <v>637</v>
      </c>
      <c r="G878" s="8" t="str">
        <f t="shared" si="42"/>
        <v>16-16</v>
      </c>
      <c r="H878" s="1">
        <f>_xlfn.IFNA(VLOOKUP(Aragon!E878,'Kilter Holds'!$P$36:$AB$370,8,0),0)</f>
        <v>0</v>
      </c>
      <c r="J878" s="2">
        <f t="shared" si="40"/>
        <v>0</v>
      </c>
      <c r="K878" s="2">
        <f t="shared" si="41"/>
        <v>0</v>
      </c>
    </row>
    <row r="879" spans="5:11">
      <c r="E879" t="s">
        <v>165</v>
      </c>
      <c r="F879" t="s">
        <v>637</v>
      </c>
      <c r="G879" s="9" t="str">
        <f t="shared" si="42"/>
        <v>13-01</v>
      </c>
      <c r="H879" s="1">
        <f>_xlfn.IFNA(VLOOKUP(Aragon!E879,'Kilter Holds'!$P$36:$AB$370,9,0),0)</f>
        <v>0</v>
      </c>
      <c r="J879" s="2">
        <f t="shared" si="40"/>
        <v>0</v>
      </c>
      <c r="K879" s="2">
        <f t="shared" si="41"/>
        <v>0</v>
      </c>
    </row>
    <row r="880" spans="5:11">
      <c r="E880" t="s">
        <v>165</v>
      </c>
      <c r="F880" t="s">
        <v>637</v>
      </c>
      <c r="G880" s="10" t="str">
        <f t="shared" si="42"/>
        <v>07-13</v>
      </c>
      <c r="H880" s="1">
        <f>_xlfn.IFNA(VLOOKUP(Aragon!E880,'Kilter Holds'!$P$36:$AB$370,10,0),0)</f>
        <v>0</v>
      </c>
      <c r="J880" s="2">
        <f t="shared" si="40"/>
        <v>0</v>
      </c>
      <c r="K880" s="2">
        <f t="shared" si="41"/>
        <v>0</v>
      </c>
    </row>
    <row r="881" spans="5:11">
      <c r="E881" t="s">
        <v>165</v>
      </c>
      <c r="F881" t="s">
        <v>637</v>
      </c>
      <c r="G881" s="11" t="str">
        <f t="shared" si="42"/>
        <v>11-25</v>
      </c>
      <c r="H881" s="1">
        <f>_xlfn.IFNA(VLOOKUP(Aragon!E881,'Kilter Holds'!$P$36:$AB$370,11,0),0)</f>
        <v>0</v>
      </c>
      <c r="J881" s="2">
        <f t="shared" si="40"/>
        <v>0</v>
      </c>
      <c r="K881" s="2">
        <f t="shared" si="41"/>
        <v>0</v>
      </c>
    </row>
    <row r="882" spans="5:11">
      <c r="E882" t="s">
        <v>165</v>
      </c>
      <c r="F882" t="s">
        <v>637</v>
      </c>
      <c r="G882" s="13" t="str">
        <f t="shared" si="42"/>
        <v>18-01</v>
      </c>
      <c r="H882" s="1">
        <f>_xlfn.IFNA(VLOOKUP(Aragon!E882,'Kilter Holds'!$P$36:$AB$370,12,0),0)</f>
        <v>0</v>
      </c>
      <c r="J882" s="2">
        <f t="shared" si="40"/>
        <v>0</v>
      </c>
      <c r="K882" s="2">
        <f t="shared" si="41"/>
        <v>0</v>
      </c>
    </row>
    <row r="883" spans="5:11">
      <c r="E883" t="s">
        <v>165</v>
      </c>
      <c r="F883" t="s">
        <v>637</v>
      </c>
      <c r="G883" s="12" t="str">
        <f t="shared" si="42"/>
        <v>12-01</v>
      </c>
      <c r="H883" s="1">
        <f>_xlfn.IFNA(VLOOKUP(Aragon!E883,'Kilter Holds'!$P$36:$AB$370,13,0),0)</f>
        <v>0</v>
      </c>
      <c r="J883" s="2">
        <f t="shared" si="40"/>
        <v>0</v>
      </c>
      <c r="K883" s="2">
        <f t="shared" si="41"/>
        <v>0</v>
      </c>
    </row>
    <row r="884" spans="5:11">
      <c r="E884" t="s">
        <v>275</v>
      </c>
      <c r="F884" t="s">
        <v>638</v>
      </c>
      <c r="G884" s="5" t="str">
        <f t="shared" si="42"/>
        <v>11-12</v>
      </c>
      <c r="H884" s="1">
        <f>_xlfn.IFNA(VLOOKUP(Aragon!E884,'Kilter Holds'!$P$36:$AB$370,5,0),0)</f>
        <v>0</v>
      </c>
      <c r="J884" s="2">
        <f t="shared" si="40"/>
        <v>0</v>
      </c>
      <c r="K884" s="2">
        <f t="shared" si="41"/>
        <v>0</v>
      </c>
    </row>
    <row r="885" spans="5:11">
      <c r="E885" t="s">
        <v>275</v>
      </c>
      <c r="F885" t="s">
        <v>638</v>
      </c>
      <c r="G885" s="6" t="str">
        <f t="shared" si="42"/>
        <v>14-01</v>
      </c>
      <c r="H885" s="1">
        <f>_xlfn.IFNA(VLOOKUP(Aragon!E885,'Kilter Holds'!$P$36:$AB$370,6,0),0)</f>
        <v>0</v>
      </c>
      <c r="J885" s="2">
        <f t="shared" si="40"/>
        <v>0</v>
      </c>
      <c r="K885" s="2">
        <f t="shared" si="41"/>
        <v>0</v>
      </c>
    </row>
    <row r="886" spans="5:11">
      <c r="E886" t="s">
        <v>275</v>
      </c>
      <c r="F886" t="s">
        <v>638</v>
      </c>
      <c r="G886" s="7" t="str">
        <f t="shared" si="42"/>
        <v>15-12</v>
      </c>
      <c r="H886" s="1">
        <f>_xlfn.IFNA(VLOOKUP(Aragon!E886,'Kilter Holds'!$P$36:$AB$370,7,0),0)</f>
        <v>0</v>
      </c>
      <c r="J886" s="2">
        <f t="shared" si="40"/>
        <v>0</v>
      </c>
      <c r="K886" s="2">
        <f t="shared" si="41"/>
        <v>0</v>
      </c>
    </row>
    <row r="887" spans="5:11">
      <c r="E887" t="s">
        <v>275</v>
      </c>
      <c r="F887" t="s">
        <v>638</v>
      </c>
      <c r="G887" s="8" t="str">
        <f t="shared" si="42"/>
        <v>16-16</v>
      </c>
      <c r="H887" s="1">
        <f>_xlfn.IFNA(VLOOKUP(Aragon!E887,'Kilter Holds'!$P$36:$AB$370,8,0),0)</f>
        <v>0</v>
      </c>
      <c r="J887" s="2">
        <f t="shared" si="40"/>
        <v>0</v>
      </c>
      <c r="K887" s="2">
        <f t="shared" si="41"/>
        <v>0</v>
      </c>
    </row>
    <row r="888" spans="5:11">
      <c r="E888" t="s">
        <v>275</v>
      </c>
      <c r="F888" t="s">
        <v>638</v>
      </c>
      <c r="G888" s="9" t="str">
        <f t="shared" si="42"/>
        <v>13-01</v>
      </c>
      <c r="H888" s="1">
        <f>_xlfn.IFNA(VLOOKUP(Aragon!E888,'Kilter Holds'!$P$36:$AB$370,9,0),0)</f>
        <v>0</v>
      </c>
      <c r="J888" s="2">
        <f t="shared" si="40"/>
        <v>0</v>
      </c>
      <c r="K888" s="2">
        <f t="shared" si="41"/>
        <v>0</v>
      </c>
    </row>
    <row r="889" spans="5:11">
      <c r="E889" t="s">
        <v>275</v>
      </c>
      <c r="F889" t="s">
        <v>638</v>
      </c>
      <c r="G889" s="10" t="str">
        <f t="shared" si="42"/>
        <v>07-13</v>
      </c>
      <c r="H889" s="1">
        <f>_xlfn.IFNA(VLOOKUP(Aragon!E889,'Kilter Holds'!$P$36:$AB$370,10,0),0)</f>
        <v>0</v>
      </c>
      <c r="J889" s="2">
        <f t="shared" si="40"/>
        <v>0</v>
      </c>
      <c r="K889" s="2">
        <f t="shared" si="41"/>
        <v>0</v>
      </c>
    </row>
    <row r="890" spans="5:11">
      <c r="E890" t="s">
        <v>275</v>
      </c>
      <c r="F890" t="s">
        <v>638</v>
      </c>
      <c r="G890" s="11" t="str">
        <f t="shared" si="42"/>
        <v>11-25</v>
      </c>
      <c r="H890" s="1">
        <f>_xlfn.IFNA(VLOOKUP(Aragon!E890,'Kilter Holds'!$P$36:$AB$370,11,0),0)</f>
        <v>0</v>
      </c>
      <c r="J890" s="2">
        <f t="shared" ref="J890:J946" si="43">H890*I890</f>
        <v>0</v>
      </c>
      <c r="K890" s="2">
        <f t="shared" si="41"/>
        <v>0</v>
      </c>
    </row>
    <row r="891" spans="5:11">
      <c r="E891" t="s">
        <v>275</v>
      </c>
      <c r="F891" t="s">
        <v>638</v>
      </c>
      <c r="G891" s="13" t="str">
        <f t="shared" si="42"/>
        <v>18-01</v>
      </c>
      <c r="H891" s="1">
        <f>_xlfn.IFNA(VLOOKUP(Aragon!E891,'Kilter Holds'!$P$36:$AB$370,12,0),0)</f>
        <v>0</v>
      </c>
      <c r="J891" s="2">
        <f t="shared" si="43"/>
        <v>0</v>
      </c>
      <c r="K891" s="2">
        <f t="shared" si="41"/>
        <v>0</v>
      </c>
    </row>
    <row r="892" spans="5:11">
      <c r="E892" t="s">
        <v>275</v>
      </c>
      <c r="F892" t="s">
        <v>638</v>
      </c>
      <c r="G892" s="12" t="str">
        <f t="shared" si="42"/>
        <v>12-01</v>
      </c>
      <c r="H892" s="1">
        <f>_xlfn.IFNA(VLOOKUP(Aragon!E892,'Kilter Holds'!$P$36:$AB$370,13,0),0)</f>
        <v>0</v>
      </c>
      <c r="J892" s="2">
        <f t="shared" si="43"/>
        <v>0</v>
      </c>
      <c r="K892" s="2">
        <f t="shared" si="41"/>
        <v>0</v>
      </c>
    </row>
    <row r="893" spans="5:11">
      <c r="E893" t="s">
        <v>297</v>
      </c>
      <c r="F893" t="s">
        <v>639</v>
      </c>
      <c r="G893" s="5" t="str">
        <f t="shared" si="42"/>
        <v>11-12</v>
      </c>
      <c r="H893" s="1">
        <f>_xlfn.IFNA(VLOOKUP(Aragon!E893,'Kilter Holds'!$P$36:$AB$370,5,0),0)</f>
        <v>0</v>
      </c>
      <c r="J893" s="2">
        <f t="shared" si="43"/>
        <v>0</v>
      </c>
      <c r="K893" s="2">
        <f t="shared" si="41"/>
        <v>0</v>
      </c>
    </row>
    <row r="894" spans="5:11">
      <c r="E894" t="s">
        <v>297</v>
      </c>
      <c r="F894" t="s">
        <v>639</v>
      </c>
      <c r="G894" s="6" t="str">
        <f t="shared" si="42"/>
        <v>14-01</v>
      </c>
      <c r="H894" s="1">
        <f>_xlfn.IFNA(VLOOKUP(Aragon!E894,'Kilter Holds'!$P$36:$AB$370,6,0),0)</f>
        <v>0</v>
      </c>
      <c r="J894" s="2">
        <f t="shared" si="43"/>
        <v>0</v>
      </c>
      <c r="K894" s="2">
        <f t="shared" si="41"/>
        <v>0</v>
      </c>
    </row>
    <row r="895" spans="5:11">
      <c r="E895" t="s">
        <v>297</v>
      </c>
      <c r="F895" t="s">
        <v>639</v>
      </c>
      <c r="G895" s="7" t="str">
        <f t="shared" si="42"/>
        <v>15-12</v>
      </c>
      <c r="H895" s="1">
        <f>_xlfn.IFNA(VLOOKUP(Aragon!E895,'Kilter Holds'!$P$36:$AB$370,7,0),0)</f>
        <v>0</v>
      </c>
      <c r="J895" s="2">
        <f t="shared" si="43"/>
        <v>0</v>
      </c>
      <c r="K895" s="2">
        <f t="shared" si="41"/>
        <v>0</v>
      </c>
    </row>
    <row r="896" spans="5:11">
      <c r="E896" t="s">
        <v>297</v>
      </c>
      <c r="F896" t="s">
        <v>639</v>
      </c>
      <c r="G896" s="8" t="str">
        <f t="shared" si="42"/>
        <v>16-16</v>
      </c>
      <c r="H896" s="1">
        <f>_xlfn.IFNA(VLOOKUP(Aragon!E896,'Kilter Holds'!$P$36:$AB$370,8,0),0)</f>
        <v>0</v>
      </c>
      <c r="J896" s="2">
        <f t="shared" si="43"/>
        <v>0</v>
      </c>
      <c r="K896" s="2">
        <f t="shared" si="41"/>
        <v>0</v>
      </c>
    </row>
    <row r="897" spans="1:11">
      <c r="E897" t="s">
        <v>297</v>
      </c>
      <c r="F897" t="s">
        <v>639</v>
      </c>
      <c r="G897" s="9" t="str">
        <f t="shared" si="42"/>
        <v>13-01</v>
      </c>
      <c r="H897" s="1">
        <f>_xlfn.IFNA(VLOOKUP(Aragon!E897,'Kilter Holds'!$P$36:$AB$370,9,0),0)</f>
        <v>0</v>
      </c>
      <c r="J897" s="2">
        <f t="shared" si="43"/>
        <v>0</v>
      </c>
      <c r="K897" s="2">
        <f t="shared" si="41"/>
        <v>0</v>
      </c>
    </row>
    <row r="898" spans="1:11">
      <c r="E898" t="s">
        <v>297</v>
      </c>
      <c r="F898" t="s">
        <v>639</v>
      </c>
      <c r="G898" s="10" t="str">
        <f t="shared" si="42"/>
        <v>07-13</v>
      </c>
      <c r="H898" s="1">
        <f>_xlfn.IFNA(VLOOKUP(Aragon!E898,'Kilter Holds'!$P$36:$AB$370,10,0),0)</f>
        <v>0</v>
      </c>
      <c r="J898" s="2">
        <f t="shared" si="43"/>
        <v>0</v>
      </c>
      <c r="K898" s="2">
        <f t="shared" si="41"/>
        <v>0</v>
      </c>
    </row>
    <row r="899" spans="1:11">
      <c r="E899" t="s">
        <v>297</v>
      </c>
      <c r="F899" t="s">
        <v>639</v>
      </c>
      <c r="G899" s="11" t="str">
        <f t="shared" si="42"/>
        <v>11-25</v>
      </c>
      <c r="H899" s="1">
        <f>_xlfn.IFNA(VLOOKUP(Aragon!E899,'Kilter Holds'!$P$36:$AB$370,11,0),0)</f>
        <v>0</v>
      </c>
      <c r="J899" s="2">
        <f t="shared" si="43"/>
        <v>0</v>
      </c>
      <c r="K899" s="2">
        <f t="shared" si="41"/>
        <v>0</v>
      </c>
    </row>
    <row r="900" spans="1:11">
      <c r="E900" t="s">
        <v>297</v>
      </c>
      <c r="F900" t="s">
        <v>639</v>
      </c>
      <c r="G900" s="13" t="str">
        <f t="shared" si="42"/>
        <v>18-01</v>
      </c>
      <c r="H900" s="1">
        <f>_xlfn.IFNA(VLOOKUP(Aragon!E900,'Kilter Holds'!$P$36:$AB$370,12,0),0)</f>
        <v>0</v>
      </c>
      <c r="J900" s="2">
        <f t="shared" si="43"/>
        <v>0</v>
      </c>
      <c r="K900" s="2">
        <f t="shared" si="41"/>
        <v>0</v>
      </c>
    </row>
    <row r="901" spans="1:11">
      <c r="E901" t="s">
        <v>297</v>
      </c>
      <c r="F901" t="s">
        <v>639</v>
      </c>
      <c r="G901" s="12" t="str">
        <f t="shared" si="42"/>
        <v>12-01</v>
      </c>
      <c r="H901" s="1">
        <f>_xlfn.IFNA(VLOOKUP(Aragon!E901,'Kilter Holds'!$P$36:$AB$370,13,0),0)</f>
        <v>0</v>
      </c>
      <c r="J901" s="2">
        <f t="shared" si="43"/>
        <v>0</v>
      </c>
      <c r="K901" s="2">
        <f t="shared" si="41"/>
        <v>0</v>
      </c>
    </row>
    <row r="902" spans="1:11">
      <c r="A902" s="3" t="s">
        <v>2171</v>
      </c>
      <c r="E902" t="s">
        <v>316</v>
      </c>
      <c r="F902" t="s">
        <v>640</v>
      </c>
      <c r="G902" s="5" t="str">
        <f t="shared" si="42"/>
        <v>11-12</v>
      </c>
      <c r="H902" s="1">
        <f>_xlfn.IFNA(VLOOKUP(E902,'Kilter Holds'!$P$36:$AB$370,5,0),0)+_xlfn.IFNA(VLOOKUP(A902,'Kilter Holds'!$P$36:$AB$370,5,0),0)</f>
        <v>0</v>
      </c>
      <c r="J902" s="2">
        <f t="shared" si="43"/>
        <v>0</v>
      </c>
      <c r="K902" s="2">
        <f t="shared" si="41"/>
        <v>0</v>
      </c>
    </row>
    <row r="903" spans="1:11">
      <c r="A903" s="3" t="s">
        <v>2171</v>
      </c>
      <c r="E903" t="s">
        <v>316</v>
      </c>
      <c r="F903" t="s">
        <v>640</v>
      </c>
      <c r="G903" s="6" t="str">
        <f t="shared" si="42"/>
        <v>14-01</v>
      </c>
      <c r="H903" s="1">
        <f>_xlfn.IFNA(VLOOKUP(E903,'Kilter Holds'!$P$36:$AB$370,6,0),0)+_xlfn.IFNA(VLOOKUP(A903,'Kilter Holds'!$P$36:$AB$370,6,0),0)</f>
        <v>0</v>
      </c>
      <c r="J903" s="2">
        <f t="shared" si="43"/>
        <v>0</v>
      </c>
      <c r="K903" s="2">
        <f t="shared" si="41"/>
        <v>0</v>
      </c>
    </row>
    <row r="904" spans="1:11">
      <c r="A904" s="3" t="s">
        <v>2171</v>
      </c>
      <c r="E904" t="s">
        <v>316</v>
      </c>
      <c r="F904" t="s">
        <v>640</v>
      </c>
      <c r="G904" s="7" t="str">
        <f t="shared" si="42"/>
        <v>15-12</v>
      </c>
      <c r="H904" s="1">
        <f>_xlfn.IFNA(VLOOKUP(E904,'Kilter Holds'!$P$36:$AB$370,7,0),0)+_xlfn.IFNA(VLOOKUP(A904,'Kilter Holds'!$P$36:$AB$370,7,0),0)</f>
        <v>0</v>
      </c>
      <c r="J904" s="2">
        <f t="shared" si="43"/>
        <v>0</v>
      </c>
      <c r="K904" s="2">
        <f t="shared" si="41"/>
        <v>0</v>
      </c>
    </row>
    <row r="905" spans="1:11">
      <c r="A905" s="3" t="s">
        <v>2171</v>
      </c>
      <c r="E905" t="s">
        <v>316</v>
      </c>
      <c r="F905" t="s">
        <v>640</v>
      </c>
      <c r="G905" s="8" t="str">
        <f t="shared" si="42"/>
        <v>16-16</v>
      </c>
      <c r="H905" s="1">
        <f>_xlfn.IFNA(VLOOKUP(E905,'Kilter Holds'!$P$36:$AB$370,8,0),0)+_xlfn.IFNA(VLOOKUP(A905,'Kilter Holds'!$P$36:$AB$370,8,0),0)</f>
        <v>0</v>
      </c>
      <c r="J905" s="2">
        <f t="shared" si="43"/>
        <v>0</v>
      </c>
      <c r="K905" s="2">
        <f t="shared" si="41"/>
        <v>0</v>
      </c>
    </row>
    <row r="906" spans="1:11">
      <c r="A906" s="3" t="s">
        <v>2171</v>
      </c>
      <c r="E906" t="s">
        <v>316</v>
      </c>
      <c r="F906" t="s">
        <v>640</v>
      </c>
      <c r="G906" s="9" t="str">
        <f t="shared" si="42"/>
        <v>13-01</v>
      </c>
      <c r="H906" s="1">
        <f>_xlfn.IFNA(VLOOKUP(E906,'Kilter Holds'!$P$36:$AB$370,9,0),0)+_xlfn.IFNA(VLOOKUP(A906,'Kilter Holds'!$P$36:$AB$370,9,0),0)</f>
        <v>0</v>
      </c>
      <c r="J906" s="2">
        <f t="shared" si="43"/>
        <v>0</v>
      </c>
      <c r="K906" s="2">
        <f t="shared" si="41"/>
        <v>0</v>
      </c>
    </row>
    <row r="907" spans="1:11">
      <c r="A907" s="3" t="s">
        <v>2171</v>
      </c>
      <c r="E907" t="s">
        <v>316</v>
      </c>
      <c r="F907" t="s">
        <v>640</v>
      </c>
      <c r="G907" s="10" t="str">
        <f t="shared" si="42"/>
        <v>07-13</v>
      </c>
      <c r="H907" s="1">
        <f>_xlfn.IFNA(VLOOKUP(E907,'Kilter Holds'!$P$36:$AB$370,10,0),0)+_xlfn.IFNA(VLOOKUP(A907,'Kilter Holds'!$P$36:$AB$370,10,0),0)</f>
        <v>0</v>
      </c>
      <c r="J907" s="2">
        <f t="shared" si="43"/>
        <v>0</v>
      </c>
      <c r="K907" s="2">
        <f t="shared" si="41"/>
        <v>0</v>
      </c>
    </row>
    <row r="908" spans="1:11">
      <c r="A908" s="3" t="s">
        <v>2171</v>
      </c>
      <c r="E908" t="s">
        <v>316</v>
      </c>
      <c r="F908" t="s">
        <v>640</v>
      </c>
      <c r="G908" s="11" t="str">
        <f t="shared" si="42"/>
        <v>11-25</v>
      </c>
      <c r="H908" s="1">
        <f>_xlfn.IFNA(VLOOKUP(E908,'Kilter Holds'!$P$36:$AB$370,11,0),0)+_xlfn.IFNA(VLOOKUP(A908,'Kilter Holds'!$P$36:$AB$370,11,0),0)</f>
        <v>0</v>
      </c>
      <c r="J908" s="2">
        <f t="shared" si="43"/>
        <v>0</v>
      </c>
      <c r="K908" s="2">
        <f t="shared" ref="K908:K971" si="44">IF($V$11="Y",J908*0.05,0)</f>
        <v>0</v>
      </c>
    </row>
    <row r="909" spans="1:11">
      <c r="A909" s="3" t="s">
        <v>2171</v>
      </c>
      <c r="E909" t="s">
        <v>316</v>
      </c>
      <c r="F909" t="s">
        <v>640</v>
      </c>
      <c r="G909" s="13" t="str">
        <f t="shared" ref="G909:G972" si="45">G900</f>
        <v>18-01</v>
      </c>
      <c r="H909" s="1">
        <f>_xlfn.IFNA(VLOOKUP(E909,'Kilter Holds'!$P$36:$AB$370,12,0),0)+_xlfn.IFNA(VLOOKUP(A909,'Kilter Holds'!$P$36:$AB$370,12,0),0)</f>
        <v>0</v>
      </c>
      <c r="J909" s="2">
        <f t="shared" si="43"/>
        <v>0</v>
      </c>
      <c r="K909" s="2">
        <f t="shared" si="44"/>
        <v>0</v>
      </c>
    </row>
    <row r="910" spans="1:11">
      <c r="A910" s="3" t="s">
        <v>2171</v>
      </c>
      <c r="E910" t="s">
        <v>316</v>
      </c>
      <c r="F910" t="s">
        <v>640</v>
      </c>
      <c r="G910" s="12" t="str">
        <f t="shared" si="45"/>
        <v>12-01</v>
      </c>
      <c r="H910" s="1">
        <f>_xlfn.IFNA(VLOOKUP(E910,'Kilter Holds'!$P$36:$AB$370,13,0),0)+_xlfn.IFNA(VLOOKUP(A910,'Kilter Holds'!$P$36:$AB$370,13,0),0)</f>
        <v>0</v>
      </c>
      <c r="J910" s="2">
        <f t="shared" si="43"/>
        <v>0</v>
      </c>
      <c r="K910" s="2">
        <f t="shared" si="44"/>
        <v>0</v>
      </c>
    </row>
    <row r="911" spans="1:11">
      <c r="E911" t="s">
        <v>892</v>
      </c>
      <c r="F911" t="s">
        <v>905</v>
      </c>
      <c r="G911" s="5" t="str">
        <f t="shared" si="45"/>
        <v>11-12</v>
      </c>
      <c r="H911" s="1">
        <f>_xlfn.IFNA(VLOOKUP(Aragon!E911,'Kilter Holds'!$P$36:$AB$370,5,0),0)</f>
        <v>0</v>
      </c>
      <c r="J911" s="2">
        <f t="shared" si="43"/>
        <v>0</v>
      </c>
      <c r="K911" s="2">
        <f t="shared" si="44"/>
        <v>0</v>
      </c>
    </row>
    <row r="912" spans="1:11">
      <c r="E912" t="s">
        <v>892</v>
      </c>
      <c r="F912" t="s">
        <v>905</v>
      </c>
      <c r="G912" s="6" t="str">
        <f t="shared" si="45"/>
        <v>14-01</v>
      </c>
      <c r="H912" s="1">
        <f>_xlfn.IFNA(VLOOKUP(Aragon!E912,'Kilter Holds'!$P$36:$AB$370,6,0),0)</f>
        <v>0</v>
      </c>
      <c r="J912" s="2">
        <f t="shared" si="43"/>
        <v>0</v>
      </c>
      <c r="K912" s="2">
        <f t="shared" si="44"/>
        <v>0</v>
      </c>
    </row>
    <row r="913" spans="1:11">
      <c r="E913" t="s">
        <v>892</v>
      </c>
      <c r="F913" t="s">
        <v>905</v>
      </c>
      <c r="G913" s="7" t="str">
        <f t="shared" si="45"/>
        <v>15-12</v>
      </c>
      <c r="H913" s="1">
        <f>_xlfn.IFNA(VLOOKUP(Aragon!E913,'Kilter Holds'!$P$36:$AB$370,7,0),0)</f>
        <v>0</v>
      </c>
      <c r="J913" s="2">
        <f t="shared" si="43"/>
        <v>0</v>
      </c>
      <c r="K913" s="2">
        <f t="shared" si="44"/>
        <v>0</v>
      </c>
    </row>
    <row r="914" spans="1:11">
      <c r="E914" t="s">
        <v>892</v>
      </c>
      <c r="F914" t="s">
        <v>905</v>
      </c>
      <c r="G914" s="8" t="str">
        <f t="shared" si="45"/>
        <v>16-16</v>
      </c>
      <c r="H914" s="1">
        <f>_xlfn.IFNA(VLOOKUP(Aragon!E914,'Kilter Holds'!$P$36:$AB$370,8,0),0)</f>
        <v>0</v>
      </c>
      <c r="J914" s="2">
        <f t="shared" si="43"/>
        <v>0</v>
      </c>
      <c r="K914" s="2">
        <f t="shared" si="44"/>
        <v>0</v>
      </c>
    </row>
    <row r="915" spans="1:11">
      <c r="E915" t="s">
        <v>892</v>
      </c>
      <c r="F915" t="s">
        <v>905</v>
      </c>
      <c r="G915" s="9" t="str">
        <f t="shared" si="45"/>
        <v>13-01</v>
      </c>
      <c r="H915" s="1">
        <f>_xlfn.IFNA(VLOOKUP(Aragon!E915,'Kilter Holds'!$P$36:$AB$370,9,0),0)</f>
        <v>0</v>
      </c>
      <c r="J915" s="2">
        <f t="shared" si="43"/>
        <v>0</v>
      </c>
      <c r="K915" s="2">
        <f t="shared" si="44"/>
        <v>0</v>
      </c>
    </row>
    <row r="916" spans="1:11">
      <c r="E916" t="s">
        <v>892</v>
      </c>
      <c r="F916" t="s">
        <v>905</v>
      </c>
      <c r="G916" s="10" t="str">
        <f t="shared" si="45"/>
        <v>07-13</v>
      </c>
      <c r="H916" s="1">
        <f>_xlfn.IFNA(VLOOKUP(Aragon!E916,'Kilter Holds'!$P$36:$AB$370,10,0),0)</f>
        <v>0</v>
      </c>
      <c r="J916" s="2">
        <f t="shared" si="43"/>
        <v>0</v>
      </c>
      <c r="K916" s="2">
        <f t="shared" si="44"/>
        <v>0</v>
      </c>
    </row>
    <row r="917" spans="1:11">
      <c r="E917" t="s">
        <v>892</v>
      </c>
      <c r="F917" t="s">
        <v>905</v>
      </c>
      <c r="G917" s="11" t="str">
        <f t="shared" si="45"/>
        <v>11-25</v>
      </c>
      <c r="H917" s="1">
        <f>_xlfn.IFNA(VLOOKUP(Aragon!E917,'Kilter Holds'!$P$36:$AB$370,11,0),0)</f>
        <v>0</v>
      </c>
      <c r="J917" s="2">
        <f t="shared" si="43"/>
        <v>0</v>
      </c>
      <c r="K917" s="2">
        <f t="shared" si="44"/>
        <v>0</v>
      </c>
    </row>
    <row r="918" spans="1:11">
      <c r="E918" t="s">
        <v>892</v>
      </c>
      <c r="F918" t="s">
        <v>905</v>
      </c>
      <c r="G918" s="13" t="str">
        <f t="shared" si="45"/>
        <v>18-01</v>
      </c>
      <c r="H918" s="1">
        <f>_xlfn.IFNA(VLOOKUP(Aragon!E918,'Kilter Holds'!$P$36:$AB$370,12,0),0)</f>
        <v>0</v>
      </c>
      <c r="J918" s="2">
        <f t="shared" si="43"/>
        <v>0</v>
      </c>
      <c r="K918" s="2">
        <f t="shared" si="44"/>
        <v>0</v>
      </c>
    </row>
    <row r="919" spans="1:11">
      <c r="E919" t="s">
        <v>892</v>
      </c>
      <c r="F919" t="s">
        <v>905</v>
      </c>
      <c r="G919" s="12" t="str">
        <f t="shared" si="45"/>
        <v>12-01</v>
      </c>
      <c r="H919" s="1">
        <f>_xlfn.IFNA(VLOOKUP(Aragon!E919,'Kilter Holds'!$P$36:$AB$370,13,0),0)</f>
        <v>0</v>
      </c>
      <c r="J919" s="2">
        <f t="shared" si="43"/>
        <v>0</v>
      </c>
      <c r="K919" s="2">
        <f t="shared" si="44"/>
        <v>0</v>
      </c>
    </row>
    <row r="920" spans="1:11">
      <c r="A920" s="3" t="s">
        <v>2207</v>
      </c>
      <c r="E920" t="s">
        <v>333</v>
      </c>
      <c r="F920" t="s">
        <v>641</v>
      </c>
      <c r="G920" s="5" t="str">
        <f t="shared" si="45"/>
        <v>11-12</v>
      </c>
      <c r="H920" s="1">
        <f>_xlfn.IFNA(VLOOKUP(E920,'Kilter Holds'!$P$36:$AB$370,5,0),0)+_xlfn.IFNA(VLOOKUP(A920,'Kilter Holds'!$P$36:$AB$370,5,0),0)</f>
        <v>0</v>
      </c>
      <c r="J920" s="2">
        <f t="shared" ref="J920:J928" si="46">H920*I920</f>
        <v>0</v>
      </c>
      <c r="K920" s="2">
        <f t="shared" si="44"/>
        <v>0</v>
      </c>
    </row>
    <row r="921" spans="1:11">
      <c r="A921" s="3" t="s">
        <v>2207</v>
      </c>
      <c r="E921" t="s">
        <v>333</v>
      </c>
      <c r="F921" t="s">
        <v>641</v>
      </c>
      <c r="G921" s="6" t="str">
        <f t="shared" si="45"/>
        <v>14-01</v>
      </c>
      <c r="H921" s="1">
        <f>_xlfn.IFNA(VLOOKUP(E921,'Kilter Holds'!$P$36:$AB$370,6,0),0)+_xlfn.IFNA(VLOOKUP(A921,'Kilter Holds'!$P$36:$AB$370,6,0),0)</f>
        <v>0</v>
      </c>
      <c r="J921" s="2">
        <f t="shared" si="46"/>
        <v>0</v>
      </c>
      <c r="K921" s="2">
        <f t="shared" si="44"/>
        <v>0</v>
      </c>
    </row>
    <row r="922" spans="1:11">
      <c r="A922" s="3" t="s">
        <v>2207</v>
      </c>
      <c r="E922" t="s">
        <v>333</v>
      </c>
      <c r="F922" t="s">
        <v>641</v>
      </c>
      <c r="G922" s="7" t="str">
        <f t="shared" si="45"/>
        <v>15-12</v>
      </c>
      <c r="H922" s="1">
        <f>_xlfn.IFNA(VLOOKUP(E922,'Kilter Holds'!$P$36:$AB$370,7,0),0)+_xlfn.IFNA(VLOOKUP(A922,'Kilter Holds'!$P$36:$AB$370,7,0),0)</f>
        <v>0</v>
      </c>
      <c r="J922" s="2">
        <f t="shared" si="46"/>
        <v>0</v>
      </c>
      <c r="K922" s="2">
        <f t="shared" si="44"/>
        <v>0</v>
      </c>
    </row>
    <row r="923" spans="1:11">
      <c r="A923" s="3" t="s">
        <v>2207</v>
      </c>
      <c r="E923" t="s">
        <v>333</v>
      </c>
      <c r="F923" t="s">
        <v>641</v>
      </c>
      <c r="G923" s="8" t="str">
        <f t="shared" si="45"/>
        <v>16-16</v>
      </c>
      <c r="H923" s="1">
        <f>_xlfn.IFNA(VLOOKUP(E923,'Kilter Holds'!$P$36:$AB$370,8,0),0)+_xlfn.IFNA(VLOOKUP(A923,'Kilter Holds'!$P$36:$AB$370,8,0),0)</f>
        <v>0</v>
      </c>
      <c r="J923" s="2">
        <f t="shared" si="46"/>
        <v>0</v>
      </c>
      <c r="K923" s="2">
        <f t="shared" si="44"/>
        <v>0</v>
      </c>
    </row>
    <row r="924" spans="1:11">
      <c r="A924" s="3" t="s">
        <v>2207</v>
      </c>
      <c r="E924" t="s">
        <v>333</v>
      </c>
      <c r="F924" t="s">
        <v>641</v>
      </c>
      <c r="G924" s="9" t="str">
        <f t="shared" si="45"/>
        <v>13-01</v>
      </c>
      <c r="H924" s="1">
        <f>_xlfn.IFNA(VLOOKUP(E924,'Kilter Holds'!$P$36:$AB$370,9,0),0)+_xlfn.IFNA(VLOOKUP(A924,'Kilter Holds'!$P$36:$AB$370,9,0),0)</f>
        <v>0</v>
      </c>
      <c r="J924" s="2">
        <f t="shared" si="46"/>
        <v>0</v>
      </c>
      <c r="K924" s="2">
        <f t="shared" si="44"/>
        <v>0</v>
      </c>
    </row>
    <row r="925" spans="1:11">
      <c r="A925" s="3" t="s">
        <v>2207</v>
      </c>
      <c r="E925" t="s">
        <v>333</v>
      </c>
      <c r="F925" t="s">
        <v>641</v>
      </c>
      <c r="G925" s="10" t="str">
        <f t="shared" si="45"/>
        <v>07-13</v>
      </c>
      <c r="H925" s="1">
        <f>_xlfn.IFNA(VLOOKUP(E925,'Kilter Holds'!$P$36:$AB$370,10,0),0)+_xlfn.IFNA(VLOOKUP(A925,'Kilter Holds'!$P$36:$AB$370,10,0),0)</f>
        <v>0</v>
      </c>
      <c r="J925" s="2">
        <f t="shared" si="46"/>
        <v>0</v>
      </c>
      <c r="K925" s="2">
        <f t="shared" si="44"/>
        <v>0</v>
      </c>
    </row>
    <row r="926" spans="1:11">
      <c r="A926" s="3" t="s">
        <v>2207</v>
      </c>
      <c r="E926" t="s">
        <v>333</v>
      </c>
      <c r="F926" t="s">
        <v>641</v>
      </c>
      <c r="G926" s="11" t="str">
        <f t="shared" si="45"/>
        <v>11-25</v>
      </c>
      <c r="H926" s="1">
        <f>_xlfn.IFNA(VLOOKUP(E926,'Kilter Holds'!$P$36:$AB$370,11,0),0)+_xlfn.IFNA(VLOOKUP(A926,'Kilter Holds'!$P$36:$AB$370,11,0),0)</f>
        <v>0</v>
      </c>
      <c r="J926" s="2">
        <f t="shared" si="46"/>
        <v>0</v>
      </c>
      <c r="K926" s="2">
        <f t="shared" ref="K926:K928" si="47">IF($V$11="Y",J926*0.05,0)</f>
        <v>0</v>
      </c>
    </row>
    <row r="927" spans="1:11">
      <c r="A927" s="3" t="s">
        <v>2207</v>
      </c>
      <c r="E927" t="s">
        <v>333</v>
      </c>
      <c r="F927" t="s">
        <v>641</v>
      </c>
      <c r="G927" s="13" t="str">
        <f t="shared" si="45"/>
        <v>18-01</v>
      </c>
      <c r="H927" s="1">
        <f>_xlfn.IFNA(VLOOKUP(E927,'Kilter Holds'!$P$36:$AB$370,12,0),0)+_xlfn.IFNA(VLOOKUP(A927,'Kilter Holds'!$P$36:$AB$370,12,0),0)</f>
        <v>0</v>
      </c>
      <c r="J927" s="2">
        <f t="shared" si="46"/>
        <v>0</v>
      </c>
      <c r="K927" s="2">
        <f t="shared" si="47"/>
        <v>0</v>
      </c>
    </row>
    <row r="928" spans="1:11">
      <c r="A928" s="3" t="s">
        <v>2207</v>
      </c>
      <c r="E928" t="s">
        <v>333</v>
      </c>
      <c r="F928" t="s">
        <v>641</v>
      </c>
      <c r="G928" s="12" t="str">
        <f t="shared" si="45"/>
        <v>12-01</v>
      </c>
      <c r="H928" s="1">
        <f>_xlfn.IFNA(VLOOKUP(E928,'Kilter Holds'!$P$36:$AB$370,13,0),0)+_xlfn.IFNA(VLOOKUP(A928,'Kilter Holds'!$P$36:$AB$370,13,0),0)</f>
        <v>0</v>
      </c>
      <c r="J928" s="2">
        <f t="shared" si="46"/>
        <v>0</v>
      </c>
      <c r="K928" s="2">
        <f t="shared" si="47"/>
        <v>0</v>
      </c>
    </row>
    <row r="929" spans="5:11">
      <c r="E929" t="s">
        <v>188</v>
      </c>
      <c r="F929" t="s">
        <v>642</v>
      </c>
      <c r="G929" s="5" t="str">
        <f t="shared" si="45"/>
        <v>11-12</v>
      </c>
      <c r="H929" s="1">
        <f>_xlfn.IFNA(VLOOKUP(Aragon!E929,'Kilter Holds'!$P$36:$AB$370,5,0),0)</f>
        <v>0</v>
      </c>
      <c r="J929" s="2">
        <f t="shared" si="43"/>
        <v>0</v>
      </c>
      <c r="K929" s="2">
        <f t="shared" si="44"/>
        <v>0</v>
      </c>
    </row>
    <row r="930" spans="5:11">
      <c r="E930" t="s">
        <v>188</v>
      </c>
      <c r="F930" t="s">
        <v>642</v>
      </c>
      <c r="G930" s="6" t="str">
        <f t="shared" si="45"/>
        <v>14-01</v>
      </c>
      <c r="H930" s="1">
        <f>_xlfn.IFNA(VLOOKUP(Aragon!E930,'Kilter Holds'!$P$36:$AB$370,6,0),0)</f>
        <v>0</v>
      </c>
      <c r="J930" s="2">
        <f t="shared" si="43"/>
        <v>0</v>
      </c>
      <c r="K930" s="2">
        <f t="shared" si="44"/>
        <v>0</v>
      </c>
    </row>
    <row r="931" spans="5:11">
      <c r="E931" t="s">
        <v>188</v>
      </c>
      <c r="F931" t="s">
        <v>642</v>
      </c>
      <c r="G931" s="7" t="str">
        <f t="shared" si="45"/>
        <v>15-12</v>
      </c>
      <c r="H931" s="1">
        <f>_xlfn.IFNA(VLOOKUP(Aragon!E931,'Kilter Holds'!$P$36:$AB$370,7,0),0)</f>
        <v>0</v>
      </c>
      <c r="J931" s="2">
        <f t="shared" si="43"/>
        <v>0</v>
      </c>
      <c r="K931" s="2">
        <f t="shared" si="44"/>
        <v>0</v>
      </c>
    </row>
    <row r="932" spans="5:11">
      <c r="E932" t="s">
        <v>188</v>
      </c>
      <c r="F932" t="s">
        <v>642</v>
      </c>
      <c r="G932" s="8" t="str">
        <f t="shared" si="45"/>
        <v>16-16</v>
      </c>
      <c r="H932" s="1">
        <f>_xlfn.IFNA(VLOOKUP(Aragon!E932,'Kilter Holds'!$P$36:$AB$370,8,0),0)</f>
        <v>0</v>
      </c>
      <c r="J932" s="2">
        <f t="shared" si="43"/>
        <v>0</v>
      </c>
      <c r="K932" s="2">
        <f t="shared" si="44"/>
        <v>0</v>
      </c>
    </row>
    <row r="933" spans="5:11">
      <c r="E933" t="s">
        <v>188</v>
      </c>
      <c r="F933" t="s">
        <v>642</v>
      </c>
      <c r="G933" s="9" t="str">
        <f t="shared" si="45"/>
        <v>13-01</v>
      </c>
      <c r="H933" s="1">
        <f>_xlfn.IFNA(VLOOKUP(Aragon!E933,'Kilter Holds'!$P$36:$AB$370,9,0),0)</f>
        <v>0</v>
      </c>
      <c r="J933" s="2">
        <f t="shared" si="43"/>
        <v>0</v>
      </c>
      <c r="K933" s="2">
        <f t="shared" si="44"/>
        <v>0</v>
      </c>
    </row>
    <row r="934" spans="5:11">
      <c r="E934" t="s">
        <v>188</v>
      </c>
      <c r="F934" t="s">
        <v>642</v>
      </c>
      <c r="G934" s="10" t="str">
        <f t="shared" si="45"/>
        <v>07-13</v>
      </c>
      <c r="H934" s="1">
        <f>_xlfn.IFNA(VLOOKUP(Aragon!E934,'Kilter Holds'!$P$36:$AB$370,10,0),0)</f>
        <v>0</v>
      </c>
      <c r="J934" s="2">
        <f t="shared" si="43"/>
        <v>0</v>
      </c>
      <c r="K934" s="2">
        <f t="shared" si="44"/>
        <v>0</v>
      </c>
    </row>
    <row r="935" spans="5:11">
      <c r="E935" t="s">
        <v>188</v>
      </c>
      <c r="F935" t="s">
        <v>642</v>
      </c>
      <c r="G935" s="11" t="str">
        <f t="shared" si="45"/>
        <v>11-25</v>
      </c>
      <c r="H935" s="1">
        <f>_xlfn.IFNA(VLOOKUP(Aragon!E935,'Kilter Holds'!$P$36:$AB$370,11,0),0)</f>
        <v>0</v>
      </c>
      <c r="J935" s="2">
        <f t="shared" si="43"/>
        <v>0</v>
      </c>
      <c r="K935" s="2">
        <f t="shared" si="44"/>
        <v>0</v>
      </c>
    </row>
    <row r="936" spans="5:11">
      <c r="E936" t="s">
        <v>188</v>
      </c>
      <c r="F936" t="s">
        <v>642</v>
      </c>
      <c r="G936" s="13" t="str">
        <f t="shared" si="45"/>
        <v>18-01</v>
      </c>
      <c r="H936" s="1">
        <f>_xlfn.IFNA(VLOOKUP(Aragon!E936,'Kilter Holds'!$P$36:$AB$370,12,0),0)</f>
        <v>0</v>
      </c>
      <c r="J936" s="2">
        <f t="shared" si="43"/>
        <v>0</v>
      </c>
      <c r="K936" s="2">
        <f t="shared" si="44"/>
        <v>0</v>
      </c>
    </row>
    <row r="937" spans="5:11">
      <c r="E937" t="s">
        <v>188</v>
      </c>
      <c r="F937" t="s">
        <v>642</v>
      </c>
      <c r="G937" s="12" t="str">
        <f t="shared" si="45"/>
        <v>12-01</v>
      </c>
      <c r="H937" s="1">
        <f>_xlfn.IFNA(VLOOKUP(Aragon!E937,'Kilter Holds'!$P$36:$AB$370,13,0),0)</f>
        <v>0</v>
      </c>
      <c r="J937" s="2">
        <f t="shared" si="43"/>
        <v>0</v>
      </c>
      <c r="K937" s="2">
        <f t="shared" si="44"/>
        <v>0</v>
      </c>
    </row>
    <row r="938" spans="5:11">
      <c r="E938" t="s">
        <v>189</v>
      </c>
      <c r="F938" t="s">
        <v>643</v>
      </c>
      <c r="G938" s="5" t="str">
        <f t="shared" si="45"/>
        <v>11-12</v>
      </c>
      <c r="H938" s="1">
        <f>_xlfn.IFNA(VLOOKUP(Aragon!E938,'Kilter Holds'!$P$36:$AB$370,5,0),0)</f>
        <v>0</v>
      </c>
      <c r="J938" s="2">
        <f t="shared" si="43"/>
        <v>0</v>
      </c>
      <c r="K938" s="2">
        <f t="shared" si="44"/>
        <v>0</v>
      </c>
    </row>
    <row r="939" spans="5:11">
      <c r="E939" t="s">
        <v>189</v>
      </c>
      <c r="F939" t="s">
        <v>643</v>
      </c>
      <c r="G939" s="6" t="str">
        <f t="shared" si="45"/>
        <v>14-01</v>
      </c>
      <c r="H939" s="1">
        <f>_xlfn.IFNA(VLOOKUP(Aragon!E939,'Kilter Holds'!$P$36:$AB$370,6,0),0)</f>
        <v>0</v>
      </c>
      <c r="J939" s="2">
        <f t="shared" si="43"/>
        <v>0</v>
      </c>
      <c r="K939" s="2">
        <f t="shared" si="44"/>
        <v>0</v>
      </c>
    </row>
    <row r="940" spans="5:11">
      <c r="E940" t="s">
        <v>189</v>
      </c>
      <c r="F940" t="s">
        <v>643</v>
      </c>
      <c r="G940" s="7" t="str">
        <f t="shared" si="45"/>
        <v>15-12</v>
      </c>
      <c r="H940" s="1">
        <f>_xlfn.IFNA(VLOOKUP(Aragon!E940,'Kilter Holds'!$P$36:$AB$370,7,0),0)</f>
        <v>0</v>
      </c>
      <c r="J940" s="2">
        <f t="shared" si="43"/>
        <v>0</v>
      </c>
      <c r="K940" s="2">
        <f t="shared" si="44"/>
        <v>0</v>
      </c>
    </row>
    <row r="941" spans="5:11">
      <c r="E941" t="s">
        <v>189</v>
      </c>
      <c r="F941" t="s">
        <v>643</v>
      </c>
      <c r="G941" s="8" t="str">
        <f t="shared" si="45"/>
        <v>16-16</v>
      </c>
      <c r="H941" s="1">
        <f>_xlfn.IFNA(VLOOKUP(Aragon!E941,'Kilter Holds'!$P$36:$AB$370,8,0),0)</f>
        <v>0</v>
      </c>
      <c r="J941" s="2">
        <f t="shared" si="43"/>
        <v>0</v>
      </c>
      <c r="K941" s="2">
        <f t="shared" si="44"/>
        <v>0</v>
      </c>
    </row>
    <row r="942" spans="5:11">
      <c r="E942" t="s">
        <v>189</v>
      </c>
      <c r="F942" t="s">
        <v>643</v>
      </c>
      <c r="G942" s="9" t="str">
        <f t="shared" si="45"/>
        <v>13-01</v>
      </c>
      <c r="H942" s="1">
        <f>_xlfn.IFNA(VLOOKUP(Aragon!E942,'Kilter Holds'!$P$36:$AB$370,9,0),0)</f>
        <v>0</v>
      </c>
      <c r="J942" s="2">
        <f t="shared" si="43"/>
        <v>0</v>
      </c>
      <c r="K942" s="2">
        <f t="shared" si="44"/>
        <v>0</v>
      </c>
    </row>
    <row r="943" spans="5:11">
      <c r="E943" t="s">
        <v>189</v>
      </c>
      <c r="F943" t="s">
        <v>643</v>
      </c>
      <c r="G943" s="10" t="str">
        <f t="shared" si="45"/>
        <v>07-13</v>
      </c>
      <c r="H943" s="1">
        <f>_xlfn.IFNA(VLOOKUP(Aragon!E943,'Kilter Holds'!$P$36:$AB$370,10,0),0)</f>
        <v>0</v>
      </c>
      <c r="J943" s="2">
        <f t="shared" si="43"/>
        <v>0</v>
      </c>
      <c r="K943" s="2">
        <f t="shared" si="44"/>
        <v>0</v>
      </c>
    </row>
    <row r="944" spans="5:11">
      <c r="E944" t="s">
        <v>189</v>
      </c>
      <c r="F944" t="s">
        <v>643</v>
      </c>
      <c r="G944" s="11" t="str">
        <f t="shared" si="45"/>
        <v>11-25</v>
      </c>
      <c r="H944" s="1">
        <f>_xlfn.IFNA(VLOOKUP(Aragon!E944,'Kilter Holds'!$P$36:$AB$370,11,0),0)</f>
        <v>0</v>
      </c>
      <c r="J944" s="2">
        <f t="shared" si="43"/>
        <v>0</v>
      </c>
      <c r="K944" s="2">
        <f t="shared" si="44"/>
        <v>0</v>
      </c>
    </row>
    <row r="945" spans="1:11">
      <c r="E945" t="s">
        <v>189</v>
      </c>
      <c r="F945" t="s">
        <v>643</v>
      </c>
      <c r="G945" s="13" t="str">
        <f t="shared" si="45"/>
        <v>18-01</v>
      </c>
      <c r="H945" s="1">
        <f>_xlfn.IFNA(VLOOKUP(Aragon!E945,'Kilter Holds'!$P$36:$AB$370,12,0),0)</f>
        <v>0</v>
      </c>
      <c r="J945" s="2">
        <f t="shared" si="43"/>
        <v>0</v>
      </c>
      <c r="K945" s="2">
        <f t="shared" si="44"/>
        <v>0</v>
      </c>
    </row>
    <row r="946" spans="1:11">
      <c r="E946" t="s">
        <v>189</v>
      </c>
      <c r="F946" t="s">
        <v>643</v>
      </c>
      <c r="G946" s="12" t="str">
        <f t="shared" si="45"/>
        <v>12-01</v>
      </c>
      <c r="H946" s="1">
        <f>_xlfn.IFNA(VLOOKUP(Aragon!E946,'Kilter Holds'!$P$36:$AB$370,13,0),0)</f>
        <v>0</v>
      </c>
      <c r="J946" s="2">
        <f t="shared" si="43"/>
        <v>0</v>
      </c>
      <c r="K946" s="2">
        <f t="shared" si="44"/>
        <v>0</v>
      </c>
    </row>
    <row r="947" spans="1:11">
      <c r="A947" s="3" t="s">
        <v>2171</v>
      </c>
      <c r="E947" t="s">
        <v>317</v>
      </c>
      <c r="F947" t="s">
        <v>644</v>
      </c>
      <c r="G947" s="5" t="str">
        <f t="shared" si="45"/>
        <v>11-12</v>
      </c>
      <c r="H947" s="1">
        <f>_xlfn.IFNA(VLOOKUP(E947,'Kilter Holds'!$P$36:$AB$370,5,0),0)+_xlfn.IFNA(VLOOKUP(A947,'Kilter Holds'!$P$36:$AB$370,5,0),0)</f>
        <v>0</v>
      </c>
      <c r="J947" s="2">
        <f t="shared" ref="J947:J955" si="48">H947*I947</f>
        <v>0</v>
      </c>
      <c r="K947" s="2">
        <f t="shared" si="44"/>
        <v>0</v>
      </c>
    </row>
    <row r="948" spans="1:11">
      <c r="A948" s="3" t="s">
        <v>2171</v>
      </c>
      <c r="E948" t="s">
        <v>317</v>
      </c>
      <c r="F948" t="s">
        <v>644</v>
      </c>
      <c r="G948" s="6" t="str">
        <f t="shared" si="45"/>
        <v>14-01</v>
      </c>
      <c r="H948" s="1">
        <f>_xlfn.IFNA(VLOOKUP(E948,'Kilter Holds'!$P$36:$AB$370,6,0),0)+_xlfn.IFNA(VLOOKUP(A948,'Kilter Holds'!$P$36:$AB$370,6,0),0)</f>
        <v>0</v>
      </c>
      <c r="J948" s="2">
        <f t="shared" si="48"/>
        <v>0</v>
      </c>
      <c r="K948" s="2">
        <f t="shared" si="44"/>
        <v>0</v>
      </c>
    </row>
    <row r="949" spans="1:11">
      <c r="A949" s="3" t="s">
        <v>2171</v>
      </c>
      <c r="E949" t="s">
        <v>317</v>
      </c>
      <c r="F949" t="s">
        <v>644</v>
      </c>
      <c r="G949" s="7" t="str">
        <f t="shared" si="45"/>
        <v>15-12</v>
      </c>
      <c r="H949" s="1">
        <f>_xlfn.IFNA(VLOOKUP(E949,'Kilter Holds'!$P$36:$AB$370,7,0),0)+_xlfn.IFNA(VLOOKUP(A949,'Kilter Holds'!$P$36:$AB$370,7,0),0)</f>
        <v>0</v>
      </c>
      <c r="J949" s="2">
        <f t="shared" si="48"/>
        <v>0</v>
      </c>
      <c r="K949" s="2">
        <f t="shared" si="44"/>
        <v>0</v>
      </c>
    </row>
    <row r="950" spans="1:11">
      <c r="A950" s="3" t="s">
        <v>2171</v>
      </c>
      <c r="E950" t="s">
        <v>317</v>
      </c>
      <c r="F950" t="s">
        <v>644</v>
      </c>
      <c r="G950" s="8" t="str">
        <f t="shared" si="45"/>
        <v>16-16</v>
      </c>
      <c r="H950" s="1">
        <f>_xlfn.IFNA(VLOOKUP(E950,'Kilter Holds'!$P$36:$AB$370,8,0),0)+_xlfn.IFNA(VLOOKUP(A950,'Kilter Holds'!$P$36:$AB$370,8,0),0)</f>
        <v>0</v>
      </c>
      <c r="J950" s="2">
        <f t="shared" si="48"/>
        <v>0</v>
      </c>
      <c r="K950" s="2">
        <f t="shared" si="44"/>
        <v>0</v>
      </c>
    </row>
    <row r="951" spans="1:11">
      <c r="A951" s="3" t="s">
        <v>2171</v>
      </c>
      <c r="E951" t="s">
        <v>317</v>
      </c>
      <c r="F951" t="s">
        <v>644</v>
      </c>
      <c r="G951" s="9" t="str">
        <f t="shared" si="45"/>
        <v>13-01</v>
      </c>
      <c r="H951" s="1">
        <f>_xlfn.IFNA(VLOOKUP(E951,'Kilter Holds'!$P$36:$AB$370,9,0),0)+_xlfn.IFNA(VLOOKUP(A951,'Kilter Holds'!$P$36:$AB$370,9,0),0)</f>
        <v>0</v>
      </c>
      <c r="J951" s="2">
        <f t="shared" si="48"/>
        <v>0</v>
      </c>
      <c r="K951" s="2">
        <f t="shared" si="44"/>
        <v>0</v>
      </c>
    </row>
    <row r="952" spans="1:11">
      <c r="A952" s="3" t="s">
        <v>2171</v>
      </c>
      <c r="E952" t="s">
        <v>317</v>
      </c>
      <c r="F952" t="s">
        <v>644</v>
      </c>
      <c r="G952" s="10" t="str">
        <f t="shared" si="45"/>
        <v>07-13</v>
      </c>
      <c r="H952" s="1">
        <f>_xlfn.IFNA(VLOOKUP(E952,'Kilter Holds'!$P$36:$AB$370,10,0),0)+_xlfn.IFNA(VLOOKUP(A952,'Kilter Holds'!$P$36:$AB$370,10,0),0)</f>
        <v>0</v>
      </c>
      <c r="J952" s="2">
        <f t="shared" si="48"/>
        <v>0</v>
      </c>
      <c r="K952" s="2">
        <f t="shared" si="44"/>
        <v>0</v>
      </c>
    </row>
    <row r="953" spans="1:11">
      <c r="A953" s="3" t="s">
        <v>2171</v>
      </c>
      <c r="E953" t="s">
        <v>317</v>
      </c>
      <c r="F953" t="s">
        <v>644</v>
      </c>
      <c r="G953" s="11" t="str">
        <f t="shared" si="45"/>
        <v>11-25</v>
      </c>
      <c r="H953" s="1">
        <f>_xlfn.IFNA(VLOOKUP(E953,'Kilter Holds'!$P$36:$AB$370,11,0),0)+_xlfn.IFNA(VLOOKUP(A953,'Kilter Holds'!$P$36:$AB$370,11,0),0)</f>
        <v>0</v>
      </c>
      <c r="J953" s="2">
        <f t="shared" si="48"/>
        <v>0</v>
      </c>
      <c r="K953" s="2">
        <f t="shared" ref="K953:K955" si="49">IF($V$11="Y",J953*0.05,0)</f>
        <v>0</v>
      </c>
    </row>
    <row r="954" spans="1:11">
      <c r="A954" s="3" t="s">
        <v>2171</v>
      </c>
      <c r="E954" t="s">
        <v>317</v>
      </c>
      <c r="F954" t="s">
        <v>644</v>
      </c>
      <c r="G954" s="13" t="str">
        <f t="shared" si="45"/>
        <v>18-01</v>
      </c>
      <c r="H954" s="1">
        <f>_xlfn.IFNA(VLOOKUP(E954,'Kilter Holds'!$P$36:$AB$370,12,0),0)+_xlfn.IFNA(VLOOKUP(A954,'Kilter Holds'!$P$36:$AB$370,12,0),0)</f>
        <v>0</v>
      </c>
      <c r="J954" s="2">
        <f t="shared" si="48"/>
        <v>0</v>
      </c>
      <c r="K954" s="2">
        <f t="shared" si="49"/>
        <v>0</v>
      </c>
    </row>
    <row r="955" spans="1:11">
      <c r="A955" s="3" t="s">
        <v>2171</v>
      </c>
      <c r="E955" t="s">
        <v>317</v>
      </c>
      <c r="F955" t="s">
        <v>644</v>
      </c>
      <c r="G955" s="12" t="str">
        <f t="shared" si="45"/>
        <v>12-01</v>
      </c>
      <c r="H955" s="1">
        <f>_xlfn.IFNA(VLOOKUP(E955,'Kilter Holds'!$P$36:$AB$370,13,0),0)+_xlfn.IFNA(VLOOKUP(A955,'Kilter Holds'!$P$36:$AB$370,13,0),0)</f>
        <v>0</v>
      </c>
      <c r="J955" s="2">
        <f t="shared" si="48"/>
        <v>0</v>
      </c>
      <c r="K955" s="2">
        <f t="shared" si="49"/>
        <v>0</v>
      </c>
    </row>
    <row r="956" spans="1:11">
      <c r="E956" t="s">
        <v>318</v>
      </c>
      <c r="F956" t="s">
        <v>645</v>
      </c>
      <c r="G956" s="5" t="str">
        <f t="shared" si="45"/>
        <v>11-12</v>
      </c>
      <c r="H956" s="1">
        <f>_xlfn.IFNA(VLOOKUP(Aragon!E956,'Kilter Holds'!$P$36:$AB$370,5,0),0)</f>
        <v>0</v>
      </c>
      <c r="J956" s="2">
        <f t="shared" ref="J956:J1017" si="50">H956*I956</f>
        <v>0</v>
      </c>
      <c r="K956" s="2">
        <f t="shared" si="44"/>
        <v>0</v>
      </c>
    </row>
    <row r="957" spans="1:11">
      <c r="E957" t="s">
        <v>318</v>
      </c>
      <c r="F957" t="s">
        <v>645</v>
      </c>
      <c r="G957" s="6" t="str">
        <f t="shared" si="45"/>
        <v>14-01</v>
      </c>
      <c r="H957" s="1">
        <f>_xlfn.IFNA(VLOOKUP(Aragon!E957,'Kilter Holds'!$P$36:$AB$370,6,0),0)</f>
        <v>0</v>
      </c>
      <c r="J957" s="2">
        <f t="shared" si="50"/>
        <v>0</v>
      </c>
      <c r="K957" s="2">
        <f t="shared" si="44"/>
        <v>0</v>
      </c>
    </row>
    <row r="958" spans="1:11">
      <c r="E958" t="s">
        <v>318</v>
      </c>
      <c r="F958" t="s">
        <v>645</v>
      </c>
      <c r="G958" s="7" t="str">
        <f t="shared" si="45"/>
        <v>15-12</v>
      </c>
      <c r="H958" s="1">
        <f>_xlfn.IFNA(VLOOKUP(Aragon!E958,'Kilter Holds'!$P$36:$AB$370,7,0),0)</f>
        <v>0</v>
      </c>
      <c r="J958" s="2">
        <f t="shared" si="50"/>
        <v>0</v>
      </c>
      <c r="K958" s="2">
        <f t="shared" si="44"/>
        <v>0</v>
      </c>
    </row>
    <row r="959" spans="1:11">
      <c r="E959" t="s">
        <v>318</v>
      </c>
      <c r="F959" t="s">
        <v>645</v>
      </c>
      <c r="G959" s="8" t="str">
        <f t="shared" si="45"/>
        <v>16-16</v>
      </c>
      <c r="H959" s="1">
        <f>_xlfn.IFNA(VLOOKUP(Aragon!E959,'Kilter Holds'!$P$36:$AB$370,8,0),0)</f>
        <v>0</v>
      </c>
      <c r="J959" s="2">
        <f t="shared" si="50"/>
        <v>0</v>
      </c>
      <c r="K959" s="2">
        <f t="shared" si="44"/>
        <v>0</v>
      </c>
    </row>
    <row r="960" spans="1:11">
      <c r="E960" t="s">
        <v>318</v>
      </c>
      <c r="F960" t="s">
        <v>645</v>
      </c>
      <c r="G960" s="9" t="str">
        <f t="shared" si="45"/>
        <v>13-01</v>
      </c>
      <c r="H960" s="1">
        <f>_xlfn.IFNA(VLOOKUP(Aragon!E960,'Kilter Holds'!$P$36:$AB$370,9,0),0)</f>
        <v>0</v>
      </c>
      <c r="J960" s="2">
        <f t="shared" si="50"/>
        <v>0</v>
      </c>
      <c r="K960" s="2">
        <f t="shared" si="44"/>
        <v>0</v>
      </c>
    </row>
    <row r="961" spans="5:11">
      <c r="E961" t="s">
        <v>318</v>
      </c>
      <c r="F961" t="s">
        <v>645</v>
      </c>
      <c r="G961" s="10" t="str">
        <f t="shared" si="45"/>
        <v>07-13</v>
      </c>
      <c r="H961" s="1">
        <f>_xlfn.IFNA(VLOOKUP(Aragon!E961,'Kilter Holds'!$P$36:$AB$370,10,0),0)</f>
        <v>0</v>
      </c>
      <c r="J961" s="2">
        <f t="shared" si="50"/>
        <v>0</v>
      </c>
      <c r="K961" s="2">
        <f t="shared" si="44"/>
        <v>0</v>
      </c>
    </row>
    <row r="962" spans="5:11">
      <c r="E962" t="s">
        <v>318</v>
      </c>
      <c r="F962" t="s">
        <v>645</v>
      </c>
      <c r="G962" s="11" t="str">
        <f t="shared" si="45"/>
        <v>11-25</v>
      </c>
      <c r="H962" s="1">
        <f>_xlfn.IFNA(VLOOKUP(Aragon!E962,'Kilter Holds'!$P$36:$AB$370,11,0),0)</f>
        <v>0</v>
      </c>
      <c r="J962" s="2">
        <f t="shared" si="50"/>
        <v>0</v>
      </c>
      <c r="K962" s="2">
        <f t="shared" si="44"/>
        <v>0</v>
      </c>
    </row>
    <row r="963" spans="5:11">
      <c r="E963" t="s">
        <v>318</v>
      </c>
      <c r="F963" t="s">
        <v>645</v>
      </c>
      <c r="G963" s="13" t="str">
        <f t="shared" si="45"/>
        <v>18-01</v>
      </c>
      <c r="H963" s="1">
        <f>_xlfn.IFNA(VLOOKUP(Aragon!E963,'Kilter Holds'!$P$36:$AB$370,12,0),0)</f>
        <v>0</v>
      </c>
      <c r="J963" s="2">
        <f t="shared" si="50"/>
        <v>0</v>
      </c>
      <c r="K963" s="2">
        <f t="shared" si="44"/>
        <v>0</v>
      </c>
    </row>
    <row r="964" spans="5:11">
      <c r="E964" t="s">
        <v>318</v>
      </c>
      <c r="F964" t="s">
        <v>645</v>
      </c>
      <c r="G964" s="12" t="str">
        <f t="shared" si="45"/>
        <v>12-01</v>
      </c>
      <c r="H964" s="1">
        <f>_xlfn.IFNA(VLOOKUP(Aragon!E964,'Kilter Holds'!$P$36:$AB$370,13,0),0)</f>
        <v>0</v>
      </c>
      <c r="J964" s="2">
        <f t="shared" si="50"/>
        <v>0</v>
      </c>
      <c r="K964" s="2">
        <f t="shared" si="44"/>
        <v>0</v>
      </c>
    </row>
    <row r="965" spans="5:11">
      <c r="E965" t="s">
        <v>190</v>
      </c>
      <c r="F965" t="s">
        <v>646</v>
      </c>
      <c r="G965" s="5" t="str">
        <f t="shared" si="45"/>
        <v>11-12</v>
      </c>
      <c r="H965" s="1">
        <f>_xlfn.IFNA(VLOOKUP(Aragon!E965,'Kilter Holds'!$P$36:$AB$370,5,0),0)</f>
        <v>0</v>
      </c>
      <c r="J965" s="2">
        <f t="shared" si="50"/>
        <v>0</v>
      </c>
      <c r="K965" s="2">
        <f t="shared" si="44"/>
        <v>0</v>
      </c>
    </row>
    <row r="966" spans="5:11">
      <c r="E966" t="s">
        <v>190</v>
      </c>
      <c r="F966" t="s">
        <v>646</v>
      </c>
      <c r="G966" s="6" t="str">
        <f t="shared" si="45"/>
        <v>14-01</v>
      </c>
      <c r="H966" s="1">
        <f>_xlfn.IFNA(VLOOKUP(Aragon!E966,'Kilter Holds'!$P$36:$AB$370,6,0),0)</f>
        <v>0</v>
      </c>
      <c r="J966" s="2">
        <f t="shared" si="50"/>
        <v>0</v>
      </c>
      <c r="K966" s="2">
        <f t="shared" si="44"/>
        <v>0</v>
      </c>
    </row>
    <row r="967" spans="5:11">
      <c r="E967" t="s">
        <v>190</v>
      </c>
      <c r="F967" t="s">
        <v>646</v>
      </c>
      <c r="G967" s="7" t="str">
        <f t="shared" si="45"/>
        <v>15-12</v>
      </c>
      <c r="H967" s="1">
        <f>_xlfn.IFNA(VLOOKUP(Aragon!E967,'Kilter Holds'!$P$36:$AB$370,7,0),0)</f>
        <v>0</v>
      </c>
      <c r="J967" s="2">
        <f t="shared" si="50"/>
        <v>0</v>
      </c>
      <c r="K967" s="2">
        <f t="shared" si="44"/>
        <v>0</v>
      </c>
    </row>
    <row r="968" spans="5:11">
      <c r="E968" t="s">
        <v>190</v>
      </c>
      <c r="F968" t="s">
        <v>646</v>
      </c>
      <c r="G968" s="8" t="str">
        <f t="shared" si="45"/>
        <v>16-16</v>
      </c>
      <c r="H968" s="1">
        <f>_xlfn.IFNA(VLOOKUP(Aragon!E968,'Kilter Holds'!$P$36:$AB$370,8,0),0)</f>
        <v>0</v>
      </c>
      <c r="J968" s="2">
        <f t="shared" si="50"/>
        <v>0</v>
      </c>
      <c r="K968" s="2">
        <f t="shared" si="44"/>
        <v>0</v>
      </c>
    </row>
    <row r="969" spans="5:11">
      <c r="E969" t="s">
        <v>190</v>
      </c>
      <c r="F969" t="s">
        <v>646</v>
      </c>
      <c r="G969" s="9" t="str">
        <f t="shared" si="45"/>
        <v>13-01</v>
      </c>
      <c r="H969" s="1">
        <f>_xlfn.IFNA(VLOOKUP(Aragon!E969,'Kilter Holds'!$P$36:$AB$370,9,0),0)</f>
        <v>0</v>
      </c>
      <c r="J969" s="2">
        <f t="shared" si="50"/>
        <v>0</v>
      </c>
      <c r="K969" s="2">
        <f t="shared" si="44"/>
        <v>0</v>
      </c>
    </row>
    <row r="970" spans="5:11">
      <c r="E970" t="s">
        <v>190</v>
      </c>
      <c r="F970" t="s">
        <v>646</v>
      </c>
      <c r="G970" s="10" t="str">
        <f t="shared" si="45"/>
        <v>07-13</v>
      </c>
      <c r="H970" s="1">
        <f>_xlfn.IFNA(VLOOKUP(Aragon!E970,'Kilter Holds'!$P$36:$AB$370,10,0),0)</f>
        <v>0</v>
      </c>
      <c r="J970" s="2">
        <f t="shared" si="50"/>
        <v>0</v>
      </c>
      <c r="K970" s="2">
        <f t="shared" si="44"/>
        <v>0</v>
      </c>
    </row>
    <row r="971" spans="5:11">
      <c r="E971" t="s">
        <v>190</v>
      </c>
      <c r="F971" t="s">
        <v>646</v>
      </c>
      <c r="G971" s="11" t="str">
        <f t="shared" si="45"/>
        <v>11-25</v>
      </c>
      <c r="H971" s="1">
        <f>_xlfn.IFNA(VLOOKUP(Aragon!E971,'Kilter Holds'!$P$36:$AB$370,11,0),0)</f>
        <v>0</v>
      </c>
      <c r="J971" s="2">
        <f t="shared" si="50"/>
        <v>0</v>
      </c>
      <c r="K971" s="2">
        <f t="shared" si="44"/>
        <v>0</v>
      </c>
    </row>
    <row r="972" spans="5:11">
      <c r="E972" t="s">
        <v>190</v>
      </c>
      <c r="F972" t="s">
        <v>646</v>
      </c>
      <c r="G972" s="13" t="str">
        <f t="shared" si="45"/>
        <v>18-01</v>
      </c>
      <c r="H972" s="1">
        <f>_xlfn.IFNA(VLOOKUP(Aragon!E972,'Kilter Holds'!$P$36:$AB$370,12,0),0)</f>
        <v>0</v>
      </c>
      <c r="J972" s="2">
        <f t="shared" si="50"/>
        <v>0</v>
      </c>
      <c r="K972" s="2">
        <f t="shared" ref="K972:K1035" si="51">IF($V$11="Y",J972*0.05,0)</f>
        <v>0</v>
      </c>
    </row>
    <row r="973" spans="5:11">
      <c r="E973" t="s">
        <v>190</v>
      </c>
      <c r="F973" t="s">
        <v>646</v>
      </c>
      <c r="G973" s="12" t="str">
        <f t="shared" ref="G973:G1036" si="52">G964</f>
        <v>12-01</v>
      </c>
      <c r="H973" s="1">
        <f>_xlfn.IFNA(VLOOKUP(Aragon!E973,'Kilter Holds'!$P$36:$AB$370,13,0),0)</f>
        <v>0</v>
      </c>
      <c r="J973" s="2">
        <f t="shared" si="50"/>
        <v>0</v>
      </c>
      <c r="K973" s="2">
        <f t="shared" si="51"/>
        <v>0</v>
      </c>
    </row>
    <row r="974" spans="5:11">
      <c r="E974" t="s">
        <v>191</v>
      </c>
      <c r="F974" t="s">
        <v>647</v>
      </c>
      <c r="G974" s="5" t="str">
        <f t="shared" si="52"/>
        <v>11-12</v>
      </c>
      <c r="H974" s="1">
        <f>_xlfn.IFNA(VLOOKUP(Aragon!E974,'Kilter Holds'!$P$36:$AB$370,5,0),0)</f>
        <v>0</v>
      </c>
      <c r="J974" s="2">
        <f t="shared" si="50"/>
        <v>0</v>
      </c>
      <c r="K974" s="2">
        <f t="shared" si="51"/>
        <v>0</v>
      </c>
    </row>
    <row r="975" spans="5:11">
      <c r="E975" t="s">
        <v>191</v>
      </c>
      <c r="F975" t="s">
        <v>647</v>
      </c>
      <c r="G975" s="6" t="str">
        <f t="shared" si="52"/>
        <v>14-01</v>
      </c>
      <c r="H975" s="1">
        <f>_xlfn.IFNA(VLOOKUP(Aragon!E975,'Kilter Holds'!$P$36:$AB$370,6,0),0)</f>
        <v>0</v>
      </c>
      <c r="J975" s="2">
        <f t="shared" si="50"/>
        <v>0</v>
      </c>
      <c r="K975" s="2">
        <f t="shared" si="51"/>
        <v>0</v>
      </c>
    </row>
    <row r="976" spans="5:11">
      <c r="E976" t="s">
        <v>191</v>
      </c>
      <c r="F976" t="s">
        <v>647</v>
      </c>
      <c r="G976" s="7" t="str">
        <f t="shared" si="52"/>
        <v>15-12</v>
      </c>
      <c r="H976" s="1">
        <f>_xlfn.IFNA(VLOOKUP(Aragon!E976,'Kilter Holds'!$P$36:$AB$370,7,0),0)</f>
        <v>0</v>
      </c>
      <c r="J976" s="2">
        <f t="shared" si="50"/>
        <v>0</v>
      </c>
      <c r="K976" s="2">
        <f t="shared" si="51"/>
        <v>0</v>
      </c>
    </row>
    <row r="977" spans="5:11">
      <c r="E977" t="s">
        <v>191</v>
      </c>
      <c r="F977" t="s">
        <v>647</v>
      </c>
      <c r="G977" s="8" t="str">
        <f t="shared" si="52"/>
        <v>16-16</v>
      </c>
      <c r="H977" s="1">
        <f>_xlfn.IFNA(VLOOKUP(Aragon!E977,'Kilter Holds'!$P$36:$AB$370,8,0),0)</f>
        <v>0</v>
      </c>
      <c r="J977" s="2">
        <f t="shared" si="50"/>
        <v>0</v>
      </c>
      <c r="K977" s="2">
        <f t="shared" si="51"/>
        <v>0</v>
      </c>
    </row>
    <row r="978" spans="5:11">
      <c r="E978" t="s">
        <v>191</v>
      </c>
      <c r="F978" t="s">
        <v>647</v>
      </c>
      <c r="G978" s="9" t="str">
        <f t="shared" si="52"/>
        <v>13-01</v>
      </c>
      <c r="H978" s="1">
        <f>_xlfn.IFNA(VLOOKUP(Aragon!E978,'Kilter Holds'!$P$36:$AB$370,9,0),0)</f>
        <v>0</v>
      </c>
      <c r="J978" s="2">
        <f t="shared" si="50"/>
        <v>0</v>
      </c>
      <c r="K978" s="2">
        <f t="shared" si="51"/>
        <v>0</v>
      </c>
    </row>
    <row r="979" spans="5:11">
      <c r="E979" t="s">
        <v>191</v>
      </c>
      <c r="F979" t="s">
        <v>647</v>
      </c>
      <c r="G979" s="10" t="str">
        <f t="shared" si="52"/>
        <v>07-13</v>
      </c>
      <c r="H979" s="1">
        <f>_xlfn.IFNA(VLOOKUP(Aragon!E979,'Kilter Holds'!$P$36:$AB$370,10,0),0)</f>
        <v>0</v>
      </c>
      <c r="J979" s="2">
        <f t="shared" si="50"/>
        <v>0</v>
      </c>
      <c r="K979" s="2">
        <f t="shared" si="51"/>
        <v>0</v>
      </c>
    </row>
    <row r="980" spans="5:11">
      <c r="E980" t="s">
        <v>191</v>
      </c>
      <c r="F980" t="s">
        <v>647</v>
      </c>
      <c r="G980" s="11" t="str">
        <f t="shared" si="52"/>
        <v>11-25</v>
      </c>
      <c r="H980" s="1">
        <f>_xlfn.IFNA(VLOOKUP(Aragon!E980,'Kilter Holds'!$P$36:$AB$370,11,0),0)</f>
        <v>0</v>
      </c>
      <c r="J980" s="2">
        <f t="shared" si="50"/>
        <v>0</v>
      </c>
      <c r="K980" s="2">
        <f t="shared" si="51"/>
        <v>0</v>
      </c>
    </row>
    <row r="981" spans="5:11">
      <c r="E981" t="s">
        <v>191</v>
      </c>
      <c r="F981" t="s">
        <v>647</v>
      </c>
      <c r="G981" s="13" t="str">
        <f t="shared" si="52"/>
        <v>18-01</v>
      </c>
      <c r="H981" s="1">
        <f>_xlfn.IFNA(VLOOKUP(Aragon!E981,'Kilter Holds'!$P$36:$AB$370,12,0),0)</f>
        <v>0</v>
      </c>
      <c r="J981" s="2">
        <f t="shared" si="50"/>
        <v>0</v>
      </c>
      <c r="K981" s="2">
        <f t="shared" si="51"/>
        <v>0</v>
      </c>
    </row>
    <row r="982" spans="5:11">
      <c r="E982" t="s">
        <v>191</v>
      </c>
      <c r="F982" t="s">
        <v>647</v>
      </c>
      <c r="G982" s="12" t="str">
        <f t="shared" si="52"/>
        <v>12-01</v>
      </c>
      <c r="H982" s="1">
        <f>_xlfn.IFNA(VLOOKUP(Aragon!E982,'Kilter Holds'!$P$36:$AB$370,13,0),0)</f>
        <v>0</v>
      </c>
      <c r="J982" s="2">
        <f t="shared" si="50"/>
        <v>0</v>
      </c>
      <c r="K982" s="2">
        <f t="shared" si="51"/>
        <v>0</v>
      </c>
    </row>
    <row r="983" spans="5:11">
      <c r="E983" t="s">
        <v>192</v>
      </c>
      <c r="F983" t="s">
        <v>648</v>
      </c>
      <c r="G983" s="5" t="str">
        <f t="shared" si="52"/>
        <v>11-12</v>
      </c>
      <c r="H983" s="1">
        <f>_xlfn.IFNA(VLOOKUP(Aragon!E983,'Kilter Holds'!$P$36:$AB$370,5,0),0)</f>
        <v>0</v>
      </c>
      <c r="J983" s="2">
        <f t="shared" si="50"/>
        <v>0</v>
      </c>
      <c r="K983" s="2">
        <f t="shared" si="51"/>
        <v>0</v>
      </c>
    </row>
    <row r="984" spans="5:11">
      <c r="E984" t="s">
        <v>192</v>
      </c>
      <c r="F984" t="s">
        <v>648</v>
      </c>
      <c r="G984" s="6" t="str">
        <f t="shared" si="52"/>
        <v>14-01</v>
      </c>
      <c r="H984" s="1">
        <f>_xlfn.IFNA(VLOOKUP(Aragon!E984,'Kilter Holds'!$P$36:$AB$370,6,0),0)</f>
        <v>0</v>
      </c>
      <c r="J984" s="2">
        <f t="shared" si="50"/>
        <v>0</v>
      </c>
      <c r="K984" s="2">
        <f t="shared" si="51"/>
        <v>0</v>
      </c>
    </row>
    <row r="985" spans="5:11">
      <c r="E985" t="s">
        <v>192</v>
      </c>
      <c r="F985" t="s">
        <v>648</v>
      </c>
      <c r="G985" s="7" t="str">
        <f t="shared" si="52"/>
        <v>15-12</v>
      </c>
      <c r="H985" s="1">
        <f>_xlfn.IFNA(VLOOKUP(Aragon!E985,'Kilter Holds'!$P$36:$AB$370,7,0),0)</f>
        <v>0</v>
      </c>
      <c r="J985" s="2">
        <f t="shared" si="50"/>
        <v>0</v>
      </c>
      <c r="K985" s="2">
        <f t="shared" si="51"/>
        <v>0</v>
      </c>
    </row>
    <row r="986" spans="5:11">
      <c r="E986" t="s">
        <v>192</v>
      </c>
      <c r="F986" t="s">
        <v>648</v>
      </c>
      <c r="G986" s="8" t="str">
        <f t="shared" si="52"/>
        <v>16-16</v>
      </c>
      <c r="H986" s="1">
        <f>_xlfn.IFNA(VLOOKUP(Aragon!E986,'Kilter Holds'!$P$36:$AB$370,8,0),0)</f>
        <v>0</v>
      </c>
      <c r="J986" s="2">
        <f t="shared" si="50"/>
        <v>0</v>
      </c>
      <c r="K986" s="2">
        <f t="shared" si="51"/>
        <v>0</v>
      </c>
    </row>
    <row r="987" spans="5:11">
      <c r="E987" t="s">
        <v>192</v>
      </c>
      <c r="F987" t="s">
        <v>648</v>
      </c>
      <c r="G987" s="9" t="str">
        <f t="shared" si="52"/>
        <v>13-01</v>
      </c>
      <c r="H987" s="1">
        <f>_xlfn.IFNA(VLOOKUP(Aragon!E987,'Kilter Holds'!$P$36:$AB$370,9,0),0)</f>
        <v>0</v>
      </c>
      <c r="J987" s="2">
        <f t="shared" si="50"/>
        <v>0</v>
      </c>
      <c r="K987" s="2">
        <f t="shared" si="51"/>
        <v>0</v>
      </c>
    </row>
    <row r="988" spans="5:11">
      <c r="E988" t="s">
        <v>192</v>
      </c>
      <c r="F988" t="s">
        <v>648</v>
      </c>
      <c r="G988" s="10" t="str">
        <f t="shared" si="52"/>
        <v>07-13</v>
      </c>
      <c r="H988" s="1">
        <f>_xlfn.IFNA(VLOOKUP(Aragon!E988,'Kilter Holds'!$P$36:$AB$370,10,0),0)</f>
        <v>0</v>
      </c>
      <c r="J988" s="2">
        <f t="shared" si="50"/>
        <v>0</v>
      </c>
      <c r="K988" s="2">
        <f t="shared" si="51"/>
        <v>0</v>
      </c>
    </row>
    <row r="989" spans="5:11">
      <c r="E989" t="s">
        <v>192</v>
      </c>
      <c r="F989" t="s">
        <v>648</v>
      </c>
      <c r="G989" s="11" t="str">
        <f t="shared" si="52"/>
        <v>11-25</v>
      </c>
      <c r="H989" s="1">
        <f>_xlfn.IFNA(VLOOKUP(Aragon!E989,'Kilter Holds'!$P$36:$AB$370,11,0),0)</f>
        <v>0</v>
      </c>
      <c r="J989" s="2">
        <f t="shared" si="50"/>
        <v>0</v>
      </c>
      <c r="K989" s="2">
        <f t="shared" si="51"/>
        <v>0</v>
      </c>
    </row>
    <row r="990" spans="5:11">
      <c r="E990" t="s">
        <v>192</v>
      </c>
      <c r="F990" t="s">
        <v>648</v>
      </c>
      <c r="G990" s="13" t="str">
        <f t="shared" si="52"/>
        <v>18-01</v>
      </c>
      <c r="H990" s="1">
        <f>_xlfn.IFNA(VLOOKUP(Aragon!E990,'Kilter Holds'!$P$36:$AB$370,12,0),0)</f>
        <v>0</v>
      </c>
      <c r="J990" s="2">
        <f t="shared" si="50"/>
        <v>0</v>
      </c>
      <c r="K990" s="2">
        <f t="shared" si="51"/>
        <v>0</v>
      </c>
    </row>
    <row r="991" spans="5:11">
      <c r="E991" t="s">
        <v>192</v>
      </c>
      <c r="F991" t="s">
        <v>648</v>
      </c>
      <c r="G991" s="12" t="str">
        <f t="shared" si="52"/>
        <v>12-01</v>
      </c>
      <c r="H991" s="1">
        <f>_xlfn.IFNA(VLOOKUP(Aragon!E991,'Kilter Holds'!$P$36:$AB$370,13,0),0)</f>
        <v>0</v>
      </c>
      <c r="J991" s="2">
        <f t="shared" si="50"/>
        <v>0</v>
      </c>
      <c r="K991" s="2">
        <f t="shared" si="51"/>
        <v>0</v>
      </c>
    </row>
    <row r="992" spans="5:11">
      <c r="E992" t="s">
        <v>193</v>
      </c>
      <c r="F992" t="s">
        <v>649</v>
      </c>
      <c r="G992" s="5" t="str">
        <f t="shared" si="52"/>
        <v>11-12</v>
      </c>
      <c r="H992" s="1">
        <f>_xlfn.IFNA(VLOOKUP(Aragon!E992,'Kilter Holds'!$P$36:$AB$370,5,0),0)</f>
        <v>0</v>
      </c>
      <c r="J992" s="2">
        <f t="shared" si="50"/>
        <v>0</v>
      </c>
      <c r="K992" s="2">
        <f t="shared" si="51"/>
        <v>0</v>
      </c>
    </row>
    <row r="993" spans="5:11">
      <c r="E993" t="s">
        <v>193</v>
      </c>
      <c r="F993" t="s">
        <v>649</v>
      </c>
      <c r="G993" s="6" t="str">
        <f t="shared" si="52"/>
        <v>14-01</v>
      </c>
      <c r="H993" s="1">
        <f>_xlfn.IFNA(VLOOKUP(Aragon!E993,'Kilter Holds'!$P$36:$AB$370,6,0),0)</f>
        <v>0</v>
      </c>
      <c r="J993" s="2">
        <f t="shared" si="50"/>
        <v>0</v>
      </c>
      <c r="K993" s="2">
        <f t="shared" si="51"/>
        <v>0</v>
      </c>
    </row>
    <row r="994" spans="5:11">
      <c r="E994" t="s">
        <v>193</v>
      </c>
      <c r="F994" t="s">
        <v>649</v>
      </c>
      <c r="G994" s="7" t="str">
        <f t="shared" si="52"/>
        <v>15-12</v>
      </c>
      <c r="H994" s="1">
        <f>_xlfn.IFNA(VLOOKUP(Aragon!E994,'Kilter Holds'!$P$36:$AB$370,7,0),0)</f>
        <v>0</v>
      </c>
      <c r="J994" s="2">
        <f t="shared" si="50"/>
        <v>0</v>
      </c>
      <c r="K994" s="2">
        <f t="shared" si="51"/>
        <v>0</v>
      </c>
    </row>
    <row r="995" spans="5:11">
      <c r="E995" t="s">
        <v>193</v>
      </c>
      <c r="F995" t="s">
        <v>649</v>
      </c>
      <c r="G995" s="8" t="str">
        <f t="shared" si="52"/>
        <v>16-16</v>
      </c>
      <c r="H995" s="1">
        <f>_xlfn.IFNA(VLOOKUP(Aragon!E995,'Kilter Holds'!$P$36:$AB$370,8,0),0)</f>
        <v>0</v>
      </c>
      <c r="J995" s="2">
        <f t="shared" si="50"/>
        <v>0</v>
      </c>
      <c r="K995" s="2">
        <f t="shared" si="51"/>
        <v>0</v>
      </c>
    </row>
    <row r="996" spans="5:11">
      <c r="E996" t="s">
        <v>193</v>
      </c>
      <c r="F996" t="s">
        <v>649</v>
      </c>
      <c r="G996" s="9" t="str">
        <f t="shared" si="52"/>
        <v>13-01</v>
      </c>
      <c r="H996" s="1">
        <f>_xlfn.IFNA(VLOOKUP(Aragon!E996,'Kilter Holds'!$P$36:$AB$370,9,0),0)</f>
        <v>0</v>
      </c>
      <c r="J996" s="2">
        <f t="shared" si="50"/>
        <v>0</v>
      </c>
      <c r="K996" s="2">
        <f t="shared" si="51"/>
        <v>0</v>
      </c>
    </row>
    <row r="997" spans="5:11">
      <c r="E997" t="s">
        <v>193</v>
      </c>
      <c r="F997" t="s">
        <v>649</v>
      </c>
      <c r="G997" s="10" t="str">
        <f t="shared" si="52"/>
        <v>07-13</v>
      </c>
      <c r="H997" s="1">
        <f>_xlfn.IFNA(VLOOKUP(Aragon!E997,'Kilter Holds'!$P$36:$AB$370,10,0),0)</f>
        <v>0</v>
      </c>
      <c r="J997" s="2">
        <f t="shared" si="50"/>
        <v>0</v>
      </c>
      <c r="K997" s="2">
        <f t="shared" si="51"/>
        <v>0</v>
      </c>
    </row>
    <row r="998" spans="5:11">
      <c r="E998" t="s">
        <v>193</v>
      </c>
      <c r="F998" t="s">
        <v>649</v>
      </c>
      <c r="G998" s="11" t="str">
        <f t="shared" si="52"/>
        <v>11-25</v>
      </c>
      <c r="H998" s="1">
        <f>_xlfn.IFNA(VLOOKUP(Aragon!E998,'Kilter Holds'!$P$36:$AB$370,11,0),0)</f>
        <v>0</v>
      </c>
      <c r="J998" s="2">
        <f t="shared" si="50"/>
        <v>0</v>
      </c>
      <c r="K998" s="2">
        <f t="shared" si="51"/>
        <v>0</v>
      </c>
    </row>
    <row r="999" spans="5:11">
      <c r="E999" t="s">
        <v>193</v>
      </c>
      <c r="F999" t="s">
        <v>649</v>
      </c>
      <c r="G999" s="13" t="str">
        <f t="shared" si="52"/>
        <v>18-01</v>
      </c>
      <c r="H999" s="1">
        <f>_xlfn.IFNA(VLOOKUP(Aragon!E999,'Kilter Holds'!$P$36:$AB$370,12,0),0)</f>
        <v>0</v>
      </c>
      <c r="J999" s="2">
        <f t="shared" si="50"/>
        <v>0</v>
      </c>
      <c r="K999" s="2">
        <f t="shared" si="51"/>
        <v>0</v>
      </c>
    </row>
    <row r="1000" spans="5:11">
      <c r="E1000" t="s">
        <v>193</v>
      </c>
      <c r="F1000" t="s">
        <v>649</v>
      </c>
      <c r="G1000" s="12" t="str">
        <f t="shared" si="52"/>
        <v>12-01</v>
      </c>
      <c r="H1000" s="1">
        <f>_xlfn.IFNA(VLOOKUP(Aragon!E1000,'Kilter Holds'!$P$36:$AB$370,13,0),0)</f>
        <v>0</v>
      </c>
      <c r="J1000" s="2">
        <f t="shared" si="50"/>
        <v>0</v>
      </c>
      <c r="K1000" s="2">
        <f t="shared" si="51"/>
        <v>0</v>
      </c>
    </row>
    <row r="1001" spans="5:11">
      <c r="E1001" t="s">
        <v>304</v>
      </c>
      <c r="F1001" t="s">
        <v>650</v>
      </c>
      <c r="G1001" s="5" t="str">
        <f t="shared" si="52"/>
        <v>11-12</v>
      </c>
      <c r="H1001" s="1">
        <f>_xlfn.IFNA(VLOOKUP(Aragon!E1001,'Kilter Holds'!$P$36:$AB$370,5,0),0)</f>
        <v>0</v>
      </c>
      <c r="J1001" s="2">
        <f t="shared" si="50"/>
        <v>0</v>
      </c>
      <c r="K1001" s="2">
        <f t="shared" si="51"/>
        <v>0</v>
      </c>
    </row>
    <row r="1002" spans="5:11">
      <c r="E1002" t="s">
        <v>304</v>
      </c>
      <c r="F1002" t="s">
        <v>650</v>
      </c>
      <c r="G1002" s="6" t="str">
        <f t="shared" si="52"/>
        <v>14-01</v>
      </c>
      <c r="H1002" s="1">
        <f>_xlfn.IFNA(VLOOKUP(Aragon!E1002,'Kilter Holds'!$P$36:$AB$370,6,0),0)</f>
        <v>0</v>
      </c>
      <c r="J1002" s="2">
        <f t="shared" si="50"/>
        <v>0</v>
      </c>
      <c r="K1002" s="2">
        <f t="shared" si="51"/>
        <v>0</v>
      </c>
    </row>
    <row r="1003" spans="5:11">
      <c r="E1003" t="s">
        <v>304</v>
      </c>
      <c r="F1003" t="s">
        <v>650</v>
      </c>
      <c r="G1003" s="7" t="str">
        <f t="shared" si="52"/>
        <v>15-12</v>
      </c>
      <c r="H1003" s="1">
        <f>_xlfn.IFNA(VLOOKUP(Aragon!E1003,'Kilter Holds'!$P$36:$AB$370,7,0),0)</f>
        <v>0</v>
      </c>
      <c r="J1003" s="2">
        <f t="shared" si="50"/>
        <v>0</v>
      </c>
      <c r="K1003" s="2">
        <f t="shared" si="51"/>
        <v>0</v>
      </c>
    </row>
    <row r="1004" spans="5:11">
      <c r="E1004" t="s">
        <v>304</v>
      </c>
      <c r="F1004" t="s">
        <v>650</v>
      </c>
      <c r="G1004" s="8" t="str">
        <f t="shared" si="52"/>
        <v>16-16</v>
      </c>
      <c r="H1004" s="1">
        <f>_xlfn.IFNA(VLOOKUP(Aragon!E1004,'Kilter Holds'!$P$36:$AB$370,8,0),0)</f>
        <v>0</v>
      </c>
      <c r="J1004" s="2">
        <f t="shared" si="50"/>
        <v>0</v>
      </c>
      <c r="K1004" s="2">
        <f t="shared" si="51"/>
        <v>0</v>
      </c>
    </row>
    <row r="1005" spans="5:11">
      <c r="E1005" t="s">
        <v>304</v>
      </c>
      <c r="F1005" t="s">
        <v>650</v>
      </c>
      <c r="G1005" s="9" t="str">
        <f t="shared" si="52"/>
        <v>13-01</v>
      </c>
      <c r="H1005" s="1">
        <f>_xlfn.IFNA(VLOOKUP(Aragon!E1005,'Kilter Holds'!$P$36:$AB$370,9,0),0)</f>
        <v>0</v>
      </c>
      <c r="J1005" s="2">
        <f t="shared" si="50"/>
        <v>0</v>
      </c>
      <c r="K1005" s="2">
        <f t="shared" si="51"/>
        <v>0</v>
      </c>
    </row>
    <row r="1006" spans="5:11">
      <c r="E1006" t="s">
        <v>304</v>
      </c>
      <c r="F1006" t="s">
        <v>650</v>
      </c>
      <c r="G1006" s="10" t="str">
        <f t="shared" si="52"/>
        <v>07-13</v>
      </c>
      <c r="H1006" s="1">
        <f>_xlfn.IFNA(VLOOKUP(Aragon!E1006,'Kilter Holds'!$P$36:$AB$370,10,0),0)</f>
        <v>0</v>
      </c>
      <c r="J1006" s="2">
        <f t="shared" si="50"/>
        <v>0</v>
      </c>
      <c r="K1006" s="2">
        <f t="shared" si="51"/>
        <v>0</v>
      </c>
    </row>
    <row r="1007" spans="5:11">
      <c r="E1007" t="s">
        <v>304</v>
      </c>
      <c r="F1007" t="s">
        <v>650</v>
      </c>
      <c r="G1007" s="11" t="str">
        <f t="shared" si="52"/>
        <v>11-25</v>
      </c>
      <c r="H1007" s="1">
        <f>_xlfn.IFNA(VLOOKUP(Aragon!E1007,'Kilter Holds'!$P$36:$AB$370,11,0),0)</f>
        <v>0</v>
      </c>
      <c r="J1007" s="2">
        <f t="shared" si="50"/>
        <v>0</v>
      </c>
      <c r="K1007" s="2">
        <f t="shared" si="51"/>
        <v>0</v>
      </c>
    </row>
    <row r="1008" spans="5:11">
      <c r="E1008" t="s">
        <v>304</v>
      </c>
      <c r="F1008" t="s">
        <v>650</v>
      </c>
      <c r="G1008" s="13" t="str">
        <f t="shared" si="52"/>
        <v>18-01</v>
      </c>
      <c r="H1008" s="1">
        <f>_xlfn.IFNA(VLOOKUP(Aragon!E1008,'Kilter Holds'!$P$36:$AB$370,12,0),0)</f>
        <v>0</v>
      </c>
      <c r="J1008" s="2">
        <f t="shared" si="50"/>
        <v>0</v>
      </c>
      <c r="K1008" s="2">
        <f t="shared" si="51"/>
        <v>0</v>
      </c>
    </row>
    <row r="1009" spans="5:11">
      <c r="E1009" t="s">
        <v>304</v>
      </c>
      <c r="F1009" t="s">
        <v>650</v>
      </c>
      <c r="G1009" s="12" t="str">
        <f t="shared" si="52"/>
        <v>12-01</v>
      </c>
      <c r="H1009" s="1">
        <f>_xlfn.IFNA(VLOOKUP(Aragon!E1009,'Kilter Holds'!$P$36:$AB$370,13,0),0)</f>
        <v>0</v>
      </c>
      <c r="J1009" s="2">
        <f t="shared" si="50"/>
        <v>0</v>
      </c>
      <c r="K1009" s="2">
        <f t="shared" si="51"/>
        <v>0</v>
      </c>
    </row>
    <row r="1010" spans="5:11">
      <c r="E1010" t="s">
        <v>206</v>
      </c>
      <c r="F1010" t="s">
        <v>651</v>
      </c>
      <c r="G1010" s="5" t="str">
        <f t="shared" si="52"/>
        <v>11-12</v>
      </c>
      <c r="H1010" s="1">
        <f>_xlfn.IFNA(VLOOKUP(Aragon!E1010,'Kilter Holds'!$P$36:$AB$370,5,0),0)</f>
        <v>0</v>
      </c>
      <c r="J1010" s="2">
        <f t="shared" si="50"/>
        <v>0</v>
      </c>
      <c r="K1010" s="2">
        <f t="shared" si="51"/>
        <v>0</v>
      </c>
    </row>
    <row r="1011" spans="5:11">
      <c r="E1011" t="s">
        <v>206</v>
      </c>
      <c r="F1011" t="s">
        <v>651</v>
      </c>
      <c r="G1011" s="6" t="str">
        <f t="shared" si="52"/>
        <v>14-01</v>
      </c>
      <c r="H1011" s="1">
        <f>_xlfn.IFNA(VLOOKUP(Aragon!E1011,'Kilter Holds'!$P$36:$AB$370,6,0),0)</f>
        <v>0</v>
      </c>
      <c r="J1011" s="2">
        <f t="shared" si="50"/>
        <v>0</v>
      </c>
      <c r="K1011" s="2">
        <f t="shared" si="51"/>
        <v>0</v>
      </c>
    </row>
    <row r="1012" spans="5:11">
      <c r="E1012" t="s">
        <v>206</v>
      </c>
      <c r="F1012" t="s">
        <v>651</v>
      </c>
      <c r="G1012" s="7" t="str">
        <f t="shared" si="52"/>
        <v>15-12</v>
      </c>
      <c r="H1012" s="1">
        <f>_xlfn.IFNA(VLOOKUP(Aragon!E1012,'Kilter Holds'!$P$36:$AB$370,7,0),0)</f>
        <v>0</v>
      </c>
      <c r="J1012" s="2">
        <f t="shared" si="50"/>
        <v>0</v>
      </c>
      <c r="K1012" s="2">
        <f t="shared" si="51"/>
        <v>0</v>
      </c>
    </row>
    <row r="1013" spans="5:11">
      <c r="E1013" t="s">
        <v>206</v>
      </c>
      <c r="F1013" t="s">
        <v>651</v>
      </c>
      <c r="G1013" s="8" t="str">
        <f t="shared" si="52"/>
        <v>16-16</v>
      </c>
      <c r="H1013" s="1">
        <f>_xlfn.IFNA(VLOOKUP(Aragon!E1013,'Kilter Holds'!$P$36:$AB$370,8,0),0)</f>
        <v>0</v>
      </c>
      <c r="J1013" s="2">
        <f t="shared" si="50"/>
        <v>0</v>
      </c>
      <c r="K1013" s="2">
        <f t="shared" si="51"/>
        <v>0</v>
      </c>
    </row>
    <row r="1014" spans="5:11">
      <c r="E1014" t="s">
        <v>206</v>
      </c>
      <c r="F1014" t="s">
        <v>651</v>
      </c>
      <c r="G1014" s="9" t="str">
        <f t="shared" si="52"/>
        <v>13-01</v>
      </c>
      <c r="H1014" s="1">
        <f>_xlfn.IFNA(VLOOKUP(Aragon!E1014,'Kilter Holds'!$P$36:$AB$370,9,0),0)</f>
        <v>0</v>
      </c>
      <c r="J1014" s="2">
        <f t="shared" si="50"/>
        <v>0</v>
      </c>
      <c r="K1014" s="2">
        <f t="shared" si="51"/>
        <v>0</v>
      </c>
    </row>
    <row r="1015" spans="5:11">
      <c r="E1015" t="s">
        <v>206</v>
      </c>
      <c r="F1015" t="s">
        <v>651</v>
      </c>
      <c r="G1015" s="10" t="str">
        <f t="shared" si="52"/>
        <v>07-13</v>
      </c>
      <c r="H1015" s="1">
        <f>_xlfn.IFNA(VLOOKUP(Aragon!E1015,'Kilter Holds'!$P$36:$AB$370,10,0),0)</f>
        <v>0</v>
      </c>
      <c r="J1015" s="2">
        <f t="shared" si="50"/>
        <v>0</v>
      </c>
      <c r="K1015" s="2">
        <f t="shared" si="51"/>
        <v>0</v>
      </c>
    </row>
    <row r="1016" spans="5:11">
      <c r="E1016" t="s">
        <v>206</v>
      </c>
      <c r="F1016" t="s">
        <v>651</v>
      </c>
      <c r="G1016" s="11" t="str">
        <f t="shared" si="52"/>
        <v>11-25</v>
      </c>
      <c r="H1016" s="1">
        <f>_xlfn.IFNA(VLOOKUP(Aragon!E1016,'Kilter Holds'!$P$36:$AB$370,11,0),0)</f>
        <v>0</v>
      </c>
      <c r="J1016" s="2">
        <f t="shared" si="50"/>
        <v>0</v>
      </c>
      <c r="K1016" s="2">
        <f t="shared" si="51"/>
        <v>0</v>
      </c>
    </row>
    <row r="1017" spans="5:11">
      <c r="E1017" t="s">
        <v>206</v>
      </c>
      <c r="F1017" t="s">
        <v>651</v>
      </c>
      <c r="G1017" s="13" t="str">
        <f t="shared" si="52"/>
        <v>18-01</v>
      </c>
      <c r="H1017" s="1">
        <f>_xlfn.IFNA(VLOOKUP(Aragon!E1017,'Kilter Holds'!$P$36:$AB$370,12,0),0)</f>
        <v>0</v>
      </c>
      <c r="J1017" s="2">
        <f t="shared" si="50"/>
        <v>0</v>
      </c>
      <c r="K1017" s="2">
        <f t="shared" si="51"/>
        <v>0</v>
      </c>
    </row>
    <row r="1018" spans="5:11">
      <c r="E1018" t="s">
        <v>206</v>
      </c>
      <c r="F1018" t="s">
        <v>651</v>
      </c>
      <c r="G1018" s="12" t="str">
        <f t="shared" si="52"/>
        <v>12-01</v>
      </c>
      <c r="H1018" s="1">
        <f>_xlfn.IFNA(VLOOKUP(Aragon!E1018,'Kilter Holds'!$P$36:$AB$370,13,0),0)</f>
        <v>0</v>
      </c>
      <c r="J1018" s="2">
        <f t="shared" ref="J1018:J1081" si="53">H1018*I1018</f>
        <v>0</v>
      </c>
      <c r="K1018" s="2">
        <f t="shared" si="51"/>
        <v>0</v>
      </c>
    </row>
    <row r="1019" spans="5:11">
      <c r="E1019" t="s">
        <v>334</v>
      </c>
      <c r="F1019" t="s">
        <v>652</v>
      </c>
      <c r="G1019" s="5" t="str">
        <f t="shared" si="52"/>
        <v>11-12</v>
      </c>
      <c r="H1019" s="1">
        <f>_xlfn.IFNA(VLOOKUP(Aragon!E1019,'Kilter Holds'!$P$36:$AB$370,5,0),0)</f>
        <v>0</v>
      </c>
      <c r="J1019" s="2">
        <f t="shared" si="53"/>
        <v>0</v>
      </c>
      <c r="K1019" s="2">
        <f t="shared" si="51"/>
        <v>0</v>
      </c>
    </row>
    <row r="1020" spans="5:11">
      <c r="E1020" t="s">
        <v>334</v>
      </c>
      <c r="F1020" t="s">
        <v>652</v>
      </c>
      <c r="G1020" s="6" t="str">
        <f t="shared" si="52"/>
        <v>14-01</v>
      </c>
      <c r="H1020" s="1">
        <f>_xlfn.IFNA(VLOOKUP(Aragon!E1020,'Kilter Holds'!$P$36:$AB$370,6,0),0)</f>
        <v>0</v>
      </c>
      <c r="J1020" s="2">
        <f t="shared" si="53"/>
        <v>0</v>
      </c>
      <c r="K1020" s="2">
        <f t="shared" si="51"/>
        <v>0</v>
      </c>
    </row>
    <row r="1021" spans="5:11">
      <c r="E1021" t="s">
        <v>334</v>
      </c>
      <c r="F1021" t="s">
        <v>652</v>
      </c>
      <c r="G1021" s="7" t="str">
        <f t="shared" si="52"/>
        <v>15-12</v>
      </c>
      <c r="H1021" s="1">
        <f>_xlfn.IFNA(VLOOKUP(Aragon!E1021,'Kilter Holds'!$P$36:$AB$370,7,0),0)</f>
        <v>0</v>
      </c>
      <c r="J1021" s="2">
        <f t="shared" si="53"/>
        <v>0</v>
      </c>
      <c r="K1021" s="2">
        <f t="shared" si="51"/>
        <v>0</v>
      </c>
    </row>
    <row r="1022" spans="5:11">
      <c r="E1022" t="s">
        <v>334</v>
      </c>
      <c r="F1022" t="s">
        <v>652</v>
      </c>
      <c r="G1022" s="8" t="str">
        <f t="shared" si="52"/>
        <v>16-16</v>
      </c>
      <c r="H1022" s="1">
        <f>_xlfn.IFNA(VLOOKUP(Aragon!E1022,'Kilter Holds'!$P$36:$AB$370,8,0),0)</f>
        <v>0</v>
      </c>
      <c r="J1022" s="2">
        <f t="shared" si="53"/>
        <v>0</v>
      </c>
      <c r="K1022" s="2">
        <f t="shared" si="51"/>
        <v>0</v>
      </c>
    </row>
    <row r="1023" spans="5:11">
      <c r="E1023" t="s">
        <v>334</v>
      </c>
      <c r="F1023" t="s">
        <v>652</v>
      </c>
      <c r="G1023" s="9" t="str">
        <f t="shared" si="52"/>
        <v>13-01</v>
      </c>
      <c r="H1023" s="1">
        <f>_xlfn.IFNA(VLOOKUP(Aragon!E1023,'Kilter Holds'!$P$36:$AB$370,9,0),0)</f>
        <v>0</v>
      </c>
      <c r="J1023" s="2">
        <f t="shared" si="53"/>
        <v>0</v>
      </c>
      <c r="K1023" s="2">
        <f t="shared" si="51"/>
        <v>0</v>
      </c>
    </row>
    <row r="1024" spans="5:11">
      <c r="E1024" t="s">
        <v>334</v>
      </c>
      <c r="F1024" t="s">
        <v>652</v>
      </c>
      <c r="G1024" s="10" t="str">
        <f t="shared" si="52"/>
        <v>07-13</v>
      </c>
      <c r="H1024" s="1">
        <f>_xlfn.IFNA(VLOOKUP(Aragon!E1024,'Kilter Holds'!$P$36:$AB$370,10,0),0)</f>
        <v>0</v>
      </c>
      <c r="J1024" s="2">
        <f t="shared" si="53"/>
        <v>0</v>
      </c>
      <c r="K1024" s="2">
        <f t="shared" si="51"/>
        <v>0</v>
      </c>
    </row>
    <row r="1025" spans="1:11">
      <c r="E1025" t="s">
        <v>334</v>
      </c>
      <c r="F1025" t="s">
        <v>652</v>
      </c>
      <c r="G1025" s="11" t="str">
        <f t="shared" si="52"/>
        <v>11-25</v>
      </c>
      <c r="H1025" s="1">
        <f>_xlfn.IFNA(VLOOKUP(Aragon!E1025,'Kilter Holds'!$P$36:$AB$370,11,0),0)</f>
        <v>0</v>
      </c>
      <c r="J1025" s="2">
        <f t="shared" si="53"/>
        <v>0</v>
      </c>
      <c r="K1025" s="2">
        <f t="shared" si="51"/>
        <v>0</v>
      </c>
    </row>
    <row r="1026" spans="1:11">
      <c r="E1026" t="s">
        <v>334</v>
      </c>
      <c r="F1026" t="s">
        <v>652</v>
      </c>
      <c r="G1026" s="13" t="str">
        <f t="shared" si="52"/>
        <v>18-01</v>
      </c>
      <c r="H1026" s="1">
        <f>_xlfn.IFNA(VLOOKUP(Aragon!E1026,'Kilter Holds'!$P$36:$AB$370,12,0),0)</f>
        <v>0</v>
      </c>
      <c r="J1026" s="2">
        <f t="shared" si="53"/>
        <v>0</v>
      </c>
      <c r="K1026" s="2">
        <f t="shared" si="51"/>
        <v>0</v>
      </c>
    </row>
    <row r="1027" spans="1:11">
      <c r="E1027" t="s">
        <v>334</v>
      </c>
      <c r="F1027" t="s">
        <v>652</v>
      </c>
      <c r="G1027" s="12" t="str">
        <f t="shared" si="52"/>
        <v>12-01</v>
      </c>
      <c r="H1027" s="1">
        <f>_xlfn.IFNA(VLOOKUP(Aragon!E1027,'Kilter Holds'!$P$36:$AB$370,13,0),0)</f>
        <v>0</v>
      </c>
      <c r="J1027" s="2">
        <f t="shared" si="53"/>
        <v>0</v>
      </c>
      <c r="K1027" s="2">
        <f t="shared" si="51"/>
        <v>0</v>
      </c>
    </row>
    <row r="1028" spans="1:11">
      <c r="E1028" t="s">
        <v>207</v>
      </c>
      <c r="F1028" t="s">
        <v>653</v>
      </c>
      <c r="G1028" s="5" t="str">
        <f t="shared" si="52"/>
        <v>11-12</v>
      </c>
      <c r="H1028" s="1">
        <f>_xlfn.IFNA(VLOOKUP(Aragon!E1028,'Kilter Holds'!$P$36:$AB$370,5,0),0)</f>
        <v>0</v>
      </c>
      <c r="J1028" s="2">
        <f t="shared" si="53"/>
        <v>0</v>
      </c>
      <c r="K1028" s="2">
        <f t="shared" si="51"/>
        <v>0</v>
      </c>
    </row>
    <row r="1029" spans="1:11">
      <c r="E1029" t="s">
        <v>207</v>
      </c>
      <c r="F1029" t="s">
        <v>653</v>
      </c>
      <c r="G1029" s="6" t="str">
        <f t="shared" si="52"/>
        <v>14-01</v>
      </c>
      <c r="H1029" s="1">
        <f>_xlfn.IFNA(VLOOKUP(Aragon!E1029,'Kilter Holds'!$P$36:$AB$370,6,0),0)</f>
        <v>0</v>
      </c>
      <c r="J1029" s="2">
        <f t="shared" si="53"/>
        <v>0</v>
      </c>
      <c r="K1029" s="2">
        <f t="shared" si="51"/>
        <v>0</v>
      </c>
    </row>
    <row r="1030" spans="1:11">
      <c r="E1030" t="s">
        <v>207</v>
      </c>
      <c r="F1030" t="s">
        <v>653</v>
      </c>
      <c r="G1030" s="7" t="str">
        <f t="shared" si="52"/>
        <v>15-12</v>
      </c>
      <c r="H1030" s="1">
        <f>_xlfn.IFNA(VLOOKUP(Aragon!E1030,'Kilter Holds'!$P$36:$AB$370,7,0),0)</f>
        <v>0</v>
      </c>
      <c r="J1030" s="2">
        <f t="shared" si="53"/>
        <v>0</v>
      </c>
      <c r="K1030" s="2">
        <f t="shared" si="51"/>
        <v>0</v>
      </c>
    </row>
    <row r="1031" spans="1:11">
      <c r="E1031" t="s">
        <v>207</v>
      </c>
      <c r="F1031" t="s">
        <v>653</v>
      </c>
      <c r="G1031" s="8" t="str">
        <f t="shared" si="52"/>
        <v>16-16</v>
      </c>
      <c r="H1031" s="1">
        <f>_xlfn.IFNA(VLOOKUP(Aragon!E1031,'Kilter Holds'!$P$36:$AB$370,8,0),0)</f>
        <v>0</v>
      </c>
      <c r="J1031" s="2">
        <f t="shared" si="53"/>
        <v>0</v>
      </c>
      <c r="K1031" s="2">
        <f t="shared" si="51"/>
        <v>0</v>
      </c>
    </row>
    <row r="1032" spans="1:11">
      <c r="E1032" t="s">
        <v>207</v>
      </c>
      <c r="F1032" t="s">
        <v>653</v>
      </c>
      <c r="G1032" s="9" t="str">
        <f t="shared" si="52"/>
        <v>13-01</v>
      </c>
      <c r="H1032" s="1">
        <f>_xlfn.IFNA(VLOOKUP(Aragon!E1032,'Kilter Holds'!$P$36:$AB$370,9,0),0)</f>
        <v>0</v>
      </c>
      <c r="J1032" s="2">
        <f t="shared" si="53"/>
        <v>0</v>
      </c>
      <c r="K1032" s="2">
        <f t="shared" si="51"/>
        <v>0</v>
      </c>
    </row>
    <row r="1033" spans="1:11">
      <c r="E1033" t="s">
        <v>207</v>
      </c>
      <c r="F1033" t="s">
        <v>653</v>
      </c>
      <c r="G1033" s="10" t="str">
        <f t="shared" si="52"/>
        <v>07-13</v>
      </c>
      <c r="H1033" s="1">
        <f>_xlfn.IFNA(VLOOKUP(Aragon!E1033,'Kilter Holds'!$P$36:$AB$370,10,0),0)</f>
        <v>0</v>
      </c>
      <c r="J1033" s="2">
        <f t="shared" si="53"/>
        <v>0</v>
      </c>
      <c r="K1033" s="2">
        <f t="shared" si="51"/>
        <v>0</v>
      </c>
    </row>
    <row r="1034" spans="1:11">
      <c r="E1034" t="s">
        <v>207</v>
      </c>
      <c r="F1034" t="s">
        <v>653</v>
      </c>
      <c r="G1034" s="11" t="str">
        <f t="shared" si="52"/>
        <v>11-25</v>
      </c>
      <c r="H1034" s="1">
        <f>_xlfn.IFNA(VLOOKUP(Aragon!E1034,'Kilter Holds'!$P$36:$AB$370,11,0),0)</f>
        <v>0</v>
      </c>
      <c r="J1034" s="2">
        <f t="shared" si="53"/>
        <v>0</v>
      </c>
      <c r="K1034" s="2">
        <f t="shared" si="51"/>
        <v>0</v>
      </c>
    </row>
    <row r="1035" spans="1:11">
      <c r="E1035" t="s">
        <v>207</v>
      </c>
      <c r="F1035" t="s">
        <v>653</v>
      </c>
      <c r="G1035" s="13" t="str">
        <f t="shared" si="52"/>
        <v>18-01</v>
      </c>
      <c r="H1035" s="1">
        <f>_xlfn.IFNA(VLOOKUP(Aragon!E1035,'Kilter Holds'!$P$36:$AB$370,12,0),0)</f>
        <v>0</v>
      </c>
      <c r="J1035" s="2">
        <f t="shared" si="53"/>
        <v>0</v>
      </c>
      <c r="K1035" s="2">
        <f t="shared" si="51"/>
        <v>0</v>
      </c>
    </row>
    <row r="1036" spans="1:11">
      <c r="E1036" t="s">
        <v>207</v>
      </c>
      <c r="F1036" t="s">
        <v>653</v>
      </c>
      <c r="G1036" s="12" t="str">
        <f t="shared" si="52"/>
        <v>12-01</v>
      </c>
      <c r="H1036" s="1">
        <f>_xlfn.IFNA(VLOOKUP(Aragon!E1036,'Kilter Holds'!$P$36:$AB$370,13,0),0)</f>
        <v>0</v>
      </c>
      <c r="J1036" s="2">
        <f t="shared" si="53"/>
        <v>0</v>
      </c>
      <c r="K1036" s="2">
        <f t="shared" ref="K1036:K1099" si="54">IF($V$11="Y",J1036*0.05,0)</f>
        <v>0</v>
      </c>
    </row>
    <row r="1037" spans="1:11">
      <c r="A1037" s="3" t="s">
        <v>2207</v>
      </c>
      <c r="E1037" t="s">
        <v>335</v>
      </c>
      <c r="F1037" t="s">
        <v>654</v>
      </c>
      <c r="G1037" s="5" t="str">
        <f t="shared" ref="G1037:G1100" si="55">G1028</f>
        <v>11-12</v>
      </c>
      <c r="H1037" s="1">
        <f>_xlfn.IFNA(VLOOKUP(E1037,'Kilter Holds'!$P$36:$AB$370,5,0),0)+_xlfn.IFNA(VLOOKUP(A1037,'Kilter Holds'!$P$36:$AB$370,5,0),0)</f>
        <v>0</v>
      </c>
      <c r="J1037" s="2">
        <f t="shared" si="53"/>
        <v>0</v>
      </c>
      <c r="K1037" s="2">
        <f t="shared" si="54"/>
        <v>0</v>
      </c>
    </row>
    <row r="1038" spans="1:11">
      <c r="A1038" s="3" t="s">
        <v>2207</v>
      </c>
      <c r="E1038" t="s">
        <v>335</v>
      </c>
      <c r="F1038" t="s">
        <v>654</v>
      </c>
      <c r="G1038" s="6" t="str">
        <f t="shared" si="55"/>
        <v>14-01</v>
      </c>
      <c r="H1038" s="1">
        <f>_xlfn.IFNA(VLOOKUP(E1038,'Kilter Holds'!$P$36:$AB$370,6,0),0)+_xlfn.IFNA(VLOOKUP(A1038,'Kilter Holds'!$P$36:$AB$370,6,0),0)</f>
        <v>0</v>
      </c>
      <c r="J1038" s="2">
        <f t="shared" si="53"/>
        <v>0</v>
      </c>
      <c r="K1038" s="2">
        <f t="shared" si="54"/>
        <v>0</v>
      </c>
    </row>
    <row r="1039" spans="1:11">
      <c r="A1039" s="3" t="s">
        <v>2207</v>
      </c>
      <c r="E1039" t="s">
        <v>335</v>
      </c>
      <c r="F1039" t="s">
        <v>654</v>
      </c>
      <c r="G1039" s="7" t="str">
        <f t="shared" si="55"/>
        <v>15-12</v>
      </c>
      <c r="H1039" s="1">
        <f>_xlfn.IFNA(VLOOKUP(E1039,'Kilter Holds'!$P$36:$AB$370,7,0),0)+_xlfn.IFNA(VLOOKUP(A1039,'Kilter Holds'!$P$36:$AB$370,7,0),0)</f>
        <v>0</v>
      </c>
      <c r="J1039" s="2">
        <f t="shared" si="53"/>
        <v>0</v>
      </c>
      <c r="K1039" s="2">
        <f t="shared" si="54"/>
        <v>0</v>
      </c>
    </row>
    <row r="1040" spans="1:11">
      <c r="A1040" s="3" t="s">
        <v>2207</v>
      </c>
      <c r="E1040" t="s">
        <v>335</v>
      </c>
      <c r="F1040" t="s">
        <v>654</v>
      </c>
      <c r="G1040" s="8" t="str">
        <f t="shared" si="55"/>
        <v>16-16</v>
      </c>
      <c r="H1040" s="1">
        <f>_xlfn.IFNA(VLOOKUP(E1040,'Kilter Holds'!$P$36:$AB$370,8,0),0)+_xlfn.IFNA(VLOOKUP(A1040,'Kilter Holds'!$P$36:$AB$370,8,0),0)</f>
        <v>0</v>
      </c>
      <c r="J1040" s="2">
        <f t="shared" si="53"/>
        <v>0</v>
      </c>
      <c r="K1040" s="2">
        <f t="shared" si="54"/>
        <v>0</v>
      </c>
    </row>
    <row r="1041" spans="1:11">
      <c r="A1041" s="3" t="s">
        <v>2207</v>
      </c>
      <c r="E1041" t="s">
        <v>335</v>
      </c>
      <c r="F1041" t="s">
        <v>654</v>
      </c>
      <c r="G1041" s="9" t="str">
        <f t="shared" si="55"/>
        <v>13-01</v>
      </c>
      <c r="H1041" s="1">
        <f>_xlfn.IFNA(VLOOKUP(E1041,'Kilter Holds'!$P$36:$AB$370,9,0),0)+_xlfn.IFNA(VLOOKUP(A1041,'Kilter Holds'!$P$36:$AB$370,9,0),0)</f>
        <v>0</v>
      </c>
      <c r="J1041" s="2">
        <f t="shared" si="53"/>
        <v>0</v>
      </c>
      <c r="K1041" s="2">
        <f t="shared" si="54"/>
        <v>0</v>
      </c>
    </row>
    <row r="1042" spans="1:11">
      <c r="A1042" s="3" t="s">
        <v>2207</v>
      </c>
      <c r="E1042" t="s">
        <v>335</v>
      </c>
      <c r="F1042" t="s">
        <v>654</v>
      </c>
      <c r="G1042" s="10" t="str">
        <f t="shared" si="55"/>
        <v>07-13</v>
      </c>
      <c r="H1042" s="1">
        <f>_xlfn.IFNA(VLOOKUP(E1042,'Kilter Holds'!$P$36:$AB$370,10,0),0)+_xlfn.IFNA(VLOOKUP(A1042,'Kilter Holds'!$P$36:$AB$370,10,0),0)</f>
        <v>0</v>
      </c>
      <c r="J1042" s="2">
        <f t="shared" si="53"/>
        <v>0</v>
      </c>
      <c r="K1042" s="2">
        <f t="shared" si="54"/>
        <v>0</v>
      </c>
    </row>
    <row r="1043" spans="1:11">
      <c r="A1043" s="3" t="s">
        <v>2207</v>
      </c>
      <c r="E1043" t="s">
        <v>335</v>
      </c>
      <c r="F1043" t="s">
        <v>654</v>
      </c>
      <c r="G1043" s="11" t="str">
        <f t="shared" si="55"/>
        <v>11-25</v>
      </c>
      <c r="H1043" s="1">
        <f>_xlfn.IFNA(VLOOKUP(E1043,'Kilter Holds'!$P$36:$AB$370,11,0),0)+_xlfn.IFNA(VLOOKUP(A1043,'Kilter Holds'!$P$36:$AB$370,11,0),0)</f>
        <v>0</v>
      </c>
      <c r="J1043" s="2">
        <f t="shared" si="53"/>
        <v>0</v>
      </c>
      <c r="K1043" s="2">
        <f t="shared" si="54"/>
        <v>0</v>
      </c>
    </row>
    <row r="1044" spans="1:11">
      <c r="A1044" s="3" t="s">
        <v>2207</v>
      </c>
      <c r="E1044" t="s">
        <v>335</v>
      </c>
      <c r="F1044" t="s">
        <v>654</v>
      </c>
      <c r="G1044" s="13" t="str">
        <f t="shared" si="55"/>
        <v>18-01</v>
      </c>
      <c r="H1044" s="1">
        <f>_xlfn.IFNA(VLOOKUP(E1044,'Kilter Holds'!$P$36:$AB$370,12,0),0)+_xlfn.IFNA(VLOOKUP(A1044,'Kilter Holds'!$P$36:$AB$370,12,0),0)</f>
        <v>0</v>
      </c>
      <c r="J1044" s="2">
        <f t="shared" si="53"/>
        <v>0</v>
      </c>
      <c r="K1044" s="2">
        <f t="shared" si="54"/>
        <v>0</v>
      </c>
    </row>
    <row r="1045" spans="1:11">
      <c r="A1045" s="3" t="s">
        <v>2207</v>
      </c>
      <c r="E1045" t="s">
        <v>335</v>
      </c>
      <c r="F1045" t="s">
        <v>654</v>
      </c>
      <c r="G1045" s="12" t="str">
        <f t="shared" si="55"/>
        <v>12-01</v>
      </c>
      <c r="H1045" s="1">
        <f>_xlfn.IFNA(VLOOKUP(E1045,'Kilter Holds'!$P$36:$AB$370,13,0),0)+_xlfn.IFNA(VLOOKUP(A1045,'Kilter Holds'!$P$36:$AB$370,13,0),0)</f>
        <v>0</v>
      </c>
      <c r="J1045" s="2">
        <f t="shared" si="53"/>
        <v>0</v>
      </c>
      <c r="K1045" s="2">
        <f t="shared" si="54"/>
        <v>0</v>
      </c>
    </row>
    <row r="1046" spans="1:11">
      <c r="E1046" t="s">
        <v>319</v>
      </c>
      <c r="F1046" t="s">
        <v>655</v>
      </c>
      <c r="G1046" s="5" t="str">
        <f t="shared" si="55"/>
        <v>11-12</v>
      </c>
      <c r="H1046" s="1">
        <f>_xlfn.IFNA(VLOOKUP(Aragon!E1046,'Kilter Holds'!$P$36:$AB$370,5,0),0)</f>
        <v>0</v>
      </c>
      <c r="J1046" s="2">
        <f t="shared" si="53"/>
        <v>0</v>
      </c>
      <c r="K1046" s="2">
        <f t="shared" si="54"/>
        <v>0</v>
      </c>
    </row>
    <row r="1047" spans="1:11">
      <c r="E1047" t="s">
        <v>319</v>
      </c>
      <c r="F1047" t="s">
        <v>655</v>
      </c>
      <c r="G1047" s="6" t="str">
        <f t="shared" si="55"/>
        <v>14-01</v>
      </c>
      <c r="H1047" s="1">
        <f>_xlfn.IFNA(VLOOKUP(Aragon!E1047,'Kilter Holds'!$P$36:$AB$370,6,0),0)</f>
        <v>0</v>
      </c>
      <c r="J1047" s="2">
        <f t="shared" si="53"/>
        <v>0</v>
      </c>
      <c r="K1047" s="2">
        <f t="shared" si="54"/>
        <v>0</v>
      </c>
    </row>
    <row r="1048" spans="1:11">
      <c r="E1048" t="s">
        <v>319</v>
      </c>
      <c r="F1048" t="s">
        <v>655</v>
      </c>
      <c r="G1048" s="7" t="str">
        <f t="shared" si="55"/>
        <v>15-12</v>
      </c>
      <c r="H1048" s="1">
        <f>_xlfn.IFNA(VLOOKUP(Aragon!E1048,'Kilter Holds'!$P$36:$AB$370,7,0),0)</f>
        <v>0</v>
      </c>
      <c r="J1048" s="2">
        <f t="shared" si="53"/>
        <v>0</v>
      </c>
      <c r="K1048" s="2">
        <f t="shared" si="54"/>
        <v>0</v>
      </c>
    </row>
    <row r="1049" spans="1:11">
      <c r="E1049" t="s">
        <v>319</v>
      </c>
      <c r="F1049" t="s">
        <v>655</v>
      </c>
      <c r="G1049" s="8" t="str">
        <f t="shared" si="55"/>
        <v>16-16</v>
      </c>
      <c r="H1049" s="1">
        <f>_xlfn.IFNA(VLOOKUP(Aragon!E1049,'Kilter Holds'!$P$36:$AB$370,8,0),0)</f>
        <v>0</v>
      </c>
      <c r="J1049" s="2">
        <f t="shared" si="53"/>
        <v>0</v>
      </c>
      <c r="K1049" s="2">
        <f t="shared" si="54"/>
        <v>0</v>
      </c>
    </row>
    <row r="1050" spans="1:11">
      <c r="E1050" t="s">
        <v>319</v>
      </c>
      <c r="F1050" t="s">
        <v>655</v>
      </c>
      <c r="G1050" s="9" t="str">
        <f t="shared" si="55"/>
        <v>13-01</v>
      </c>
      <c r="H1050" s="1">
        <f>_xlfn.IFNA(VLOOKUP(Aragon!E1050,'Kilter Holds'!$P$36:$AB$370,9,0),0)</f>
        <v>0</v>
      </c>
      <c r="J1050" s="2">
        <f t="shared" si="53"/>
        <v>0</v>
      </c>
      <c r="K1050" s="2">
        <f t="shared" si="54"/>
        <v>0</v>
      </c>
    </row>
    <row r="1051" spans="1:11">
      <c r="E1051" t="s">
        <v>319</v>
      </c>
      <c r="F1051" t="s">
        <v>655</v>
      </c>
      <c r="G1051" s="10" t="str">
        <f t="shared" si="55"/>
        <v>07-13</v>
      </c>
      <c r="H1051" s="1">
        <f>_xlfn.IFNA(VLOOKUP(Aragon!E1051,'Kilter Holds'!$P$36:$AB$370,10,0),0)</f>
        <v>0</v>
      </c>
      <c r="J1051" s="2">
        <f t="shared" si="53"/>
        <v>0</v>
      </c>
      <c r="K1051" s="2">
        <f t="shared" si="54"/>
        <v>0</v>
      </c>
    </row>
    <row r="1052" spans="1:11">
      <c r="E1052" t="s">
        <v>319</v>
      </c>
      <c r="F1052" t="s">
        <v>655</v>
      </c>
      <c r="G1052" s="11" t="str">
        <f t="shared" si="55"/>
        <v>11-25</v>
      </c>
      <c r="H1052" s="1">
        <f>_xlfn.IFNA(VLOOKUP(Aragon!E1052,'Kilter Holds'!$P$36:$AB$370,11,0),0)</f>
        <v>0</v>
      </c>
      <c r="J1052" s="2">
        <f t="shared" si="53"/>
        <v>0</v>
      </c>
      <c r="K1052" s="2">
        <f t="shared" si="54"/>
        <v>0</v>
      </c>
    </row>
    <row r="1053" spans="1:11">
      <c r="E1053" t="s">
        <v>319</v>
      </c>
      <c r="F1053" t="s">
        <v>655</v>
      </c>
      <c r="G1053" s="13" t="str">
        <f t="shared" si="55"/>
        <v>18-01</v>
      </c>
      <c r="H1053" s="1">
        <f>_xlfn.IFNA(VLOOKUP(Aragon!E1053,'Kilter Holds'!$P$36:$AB$370,12,0),0)</f>
        <v>0</v>
      </c>
      <c r="J1053" s="2">
        <f t="shared" si="53"/>
        <v>0</v>
      </c>
      <c r="K1053" s="2">
        <f t="shared" si="54"/>
        <v>0</v>
      </c>
    </row>
    <row r="1054" spans="1:11">
      <c r="E1054" t="s">
        <v>319</v>
      </c>
      <c r="F1054" t="s">
        <v>655</v>
      </c>
      <c r="G1054" s="12" t="str">
        <f t="shared" si="55"/>
        <v>12-01</v>
      </c>
      <c r="H1054" s="1">
        <f>_xlfn.IFNA(VLOOKUP(Aragon!E1054,'Kilter Holds'!$P$36:$AB$370,13,0),0)</f>
        <v>0</v>
      </c>
      <c r="J1054" s="2">
        <f t="shared" si="53"/>
        <v>0</v>
      </c>
      <c r="K1054" s="2">
        <f t="shared" si="54"/>
        <v>0</v>
      </c>
    </row>
    <row r="1055" spans="1:11">
      <c r="E1055" t="s">
        <v>194</v>
      </c>
      <c r="F1055" t="s">
        <v>656</v>
      </c>
      <c r="G1055" s="5" t="str">
        <f t="shared" si="55"/>
        <v>11-12</v>
      </c>
      <c r="H1055" s="1">
        <f>_xlfn.IFNA(VLOOKUP(Aragon!E1055,'Kilter Holds'!$P$36:$AB$370,5,0),0)</f>
        <v>0</v>
      </c>
      <c r="J1055" s="2">
        <f t="shared" si="53"/>
        <v>0</v>
      </c>
      <c r="K1055" s="2">
        <f t="shared" si="54"/>
        <v>0</v>
      </c>
    </row>
    <row r="1056" spans="1:11">
      <c r="E1056" t="s">
        <v>194</v>
      </c>
      <c r="F1056" t="s">
        <v>656</v>
      </c>
      <c r="G1056" s="6" t="str">
        <f t="shared" si="55"/>
        <v>14-01</v>
      </c>
      <c r="H1056" s="1">
        <f>_xlfn.IFNA(VLOOKUP(Aragon!E1056,'Kilter Holds'!$P$36:$AB$370,6,0),0)</f>
        <v>0</v>
      </c>
      <c r="J1056" s="2">
        <f t="shared" si="53"/>
        <v>0</v>
      </c>
      <c r="K1056" s="2">
        <f t="shared" si="54"/>
        <v>0</v>
      </c>
    </row>
    <row r="1057" spans="5:11">
      <c r="E1057" t="s">
        <v>194</v>
      </c>
      <c r="F1057" t="s">
        <v>656</v>
      </c>
      <c r="G1057" s="7" t="str">
        <f t="shared" si="55"/>
        <v>15-12</v>
      </c>
      <c r="H1057" s="1">
        <f>_xlfn.IFNA(VLOOKUP(Aragon!E1057,'Kilter Holds'!$P$36:$AB$370,7,0),0)</f>
        <v>0</v>
      </c>
      <c r="J1057" s="2">
        <f t="shared" si="53"/>
        <v>0</v>
      </c>
      <c r="K1057" s="2">
        <f t="shared" si="54"/>
        <v>0</v>
      </c>
    </row>
    <row r="1058" spans="5:11">
      <c r="E1058" t="s">
        <v>194</v>
      </c>
      <c r="F1058" t="s">
        <v>656</v>
      </c>
      <c r="G1058" s="8" t="str">
        <f t="shared" si="55"/>
        <v>16-16</v>
      </c>
      <c r="H1058" s="1">
        <f>_xlfn.IFNA(VLOOKUP(Aragon!E1058,'Kilter Holds'!$P$36:$AB$370,8,0),0)</f>
        <v>0</v>
      </c>
      <c r="J1058" s="2">
        <f t="shared" si="53"/>
        <v>0</v>
      </c>
      <c r="K1058" s="2">
        <f t="shared" si="54"/>
        <v>0</v>
      </c>
    </row>
    <row r="1059" spans="5:11">
      <c r="E1059" t="s">
        <v>194</v>
      </c>
      <c r="F1059" t="s">
        <v>656</v>
      </c>
      <c r="G1059" s="9" t="str">
        <f t="shared" si="55"/>
        <v>13-01</v>
      </c>
      <c r="H1059" s="1">
        <f>_xlfn.IFNA(VLOOKUP(Aragon!E1059,'Kilter Holds'!$P$36:$AB$370,9,0),0)</f>
        <v>0</v>
      </c>
      <c r="J1059" s="2">
        <f t="shared" si="53"/>
        <v>0</v>
      </c>
      <c r="K1059" s="2">
        <f t="shared" si="54"/>
        <v>0</v>
      </c>
    </row>
    <row r="1060" spans="5:11">
      <c r="E1060" t="s">
        <v>194</v>
      </c>
      <c r="F1060" t="s">
        <v>656</v>
      </c>
      <c r="G1060" s="10" t="str">
        <f t="shared" si="55"/>
        <v>07-13</v>
      </c>
      <c r="H1060" s="1">
        <f>_xlfn.IFNA(VLOOKUP(Aragon!E1060,'Kilter Holds'!$P$36:$AB$370,10,0),0)</f>
        <v>0</v>
      </c>
      <c r="J1060" s="2">
        <f t="shared" si="53"/>
        <v>0</v>
      </c>
      <c r="K1060" s="2">
        <f t="shared" si="54"/>
        <v>0</v>
      </c>
    </row>
    <row r="1061" spans="5:11">
      <c r="E1061" t="s">
        <v>194</v>
      </c>
      <c r="F1061" t="s">
        <v>656</v>
      </c>
      <c r="G1061" s="11" t="str">
        <f t="shared" si="55"/>
        <v>11-25</v>
      </c>
      <c r="H1061" s="1">
        <f>_xlfn.IFNA(VLOOKUP(Aragon!E1061,'Kilter Holds'!$P$36:$AB$370,11,0),0)</f>
        <v>0</v>
      </c>
      <c r="J1061" s="2">
        <f t="shared" si="53"/>
        <v>0</v>
      </c>
      <c r="K1061" s="2">
        <f t="shared" si="54"/>
        <v>0</v>
      </c>
    </row>
    <row r="1062" spans="5:11">
      <c r="E1062" t="s">
        <v>194</v>
      </c>
      <c r="F1062" t="s">
        <v>656</v>
      </c>
      <c r="G1062" s="13" t="str">
        <f t="shared" si="55"/>
        <v>18-01</v>
      </c>
      <c r="H1062" s="1">
        <f>_xlfn.IFNA(VLOOKUP(Aragon!E1062,'Kilter Holds'!$P$36:$AB$370,12,0),0)</f>
        <v>0</v>
      </c>
      <c r="J1062" s="2">
        <f t="shared" si="53"/>
        <v>0</v>
      </c>
      <c r="K1062" s="2">
        <f t="shared" si="54"/>
        <v>0</v>
      </c>
    </row>
    <row r="1063" spans="5:11">
      <c r="E1063" t="s">
        <v>194</v>
      </c>
      <c r="F1063" t="s">
        <v>656</v>
      </c>
      <c r="G1063" s="12" t="str">
        <f t="shared" si="55"/>
        <v>12-01</v>
      </c>
      <c r="H1063" s="1">
        <f>_xlfn.IFNA(VLOOKUP(Aragon!E1063,'Kilter Holds'!$P$36:$AB$370,13,0),0)</f>
        <v>0</v>
      </c>
      <c r="J1063" s="2">
        <f t="shared" si="53"/>
        <v>0</v>
      </c>
      <c r="K1063" s="2">
        <f t="shared" si="54"/>
        <v>0</v>
      </c>
    </row>
    <row r="1064" spans="5:11">
      <c r="E1064" t="s">
        <v>305</v>
      </c>
      <c r="F1064" t="s">
        <v>657</v>
      </c>
      <c r="G1064" s="5" t="str">
        <f t="shared" si="55"/>
        <v>11-12</v>
      </c>
      <c r="H1064" s="1">
        <f>_xlfn.IFNA(VLOOKUP(Aragon!E1064,'Kilter Holds'!$P$36:$AB$370,5,0),0)</f>
        <v>0</v>
      </c>
      <c r="J1064" s="2">
        <f t="shared" si="53"/>
        <v>0</v>
      </c>
      <c r="K1064" s="2">
        <f t="shared" si="54"/>
        <v>0</v>
      </c>
    </row>
    <row r="1065" spans="5:11">
      <c r="E1065" t="s">
        <v>305</v>
      </c>
      <c r="F1065" t="s">
        <v>657</v>
      </c>
      <c r="G1065" s="6" t="str">
        <f t="shared" si="55"/>
        <v>14-01</v>
      </c>
      <c r="H1065" s="1">
        <f>_xlfn.IFNA(VLOOKUP(Aragon!E1065,'Kilter Holds'!$P$36:$AB$370,6,0),0)</f>
        <v>0</v>
      </c>
      <c r="J1065" s="2">
        <f t="shared" si="53"/>
        <v>0</v>
      </c>
      <c r="K1065" s="2">
        <f t="shared" si="54"/>
        <v>0</v>
      </c>
    </row>
    <row r="1066" spans="5:11">
      <c r="E1066" t="s">
        <v>305</v>
      </c>
      <c r="F1066" t="s">
        <v>657</v>
      </c>
      <c r="G1066" s="7" t="str">
        <f t="shared" si="55"/>
        <v>15-12</v>
      </c>
      <c r="H1066" s="1">
        <f>_xlfn.IFNA(VLOOKUP(Aragon!E1066,'Kilter Holds'!$P$36:$AB$370,7,0),0)</f>
        <v>0</v>
      </c>
      <c r="J1066" s="2">
        <f t="shared" si="53"/>
        <v>0</v>
      </c>
      <c r="K1066" s="2">
        <f t="shared" si="54"/>
        <v>0</v>
      </c>
    </row>
    <row r="1067" spans="5:11">
      <c r="E1067" t="s">
        <v>305</v>
      </c>
      <c r="F1067" t="s">
        <v>657</v>
      </c>
      <c r="G1067" s="8" t="str">
        <f t="shared" si="55"/>
        <v>16-16</v>
      </c>
      <c r="H1067" s="1">
        <f>_xlfn.IFNA(VLOOKUP(Aragon!E1067,'Kilter Holds'!$P$36:$AB$370,8,0),0)</f>
        <v>0</v>
      </c>
      <c r="J1067" s="2">
        <f t="shared" si="53"/>
        <v>0</v>
      </c>
      <c r="K1067" s="2">
        <f t="shared" si="54"/>
        <v>0</v>
      </c>
    </row>
    <row r="1068" spans="5:11">
      <c r="E1068" t="s">
        <v>305</v>
      </c>
      <c r="F1068" t="s">
        <v>657</v>
      </c>
      <c r="G1068" s="9" t="str">
        <f t="shared" si="55"/>
        <v>13-01</v>
      </c>
      <c r="H1068" s="1">
        <f>_xlfn.IFNA(VLOOKUP(Aragon!E1068,'Kilter Holds'!$P$36:$AB$370,9,0),0)</f>
        <v>0</v>
      </c>
      <c r="J1068" s="2">
        <f t="shared" si="53"/>
        <v>0</v>
      </c>
      <c r="K1068" s="2">
        <f t="shared" si="54"/>
        <v>0</v>
      </c>
    </row>
    <row r="1069" spans="5:11">
      <c r="E1069" t="s">
        <v>305</v>
      </c>
      <c r="F1069" t="s">
        <v>657</v>
      </c>
      <c r="G1069" s="10" t="str">
        <f t="shared" si="55"/>
        <v>07-13</v>
      </c>
      <c r="H1069" s="1">
        <f>_xlfn.IFNA(VLOOKUP(Aragon!E1069,'Kilter Holds'!$P$36:$AB$370,10,0),0)</f>
        <v>0</v>
      </c>
      <c r="J1069" s="2">
        <f t="shared" si="53"/>
        <v>0</v>
      </c>
      <c r="K1069" s="2">
        <f t="shared" si="54"/>
        <v>0</v>
      </c>
    </row>
    <row r="1070" spans="5:11">
      <c r="E1070" t="s">
        <v>305</v>
      </c>
      <c r="F1070" t="s">
        <v>657</v>
      </c>
      <c r="G1070" s="11" t="str">
        <f t="shared" si="55"/>
        <v>11-25</v>
      </c>
      <c r="H1070" s="1">
        <f>_xlfn.IFNA(VLOOKUP(Aragon!E1070,'Kilter Holds'!$P$36:$AB$370,11,0),0)</f>
        <v>0</v>
      </c>
      <c r="J1070" s="2">
        <f t="shared" si="53"/>
        <v>0</v>
      </c>
      <c r="K1070" s="2">
        <f t="shared" si="54"/>
        <v>0</v>
      </c>
    </row>
    <row r="1071" spans="5:11">
      <c r="E1071" t="s">
        <v>305</v>
      </c>
      <c r="F1071" t="s">
        <v>657</v>
      </c>
      <c r="G1071" s="13" t="str">
        <f t="shared" si="55"/>
        <v>18-01</v>
      </c>
      <c r="H1071" s="1">
        <f>_xlfn.IFNA(VLOOKUP(Aragon!E1071,'Kilter Holds'!$P$36:$AB$370,12,0),0)</f>
        <v>0</v>
      </c>
      <c r="J1071" s="2">
        <f t="shared" si="53"/>
        <v>0</v>
      </c>
      <c r="K1071" s="2">
        <f t="shared" si="54"/>
        <v>0</v>
      </c>
    </row>
    <row r="1072" spans="5:11">
      <c r="E1072" t="s">
        <v>305</v>
      </c>
      <c r="F1072" t="s">
        <v>657</v>
      </c>
      <c r="G1072" s="12" t="str">
        <f t="shared" si="55"/>
        <v>12-01</v>
      </c>
      <c r="H1072" s="1">
        <f>_xlfn.IFNA(VLOOKUP(Aragon!E1072,'Kilter Holds'!$P$36:$AB$370,13,0),0)</f>
        <v>0</v>
      </c>
      <c r="J1072" s="2">
        <f t="shared" si="53"/>
        <v>0</v>
      </c>
      <c r="K1072" s="2">
        <f t="shared" si="54"/>
        <v>0</v>
      </c>
    </row>
    <row r="1073" spans="5:11">
      <c r="E1073" t="s">
        <v>306</v>
      </c>
      <c r="F1073" t="s">
        <v>658</v>
      </c>
      <c r="G1073" s="5" t="str">
        <f t="shared" si="55"/>
        <v>11-12</v>
      </c>
      <c r="H1073" s="1">
        <f>_xlfn.IFNA(VLOOKUP(Aragon!E1073,'Kilter Holds'!$P$36:$AB$370,5,0),0)</f>
        <v>0</v>
      </c>
      <c r="J1073" s="2">
        <f t="shared" si="53"/>
        <v>0</v>
      </c>
      <c r="K1073" s="2">
        <f t="shared" si="54"/>
        <v>0</v>
      </c>
    </row>
    <row r="1074" spans="5:11">
      <c r="E1074" t="s">
        <v>306</v>
      </c>
      <c r="F1074" t="s">
        <v>658</v>
      </c>
      <c r="G1074" s="6" t="str">
        <f t="shared" si="55"/>
        <v>14-01</v>
      </c>
      <c r="H1074" s="1">
        <f>_xlfn.IFNA(VLOOKUP(Aragon!E1074,'Kilter Holds'!$P$36:$AB$370,6,0),0)</f>
        <v>0</v>
      </c>
      <c r="J1074" s="2">
        <f t="shared" si="53"/>
        <v>0</v>
      </c>
      <c r="K1074" s="2">
        <f t="shared" si="54"/>
        <v>0</v>
      </c>
    </row>
    <row r="1075" spans="5:11">
      <c r="E1075" t="s">
        <v>306</v>
      </c>
      <c r="F1075" t="s">
        <v>658</v>
      </c>
      <c r="G1075" s="7" t="str">
        <f t="shared" si="55"/>
        <v>15-12</v>
      </c>
      <c r="H1075" s="1">
        <f>_xlfn.IFNA(VLOOKUP(Aragon!E1075,'Kilter Holds'!$P$36:$AB$370,7,0),0)</f>
        <v>0</v>
      </c>
      <c r="J1075" s="2">
        <f t="shared" si="53"/>
        <v>0</v>
      </c>
      <c r="K1075" s="2">
        <f t="shared" si="54"/>
        <v>0</v>
      </c>
    </row>
    <row r="1076" spans="5:11">
      <c r="E1076" t="s">
        <v>306</v>
      </c>
      <c r="F1076" t="s">
        <v>658</v>
      </c>
      <c r="G1076" s="8" t="str">
        <f t="shared" si="55"/>
        <v>16-16</v>
      </c>
      <c r="H1076" s="1">
        <f>_xlfn.IFNA(VLOOKUP(Aragon!E1076,'Kilter Holds'!$P$36:$AB$370,8,0),0)</f>
        <v>0</v>
      </c>
      <c r="J1076" s="2">
        <f t="shared" si="53"/>
        <v>0</v>
      </c>
      <c r="K1076" s="2">
        <f t="shared" si="54"/>
        <v>0</v>
      </c>
    </row>
    <row r="1077" spans="5:11">
      <c r="E1077" t="s">
        <v>306</v>
      </c>
      <c r="F1077" t="s">
        <v>658</v>
      </c>
      <c r="G1077" s="9" t="str">
        <f t="shared" si="55"/>
        <v>13-01</v>
      </c>
      <c r="H1077" s="1">
        <f>_xlfn.IFNA(VLOOKUP(Aragon!E1077,'Kilter Holds'!$P$36:$AB$370,9,0),0)</f>
        <v>0</v>
      </c>
      <c r="J1077" s="2">
        <f t="shared" si="53"/>
        <v>0</v>
      </c>
      <c r="K1077" s="2">
        <f t="shared" si="54"/>
        <v>0</v>
      </c>
    </row>
    <row r="1078" spans="5:11">
      <c r="E1078" t="s">
        <v>306</v>
      </c>
      <c r="F1078" t="s">
        <v>658</v>
      </c>
      <c r="G1078" s="10" t="str">
        <f t="shared" si="55"/>
        <v>07-13</v>
      </c>
      <c r="H1078" s="1">
        <f>_xlfn.IFNA(VLOOKUP(Aragon!E1078,'Kilter Holds'!$P$36:$AB$370,10,0),0)</f>
        <v>0</v>
      </c>
      <c r="J1078" s="2">
        <f t="shared" si="53"/>
        <v>0</v>
      </c>
      <c r="K1078" s="2">
        <f t="shared" si="54"/>
        <v>0</v>
      </c>
    </row>
    <row r="1079" spans="5:11">
      <c r="E1079" t="s">
        <v>306</v>
      </c>
      <c r="F1079" t="s">
        <v>658</v>
      </c>
      <c r="G1079" s="11" t="str">
        <f t="shared" si="55"/>
        <v>11-25</v>
      </c>
      <c r="H1079" s="1">
        <f>_xlfn.IFNA(VLOOKUP(Aragon!E1079,'Kilter Holds'!$P$36:$AB$370,11,0),0)</f>
        <v>0</v>
      </c>
      <c r="J1079" s="2">
        <f t="shared" si="53"/>
        <v>0</v>
      </c>
      <c r="K1079" s="2">
        <f t="shared" si="54"/>
        <v>0</v>
      </c>
    </row>
    <row r="1080" spans="5:11">
      <c r="E1080" t="s">
        <v>306</v>
      </c>
      <c r="F1080" t="s">
        <v>658</v>
      </c>
      <c r="G1080" s="13" t="str">
        <f t="shared" si="55"/>
        <v>18-01</v>
      </c>
      <c r="H1080" s="1">
        <f>_xlfn.IFNA(VLOOKUP(Aragon!E1080,'Kilter Holds'!$P$36:$AB$370,12,0),0)</f>
        <v>0</v>
      </c>
      <c r="J1080" s="2">
        <f t="shared" si="53"/>
        <v>0</v>
      </c>
      <c r="K1080" s="2">
        <f t="shared" si="54"/>
        <v>0</v>
      </c>
    </row>
    <row r="1081" spans="5:11">
      <c r="E1081" t="s">
        <v>306</v>
      </c>
      <c r="F1081" t="s">
        <v>658</v>
      </c>
      <c r="G1081" s="12" t="str">
        <f t="shared" si="55"/>
        <v>12-01</v>
      </c>
      <c r="H1081" s="1">
        <f>_xlfn.IFNA(VLOOKUP(Aragon!E1081,'Kilter Holds'!$P$36:$AB$370,13,0),0)</f>
        <v>0</v>
      </c>
      <c r="J1081" s="2">
        <f t="shared" si="53"/>
        <v>0</v>
      </c>
      <c r="K1081" s="2">
        <f t="shared" si="54"/>
        <v>0</v>
      </c>
    </row>
    <row r="1082" spans="5:11">
      <c r="E1082" t="s">
        <v>307</v>
      </c>
      <c r="F1082" t="s">
        <v>659</v>
      </c>
      <c r="G1082" s="5" t="str">
        <f t="shared" si="55"/>
        <v>11-12</v>
      </c>
      <c r="H1082" s="1">
        <f>_xlfn.IFNA(VLOOKUP(Aragon!E1082,'Kilter Holds'!$P$36:$AB$370,5,0),0)</f>
        <v>0</v>
      </c>
      <c r="J1082" s="2">
        <f t="shared" ref="J1082:J1145" si="56">H1082*I1082</f>
        <v>0</v>
      </c>
      <c r="K1082" s="2">
        <f t="shared" si="54"/>
        <v>0</v>
      </c>
    </row>
    <row r="1083" spans="5:11">
      <c r="E1083" t="s">
        <v>307</v>
      </c>
      <c r="F1083" t="s">
        <v>659</v>
      </c>
      <c r="G1083" s="6" t="str">
        <f t="shared" si="55"/>
        <v>14-01</v>
      </c>
      <c r="H1083" s="1">
        <f>_xlfn.IFNA(VLOOKUP(Aragon!E1083,'Kilter Holds'!$P$36:$AB$370,6,0),0)</f>
        <v>0</v>
      </c>
      <c r="J1083" s="2">
        <f t="shared" si="56"/>
        <v>0</v>
      </c>
      <c r="K1083" s="2">
        <f t="shared" si="54"/>
        <v>0</v>
      </c>
    </row>
    <row r="1084" spans="5:11">
      <c r="E1084" t="s">
        <v>307</v>
      </c>
      <c r="F1084" t="s">
        <v>659</v>
      </c>
      <c r="G1084" s="7" t="str">
        <f t="shared" si="55"/>
        <v>15-12</v>
      </c>
      <c r="H1084" s="1">
        <f>_xlfn.IFNA(VLOOKUP(Aragon!E1084,'Kilter Holds'!$P$36:$AB$370,7,0),0)</f>
        <v>0</v>
      </c>
      <c r="J1084" s="2">
        <f t="shared" si="56"/>
        <v>0</v>
      </c>
      <c r="K1084" s="2">
        <f t="shared" si="54"/>
        <v>0</v>
      </c>
    </row>
    <row r="1085" spans="5:11">
      <c r="E1085" t="s">
        <v>307</v>
      </c>
      <c r="F1085" t="s">
        <v>659</v>
      </c>
      <c r="G1085" s="8" t="str">
        <f t="shared" si="55"/>
        <v>16-16</v>
      </c>
      <c r="H1085" s="1">
        <f>_xlfn.IFNA(VLOOKUP(Aragon!E1085,'Kilter Holds'!$P$36:$AB$370,8,0),0)</f>
        <v>0</v>
      </c>
      <c r="J1085" s="2">
        <f t="shared" si="56"/>
        <v>0</v>
      </c>
      <c r="K1085" s="2">
        <f t="shared" si="54"/>
        <v>0</v>
      </c>
    </row>
    <row r="1086" spans="5:11">
      <c r="E1086" t="s">
        <v>307</v>
      </c>
      <c r="F1086" t="s">
        <v>659</v>
      </c>
      <c r="G1086" s="9" t="str">
        <f t="shared" si="55"/>
        <v>13-01</v>
      </c>
      <c r="H1086" s="1">
        <f>_xlfn.IFNA(VLOOKUP(Aragon!E1086,'Kilter Holds'!$P$36:$AB$370,9,0),0)</f>
        <v>0</v>
      </c>
      <c r="J1086" s="2">
        <f t="shared" si="56"/>
        <v>0</v>
      </c>
      <c r="K1086" s="2">
        <f t="shared" si="54"/>
        <v>0</v>
      </c>
    </row>
    <row r="1087" spans="5:11">
      <c r="E1087" t="s">
        <v>307</v>
      </c>
      <c r="F1087" t="s">
        <v>659</v>
      </c>
      <c r="G1087" s="10" t="str">
        <f t="shared" si="55"/>
        <v>07-13</v>
      </c>
      <c r="H1087" s="1">
        <f>_xlfn.IFNA(VLOOKUP(Aragon!E1087,'Kilter Holds'!$P$36:$AB$370,10,0),0)</f>
        <v>0</v>
      </c>
      <c r="J1087" s="2">
        <f t="shared" si="56"/>
        <v>0</v>
      </c>
      <c r="K1087" s="2">
        <f t="shared" si="54"/>
        <v>0</v>
      </c>
    </row>
    <row r="1088" spans="5:11">
      <c r="E1088" t="s">
        <v>307</v>
      </c>
      <c r="F1088" t="s">
        <v>659</v>
      </c>
      <c r="G1088" s="11" t="str">
        <f t="shared" si="55"/>
        <v>11-25</v>
      </c>
      <c r="H1088" s="1">
        <f>_xlfn.IFNA(VLOOKUP(Aragon!E1088,'Kilter Holds'!$P$36:$AB$370,11,0),0)</f>
        <v>0</v>
      </c>
      <c r="J1088" s="2">
        <f t="shared" si="56"/>
        <v>0</v>
      </c>
      <c r="K1088" s="2">
        <f t="shared" si="54"/>
        <v>0</v>
      </c>
    </row>
    <row r="1089" spans="5:11">
      <c r="E1089" t="s">
        <v>307</v>
      </c>
      <c r="F1089" t="s">
        <v>659</v>
      </c>
      <c r="G1089" s="13" t="str">
        <f t="shared" si="55"/>
        <v>18-01</v>
      </c>
      <c r="H1089" s="1">
        <f>_xlfn.IFNA(VLOOKUP(Aragon!E1089,'Kilter Holds'!$P$36:$AB$370,12,0),0)</f>
        <v>0</v>
      </c>
      <c r="J1089" s="2">
        <f t="shared" si="56"/>
        <v>0</v>
      </c>
      <c r="K1089" s="2">
        <f t="shared" si="54"/>
        <v>0</v>
      </c>
    </row>
    <row r="1090" spans="5:11">
      <c r="E1090" t="s">
        <v>307</v>
      </c>
      <c r="F1090" t="s">
        <v>659</v>
      </c>
      <c r="G1090" s="12" t="str">
        <f t="shared" si="55"/>
        <v>12-01</v>
      </c>
      <c r="H1090" s="1">
        <f>_xlfn.IFNA(VLOOKUP(Aragon!E1090,'Kilter Holds'!$P$36:$AB$370,13,0),0)</f>
        <v>0</v>
      </c>
      <c r="J1090" s="2">
        <f t="shared" si="56"/>
        <v>0</v>
      </c>
      <c r="K1090" s="2">
        <f t="shared" si="54"/>
        <v>0</v>
      </c>
    </row>
    <row r="1091" spans="5:11">
      <c r="E1091" t="s">
        <v>208</v>
      </c>
      <c r="F1091" t="s">
        <v>660</v>
      </c>
      <c r="G1091" s="5" t="str">
        <f t="shared" si="55"/>
        <v>11-12</v>
      </c>
      <c r="H1091" s="1">
        <f>_xlfn.IFNA(VLOOKUP(Aragon!E1091,'Kilter Holds'!$P$36:$AB$370,5,0),0)</f>
        <v>0</v>
      </c>
      <c r="J1091" s="2">
        <f t="shared" si="56"/>
        <v>0</v>
      </c>
      <c r="K1091" s="2">
        <f t="shared" si="54"/>
        <v>0</v>
      </c>
    </row>
    <row r="1092" spans="5:11">
      <c r="E1092" t="s">
        <v>208</v>
      </c>
      <c r="F1092" t="s">
        <v>660</v>
      </c>
      <c r="G1092" s="6" t="str">
        <f t="shared" si="55"/>
        <v>14-01</v>
      </c>
      <c r="H1092" s="1">
        <f>_xlfn.IFNA(VLOOKUP(Aragon!E1092,'Kilter Holds'!$P$36:$AB$370,6,0),0)</f>
        <v>0</v>
      </c>
      <c r="J1092" s="2">
        <f t="shared" si="56"/>
        <v>0</v>
      </c>
      <c r="K1092" s="2">
        <f t="shared" si="54"/>
        <v>0</v>
      </c>
    </row>
    <row r="1093" spans="5:11">
      <c r="E1093" t="s">
        <v>208</v>
      </c>
      <c r="F1093" t="s">
        <v>660</v>
      </c>
      <c r="G1093" s="7" t="str">
        <f t="shared" si="55"/>
        <v>15-12</v>
      </c>
      <c r="H1093" s="1">
        <f>_xlfn.IFNA(VLOOKUP(Aragon!E1093,'Kilter Holds'!$P$36:$AB$370,7,0),0)</f>
        <v>0</v>
      </c>
      <c r="J1093" s="2">
        <f t="shared" si="56"/>
        <v>0</v>
      </c>
      <c r="K1093" s="2">
        <f t="shared" si="54"/>
        <v>0</v>
      </c>
    </row>
    <row r="1094" spans="5:11">
      <c r="E1094" t="s">
        <v>208</v>
      </c>
      <c r="F1094" t="s">
        <v>660</v>
      </c>
      <c r="G1094" s="8" t="str">
        <f t="shared" si="55"/>
        <v>16-16</v>
      </c>
      <c r="H1094" s="1">
        <f>_xlfn.IFNA(VLOOKUP(Aragon!E1094,'Kilter Holds'!$P$36:$AB$370,8,0),0)</f>
        <v>0</v>
      </c>
      <c r="J1094" s="2">
        <f t="shared" si="56"/>
        <v>0</v>
      </c>
      <c r="K1094" s="2">
        <f t="shared" si="54"/>
        <v>0</v>
      </c>
    </row>
    <row r="1095" spans="5:11">
      <c r="E1095" t="s">
        <v>208</v>
      </c>
      <c r="F1095" t="s">
        <v>660</v>
      </c>
      <c r="G1095" s="9" t="str">
        <f t="shared" si="55"/>
        <v>13-01</v>
      </c>
      <c r="H1095" s="1">
        <f>_xlfn.IFNA(VLOOKUP(Aragon!E1095,'Kilter Holds'!$P$36:$AB$370,9,0),0)</f>
        <v>0</v>
      </c>
      <c r="J1095" s="2">
        <f t="shared" si="56"/>
        <v>0</v>
      </c>
      <c r="K1095" s="2">
        <f t="shared" si="54"/>
        <v>0</v>
      </c>
    </row>
    <row r="1096" spans="5:11">
      <c r="E1096" t="s">
        <v>208</v>
      </c>
      <c r="F1096" t="s">
        <v>660</v>
      </c>
      <c r="G1096" s="10" t="str">
        <f t="shared" si="55"/>
        <v>07-13</v>
      </c>
      <c r="H1096" s="1">
        <f>_xlfn.IFNA(VLOOKUP(Aragon!E1096,'Kilter Holds'!$P$36:$AB$370,10,0),0)</f>
        <v>0</v>
      </c>
      <c r="J1096" s="2">
        <f t="shared" si="56"/>
        <v>0</v>
      </c>
      <c r="K1096" s="2">
        <f t="shared" si="54"/>
        <v>0</v>
      </c>
    </row>
    <row r="1097" spans="5:11">
      <c r="E1097" t="s">
        <v>208</v>
      </c>
      <c r="F1097" t="s">
        <v>660</v>
      </c>
      <c r="G1097" s="11" t="str">
        <f t="shared" si="55"/>
        <v>11-25</v>
      </c>
      <c r="H1097" s="1">
        <f>_xlfn.IFNA(VLOOKUP(Aragon!E1097,'Kilter Holds'!$P$36:$AB$370,11,0),0)</f>
        <v>0</v>
      </c>
      <c r="J1097" s="2">
        <f t="shared" si="56"/>
        <v>0</v>
      </c>
      <c r="K1097" s="2">
        <f t="shared" si="54"/>
        <v>0</v>
      </c>
    </row>
    <row r="1098" spans="5:11">
      <c r="E1098" t="s">
        <v>208</v>
      </c>
      <c r="F1098" t="s">
        <v>660</v>
      </c>
      <c r="G1098" s="13" t="str">
        <f t="shared" si="55"/>
        <v>18-01</v>
      </c>
      <c r="H1098" s="1">
        <f>_xlfn.IFNA(VLOOKUP(Aragon!E1098,'Kilter Holds'!$P$36:$AB$370,12,0),0)</f>
        <v>0</v>
      </c>
      <c r="J1098" s="2">
        <f t="shared" si="56"/>
        <v>0</v>
      </c>
      <c r="K1098" s="2">
        <f t="shared" si="54"/>
        <v>0</v>
      </c>
    </row>
    <row r="1099" spans="5:11">
      <c r="E1099" t="s">
        <v>208</v>
      </c>
      <c r="F1099" t="s">
        <v>660</v>
      </c>
      <c r="G1099" s="12" t="str">
        <f t="shared" si="55"/>
        <v>12-01</v>
      </c>
      <c r="H1099" s="1">
        <f>_xlfn.IFNA(VLOOKUP(Aragon!E1099,'Kilter Holds'!$P$36:$AB$370,13,0),0)</f>
        <v>0</v>
      </c>
      <c r="J1099" s="2">
        <f t="shared" si="56"/>
        <v>0</v>
      </c>
      <c r="K1099" s="2">
        <f t="shared" si="54"/>
        <v>0</v>
      </c>
    </row>
    <row r="1100" spans="5:11">
      <c r="E1100" t="s">
        <v>320</v>
      </c>
      <c r="F1100" t="s">
        <v>661</v>
      </c>
      <c r="G1100" s="5" t="str">
        <f t="shared" si="55"/>
        <v>11-12</v>
      </c>
      <c r="H1100" s="1">
        <f>_xlfn.IFNA(VLOOKUP(Aragon!E1100,'Kilter Holds'!$P$36:$AB$370,5,0),0)</f>
        <v>0</v>
      </c>
      <c r="J1100" s="2">
        <f t="shared" si="56"/>
        <v>0</v>
      </c>
      <c r="K1100" s="2">
        <f t="shared" ref="K1100:K1163" si="57">IF($V$11="Y",J1100*0.05,0)</f>
        <v>0</v>
      </c>
    </row>
    <row r="1101" spans="5:11">
      <c r="E1101" t="s">
        <v>320</v>
      </c>
      <c r="F1101" t="s">
        <v>661</v>
      </c>
      <c r="G1101" s="6" t="str">
        <f t="shared" ref="G1101:G1164" si="58">G1092</f>
        <v>14-01</v>
      </c>
      <c r="H1101" s="1">
        <f>_xlfn.IFNA(VLOOKUP(Aragon!E1101,'Kilter Holds'!$P$36:$AB$370,6,0),0)</f>
        <v>0</v>
      </c>
      <c r="J1101" s="2">
        <f t="shared" si="56"/>
        <v>0</v>
      </c>
      <c r="K1101" s="2">
        <f t="shared" si="57"/>
        <v>0</v>
      </c>
    </row>
    <row r="1102" spans="5:11">
      <c r="E1102" t="s">
        <v>320</v>
      </c>
      <c r="F1102" t="s">
        <v>661</v>
      </c>
      <c r="G1102" s="7" t="str">
        <f t="shared" si="58"/>
        <v>15-12</v>
      </c>
      <c r="H1102" s="1">
        <f>_xlfn.IFNA(VLOOKUP(Aragon!E1102,'Kilter Holds'!$P$36:$AB$370,7,0),0)</f>
        <v>0</v>
      </c>
      <c r="J1102" s="2">
        <f t="shared" si="56"/>
        <v>0</v>
      </c>
      <c r="K1102" s="2">
        <f t="shared" si="57"/>
        <v>0</v>
      </c>
    </row>
    <row r="1103" spans="5:11">
      <c r="E1103" t="s">
        <v>320</v>
      </c>
      <c r="F1103" t="s">
        <v>661</v>
      </c>
      <c r="G1103" s="8" t="str">
        <f t="shared" si="58"/>
        <v>16-16</v>
      </c>
      <c r="H1103" s="1">
        <f>_xlfn.IFNA(VLOOKUP(Aragon!E1103,'Kilter Holds'!$P$36:$AB$370,8,0),0)</f>
        <v>0</v>
      </c>
      <c r="J1103" s="2">
        <f t="shared" si="56"/>
        <v>0</v>
      </c>
      <c r="K1103" s="2">
        <f t="shared" si="57"/>
        <v>0</v>
      </c>
    </row>
    <row r="1104" spans="5:11">
      <c r="E1104" t="s">
        <v>320</v>
      </c>
      <c r="F1104" t="s">
        <v>661</v>
      </c>
      <c r="G1104" s="9" t="str">
        <f t="shared" si="58"/>
        <v>13-01</v>
      </c>
      <c r="H1104" s="1">
        <f>_xlfn.IFNA(VLOOKUP(Aragon!E1104,'Kilter Holds'!$P$36:$AB$370,9,0),0)</f>
        <v>0</v>
      </c>
      <c r="J1104" s="2">
        <f t="shared" si="56"/>
        <v>0</v>
      </c>
      <c r="K1104" s="2">
        <f t="shared" si="57"/>
        <v>0</v>
      </c>
    </row>
    <row r="1105" spans="5:11">
      <c r="E1105" t="s">
        <v>320</v>
      </c>
      <c r="F1105" t="s">
        <v>661</v>
      </c>
      <c r="G1105" s="10" t="str">
        <f t="shared" si="58"/>
        <v>07-13</v>
      </c>
      <c r="H1105" s="1">
        <f>_xlfn.IFNA(VLOOKUP(Aragon!E1105,'Kilter Holds'!$P$36:$AB$370,10,0),0)</f>
        <v>0</v>
      </c>
      <c r="J1105" s="2">
        <f t="shared" si="56"/>
        <v>0</v>
      </c>
      <c r="K1105" s="2">
        <f t="shared" si="57"/>
        <v>0</v>
      </c>
    </row>
    <row r="1106" spans="5:11">
      <c r="E1106" t="s">
        <v>320</v>
      </c>
      <c r="F1106" t="s">
        <v>661</v>
      </c>
      <c r="G1106" s="11" t="str">
        <f t="shared" si="58"/>
        <v>11-25</v>
      </c>
      <c r="H1106" s="1">
        <f>_xlfn.IFNA(VLOOKUP(Aragon!E1106,'Kilter Holds'!$P$36:$AB$370,11,0),0)</f>
        <v>0</v>
      </c>
      <c r="J1106" s="2">
        <f t="shared" si="56"/>
        <v>0</v>
      </c>
      <c r="K1106" s="2">
        <f t="shared" si="57"/>
        <v>0</v>
      </c>
    </row>
    <row r="1107" spans="5:11">
      <c r="E1107" t="s">
        <v>320</v>
      </c>
      <c r="F1107" t="s">
        <v>661</v>
      </c>
      <c r="G1107" s="13" t="str">
        <f t="shared" si="58"/>
        <v>18-01</v>
      </c>
      <c r="H1107" s="1">
        <f>_xlfn.IFNA(VLOOKUP(Aragon!E1107,'Kilter Holds'!$P$36:$AB$370,12,0),0)</f>
        <v>0</v>
      </c>
      <c r="J1107" s="2">
        <f t="shared" si="56"/>
        <v>0</v>
      </c>
      <c r="K1107" s="2">
        <f t="shared" si="57"/>
        <v>0</v>
      </c>
    </row>
    <row r="1108" spans="5:11">
      <c r="E1108" t="s">
        <v>320</v>
      </c>
      <c r="F1108" t="s">
        <v>661</v>
      </c>
      <c r="G1108" s="12" t="str">
        <f t="shared" si="58"/>
        <v>12-01</v>
      </c>
      <c r="H1108" s="1">
        <f>_xlfn.IFNA(VLOOKUP(Aragon!E1108,'Kilter Holds'!$P$36:$AB$370,13,0),0)</f>
        <v>0</v>
      </c>
      <c r="J1108" s="2">
        <f t="shared" si="56"/>
        <v>0</v>
      </c>
      <c r="K1108" s="2">
        <f t="shared" si="57"/>
        <v>0</v>
      </c>
    </row>
    <row r="1109" spans="5:11">
      <c r="E1109" t="s">
        <v>339</v>
      </c>
      <c r="F1109" t="s">
        <v>662</v>
      </c>
      <c r="G1109" s="5" t="str">
        <f t="shared" si="58"/>
        <v>11-12</v>
      </c>
      <c r="H1109" s="1">
        <f>_xlfn.IFNA(VLOOKUP(Aragon!E1109,'Kilter Holds'!$P$36:$AB$370,5,0),0)</f>
        <v>0</v>
      </c>
      <c r="J1109" s="2">
        <f t="shared" si="56"/>
        <v>0</v>
      </c>
      <c r="K1109" s="2">
        <f t="shared" si="57"/>
        <v>0</v>
      </c>
    </row>
    <row r="1110" spans="5:11">
      <c r="E1110" t="s">
        <v>339</v>
      </c>
      <c r="F1110" t="s">
        <v>662</v>
      </c>
      <c r="G1110" s="6" t="str">
        <f t="shared" si="58"/>
        <v>14-01</v>
      </c>
      <c r="H1110" s="1">
        <f>_xlfn.IFNA(VLOOKUP(Aragon!E1110,'Kilter Holds'!$P$36:$AB$370,6,0),0)</f>
        <v>0</v>
      </c>
      <c r="J1110" s="2">
        <f t="shared" si="56"/>
        <v>0</v>
      </c>
      <c r="K1110" s="2">
        <f t="shared" si="57"/>
        <v>0</v>
      </c>
    </row>
    <row r="1111" spans="5:11">
      <c r="E1111" t="s">
        <v>339</v>
      </c>
      <c r="F1111" t="s">
        <v>662</v>
      </c>
      <c r="G1111" s="7" t="str">
        <f t="shared" si="58"/>
        <v>15-12</v>
      </c>
      <c r="H1111" s="1">
        <f>_xlfn.IFNA(VLOOKUP(Aragon!E1111,'Kilter Holds'!$P$36:$AB$370,7,0),0)</f>
        <v>0</v>
      </c>
      <c r="J1111" s="2">
        <f t="shared" si="56"/>
        <v>0</v>
      </c>
      <c r="K1111" s="2">
        <f t="shared" si="57"/>
        <v>0</v>
      </c>
    </row>
    <row r="1112" spans="5:11">
      <c r="E1112" t="s">
        <v>339</v>
      </c>
      <c r="F1112" t="s">
        <v>662</v>
      </c>
      <c r="G1112" s="8" t="str">
        <f t="shared" si="58"/>
        <v>16-16</v>
      </c>
      <c r="H1112" s="1">
        <f>_xlfn.IFNA(VLOOKUP(Aragon!E1112,'Kilter Holds'!$P$36:$AB$370,8,0),0)</f>
        <v>0</v>
      </c>
      <c r="J1112" s="2">
        <f t="shared" si="56"/>
        <v>0</v>
      </c>
      <c r="K1112" s="2">
        <f t="shared" si="57"/>
        <v>0</v>
      </c>
    </row>
    <row r="1113" spans="5:11">
      <c r="E1113" t="s">
        <v>339</v>
      </c>
      <c r="F1113" t="s">
        <v>662</v>
      </c>
      <c r="G1113" s="9" t="str">
        <f t="shared" si="58"/>
        <v>13-01</v>
      </c>
      <c r="H1113" s="1">
        <f>_xlfn.IFNA(VLOOKUP(Aragon!E1113,'Kilter Holds'!$P$36:$AB$370,9,0),0)</f>
        <v>0</v>
      </c>
      <c r="J1113" s="2">
        <f t="shared" si="56"/>
        <v>0</v>
      </c>
      <c r="K1113" s="2">
        <f t="shared" si="57"/>
        <v>0</v>
      </c>
    </row>
    <row r="1114" spans="5:11">
      <c r="E1114" t="s">
        <v>339</v>
      </c>
      <c r="F1114" t="s">
        <v>662</v>
      </c>
      <c r="G1114" s="10" t="str">
        <f t="shared" si="58"/>
        <v>07-13</v>
      </c>
      <c r="H1114" s="1">
        <f>_xlfn.IFNA(VLOOKUP(Aragon!E1114,'Kilter Holds'!$P$36:$AB$370,10,0),0)</f>
        <v>0</v>
      </c>
      <c r="J1114" s="2">
        <f t="shared" si="56"/>
        <v>0</v>
      </c>
      <c r="K1114" s="2">
        <f t="shared" si="57"/>
        <v>0</v>
      </c>
    </row>
    <row r="1115" spans="5:11">
      <c r="E1115" t="s">
        <v>339</v>
      </c>
      <c r="F1115" t="s">
        <v>662</v>
      </c>
      <c r="G1115" s="11" t="str">
        <f t="shared" si="58"/>
        <v>11-25</v>
      </c>
      <c r="H1115" s="1">
        <f>_xlfn.IFNA(VLOOKUP(Aragon!E1115,'Kilter Holds'!$P$36:$AB$370,11,0),0)</f>
        <v>0</v>
      </c>
      <c r="J1115" s="2">
        <f t="shared" si="56"/>
        <v>0</v>
      </c>
      <c r="K1115" s="2">
        <f t="shared" si="57"/>
        <v>0</v>
      </c>
    </row>
    <row r="1116" spans="5:11">
      <c r="E1116" t="s">
        <v>339</v>
      </c>
      <c r="F1116" t="s">
        <v>662</v>
      </c>
      <c r="G1116" s="13" t="str">
        <f t="shared" si="58"/>
        <v>18-01</v>
      </c>
      <c r="H1116" s="1">
        <f>_xlfn.IFNA(VLOOKUP(Aragon!E1116,'Kilter Holds'!$P$36:$AB$370,12,0),0)</f>
        <v>0</v>
      </c>
      <c r="J1116" s="2">
        <f t="shared" si="56"/>
        <v>0</v>
      </c>
      <c r="K1116" s="2">
        <f t="shared" si="57"/>
        <v>0</v>
      </c>
    </row>
    <row r="1117" spans="5:11">
      <c r="E1117" t="s">
        <v>339</v>
      </c>
      <c r="F1117" t="s">
        <v>662</v>
      </c>
      <c r="G1117" s="12" t="str">
        <f t="shared" si="58"/>
        <v>12-01</v>
      </c>
      <c r="H1117" s="1">
        <f>_xlfn.IFNA(VLOOKUP(Aragon!E1117,'Kilter Holds'!$P$36:$AB$370,13,0),0)</f>
        <v>0</v>
      </c>
      <c r="J1117" s="2">
        <f t="shared" si="56"/>
        <v>0</v>
      </c>
      <c r="K1117" s="2">
        <f t="shared" si="57"/>
        <v>0</v>
      </c>
    </row>
    <row r="1118" spans="5:11">
      <c r="E1118" t="s">
        <v>336</v>
      </c>
      <c r="F1118" t="s">
        <v>663</v>
      </c>
      <c r="G1118" s="5" t="str">
        <f t="shared" si="58"/>
        <v>11-12</v>
      </c>
      <c r="H1118" s="1">
        <f>_xlfn.IFNA(VLOOKUP(Aragon!E1118,'Kilter Holds'!$P$36:$AB$370,5,0),0)</f>
        <v>0</v>
      </c>
      <c r="J1118" s="2">
        <f t="shared" si="56"/>
        <v>0</v>
      </c>
      <c r="K1118" s="2">
        <f t="shared" si="57"/>
        <v>0</v>
      </c>
    </row>
    <row r="1119" spans="5:11">
      <c r="E1119" t="s">
        <v>336</v>
      </c>
      <c r="F1119" t="s">
        <v>663</v>
      </c>
      <c r="G1119" s="6" t="str">
        <f t="shared" si="58"/>
        <v>14-01</v>
      </c>
      <c r="H1119" s="1">
        <f>_xlfn.IFNA(VLOOKUP(Aragon!E1119,'Kilter Holds'!$P$36:$AB$370,6,0),0)</f>
        <v>0</v>
      </c>
      <c r="J1119" s="2">
        <f t="shared" si="56"/>
        <v>0</v>
      </c>
      <c r="K1119" s="2">
        <f t="shared" si="57"/>
        <v>0</v>
      </c>
    </row>
    <row r="1120" spans="5:11">
      <c r="E1120" t="s">
        <v>336</v>
      </c>
      <c r="F1120" t="s">
        <v>663</v>
      </c>
      <c r="G1120" s="7" t="str">
        <f t="shared" si="58"/>
        <v>15-12</v>
      </c>
      <c r="H1120" s="1">
        <f>_xlfn.IFNA(VLOOKUP(Aragon!E1120,'Kilter Holds'!$P$36:$AB$370,7,0),0)</f>
        <v>0</v>
      </c>
      <c r="J1120" s="2">
        <f t="shared" si="56"/>
        <v>0</v>
      </c>
      <c r="K1120" s="2">
        <f t="shared" si="57"/>
        <v>0</v>
      </c>
    </row>
    <row r="1121" spans="5:11">
      <c r="E1121" t="s">
        <v>336</v>
      </c>
      <c r="F1121" t="s">
        <v>663</v>
      </c>
      <c r="G1121" s="8" t="str">
        <f t="shared" si="58"/>
        <v>16-16</v>
      </c>
      <c r="H1121" s="1">
        <f>_xlfn.IFNA(VLOOKUP(Aragon!E1121,'Kilter Holds'!$P$36:$AB$370,8,0),0)</f>
        <v>0</v>
      </c>
      <c r="J1121" s="2">
        <f t="shared" si="56"/>
        <v>0</v>
      </c>
      <c r="K1121" s="2">
        <f t="shared" si="57"/>
        <v>0</v>
      </c>
    </row>
    <row r="1122" spans="5:11">
      <c r="E1122" t="s">
        <v>336</v>
      </c>
      <c r="F1122" t="s">
        <v>663</v>
      </c>
      <c r="G1122" s="9" t="str">
        <f t="shared" si="58"/>
        <v>13-01</v>
      </c>
      <c r="H1122" s="1">
        <f>_xlfn.IFNA(VLOOKUP(Aragon!E1122,'Kilter Holds'!$P$36:$AB$370,9,0),0)</f>
        <v>0</v>
      </c>
      <c r="J1122" s="2">
        <f t="shared" si="56"/>
        <v>0</v>
      </c>
      <c r="K1122" s="2">
        <f t="shared" si="57"/>
        <v>0</v>
      </c>
    </row>
    <row r="1123" spans="5:11">
      <c r="E1123" t="s">
        <v>336</v>
      </c>
      <c r="F1123" t="s">
        <v>663</v>
      </c>
      <c r="G1123" s="10" t="str">
        <f t="shared" si="58"/>
        <v>07-13</v>
      </c>
      <c r="H1123" s="1">
        <f>_xlfn.IFNA(VLOOKUP(Aragon!E1123,'Kilter Holds'!$P$36:$AB$370,10,0),0)</f>
        <v>0</v>
      </c>
      <c r="J1123" s="2">
        <f t="shared" si="56"/>
        <v>0</v>
      </c>
      <c r="K1123" s="2">
        <f t="shared" si="57"/>
        <v>0</v>
      </c>
    </row>
    <row r="1124" spans="5:11">
      <c r="E1124" t="s">
        <v>336</v>
      </c>
      <c r="F1124" t="s">
        <v>663</v>
      </c>
      <c r="G1124" s="11" t="str">
        <f t="shared" si="58"/>
        <v>11-25</v>
      </c>
      <c r="H1124" s="1">
        <f>_xlfn.IFNA(VLOOKUP(Aragon!E1124,'Kilter Holds'!$P$36:$AB$370,11,0),0)</f>
        <v>0</v>
      </c>
      <c r="J1124" s="2">
        <f t="shared" si="56"/>
        <v>0</v>
      </c>
      <c r="K1124" s="2">
        <f t="shared" si="57"/>
        <v>0</v>
      </c>
    </row>
    <row r="1125" spans="5:11">
      <c r="E1125" t="s">
        <v>336</v>
      </c>
      <c r="F1125" t="s">
        <v>663</v>
      </c>
      <c r="G1125" s="13" t="str">
        <f t="shared" si="58"/>
        <v>18-01</v>
      </c>
      <c r="H1125" s="1">
        <f>_xlfn.IFNA(VLOOKUP(Aragon!E1125,'Kilter Holds'!$P$36:$AB$370,12,0),0)</f>
        <v>0</v>
      </c>
      <c r="J1125" s="2">
        <f t="shared" si="56"/>
        <v>0</v>
      </c>
      <c r="K1125" s="2">
        <f t="shared" si="57"/>
        <v>0</v>
      </c>
    </row>
    <row r="1126" spans="5:11">
      <c r="E1126" t="s">
        <v>336</v>
      </c>
      <c r="F1126" t="s">
        <v>663</v>
      </c>
      <c r="G1126" s="12" t="str">
        <f t="shared" si="58"/>
        <v>12-01</v>
      </c>
      <c r="H1126" s="1">
        <f>_xlfn.IFNA(VLOOKUP(Aragon!E1126,'Kilter Holds'!$P$36:$AB$370,13,0),0)</f>
        <v>0</v>
      </c>
      <c r="J1126" s="2">
        <f t="shared" si="56"/>
        <v>0</v>
      </c>
      <c r="K1126" s="2">
        <f t="shared" si="57"/>
        <v>0</v>
      </c>
    </row>
    <row r="1127" spans="5:11">
      <c r="E1127" t="s">
        <v>209</v>
      </c>
      <c r="F1127" t="s">
        <v>664</v>
      </c>
      <c r="G1127" s="5" t="str">
        <f t="shared" si="58"/>
        <v>11-12</v>
      </c>
      <c r="H1127" s="1">
        <f>_xlfn.IFNA(VLOOKUP(Aragon!E1127,'Kilter Holds'!$P$36:$AB$370,5,0),0)</f>
        <v>0</v>
      </c>
      <c r="J1127" s="2">
        <f t="shared" si="56"/>
        <v>0</v>
      </c>
      <c r="K1127" s="2">
        <f t="shared" si="57"/>
        <v>0</v>
      </c>
    </row>
    <row r="1128" spans="5:11">
      <c r="E1128" t="s">
        <v>209</v>
      </c>
      <c r="F1128" t="s">
        <v>664</v>
      </c>
      <c r="G1128" s="6" t="str">
        <f t="shared" si="58"/>
        <v>14-01</v>
      </c>
      <c r="H1128" s="1">
        <f>_xlfn.IFNA(VLOOKUP(Aragon!E1128,'Kilter Holds'!$P$36:$AB$370,6,0),0)</f>
        <v>0</v>
      </c>
      <c r="J1128" s="2">
        <f t="shared" si="56"/>
        <v>0</v>
      </c>
      <c r="K1128" s="2">
        <f t="shared" si="57"/>
        <v>0</v>
      </c>
    </row>
    <row r="1129" spans="5:11">
      <c r="E1129" t="s">
        <v>209</v>
      </c>
      <c r="F1129" t="s">
        <v>664</v>
      </c>
      <c r="G1129" s="7" t="str">
        <f t="shared" si="58"/>
        <v>15-12</v>
      </c>
      <c r="H1129" s="1">
        <f>_xlfn.IFNA(VLOOKUP(Aragon!E1129,'Kilter Holds'!$P$36:$AB$370,7,0),0)</f>
        <v>0</v>
      </c>
      <c r="J1129" s="2">
        <f t="shared" si="56"/>
        <v>0</v>
      </c>
      <c r="K1129" s="2">
        <f t="shared" si="57"/>
        <v>0</v>
      </c>
    </row>
    <row r="1130" spans="5:11">
      <c r="E1130" t="s">
        <v>209</v>
      </c>
      <c r="F1130" t="s">
        <v>664</v>
      </c>
      <c r="G1130" s="8" t="str">
        <f t="shared" si="58"/>
        <v>16-16</v>
      </c>
      <c r="H1130" s="1">
        <f>_xlfn.IFNA(VLOOKUP(Aragon!E1130,'Kilter Holds'!$P$36:$AB$370,8,0),0)</f>
        <v>0</v>
      </c>
      <c r="J1130" s="2">
        <f t="shared" si="56"/>
        <v>0</v>
      </c>
      <c r="K1130" s="2">
        <f t="shared" si="57"/>
        <v>0</v>
      </c>
    </row>
    <row r="1131" spans="5:11">
      <c r="E1131" t="s">
        <v>209</v>
      </c>
      <c r="F1131" t="s">
        <v>664</v>
      </c>
      <c r="G1131" s="9" t="str">
        <f t="shared" si="58"/>
        <v>13-01</v>
      </c>
      <c r="H1131" s="1">
        <f>_xlfn.IFNA(VLOOKUP(Aragon!E1131,'Kilter Holds'!$P$36:$AB$370,9,0),0)</f>
        <v>0</v>
      </c>
      <c r="J1131" s="2">
        <f t="shared" si="56"/>
        <v>0</v>
      </c>
      <c r="K1131" s="2">
        <f t="shared" si="57"/>
        <v>0</v>
      </c>
    </row>
    <row r="1132" spans="5:11">
      <c r="E1132" t="s">
        <v>209</v>
      </c>
      <c r="F1132" t="s">
        <v>664</v>
      </c>
      <c r="G1132" s="10" t="str">
        <f t="shared" si="58"/>
        <v>07-13</v>
      </c>
      <c r="H1132" s="1">
        <f>_xlfn.IFNA(VLOOKUP(Aragon!E1132,'Kilter Holds'!$P$36:$AB$370,10,0),0)</f>
        <v>0</v>
      </c>
      <c r="J1132" s="2">
        <f t="shared" si="56"/>
        <v>0</v>
      </c>
      <c r="K1132" s="2">
        <f t="shared" si="57"/>
        <v>0</v>
      </c>
    </row>
    <row r="1133" spans="5:11">
      <c r="E1133" t="s">
        <v>209</v>
      </c>
      <c r="F1133" t="s">
        <v>664</v>
      </c>
      <c r="G1133" s="11" t="str">
        <f t="shared" si="58"/>
        <v>11-25</v>
      </c>
      <c r="H1133" s="1">
        <f>_xlfn.IFNA(VLOOKUP(Aragon!E1133,'Kilter Holds'!$P$36:$AB$370,11,0),0)</f>
        <v>0</v>
      </c>
      <c r="J1133" s="2">
        <f t="shared" si="56"/>
        <v>0</v>
      </c>
      <c r="K1133" s="2">
        <f t="shared" si="57"/>
        <v>0</v>
      </c>
    </row>
    <row r="1134" spans="5:11">
      <c r="E1134" t="s">
        <v>209</v>
      </c>
      <c r="F1134" t="s">
        <v>664</v>
      </c>
      <c r="G1134" s="13" t="str">
        <f t="shared" si="58"/>
        <v>18-01</v>
      </c>
      <c r="H1134" s="1">
        <f>_xlfn.IFNA(VLOOKUP(Aragon!E1134,'Kilter Holds'!$P$36:$AB$370,12,0),0)</f>
        <v>0</v>
      </c>
      <c r="J1134" s="2">
        <f t="shared" si="56"/>
        <v>0</v>
      </c>
      <c r="K1134" s="2">
        <f t="shared" si="57"/>
        <v>0</v>
      </c>
    </row>
    <row r="1135" spans="5:11">
      <c r="E1135" t="s">
        <v>209</v>
      </c>
      <c r="F1135" t="s">
        <v>664</v>
      </c>
      <c r="G1135" s="12" t="str">
        <f t="shared" si="58"/>
        <v>12-01</v>
      </c>
      <c r="H1135" s="1">
        <f>_xlfn.IFNA(VLOOKUP(Aragon!E1135,'Kilter Holds'!$P$36:$AB$370,13,0),0)</f>
        <v>0</v>
      </c>
      <c r="J1135" s="2">
        <f t="shared" si="56"/>
        <v>0</v>
      </c>
      <c r="K1135" s="2">
        <f t="shared" si="57"/>
        <v>0</v>
      </c>
    </row>
    <row r="1136" spans="5:11">
      <c r="E1136" t="s">
        <v>249</v>
      </c>
      <c r="F1136" t="s">
        <v>665</v>
      </c>
      <c r="G1136" s="5" t="str">
        <f t="shared" si="58"/>
        <v>11-12</v>
      </c>
      <c r="H1136" s="1">
        <f>_xlfn.IFNA(VLOOKUP(Aragon!E1136,'Kilter Holds'!$P$36:$AB$370,5,0),0)</f>
        <v>0</v>
      </c>
      <c r="J1136" s="2">
        <f t="shared" si="56"/>
        <v>0</v>
      </c>
      <c r="K1136" s="2">
        <f t="shared" si="57"/>
        <v>0</v>
      </c>
    </row>
    <row r="1137" spans="5:11">
      <c r="E1137" t="s">
        <v>249</v>
      </c>
      <c r="F1137" t="s">
        <v>665</v>
      </c>
      <c r="G1137" s="6" t="str">
        <f t="shared" si="58"/>
        <v>14-01</v>
      </c>
      <c r="H1137" s="1">
        <f>_xlfn.IFNA(VLOOKUP(Aragon!E1137,'Kilter Holds'!$P$36:$AB$370,6,0),0)</f>
        <v>0</v>
      </c>
      <c r="J1137" s="2">
        <f t="shared" si="56"/>
        <v>0</v>
      </c>
      <c r="K1137" s="2">
        <f t="shared" si="57"/>
        <v>0</v>
      </c>
    </row>
    <row r="1138" spans="5:11">
      <c r="E1138" t="s">
        <v>249</v>
      </c>
      <c r="F1138" t="s">
        <v>665</v>
      </c>
      <c r="G1138" s="7" t="str">
        <f t="shared" si="58"/>
        <v>15-12</v>
      </c>
      <c r="H1138" s="1">
        <f>_xlfn.IFNA(VLOOKUP(Aragon!E1138,'Kilter Holds'!$P$36:$AB$370,7,0),0)</f>
        <v>0</v>
      </c>
      <c r="J1138" s="2">
        <f t="shared" si="56"/>
        <v>0</v>
      </c>
      <c r="K1138" s="2">
        <f t="shared" si="57"/>
        <v>0</v>
      </c>
    </row>
    <row r="1139" spans="5:11">
      <c r="E1139" t="s">
        <v>249</v>
      </c>
      <c r="F1139" t="s">
        <v>665</v>
      </c>
      <c r="G1139" s="8" t="str">
        <f t="shared" si="58"/>
        <v>16-16</v>
      </c>
      <c r="H1139" s="1">
        <f>_xlfn.IFNA(VLOOKUP(Aragon!E1139,'Kilter Holds'!$P$36:$AB$370,8,0),0)</f>
        <v>0</v>
      </c>
      <c r="J1139" s="2">
        <f t="shared" si="56"/>
        <v>0</v>
      </c>
      <c r="K1139" s="2">
        <f t="shared" si="57"/>
        <v>0</v>
      </c>
    </row>
    <row r="1140" spans="5:11">
      <c r="E1140" t="s">
        <v>249</v>
      </c>
      <c r="F1140" t="s">
        <v>665</v>
      </c>
      <c r="G1140" s="9" t="str">
        <f t="shared" si="58"/>
        <v>13-01</v>
      </c>
      <c r="H1140" s="1">
        <f>_xlfn.IFNA(VLOOKUP(Aragon!E1140,'Kilter Holds'!$P$36:$AB$370,9,0),0)</f>
        <v>0</v>
      </c>
      <c r="J1140" s="2">
        <f t="shared" si="56"/>
        <v>0</v>
      </c>
      <c r="K1140" s="2">
        <f t="shared" si="57"/>
        <v>0</v>
      </c>
    </row>
    <row r="1141" spans="5:11">
      <c r="E1141" t="s">
        <v>249</v>
      </c>
      <c r="F1141" t="s">
        <v>665</v>
      </c>
      <c r="G1141" s="10" t="str">
        <f t="shared" si="58"/>
        <v>07-13</v>
      </c>
      <c r="H1141" s="1">
        <f>_xlfn.IFNA(VLOOKUP(Aragon!E1141,'Kilter Holds'!$P$36:$AB$370,10,0),0)</f>
        <v>0</v>
      </c>
      <c r="J1141" s="2">
        <f t="shared" si="56"/>
        <v>0</v>
      </c>
      <c r="K1141" s="2">
        <f t="shared" si="57"/>
        <v>0</v>
      </c>
    </row>
    <row r="1142" spans="5:11">
      <c r="E1142" t="s">
        <v>249</v>
      </c>
      <c r="F1142" t="s">
        <v>665</v>
      </c>
      <c r="G1142" s="11" t="str">
        <f t="shared" si="58"/>
        <v>11-25</v>
      </c>
      <c r="H1142" s="1">
        <f>_xlfn.IFNA(VLOOKUP(Aragon!E1142,'Kilter Holds'!$P$36:$AB$370,11,0),0)</f>
        <v>0</v>
      </c>
      <c r="J1142" s="2">
        <f t="shared" si="56"/>
        <v>0</v>
      </c>
      <c r="K1142" s="2">
        <f t="shared" si="57"/>
        <v>0</v>
      </c>
    </row>
    <row r="1143" spans="5:11">
      <c r="E1143" t="s">
        <v>249</v>
      </c>
      <c r="F1143" t="s">
        <v>665</v>
      </c>
      <c r="G1143" s="13" t="str">
        <f t="shared" si="58"/>
        <v>18-01</v>
      </c>
      <c r="H1143" s="1">
        <f>_xlfn.IFNA(VLOOKUP(Aragon!E1143,'Kilter Holds'!$P$36:$AB$370,12,0),0)</f>
        <v>0</v>
      </c>
      <c r="J1143" s="2">
        <f t="shared" si="56"/>
        <v>0</v>
      </c>
      <c r="K1143" s="2">
        <f t="shared" si="57"/>
        <v>0</v>
      </c>
    </row>
    <row r="1144" spans="5:11">
      <c r="E1144" t="s">
        <v>249</v>
      </c>
      <c r="F1144" t="s">
        <v>665</v>
      </c>
      <c r="G1144" s="12" t="str">
        <f t="shared" si="58"/>
        <v>12-01</v>
      </c>
      <c r="H1144" s="1">
        <f>_xlfn.IFNA(VLOOKUP(Aragon!E1144,'Kilter Holds'!$P$36:$AB$370,13,0),0)</f>
        <v>0</v>
      </c>
      <c r="J1144" s="2">
        <f t="shared" si="56"/>
        <v>0</v>
      </c>
      <c r="K1144" s="2">
        <f t="shared" si="57"/>
        <v>0</v>
      </c>
    </row>
    <row r="1145" spans="5:11">
      <c r="E1145" t="s">
        <v>321</v>
      </c>
      <c r="F1145" t="s">
        <v>666</v>
      </c>
      <c r="G1145" s="5" t="str">
        <f t="shared" si="58"/>
        <v>11-12</v>
      </c>
      <c r="H1145" s="1">
        <f>_xlfn.IFNA(VLOOKUP(Aragon!E1145,'Kilter Holds'!$P$36:$AB$370,5,0),0)</f>
        <v>0</v>
      </c>
      <c r="J1145" s="2">
        <f t="shared" si="56"/>
        <v>0</v>
      </c>
      <c r="K1145" s="2">
        <f t="shared" si="57"/>
        <v>0</v>
      </c>
    </row>
    <row r="1146" spans="5:11">
      <c r="E1146" t="s">
        <v>321</v>
      </c>
      <c r="F1146" t="s">
        <v>666</v>
      </c>
      <c r="G1146" s="6" t="str">
        <f t="shared" si="58"/>
        <v>14-01</v>
      </c>
      <c r="H1146" s="1">
        <f>_xlfn.IFNA(VLOOKUP(Aragon!E1146,'Kilter Holds'!$P$36:$AB$370,6,0),0)</f>
        <v>0</v>
      </c>
      <c r="J1146" s="2">
        <f t="shared" ref="J1146:J1209" si="59">H1146*I1146</f>
        <v>0</v>
      </c>
      <c r="K1146" s="2">
        <f t="shared" si="57"/>
        <v>0</v>
      </c>
    </row>
    <row r="1147" spans="5:11">
      <c r="E1147" t="s">
        <v>321</v>
      </c>
      <c r="F1147" t="s">
        <v>666</v>
      </c>
      <c r="G1147" s="7" t="str">
        <f t="shared" si="58"/>
        <v>15-12</v>
      </c>
      <c r="H1147" s="1">
        <f>_xlfn.IFNA(VLOOKUP(Aragon!E1147,'Kilter Holds'!$P$36:$AB$370,7,0),0)</f>
        <v>0</v>
      </c>
      <c r="J1147" s="2">
        <f t="shared" si="59"/>
        <v>0</v>
      </c>
      <c r="K1147" s="2">
        <f t="shared" si="57"/>
        <v>0</v>
      </c>
    </row>
    <row r="1148" spans="5:11">
      <c r="E1148" t="s">
        <v>321</v>
      </c>
      <c r="F1148" t="s">
        <v>666</v>
      </c>
      <c r="G1148" s="8" t="str">
        <f t="shared" si="58"/>
        <v>16-16</v>
      </c>
      <c r="H1148" s="1">
        <f>_xlfn.IFNA(VLOOKUP(Aragon!E1148,'Kilter Holds'!$P$36:$AB$370,8,0),0)</f>
        <v>0</v>
      </c>
      <c r="J1148" s="2">
        <f t="shared" si="59"/>
        <v>0</v>
      </c>
      <c r="K1148" s="2">
        <f t="shared" si="57"/>
        <v>0</v>
      </c>
    </row>
    <row r="1149" spans="5:11">
      <c r="E1149" t="s">
        <v>321</v>
      </c>
      <c r="F1149" t="s">
        <v>666</v>
      </c>
      <c r="G1149" s="9" t="str">
        <f t="shared" si="58"/>
        <v>13-01</v>
      </c>
      <c r="H1149" s="1">
        <f>_xlfn.IFNA(VLOOKUP(Aragon!E1149,'Kilter Holds'!$P$36:$AB$370,9,0),0)</f>
        <v>0</v>
      </c>
      <c r="J1149" s="2">
        <f t="shared" si="59"/>
        <v>0</v>
      </c>
      <c r="K1149" s="2">
        <f t="shared" si="57"/>
        <v>0</v>
      </c>
    </row>
    <row r="1150" spans="5:11">
      <c r="E1150" t="s">
        <v>321</v>
      </c>
      <c r="F1150" t="s">
        <v>666</v>
      </c>
      <c r="G1150" s="10" t="str">
        <f t="shared" si="58"/>
        <v>07-13</v>
      </c>
      <c r="H1150" s="1">
        <f>_xlfn.IFNA(VLOOKUP(Aragon!E1150,'Kilter Holds'!$P$36:$AB$370,10,0),0)</f>
        <v>0</v>
      </c>
      <c r="J1150" s="2">
        <f t="shared" si="59"/>
        <v>0</v>
      </c>
      <c r="K1150" s="2">
        <f t="shared" si="57"/>
        <v>0</v>
      </c>
    </row>
    <row r="1151" spans="5:11">
      <c r="E1151" t="s">
        <v>321</v>
      </c>
      <c r="F1151" t="s">
        <v>666</v>
      </c>
      <c r="G1151" s="11" t="str">
        <f t="shared" si="58"/>
        <v>11-25</v>
      </c>
      <c r="H1151" s="1">
        <f>_xlfn.IFNA(VLOOKUP(Aragon!E1151,'Kilter Holds'!$P$36:$AB$370,11,0),0)</f>
        <v>0</v>
      </c>
      <c r="J1151" s="2">
        <f t="shared" si="59"/>
        <v>0</v>
      </c>
      <c r="K1151" s="2">
        <f t="shared" si="57"/>
        <v>0</v>
      </c>
    </row>
    <row r="1152" spans="5:11">
      <c r="E1152" t="s">
        <v>321</v>
      </c>
      <c r="F1152" t="s">
        <v>666</v>
      </c>
      <c r="G1152" s="13" t="str">
        <f t="shared" si="58"/>
        <v>18-01</v>
      </c>
      <c r="H1152" s="1">
        <f>_xlfn.IFNA(VLOOKUP(Aragon!E1152,'Kilter Holds'!$P$36:$AB$370,12,0),0)</f>
        <v>0</v>
      </c>
      <c r="J1152" s="2">
        <f t="shared" si="59"/>
        <v>0</v>
      </c>
      <c r="K1152" s="2">
        <f t="shared" si="57"/>
        <v>0</v>
      </c>
    </row>
    <row r="1153" spans="5:11">
      <c r="E1153" t="s">
        <v>321</v>
      </c>
      <c r="F1153" t="s">
        <v>666</v>
      </c>
      <c r="G1153" s="12" t="str">
        <f t="shared" si="58"/>
        <v>12-01</v>
      </c>
      <c r="H1153" s="1">
        <f>_xlfn.IFNA(VLOOKUP(Aragon!E1153,'Kilter Holds'!$P$36:$AB$370,13,0),0)</f>
        <v>0</v>
      </c>
      <c r="J1153" s="2">
        <f t="shared" si="59"/>
        <v>0</v>
      </c>
      <c r="K1153" s="2">
        <f t="shared" si="57"/>
        <v>0</v>
      </c>
    </row>
    <row r="1154" spans="5:11">
      <c r="E1154" t="s">
        <v>210</v>
      </c>
      <c r="F1154" t="s">
        <v>667</v>
      </c>
      <c r="G1154" s="5" t="str">
        <f t="shared" si="58"/>
        <v>11-12</v>
      </c>
      <c r="H1154" s="1">
        <f>_xlfn.IFNA(VLOOKUP(Aragon!E1154,'Kilter Holds'!$P$36:$AB$370,5,0),0)</f>
        <v>0</v>
      </c>
      <c r="J1154" s="2">
        <f t="shared" si="59"/>
        <v>0</v>
      </c>
      <c r="K1154" s="2">
        <f t="shared" si="57"/>
        <v>0</v>
      </c>
    </row>
    <row r="1155" spans="5:11">
      <c r="E1155" t="s">
        <v>210</v>
      </c>
      <c r="F1155" t="s">
        <v>667</v>
      </c>
      <c r="G1155" s="6" t="str">
        <f t="shared" si="58"/>
        <v>14-01</v>
      </c>
      <c r="H1155" s="1">
        <f>_xlfn.IFNA(VLOOKUP(Aragon!E1155,'Kilter Holds'!$P$36:$AB$370,6,0),0)</f>
        <v>0</v>
      </c>
      <c r="J1155" s="2">
        <f t="shared" si="59"/>
        <v>0</v>
      </c>
      <c r="K1155" s="2">
        <f t="shared" si="57"/>
        <v>0</v>
      </c>
    </row>
    <row r="1156" spans="5:11">
      <c r="E1156" t="s">
        <v>210</v>
      </c>
      <c r="F1156" t="s">
        <v>667</v>
      </c>
      <c r="G1156" s="7" t="str">
        <f t="shared" si="58"/>
        <v>15-12</v>
      </c>
      <c r="H1156" s="1">
        <f>_xlfn.IFNA(VLOOKUP(Aragon!E1156,'Kilter Holds'!$P$36:$AB$370,7,0),0)</f>
        <v>0</v>
      </c>
      <c r="J1156" s="2">
        <f t="shared" si="59"/>
        <v>0</v>
      </c>
      <c r="K1156" s="2">
        <f t="shared" si="57"/>
        <v>0</v>
      </c>
    </row>
    <row r="1157" spans="5:11">
      <c r="E1157" t="s">
        <v>210</v>
      </c>
      <c r="F1157" t="s">
        <v>667</v>
      </c>
      <c r="G1157" s="8" t="str">
        <f t="shared" si="58"/>
        <v>16-16</v>
      </c>
      <c r="H1157" s="1">
        <f>_xlfn.IFNA(VLOOKUP(Aragon!E1157,'Kilter Holds'!$P$36:$AB$370,8,0),0)</f>
        <v>0</v>
      </c>
      <c r="J1157" s="2">
        <f t="shared" si="59"/>
        <v>0</v>
      </c>
      <c r="K1157" s="2">
        <f t="shared" si="57"/>
        <v>0</v>
      </c>
    </row>
    <row r="1158" spans="5:11">
      <c r="E1158" t="s">
        <v>210</v>
      </c>
      <c r="F1158" t="s">
        <v>667</v>
      </c>
      <c r="G1158" s="9" t="str">
        <f t="shared" si="58"/>
        <v>13-01</v>
      </c>
      <c r="H1158" s="1">
        <f>_xlfn.IFNA(VLOOKUP(Aragon!E1158,'Kilter Holds'!$P$36:$AB$370,9,0),0)</f>
        <v>0</v>
      </c>
      <c r="J1158" s="2">
        <f t="shared" si="59"/>
        <v>0</v>
      </c>
      <c r="K1158" s="2">
        <f t="shared" si="57"/>
        <v>0</v>
      </c>
    </row>
    <row r="1159" spans="5:11">
      <c r="E1159" t="s">
        <v>210</v>
      </c>
      <c r="F1159" t="s">
        <v>667</v>
      </c>
      <c r="G1159" s="10" t="str">
        <f t="shared" si="58"/>
        <v>07-13</v>
      </c>
      <c r="H1159" s="1">
        <f>_xlfn.IFNA(VLOOKUP(Aragon!E1159,'Kilter Holds'!$P$36:$AB$370,10,0),0)</f>
        <v>0</v>
      </c>
      <c r="J1159" s="2">
        <f t="shared" si="59"/>
        <v>0</v>
      </c>
      <c r="K1159" s="2">
        <f t="shared" si="57"/>
        <v>0</v>
      </c>
    </row>
    <row r="1160" spans="5:11">
      <c r="E1160" t="s">
        <v>210</v>
      </c>
      <c r="F1160" t="s">
        <v>667</v>
      </c>
      <c r="G1160" s="11" t="str">
        <f t="shared" si="58"/>
        <v>11-25</v>
      </c>
      <c r="H1160" s="1">
        <f>_xlfn.IFNA(VLOOKUP(Aragon!E1160,'Kilter Holds'!$P$36:$AB$370,11,0),0)</f>
        <v>0</v>
      </c>
      <c r="J1160" s="2">
        <f t="shared" si="59"/>
        <v>0</v>
      </c>
      <c r="K1160" s="2">
        <f t="shared" si="57"/>
        <v>0</v>
      </c>
    </row>
    <row r="1161" spans="5:11">
      <c r="E1161" t="s">
        <v>210</v>
      </c>
      <c r="F1161" t="s">
        <v>667</v>
      </c>
      <c r="G1161" s="13" t="str">
        <f t="shared" si="58"/>
        <v>18-01</v>
      </c>
      <c r="H1161" s="1">
        <f>_xlfn.IFNA(VLOOKUP(Aragon!E1161,'Kilter Holds'!$P$36:$AB$370,12,0),0)</f>
        <v>0</v>
      </c>
      <c r="J1161" s="2">
        <f t="shared" si="59"/>
        <v>0</v>
      </c>
      <c r="K1161" s="2">
        <f t="shared" si="57"/>
        <v>0</v>
      </c>
    </row>
    <row r="1162" spans="5:11">
      <c r="E1162" t="s">
        <v>210</v>
      </c>
      <c r="F1162" t="s">
        <v>667</v>
      </c>
      <c r="G1162" s="12" t="str">
        <f t="shared" si="58"/>
        <v>12-01</v>
      </c>
      <c r="H1162" s="1">
        <f>_xlfn.IFNA(VLOOKUP(Aragon!E1162,'Kilter Holds'!$P$36:$AB$370,13,0),0)</f>
        <v>0</v>
      </c>
      <c r="J1162" s="2">
        <f t="shared" si="59"/>
        <v>0</v>
      </c>
      <c r="K1162" s="2">
        <f t="shared" si="57"/>
        <v>0</v>
      </c>
    </row>
    <row r="1163" spans="5:11">
      <c r="E1163" t="s">
        <v>236</v>
      </c>
      <c r="F1163" t="s">
        <v>668</v>
      </c>
      <c r="G1163" s="5" t="str">
        <f t="shared" si="58"/>
        <v>11-12</v>
      </c>
      <c r="H1163" s="1">
        <f>_xlfn.IFNA(VLOOKUP(Aragon!E1163,'Kilter Holds'!$P$36:$AB$370,5,0),0)</f>
        <v>0</v>
      </c>
      <c r="J1163" s="2">
        <f t="shared" si="59"/>
        <v>0</v>
      </c>
      <c r="K1163" s="2">
        <f t="shared" si="57"/>
        <v>0</v>
      </c>
    </row>
    <row r="1164" spans="5:11">
      <c r="E1164" t="s">
        <v>236</v>
      </c>
      <c r="F1164" t="s">
        <v>668</v>
      </c>
      <c r="G1164" s="6" t="str">
        <f t="shared" si="58"/>
        <v>14-01</v>
      </c>
      <c r="H1164" s="1">
        <f>_xlfn.IFNA(VLOOKUP(Aragon!E1164,'Kilter Holds'!$P$36:$AB$370,6,0),0)</f>
        <v>0</v>
      </c>
      <c r="J1164" s="2">
        <f t="shared" si="59"/>
        <v>0</v>
      </c>
      <c r="K1164" s="2">
        <f t="shared" ref="K1164:K1227" si="60">IF($V$11="Y",J1164*0.05,0)</f>
        <v>0</v>
      </c>
    </row>
    <row r="1165" spans="5:11">
      <c r="E1165" t="s">
        <v>236</v>
      </c>
      <c r="F1165" t="s">
        <v>668</v>
      </c>
      <c r="G1165" s="7" t="str">
        <f t="shared" ref="G1165:G1228" si="61">G1156</f>
        <v>15-12</v>
      </c>
      <c r="H1165" s="1">
        <f>_xlfn.IFNA(VLOOKUP(Aragon!E1165,'Kilter Holds'!$P$36:$AB$370,7,0),0)</f>
        <v>0</v>
      </c>
      <c r="J1165" s="2">
        <f t="shared" si="59"/>
        <v>0</v>
      </c>
      <c r="K1165" s="2">
        <f t="shared" si="60"/>
        <v>0</v>
      </c>
    </row>
    <row r="1166" spans="5:11">
      <c r="E1166" t="s">
        <v>236</v>
      </c>
      <c r="F1166" t="s">
        <v>668</v>
      </c>
      <c r="G1166" s="8" t="str">
        <f t="shared" si="61"/>
        <v>16-16</v>
      </c>
      <c r="H1166" s="1">
        <f>_xlfn.IFNA(VLOOKUP(Aragon!E1166,'Kilter Holds'!$P$36:$AB$370,8,0),0)</f>
        <v>0</v>
      </c>
      <c r="J1166" s="2">
        <f t="shared" si="59"/>
        <v>0</v>
      </c>
      <c r="K1166" s="2">
        <f t="shared" si="60"/>
        <v>0</v>
      </c>
    </row>
    <row r="1167" spans="5:11">
      <c r="E1167" t="s">
        <v>236</v>
      </c>
      <c r="F1167" t="s">
        <v>668</v>
      </c>
      <c r="G1167" s="9" t="str">
        <f t="shared" si="61"/>
        <v>13-01</v>
      </c>
      <c r="H1167" s="1">
        <f>_xlfn.IFNA(VLOOKUP(Aragon!E1167,'Kilter Holds'!$P$36:$AB$370,9,0),0)</f>
        <v>0</v>
      </c>
      <c r="J1167" s="2">
        <f t="shared" si="59"/>
        <v>0</v>
      </c>
      <c r="K1167" s="2">
        <f t="shared" si="60"/>
        <v>0</v>
      </c>
    </row>
    <row r="1168" spans="5:11">
      <c r="E1168" t="s">
        <v>236</v>
      </c>
      <c r="F1168" t="s">
        <v>668</v>
      </c>
      <c r="G1168" s="10" t="str">
        <f t="shared" si="61"/>
        <v>07-13</v>
      </c>
      <c r="H1168" s="1">
        <f>_xlfn.IFNA(VLOOKUP(Aragon!E1168,'Kilter Holds'!$P$36:$AB$370,10,0),0)</f>
        <v>0</v>
      </c>
      <c r="J1168" s="2">
        <f t="shared" si="59"/>
        <v>0</v>
      </c>
      <c r="K1168" s="2">
        <f t="shared" si="60"/>
        <v>0</v>
      </c>
    </row>
    <row r="1169" spans="5:11">
      <c r="E1169" t="s">
        <v>236</v>
      </c>
      <c r="F1169" t="s">
        <v>668</v>
      </c>
      <c r="G1169" s="11" t="str">
        <f t="shared" si="61"/>
        <v>11-25</v>
      </c>
      <c r="H1169" s="1">
        <f>_xlfn.IFNA(VLOOKUP(Aragon!E1169,'Kilter Holds'!$P$36:$AB$370,11,0),0)</f>
        <v>0</v>
      </c>
      <c r="J1169" s="2">
        <f t="shared" si="59"/>
        <v>0</v>
      </c>
      <c r="K1169" s="2">
        <f t="shared" si="60"/>
        <v>0</v>
      </c>
    </row>
    <row r="1170" spans="5:11">
      <c r="E1170" t="s">
        <v>236</v>
      </c>
      <c r="F1170" t="s">
        <v>668</v>
      </c>
      <c r="G1170" s="13" t="str">
        <f t="shared" si="61"/>
        <v>18-01</v>
      </c>
      <c r="H1170" s="1">
        <f>_xlfn.IFNA(VLOOKUP(Aragon!E1170,'Kilter Holds'!$P$36:$AB$370,12,0),0)</f>
        <v>0</v>
      </c>
      <c r="J1170" s="2">
        <f t="shared" si="59"/>
        <v>0</v>
      </c>
      <c r="K1170" s="2">
        <f t="shared" si="60"/>
        <v>0</v>
      </c>
    </row>
    <row r="1171" spans="5:11">
      <c r="E1171" t="s">
        <v>236</v>
      </c>
      <c r="F1171" t="s">
        <v>668</v>
      </c>
      <c r="G1171" s="12" t="str">
        <f t="shared" si="61"/>
        <v>12-01</v>
      </c>
      <c r="H1171" s="1">
        <f>_xlfn.IFNA(VLOOKUP(Aragon!E1171,'Kilter Holds'!$P$36:$AB$370,13,0),0)</f>
        <v>0</v>
      </c>
      <c r="J1171" s="2">
        <f t="shared" si="59"/>
        <v>0</v>
      </c>
      <c r="K1171" s="2">
        <f t="shared" si="60"/>
        <v>0</v>
      </c>
    </row>
    <row r="1172" spans="5:11">
      <c r="E1172" t="s">
        <v>237</v>
      </c>
      <c r="F1172" t="s">
        <v>669</v>
      </c>
      <c r="G1172" s="5" t="str">
        <f t="shared" si="61"/>
        <v>11-12</v>
      </c>
      <c r="H1172" s="1">
        <f>_xlfn.IFNA(VLOOKUP(Aragon!E1172,'Kilter Holds'!$P$36:$AB$370,5,0),0)</f>
        <v>0</v>
      </c>
      <c r="J1172" s="2">
        <f t="shared" si="59"/>
        <v>0</v>
      </c>
      <c r="K1172" s="2">
        <f t="shared" si="60"/>
        <v>0</v>
      </c>
    </row>
    <row r="1173" spans="5:11">
      <c r="E1173" t="s">
        <v>237</v>
      </c>
      <c r="F1173" t="s">
        <v>669</v>
      </c>
      <c r="G1173" s="6" t="str">
        <f t="shared" si="61"/>
        <v>14-01</v>
      </c>
      <c r="H1173" s="1">
        <f>_xlfn.IFNA(VLOOKUP(Aragon!E1173,'Kilter Holds'!$P$36:$AB$370,6,0),0)</f>
        <v>0</v>
      </c>
      <c r="J1173" s="2">
        <f t="shared" si="59"/>
        <v>0</v>
      </c>
      <c r="K1173" s="2">
        <f t="shared" si="60"/>
        <v>0</v>
      </c>
    </row>
    <row r="1174" spans="5:11">
      <c r="E1174" t="s">
        <v>237</v>
      </c>
      <c r="F1174" t="s">
        <v>669</v>
      </c>
      <c r="G1174" s="7" t="str">
        <f t="shared" si="61"/>
        <v>15-12</v>
      </c>
      <c r="H1174" s="1">
        <f>_xlfn.IFNA(VLOOKUP(Aragon!E1174,'Kilter Holds'!$P$36:$AB$370,7,0),0)</f>
        <v>0</v>
      </c>
      <c r="J1174" s="2">
        <f t="shared" si="59"/>
        <v>0</v>
      </c>
      <c r="K1174" s="2">
        <f t="shared" si="60"/>
        <v>0</v>
      </c>
    </row>
    <row r="1175" spans="5:11">
      <c r="E1175" t="s">
        <v>237</v>
      </c>
      <c r="F1175" t="s">
        <v>669</v>
      </c>
      <c r="G1175" s="8" t="str">
        <f t="shared" si="61"/>
        <v>16-16</v>
      </c>
      <c r="H1175" s="1">
        <f>_xlfn.IFNA(VLOOKUP(Aragon!E1175,'Kilter Holds'!$P$36:$AB$370,8,0),0)</f>
        <v>0</v>
      </c>
      <c r="J1175" s="2">
        <f t="shared" si="59"/>
        <v>0</v>
      </c>
      <c r="K1175" s="2">
        <f t="shared" si="60"/>
        <v>0</v>
      </c>
    </row>
    <row r="1176" spans="5:11">
      <c r="E1176" t="s">
        <v>237</v>
      </c>
      <c r="F1176" t="s">
        <v>669</v>
      </c>
      <c r="G1176" s="9" t="str">
        <f t="shared" si="61"/>
        <v>13-01</v>
      </c>
      <c r="H1176" s="1">
        <f>_xlfn.IFNA(VLOOKUP(Aragon!E1176,'Kilter Holds'!$P$36:$AB$370,9,0),0)</f>
        <v>0</v>
      </c>
      <c r="J1176" s="2">
        <f t="shared" si="59"/>
        <v>0</v>
      </c>
      <c r="K1176" s="2">
        <f t="shared" si="60"/>
        <v>0</v>
      </c>
    </row>
    <row r="1177" spans="5:11">
      <c r="E1177" t="s">
        <v>237</v>
      </c>
      <c r="F1177" t="s">
        <v>669</v>
      </c>
      <c r="G1177" s="10" t="str">
        <f t="shared" si="61"/>
        <v>07-13</v>
      </c>
      <c r="H1177" s="1">
        <f>_xlfn.IFNA(VLOOKUP(Aragon!E1177,'Kilter Holds'!$P$36:$AB$370,10,0),0)</f>
        <v>0</v>
      </c>
      <c r="J1177" s="2">
        <f t="shared" si="59"/>
        <v>0</v>
      </c>
      <c r="K1177" s="2">
        <f t="shared" si="60"/>
        <v>0</v>
      </c>
    </row>
    <row r="1178" spans="5:11">
      <c r="E1178" t="s">
        <v>237</v>
      </c>
      <c r="F1178" t="s">
        <v>669</v>
      </c>
      <c r="G1178" s="11" t="str">
        <f t="shared" si="61"/>
        <v>11-25</v>
      </c>
      <c r="H1178" s="1">
        <f>_xlfn.IFNA(VLOOKUP(Aragon!E1178,'Kilter Holds'!$P$36:$AB$370,11,0),0)</f>
        <v>0</v>
      </c>
      <c r="J1178" s="2">
        <f t="shared" si="59"/>
        <v>0</v>
      </c>
      <c r="K1178" s="2">
        <f t="shared" si="60"/>
        <v>0</v>
      </c>
    </row>
    <row r="1179" spans="5:11">
      <c r="E1179" t="s">
        <v>237</v>
      </c>
      <c r="F1179" t="s">
        <v>669</v>
      </c>
      <c r="G1179" s="13" t="str">
        <f t="shared" si="61"/>
        <v>18-01</v>
      </c>
      <c r="H1179" s="1">
        <f>_xlfn.IFNA(VLOOKUP(Aragon!E1179,'Kilter Holds'!$P$36:$AB$370,12,0),0)</f>
        <v>0</v>
      </c>
      <c r="J1179" s="2">
        <f t="shared" si="59"/>
        <v>0</v>
      </c>
      <c r="K1179" s="2">
        <f t="shared" si="60"/>
        <v>0</v>
      </c>
    </row>
    <row r="1180" spans="5:11">
      <c r="E1180" t="s">
        <v>237</v>
      </c>
      <c r="F1180" t="s">
        <v>669</v>
      </c>
      <c r="G1180" s="12" t="str">
        <f t="shared" si="61"/>
        <v>12-01</v>
      </c>
      <c r="H1180" s="1">
        <f>_xlfn.IFNA(VLOOKUP(Aragon!E1180,'Kilter Holds'!$P$36:$AB$370,13,0),0)</f>
        <v>0</v>
      </c>
      <c r="J1180" s="2">
        <f t="shared" si="59"/>
        <v>0</v>
      </c>
      <c r="K1180" s="2">
        <f t="shared" si="60"/>
        <v>0</v>
      </c>
    </row>
    <row r="1181" spans="5:11">
      <c r="E1181" t="s">
        <v>175</v>
      </c>
      <c r="F1181" t="s">
        <v>670</v>
      </c>
      <c r="G1181" s="5" t="str">
        <f t="shared" si="61"/>
        <v>11-12</v>
      </c>
      <c r="H1181" s="1">
        <f>_xlfn.IFNA(VLOOKUP(Aragon!E1181,'Kilter Holds'!$P$36:$AB$370,5,0),0)</f>
        <v>0</v>
      </c>
      <c r="J1181" s="2">
        <f t="shared" si="59"/>
        <v>0</v>
      </c>
      <c r="K1181" s="2">
        <f t="shared" si="60"/>
        <v>0</v>
      </c>
    </row>
    <row r="1182" spans="5:11">
      <c r="E1182" t="s">
        <v>175</v>
      </c>
      <c r="F1182" t="s">
        <v>670</v>
      </c>
      <c r="G1182" s="6" t="str">
        <f t="shared" si="61"/>
        <v>14-01</v>
      </c>
      <c r="H1182" s="1">
        <f>_xlfn.IFNA(VLOOKUP(Aragon!E1182,'Kilter Holds'!$P$36:$AB$370,6,0),0)</f>
        <v>0</v>
      </c>
      <c r="J1182" s="2">
        <f t="shared" si="59"/>
        <v>0</v>
      </c>
      <c r="K1182" s="2">
        <f t="shared" si="60"/>
        <v>0</v>
      </c>
    </row>
    <row r="1183" spans="5:11">
      <c r="E1183" t="s">
        <v>175</v>
      </c>
      <c r="F1183" t="s">
        <v>670</v>
      </c>
      <c r="G1183" s="7" t="str">
        <f t="shared" si="61"/>
        <v>15-12</v>
      </c>
      <c r="H1183" s="1">
        <f>_xlfn.IFNA(VLOOKUP(Aragon!E1183,'Kilter Holds'!$P$36:$AB$370,7,0),0)</f>
        <v>0</v>
      </c>
      <c r="J1183" s="2">
        <f t="shared" si="59"/>
        <v>0</v>
      </c>
      <c r="K1183" s="2">
        <f t="shared" si="60"/>
        <v>0</v>
      </c>
    </row>
    <row r="1184" spans="5:11">
      <c r="E1184" t="s">
        <v>175</v>
      </c>
      <c r="F1184" t="s">
        <v>670</v>
      </c>
      <c r="G1184" s="8" t="str">
        <f t="shared" si="61"/>
        <v>16-16</v>
      </c>
      <c r="H1184" s="1">
        <f>_xlfn.IFNA(VLOOKUP(Aragon!E1184,'Kilter Holds'!$P$36:$AB$370,8,0),0)</f>
        <v>0</v>
      </c>
      <c r="J1184" s="2">
        <f t="shared" si="59"/>
        <v>0</v>
      </c>
      <c r="K1184" s="2">
        <f t="shared" si="60"/>
        <v>0</v>
      </c>
    </row>
    <row r="1185" spans="5:11">
      <c r="E1185" t="s">
        <v>175</v>
      </c>
      <c r="F1185" t="s">
        <v>670</v>
      </c>
      <c r="G1185" s="9" t="str">
        <f t="shared" si="61"/>
        <v>13-01</v>
      </c>
      <c r="H1185" s="1">
        <f>_xlfn.IFNA(VLOOKUP(Aragon!E1185,'Kilter Holds'!$P$36:$AB$370,9,0),0)</f>
        <v>0</v>
      </c>
      <c r="J1185" s="2">
        <f t="shared" si="59"/>
        <v>0</v>
      </c>
      <c r="K1185" s="2">
        <f t="shared" si="60"/>
        <v>0</v>
      </c>
    </row>
    <row r="1186" spans="5:11">
      <c r="E1186" t="s">
        <v>175</v>
      </c>
      <c r="F1186" t="s">
        <v>670</v>
      </c>
      <c r="G1186" s="10" t="str">
        <f t="shared" si="61"/>
        <v>07-13</v>
      </c>
      <c r="H1186" s="1">
        <f>_xlfn.IFNA(VLOOKUP(Aragon!E1186,'Kilter Holds'!$P$36:$AB$370,10,0),0)</f>
        <v>0</v>
      </c>
      <c r="J1186" s="2">
        <f t="shared" si="59"/>
        <v>0</v>
      </c>
      <c r="K1186" s="2">
        <f t="shared" si="60"/>
        <v>0</v>
      </c>
    </row>
    <row r="1187" spans="5:11">
      <c r="E1187" t="s">
        <v>175</v>
      </c>
      <c r="F1187" t="s">
        <v>670</v>
      </c>
      <c r="G1187" s="11" t="str">
        <f t="shared" si="61"/>
        <v>11-25</v>
      </c>
      <c r="H1187" s="1">
        <f>_xlfn.IFNA(VLOOKUP(Aragon!E1187,'Kilter Holds'!$P$36:$AB$370,11,0),0)</f>
        <v>0</v>
      </c>
      <c r="J1187" s="2">
        <f t="shared" si="59"/>
        <v>0</v>
      </c>
      <c r="K1187" s="2">
        <f t="shared" si="60"/>
        <v>0</v>
      </c>
    </row>
    <row r="1188" spans="5:11">
      <c r="E1188" t="s">
        <v>175</v>
      </c>
      <c r="F1188" t="s">
        <v>670</v>
      </c>
      <c r="G1188" s="13" t="str">
        <f t="shared" si="61"/>
        <v>18-01</v>
      </c>
      <c r="H1188" s="1">
        <f>_xlfn.IFNA(VLOOKUP(Aragon!E1188,'Kilter Holds'!$P$36:$AB$370,12,0),0)</f>
        <v>0</v>
      </c>
      <c r="J1188" s="2">
        <f t="shared" si="59"/>
        <v>0</v>
      </c>
      <c r="K1188" s="2">
        <f t="shared" si="60"/>
        <v>0</v>
      </c>
    </row>
    <row r="1189" spans="5:11">
      <c r="E1189" t="s">
        <v>175</v>
      </c>
      <c r="F1189" t="s">
        <v>670</v>
      </c>
      <c r="G1189" s="12" t="str">
        <f t="shared" si="61"/>
        <v>12-01</v>
      </c>
      <c r="H1189" s="1">
        <f>_xlfn.IFNA(VLOOKUP(Aragon!E1189,'Kilter Holds'!$P$36:$AB$370,13,0),0)</f>
        <v>0</v>
      </c>
      <c r="J1189" s="2">
        <f t="shared" si="59"/>
        <v>0</v>
      </c>
      <c r="K1189" s="2">
        <f t="shared" si="60"/>
        <v>0</v>
      </c>
    </row>
    <row r="1190" spans="5:11">
      <c r="E1190" t="s">
        <v>308</v>
      </c>
      <c r="F1190" t="s">
        <v>671</v>
      </c>
      <c r="G1190" s="5" t="str">
        <f t="shared" si="61"/>
        <v>11-12</v>
      </c>
      <c r="H1190" s="1">
        <f>_xlfn.IFNA(VLOOKUP(Aragon!E1190,'Kilter Holds'!$P$36:$AB$370,5,0),0)</f>
        <v>0</v>
      </c>
      <c r="J1190" s="2">
        <f t="shared" si="59"/>
        <v>0</v>
      </c>
      <c r="K1190" s="2">
        <f t="shared" si="60"/>
        <v>0</v>
      </c>
    </row>
    <row r="1191" spans="5:11">
      <c r="E1191" t="s">
        <v>308</v>
      </c>
      <c r="F1191" t="s">
        <v>671</v>
      </c>
      <c r="G1191" s="6" t="str">
        <f t="shared" si="61"/>
        <v>14-01</v>
      </c>
      <c r="H1191" s="1">
        <f>_xlfn.IFNA(VLOOKUP(Aragon!E1191,'Kilter Holds'!$P$36:$AB$370,6,0),0)</f>
        <v>0</v>
      </c>
      <c r="J1191" s="2">
        <f t="shared" si="59"/>
        <v>0</v>
      </c>
      <c r="K1191" s="2">
        <f t="shared" si="60"/>
        <v>0</v>
      </c>
    </row>
    <row r="1192" spans="5:11">
      <c r="E1192" t="s">
        <v>308</v>
      </c>
      <c r="F1192" t="s">
        <v>671</v>
      </c>
      <c r="G1192" s="7" t="str">
        <f t="shared" si="61"/>
        <v>15-12</v>
      </c>
      <c r="H1192" s="1">
        <f>_xlfn.IFNA(VLOOKUP(Aragon!E1192,'Kilter Holds'!$P$36:$AB$370,7,0),0)</f>
        <v>0</v>
      </c>
      <c r="J1192" s="2">
        <f t="shared" si="59"/>
        <v>0</v>
      </c>
      <c r="K1192" s="2">
        <f t="shared" si="60"/>
        <v>0</v>
      </c>
    </row>
    <row r="1193" spans="5:11">
      <c r="E1193" t="s">
        <v>308</v>
      </c>
      <c r="F1193" t="s">
        <v>671</v>
      </c>
      <c r="G1193" s="8" t="str">
        <f t="shared" si="61"/>
        <v>16-16</v>
      </c>
      <c r="H1193" s="1">
        <f>_xlfn.IFNA(VLOOKUP(Aragon!E1193,'Kilter Holds'!$P$36:$AB$370,8,0),0)</f>
        <v>0</v>
      </c>
      <c r="J1193" s="2">
        <f t="shared" si="59"/>
        <v>0</v>
      </c>
      <c r="K1193" s="2">
        <f t="shared" si="60"/>
        <v>0</v>
      </c>
    </row>
    <row r="1194" spans="5:11">
      <c r="E1194" t="s">
        <v>308</v>
      </c>
      <c r="F1194" t="s">
        <v>671</v>
      </c>
      <c r="G1194" s="9" t="str">
        <f t="shared" si="61"/>
        <v>13-01</v>
      </c>
      <c r="H1194" s="1">
        <f>_xlfn.IFNA(VLOOKUP(Aragon!E1194,'Kilter Holds'!$P$36:$AB$370,9,0),0)</f>
        <v>0</v>
      </c>
      <c r="J1194" s="2">
        <f t="shared" si="59"/>
        <v>0</v>
      </c>
      <c r="K1194" s="2">
        <f t="shared" si="60"/>
        <v>0</v>
      </c>
    </row>
    <row r="1195" spans="5:11">
      <c r="E1195" t="s">
        <v>308</v>
      </c>
      <c r="F1195" t="s">
        <v>671</v>
      </c>
      <c r="G1195" s="10" t="str">
        <f t="shared" si="61"/>
        <v>07-13</v>
      </c>
      <c r="H1195" s="1">
        <f>_xlfn.IFNA(VLOOKUP(Aragon!E1195,'Kilter Holds'!$P$36:$AB$370,10,0),0)</f>
        <v>0</v>
      </c>
      <c r="J1195" s="2">
        <f t="shared" si="59"/>
        <v>0</v>
      </c>
      <c r="K1195" s="2">
        <f t="shared" si="60"/>
        <v>0</v>
      </c>
    </row>
    <row r="1196" spans="5:11">
      <c r="E1196" t="s">
        <v>308</v>
      </c>
      <c r="F1196" t="s">
        <v>671</v>
      </c>
      <c r="G1196" s="11" t="str">
        <f t="shared" si="61"/>
        <v>11-25</v>
      </c>
      <c r="H1196" s="1">
        <f>_xlfn.IFNA(VLOOKUP(Aragon!E1196,'Kilter Holds'!$P$36:$AB$370,11,0),0)</f>
        <v>0</v>
      </c>
      <c r="J1196" s="2">
        <f t="shared" si="59"/>
        <v>0</v>
      </c>
      <c r="K1196" s="2">
        <f t="shared" si="60"/>
        <v>0</v>
      </c>
    </row>
    <row r="1197" spans="5:11">
      <c r="E1197" t="s">
        <v>308</v>
      </c>
      <c r="F1197" t="s">
        <v>671</v>
      </c>
      <c r="G1197" s="13" t="str">
        <f t="shared" si="61"/>
        <v>18-01</v>
      </c>
      <c r="H1197" s="1">
        <f>_xlfn.IFNA(VLOOKUP(Aragon!E1197,'Kilter Holds'!$P$36:$AB$370,12,0),0)</f>
        <v>0</v>
      </c>
      <c r="J1197" s="2">
        <f t="shared" si="59"/>
        <v>0</v>
      </c>
      <c r="K1197" s="2">
        <f t="shared" si="60"/>
        <v>0</v>
      </c>
    </row>
    <row r="1198" spans="5:11">
      <c r="E1198" t="s">
        <v>308</v>
      </c>
      <c r="F1198" t="s">
        <v>671</v>
      </c>
      <c r="G1198" s="12" t="str">
        <f t="shared" si="61"/>
        <v>12-01</v>
      </c>
      <c r="H1198" s="1">
        <f>_xlfn.IFNA(VLOOKUP(Aragon!E1198,'Kilter Holds'!$P$36:$AB$370,13,0),0)</f>
        <v>0</v>
      </c>
      <c r="J1198" s="2">
        <f t="shared" si="59"/>
        <v>0</v>
      </c>
      <c r="K1198" s="2">
        <f t="shared" si="60"/>
        <v>0</v>
      </c>
    </row>
    <row r="1199" spans="5:11">
      <c r="E1199" t="s">
        <v>176</v>
      </c>
      <c r="F1199" t="s">
        <v>672</v>
      </c>
      <c r="G1199" s="5" t="str">
        <f t="shared" si="61"/>
        <v>11-12</v>
      </c>
      <c r="H1199" s="1">
        <f>_xlfn.IFNA(VLOOKUP(Aragon!E1199,'Kilter Holds'!$P$36:$AB$370,5,0),0)</f>
        <v>0</v>
      </c>
      <c r="J1199" s="2">
        <f t="shared" si="59"/>
        <v>0</v>
      </c>
      <c r="K1199" s="2">
        <f t="shared" si="60"/>
        <v>0</v>
      </c>
    </row>
    <row r="1200" spans="5:11">
      <c r="E1200" t="s">
        <v>176</v>
      </c>
      <c r="F1200" t="s">
        <v>672</v>
      </c>
      <c r="G1200" s="6" t="str">
        <f t="shared" si="61"/>
        <v>14-01</v>
      </c>
      <c r="H1200" s="1">
        <f>_xlfn.IFNA(VLOOKUP(Aragon!E1200,'Kilter Holds'!$P$36:$AB$370,6,0),0)</f>
        <v>0</v>
      </c>
      <c r="J1200" s="2">
        <f t="shared" si="59"/>
        <v>0</v>
      </c>
      <c r="K1200" s="2">
        <f t="shared" si="60"/>
        <v>0</v>
      </c>
    </row>
    <row r="1201" spans="5:11">
      <c r="E1201" t="s">
        <v>176</v>
      </c>
      <c r="F1201" t="s">
        <v>672</v>
      </c>
      <c r="G1201" s="7" t="str">
        <f t="shared" si="61"/>
        <v>15-12</v>
      </c>
      <c r="H1201" s="1">
        <f>_xlfn.IFNA(VLOOKUP(Aragon!E1201,'Kilter Holds'!$P$36:$AB$370,7,0),0)</f>
        <v>0</v>
      </c>
      <c r="J1201" s="2">
        <f t="shared" si="59"/>
        <v>0</v>
      </c>
      <c r="K1201" s="2">
        <f t="shared" si="60"/>
        <v>0</v>
      </c>
    </row>
    <row r="1202" spans="5:11">
      <c r="E1202" t="s">
        <v>176</v>
      </c>
      <c r="F1202" t="s">
        <v>672</v>
      </c>
      <c r="G1202" s="8" t="str">
        <f t="shared" si="61"/>
        <v>16-16</v>
      </c>
      <c r="H1202" s="1">
        <f>_xlfn.IFNA(VLOOKUP(Aragon!E1202,'Kilter Holds'!$P$36:$AB$370,8,0),0)</f>
        <v>0</v>
      </c>
      <c r="J1202" s="2">
        <f t="shared" si="59"/>
        <v>0</v>
      </c>
      <c r="K1202" s="2">
        <f t="shared" si="60"/>
        <v>0</v>
      </c>
    </row>
    <row r="1203" spans="5:11">
      <c r="E1203" t="s">
        <v>176</v>
      </c>
      <c r="F1203" t="s">
        <v>672</v>
      </c>
      <c r="G1203" s="9" t="str">
        <f t="shared" si="61"/>
        <v>13-01</v>
      </c>
      <c r="H1203" s="1">
        <f>_xlfn.IFNA(VLOOKUP(Aragon!E1203,'Kilter Holds'!$P$36:$AB$370,9,0),0)</f>
        <v>0</v>
      </c>
      <c r="J1203" s="2">
        <f t="shared" si="59"/>
        <v>0</v>
      </c>
      <c r="K1203" s="2">
        <f t="shared" si="60"/>
        <v>0</v>
      </c>
    </row>
    <row r="1204" spans="5:11">
      <c r="E1204" t="s">
        <v>176</v>
      </c>
      <c r="F1204" t="s">
        <v>672</v>
      </c>
      <c r="G1204" s="10" t="str">
        <f t="shared" si="61"/>
        <v>07-13</v>
      </c>
      <c r="H1204" s="1">
        <f>_xlfn.IFNA(VLOOKUP(Aragon!E1204,'Kilter Holds'!$P$36:$AB$370,10,0),0)</f>
        <v>0</v>
      </c>
      <c r="J1204" s="2">
        <f t="shared" si="59"/>
        <v>0</v>
      </c>
      <c r="K1204" s="2">
        <f t="shared" si="60"/>
        <v>0</v>
      </c>
    </row>
    <row r="1205" spans="5:11">
      <c r="E1205" t="s">
        <v>176</v>
      </c>
      <c r="F1205" t="s">
        <v>672</v>
      </c>
      <c r="G1205" s="11" t="str">
        <f t="shared" si="61"/>
        <v>11-25</v>
      </c>
      <c r="H1205" s="1">
        <f>_xlfn.IFNA(VLOOKUP(Aragon!E1205,'Kilter Holds'!$P$36:$AB$370,11,0),0)</f>
        <v>0</v>
      </c>
      <c r="J1205" s="2">
        <f t="shared" si="59"/>
        <v>0</v>
      </c>
      <c r="K1205" s="2">
        <f t="shared" si="60"/>
        <v>0</v>
      </c>
    </row>
    <row r="1206" spans="5:11">
      <c r="E1206" t="s">
        <v>176</v>
      </c>
      <c r="F1206" t="s">
        <v>672</v>
      </c>
      <c r="G1206" s="13" t="str">
        <f t="shared" si="61"/>
        <v>18-01</v>
      </c>
      <c r="H1206" s="1">
        <f>_xlfn.IFNA(VLOOKUP(Aragon!E1206,'Kilter Holds'!$P$36:$AB$370,12,0),0)</f>
        <v>0</v>
      </c>
      <c r="J1206" s="2">
        <f t="shared" si="59"/>
        <v>0</v>
      </c>
      <c r="K1206" s="2">
        <f t="shared" si="60"/>
        <v>0</v>
      </c>
    </row>
    <row r="1207" spans="5:11">
      <c r="E1207" t="s">
        <v>176</v>
      </c>
      <c r="F1207" t="s">
        <v>672</v>
      </c>
      <c r="G1207" s="12" t="str">
        <f t="shared" si="61"/>
        <v>12-01</v>
      </c>
      <c r="H1207" s="1">
        <f>_xlfn.IFNA(VLOOKUP(Aragon!E1207,'Kilter Holds'!$P$36:$AB$370,13,0),0)</f>
        <v>0</v>
      </c>
      <c r="J1207" s="2">
        <f t="shared" si="59"/>
        <v>0</v>
      </c>
      <c r="K1207" s="2">
        <f t="shared" si="60"/>
        <v>0</v>
      </c>
    </row>
    <row r="1208" spans="5:11">
      <c r="E1208" t="s">
        <v>322</v>
      </c>
      <c r="F1208" t="s">
        <v>673</v>
      </c>
      <c r="G1208" s="5" t="str">
        <f t="shared" si="61"/>
        <v>11-12</v>
      </c>
      <c r="H1208" s="1">
        <f>_xlfn.IFNA(VLOOKUP(Aragon!E1208,'Kilter Holds'!$P$36:$AB$370,5,0),0)</f>
        <v>0</v>
      </c>
      <c r="J1208" s="2">
        <f t="shared" si="59"/>
        <v>0</v>
      </c>
      <c r="K1208" s="2">
        <f t="shared" si="60"/>
        <v>0</v>
      </c>
    </row>
    <row r="1209" spans="5:11">
      <c r="E1209" t="s">
        <v>322</v>
      </c>
      <c r="F1209" t="s">
        <v>673</v>
      </c>
      <c r="G1209" s="6" t="str">
        <f t="shared" si="61"/>
        <v>14-01</v>
      </c>
      <c r="H1209" s="1">
        <f>_xlfn.IFNA(VLOOKUP(Aragon!E1209,'Kilter Holds'!$P$36:$AB$370,6,0),0)</f>
        <v>0</v>
      </c>
      <c r="J1209" s="2">
        <f t="shared" si="59"/>
        <v>0</v>
      </c>
      <c r="K1209" s="2">
        <f t="shared" si="60"/>
        <v>0</v>
      </c>
    </row>
    <row r="1210" spans="5:11">
      <c r="E1210" t="s">
        <v>322</v>
      </c>
      <c r="F1210" t="s">
        <v>673</v>
      </c>
      <c r="G1210" s="7" t="str">
        <f t="shared" si="61"/>
        <v>15-12</v>
      </c>
      <c r="H1210" s="1">
        <f>_xlfn.IFNA(VLOOKUP(Aragon!E1210,'Kilter Holds'!$P$36:$AB$370,7,0),0)</f>
        <v>0</v>
      </c>
      <c r="J1210" s="2">
        <f t="shared" ref="J1210:J1273" si="62">H1210*I1210</f>
        <v>0</v>
      </c>
      <c r="K1210" s="2">
        <f t="shared" si="60"/>
        <v>0</v>
      </c>
    </row>
    <row r="1211" spans="5:11">
      <c r="E1211" t="s">
        <v>322</v>
      </c>
      <c r="F1211" t="s">
        <v>673</v>
      </c>
      <c r="G1211" s="8" t="str">
        <f t="shared" si="61"/>
        <v>16-16</v>
      </c>
      <c r="H1211" s="1">
        <f>_xlfn.IFNA(VLOOKUP(Aragon!E1211,'Kilter Holds'!$P$36:$AB$370,8,0),0)</f>
        <v>0</v>
      </c>
      <c r="J1211" s="2">
        <f t="shared" si="62"/>
        <v>0</v>
      </c>
      <c r="K1211" s="2">
        <f t="shared" si="60"/>
        <v>0</v>
      </c>
    </row>
    <row r="1212" spans="5:11">
      <c r="E1212" t="s">
        <v>322</v>
      </c>
      <c r="F1212" t="s">
        <v>673</v>
      </c>
      <c r="G1212" s="9" t="str">
        <f t="shared" si="61"/>
        <v>13-01</v>
      </c>
      <c r="H1212" s="1">
        <f>_xlfn.IFNA(VLOOKUP(Aragon!E1212,'Kilter Holds'!$P$36:$AB$370,9,0),0)</f>
        <v>0</v>
      </c>
      <c r="J1212" s="2">
        <f t="shared" si="62"/>
        <v>0</v>
      </c>
      <c r="K1212" s="2">
        <f t="shared" si="60"/>
        <v>0</v>
      </c>
    </row>
    <row r="1213" spans="5:11">
      <c r="E1213" t="s">
        <v>322</v>
      </c>
      <c r="F1213" t="s">
        <v>673</v>
      </c>
      <c r="G1213" s="10" t="str">
        <f t="shared" si="61"/>
        <v>07-13</v>
      </c>
      <c r="H1213" s="1">
        <f>_xlfn.IFNA(VLOOKUP(Aragon!E1213,'Kilter Holds'!$P$36:$AB$370,10,0),0)</f>
        <v>0</v>
      </c>
      <c r="J1213" s="2">
        <f t="shared" si="62"/>
        <v>0</v>
      </c>
      <c r="K1213" s="2">
        <f t="shared" si="60"/>
        <v>0</v>
      </c>
    </row>
    <row r="1214" spans="5:11">
      <c r="E1214" t="s">
        <v>322</v>
      </c>
      <c r="F1214" t="s">
        <v>673</v>
      </c>
      <c r="G1214" s="11" t="str">
        <f t="shared" si="61"/>
        <v>11-25</v>
      </c>
      <c r="H1214" s="1">
        <f>_xlfn.IFNA(VLOOKUP(Aragon!E1214,'Kilter Holds'!$P$36:$AB$370,11,0),0)</f>
        <v>0</v>
      </c>
      <c r="J1214" s="2">
        <f t="shared" si="62"/>
        <v>0</v>
      </c>
      <c r="K1214" s="2">
        <f t="shared" si="60"/>
        <v>0</v>
      </c>
    </row>
    <row r="1215" spans="5:11">
      <c r="E1215" t="s">
        <v>322</v>
      </c>
      <c r="F1215" t="s">
        <v>673</v>
      </c>
      <c r="G1215" s="13" t="str">
        <f t="shared" si="61"/>
        <v>18-01</v>
      </c>
      <c r="H1215" s="1">
        <f>_xlfn.IFNA(VLOOKUP(Aragon!E1215,'Kilter Holds'!$P$36:$AB$370,12,0),0)</f>
        <v>0</v>
      </c>
      <c r="J1215" s="2">
        <f t="shared" si="62"/>
        <v>0</v>
      </c>
      <c r="K1215" s="2">
        <f t="shared" si="60"/>
        <v>0</v>
      </c>
    </row>
    <row r="1216" spans="5:11">
      <c r="E1216" t="s">
        <v>322</v>
      </c>
      <c r="F1216" t="s">
        <v>673</v>
      </c>
      <c r="G1216" s="12" t="str">
        <f t="shared" si="61"/>
        <v>12-01</v>
      </c>
      <c r="H1216" s="1">
        <f>_xlfn.IFNA(VLOOKUP(Aragon!E1216,'Kilter Holds'!$P$36:$AB$370,13,0),0)</f>
        <v>0</v>
      </c>
      <c r="J1216" s="2">
        <f t="shared" si="62"/>
        <v>0</v>
      </c>
      <c r="K1216" s="2">
        <f t="shared" si="60"/>
        <v>0</v>
      </c>
    </row>
    <row r="1217" spans="5:11">
      <c r="E1217" t="s">
        <v>195</v>
      </c>
      <c r="F1217" t="s">
        <v>674</v>
      </c>
      <c r="G1217" s="5" t="str">
        <f t="shared" si="61"/>
        <v>11-12</v>
      </c>
      <c r="H1217" s="1">
        <f>_xlfn.IFNA(VLOOKUP(Aragon!E1217,'Kilter Holds'!$P$36:$AB$370,5,0),0)</f>
        <v>0</v>
      </c>
      <c r="J1217" s="2">
        <f t="shared" si="62"/>
        <v>0</v>
      </c>
      <c r="K1217" s="2">
        <f t="shared" si="60"/>
        <v>0</v>
      </c>
    </row>
    <row r="1218" spans="5:11">
      <c r="E1218" t="s">
        <v>195</v>
      </c>
      <c r="F1218" t="s">
        <v>674</v>
      </c>
      <c r="G1218" s="6" t="str">
        <f t="shared" si="61"/>
        <v>14-01</v>
      </c>
      <c r="H1218" s="1">
        <f>_xlfn.IFNA(VLOOKUP(Aragon!E1218,'Kilter Holds'!$P$36:$AB$370,6,0),0)</f>
        <v>0</v>
      </c>
      <c r="J1218" s="2">
        <f t="shared" si="62"/>
        <v>0</v>
      </c>
      <c r="K1218" s="2">
        <f t="shared" si="60"/>
        <v>0</v>
      </c>
    </row>
    <row r="1219" spans="5:11">
      <c r="E1219" t="s">
        <v>195</v>
      </c>
      <c r="F1219" t="s">
        <v>674</v>
      </c>
      <c r="G1219" s="7" t="str">
        <f t="shared" si="61"/>
        <v>15-12</v>
      </c>
      <c r="H1219" s="1">
        <f>_xlfn.IFNA(VLOOKUP(Aragon!E1219,'Kilter Holds'!$P$36:$AB$370,7,0),0)</f>
        <v>0</v>
      </c>
      <c r="J1219" s="2">
        <f t="shared" si="62"/>
        <v>0</v>
      </c>
      <c r="K1219" s="2">
        <f t="shared" si="60"/>
        <v>0</v>
      </c>
    </row>
    <row r="1220" spans="5:11">
      <c r="E1220" t="s">
        <v>195</v>
      </c>
      <c r="F1220" t="s">
        <v>674</v>
      </c>
      <c r="G1220" s="8" t="str">
        <f t="shared" si="61"/>
        <v>16-16</v>
      </c>
      <c r="H1220" s="1">
        <f>_xlfn.IFNA(VLOOKUP(Aragon!E1220,'Kilter Holds'!$P$36:$AB$370,8,0),0)</f>
        <v>0</v>
      </c>
      <c r="J1220" s="2">
        <f t="shared" si="62"/>
        <v>0</v>
      </c>
      <c r="K1220" s="2">
        <f t="shared" si="60"/>
        <v>0</v>
      </c>
    </row>
    <row r="1221" spans="5:11">
      <c r="E1221" t="s">
        <v>195</v>
      </c>
      <c r="F1221" t="s">
        <v>674</v>
      </c>
      <c r="G1221" s="9" t="str">
        <f t="shared" si="61"/>
        <v>13-01</v>
      </c>
      <c r="H1221" s="1">
        <f>_xlfn.IFNA(VLOOKUP(Aragon!E1221,'Kilter Holds'!$P$36:$AB$370,9,0),0)</f>
        <v>0</v>
      </c>
      <c r="J1221" s="2">
        <f t="shared" si="62"/>
        <v>0</v>
      </c>
      <c r="K1221" s="2">
        <f t="shared" si="60"/>
        <v>0</v>
      </c>
    </row>
    <row r="1222" spans="5:11">
      <c r="E1222" t="s">
        <v>195</v>
      </c>
      <c r="F1222" t="s">
        <v>674</v>
      </c>
      <c r="G1222" s="10" t="str">
        <f t="shared" si="61"/>
        <v>07-13</v>
      </c>
      <c r="H1222" s="1">
        <f>_xlfn.IFNA(VLOOKUP(Aragon!E1222,'Kilter Holds'!$P$36:$AB$370,10,0),0)</f>
        <v>0</v>
      </c>
      <c r="J1222" s="2">
        <f t="shared" si="62"/>
        <v>0</v>
      </c>
      <c r="K1222" s="2">
        <f t="shared" si="60"/>
        <v>0</v>
      </c>
    </row>
    <row r="1223" spans="5:11">
      <c r="E1223" t="s">
        <v>195</v>
      </c>
      <c r="F1223" t="s">
        <v>674</v>
      </c>
      <c r="G1223" s="11" t="str">
        <f t="shared" si="61"/>
        <v>11-25</v>
      </c>
      <c r="H1223" s="1">
        <f>_xlfn.IFNA(VLOOKUP(Aragon!E1223,'Kilter Holds'!$P$36:$AB$370,11,0),0)</f>
        <v>0</v>
      </c>
      <c r="J1223" s="2">
        <f t="shared" si="62"/>
        <v>0</v>
      </c>
      <c r="K1223" s="2">
        <f t="shared" si="60"/>
        <v>0</v>
      </c>
    </row>
    <row r="1224" spans="5:11">
      <c r="E1224" t="s">
        <v>195</v>
      </c>
      <c r="F1224" t="s">
        <v>674</v>
      </c>
      <c r="G1224" s="13" t="str">
        <f t="shared" si="61"/>
        <v>18-01</v>
      </c>
      <c r="H1224" s="1">
        <f>_xlfn.IFNA(VLOOKUP(Aragon!E1224,'Kilter Holds'!$P$36:$AB$370,12,0),0)</f>
        <v>0</v>
      </c>
      <c r="J1224" s="2">
        <f t="shared" si="62"/>
        <v>0</v>
      </c>
      <c r="K1224" s="2">
        <f t="shared" si="60"/>
        <v>0</v>
      </c>
    </row>
    <row r="1225" spans="5:11">
      <c r="E1225" t="s">
        <v>195</v>
      </c>
      <c r="F1225" t="s">
        <v>674</v>
      </c>
      <c r="G1225" s="12" t="str">
        <f t="shared" si="61"/>
        <v>12-01</v>
      </c>
      <c r="H1225" s="1">
        <f>_xlfn.IFNA(VLOOKUP(Aragon!E1225,'Kilter Holds'!$P$36:$AB$370,13,0),0)</f>
        <v>0</v>
      </c>
      <c r="J1225" s="2">
        <f t="shared" si="62"/>
        <v>0</v>
      </c>
      <c r="K1225" s="2">
        <f t="shared" si="60"/>
        <v>0</v>
      </c>
    </row>
    <row r="1226" spans="5:11">
      <c r="E1226" t="s">
        <v>196</v>
      </c>
      <c r="F1226" t="s">
        <v>675</v>
      </c>
      <c r="G1226" s="5" t="str">
        <f t="shared" si="61"/>
        <v>11-12</v>
      </c>
      <c r="H1226" s="1">
        <f>_xlfn.IFNA(VLOOKUP(Aragon!E1226,'Kilter Holds'!$P$36:$AB$370,5,0),0)</f>
        <v>0</v>
      </c>
      <c r="J1226" s="2">
        <f t="shared" si="62"/>
        <v>0</v>
      </c>
      <c r="K1226" s="2">
        <f t="shared" si="60"/>
        <v>0</v>
      </c>
    </row>
    <row r="1227" spans="5:11">
      <c r="E1227" t="s">
        <v>196</v>
      </c>
      <c r="F1227" t="s">
        <v>675</v>
      </c>
      <c r="G1227" s="6" t="str">
        <f t="shared" si="61"/>
        <v>14-01</v>
      </c>
      <c r="H1227" s="1">
        <f>_xlfn.IFNA(VLOOKUP(Aragon!E1227,'Kilter Holds'!$P$36:$AB$370,6,0),0)</f>
        <v>0</v>
      </c>
      <c r="J1227" s="2">
        <f t="shared" si="62"/>
        <v>0</v>
      </c>
      <c r="K1227" s="2">
        <f t="shared" si="60"/>
        <v>0</v>
      </c>
    </row>
    <row r="1228" spans="5:11">
      <c r="E1228" t="s">
        <v>196</v>
      </c>
      <c r="F1228" t="s">
        <v>675</v>
      </c>
      <c r="G1228" s="7" t="str">
        <f t="shared" si="61"/>
        <v>15-12</v>
      </c>
      <c r="H1228" s="1">
        <f>_xlfn.IFNA(VLOOKUP(Aragon!E1228,'Kilter Holds'!$P$36:$AB$370,7,0),0)</f>
        <v>0</v>
      </c>
      <c r="J1228" s="2">
        <f t="shared" si="62"/>
        <v>0</v>
      </c>
      <c r="K1228" s="2">
        <f t="shared" ref="K1228:K1291" si="63">IF($V$11="Y",J1228*0.05,0)</f>
        <v>0</v>
      </c>
    </row>
    <row r="1229" spans="5:11">
      <c r="E1229" t="s">
        <v>196</v>
      </c>
      <c r="F1229" t="s">
        <v>675</v>
      </c>
      <c r="G1229" s="8" t="str">
        <f t="shared" ref="G1229:G1292" si="64">G1220</f>
        <v>16-16</v>
      </c>
      <c r="H1229" s="1">
        <f>_xlfn.IFNA(VLOOKUP(Aragon!E1229,'Kilter Holds'!$P$36:$AB$370,8,0),0)</f>
        <v>0</v>
      </c>
      <c r="J1229" s="2">
        <f t="shared" si="62"/>
        <v>0</v>
      </c>
      <c r="K1229" s="2">
        <f t="shared" si="63"/>
        <v>0</v>
      </c>
    </row>
    <row r="1230" spans="5:11">
      <c r="E1230" t="s">
        <v>196</v>
      </c>
      <c r="F1230" t="s">
        <v>675</v>
      </c>
      <c r="G1230" s="9" t="str">
        <f t="shared" si="64"/>
        <v>13-01</v>
      </c>
      <c r="H1230" s="1">
        <f>_xlfn.IFNA(VLOOKUP(Aragon!E1230,'Kilter Holds'!$P$36:$AB$370,9,0),0)</f>
        <v>0</v>
      </c>
      <c r="J1230" s="2">
        <f t="shared" si="62"/>
        <v>0</v>
      </c>
      <c r="K1230" s="2">
        <f t="shared" si="63"/>
        <v>0</v>
      </c>
    </row>
    <row r="1231" spans="5:11">
      <c r="E1231" t="s">
        <v>196</v>
      </c>
      <c r="F1231" t="s">
        <v>675</v>
      </c>
      <c r="G1231" s="10" t="str">
        <f t="shared" si="64"/>
        <v>07-13</v>
      </c>
      <c r="H1231" s="1">
        <f>_xlfn.IFNA(VLOOKUP(Aragon!E1231,'Kilter Holds'!$P$36:$AB$370,10,0),0)</f>
        <v>0</v>
      </c>
      <c r="J1231" s="2">
        <f t="shared" si="62"/>
        <v>0</v>
      </c>
      <c r="K1231" s="2">
        <f t="shared" si="63"/>
        <v>0</v>
      </c>
    </row>
    <row r="1232" spans="5:11">
      <c r="E1232" t="s">
        <v>196</v>
      </c>
      <c r="F1232" t="s">
        <v>675</v>
      </c>
      <c r="G1232" s="11" t="str">
        <f t="shared" si="64"/>
        <v>11-25</v>
      </c>
      <c r="H1232" s="1">
        <f>_xlfn.IFNA(VLOOKUP(Aragon!E1232,'Kilter Holds'!$P$36:$AB$370,11,0),0)</f>
        <v>0</v>
      </c>
      <c r="J1232" s="2">
        <f t="shared" si="62"/>
        <v>0</v>
      </c>
      <c r="K1232" s="2">
        <f t="shared" si="63"/>
        <v>0</v>
      </c>
    </row>
    <row r="1233" spans="5:11">
      <c r="E1233" t="s">
        <v>196</v>
      </c>
      <c r="F1233" t="s">
        <v>675</v>
      </c>
      <c r="G1233" s="13" t="str">
        <f t="shared" si="64"/>
        <v>18-01</v>
      </c>
      <c r="H1233" s="1">
        <f>_xlfn.IFNA(VLOOKUP(Aragon!E1233,'Kilter Holds'!$P$36:$AB$370,12,0),0)</f>
        <v>0</v>
      </c>
      <c r="J1233" s="2">
        <f t="shared" si="62"/>
        <v>0</v>
      </c>
      <c r="K1233" s="2">
        <f t="shared" si="63"/>
        <v>0</v>
      </c>
    </row>
    <row r="1234" spans="5:11">
      <c r="E1234" t="s">
        <v>196</v>
      </c>
      <c r="F1234" t="s">
        <v>675</v>
      </c>
      <c r="G1234" s="12" t="str">
        <f t="shared" si="64"/>
        <v>12-01</v>
      </c>
      <c r="H1234" s="1">
        <f>_xlfn.IFNA(VLOOKUP(Aragon!E1234,'Kilter Holds'!$P$36:$AB$370,13,0),0)</f>
        <v>0</v>
      </c>
      <c r="J1234" s="2">
        <f t="shared" si="62"/>
        <v>0</v>
      </c>
      <c r="K1234" s="2">
        <f t="shared" si="63"/>
        <v>0</v>
      </c>
    </row>
    <row r="1235" spans="5:11">
      <c r="E1235" t="s">
        <v>250</v>
      </c>
      <c r="F1235" t="s">
        <v>676</v>
      </c>
      <c r="G1235" s="5" t="str">
        <f t="shared" si="64"/>
        <v>11-12</v>
      </c>
      <c r="H1235" s="1">
        <f>_xlfn.IFNA(VLOOKUP(Aragon!E1235,'Kilter Holds'!$P$36:$AB$370,5,0),0)</f>
        <v>0</v>
      </c>
      <c r="J1235" s="2">
        <f t="shared" si="62"/>
        <v>0</v>
      </c>
      <c r="K1235" s="2">
        <f t="shared" si="63"/>
        <v>0</v>
      </c>
    </row>
    <row r="1236" spans="5:11">
      <c r="E1236" t="s">
        <v>250</v>
      </c>
      <c r="F1236" t="s">
        <v>676</v>
      </c>
      <c r="G1236" s="6" t="str">
        <f t="shared" si="64"/>
        <v>14-01</v>
      </c>
      <c r="H1236" s="1">
        <f>_xlfn.IFNA(VLOOKUP(Aragon!E1236,'Kilter Holds'!$P$36:$AB$370,6,0),0)</f>
        <v>0</v>
      </c>
      <c r="J1236" s="2">
        <f t="shared" si="62"/>
        <v>0</v>
      </c>
      <c r="K1236" s="2">
        <f t="shared" si="63"/>
        <v>0</v>
      </c>
    </row>
    <row r="1237" spans="5:11">
      <c r="E1237" t="s">
        <v>250</v>
      </c>
      <c r="F1237" t="s">
        <v>676</v>
      </c>
      <c r="G1237" s="7" t="str">
        <f t="shared" si="64"/>
        <v>15-12</v>
      </c>
      <c r="H1237" s="1">
        <f>_xlfn.IFNA(VLOOKUP(Aragon!E1237,'Kilter Holds'!$P$36:$AB$370,7,0),0)</f>
        <v>0</v>
      </c>
      <c r="J1237" s="2">
        <f t="shared" si="62"/>
        <v>0</v>
      </c>
      <c r="K1237" s="2">
        <f t="shared" si="63"/>
        <v>0</v>
      </c>
    </row>
    <row r="1238" spans="5:11">
      <c r="E1238" t="s">
        <v>250</v>
      </c>
      <c r="F1238" t="s">
        <v>676</v>
      </c>
      <c r="G1238" s="8" t="str">
        <f t="shared" si="64"/>
        <v>16-16</v>
      </c>
      <c r="H1238" s="1">
        <f>_xlfn.IFNA(VLOOKUP(Aragon!E1238,'Kilter Holds'!$P$36:$AB$370,8,0),0)</f>
        <v>0</v>
      </c>
      <c r="J1238" s="2">
        <f t="shared" si="62"/>
        <v>0</v>
      </c>
      <c r="K1238" s="2">
        <f t="shared" si="63"/>
        <v>0</v>
      </c>
    </row>
    <row r="1239" spans="5:11">
      <c r="E1239" t="s">
        <v>250</v>
      </c>
      <c r="F1239" t="s">
        <v>676</v>
      </c>
      <c r="G1239" s="9" t="str">
        <f t="shared" si="64"/>
        <v>13-01</v>
      </c>
      <c r="H1239" s="1">
        <f>_xlfn.IFNA(VLOOKUP(Aragon!E1239,'Kilter Holds'!$P$36:$AB$370,9,0),0)</f>
        <v>0</v>
      </c>
      <c r="J1239" s="2">
        <f t="shared" si="62"/>
        <v>0</v>
      </c>
      <c r="K1239" s="2">
        <f t="shared" si="63"/>
        <v>0</v>
      </c>
    </row>
    <row r="1240" spans="5:11">
      <c r="E1240" t="s">
        <v>250</v>
      </c>
      <c r="F1240" t="s">
        <v>676</v>
      </c>
      <c r="G1240" s="10" t="str">
        <f t="shared" si="64"/>
        <v>07-13</v>
      </c>
      <c r="H1240" s="1">
        <f>_xlfn.IFNA(VLOOKUP(Aragon!E1240,'Kilter Holds'!$P$36:$AB$370,10,0),0)</f>
        <v>0</v>
      </c>
      <c r="J1240" s="2">
        <f t="shared" si="62"/>
        <v>0</v>
      </c>
      <c r="K1240" s="2">
        <f t="shared" si="63"/>
        <v>0</v>
      </c>
    </row>
    <row r="1241" spans="5:11">
      <c r="E1241" t="s">
        <v>250</v>
      </c>
      <c r="F1241" t="s">
        <v>676</v>
      </c>
      <c r="G1241" s="11" t="str">
        <f t="shared" si="64"/>
        <v>11-25</v>
      </c>
      <c r="H1241" s="1">
        <f>_xlfn.IFNA(VLOOKUP(Aragon!E1241,'Kilter Holds'!$P$36:$AB$370,11,0),0)</f>
        <v>0</v>
      </c>
      <c r="J1241" s="2">
        <f t="shared" si="62"/>
        <v>0</v>
      </c>
      <c r="K1241" s="2">
        <f t="shared" si="63"/>
        <v>0</v>
      </c>
    </row>
    <row r="1242" spans="5:11">
      <c r="E1242" t="s">
        <v>250</v>
      </c>
      <c r="F1242" t="s">
        <v>676</v>
      </c>
      <c r="G1242" s="13" t="str">
        <f t="shared" si="64"/>
        <v>18-01</v>
      </c>
      <c r="H1242" s="1">
        <f>_xlfn.IFNA(VLOOKUP(Aragon!E1242,'Kilter Holds'!$P$36:$AB$370,12,0),0)</f>
        <v>0</v>
      </c>
      <c r="J1242" s="2">
        <f t="shared" si="62"/>
        <v>0</v>
      </c>
      <c r="K1242" s="2">
        <f t="shared" si="63"/>
        <v>0</v>
      </c>
    </row>
    <row r="1243" spans="5:11">
      <c r="E1243" t="s">
        <v>250</v>
      </c>
      <c r="F1243" t="s">
        <v>676</v>
      </c>
      <c r="G1243" s="12" t="str">
        <f t="shared" si="64"/>
        <v>12-01</v>
      </c>
      <c r="H1243" s="1">
        <f>_xlfn.IFNA(VLOOKUP(Aragon!E1243,'Kilter Holds'!$P$36:$AB$370,13,0),0)</f>
        <v>0</v>
      </c>
      <c r="J1243" s="2">
        <f t="shared" si="62"/>
        <v>0</v>
      </c>
      <c r="K1243" s="2">
        <f t="shared" si="63"/>
        <v>0</v>
      </c>
    </row>
    <row r="1244" spans="5:11">
      <c r="E1244" t="s">
        <v>177</v>
      </c>
      <c r="F1244" t="s">
        <v>677</v>
      </c>
      <c r="G1244" s="5" t="str">
        <f t="shared" si="64"/>
        <v>11-12</v>
      </c>
      <c r="H1244" s="1">
        <f>_xlfn.IFNA(VLOOKUP(Aragon!E1244,'Kilter Holds'!$P$36:$AB$370,5,0),0)</f>
        <v>0</v>
      </c>
      <c r="J1244" s="2">
        <f t="shared" si="62"/>
        <v>0</v>
      </c>
      <c r="K1244" s="2">
        <f t="shared" si="63"/>
        <v>0</v>
      </c>
    </row>
    <row r="1245" spans="5:11">
      <c r="E1245" t="s">
        <v>177</v>
      </c>
      <c r="F1245" t="s">
        <v>677</v>
      </c>
      <c r="G1245" s="6" t="str">
        <f t="shared" si="64"/>
        <v>14-01</v>
      </c>
      <c r="H1245" s="1">
        <f>_xlfn.IFNA(VLOOKUP(Aragon!E1245,'Kilter Holds'!$P$36:$AB$370,6,0),0)</f>
        <v>0</v>
      </c>
      <c r="J1245" s="2">
        <f t="shared" si="62"/>
        <v>0</v>
      </c>
      <c r="K1245" s="2">
        <f t="shared" si="63"/>
        <v>0</v>
      </c>
    </row>
    <row r="1246" spans="5:11">
      <c r="E1246" t="s">
        <v>177</v>
      </c>
      <c r="F1246" t="s">
        <v>677</v>
      </c>
      <c r="G1246" s="7" t="str">
        <f t="shared" si="64"/>
        <v>15-12</v>
      </c>
      <c r="H1246" s="1">
        <f>_xlfn.IFNA(VLOOKUP(Aragon!E1246,'Kilter Holds'!$P$36:$AB$370,7,0),0)</f>
        <v>0</v>
      </c>
      <c r="J1246" s="2">
        <f t="shared" si="62"/>
        <v>0</v>
      </c>
      <c r="K1246" s="2">
        <f t="shared" si="63"/>
        <v>0</v>
      </c>
    </row>
    <row r="1247" spans="5:11">
      <c r="E1247" t="s">
        <v>177</v>
      </c>
      <c r="F1247" t="s">
        <v>677</v>
      </c>
      <c r="G1247" s="8" t="str">
        <f t="shared" si="64"/>
        <v>16-16</v>
      </c>
      <c r="H1247" s="1">
        <f>_xlfn.IFNA(VLOOKUP(Aragon!E1247,'Kilter Holds'!$P$36:$AB$370,8,0),0)</f>
        <v>0</v>
      </c>
      <c r="J1247" s="2">
        <f t="shared" si="62"/>
        <v>0</v>
      </c>
      <c r="K1247" s="2">
        <f t="shared" si="63"/>
        <v>0</v>
      </c>
    </row>
    <row r="1248" spans="5:11">
      <c r="E1248" t="s">
        <v>177</v>
      </c>
      <c r="F1248" t="s">
        <v>677</v>
      </c>
      <c r="G1248" s="9" t="str">
        <f t="shared" si="64"/>
        <v>13-01</v>
      </c>
      <c r="H1248" s="1">
        <f>_xlfn.IFNA(VLOOKUP(Aragon!E1248,'Kilter Holds'!$P$36:$AB$370,9,0),0)</f>
        <v>0</v>
      </c>
      <c r="J1248" s="2">
        <f t="shared" si="62"/>
        <v>0</v>
      </c>
      <c r="K1248" s="2">
        <f t="shared" si="63"/>
        <v>0</v>
      </c>
    </row>
    <row r="1249" spans="5:11">
      <c r="E1249" t="s">
        <v>177</v>
      </c>
      <c r="F1249" t="s">
        <v>677</v>
      </c>
      <c r="G1249" s="10" t="str">
        <f t="shared" si="64"/>
        <v>07-13</v>
      </c>
      <c r="H1249" s="1">
        <f>_xlfn.IFNA(VLOOKUP(Aragon!E1249,'Kilter Holds'!$P$36:$AB$370,10,0),0)</f>
        <v>0</v>
      </c>
      <c r="J1249" s="2">
        <f t="shared" si="62"/>
        <v>0</v>
      </c>
      <c r="K1249" s="2">
        <f t="shared" si="63"/>
        <v>0</v>
      </c>
    </row>
    <row r="1250" spans="5:11">
      <c r="E1250" t="s">
        <v>177</v>
      </c>
      <c r="F1250" t="s">
        <v>677</v>
      </c>
      <c r="G1250" s="11" t="str">
        <f t="shared" si="64"/>
        <v>11-25</v>
      </c>
      <c r="H1250" s="1">
        <f>_xlfn.IFNA(VLOOKUP(Aragon!E1250,'Kilter Holds'!$P$36:$AB$370,11,0),0)</f>
        <v>0</v>
      </c>
      <c r="J1250" s="2">
        <f t="shared" si="62"/>
        <v>0</v>
      </c>
      <c r="K1250" s="2">
        <f t="shared" si="63"/>
        <v>0</v>
      </c>
    </row>
    <row r="1251" spans="5:11">
      <c r="E1251" t="s">
        <v>177</v>
      </c>
      <c r="F1251" t="s">
        <v>677</v>
      </c>
      <c r="G1251" s="13" t="str">
        <f t="shared" si="64"/>
        <v>18-01</v>
      </c>
      <c r="H1251" s="1">
        <f>_xlfn.IFNA(VLOOKUP(Aragon!E1251,'Kilter Holds'!$P$36:$AB$370,12,0),0)</f>
        <v>0</v>
      </c>
      <c r="J1251" s="2">
        <f t="shared" si="62"/>
        <v>0</v>
      </c>
      <c r="K1251" s="2">
        <f t="shared" si="63"/>
        <v>0</v>
      </c>
    </row>
    <row r="1252" spans="5:11">
      <c r="E1252" t="s">
        <v>177</v>
      </c>
      <c r="F1252" t="s">
        <v>677</v>
      </c>
      <c r="G1252" s="12" t="str">
        <f t="shared" si="64"/>
        <v>12-01</v>
      </c>
      <c r="H1252" s="1">
        <f>_xlfn.IFNA(VLOOKUP(Aragon!E1252,'Kilter Holds'!$P$36:$AB$370,13,0),0)</f>
        <v>0</v>
      </c>
      <c r="J1252" s="2">
        <f t="shared" si="62"/>
        <v>0</v>
      </c>
      <c r="K1252" s="2">
        <f t="shared" si="63"/>
        <v>0</v>
      </c>
    </row>
    <row r="1253" spans="5:11">
      <c r="E1253" t="s">
        <v>323</v>
      </c>
      <c r="F1253" t="s">
        <v>678</v>
      </c>
      <c r="G1253" s="5" t="str">
        <f t="shared" si="64"/>
        <v>11-12</v>
      </c>
      <c r="H1253" s="1">
        <f>_xlfn.IFNA(VLOOKUP(Aragon!E1253,'Kilter Holds'!$P$36:$AB$370,5,0),0)</f>
        <v>0</v>
      </c>
      <c r="J1253" s="2">
        <f t="shared" si="62"/>
        <v>0</v>
      </c>
      <c r="K1253" s="2">
        <f t="shared" si="63"/>
        <v>0</v>
      </c>
    </row>
    <row r="1254" spans="5:11">
      <c r="E1254" t="s">
        <v>323</v>
      </c>
      <c r="F1254" t="s">
        <v>678</v>
      </c>
      <c r="G1254" s="6" t="str">
        <f t="shared" si="64"/>
        <v>14-01</v>
      </c>
      <c r="H1254" s="1">
        <f>_xlfn.IFNA(VLOOKUP(Aragon!E1254,'Kilter Holds'!$P$36:$AB$370,6,0),0)</f>
        <v>0</v>
      </c>
      <c r="J1254" s="2">
        <f t="shared" si="62"/>
        <v>0</v>
      </c>
      <c r="K1254" s="2">
        <f t="shared" si="63"/>
        <v>0</v>
      </c>
    </row>
    <row r="1255" spans="5:11">
      <c r="E1255" t="s">
        <v>323</v>
      </c>
      <c r="F1255" t="s">
        <v>678</v>
      </c>
      <c r="G1255" s="7" t="str">
        <f t="shared" si="64"/>
        <v>15-12</v>
      </c>
      <c r="H1255" s="1">
        <f>_xlfn.IFNA(VLOOKUP(Aragon!E1255,'Kilter Holds'!$P$36:$AB$370,7,0),0)</f>
        <v>0</v>
      </c>
      <c r="J1255" s="2">
        <f t="shared" si="62"/>
        <v>0</v>
      </c>
      <c r="K1255" s="2">
        <f t="shared" si="63"/>
        <v>0</v>
      </c>
    </row>
    <row r="1256" spans="5:11">
      <c r="E1256" t="s">
        <v>323</v>
      </c>
      <c r="F1256" t="s">
        <v>678</v>
      </c>
      <c r="G1256" s="8" t="str">
        <f t="shared" si="64"/>
        <v>16-16</v>
      </c>
      <c r="H1256" s="1">
        <f>_xlfn.IFNA(VLOOKUP(Aragon!E1256,'Kilter Holds'!$P$36:$AB$370,8,0),0)</f>
        <v>0</v>
      </c>
      <c r="J1256" s="2">
        <f t="shared" si="62"/>
        <v>0</v>
      </c>
      <c r="K1256" s="2">
        <f t="shared" si="63"/>
        <v>0</v>
      </c>
    </row>
    <row r="1257" spans="5:11">
      <c r="E1257" t="s">
        <v>323</v>
      </c>
      <c r="F1257" t="s">
        <v>678</v>
      </c>
      <c r="G1257" s="9" t="str">
        <f t="shared" si="64"/>
        <v>13-01</v>
      </c>
      <c r="H1257" s="1">
        <f>_xlfn.IFNA(VLOOKUP(Aragon!E1257,'Kilter Holds'!$P$36:$AB$370,9,0),0)</f>
        <v>0</v>
      </c>
      <c r="J1257" s="2">
        <f t="shared" si="62"/>
        <v>0</v>
      </c>
      <c r="K1257" s="2">
        <f t="shared" si="63"/>
        <v>0</v>
      </c>
    </row>
    <row r="1258" spans="5:11">
      <c r="E1258" t="s">
        <v>323</v>
      </c>
      <c r="F1258" t="s">
        <v>678</v>
      </c>
      <c r="G1258" s="10" t="str">
        <f t="shared" si="64"/>
        <v>07-13</v>
      </c>
      <c r="H1258" s="1">
        <f>_xlfn.IFNA(VLOOKUP(Aragon!E1258,'Kilter Holds'!$P$36:$AB$370,10,0),0)</f>
        <v>0</v>
      </c>
      <c r="J1258" s="2">
        <f t="shared" si="62"/>
        <v>0</v>
      </c>
      <c r="K1258" s="2">
        <f t="shared" si="63"/>
        <v>0</v>
      </c>
    </row>
    <row r="1259" spans="5:11">
      <c r="E1259" t="s">
        <v>323</v>
      </c>
      <c r="F1259" t="s">
        <v>678</v>
      </c>
      <c r="G1259" s="11" t="str">
        <f t="shared" si="64"/>
        <v>11-25</v>
      </c>
      <c r="H1259" s="1">
        <f>_xlfn.IFNA(VLOOKUP(Aragon!E1259,'Kilter Holds'!$P$36:$AB$370,11,0),0)</f>
        <v>0</v>
      </c>
      <c r="J1259" s="2">
        <f t="shared" si="62"/>
        <v>0</v>
      </c>
      <c r="K1259" s="2">
        <f t="shared" si="63"/>
        <v>0</v>
      </c>
    </row>
    <row r="1260" spans="5:11">
      <c r="E1260" t="s">
        <v>323</v>
      </c>
      <c r="F1260" t="s">
        <v>678</v>
      </c>
      <c r="G1260" s="13" t="str">
        <f t="shared" si="64"/>
        <v>18-01</v>
      </c>
      <c r="H1260" s="1">
        <f>_xlfn.IFNA(VLOOKUP(Aragon!E1260,'Kilter Holds'!$P$36:$AB$370,12,0),0)</f>
        <v>0</v>
      </c>
      <c r="J1260" s="2">
        <f t="shared" si="62"/>
        <v>0</v>
      </c>
      <c r="K1260" s="2">
        <f t="shared" si="63"/>
        <v>0</v>
      </c>
    </row>
    <row r="1261" spans="5:11">
      <c r="E1261" t="s">
        <v>323</v>
      </c>
      <c r="F1261" t="s">
        <v>678</v>
      </c>
      <c r="G1261" s="12" t="str">
        <f t="shared" si="64"/>
        <v>12-01</v>
      </c>
      <c r="H1261" s="1">
        <f>_xlfn.IFNA(VLOOKUP(Aragon!E1261,'Kilter Holds'!$P$36:$AB$370,13,0),0)</f>
        <v>0</v>
      </c>
      <c r="J1261" s="2">
        <f t="shared" si="62"/>
        <v>0</v>
      </c>
      <c r="K1261" s="2">
        <f t="shared" si="63"/>
        <v>0</v>
      </c>
    </row>
    <row r="1262" spans="5:11">
      <c r="E1262" t="s">
        <v>278</v>
      </c>
      <c r="F1262" t="s">
        <v>679</v>
      </c>
      <c r="G1262" s="5" t="str">
        <f t="shared" si="64"/>
        <v>11-12</v>
      </c>
      <c r="H1262" s="1">
        <f>_xlfn.IFNA(VLOOKUP(Aragon!E1262,'Kilter Holds'!$P$36:$AB$370,5,0),0)</f>
        <v>0</v>
      </c>
      <c r="J1262" s="2">
        <f t="shared" si="62"/>
        <v>0</v>
      </c>
      <c r="K1262" s="2">
        <f t="shared" si="63"/>
        <v>0</v>
      </c>
    </row>
    <row r="1263" spans="5:11">
      <c r="E1263" t="s">
        <v>278</v>
      </c>
      <c r="F1263" t="s">
        <v>679</v>
      </c>
      <c r="G1263" s="6" t="str">
        <f t="shared" si="64"/>
        <v>14-01</v>
      </c>
      <c r="H1263" s="1">
        <f>_xlfn.IFNA(VLOOKUP(Aragon!E1263,'Kilter Holds'!$P$36:$AB$370,6,0),0)</f>
        <v>0</v>
      </c>
      <c r="J1263" s="2">
        <f t="shared" si="62"/>
        <v>0</v>
      </c>
      <c r="K1263" s="2">
        <f t="shared" si="63"/>
        <v>0</v>
      </c>
    </row>
    <row r="1264" spans="5:11">
      <c r="E1264" t="s">
        <v>278</v>
      </c>
      <c r="F1264" t="s">
        <v>679</v>
      </c>
      <c r="G1264" s="7" t="str">
        <f t="shared" si="64"/>
        <v>15-12</v>
      </c>
      <c r="H1264" s="1">
        <f>_xlfn.IFNA(VLOOKUP(Aragon!E1264,'Kilter Holds'!$P$36:$AB$370,7,0),0)</f>
        <v>0</v>
      </c>
      <c r="J1264" s="2">
        <f t="shared" si="62"/>
        <v>0</v>
      </c>
      <c r="K1264" s="2">
        <f t="shared" si="63"/>
        <v>0</v>
      </c>
    </row>
    <row r="1265" spans="5:11">
      <c r="E1265" t="s">
        <v>278</v>
      </c>
      <c r="F1265" t="s">
        <v>679</v>
      </c>
      <c r="G1265" s="8" t="str">
        <f t="shared" si="64"/>
        <v>16-16</v>
      </c>
      <c r="H1265" s="1">
        <f>_xlfn.IFNA(VLOOKUP(Aragon!E1265,'Kilter Holds'!$P$36:$AB$370,8,0),0)</f>
        <v>0</v>
      </c>
      <c r="J1265" s="2">
        <f t="shared" si="62"/>
        <v>0</v>
      </c>
      <c r="K1265" s="2">
        <f t="shared" si="63"/>
        <v>0</v>
      </c>
    </row>
    <row r="1266" spans="5:11">
      <c r="E1266" t="s">
        <v>278</v>
      </c>
      <c r="F1266" t="s">
        <v>679</v>
      </c>
      <c r="G1266" s="9" t="str">
        <f t="shared" si="64"/>
        <v>13-01</v>
      </c>
      <c r="H1266" s="1">
        <f>_xlfn.IFNA(VLOOKUP(Aragon!E1266,'Kilter Holds'!$P$36:$AB$370,9,0),0)</f>
        <v>0</v>
      </c>
      <c r="J1266" s="2">
        <f t="shared" si="62"/>
        <v>0</v>
      </c>
      <c r="K1266" s="2">
        <f t="shared" si="63"/>
        <v>0</v>
      </c>
    </row>
    <row r="1267" spans="5:11">
      <c r="E1267" t="s">
        <v>278</v>
      </c>
      <c r="F1267" t="s">
        <v>679</v>
      </c>
      <c r="G1267" s="10" t="str">
        <f t="shared" si="64"/>
        <v>07-13</v>
      </c>
      <c r="H1267" s="1">
        <f>_xlfn.IFNA(VLOOKUP(Aragon!E1267,'Kilter Holds'!$P$36:$AB$370,10,0),0)</f>
        <v>0</v>
      </c>
      <c r="J1267" s="2">
        <f t="shared" si="62"/>
        <v>0</v>
      </c>
      <c r="K1267" s="2">
        <f t="shared" si="63"/>
        <v>0</v>
      </c>
    </row>
    <row r="1268" spans="5:11">
      <c r="E1268" t="s">
        <v>278</v>
      </c>
      <c r="F1268" t="s">
        <v>679</v>
      </c>
      <c r="G1268" s="11" t="str">
        <f t="shared" si="64"/>
        <v>11-25</v>
      </c>
      <c r="H1268" s="1">
        <f>_xlfn.IFNA(VLOOKUP(Aragon!E1268,'Kilter Holds'!$P$36:$AB$370,11,0),0)</f>
        <v>0</v>
      </c>
      <c r="J1268" s="2">
        <f t="shared" si="62"/>
        <v>0</v>
      </c>
      <c r="K1268" s="2">
        <f t="shared" si="63"/>
        <v>0</v>
      </c>
    </row>
    <row r="1269" spans="5:11">
      <c r="E1269" t="s">
        <v>278</v>
      </c>
      <c r="F1269" t="s">
        <v>679</v>
      </c>
      <c r="G1269" s="13" t="str">
        <f t="shared" si="64"/>
        <v>18-01</v>
      </c>
      <c r="H1269" s="1">
        <f>_xlfn.IFNA(VLOOKUP(Aragon!E1269,'Kilter Holds'!$P$36:$AB$370,12,0),0)</f>
        <v>0</v>
      </c>
      <c r="J1269" s="2">
        <f t="shared" si="62"/>
        <v>0</v>
      </c>
      <c r="K1269" s="2">
        <f t="shared" si="63"/>
        <v>0</v>
      </c>
    </row>
    <row r="1270" spans="5:11">
      <c r="E1270" t="s">
        <v>278</v>
      </c>
      <c r="F1270" t="s">
        <v>679</v>
      </c>
      <c r="G1270" s="12" t="str">
        <f t="shared" si="64"/>
        <v>12-01</v>
      </c>
      <c r="H1270" s="1">
        <f>_xlfn.IFNA(VLOOKUP(Aragon!E1270,'Kilter Holds'!$P$36:$AB$370,13,0),0)</f>
        <v>0</v>
      </c>
      <c r="J1270" s="2">
        <f t="shared" si="62"/>
        <v>0</v>
      </c>
      <c r="K1270" s="2">
        <f t="shared" si="63"/>
        <v>0</v>
      </c>
    </row>
    <row r="1271" spans="5:11">
      <c r="E1271" t="s">
        <v>197</v>
      </c>
      <c r="F1271" t="s">
        <v>680</v>
      </c>
      <c r="G1271" s="5" t="str">
        <f t="shared" si="64"/>
        <v>11-12</v>
      </c>
      <c r="H1271" s="1">
        <f>_xlfn.IFNA(VLOOKUP(Aragon!E1271,'Kilter Holds'!$P$36:$AB$370,5,0),0)</f>
        <v>0</v>
      </c>
      <c r="J1271" s="2">
        <f t="shared" si="62"/>
        <v>0</v>
      </c>
      <c r="K1271" s="2">
        <f t="shared" si="63"/>
        <v>0</v>
      </c>
    </row>
    <row r="1272" spans="5:11">
      <c r="E1272" t="s">
        <v>197</v>
      </c>
      <c r="F1272" t="s">
        <v>680</v>
      </c>
      <c r="G1272" s="6" t="str">
        <f t="shared" si="64"/>
        <v>14-01</v>
      </c>
      <c r="H1272" s="1">
        <f>_xlfn.IFNA(VLOOKUP(Aragon!E1272,'Kilter Holds'!$P$36:$AB$370,6,0),0)</f>
        <v>0</v>
      </c>
      <c r="J1272" s="2">
        <f t="shared" si="62"/>
        <v>0</v>
      </c>
      <c r="K1272" s="2">
        <f t="shared" si="63"/>
        <v>0</v>
      </c>
    </row>
    <row r="1273" spans="5:11">
      <c r="E1273" t="s">
        <v>197</v>
      </c>
      <c r="F1273" t="s">
        <v>680</v>
      </c>
      <c r="G1273" s="7" t="str">
        <f t="shared" si="64"/>
        <v>15-12</v>
      </c>
      <c r="H1273" s="1">
        <f>_xlfn.IFNA(VLOOKUP(Aragon!E1273,'Kilter Holds'!$P$36:$AB$370,7,0),0)</f>
        <v>0</v>
      </c>
      <c r="J1273" s="2">
        <f t="shared" si="62"/>
        <v>0</v>
      </c>
      <c r="K1273" s="2">
        <f t="shared" si="63"/>
        <v>0</v>
      </c>
    </row>
    <row r="1274" spans="5:11">
      <c r="E1274" t="s">
        <v>197</v>
      </c>
      <c r="F1274" t="s">
        <v>680</v>
      </c>
      <c r="G1274" s="8" t="str">
        <f t="shared" si="64"/>
        <v>16-16</v>
      </c>
      <c r="H1274" s="1">
        <f>_xlfn.IFNA(VLOOKUP(Aragon!E1274,'Kilter Holds'!$P$36:$AB$370,8,0),0)</f>
        <v>0</v>
      </c>
      <c r="J1274" s="2">
        <f t="shared" ref="J1274:J1337" si="65">H1274*I1274</f>
        <v>0</v>
      </c>
      <c r="K1274" s="2">
        <f t="shared" si="63"/>
        <v>0</v>
      </c>
    </row>
    <row r="1275" spans="5:11">
      <c r="E1275" t="s">
        <v>197</v>
      </c>
      <c r="F1275" t="s">
        <v>680</v>
      </c>
      <c r="G1275" s="9" t="str">
        <f t="shared" si="64"/>
        <v>13-01</v>
      </c>
      <c r="H1275" s="1">
        <f>_xlfn.IFNA(VLOOKUP(Aragon!E1275,'Kilter Holds'!$P$36:$AB$370,9,0),0)</f>
        <v>0</v>
      </c>
      <c r="J1275" s="2">
        <f t="shared" si="65"/>
        <v>0</v>
      </c>
      <c r="K1275" s="2">
        <f t="shared" si="63"/>
        <v>0</v>
      </c>
    </row>
    <row r="1276" spans="5:11">
      <c r="E1276" t="s">
        <v>197</v>
      </c>
      <c r="F1276" t="s">
        <v>680</v>
      </c>
      <c r="G1276" s="10" t="str">
        <f t="shared" si="64"/>
        <v>07-13</v>
      </c>
      <c r="H1276" s="1">
        <f>_xlfn.IFNA(VLOOKUP(Aragon!E1276,'Kilter Holds'!$P$36:$AB$370,10,0),0)</f>
        <v>0</v>
      </c>
      <c r="J1276" s="2">
        <f t="shared" si="65"/>
        <v>0</v>
      </c>
      <c r="K1276" s="2">
        <f t="shared" si="63"/>
        <v>0</v>
      </c>
    </row>
    <row r="1277" spans="5:11">
      <c r="E1277" t="s">
        <v>197</v>
      </c>
      <c r="F1277" t="s">
        <v>680</v>
      </c>
      <c r="G1277" s="11" t="str">
        <f t="shared" si="64"/>
        <v>11-25</v>
      </c>
      <c r="H1277" s="1">
        <f>_xlfn.IFNA(VLOOKUP(Aragon!E1277,'Kilter Holds'!$P$36:$AB$370,11,0),0)</f>
        <v>0</v>
      </c>
      <c r="J1277" s="2">
        <f t="shared" si="65"/>
        <v>0</v>
      </c>
      <c r="K1277" s="2">
        <f t="shared" si="63"/>
        <v>0</v>
      </c>
    </row>
    <row r="1278" spans="5:11">
      <c r="E1278" t="s">
        <v>197</v>
      </c>
      <c r="F1278" t="s">
        <v>680</v>
      </c>
      <c r="G1278" s="13" t="str">
        <f t="shared" si="64"/>
        <v>18-01</v>
      </c>
      <c r="H1278" s="1">
        <f>_xlfn.IFNA(VLOOKUP(Aragon!E1278,'Kilter Holds'!$P$36:$AB$370,12,0),0)</f>
        <v>0</v>
      </c>
      <c r="J1278" s="2">
        <f t="shared" si="65"/>
        <v>0</v>
      </c>
      <c r="K1278" s="2">
        <f t="shared" si="63"/>
        <v>0</v>
      </c>
    </row>
    <row r="1279" spans="5:11">
      <c r="E1279" t="s">
        <v>197</v>
      </c>
      <c r="F1279" t="s">
        <v>680</v>
      </c>
      <c r="G1279" s="12" t="str">
        <f t="shared" si="64"/>
        <v>12-01</v>
      </c>
      <c r="H1279" s="1">
        <f>_xlfn.IFNA(VLOOKUP(Aragon!E1279,'Kilter Holds'!$P$36:$AB$370,13,0),0)</f>
        <v>0</v>
      </c>
      <c r="J1279" s="2">
        <f t="shared" si="65"/>
        <v>0</v>
      </c>
      <c r="K1279" s="2">
        <f t="shared" si="63"/>
        <v>0</v>
      </c>
    </row>
    <row r="1280" spans="5:11">
      <c r="E1280" t="s">
        <v>198</v>
      </c>
      <c r="F1280" t="s">
        <v>681</v>
      </c>
      <c r="G1280" s="5" t="str">
        <f t="shared" si="64"/>
        <v>11-12</v>
      </c>
      <c r="H1280" s="1">
        <f>_xlfn.IFNA(VLOOKUP(Aragon!E1280,'Kilter Holds'!$P$36:$AB$370,5,0),0)</f>
        <v>0</v>
      </c>
      <c r="J1280" s="2">
        <f t="shared" si="65"/>
        <v>0</v>
      </c>
      <c r="K1280" s="2">
        <f t="shared" si="63"/>
        <v>0</v>
      </c>
    </row>
    <row r="1281" spans="5:11">
      <c r="E1281" t="s">
        <v>198</v>
      </c>
      <c r="F1281" t="s">
        <v>681</v>
      </c>
      <c r="G1281" s="6" t="str">
        <f t="shared" si="64"/>
        <v>14-01</v>
      </c>
      <c r="H1281" s="1">
        <f>_xlfn.IFNA(VLOOKUP(Aragon!E1281,'Kilter Holds'!$P$36:$AB$370,6,0),0)</f>
        <v>0</v>
      </c>
      <c r="J1281" s="2">
        <f t="shared" si="65"/>
        <v>0</v>
      </c>
      <c r="K1281" s="2">
        <f t="shared" si="63"/>
        <v>0</v>
      </c>
    </row>
    <row r="1282" spans="5:11">
      <c r="E1282" t="s">
        <v>198</v>
      </c>
      <c r="F1282" t="s">
        <v>681</v>
      </c>
      <c r="G1282" s="7" t="str">
        <f t="shared" si="64"/>
        <v>15-12</v>
      </c>
      <c r="H1282" s="1">
        <f>_xlfn.IFNA(VLOOKUP(Aragon!E1282,'Kilter Holds'!$P$36:$AB$370,7,0),0)</f>
        <v>0</v>
      </c>
      <c r="J1282" s="2">
        <f t="shared" si="65"/>
        <v>0</v>
      </c>
      <c r="K1282" s="2">
        <f t="shared" si="63"/>
        <v>0</v>
      </c>
    </row>
    <row r="1283" spans="5:11">
      <c r="E1283" t="s">
        <v>198</v>
      </c>
      <c r="F1283" t="s">
        <v>681</v>
      </c>
      <c r="G1283" s="8" t="str">
        <f t="shared" si="64"/>
        <v>16-16</v>
      </c>
      <c r="H1283" s="1">
        <f>_xlfn.IFNA(VLOOKUP(Aragon!E1283,'Kilter Holds'!$P$36:$AB$370,8,0),0)</f>
        <v>0</v>
      </c>
      <c r="J1283" s="2">
        <f t="shared" si="65"/>
        <v>0</v>
      </c>
      <c r="K1283" s="2">
        <f t="shared" si="63"/>
        <v>0</v>
      </c>
    </row>
    <row r="1284" spans="5:11">
      <c r="E1284" t="s">
        <v>198</v>
      </c>
      <c r="F1284" t="s">
        <v>681</v>
      </c>
      <c r="G1284" s="9" t="str">
        <f t="shared" si="64"/>
        <v>13-01</v>
      </c>
      <c r="H1284" s="1">
        <f>_xlfn.IFNA(VLOOKUP(Aragon!E1284,'Kilter Holds'!$P$36:$AB$370,9,0),0)</f>
        <v>0</v>
      </c>
      <c r="J1284" s="2">
        <f t="shared" si="65"/>
        <v>0</v>
      </c>
      <c r="K1284" s="2">
        <f t="shared" si="63"/>
        <v>0</v>
      </c>
    </row>
    <row r="1285" spans="5:11">
      <c r="E1285" t="s">
        <v>198</v>
      </c>
      <c r="F1285" t="s">
        <v>681</v>
      </c>
      <c r="G1285" s="10" t="str">
        <f t="shared" si="64"/>
        <v>07-13</v>
      </c>
      <c r="H1285" s="1">
        <f>_xlfn.IFNA(VLOOKUP(Aragon!E1285,'Kilter Holds'!$P$36:$AB$370,10,0),0)</f>
        <v>0</v>
      </c>
      <c r="J1285" s="2">
        <f t="shared" si="65"/>
        <v>0</v>
      </c>
      <c r="K1285" s="2">
        <f t="shared" si="63"/>
        <v>0</v>
      </c>
    </row>
    <row r="1286" spans="5:11">
      <c r="E1286" t="s">
        <v>198</v>
      </c>
      <c r="F1286" t="s">
        <v>681</v>
      </c>
      <c r="G1286" s="11" t="str">
        <f t="shared" si="64"/>
        <v>11-25</v>
      </c>
      <c r="H1286" s="1">
        <f>_xlfn.IFNA(VLOOKUP(Aragon!E1286,'Kilter Holds'!$P$36:$AB$370,11,0),0)</f>
        <v>0</v>
      </c>
      <c r="J1286" s="2">
        <f t="shared" si="65"/>
        <v>0</v>
      </c>
      <c r="K1286" s="2">
        <f t="shared" si="63"/>
        <v>0</v>
      </c>
    </row>
    <row r="1287" spans="5:11">
      <c r="E1287" t="s">
        <v>198</v>
      </c>
      <c r="F1287" t="s">
        <v>681</v>
      </c>
      <c r="G1287" s="13" t="str">
        <f t="shared" si="64"/>
        <v>18-01</v>
      </c>
      <c r="H1287" s="1">
        <f>_xlfn.IFNA(VLOOKUP(Aragon!E1287,'Kilter Holds'!$P$36:$AB$370,12,0),0)</f>
        <v>0</v>
      </c>
      <c r="J1287" s="2">
        <f t="shared" si="65"/>
        <v>0</v>
      </c>
      <c r="K1287" s="2">
        <f t="shared" si="63"/>
        <v>0</v>
      </c>
    </row>
    <row r="1288" spans="5:11">
      <c r="E1288" t="s">
        <v>198</v>
      </c>
      <c r="F1288" t="s">
        <v>681</v>
      </c>
      <c r="G1288" s="12" t="str">
        <f t="shared" si="64"/>
        <v>12-01</v>
      </c>
      <c r="H1288" s="1">
        <f>_xlfn.IFNA(VLOOKUP(Aragon!E1288,'Kilter Holds'!$P$36:$AB$370,13,0),0)</f>
        <v>0</v>
      </c>
      <c r="J1288" s="2">
        <f t="shared" si="65"/>
        <v>0</v>
      </c>
      <c r="K1288" s="2">
        <f t="shared" si="63"/>
        <v>0</v>
      </c>
    </row>
    <row r="1289" spans="5:11">
      <c r="E1289" t="s">
        <v>166</v>
      </c>
      <c r="F1289" t="s">
        <v>682</v>
      </c>
      <c r="G1289" s="5" t="str">
        <f t="shared" si="64"/>
        <v>11-12</v>
      </c>
      <c r="H1289" s="1">
        <f>_xlfn.IFNA(VLOOKUP(Aragon!E1289,'Kilter Holds'!$P$36:$AB$370,5,0),0)</f>
        <v>0</v>
      </c>
      <c r="J1289" s="2">
        <f t="shared" si="65"/>
        <v>0</v>
      </c>
      <c r="K1289" s="2">
        <f t="shared" si="63"/>
        <v>0</v>
      </c>
    </row>
    <row r="1290" spans="5:11">
      <c r="E1290" t="s">
        <v>166</v>
      </c>
      <c r="F1290" t="s">
        <v>682</v>
      </c>
      <c r="G1290" s="6" t="str">
        <f t="shared" si="64"/>
        <v>14-01</v>
      </c>
      <c r="H1290" s="1">
        <f>_xlfn.IFNA(VLOOKUP(Aragon!E1290,'Kilter Holds'!$P$36:$AB$370,6,0),0)</f>
        <v>0</v>
      </c>
      <c r="J1290" s="2">
        <f t="shared" si="65"/>
        <v>0</v>
      </c>
      <c r="K1290" s="2">
        <f t="shared" si="63"/>
        <v>0</v>
      </c>
    </row>
    <row r="1291" spans="5:11">
      <c r="E1291" t="s">
        <v>166</v>
      </c>
      <c r="F1291" t="s">
        <v>682</v>
      </c>
      <c r="G1291" s="7" t="str">
        <f t="shared" si="64"/>
        <v>15-12</v>
      </c>
      <c r="H1291" s="1">
        <f>_xlfn.IFNA(VLOOKUP(Aragon!E1291,'Kilter Holds'!$P$36:$AB$370,7,0),0)</f>
        <v>0</v>
      </c>
      <c r="J1291" s="2">
        <f t="shared" si="65"/>
        <v>0</v>
      </c>
      <c r="K1291" s="2">
        <f t="shared" si="63"/>
        <v>0</v>
      </c>
    </row>
    <row r="1292" spans="5:11">
      <c r="E1292" t="s">
        <v>166</v>
      </c>
      <c r="F1292" t="s">
        <v>682</v>
      </c>
      <c r="G1292" s="8" t="str">
        <f t="shared" si="64"/>
        <v>16-16</v>
      </c>
      <c r="H1292" s="1">
        <f>_xlfn.IFNA(VLOOKUP(Aragon!E1292,'Kilter Holds'!$P$36:$AB$370,8,0),0)</f>
        <v>0</v>
      </c>
      <c r="J1292" s="2">
        <f t="shared" si="65"/>
        <v>0</v>
      </c>
      <c r="K1292" s="2">
        <f t="shared" ref="K1292:K1355" si="66">IF($V$11="Y",J1292*0.05,0)</f>
        <v>0</v>
      </c>
    </row>
    <row r="1293" spans="5:11">
      <c r="E1293" t="s">
        <v>166</v>
      </c>
      <c r="F1293" t="s">
        <v>682</v>
      </c>
      <c r="G1293" s="9" t="str">
        <f t="shared" ref="G1293:G1356" si="67">G1284</f>
        <v>13-01</v>
      </c>
      <c r="H1293" s="1">
        <f>_xlfn.IFNA(VLOOKUP(Aragon!E1293,'Kilter Holds'!$P$36:$AB$370,9,0),0)</f>
        <v>0</v>
      </c>
      <c r="J1293" s="2">
        <f t="shared" si="65"/>
        <v>0</v>
      </c>
      <c r="K1293" s="2">
        <f t="shared" si="66"/>
        <v>0</v>
      </c>
    </row>
    <row r="1294" spans="5:11">
      <c r="E1294" t="s">
        <v>166</v>
      </c>
      <c r="F1294" t="s">
        <v>682</v>
      </c>
      <c r="G1294" s="10" t="str">
        <f t="shared" si="67"/>
        <v>07-13</v>
      </c>
      <c r="H1294" s="1">
        <f>_xlfn.IFNA(VLOOKUP(Aragon!E1294,'Kilter Holds'!$P$36:$AB$370,10,0),0)</f>
        <v>0</v>
      </c>
      <c r="J1294" s="2">
        <f t="shared" si="65"/>
        <v>0</v>
      </c>
      <c r="K1294" s="2">
        <f t="shared" si="66"/>
        <v>0</v>
      </c>
    </row>
    <row r="1295" spans="5:11">
      <c r="E1295" t="s">
        <v>166</v>
      </c>
      <c r="F1295" t="s">
        <v>682</v>
      </c>
      <c r="G1295" s="11" t="str">
        <f t="shared" si="67"/>
        <v>11-25</v>
      </c>
      <c r="H1295" s="1">
        <f>_xlfn.IFNA(VLOOKUP(Aragon!E1295,'Kilter Holds'!$P$36:$AB$370,11,0),0)</f>
        <v>0</v>
      </c>
      <c r="J1295" s="2">
        <f t="shared" si="65"/>
        <v>0</v>
      </c>
      <c r="K1295" s="2">
        <f t="shared" si="66"/>
        <v>0</v>
      </c>
    </row>
    <row r="1296" spans="5:11">
      <c r="E1296" t="s">
        <v>166</v>
      </c>
      <c r="F1296" t="s">
        <v>682</v>
      </c>
      <c r="G1296" s="13" t="str">
        <f t="shared" si="67"/>
        <v>18-01</v>
      </c>
      <c r="H1296" s="1">
        <f>_xlfn.IFNA(VLOOKUP(Aragon!E1296,'Kilter Holds'!$P$36:$AB$370,12,0),0)</f>
        <v>0</v>
      </c>
      <c r="J1296" s="2">
        <f t="shared" si="65"/>
        <v>0</v>
      </c>
      <c r="K1296" s="2">
        <f t="shared" si="66"/>
        <v>0</v>
      </c>
    </row>
    <row r="1297" spans="5:11">
      <c r="E1297" t="s">
        <v>166</v>
      </c>
      <c r="F1297" t="s">
        <v>682</v>
      </c>
      <c r="G1297" s="12" t="str">
        <f t="shared" si="67"/>
        <v>12-01</v>
      </c>
      <c r="H1297" s="1">
        <f>_xlfn.IFNA(VLOOKUP(Aragon!E1297,'Kilter Holds'!$P$36:$AB$370,13,0),0)</f>
        <v>0</v>
      </c>
      <c r="J1297" s="2">
        <f t="shared" si="65"/>
        <v>0</v>
      </c>
      <c r="K1297" s="2">
        <f t="shared" si="66"/>
        <v>0</v>
      </c>
    </row>
    <row r="1298" spans="5:11">
      <c r="E1298" t="s">
        <v>227</v>
      </c>
      <c r="F1298" t="s">
        <v>683</v>
      </c>
      <c r="G1298" s="5" t="str">
        <f t="shared" si="67"/>
        <v>11-12</v>
      </c>
      <c r="H1298" s="1">
        <f>_xlfn.IFNA(VLOOKUP(Aragon!E1298,'Kilter Holds'!$P$36:$AB$370,5,0),0)</f>
        <v>0</v>
      </c>
      <c r="J1298" s="2">
        <f t="shared" si="65"/>
        <v>0</v>
      </c>
      <c r="K1298" s="2">
        <f t="shared" si="66"/>
        <v>0</v>
      </c>
    </row>
    <row r="1299" spans="5:11">
      <c r="E1299" t="s">
        <v>227</v>
      </c>
      <c r="F1299" t="s">
        <v>683</v>
      </c>
      <c r="G1299" s="6" t="str">
        <f t="shared" si="67"/>
        <v>14-01</v>
      </c>
      <c r="H1299" s="1">
        <f>_xlfn.IFNA(VLOOKUP(Aragon!E1299,'Kilter Holds'!$P$36:$AB$370,6,0),0)</f>
        <v>0</v>
      </c>
      <c r="J1299" s="2">
        <f t="shared" si="65"/>
        <v>0</v>
      </c>
      <c r="K1299" s="2">
        <f t="shared" si="66"/>
        <v>0</v>
      </c>
    </row>
    <row r="1300" spans="5:11">
      <c r="E1300" t="s">
        <v>227</v>
      </c>
      <c r="F1300" t="s">
        <v>683</v>
      </c>
      <c r="G1300" s="7" t="str">
        <f t="shared" si="67"/>
        <v>15-12</v>
      </c>
      <c r="H1300" s="1">
        <f>_xlfn.IFNA(VLOOKUP(Aragon!E1300,'Kilter Holds'!$P$36:$AB$370,7,0),0)</f>
        <v>0</v>
      </c>
      <c r="J1300" s="2">
        <f t="shared" si="65"/>
        <v>0</v>
      </c>
      <c r="K1300" s="2">
        <f t="shared" si="66"/>
        <v>0</v>
      </c>
    </row>
    <row r="1301" spans="5:11">
      <c r="E1301" t="s">
        <v>227</v>
      </c>
      <c r="F1301" t="s">
        <v>683</v>
      </c>
      <c r="G1301" s="8" t="str">
        <f t="shared" si="67"/>
        <v>16-16</v>
      </c>
      <c r="H1301" s="1">
        <f>_xlfn.IFNA(VLOOKUP(Aragon!E1301,'Kilter Holds'!$P$36:$AB$370,8,0),0)</f>
        <v>0</v>
      </c>
      <c r="J1301" s="2">
        <f t="shared" si="65"/>
        <v>0</v>
      </c>
      <c r="K1301" s="2">
        <f t="shared" si="66"/>
        <v>0</v>
      </c>
    </row>
    <row r="1302" spans="5:11">
      <c r="E1302" t="s">
        <v>227</v>
      </c>
      <c r="F1302" t="s">
        <v>683</v>
      </c>
      <c r="G1302" s="9" t="str">
        <f t="shared" si="67"/>
        <v>13-01</v>
      </c>
      <c r="H1302" s="1">
        <f>_xlfn.IFNA(VLOOKUP(Aragon!E1302,'Kilter Holds'!$P$36:$AB$370,9,0),0)</f>
        <v>0</v>
      </c>
      <c r="J1302" s="2">
        <f t="shared" si="65"/>
        <v>0</v>
      </c>
      <c r="K1302" s="2">
        <f t="shared" si="66"/>
        <v>0</v>
      </c>
    </row>
    <row r="1303" spans="5:11">
      <c r="E1303" t="s">
        <v>227</v>
      </c>
      <c r="F1303" t="s">
        <v>683</v>
      </c>
      <c r="G1303" s="10" t="str">
        <f t="shared" si="67"/>
        <v>07-13</v>
      </c>
      <c r="H1303" s="1">
        <f>_xlfn.IFNA(VLOOKUP(Aragon!E1303,'Kilter Holds'!$P$36:$AB$370,10,0),0)</f>
        <v>0</v>
      </c>
      <c r="J1303" s="2">
        <f t="shared" si="65"/>
        <v>0</v>
      </c>
      <c r="K1303" s="2">
        <f t="shared" si="66"/>
        <v>0</v>
      </c>
    </row>
    <row r="1304" spans="5:11">
      <c r="E1304" t="s">
        <v>227</v>
      </c>
      <c r="F1304" t="s">
        <v>683</v>
      </c>
      <c r="G1304" s="11" t="str">
        <f t="shared" si="67"/>
        <v>11-25</v>
      </c>
      <c r="H1304" s="1">
        <f>_xlfn.IFNA(VLOOKUP(Aragon!E1304,'Kilter Holds'!$P$36:$AB$370,11,0),0)</f>
        <v>0</v>
      </c>
      <c r="J1304" s="2">
        <f t="shared" si="65"/>
        <v>0</v>
      </c>
      <c r="K1304" s="2">
        <f t="shared" si="66"/>
        <v>0</v>
      </c>
    </row>
    <row r="1305" spans="5:11">
      <c r="E1305" t="s">
        <v>227</v>
      </c>
      <c r="F1305" t="s">
        <v>683</v>
      </c>
      <c r="G1305" s="13" t="str">
        <f t="shared" si="67"/>
        <v>18-01</v>
      </c>
      <c r="H1305" s="1">
        <f>_xlfn.IFNA(VLOOKUP(Aragon!E1305,'Kilter Holds'!$P$36:$AB$370,12,0),0)</f>
        <v>0</v>
      </c>
      <c r="J1305" s="2">
        <f t="shared" si="65"/>
        <v>0</v>
      </c>
      <c r="K1305" s="2">
        <f t="shared" si="66"/>
        <v>0</v>
      </c>
    </row>
    <row r="1306" spans="5:11">
      <c r="E1306" t="s">
        <v>227</v>
      </c>
      <c r="F1306" t="s">
        <v>683</v>
      </c>
      <c r="G1306" s="12" t="str">
        <f t="shared" si="67"/>
        <v>12-01</v>
      </c>
      <c r="H1306" s="1">
        <f>_xlfn.IFNA(VLOOKUP(Aragon!E1306,'Kilter Holds'!$P$36:$AB$370,13,0),0)</f>
        <v>0</v>
      </c>
      <c r="J1306" s="2">
        <f t="shared" si="65"/>
        <v>0</v>
      </c>
      <c r="K1306" s="2">
        <f t="shared" si="66"/>
        <v>0</v>
      </c>
    </row>
    <row r="1307" spans="5:11">
      <c r="E1307" t="s">
        <v>224</v>
      </c>
      <c r="F1307" t="s">
        <v>684</v>
      </c>
      <c r="G1307" s="5" t="str">
        <f t="shared" si="67"/>
        <v>11-12</v>
      </c>
      <c r="H1307" s="1">
        <f>_xlfn.IFNA(VLOOKUP(Aragon!E1307,'Kilter Holds'!$P$36:$AB$370,5,0),0)</f>
        <v>0</v>
      </c>
      <c r="J1307" s="2">
        <f t="shared" si="65"/>
        <v>0</v>
      </c>
      <c r="K1307" s="2">
        <f t="shared" si="66"/>
        <v>0</v>
      </c>
    </row>
    <row r="1308" spans="5:11">
      <c r="E1308" t="s">
        <v>224</v>
      </c>
      <c r="F1308" t="s">
        <v>684</v>
      </c>
      <c r="G1308" s="6" t="str">
        <f t="shared" si="67"/>
        <v>14-01</v>
      </c>
      <c r="H1308" s="1">
        <f>_xlfn.IFNA(VLOOKUP(Aragon!E1308,'Kilter Holds'!$P$36:$AB$370,6,0),0)</f>
        <v>0</v>
      </c>
      <c r="J1308" s="2">
        <f t="shared" si="65"/>
        <v>0</v>
      </c>
      <c r="K1308" s="2">
        <f t="shared" si="66"/>
        <v>0</v>
      </c>
    </row>
    <row r="1309" spans="5:11">
      <c r="E1309" t="s">
        <v>224</v>
      </c>
      <c r="F1309" t="s">
        <v>684</v>
      </c>
      <c r="G1309" s="7" t="str">
        <f t="shared" si="67"/>
        <v>15-12</v>
      </c>
      <c r="H1309" s="1">
        <f>_xlfn.IFNA(VLOOKUP(Aragon!E1309,'Kilter Holds'!$P$36:$AB$370,7,0),0)</f>
        <v>0</v>
      </c>
      <c r="J1309" s="2">
        <f t="shared" si="65"/>
        <v>0</v>
      </c>
      <c r="K1309" s="2">
        <f t="shared" si="66"/>
        <v>0</v>
      </c>
    </row>
    <row r="1310" spans="5:11">
      <c r="E1310" t="s">
        <v>224</v>
      </c>
      <c r="F1310" t="s">
        <v>684</v>
      </c>
      <c r="G1310" s="8" t="str">
        <f t="shared" si="67"/>
        <v>16-16</v>
      </c>
      <c r="H1310" s="1">
        <f>_xlfn.IFNA(VLOOKUP(Aragon!E1310,'Kilter Holds'!$P$36:$AB$370,8,0),0)</f>
        <v>0</v>
      </c>
      <c r="J1310" s="2">
        <f t="shared" si="65"/>
        <v>0</v>
      </c>
      <c r="K1310" s="2">
        <f t="shared" si="66"/>
        <v>0</v>
      </c>
    </row>
    <row r="1311" spans="5:11">
      <c r="E1311" t="s">
        <v>224</v>
      </c>
      <c r="F1311" t="s">
        <v>684</v>
      </c>
      <c r="G1311" s="9" t="str">
        <f t="shared" si="67"/>
        <v>13-01</v>
      </c>
      <c r="H1311" s="1">
        <f>_xlfn.IFNA(VLOOKUP(Aragon!E1311,'Kilter Holds'!$P$36:$AB$370,9,0),0)</f>
        <v>0</v>
      </c>
      <c r="J1311" s="2">
        <f t="shared" si="65"/>
        <v>0</v>
      </c>
      <c r="K1311" s="2">
        <f t="shared" si="66"/>
        <v>0</v>
      </c>
    </row>
    <row r="1312" spans="5:11">
      <c r="E1312" t="s">
        <v>224</v>
      </c>
      <c r="F1312" t="s">
        <v>684</v>
      </c>
      <c r="G1312" s="10" t="str">
        <f t="shared" si="67"/>
        <v>07-13</v>
      </c>
      <c r="H1312" s="1">
        <f>_xlfn.IFNA(VLOOKUP(Aragon!E1312,'Kilter Holds'!$P$36:$AB$370,10,0),0)</f>
        <v>0</v>
      </c>
      <c r="J1312" s="2">
        <f t="shared" si="65"/>
        <v>0</v>
      </c>
      <c r="K1312" s="2">
        <f t="shared" si="66"/>
        <v>0</v>
      </c>
    </row>
    <row r="1313" spans="5:11">
      <c r="E1313" t="s">
        <v>224</v>
      </c>
      <c r="F1313" t="s">
        <v>684</v>
      </c>
      <c r="G1313" s="11" t="str">
        <f t="shared" si="67"/>
        <v>11-25</v>
      </c>
      <c r="H1313" s="1">
        <f>_xlfn.IFNA(VLOOKUP(Aragon!E1313,'Kilter Holds'!$P$36:$AB$370,11,0),0)</f>
        <v>0</v>
      </c>
      <c r="J1313" s="2">
        <f t="shared" si="65"/>
        <v>0</v>
      </c>
      <c r="K1313" s="2">
        <f t="shared" si="66"/>
        <v>0</v>
      </c>
    </row>
    <row r="1314" spans="5:11">
      <c r="E1314" t="s">
        <v>224</v>
      </c>
      <c r="F1314" t="s">
        <v>684</v>
      </c>
      <c r="G1314" s="13" t="str">
        <f t="shared" si="67"/>
        <v>18-01</v>
      </c>
      <c r="H1314" s="1">
        <f>_xlfn.IFNA(VLOOKUP(Aragon!E1314,'Kilter Holds'!$P$36:$AB$370,12,0),0)</f>
        <v>0</v>
      </c>
      <c r="J1314" s="2">
        <f t="shared" si="65"/>
        <v>0</v>
      </c>
      <c r="K1314" s="2">
        <f t="shared" si="66"/>
        <v>0</v>
      </c>
    </row>
    <row r="1315" spans="5:11">
      <c r="E1315" t="s">
        <v>224</v>
      </c>
      <c r="F1315" t="s">
        <v>684</v>
      </c>
      <c r="G1315" s="12" t="str">
        <f t="shared" si="67"/>
        <v>12-01</v>
      </c>
      <c r="H1315" s="1">
        <f>_xlfn.IFNA(VLOOKUP(Aragon!E1315,'Kilter Holds'!$P$36:$AB$370,13,0),0)</f>
        <v>0</v>
      </c>
      <c r="J1315" s="2">
        <f t="shared" si="65"/>
        <v>0</v>
      </c>
      <c r="K1315" s="2">
        <f t="shared" si="66"/>
        <v>0</v>
      </c>
    </row>
    <row r="1316" spans="5:11">
      <c r="E1316" t="s">
        <v>223</v>
      </c>
      <c r="F1316" t="s">
        <v>685</v>
      </c>
      <c r="G1316" s="5" t="str">
        <f t="shared" si="67"/>
        <v>11-12</v>
      </c>
      <c r="H1316" s="1">
        <f>_xlfn.IFNA(VLOOKUP(Aragon!E1316,'Kilter Holds'!$P$36:$AB$370,5,0),0)</f>
        <v>0</v>
      </c>
      <c r="J1316" s="2">
        <f t="shared" si="65"/>
        <v>0</v>
      </c>
      <c r="K1316" s="2">
        <f t="shared" si="66"/>
        <v>0</v>
      </c>
    </row>
    <row r="1317" spans="5:11">
      <c r="E1317" t="s">
        <v>223</v>
      </c>
      <c r="F1317" t="s">
        <v>685</v>
      </c>
      <c r="G1317" s="6" t="str">
        <f t="shared" si="67"/>
        <v>14-01</v>
      </c>
      <c r="H1317" s="1">
        <f>_xlfn.IFNA(VLOOKUP(Aragon!E1317,'Kilter Holds'!$P$36:$AB$370,6,0),0)</f>
        <v>0</v>
      </c>
      <c r="J1317" s="2">
        <f t="shared" si="65"/>
        <v>0</v>
      </c>
      <c r="K1317" s="2">
        <f t="shared" si="66"/>
        <v>0</v>
      </c>
    </row>
    <row r="1318" spans="5:11">
      <c r="E1318" t="s">
        <v>223</v>
      </c>
      <c r="F1318" t="s">
        <v>685</v>
      </c>
      <c r="G1318" s="7" t="str">
        <f t="shared" si="67"/>
        <v>15-12</v>
      </c>
      <c r="H1318" s="1">
        <f>_xlfn.IFNA(VLOOKUP(Aragon!E1318,'Kilter Holds'!$P$36:$AB$370,7,0),0)</f>
        <v>0</v>
      </c>
      <c r="J1318" s="2">
        <f t="shared" si="65"/>
        <v>0</v>
      </c>
      <c r="K1318" s="2">
        <f t="shared" si="66"/>
        <v>0</v>
      </c>
    </row>
    <row r="1319" spans="5:11">
      <c r="E1319" t="s">
        <v>223</v>
      </c>
      <c r="F1319" t="s">
        <v>685</v>
      </c>
      <c r="G1319" s="8" t="str">
        <f t="shared" si="67"/>
        <v>16-16</v>
      </c>
      <c r="H1319" s="1">
        <f>_xlfn.IFNA(VLOOKUP(Aragon!E1319,'Kilter Holds'!$P$36:$AB$370,8,0),0)</f>
        <v>0</v>
      </c>
      <c r="J1319" s="2">
        <f t="shared" si="65"/>
        <v>0</v>
      </c>
      <c r="K1319" s="2">
        <f t="shared" si="66"/>
        <v>0</v>
      </c>
    </row>
    <row r="1320" spans="5:11">
      <c r="E1320" t="s">
        <v>223</v>
      </c>
      <c r="F1320" t="s">
        <v>685</v>
      </c>
      <c r="G1320" s="9" t="str">
        <f t="shared" si="67"/>
        <v>13-01</v>
      </c>
      <c r="H1320" s="1">
        <f>_xlfn.IFNA(VLOOKUP(Aragon!E1320,'Kilter Holds'!$P$36:$AB$370,9,0),0)</f>
        <v>0</v>
      </c>
      <c r="J1320" s="2">
        <f t="shared" si="65"/>
        <v>0</v>
      </c>
      <c r="K1320" s="2">
        <f t="shared" si="66"/>
        <v>0</v>
      </c>
    </row>
    <row r="1321" spans="5:11">
      <c r="E1321" t="s">
        <v>223</v>
      </c>
      <c r="F1321" t="s">
        <v>685</v>
      </c>
      <c r="G1321" s="10" t="str">
        <f t="shared" si="67"/>
        <v>07-13</v>
      </c>
      <c r="H1321" s="1">
        <f>_xlfn.IFNA(VLOOKUP(Aragon!E1321,'Kilter Holds'!$P$36:$AB$370,10,0),0)</f>
        <v>0</v>
      </c>
      <c r="J1321" s="2">
        <f t="shared" si="65"/>
        <v>0</v>
      </c>
      <c r="K1321" s="2">
        <f t="shared" si="66"/>
        <v>0</v>
      </c>
    </row>
    <row r="1322" spans="5:11">
      <c r="E1322" t="s">
        <v>223</v>
      </c>
      <c r="F1322" t="s">
        <v>685</v>
      </c>
      <c r="G1322" s="11" t="str">
        <f t="shared" si="67"/>
        <v>11-25</v>
      </c>
      <c r="H1322" s="1">
        <f>_xlfn.IFNA(VLOOKUP(Aragon!E1322,'Kilter Holds'!$P$36:$AB$370,11,0),0)</f>
        <v>0</v>
      </c>
      <c r="J1322" s="2">
        <f t="shared" si="65"/>
        <v>0</v>
      </c>
      <c r="K1322" s="2">
        <f t="shared" si="66"/>
        <v>0</v>
      </c>
    </row>
    <row r="1323" spans="5:11">
      <c r="E1323" t="s">
        <v>223</v>
      </c>
      <c r="F1323" t="s">
        <v>685</v>
      </c>
      <c r="G1323" s="13" t="str">
        <f t="shared" si="67"/>
        <v>18-01</v>
      </c>
      <c r="H1323" s="1">
        <f>_xlfn.IFNA(VLOOKUP(Aragon!E1323,'Kilter Holds'!$P$36:$AB$370,12,0),0)</f>
        <v>0</v>
      </c>
      <c r="J1323" s="2">
        <f t="shared" si="65"/>
        <v>0</v>
      </c>
      <c r="K1323" s="2">
        <f t="shared" si="66"/>
        <v>0</v>
      </c>
    </row>
    <row r="1324" spans="5:11">
      <c r="E1324" t="s">
        <v>223</v>
      </c>
      <c r="F1324" t="s">
        <v>685</v>
      </c>
      <c r="G1324" s="12" t="str">
        <f t="shared" si="67"/>
        <v>12-01</v>
      </c>
      <c r="H1324" s="1">
        <f>_xlfn.IFNA(VLOOKUP(Aragon!E1324,'Kilter Holds'!$P$36:$AB$370,13,0),0)</f>
        <v>0</v>
      </c>
      <c r="J1324" s="2">
        <f t="shared" si="65"/>
        <v>0</v>
      </c>
      <c r="K1324" s="2">
        <f t="shared" si="66"/>
        <v>0</v>
      </c>
    </row>
    <row r="1325" spans="5:11">
      <c r="E1325" t="s">
        <v>296</v>
      </c>
      <c r="F1325" t="s">
        <v>686</v>
      </c>
      <c r="G1325" s="5" t="str">
        <f t="shared" si="67"/>
        <v>11-12</v>
      </c>
      <c r="H1325" s="1">
        <f>_xlfn.IFNA(VLOOKUP(Aragon!E1325,'Kilter Holds'!$P$36:$AB$370,5,0),0)</f>
        <v>0</v>
      </c>
      <c r="J1325" s="2">
        <f t="shared" si="65"/>
        <v>0</v>
      </c>
      <c r="K1325" s="2">
        <f t="shared" si="66"/>
        <v>0</v>
      </c>
    </row>
    <row r="1326" spans="5:11">
      <c r="E1326" t="s">
        <v>296</v>
      </c>
      <c r="F1326" t="s">
        <v>686</v>
      </c>
      <c r="G1326" s="6" t="str">
        <f t="shared" si="67"/>
        <v>14-01</v>
      </c>
      <c r="H1326" s="1">
        <f>_xlfn.IFNA(VLOOKUP(Aragon!E1326,'Kilter Holds'!$P$36:$AB$370,6,0),0)</f>
        <v>0</v>
      </c>
      <c r="J1326" s="2">
        <f t="shared" si="65"/>
        <v>0</v>
      </c>
      <c r="K1326" s="2">
        <f t="shared" si="66"/>
        <v>0</v>
      </c>
    </row>
    <row r="1327" spans="5:11">
      <c r="E1327" t="s">
        <v>296</v>
      </c>
      <c r="F1327" t="s">
        <v>686</v>
      </c>
      <c r="G1327" s="7" t="str">
        <f t="shared" si="67"/>
        <v>15-12</v>
      </c>
      <c r="H1327" s="1">
        <f>_xlfn.IFNA(VLOOKUP(Aragon!E1327,'Kilter Holds'!$P$36:$AB$370,7,0),0)</f>
        <v>0</v>
      </c>
      <c r="J1327" s="2">
        <f t="shared" si="65"/>
        <v>0</v>
      </c>
      <c r="K1327" s="2">
        <f t="shared" si="66"/>
        <v>0</v>
      </c>
    </row>
    <row r="1328" spans="5:11">
      <c r="E1328" t="s">
        <v>296</v>
      </c>
      <c r="F1328" t="s">
        <v>686</v>
      </c>
      <c r="G1328" s="8" t="str">
        <f t="shared" si="67"/>
        <v>16-16</v>
      </c>
      <c r="H1328" s="1">
        <f>_xlfn.IFNA(VLOOKUP(Aragon!E1328,'Kilter Holds'!$P$36:$AB$370,8,0),0)</f>
        <v>0</v>
      </c>
      <c r="J1328" s="2">
        <f t="shared" si="65"/>
        <v>0</v>
      </c>
      <c r="K1328" s="2">
        <f t="shared" si="66"/>
        <v>0</v>
      </c>
    </row>
    <row r="1329" spans="5:11">
      <c r="E1329" t="s">
        <v>296</v>
      </c>
      <c r="F1329" t="s">
        <v>686</v>
      </c>
      <c r="G1329" s="9" t="str">
        <f t="shared" si="67"/>
        <v>13-01</v>
      </c>
      <c r="H1329" s="1">
        <f>_xlfn.IFNA(VLOOKUP(Aragon!E1329,'Kilter Holds'!$P$36:$AB$370,9,0),0)</f>
        <v>0</v>
      </c>
      <c r="J1329" s="2">
        <f t="shared" si="65"/>
        <v>0</v>
      </c>
      <c r="K1329" s="2">
        <f t="shared" si="66"/>
        <v>0</v>
      </c>
    </row>
    <row r="1330" spans="5:11">
      <c r="E1330" t="s">
        <v>296</v>
      </c>
      <c r="F1330" t="s">
        <v>686</v>
      </c>
      <c r="G1330" s="10" t="str">
        <f t="shared" si="67"/>
        <v>07-13</v>
      </c>
      <c r="H1330" s="1">
        <f>_xlfn.IFNA(VLOOKUP(Aragon!E1330,'Kilter Holds'!$P$36:$AB$370,10,0),0)</f>
        <v>0</v>
      </c>
      <c r="J1330" s="2">
        <f t="shared" si="65"/>
        <v>0</v>
      </c>
      <c r="K1330" s="2">
        <f t="shared" si="66"/>
        <v>0</v>
      </c>
    </row>
    <row r="1331" spans="5:11">
      <c r="E1331" t="s">
        <v>296</v>
      </c>
      <c r="F1331" t="s">
        <v>686</v>
      </c>
      <c r="G1331" s="11" t="str">
        <f t="shared" si="67"/>
        <v>11-25</v>
      </c>
      <c r="H1331" s="1">
        <f>_xlfn.IFNA(VLOOKUP(Aragon!E1331,'Kilter Holds'!$P$36:$AB$370,11,0),0)</f>
        <v>0</v>
      </c>
      <c r="J1331" s="2">
        <f t="shared" si="65"/>
        <v>0</v>
      </c>
      <c r="K1331" s="2">
        <f t="shared" si="66"/>
        <v>0</v>
      </c>
    </row>
    <row r="1332" spans="5:11">
      <c r="E1332" t="s">
        <v>296</v>
      </c>
      <c r="F1332" t="s">
        <v>686</v>
      </c>
      <c r="G1332" s="13" t="str">
        <f t="shared" si="67"/>
        <v>18-01</v>
      </c>
      <c r="H1332" s="1">
        <f>_xlfn.IFNA(VLOOKUP(Aragon!E1332,'Kilter Holds'!$P$36:$AB$370,12,0),0)</f>
        <v>0</v>
      </c>
      <c r="J1332" s="2">
        <f t="shared" si="65"/>
        <v>0</v>
      </c>
      <c r="K1332" s="2">
        <f t="shared" si="66"/>
        <v>0</v>
      </c>
    </row>
    <row r="1333" spans="5:11">
      <c r="E1333" t="s">
        <v>296</v>
      </c>
      <c r="F1333" t="s">
        <v>686</v>
      </c>
      <c r="G1333" s="12" t="str">
        <f t="shared" si="67"/>
        <v>12-01</v>
      </c>
      <c r="H1333" s="1">
        <f>_xlfn.IFNA(VLOOKUP(Aragon!E1333,'Kilter Holds'!$P$36:$AB$370,13,0),0)</f>
        <v>0</v>
      </c>
      <c r="J1333" s="2">
        <f t="shared" si="65"/>
        <v>0</v>
      </c>
      <c r="K1333" s="2">
        <f t="shared" si="66"/>
        <v>0</v>
      </c>
    </row>
    <row r="1334" spans="5:11">
      <c r="E1334" t="s">
        <v>884</v>
      </c>
      <c r="F1334" t="s">
        <v>906</v>
      </c>
      <c r="G1334" s="5" t="str">
        <f t="shared" si="67"/>
        <v>11-12</v>
      </c>
      <c r="H1334" s="1">
        <f>_xlfn.IFNA(VLOOKUP(Aragon!E1334,'Kilter Holds'!$P$36:$AB$370,5,0),0)</f>
        <v>0</v>
      </c>
      <c r="J1334" s="2">
        <f t="shared" si="65"/>
        <v>0</v>
      </c>
      <c r="K1334" s="2">
        <f t="shared" si="66"/>
        <v>0</v>
      </c>
    </row>
    <row r="1335" spans="5:11">
      <c r="E1335" t="s">
        <v>884</v>
      </c>
      <c r="F1335" t="s">
        <v>906</v>
      </c>
      <c r="G1335" s="6" t="str">
        <f t="shared" si="67"/>
        <v>14-01</v>
      </c>
      <c r="H1335" s="1">
        <f>_xlfn.IFNA(VLOOKUP(Aragon!E1335,'Kilter Holds'!$P$36:$AB$370,6,0),0)</f>
        <v>0</v>
      </c>
      <c r="J1335" s="2">
        <f t="shared" si="65"/>
        <v>0</v>
      </c>
      <c r="K1335" s="2">
        <f t="shared" si="66"/>
        <v>0</v>
      </c>
    </row>
    <row r="1336" spans="5:11">
      <c r="E1336" t="s">
        <v>884</v>
      </c>
      <c r="F1336" t="s">
        <v>906</v>
      </c>
      <c r="G1336" s="7" t="str">
        <f t="shared" si="67"/>
        <v>15-12</v>
      </c>
      <c r="H1336" s="1">
        <f>_xlfn.IFNA(VLOOKUP(Aragon!E1336,'Kilter Holds'!$P$36:$AB$370,7,0),0)</f>
        <v>0</v>
      </c>
      <c r="J1336" s="2">
        <f t="shared" si="65"/>
        <v>0</v>
      </c>
      <c r="K1336" s="2">
        <f t="shared" si="66"/>
        <v>0</v>
      </c>
    </row>
    <row r="1337" spans="5:11">
      <c r="E1337" t="s">
        <v>884</v>
      </c>
      <c r="F1337" t="s">
        <v>906</v>
      </c>
      <c r="G1337" s="8" t="str">
        <f t="shared" si="67"/>
        <v>16-16</v>
      </c>
      <c r="H1337" s="1">
        <f>_xlfn.IFNA(VLOOKUP(Aragon!E1337,'Kilter Holds'!$P$36:$AB$370,8,0),0)</f>
        <v>0</v>
      </c>
      <c r="J1337" s="2">
        <f t="shared" si="65"/>
        <v>0</v>
      </c>
      <c r="K1337" s="2">
        <f t="shared" si="66"/>
        <v>0</v>
      </c>
    </row>
    <row r="1338" spans="5:11">
      <c r="E1338" t="s">
        <v>884</v>
      </c>
      <c r="F1338" t="s">
        <v>906</v>
      </c>
      <c r="G1338" s="9" t="str">
        <f t="shared" si="67"/>
        <v>13-01</v>
      </c>
      <c r="H1338" s="1">
        <f>_xlfn.IFNA(VLOOKUP(Aragon!E1338,'Kilter Holds'!$P$36:$AB$370,9,0),0)</f>
        <v>0</v>
      </c>
      <c r="J1338" s="2">
        <f t="shared" ref="J1338:J1401" si="68">H1338*I1338</f>
        <v>0</v>
      </c>
      <c r="K1338" s="2">
        <f t="shared" si="66"/>
        <v>0</v>
      </c>
    </row>
    <row r="1339" spans="5:11">
      <c r="E1339" t="s">
        <v>884</v>
      </c>
      <c r="F1339" t="s">
        <v>906</v>
      </c>
      <c r="G1339" s="10" t="str">
        <f t="shared" si="67"/>
        <v>07-13</v>
      </c>
      <c r="H1339" s="1">
        <f>_xlfn.IFNA(VLOOKUP(Aragon!E1339,'Kilter Holds'!$P$36:$AB$370,10,0),0)</f>
        <v>0</v>
      </c>
      <c r="J1339" s="2">
        <f t="shared" si="68"/>
        <v>0</v>
      </c>
      <c r="K1339" s="2">
        <f t="shared" si="66"/>
        <v>0</v>
      </c>
    </row>
    <row r="1340" spans="5:11">
      <c r="E1340" t="s">
        <v>884</v>
      </c>
      <c r="F1340" t="s">
        <v>906</v>
      </c>
      <c r="G1340" s="11" t="str">
        <f t="shared" si="67"/>
        <v>11-25</v>
      </c>
      <c r="H1340" s="1">
        <f>_xlfn.IFNA(VLOOKUP(Aragon!E1340,'Kilter Holds'!$P$36:$AB$370,11,0),0)</f>
        <v>0</v>
      </c>
      <c r="J1340" s="2">
        <f t="shared" si="68"/>
        <v>0</v>
      </c>
      <c r="K1340" s="2">
        <f t="shared" si="66"/>
        <v>0</v>
      </c>
    </row>
    <row r="1341" spans="5:11">
      <c r="E1341" t="s">
        <v>884</v>
      </c>
      <c r="F1341" t="s">
        <v>906</v>
      </c>
      <c r="G1341" s="13" t="str">
        <f t="shared" si="67"/>
        <v>18-01</v>
      </c>
      <c r="H1341" s="1">
        <f>_xlfn.IFNA(VLOOKUP(Aragon!E1341,'Kilter Holds'!$P$36:$AB$370,12,0),0)</f>
        <v>0</v>
      </c>
      <c r="J1341" s="2">
        <f t="shared" si="68"/>
        <v>0</v>
      </c>
      <c r="K1341" s="2">
        <f t="shared" si="66"/>
        <v>0</v>
      </c>
    </row>
    <row r="1342" spans="5:11">
      <c r="E1342" t="s">
        <v>884</v>
      </c>
      <c r="F1342" t="s">
        <v>906</v>
      </c>
      <c r="G1342" s="12" t="str">
        <f t="shared" si="67"/>
        <v>12-01</v>
      </c>
      <c r="H1342" s="1">
        <f>_xlfn.IFNA(VLOOKUP(Aragon!E1342,'Kilter Holds'!$P$36:$AB$370,13,0),0)</f>
        <v>0</v>
      </c>
      <c r="J1342" s="2">
        <f t="shared" si="68"/>
        <v>0</v>
      </c>
      <c r="K1342" s="2">
        <f t="shared" si="66"/>
        <v>0</v>
      </c>
    </row>
    <row r="1343" spans="5:11">
      <c r="E1343" t="s">
        <v>215</v>
      </c>
      <c r="F1343" t="s">
        <v>687</v>
      </c>
      <c r="G1343" s="5" t="str">
        <f t="shared" si="67"/>
        <v>11-12</v>
      </c>
      <c r="H1343" s="1">
        <f>_xlfn.IFNA(VLOOKUP(Aragon!E1343,'Kilter Holds'!$P$36:$AB$370,5,0),0)</f>
        <v>0</v>
      </c>
      <c r="J1343" s="2">
        <f t="shared" si="68"/>
        <v>0</v>
      </c>
      <c r="K1343" s="2">
        <f t="shared" si="66"/>
        <v>0</v>
      </c>
    </row>
    <row r="1344" spans="5:11">
      <c r="E1344" t="s">
        <v>215</v>
      </c>
      <c r="F1344" t="s">
        <v>687</v>
      </c>
      <c r="G1344" s="6" t="str">
        <f t="shared" si="67"/>
        <v>14-01</v>
      </c>
      <c r="H1344" s="1">
        <f>_xlfn.IFNA(VLOOKUP(Aragon!E1344,'Kilter Holds'!$P$36:$AB$370,6,0),0)</f>
        <v>0</v>
      </c>
      <c r="J1344" s="2">
        <f t="shared" si="68"/>
        <v>0</v>
      </c>
      <c r="K1344" s="2">
        <f t="shared" si="66"/>
        <v>0</v>
      </c>
    </row>
    <row r="1345" spans="5:11">
      <c r="E1345" t="s">
        <v>215</v>
      </c>
      <c r="F1345" t="s">
        <v>687</v>
      </c>
      <c r="G1345" s="7" t="str">
        <f t="shared" si="67"/>
        <v>15-12</v>
      </c>
      <c r="H1345" s="1">
        <f>_xlfn.IFNA(VLOOKUP(Aragon!E1345,'Kilter Holds'!$P$36:$AB$370,7,0),0)</f>
        <v>0</v>
      </c>
      <c r="J1345" s="2">
        <f t="shared" si="68"/>
        <v>0</v>
      </c>
      <c r="K1345" s="2">
        <f t="shared" si="66"/>
        <v>0</v>
      </c>
    </row>
    <row r="1346" spans="5:11">
      <c r="E1346" t="s">
        <v>215</v>
      </c>
      <c r="F1346" t="s">
        <v>687</v>
      </c>
      <c r="G1346" s="8" t="str">
        <f t="shared" si="67"/>
        <v>16-16</v>
      </c>
      <c r="H1346" s="1">
        <f>_xlfn.IFNA(VLOOKUP(Aragon!E1346,'Kilter Holds'!$P$36:$AB$370,8,0),0)</f>
        <v>0</v>
      </c>
      <c r="J1346" s="2">
        <f t="shared" si="68"/>
        <v>0</v>
      </c>
      <c r="K1346" s="2">
        <f t="shared" si="66"/>
        <v>0</v>
      </c>
    </row>
    <row r="1347" spans="5:11">
      <c r="E1347" t="s">
        <v>215</v>
      </c>
      <c r="F1347" t="s">
        <v>687</v>
      </c>
      <c r="G1347" s="9" t="str">
        <f t="shared" si="67"/>
        <v>13-01</v>
      </c>
      <c r="H1347" s="1">
        <f>_xlfn.IFNA(VLOOKUP(Aragon!E1347,'Kilter Holds'!$P$36:$AB$370,9,0),0)</f>
        <v>0</v>
      </c>
      <c r="J1347" s="2">
        <f t="shared" si="68"/>
        <v>0</v>
      </c>
      <c r="K1347" s="2">
        <f t="shared" si="66"/>
        <v>0</v>
      </c>
    </row>
    <row r="1348" spans="5:11">
      <c r="E1348" t="s">
        <v>215</v>
      </c>
      <c r="F1348" t="s">
        <v>687</v>
      </c>
      <c r="G1348" s="10" t="str">
        <f t="shared" si="67"/>
        <v>07-13</v>
      </c>
      <c r="H1348" s="1">
        <f>_xlfn.IFNA(VLOOKUP(Aragon!E1348,'Kilter Holds'!$P$36:$AB$370,10,0),0)</f>
        <v>0</v>
      </c>
      <c r="J1348" s="2">
        <f t="shared" si="68"/>
        <v>0</v>
      </c>
      <c r="K1348" s="2">
        <f t="shared" si="66"/>
        <v>0</v>
      </c>
    </row>
    <row r="1349" spans="5:11">
      <c r="E1349" t="s">
        <v>215</v>
      </c>
      <c r="F1349" t="s">
        <v>687</v>
      </c>
      <c r="G1349" s="11" t="str">
        <f t="shared" si="67"/>
        <v>11-25</v>
      </c>
      <c r="H1349" s="1">
        <f>_xlfn.IFNA(VLOOKUP(Aragon!E1349,'Kilter Holds'!$P$36:$AB$370,11,0),0)</f>
        <v>0</v>
      </c>
      <c r="J1349" s="2">
        <f t="shared" si="68"/>
        <v>0</v>
      </c>
      <c r="K1349" s="2">
        <f t="shared" si="66"/>
        <v>0</v>
      </c>
    </row>
    <row r="1350" spans="5:11">
      <c r="E1350" t="s">
        <v>215</v>
      </c>
      <c r="F1350" t="s">
        <v>687</v>
      </c>
      <c r="G1350" s="13" t="str">
        <f t="shared" si="67"/>
        <v>18-01</v>
      </c>
      <c r="H1350" s="1">
        <f>_xlfn.IFNA(VLOOKUP(Aragon!E1350,'Kilter Holds'!$P$36:$AB$370,12,0),0)</f>
        <v>0</v>
      </c>
      <c r="J1350" s="2">
        <f t="shared" si="68"/>
        <v>0</v>
      </c>
      <c r="K1350" s="2">
        <f t="shared" si="66"/>
        <v>0</v>
      </c>
    </row>
    <row r="1351" spans="5:11">
      <c r="E1351" t="s">
        <v>215</v>
      </c>
      <c r="F1351" t="s">
        <v>687</v>
      </c>
      <c r="G1351" s="12" t="str">
        <f t="shared" si="67"/>
        <v>12-01</v>
      </c>
      <c r="H1351" s="1">
        <f>_xlfn.IFNA(VLOOKUP(Aragon!E1351,'Kilter Holds'!$P$36:$AB$370,13,0),0)</f>
        <v>0</v>
      </c>
      <c r="J1351" s="2">
        <f t="shared" si="68"/>
        <v>0</v>
      </c>
      <c r="K1351" s="2">
        <f t="shared" si="66"/>
        <v>0</v>
      </c>
    </row>
    <row r="1352" spans="5:11">
      <c r="E1352" t="s">
        <v>216</v>
      </c>
      <c r="F1352" t="s">
        <v>688</v>
      </c>
      <c r="G1352" s="5" t="str">
        <f t="shared" si="67"/>
        <v>11-12</v>
      </c>
      <c r="H1352" s="1">
        <f>_xlfn.IFNA(VLOOKUP(Aragon!E1352,'Kilter Holds'!$P$36:$AB$370,5,0),0)</f>
        <v>0</v>
      </c>
      <c r="J1352" s="2">
        <f t="shared" si="68"/>
        <v>0</v>
      </c>
      <c r="K1352" s="2">
        <f t="shared" si="66"/>
        <v>0</v>
      </c>
    </row>
    <row r="1353" spans="5:11">
      <c r="E1353" t="s">
        <v>216</v>
      </c>
      <c r="F1353" t="s">
        <v>688</v>
      </c>
      <c r="G1353" s="6" t="str">
        <f t="shared" si="67"/>
        <v>14-01</v>
      </c>
      <c r="H1353" s="1">
        <f>_xlfn.IFNA(VLOOKUP(Aragon!E1353,'Kilter Holds'!$P$36:$AB$370,6,0),0)</f>
        <v>0</v>
      </c>
      <c r="J1353" s="2">
        <f t="shared" si="68"/>
        <v>0</v>
      </c>
      <c r="K1353" s="2">
        <f t="shared" si="66"/>
        <v>0</v>
      </c>
    </row>
    <row r="1354" spans="5:11">
      <c r="E1354" t="s">
        <v>216</v>
      </c>
      <c r="F1354" t="s">
        <v>688</v>
      </c>
      <c r="G1354" s="7" t="str">
        <f t="shared" si="67"/>
        <v>15-12</v>
      </c>
      <c r="H1354" s="1">
        <f>_xlfn.IFNA(VLOOKUP(Aragon!E1354,'Kilter Holds'!$P$36:$AB$370,7,0),0)</f>
        <v>0</v>
      </c>
      <c r="J1354" s="2">
        <f t="shared" si="68"/>
        <v>0</v>
      </c>
      <c r="K1354" s="2">
        <f t="shared" si="66"/>
        <v>0</v>
      </c>
    </row>
    <row r="1355" spans="5:11">
      <c r="E1355" t="s">
        <v>216</v>
      </c>
      <c r="F1355" t="s">
        <v>688</v>
      </c>
      <c r="G1355" s="8" t="str">
        <f t="shared" si="67"/>
        <v>16-16</v>
      </c>
      <c r="H1355" s="1">
        <f>_xlfn.IFNA(VLOOKUP(Aragon!E1355,'Kilter Holds'!$P$36:$AB$370,8,0),0)</f>
        <v>0</v>
      </c>
      <c r="J1355" s="2">
        <f t="shared" si="68"/>
        <v>0</v>
      </c>
      <c r="K1355" s="2">
        <f t="shared" si="66"/>
        <v>0</v>
      </c>
    </row>
    <row r="1356" spans="5:11">
      <c r="E1356" t="s">
        <v>216</v>
      </c>
      <c r="F1356" t="s">
        <v>688</v>
      </c>
      <c r="G1356" s="9" t="str">
        <f t="shared" si="67"/>
        <v>13-01</v>
      </c>
      <c r="H1356" s="1">
        <f>_xlfn.IFNA(VLOOKUP(Aragon!E1356,'Kilter Holds'!$P$36:$AB$370,9,0),0)</f>
        <v>0</v>
      </c>
      <c r="J1356" s="2">
        <f t="shared" si="68"/>
        <v>0</v>
      </c>
      <c r="K1356" s="2">
        <f t="shared" ref="K1356:K1419" si="69">IF($V$11="Y",J1356*0.05,0)</f>
        <v>0</v>
      </c>
    </row>
    <row r="1357" spans="5:11">
      <c r="E1357" t="s">
        <v>216</v>
      </c>
      <c r="F1357" t="s">
        <v>688</v>
      </c>
      <c r="G1357" s="10" t="str">
        <f t="shared" ref="G1357:G1420" si="70">G1348</f>
        <v>07-13</v>
      </c>
      <c r="H1357" s="1">
        <f>_xlfn.IFNA(VLOOKUP(Aragon!E1357,'Kilter Holds'!$P$36:$AB$370,10,0),0)</f>
        <v>0</v>
      </c>
      <c r="J1357" s="2">
        <f t="shared" si="68"/>
        <v>0</v>
      </c>
      <c r="K1357" s="2">
        <f t="shared" si="69"/>
        <v>0</v>
      </c>
    </row>
    <row r="1358" spans="5:11">
      <c r="E1358" t="s">
        <v>216</v>
      </c>
      <c r="F1358" t="s">
        <v>688</v>
      </c>
      <c r="G1358" s="11" t="str">
        <f t="shared" si="70"/>
        <v>11-25</v>
      </c>
      <c r="H1358" s="1">
        <f>_xlfn.IFNA(VLOOKUP(Aragon!E1358,'Kilter Holds'!$P$36:$AB$370,11,0),0)</f>
        <v>0</v>
      </c>
      <c r="J1358" s="2">
        <f t="shared" si="68"/>
        <v>0</v>
      </c>
      <c r="K1358" s="2">
        <f t="shared" si="69"/>
        <v>0</v>
      </c>
    </row>
    <row r="1359" spans="5:11">
      <c r="E1359" t="s">
        <v>216</v>
      </c>
      <c r="F1359" t="s">
        <v>688</v>
      </c>
      <c r="G1359" s="13" t="str">
        <f t="shared" si="70"/>
        <v>18-01</v>
      </c>
      <c r="H1359" s="1">
        <f>_xlfn.IFNA(VLOOKUP(Aragon!E1359,'Kilter Holds'!$P$36:$AB$370,12,0),0)</f>
        <v>0</v>
      </c>
      <c r="J1359" s="2">
        <f t="shared" si="68"/>
        <v>0</v>
      </c>
      <c r="K1359" s="2">
        <f t="shared" si="69"/>
        <v>0</v>
      </c>
    </row>
    <row r="1360" spans="5:11">
      <c r="E1360" t="s">
        <v>216</v>
      </c>
      <c r="F1360" t="s">
        <v>688</v>
      </c>
      <c r="G1360" s="12" t="str">
        <f t="shared" si="70"/>
        <v>12-01</v>
      </c>
      <c r="H1360" s="1">
        <f>_xlfn.IFNA(VLOOKUP(Aragon!E1360,'Kilter Holds'!$P$36:$AB$370,13,0),0)</f>
        <v>0</v>
      </c>
      <c r="J1360" s="2">
        <f t="shared" si="68"/>
        <v>0</v>
      </c>
      <c r="K1360" s="2">
        <f t="shared" si="69"/>
        <v>0</v>
      </c>
    </row>
    <row r="1361" spans="5:11">
      <c r="E1361" t="s">
        <v>217</v>
      </c>
      <c r="F1361" t="s">
        <v>689</v>
      </c>
      <c r="G1361" s="5" t="str">
        <f t="shared" si="70"/>
        <v>11-12</v>
      </c>
      <c r="H1361" s="1">
        <f>_xlfn.IFNA(VLOOKUP(Aragon!E1361,'Kilter Holds'!$P$36:$AB$370,5,0),0)</f>
        <v>0</v>
      </c>
      <c r="J1361" s="2">
        <f t="shared" si="68"/>
        <v>0</v>
      </c>
      <c r="K1361" s="2">
        <f t="shared" si="69"/>
        <v>0</v>
      </c>
    </row>
    <row r="1362" spans="5:11">
      <c r="E1362" t="s">
        <v>217</v>
      </c>
      <c r="F1362" t="s">
        <v>689</v>
      </c>
      <c r="G1362" s="6" t="str">
        <f t="shared" si="70"/>
        <v>14-01</v>
      </c>
      <c r="H1362" s="1">
        <f>_xlfn.IFNA(VLOOKUP(Aragon!E1362,'Kilter Holds'!$P$36:$AB$370,6,0),0)</f>
        <v>0</v>
      </c>
      <c r="J1362" s="2">
        <f t="shared" si="68"/>
        <v>0</v>
      </c>
      <c r="K1362" s="2">
        <f t="shared" si="69"/>
        <v>0</v>
      </c>
    </row>
    <row r="1363" spans="5:11">
      <c r="E1363" t="s">
        <v>217</v>
      </c>
      <c r="F1363" t="s">
        <v>689</v>
      </c>
      <c r="G1363" s="7" t="str">
        <f t="shared" si="70"/>
        <v>15-12</v>
      </c>
      <c r="H1363" s="1">
        <f>_xlfn.IFNA(VLOOKUP(Aragon!E1363,'Kilter Holds'!$P$36:$AB$370,7,0),0)</f>
        <v>0</v>
      </c>
      <c r="J1363" s="2">
        <f t="shared" si="68"/>
        <v>0</v>
      </c>
      <c r="K1363" s="2">
        <f t="shared" si="69"/>
        <v>0</v>
      </c>
    </row>
    <row r="1364" spans="5:11">
      <c r="E1364" t="s">
        <v>217</v>
      </c>
      <c r="F1364" t="s">
        <v>689</v>
      </c>
      <c r="G1364" s="8" t="str">
        <f t="shared" si="70"/>
        <v>16-16</v>
      </c>
      <c r="H1364" s="1">
        <f>_xlfn.IFNA(VLOOKUP(Aragon!E1364,'Kilter Holds'!$P$36:$AB$370,8,0),0)</f>
        <v>0</v>
      </c>
      <c r="J1364" s="2">
        <f t="shared" si="68"/>
        <v>0</v>
      </c>
      <c r="K1364" s="2">
        <f t="shared" si="69"/>
        <v>0</v>
      </c>
    </row>
    <row r="1365" spans="5:11">
      <c r="E1365" t="s">
        <v>217</v>
      </c>
      <c r="F1365" t="s">
        <v>689</v>
      </c>
      <c r="G1365" s="9" t="str">
        <f t="shared" si="70"/>
        <v>13-01</v>
      </c>
      <c r="H1365" s="1">
        <f>_xlfn.IFNA(VLOOKUP(Aragon!E1365,'Kilter Holds'!$P$36:$AB$370,9,0),0)</f>
        <v>0</v>
      </c>
      <c r="J1365" s="2">
        <f t="shared" si="68"/>
        <v>0</v>
      </c>
      <c r="K1365" s="2">
        <f t="shared" si="69"/>
        <v>0</v>
      </c>
    </row>
    <row r="1366" spans="5:11">
      <c r="E1366" t="s">
        <v>217</v>
      </c>
      <c r="F1366" t="s">
        <v>689</v>
      </c>
      <c r="G1366" s="10" t="str">
        <f t="shared" si="70"/>
        <v>07-13</v>
      </c>
      <c r="H1366" s="1">
        <f>_xlfn.IFNA(VLOOKUP(Aragon!E1366,'Kilter Holds'!$P$36:$AB$370,10,0),0)</f>
        <v>0</v>
      </c>
      <c r="J1366" s="2">
        <f t="shared" si="68"/>
        <v>0</v>
      </c>
      <c r="K1366" s="2">
        <f t="shared" si="69"/>
        <v>0</v>
      </c>
    </row>
    <row r="1367" spans="5:11">
      <c r="E1367" t="s">
        <v>217</v>
      </c>
      <c r="F1367" t="s">
        <v>689</v>
      </c>
      <c r="G1367" s="11" t="str">
        <f t="shared" si="70"/>
        <v>11-25</v>
      </c>
      <c r="H1367" s="1">
        <f>_xlfn.IFNA(VLOOKUP(Aragon!E1367,'Kilter Holds'!$P$36:$AB$370,11,0),0)</f>
        <v>0</v>
      </c>
      <c r="J1367" s="2">
        <f t="shared" si="68"/>
        <v>0</v>
      </c>
      <c r="K1367" s="2">
        <f t="shared" si="69"/>
        <v>0</v>
      </c>
    </row>
    <row r="1368" spans="5:11">
      <c r="E1368" t="s">
        <v>217</v>
      </c>
      <c r="F1368" t="s">
        <v>689</v>
      </c>
      <c r="G1368" s="13" t="str">
        <f t="shared" si="70"/>
        <v>18-01</v>
      </c>
      <c r="H1368" s="1">
        <f>_xlfn.IFNA(VLOOKUP(Aragon!E1368,'Kilter Holds'!$P$36:$AB$370,12,0),0)</f>
        <v>0</v>
      </c>
      <c r="J1368" s="2">
        <f t="shared" si="68"/>
        <v>0</v>
      </c>
      <c r="K1368" s="2">
        <f t="shared" si="69"/>
        <v>0</v>
      </c>
    </row>
    <row r="1369" spans="5:11">
      <c r="E1369" t="s">
        <v>217</v>
      </c>
      <c r="F1369" t="s">
        <v>689</v>
      </c>
      <c r="G1369" s="12" t="str">
        <f t="shared" si="70"/>
        <v>12-01</v>
      </c>
      <c r="H1369" s="1">
        <f>_xlfn.IFNA(VLOOKUP(Aragon!E1369,'Kilter Holds'!$P$36:$AB$370,13,0),0)</f>
        <v>0</v>
      </c>
      <c r="J1369" s="2">
        <f t="shared" si="68"/>
        <v>0</v>
      </c>
      <c r="K1369" s="2">
        <f t="shared" si="69"/>
        <v>0</v>
      </c>
    </row>
    <row r="1370" spans="5:11">
      <c r="E1370" t="s">
        <v>225</v>
      </c>
      <c r="F1370" t="s">
        <v>690</v>
      </c>
      <c r="G1370" s="5" t="str">
        <f t="shared" si="70"/>
        <v>11-12</v>
      </c>
      <c r="H1370" s="1">
        <f>_xlfn.IFNA(VLOOKUP(Aragon!E1370,'Kilter Holds'!$P$36:$AB$370,5,0),0)</f>
        <v>0</v>
      </c>
      <c r="J1370" s="2">
        <f t="shared" si="68"/>
        <v>0</v>
      </c>
      <c r="K1370" s="2">
        <f t="shared" si="69"/>
        <v>0</v>
      </c>
    </row>
    <row r="1371" spans="5:11">
      <c r="E1371" t="s">
        <v>225</v>
      </c>
      <c r="F1371" t="s">
        <v>690</v>
      </c>
      <c r="G1371" s="6" t="str">
        <f t="shared" si="70"/>
        <v>14-01</v>
      </c>
      <c r="H1371" s="1">
        <f>_xlfn.IFNA(VLOOKUP(Aragon!E1371,'Kilter Holds'!$P$36:$AB$370,6,0),0)</f>
        <v>0</v>
      </c>
      <c r="J1371" s="2">
        <f t="shared" si="68"/>
        <v>0</v>
      </c>
      <c r="K1371" s="2">
        <f t="shared" si="69"/>
        <v>0</v>
      </c>
    </row>
    <row r="1372" spans="5:11">
      <c r="E1372" t="s">
        <v>225</v>
      </c>
      <c r="F1372" t="s">
        <v>690</v>
      </c>
      <c r="G1372" s="7" t="str">
        <f t="shared" si="70"/>
        <v>15-12</v>
      </c>
      <c r="H1372" s="1">
        <f>_xlfn.IFNA(VLOOKUP(Aragon!E1372,'Kilter Holds'!$P$36:$AB$370,7,0),0)</f>
        <v>0</v>
      </c>
      <c r="J1372" s="2">
        <f t="shared" si="68"/>
        <v>0</v>
      </c>
      <c r="K1372" s="2">
        <f t="shared" si="69"/>
        <v>0</v>
      </c>
    </row>
    <row r="1373" spans="5:11">
      <c r="E1373" t="s">
        <v>225</v>
      </c>
      <c r="F1373" t="s">
        <v>690</v>
      </c>
      <c r="G1373" s="8" t="str">
        <f t="shared" si="70"/>
        <v>16-16</v>
      </c>
      <c r="H1373" s="1">
        <f>_xlfn.IFNA(VLOOKUP(Aragon!E1373,'Kilter Holds'!$P$36:$AB$370,8,0),0)</f>
        <v>0</v>
      </c>
      <c r="J1373" s="2">
        <f t="shared" si="68"/>
        <v>0</v>
      </c>
      <c r="K1373" s="2">
        <f t="shared" si="69"/>
        <v>0</v>
      </c>
    </row>
    <row r="1374" spans="5:11">
      <c r="E1374" t="s">
        <v>225</v>
      </c>
      <c r="F1374" t="s">
        <v>690</v>
      </c>
      <c r="G1374" s="9" t="str">
        <f t="shared" si="70"/>
        <v>13-01</v>
      </c>
      <c r="H1374" s="1">
        <f>_xlfn.IFNA(VLOOKUP(Aragon!E1374,'Kilter Holds'!$P$36:$AB$370,9,0),0)</f>
        <v>0</v>
      </c>
      <c r="J1374" s="2">
        <f t="shared" si="68"/>
        <v>0</v>
      </c>
      <c r="K1374" s="2">
        <f t="shared" si="69"/>
        <v>0</v>
      </c>
    </row>
    <row r="1375" spans="5:11">
      <c r="E1375" t="s">
        <v>225</v>
      </c>
      <c r="F1375" t="s">
        <v>690</v>
      </c>
      <c r="G1375" s="10" t="str">
        <f t="shared" si="70"/>
        <v>07-13</v>
      </c>
      <c r="H1375" s="1">
        <f>_xlfn.IFNA(VLOOKUP(Aragon!E1375,'Kilter Holds'!$P$36:$AB$370,10,0),0)</f>
        <v>0</v>
      </c>
      <c r="J1375" s="2">
        <f t="shared" si="68"/>
        <v>0</v>
      </c>
      <c r="K1375" s="2">
        <f t="shared" si="69"/>
        <v>0</v>
      </c>
    </row>
    <row r="1376" spans="5:11">
      <c r="E1376" t="s">
        <v>225</v>
      </c>
      <c r="F1376" t="s">
        <v>690</v>
      </c>
      <c r="G1376" s="11" t="str">
        <f t="shared" si="70"/>
        <v>11-25</v>
      </c>
      <c r="H1376" s="1">
        <f>_xlfn.IFNA(VLOOKUP(Aragon!E1376,'Kilter Holds'!$P$36:$AB$370,11,0),0)</f>
        <v>0</v>
      </c>
      <c r="J1376" s="2">
        <f t="shared" si="68"/>
        <v>0</v>
      </c>
      <c r="K1376" s="2">
        <f t="shared" si="69"/>
        <v>0</v>
      </c>
    </row>
    <row r="1377" spans="5:11">
      <c r="E1377" t="s">
        <v>225</v>
      </c>
      <c r="F1377" t="s">
        <v>690</v>
      </c>
      <c r="G1377" s="13" t="str">
        <f t="shared" si="70"/>
        <v>18-01</v>
      </c>
      <c r="H1377" s="1">
        <f>_xlfn.IFNA(VLOOKUP(Aragon!E1377,'Kilter Holds'!$P$36:$AB$370,12,0),0)</f>
        <v>0</v>
      </c>
      <c r="J1377" s="2">
        <f t="shared" si="68"/>
        <v>0</v>
      </c>
      <c r="K1377" s="2">
        <f t="shared" si="69"/>
        <v>0</v>
      </c>
    </row>
    <row r="1378" spans="5:11">
      <c r="E1378" t="s">
        <v>225</v>
      </c>
      <c r="F1378" t="s">
        <v>690</v>
      </c>
      <c r="G1378" s="12" t="str">
        <f t="shared" si="70"/>
        <v>12-01</v>
      </c>
      <c r="H1378" s="1">
        <f>_xlfn.IFNA(VLOOKUP(Aragon!E1378,'Kilter Holds'!$P$36:$AB$370,13,0),0)</f>
        <v>0</v>
      </c>
      <c r="J1378" s="2">
        <f t="shared" si="68"/>
        <v>0</v>
      </c>
      <c r="K1378" s="2">
        <f t="shared" si="69"/>
        <v>0</v>
      </c>
    </row>
    <row r="1379" spans="5:11">
      <c r="E1379" t="s">
        <v>222</v>
      </c>
      <c r="F1379" t="s">
        <v>691</v>
      </c>
      <c r="G1379" s="5" t="str">
        <f t="shared" si="70"/>
        <v>11-12</v>
      </c>
      <c r="H1379" s="1">
        <f>_xlfn.IFNA(VLOOKUP(Aragon!E1379,'Kilter Holds'!$P$36:$AB$370,5,0),0)</f>
        <v>0</v>
      </c>
      <c r="J1379" s="2">
        <f t="shared" si="68"/>
        <v>0</v>
      </c>
      <c r="K1379" s="2">
        <f t="shared" si="69"/>
        <v>0</v>
      </c>
    </row>
    <row r="1380" spans="5:11">
      <c r="E1380" t="s">
        <v>222</v>
      </c>
      <c r="F1380" t="s">
        <v>691</v>
      </c>
      <c r="G1380" s="6" t="str">
        <f t="shared" si="70"/>
        <v>14-01</v>
      </c>
      <c r="H1380" s="1">
        <f>_xlfn.IFNA(VLOOKUP(Aragon!E1380,'Kilter Holds'!$P$36:$AB$370,6,0),0)</f>
        <v>0</v>
      </c>
      <c r="J1380" s="2">
        <f t="shared" si="68"/>
        <v>0</v>
      </c>
      <c r="K1380" s="2">
        <f t="shared" si="69"/>
        <v>0</v>
      </c>
    </row>
    <row r="1381" spans="5:11">
      <c r="E1381" t="s">
        <v>222</v>
      </c>
      <c r="F1381" t="s">
        <v>691</v>
      </c>
      <c r="G1381" s="7" t="str">
        <f t="shared" si="70"/>
        <v>15-12</v>
      </c>
      <c r="H1381" s="1">
        <f>_xlfn.IFNA(VLOOKUP(Aragon!E1381,'Kilter Holds'!$P$36:$AB$370,7,0),0)</f>
        <v>0</v>
      </c>
      <c r="J1381" s="2">
        <f t="shared" si="68"/>
        <v>0</v>
      </c>
      <c r="K1381" s="2">
        <f t="shared" si="69"/>
        <v>0</v>
      </c>
    </row>
    <row r="1382" spans="5:11">
      <c r="E1382" t="s">
        <v>222</v>
      </c>
      <c r="F1382" t="s">
        <v>691</v>
      </c>
      <c r="G1382" s="8" t="str">
        <f t="shared" si="70"/>
        <v>16-16</v>
      </c>
      <c r="H1382" s="1">
        <f>_xlfn.IFNA(VLOOKUP(Aragon!E1382,'Kilter Holds'!$P$36:$AB$370,8,0),0)</f>
        <v>0</v>
      </c>
      <c r="J1382" s="2">
        <f t="shared" si="68"/>
        <v>0</v>
      </c>
      <c r="K1382" s="2">
        <f t="shared" si="69"/>
        <v>0</v>
      </c>
    </row>
    <row r="1383" spans="5:11">
      <c r="E1383" t="s">
        <v>222</v>
      </c>
      <c r="F1383" t="s">
        <v>691</v>
      </c>
      <c r="G1383" s="9" t="str">
        <f t="shared" si="70"/>
        <v>13-01</v>
      </c>
      <c r="H1383" s="1">
        <f>_xlfn.IFNA(VLOOKUP(Aragon!E1383,'Kilter Holds'!$P$36:$AB$370,9,0),0)</f>
        <v>0</v>
      </c>
      <c r="J1383" s="2">
        <f t="shared" si="68"/>
        <v>0</v>
      </c>
      <c r="K1383" s="2">
        <f t="shared" si="69"/>
        <v>0</v>
      </c>
    </row>
    <row r="1384" spans="5:11">
      <c r="E1384" t="s">
        <v>222</v>
      </c>
      <c r="F1384" t="s">
        <v>691</v>
      </c>
      <c r="G1384" s="10" t="str">
        <f t="shared" si="70"/>
        <v>07-13</v>
      </c>
      <c r="H1384" s="1">
        <f>_xlfn.IFNA(VLOOKUP(Aragon!E1384,'Kilter Holds'!$P$36:$AB$370,10,0),0)</f>
        <v>0</v>
      </c>
      <c r="J1384" s="2">
        <f t="shared" si="68"/>
        <v>0</v>
      </c>
      <c r="K1384" s="2">
        <f t="shared" si="69"/>
        <v>0</v>
      </c>
    </row>
    <row r="1385" spans="5:11">
      <c r="E1385" t="s">
        <v>222</v>
      </c>
      <c r="F1385" t="s">
        <v>691</v>
      </c>
      <c r="G1385" s="11" t="str">
        <f t="shared" si="70"/>
        <v>11-25</v>
      </c>
      <c r="H1385" s="1">
        <f>_xlfn.IFNA(VLOOKUP(Aragon!E1385,'Kilter Holds'!$P$36:$AB$370,11,0),0)</f>
        <v>0</v>
      </c>
      <c r="J1385" s="2">
        <f t="shared" si="68"/>
        <v>0</v>
      </c>
      <c r="K1385" s="2">
        <f t="shared" si="69"/>
        <v>0</v>
      </c>
    </row>
    <row r="1386" spans="5:11">
      <c r="E1386" t="s">
        <v>222</v>
      </c>
      <c r="F1386" t="s">
        <v>691</v>
      </c>
      <c r="G1386" s="13" t="str">
        <f t="shared" si="70"/>
        <v>18-01</v>
      </c>
      <c r="H1386" s="1">
        <f>_xlfn.IFNA(VLOOKUP(Aragon!E1386,'Kilter Holds'!$P$36:$AB$370,12,0),0)</f>
        <v>0</v>
      </c>
      <c r="J1386" s="2">
        <f t="shared" si="68"/>
        <v>0</v>
      </c>
      <c r="K1386" s="2">
        <f t="shared" si="69"/>
        <v>0</v>
      </c>
    </row>
    <row r="1387" spans="5:11">
      <c r="E1387" t="s">
        <v>222</v>
      </c>
      <c r="F1387" t="s">
        <v>691</v>
      </c>
      <c r="G1387" s="12" t="str">
        <f t="shared" si="70"/>
        <v>12-01</v>
      </c>
      <c r="H1387" s="1">
        <f>_xlfn.IFNA(VLOOKUP(Aragon!E1387,'Kilter Holds'!$P$36:$AB$370,13,0),0)</f>
        <v>0</v>
      </c>
      <c r="J1387" s="2">
        <f t="shared" si="68"/>
        <v>0</v>
      </c>
      <c r="K1387" s="2">
        <f t="shared" si="69"/>
        <v>0</v>
      </c>
    </row>
    <row r="1388" spans="5:11">
      <c r="E1388" t="s">
        <v>228</v>
      </c>
      <c r="F1388" t="s">
        <v>692</v>
      </c>
      <c r="G1388" s="5" t="str">
        <f t="shared" si="70"/>
        <v>11-12</v>
      </c>
      <c r="H1388" s="1">
        <f>_xlfn.IFNA(VLOOKUP(Aragon!E1388,'Kilter Holds'!$P$36:$AB$370,5,0),0)</f>
        <v>0</v>
      </c>
      <c r="J1388" s="2">
        <f t="shared" si="68"/>
        <v>0</v>
      </c>
      <c r="K1388" s="2">
        <f t="shared" si="69"/>
        <v>0</v>
      </c>
    </row>
    <row r="1389" spans="5:11">
      <c r="E1389" t="s">
        <v>228</v>
      </c>
      <c r="F1389" t="s">
        <v>692</v>
      </c>
      <c r="G1389" s="6" t="str">
        <f t="shared" si="70"/>
        <v>14-01</v>
      </c>
      <c r="H1389" s="1">
        <f>_xlfn.IFNA(VLOOKUP(Aragon!E1389,'Kilter Holds'!$P$36:$AB$370,6,0),0)</f>
        <v>0</v>
      </c>
      <c r="J1389" s="2">
        <f t="shared" si="68"/>
        <v>0</v>
      </c>
      <c r="K1389" s="2">
        <f t="shared" si="69"/>
        <v>0</v>
      </c>
    </row>
    <row r="1390" spans="5:11">
      <c r="E1390" t="s">
        <v>228</v>
      </c>
      <c r="F1390" t="s">
        <v>692</v>
      </c>
      <c r="G1390" s="7" t="str">
        <f t="shared" si="70"/>
        <v>15-12</v>
      </c>
      <c r="H1390" s="1">
        <f>_xlfn.IFNA(VLOOKUP(Aragon!E1390,'Kilter Holds'!$P$36:$AB$370,7,0),0)</f>
        <v>0</v>
      </c>
      <c r="J1390" s="2">
        <f t="shared" si="68"/>
        <v>0</v>
      </c>
      <c r="K1390" s="2">
        <f t="shared" si="69"/>
        <v>0</v>
      </c>
    </row>
    <row r="1391" spans="5:11">
      <c r="E1391" t="s">
        <v>228</v>
      </c>
      <c r="F1391" t="s">
        <v>692</v>
      </c>
      <c r="G1391" s="8" t="str">
        <f t="shared" si="70"/>
        <v>16-16</v>
      </c>
      <c r="H1391" s="1">
        <f>_xlfn.IFNA(VLOOKUP(Aragon!E1391,'Kilter Holds'!$P$36:$AB$370,8,0),0)</f>
        <v>0</v>
      </c>
      <c r="J1391" s="2">
        <f t="shared" si="68"/>
        <v>0</v>
      </c>
      <c r="K1391" s="2">
        <f t="shared" si="69"/>
        <v>0</v>
      </c>
    </row>
    <row r="1392" spans="5:11">
      <c r="E1392" t="s">
        <v>228</v>
      </c>
      <c r="F1392" t="s">
        <v>692</v>
      </c>
      <c r="G1392" s="9" t="str">
        <f t="shared" si="70"/>
        <v>13-01</v>
      </c>
      <c r="H1392" s="1">
        <f>_xlfn.IFNA(VLOOKUP(Aragon!E1392,'Kilter Holds'!$P$36:$AB$370,9,0),0)</f>
        <v>0</v>
      </c>
      <c r="J1392" s="2">
        <f t="shared" si="68"/>
        <v>0</v>
      </c>
      <c r="K1392" s="2">
        <f t="shared" si="69"/>
        <v>0</v>
      </c>
    </row>
    <row r="1393" spans="5:11">
      <c r="E1393" t="s">
        <v>228</v>
      </c>
      <c r="F1393" t="s">
        <v>692</v>
      </c>
      <c r="G1393" s="10" t="str">
        <f t="shared" si="70"/>
        <v>07-13</v>
      </c>
      <c r="H1393" s="1">
        <f>_xlfn.IFNA(VLOOKUP(Aragon!E1393,'Kilter Holds'!$P$36:$AB$370,10,0),0)</f>
        <v>0</v>
      </c>
      <c r="J1393" s="2">
        <f t="shared" si="68"/>
        <v>0</v>
      </c>
      <c r="K1393" s="2">
        <f t="shared" si="69"/>
        <v>0</v>
      </c>
    </row>
    <row r="1394" spans="5:11">
      <c r="E1394" t="s">
        <v>228</v>
      </c>
      <c r="F1394" t="s">
        <v>692</v>
      </c>
      <c r="G1394" s="11" t="str">
        <f t="shared" si="70"/>
        <v>11-25</v>
      </c>
      <c r="H1394" s="1">
        <f>_xlfn.IFNA(VLOOKUP(Aragon!E1394,'Kilter Holds'!$P$36:$AB$370,11,0),0)</f>
        <v>0</v>
      </c>
      <c r="J1394" s="2">
        <f t="shared" si="68"/>
        <v>0</v>
      </c>
      <c r="K1394" s="2">
        <f t="shared" si="69"/>
        <v>0</v>
      </c>
    </row>
    <row r="1395" spans="5:11">
      <c r="E1395" t="s">
        <v>228</v>
      </c>
      <c r="F1395" t="s">
        <v>692</v>
      </c>
      <c r="G1395" s="13" t="str">
        <f t="shared" si="70"/>
        <v>18-01</v>
      </c>
      <c r="H1395" s="1">
        <f>_xlfn.IFNA(VLOOKUP(Aragon!E1395,'Kilter Holds'!$P$36:$AB$370,12,0),0)</f>
        <v>0</v>
      </c>
      <c r="J1395" s="2">
        <f t="shared" si="68"/>
        <v>0</v>
      </c>
      <c r="K1395" s="2">
        <f t="shared" si="69"/>
        <v>0</v>
      </c>
    </row>
    <row r="1396" spans="5:11">
      <c r="E1396" t="s">
        <v>228</v>
      </c>
      <c r="F1396" t="s">
        <v>692</v>
      </c>
      <c r="G1396" s="12" t="str">
        <f t="shared" si="70"/>
        <v>12-01</v>
      </c>
      <c r="H1396" s="1">
        <f>_xlfn.IFNA(VLOOKUP(Aragon!E1396,'Kilter Holds'!$P$36:$AB$370,13,0),0)</f>
        <v>0</v>
      </c>
      <c r="J1396" s="2">
        <f t="shared" si="68"/>
        <v>0</v>
      </c>
      <c r="K1396" s="2">
        <f t="shared" si="69"/>
        <v>0</v>
      </c>
    </row>
    <row r="1397" spans="5:11">
      <c r="E1397" t="s">
        <v>890</v>
      </c>
      <c r="F1397" t="s">
        <v>907</v>
      </c>
      <c r="G1397" s="5" t="str">
        <f t="shared" si="70"/>
        <v>11-12</v>
      </c>
      <c r="H1397" s="1">
        <f>_xlfn.IFNA(VLOOKUP(Aragon!E1397,'Kilter Holds'!$P$36:$AB$370,5,0),0)</f>
        <v>0</v>
      </c>
      <c r="J1397" s="2">
        <f t="shared" si="68"/>
        <v>0</v>
      </c>
      <c r="K1397" s="2">
        <f t="shared" si="69"/>
        <v>0</v>
      </c>
    </row>
    <row r="1398" spans="5:11">
      <c r="E1398" t="s">
        <v>890</v>
      </c>
      <c r="F1398" t="s">
        <v>907</v>
      </c>
      <c r="G1398" s="6" t="str">
        <f t="shared" si="70"/>
        <v>14-01</v>
      </c>
      <c r="H1398" s="1">
        <f>_xlfn.IFNA(VLOOKUP(Aragon!E1398,'Kilter Holds'!$P$36:$AB$370,6,0),0)</f>
        <v>0</v>
      </c>
      <c r="J1398" s="2">
        <f t="shared" si="68"/>
        <v>0</v>
      </c>
      <c r="K1398" s="2">
        <f t="shared" si="69"/>
        <v>0</v>
      </c>
    </row>
    <row r="1399" spans="5:11">
      <c r="E1399" t="s">
        <v>890</v>
      </c>
      <c r="F1399" t="s">
        <v>907</v>
      </c>
      <c r="G1399" s="7" t="str">
        <f t="shared" si="70"/>
        <v>15-12</v>
      </c>
      <c r="H1399" s="1">
        <f>_xlfn.IFNA(VLOOKUP(Aragon!E1399,'Kilter Holds'!$P$36:$AB$370,7,0),0)</f>
        <v>0</v>
      </c>
      <c r="J1399" s="2">
        <f t="shared" si="68"/>
        <v>0</v>
      </c>
      <c r="K1399" s="2">
        <f t="shared" si="69"/>
        <v>0</v>
      </c>
    </row>
    <row r="1400" spans="5:11">
      <c r="E1400" t="s">
        <v>890</v>
      </c>
      <c r="F1400" t="s">
        <v>907</v>
      </c>
      <c r="G1400" s="8" t="str">
        <f t="shared" si="70"/>
        <v>16-16</v>
      </c>
      <c r="H1400" s="1">
        <f>_xlfn.IFNA(VLOOKUP(Aragon!E1400,'Kilter Holds'!$P$36:$AB$370,8,0),0)</f>
        <v>0</v>
      </c>
      <c r="J1400" s="2">
        <f t="shared" si="68"/>
        <v>0</v>
      </c>
      <c r="K1400" s="2">
        <f t="shared" si="69"/>
        <v>0</v>
      </c>
    </row>
    <row r="1401" spans="5:11">
      <c r="E1401" t="s">
        <v>890</v>
      </c>
      <c r="F1401" t="s">
        <v>907</v>
      </c>
      <c r="G1401" s="9" t="str">
        <f t="shared" si="70"/>
        <v>13-01</v>
      </c>
      <c r="H1401" s="1">
        <f>_xlfn.IFNA(VLOOKUP(Aragon!E1401,'Kilter Holds'!$P$36:$AB$370,9,0),0)</f>
        <v>0</v>
      </c>
      <c r="J1401" s="2">
        <f t="shared" si="68"/>
        <v>0</v>
      </c>
      <c r="K1401" s="2">
        <f t="shared" si="69"/>
        <v>0</v>
      </c>
    </row>
    <row r="1402" spans="5:11">
      <c r="E1402" t="s">
        <v>890</v>
      </c>
      <c r="F1402" t="s">
        <v>907</v>
      </c>
      <c r="G1402" s="10" t="str">
        <f t="shared" si="70"/>
        <v>07-13</v>
      </c>
      <c r="H1402" s="1">
        <f>_xlfn.IFNA(VLOOKUP(Aragon!E1402,'Kilter Holds'!$P$36:$AB$370,10,0),0)</f>
        <v>0</v>
      </c>
      <c r="J1402" s="2">
        <f t="shared" ref="J1402:J1465" si="71">H1402*I1402</f>
        <v>0</v>
      </c>
      <c r="K1402" s="2">
        <f t="shared" si="69"/>
        <v>0</v>
      </c>
    </row>
    <row r="1403" spans="5:11">
      <c r="E1403" t="s">
        <v>890</v>
      </c>
      <c r="F1403" t="s">
        <v>907</v>
      </c>
      <c r="G1403" s="11" t="str">
        <f t="shared" si="70"/>
        <v>11-25</v>
      </c>
      <c r="H1403" s="1">
        <f>_xlfn.IFNA(VLOOKUP(Aragon!E1403,'Kilter Holds'!$P$36:$AB$370,11,0),0)</f>
        <v>0</v>
      </c>
      <c r="J1403" s="2">
        <f t="shared" si="71"/>
        <v>0</v>
      </c>
      <c r="K1403" s="2">
        <f t="shared" si="69"/>
        <v>0</v>
      </c>
    </row>
    <row r="1404" spans="5:11">
      <c r="E1404" t="s">
        <v>890</v>
      </c>
      <c r="F1404" t="s">
        <v>907</v>
      </c>
      <c r="G1404" s="13" t="str">
        <f t="shared" si="70"/>
        <v>18-01</v>
      </c>
      <c r="H1404" s="1">
        <f>_xlfn.IFNA(VLOOKUP(Aragon!E1404,'Kilter Holds'!$P$36:$AB$370,12,0),0)</f>
        <v>0</v>
      </c>
      <c r="J1404" s="2">
        <f t="shared" si="71"/>
        <v>0</v>
      </c>
      <c r="K1404" s="2">
        <f t="shared" si="69"/>
        <v>0</v>
      </c>
    </row>
    <row r="1405" spans="5:11">
      <c r="E1405" t="s">
        <v>890</v>
      </c>
      <c r="F1405" t="s">
        <v>907</v>
      </c>
      <c r="G1405" s="12" t="str">
        <f t="shared" si="70"/>
        <v>12-01</v>
      </c>
      <c r="H1405" s="1">
        <f>_xlfn.IFNA(VLOOKUP(Aragon!E1405,'Kilter Holds'!$P$36:$AB$370,13,0),0)</f>
        <v>0</v>
      </c>
      <c r="J1405" s="2">
        <f t="shared" si="71"/>
        <v>0</v>
      </c>
      <c r="K1405" s="2">
        <f t="shared" si="69"/>
        <v>0</v>
      </c>
    </row>
    <row r="1406" spans="5:11">
      <c r="E1406" t="s">
        <v>218</v>
      </c>
      <c r="F1406" t="s">
        <v>693</v>
      </c>
      <c r="G1406" s="5" t="str">
        <f t="shared" si="70"/>
        <v>11-12</v>
      </c>
      <c r="H1406" s="1">
        <f>_xlfn.IFNA(VLOOKUP(Aragon!E1406,'Kilter Holds'!$P$36:$AB$370,5,0),0)</f>
        <v>0</v>
      </c>
      <c r="J1406" s="2">
        <f t="shared" si="71"/>
        <v>0</v>
      </c>
      <c r="K1406" s="2">
        <f t="shared" si="69"/>
        <v>0</v>
      </c>
    </row>
    <row r="1407" spans="5:11">
      <c r="E1407" t="s">
        <v>218</v>
      </c>
      <c r="F1407" t="s">
        <v>693</v>
      </c>
      <c r="G1407" s="6" t="str">
        <f t="shared" si="70"/>
        <v>14-01</v>
      </c>
      <c r="H1407" s="1">
        <f>_xlfn.IFNA(VLOOKUP(Aragon!E1407,'Kilter Holds'!$P$36:$AB$370,6,0),0)</f>
        <v>0</v>
      </c>
      <c r="J1407" s="2">
        <f t="shared" si="71"/>
        <v>0</v>
      </c>
      <c r="K1407" s="2">
        <f t="shared" si="69"/>
        <v>0</v>
      </c>
    </row>
    <row r="1408" spans="5:11">
      <c r="E1408" t="s">
        <v>218</v>
      </c>
      <c r="F1408" t="s">
        <v>693</v>
      </c>
      <c r="G1408" s="7" t="str">
        <f t="shared" si="70"/>
        <v>15-12</v>
      </c>
      <c r="H1408" s="1">
        <f>_xlfn.IFNA(VLOOKUP(Aragon!E1408,'Kilter Holds'!$P$36:$AB$370,7,0),0)</f>
        <v>0</v>
      </c>
      <c r="J1408" s="2">
        <f t="shared" si="71"/>
        <v>0</v>
      </c>
      <c r="K1408" s="2">
        <f t="shared" si="69"/>
        <v>0</v>
      </c>
    </row>
    <row r="1409" spans="5:11">
      <c r="E1409" t="s">
        <v>218</v>
      </c>
      <c r="F1409" t="s">
        <v>693</v>
      </c>
      <c r="G1409" s="8" t="str">
        <f t="shared" si="70"/>
        <v>16-16</v>
      </c>
      <c r="H1409" s="1">
        <f>_xlfn.IFNA(VLOOKUP(Aragon!E1409,'Kilter Holds'!$P$36:$AB$370,8,0),0)</f>
        <v>0</v>
      </c>
      <c r="J1409" s="2">
        <f t="shared" si="71"/>
        <v>0</v>
      </c>
      <c r="K1409" s="2">
        <f t="shared" si="69"/>
        <v>0</v>
      </c>
    </row>
    <row r="1410" spans="5:11">
      <c r="E1410" t="s">
        <v>218</v>
      </c>
      <c r="F1410" t="s">
        <v>693</v>
      </c>
      <c r="G1410" s="9" t="str">
        <f t="shared" si="70"/>
        <v>13-01</v>
      </c>
      <c r="H1410" s="1">
        <f>_xlfn.IFNA(VLOOKUP(Aragon!E1410,'Kilter Holds'!$P$36:$AB$370,9,0),0)</f>
        <v>0</v>
      </c>
      <c r="J1410" s="2">
        <f t="shared" si="71"/>
        <v>0</v>
      </c>
      <c r="K1410" s="2">
        <f t="shared" si="69"/>
        <v>0</v>
      </c>
    </row>
    <row r="1411" spans="5:11">
      <c r="E1411" t="s">
        <v>218</v>
      </c>
      <c r="F1411" t="s">
        <v>693</v>
      </c>
      <c r="G1411" s="10" t="str">
        <f t="shared" si="70"/>
        <v>07-13</v>
      </c>
      <c r="H1411" s="1">
        <f>_xlfn.IFNA(VLOOKUP(Aragon!E1411,'Kilter Holds'!$P$36:$AB$370,10,0),0)</f>
        <v>0</v>
      </c>
      <c r="J1411" s="2">
        <f t="shared" si="71"/>
        <v>0</v>
      </c>
      <c r="K1411" s="2">
        <f t="shared" si="69"/>
        <v>0</v>
      </c>
    </row>
    <row r="1412" spans="5:11">
      <c r="E1412" t="s">
        <v>218</v>
      </c>
      <c r="F1412" t="s">
        <v>693</v>
      </c>
      <c r="G1412" s="11" t="str">
        <f t="shared" si="70"/>
        <v>11-25</v>
      </c>
      <c r="H1412" s="1">
        <f>_xlfn.IFNA(VLOOKUP(Aragon!E1412,'Kilter Holds'!$P$36:$AB$370,11,0),0)</f>
        <v>0</v>
      </c>
      <c r="J1412" s="2">
        <f t="shared" si="71"/>
        <v>0</v>
      </c>
      <c r="K1412" s="2">
        <f t="shared" si="69"/>
        <v>0</v>
      </c>
    </row>
    <row r="1413" spans="5:11">
      <c r="E1413" t="s">
        <v>218</v>
      </c>
      <c r="F1413" t="s">
        <v>693</v>
      </c>
      <c r="G1413" s="13" t="str">
        <f t="shared" si="70"/>
        <v>18-01</v>
      </c>
      <c r="H1413" s="1">
        <f>_xlfn.IFNA(VLOOKUP(Aragon!E1413,'Kilter Holds'!$P$36:$AB$370,12,0),0)</f>
        <v>0</v>
      </c>
      <c r="J1413" s="2">
        <f t="shared" si="71"/>
        <v>0</v>
      </c>
      <c r="K1413" s="2">
        <f t="shared" si="69"/>
        <v>0</v>
      </c>
    </row>
    <row r="1414" spans="5:11">
      <c r="E1414" t="s">
        <v>218</v>
      </c>
      <c r="F1414" t="s">
        <v>693</v>
      </c>
      <c r="G1414" s="12" t="str">
        <f t="shared" si="70"/>
        <v>12-01</v>
      </c>
      <c r="H1414" s="1">
        <f>_xlfn.IFNA(VLOOKUP(Aragon!E1414,'Kilter Holds'!$P$36:$AB$370,13,0),0)</f>
        <v>0</v>
      </c>
      <c r="J1414" s="2">
        <f t="shared" si="71"/>
        <v>0</v>
      </c>
      <c r="K1414" s="2">
        <f t="shared" si="69"/>
        <v>0</v>
      </c>
    </row>
    <row r="1415" spans="5:11">
      <c r="E1415" t="s">
        <v>219</v>
      </c>
      <c r="F1415" t="s">
        <v>694</v>
      </c>
      <c r="G1415" s="5" t="str">
        <f t="shared" si="70"/>
        <v>11-12</v>
      </c>
      <c r="H1415" s="1">
        <f>_xlfn.IFNA(VLOOKUP(Aragon!E1415,'Kilter Holds'!$P$36:$AB$370,5,0),0)</f>
        <v>0</v>
      </c>
      <c r="J1415" s="2">
        <f t="shared" si="71"/>
        <v>0</v>
      </c>
      <c r="K1415" s="2">
        <f t="shared" si="69"/>
        <v>0</v>
      </c>
    </row>
    <row r="1416" spans="5:11">
      <c r="E1416" t="s">
        <v>219</v>
      </c>
      <c r="F1416" t="s">
        <v>694</v>
      </c>
      <c r="G1416" s="6" t="str">
        <f t="shared" si="70"/>
        <v>14-01</v>
      </c>
      <c r="H1416" s="1">
        <f>_xlfn.IFNA(VLOOKUP(Aragon!E1416,'Kilter Holds'!$P$36:$AB$370,6,0),0)</f>
        <v>0</v>
      </c>
      <c r="J1416" s="2">
        <f t="shared" si="71"/>
        <v>0</v>
      </c>
      <c r="K1416" s="2">
        <f t="shared" si="69"/>
        <v>0</v>
      </c>
    </row>
    <row r="1417" spans="5:11">
      <c r="E1417" t="s">
        <v>219</v>
      </c>
      <c r="F1417" t="s">
        <v>694</v>
      </c>
      <c r="G1417" s="7" t="str">
        <f t="shared" si="70"/>
        <v>15-12</v>
      </c>
      <c r="H1417" s="1">
        <f>_xlfn.IFNA(VLOOKUP(Aragon!E1417,'Kilter Holds'!$P$36:$AB$370,7,0),0)</f>
        <v>0</v>
      </c>
      <c r="J1417" s="2">
        <f t="shared" si="71"/>
        <v>0</v>
      </c>
      <c r="K1417" s="2">
        <f t="shared" si="69"/>
        <v>0</v>
      </c>
    </row>
    <row r="1418" spans="5:11">
      <c r="E1418" t="s">
        <v>219</v>
      </c>
      <c r="F1418" t="s">
        <v>694</v>
      </c>
      <c r="G1418" s="8" t="str">
        <f t="shared" si="70"/>
        <v>16-16</v>
      </c>
      <c r="H1418" s="1">
        <f>_xlfn.IFNA(VLOOKUP(Aragon!E1418,'Kilter Holds'!$P$36:$AB$370,8,0),0)</f>
        <v>0</v>
      </c>
      <c r="J1418" s="2">
        <f t="shared" si="71"/>
        <v>0</v>
      </c>
      <c r="K1418" s="2">
        <f t="shared" si="69"/>
        <v>0</v>
      </c>
    </row>
    <row r="1419" spans="5:11">
      <c r="E1419" t="s">
        <v>219</v>
      </c>
      <c r="F1419" t="s">
        <v>694</v>
      </c>
      <c r="G1419" s="9" t="str">
        <f t="shared" si="70"/>
        <v>13-01</v>
      </c>
      <c r="H1419" s="1">
        <f>_xlfn.IFNA(VLOOKUP(Aragon!E1419,'Kilter Holds'!$P$36:$AB$370,9,0),0)</f>
        <v>0</v>
      </c>
      <c r="J1419" s="2">
        <f t="shared" si="71"/>
        <v>0</v>
      </c>
      <c r="K1419" s="2">
        <f t="shared" si="69"/>
        <v>0</v>
      </c>
    </row>
    <row r="1420" spans="5:11">
      <c r="E1420" t="s">
        <v>219</v>
      </c>
      <c r="F1420" t="s">
        <v>694</v>
      </c>
      <c r="G1420" s="10" t="str">
        <f t="shared" si="70"/>
        <v>07-13</v>
      </c>
      <c r="H1420" s="1">
        <f>_xlfn.IFNA(VLOOKUP(Aragon!E1420,'Kilter Holds'!$P$36:$AB$370,10,0),0)</f>
        <v>0</v>
      </c>
      <c r="J1420" s="2">
        <f t="shared" si="71"/>
        <v>0</v>
      </c>
      <c r="K1420" s="2">
        <f t="shared" ref="K1420:K1483" si="72">IF($V$11="Y",J1420*0.05,0)</f>
        <v>0</v>
      </c>
    </row>
    <row r="1421" spans="5:11">
      <c r="E1421" t="s">
        <v>219</v>
      </c>
      <c r="F1421" t="s">
        <v>694</v>
      </c>
      <c r="G1421" s="11" t="str">
        <f t="shared" ref="G1421:G1484" si="73">G1412</f>
        <v>11-25</v>
      </c>
      <c r="H1421" s="1">
        <f>_xlfn.IFNA(VLOOKUP(Aragon!E1421,'Kilter Holds'!$P$36:$AB$370,11,0),0)</f>
        <v>0</v>
      </c>
      <c r="J1421" s="2">
        <f t="shared" si="71"/>
        <v>0</v>
      </c>
      <c r="K1421" s="2">
        <f t="shared" si="72"/>
        <v>0</v>
      </c>
    </row>
    <row r="1422" spans="5:11">
      <c r="E1422" t="s">
        <v>219</v>
      </c>
      <c r="F1422" t="s">
        <v>694</v>
      </c>
      <c r="G1422" s="13" t="str">
        <f t="shared" si="73"/>
        <v>18-01</v>
      </c>
      <c r="H1422" s="1">
        <f>_xlfn.IFNA(VLOOKUP(Aragon!E1422,'Kilter Holds'!$P$36:$AB$370,12,0),0)</f>
        <v>0</v>
      </c>
      <c r="J1422" s="2">
        <f t="shared" si="71"/>
        <v>0</v>
      </c>
      <c r="K1422" s="2">
        <f t="shared" si="72"/>
        <v>0</v>
      </c>
    </row>
    <row r="1423" spans="5:11">
      <c r="E1423" t="s">
        <v>219</v>
      </c>
      <c r="F1423" t="s">
        <v>694</v>
      </c>
      <c r="G1423" s="12" t="str">
        <f t="shared" si="73"/>
        <v>12-01</v>
      </c>
      <c r="H1423" s="1">
        <f>_xlfn.IFNA(VLOOKUP(Aragon!E1423,'Kilter Holds'!$P$36:$AB$370,13,0),0)</f>
        <v>0</v>
      </c>
      <c r="J1423" s="2">
        <f t="shared" si="71"/>
        <v>0</v>
      </c>
      <c r="K1423" s="2">
        <f t="shared" si="72"/>
        <v>0</v>
      </c>
    </row>
    <row r="1424" spans="5:11">
      <c r="E1424" t="s">
        <v>238</v>
      </c>
      <c r="F1424" t="s">
        <v>695</v>
      </c>
      <c r="G1424" s="5" t="str">
        <f t="shared" si="73"/>
        <v>11-12</v>
      </c>
      <c r="H1424" s="1">
        <f>_xlfn.IFNA(VLOOKUP(Aragon!E1424,'Kilter Holds'!$P$36:$AB$370,5,0),0)</f>
        <v>0</v>
      </c>
      <c r="J1424" s="2">
        <f t="shared" si="71"/>
        <v>0</v>
      </c>
      <c r="K1424" s="2">
        <f t="shared" si="72"/>
        <v>0</v>
      </c>
    </row>
    <row r="1425" spans="5:11">
      <c r="E1425" t="s">
        <v>238</v>
      </c>
      <c r="F1425" t="s">
        <v>695</v>
      </c>
      <c r="G1425" s="6" t="str">
        <f t="shared" si="73"/>
        <v>14-01</v>
      </c>
      <c r="H1425" s="1">
        <f>_xlfn.IFNA(VLOOKUP(Aragon!E1425,'Kilter Holds'!$P$36:$AB$370,6,0),0)</f>
        <v>0</v>
      </c>
      <c r="J1425" s="2">
        <f t="shared" si="71"/>
        <v>0</v>
      </c>
      <c r="K1425" s="2">
        <f t="shared" si="72"/>
        <v>0</v>
      </c>
    </row>
    <row r="1426" spans="5:11">
      <c r="E1426" t="s">
        <v>238</v>
      </c>
      <c r="F1426" t="s">
        <v>695</v>
      </c>
      <c r="G1426" s="7" t="str">
        <f t="shared" si="73"/>
        <v>15-12</v>
      </c>
      <c r="H1426" s="1">
        <f>_xlfn.IFNA(VLOOKUP(Aragon!E1426,'Kilter Holds'!$P$36:$AB$370,7,0),0)</f>
        <v>0</v>
      </c>
      <c r="J1426" s="2">
        <f t="shared" si="71"/>
        <v>0</v>
      </c>
      <c r="K1426" s="2">
        <f t="shared" si="72"/>
        <v>0</v>
      </c>
    </row>
    <row r="1427" spans="5:11">
      <c r="E1427" t="s">
        <v>238</v>
      </c>
      <c r="F1427" t="s">
        <v>695</v>
      </c>
      <c r="G1427" s="8" t="str">
        <f t="shared" si="73"/>
        <v>16-16</v>
      </c>
      <c r="H1427" s="1">
        <f>_xlfn.IFNA(VLOOKUP(Aragon!E1427,'Kilter Holds'!$P$36:$AB$370,8,0),0)</f>
        <v>0</v>
      </c>
      <c r="J1427" s="2">
        <f t="shared" si="71"/>
        <v>0</v>
      </c>
      <c r="K1427" s="2">
        <f t="shared" si="72"/>
        <v>0</v>
      </c>
    </row>
    <row r="1428" spans="5:11">
      <c r="E1428" t="s">
        <v>238</v>
      </c>
      <c r="F1428" t="s">
        <v>695</v>
      </c>
      <c r="G1428" s="9" t="str">
        <f t="shared" si="73"/>
        <v>13-01</v>
      </c>
      <c r="H1428" s="1">
        <f>_xlfn.IFNA(VLOOKUP(Aragon!E1428,'Kilter Holds'!$P$36:$AB$370,9,0),0)</f>
        <v>0</v>
      </c>
      <c r="J1428" s="2">
        <f t="shared" si="71"/>
        <v>0</v>
      </c>
      <c r="K1428" s="2">
        <f t="shared" si="72"/>
        <v>0</v>
      </c>
    </row>
    <row r="1429" spans="5:11">
      <c r="E1429" t="s">
        <v>238</v>
      </c>
      <c r="F1429" t="s">
        <v>695</v>
      </c>
      <c r="G1429" s="10" t="str">
        <f t="shared" si="73"/>
        <v>07-13</v>
      </c>
      <c r="H1429" s="1">
        <f>_xlfn.IFNA(VLOOKUP(Aragon!E1429,'Kilter Holds'!$P$36:$AB$370,10,0),0)</f>
        <v>0</v>
      </c>
      <c r="J1429" s="2">
        <f t="shared" si="71"/>
        <v>0</v>
      </c>
      <c r="K1429" s="2">
        <f t="shared" si="72"/>
        <v>0</v>
      </c>
    </row>
    <row r="1430" spans="5:11">
      <c r="E1430" t="s">
        <v>238</v>
      </c>
      <c r="F1430" t="s">
        <v>695</v>
      </c>
      <c r="G1430" s="11" t="str">
        <f t="shared" si="73"/>
        <v>11-25</v>
      </c>
      <c r="H1430" s="1">
        <f>_xlfn.IFNA(VLOOKUP(Aragon!E1430,'Kilter Holds'!$P$36:$AB$370,11,0),0)</f>
        <v>0</v>
      </c>
      <c r="J1430" s="2">
        <f t="shared" si="71"/>
        <v>0</v>
      </c>
      <c r="K1430" s="2">
        <f t="shared" si="72"/>
        <v>0</v>
      </c>
    </row>
    <row r="1431" spans="5:11">
      <c r="E1431" t="s">
        <v>238</v>
      </c>
      <c r="F1431" t="s">
        <v>695</v>
      </c>
      <c r="G1431" s="13" t="str">
        <f t="shared" si="73"/>
        <v>18-01</v>
      </c>
      <c r="H1431" s="1">
        <f>_xlfn.IFNA(VLOOKUP(Aragon!E1431,'Kilter Holds'!$P$36:$AB$370,12,0),0)</f>
        <v>0</v>
      </c>
      <c r="J1431" s="2">
        <f t="shared" si="71"/>
        <v>0</v>
      </c>
      <c r="K1431" s="2">
        <f t="shared" si="72"/>
        <v>0</v>
      </c>
    </row>
    <row r="1432" spans="5:11">
      <c r="E1432" t="s">
        <v>238</v>
      </c>
      <c r="F1432" t="s">
        <v>695</v>
      </c>
      <c r="G1432" s="12" t="str">
        <f t="shared" si="73"/>
        <v>12-01</v>
      </c>
      <c r="H1432" s="1">
        <f>_xlfn.IFNA(VLOOKUP(Aragon!E1432,'Kilter Holds'!$P$36:$AB$370,13,0),0)</f>
        <v>0</v>
      </c>
      <c r="J1432" s="2">
        <f t="shared" si="71"/>
        <v>0</v>
      </c>
      <c r="K1432" s="2">
        <f t="shared" si="72"/>
        <v>0</v>
      </c>
    </row>
    <row r="1433" spans="5:11">
      <c r="E1433" t="s">
        <v>239</v>
      </c>
      <c r="F1433" t="s">
        <v>696</v>
      </c>
      <c r="G1433" s="5" t="str">
        <f t="shared" si="73"/>
        <v>11-12</v>
      </c>
      <c r="H1433" s="1">
        <f>_xlfn.IFNA(VLOOKUP(Aragon!E1433,'Kilter Holds'!$P$36:$AB$370,5,0),0)</f>
        <v>0</v>
      </c>
      <c r="J1433" s="2">
        <f t="shared" si="71"/>
        <v>0</v>
      </c>
      <c r="K1433" s="2">
        <f t="shared" si="72"/>
        <v>0</v>
      </c>
    </row>
    <row r="1434" spans="5:11">
      <c r="E1434" t="s">
        <v>239</v>
      </c>
      <c r="F1434" t="s">
        <v>696</v>
      </c>
      <c r="G1434" s="6" t="str">
        <f t="shared" si="73"/>
        <v>14-01</v>
      </c>
      <c r="H1434" s="1">
        <f>_xlfn.IFNA(VLOOKUP(Aragon!E1434,'Kilter Holds'!$P$36:$AB$370,6,0),0)</f>
        <v>0</v>
      </c>
      <c r="J1434" s="2">
        <f t="shared" si="71"/>
        <v>0</v>
      </c>
      <c r="K1434" s="2">
        <f t="shared" si="72"/>
        <v>0</v>
      </c>
    </row>
    <row r="1435" spans="5:11">
      <c r="E1435" t="s">
        <v>239</v>
      </c>
      <c r="F1435" t="s">
        <v>696</v>
      </c>
      <c r="G1435" s="7" t="str">
        <f t="shared" si="73"/>
        <v>15-12</v>
      </c>
      <c r="H1435" s="1">
        <f>_xlfn.IFNA(VLOOKUP(Aragon!E1435,'Kilter Holds'!$P$36:$AB$370,7,0),0)</f>
        <v>0</v>
      </c>
      <c r="J1435" s="2">
        <f t="shared" si="71"/>
        <v>0</v>
      </c>
      <c r="K1435" s="2">
        <f t="shared" si="72"/>
        <v>0</v>
      </c>
    </row>
    <row r="1436" spans="5:11">
      <c r="E1436" t="s">
        <v>239</v>
      </c>
      <c r="F1436" t="s">
        <v>696</v>
      </c>
      <c r="G1436" s="8" t="str">
        <f t="shared" si="73"/>
        <v>16-16</v>
      </c>
      <c r="H1436" s="1">
        <f>_xlfn.IFNA(VLOOKUP(Aragon!E1436,'Kilter Holds'!$P$36:$AB$370,8,0),0)</f>
        <v>0</v>
      </c>
      <c r="J1436" s="2">
        <f t="shared" si="71"/>
        <v>0</v>
      </c>
      <c r="K1436" s="2">
        <f t="shared" si="72"/>
        <v>0</v>
      </c>
    </row>
    <row r="1437" spans="5:11">
      <c r="E1437" t="s">
        <v>239</v>
      </c>
      <c r="F1437" t="s">
        <v>696</v>
      </c>
      <c r="G1437" s="9" t="str">
        <f t="shared" si="73"/>
        <v>13-01</v>
      </c>
      <c r="H1437" s="1">
        <f>_xlfn.IFNA(VLOOKUP(Aragon!E1437,'Kilter Holds'!$P$36:$AB$370,9,0),0)</f>
        <v>0</v>
      </c>
      <c r="J1437" s="2">
        <f t="shared" si="71"/>
        <v>0</v>
      </c>
      <c r="K1437" s="2">
        <f t="shared" si="72"/>
        <v>0</v>
      </c>
    </row>
    <row r="1438" spans="5:11">
      <c r="E1438" t="s">
        <v>239</v>
      </c>
      <c r="F1438" t="s">
        <v>696</v>
      </c>
      <c r="G1438" s="10" t="str">
        <f t="shared" si="73"/>
        <v>07-13</v>
      </c>
      <c r="H1438" s="1">
        <f>_xlfn.IFNA(VLOOKUP(Aragon!E1438,'Kilter Holds'!$P$36:$AB$370,10,0),0)</f>
        <v>0</v>
      </c>
      <c r="J1438" s="2">
        <f t="shared" si="71"/>
        <v>0</v>
      </c>
      <c r="K1438" s="2">
        <f t="shared" si="72"/>
        <v>0</v>
      </c>
    </row>
    <row r="1439" spans="5:11">
      <c r="E1439" t="s">
        <v>239</v>
      </c>
      <c r="F1439" t="s">
        <v>696</v>
      </c>
      <c r="G1439" s="11" t="str">
        <f t="shared" si="73"/>
        <v>11-25</v>
      </c>
      <c r="H1439" s="1">
        <f>_xlfn.IFNA(VLOOKUP(Aragon!E1439,'Kilter Holds'!$P$36:$AB$370,11,0),0)</f>
        <v>0</v>
      </c>
      <c r="J1439" s="2">
        <f t="shared" si="71"/>
        <v>0</v>
      </c>
      <c r="K1439" s="2">
        <f t="shared" si="72"/>
        <v>0</v>
      </c>
    </row>
    <row r="1440" spans="5:11">
      <c r="E1440" t="s">
        <v>239</v>
      </c>
      <c r="F1440" t="s">
        <v>696</v>
      </c>
      <c r="G1440" s="13" t="str">
        <f t="shared" si="73"/>
        <v>18-01</v>
      </c>
      <c r="H1440" s="1">
        <f>_xlfn.IFNA(VLOOKUP(Aragon!E1440,'Kilter Holds'!$P$36:$AB$370,12,0),0)</f>
        <v>0</v>
      </c>
      <c r="J1440" s="2">
        <f t="shared" si="71"/>
        <v>0</v>
      </c>
      <c r="K1440" s="2">
        <f t="shared" si="72"/>
        <v>0</v>
      </c>
    </row>
    <row r="1441" spans="5:11">
      <c r="E1441" t="s">
        <v>239</v>
      </c>
      <c r="F1441" t="s">
        <v>696</v>
      </c>
      <c r="G1441" s="12" t="str">
        <f t="shared" si="73"/>
        <v>12-01</v>
      </c>
      <c r="H1441" s="1">
        <f>_xlfn.IFNA(VLOOKUP(Aragon!E1441,'Kilter Holds'!$P$36:$AB$370,13,0),0)</f>
        <v>0</v>
      </c>
      <c r="J1441" s="2">
        <f t="shared" si="71"/>
        <v>0</v>
      </c>
      <c r="K1441" s="2">
        <f t="shared" si="72"/>
        <v>0</v>
      </c>
    </row>
    <row r="1442" spans="5:11">
      <c r="E1442" t="s">
        <v>251</v>
      </c>
      <c r="F1442" t="s">
        <v>697</v>
      </c>
      <c r="G1442" s="5" t="str">
        <f t="shared" si="73"/>
        <v>11-12</v>
      </c>
      <c r="H1442" s="1">
        <f>_xlfn.IFNA(VLOOKUP(Aragon!E1442,'Kilter Holds'!$P$36:$AB$370,5,0),0)</f>
        <v>0</v>
      </c>
      <c r="J1442" s="2">
        <f t="shared" si="71"/>
        <v>0</v>
      </c>
      <c r="K1442" s="2">
        <f t="shared" si="72"/>
        <v>0</v>
      </c>
    </row>
    <row r="1443" spans="5:11">
      <c r="E1443" t="s">
        <v>251</v>
      </c>
      <c r="F1443" t="s">
        <v>697</v>
      </c>
      <c r="G1443" s="6" t="str">
        <f t="shared" si="73"/>
        <v>14-01</v>
      </c>
      <c r="H1443" s="1">
        <f>_xlfn.IFNA(VLOOKUP(Aragon!E1443,'Kilter Holds'!$P$36:$AB$370,6,0),0)</f>
        <v>0</v>
      </c>
      <c r="J1443" s="2">
        <f t="shared" si="71"/>
        <v>0</v>
      </c>
      <c r="K1443" s="2">
        <f t="shared" si="72"/>
        <v>0</v>
      </c>
    </row>
    <row r="1444" spans="5:11">
      <c r="E1444" t="s">
        <v>251</v>
      </c>
      <c r="F1444" t="s">
        <v>697</v>
      </c>
      <c r="G1444" s="7" t="str">
        <f t="shared" si="73"/>
        <v>15-12</v>
      </c>
      <c r="H1444" s="1">
        <f>_xlfn.IFNA(VLOOKUP(Aragon!E1444,'Kilter Holds'!$P$36:$AB$370,7,0),0)</f>
        <v>0</v>
      </c>
      <c r="J1444" s="2">
        <f t="shared" si="71"/>
        <v>0</v>
      </c>
      <c r="K1444" s="2">
        <f t="shared" si="72"/>
        <v>0</v>
      </c>
    </row>
    <row r="1445" spans="5:11">
      <c r="E1445" t="s">
        <v>251</v>
      </c>
      <c r="F1445" t="s">
        <v>697</v>
      </c>
      <c r="G1445" s="8" t="str">
        <f t="shared" si="73"/>
        <v>16-16</v>
      </c>
      <c r="H1445" s="1">
        <f>_xlfn.IFNA(VLOOKUP(Aragon!E1445,'Kilter Holds'!$P$36:$AB$370,8,0),0)</f>
        <v>0</v>
      </c>
      <c r="J1445" s="2">
        <f t="shared" si="71"/>
        <v>0</v>
      </c>
      <c r="K1445" s="2">
        <f t="shared" si="72"/>
        <v>0</v>
      </c>
    </row>
    <row r="1446" spans="5:11">
      <c r="E1446" t="s">
        <v>251</v>
      </c>
      <c r="F1446" t="s">
        <v>697</v>
      </c>
      <c r="G1446" s="9" t="str">
        <f t="shared" si="73"/>
        <v>13-01</v>
      </c>
      <c r="H1446" s="1">
        <f>_xlfn.IFNA(VLOOKUP(Aragon!E1446,'Kilter Holds'!$P$36:$AB$370,9,0),0)</f>
        <v>0</v>
      </c>
      <c r="J1446" s="2">
        <f t="shared" si="71"/>
        <v>0</v>
      </c>
      <c r="K1446" s="2">
        <f t="shared" si="72"/>
        <v>0</v>
      </c>
    </row>
    <row r="1447" spans="5:11">
      <c r="E1447" t="s">
        <v>251</v>
      </c>
      <c r="F1447" t="s">
        <v>697</v>
      </c>
      <c r="G1447" s="10" t="str">
        <f t="shared" si="73"/>
        <v>07-13</v>
      </c>
      <c r="H1447" s="1">
        <f>_xlfn.IFNA(VLOOKUP(Aragon!E1447,'Kilter Holds'!$P$36:$AB$370,10,0),0)</f>
        <v>0</v>
      </c>
      <c r="J1447" s="2">
        <f t="shared" si="71"/>
        <v>0</v>
      </c>
      <c r="K1447" s="2">
        <f t="shared" si="72"/>
        <v>0</v>
      </c>
    </row>
    <row r="1448" spans="5:11">
      <c r="E1448" t="s">
        <v>251</v>
      </c>
      <c r="F1448" t="s">
        <v>697</v>
      </c>
      <c r="G1448" s="11" t="str">
        <f t="shared" si="73"/>
        <v>11-25</v>
      </c>
      <c r="H1448" s="1">
        <f>_xlfn.IFNA(VLOOKUP(Aragon!E1448,'Kilter Holds'!$P$36:$AB$370,11,0),0)</f>
        <v>0</v>
      </c>
      <c r="J1448" s="2">
        <f t="shared" si="71"/>
        <v>0</v>
      </c>
      <c r="K1448" s="2">
        <f t="shared" si="72"/>
        <v>0</v>
      </c>
    </row>
    <row r="1449" spans="5:11">
      <c r="E1449" t="s">
        <v>251</v>
      </c>
      <c r="F1449" t="s">
        <v>697</v>
      </c>
      <c r="G1449" s="13" t="str">
        <f t="shared" si="73"/>
        <v>18-01</v>
      </c>
      <c r="H1449" s="1">
        <f>_xlfn.IFNA(VLOOKUP(Aragon!E1449,'Kilter Holds'!$P$36:$AB$370,12,0),0)</f>
        <v>0</v>
      </c>
      <c r="J1449" s="2">
        <f t="shared" si="71"/>
        <v>0</v>
      </c>
      <c r="K1449" s="2">
        <f t="shared" si="72"/>
        <v>0</v>
      </c>
    </row>
    <row r="1450" spans="5:11">
      <c r="E1450" t="s">
        <v>251</v>
      </c>
      <c r="F1450" t="s">
        <v>697</v>
      </c>
      <c r="G1450" s="12" t="str">
        <f t="shared" si="73"/>
        <v>12-01</v>
      </c>
      <c r="H1450" s="1">
        <f>_xlfn.IFNA(VLOOKUP(Aragon!E1450,'Kilter Holds'!$P$36:$AB$370,13,0),0)</f>
        <v>0</v>
      </c>
      <c r="J1450" s="2">
        <f t="shared" si="71"/>
        <v>0</v>
      </c>
      <c r="K1450" s="2">
        <f t="shared" si="72"/>
        <v>0</v>
      </c>
    </row>
    <row r="1451" spans="5:11">
      <c r="E1451" t="s">
        <v>240</v>
      </c>
      <c r="F1451" t="s">
        <v>698</v>
      </c>
      <c r="G1451" s="5" t="str">
        <f t="shared" si="73"/>
        <v>11-12</v>
      </c>
      <c r="H1451" s="1">
        <f>_xlfn.IFNA(VLOOKUP(Aragon!E1451,'Kilter Holds'!$P$36:$AB$370,5,0),0)</f>
        <v>0</v>
      </c>
      <c r="J1451" s="2">
        <f t="shared" si="71"/>
        <v>0</v>
      </c>
      <c r="K1451" s="2">
        <f t="shared" si="72"/>
        <v>0</v>
      </c>
    </row>
    <row r="1452" spans="5:11">
      <c r="E1452" t="s">
        <v>240</v>
      </c>
      <c r="F1452" t="s">
        <v>698</v>
      </c>
      <c r="G1452" s="6" t="str">
        <f t="shared" si="73"/>
        <v>14-01</v>
      </c>
      <c r="H1452" s="1">
        <f>_xlfn.IFNA(VLOOKUP(Aragon!E1452,'Kilter Holds'!$P$36:$AB$370,6,0),0)</f>
        <v>0</v>
      </c>
      <c r="J1452" s="2">
        <f t="shared" si="71"/>
        <v>0</v>
      </c>
      <c r="K1452" s="2">
        <f t="shared" si="72"/>
        <v>0</v>
      </c>
    </row>
    <row r="1453" spans="5:11">
      <c r="E1453" t="s">
        <v>240</v>
      </c>
      <c r="F1453" t="s">
        <v>698</v>
      </c>
      <c r="G1453" s="7" t="str">
        <f t="shared" si="73"/>
        <v>15-12</v>
      </c>
      <c r="H1453" s="1">
        <f>_xlfn.IFNA(VLOOKUP(Aragon!E1453,'Kilter Holds'!$P$36:$AB$370,7,0),0)</f>
        <v>0</v>
      </c>
      <c r="J1453" s="2">
        <f t="shared" si="71"/>
        <v>0</v>
      </c>
      <c r="K1453" s="2">
        <f t="shared" si="72"/>
        <v>0</v>
      </c>
    </row>
    <row r="1454" spans="5:11">
      <c r="E1454" t="s">
        <v>240</v>
      </c>
      <c r="F1454" t="s">
        <v>698</v>
      </c>
      <c r="G1454" s="8" t="str">
        <f t="shared" si="73"/>
        <v>16-16</v>
      </c>
      <c r="H1454" s="1">
        <f>_xlfn.IFNA(VLOOKUP(Aragon!E1454,'Kilter Holds'!$P$36:$AB$370,8,0),0)</f>
        <v>0</v>
      </c>
      <c r="J1454" s="2">
        <f t="shared" si="71"/>
        <v>0</v>
      </c>
      <c r="K1454" s="2">
        <f t="shared" si="72"/>
        <v>0</v>
      </c>
    </row>
    <row r="1455" spans="5:11">
      <c r="E1455" t="s">
        <v>240</v>
      </c>
      <c r="F1455" t="s">
        <v>698</v>
      </c>
      <c r="G1455" s="9" t="str">
        <f t="shared" si="73"/>
        <v>13-01</v>
      </c>
      <c r="H1455" s="1">
        <f>_xlfn.IFNA(VLOOKUP(Aragon!E1455,'Kilter Holds'!$P$36:$AB$370,9,0),0)</f>
        <v>0</v>
      </c>
      <c r="J1455" s="2">
        <f t="shared" si="71"/>
        <v>0</v>
      </c>
      <c r="K1455" s="2">
        <f t="shared" si="72"/>
        <v>0</v>
      </c>
    </row>
    <row r="1456" spans="5:11">
      <c r="E1456" t="s">
        <v>240</v>
      </c>
      <c r="F1456" t="s">
        <v>698</v>
      </c>
      <c r="G1456" s="10" t="str">
        <f t="shared" si="73"/>
        <v>07-13</v>
      </c>
      <c r="H1456" s="1">
        <f>_xlfn.IFNA(VLOOKUP(Aragon!E1456,'Kilter Holds'!$P$36:$AB$370,10,0),0)</f>
        <v>0</v>
      </c>
      <c r="J1456" s="2">
        <f t="shared" si="71"/>
        <v>0</v>
      </c>
      <c r="K1456" s="2">
        <f t="shared" si="72"/>
        <v>0</v>
      </c>
    </row>
    <row r="1457" spans="5:11">
      <c r="E1457" t="s">
        <v>240</v>
      </c>
      <c r="F1457" t="s">
        <v>698</v>
      </c>
      <c r="G1457" s="11" t="str">
        <f t="shared" si="73"/>
        <v>11-25</v>
      </c>
      <c r="H1457" s="1">
        <f>_xlfn.IFNA(VLOOKUP(Aragon!E1457,'Kilter Holds'!$P$36:$AB$370,11,0),0)</f>
        <v>0</v>
      </c>
      <c r="J1457" s="2">
        <f t="shared" si="71"/>
        <v>0</v>
      </c>
      <c r="K1457" s="2">
        <f t="shared" si="72"/>
        <v>0</v>
      </c>
    </row>
    <row r="1458" spans="5:11">
      <c r="E1458" t="s">
        <v>240</v>
      </c>
      <c r="F1458" t="s">
        <v>698</v>
      </c>
      <c r="G1458" s="13" t="str">
        <f t="shared" si="73"/>
        <v>18-01</v>
      </c>
      <c r="H1458" s="1">
        <f>_xlfn.IFNA(VLOOKUP(Aragon!E1458,'Kilter Holds'!$P$36:$AB$370,12,0),0)</f>
        <v>0</v>
      </c>
      <c r="J1458" s="2">
        <f t="shared" si="71"/>
        <v>0</v>
      </c>
      <c r="K1458" s="2">
        <f t="shared" si="72"/>
        <v>0</v>
      </c>
    </row>
    <row r="1459" spans="5:11">
      <c r="E1459" t="s">
        <v>240</v>
      </c>
      <c r="F1459" t="s">
        <v>698</v>
      </c>
      <c r="G1459" s="12" t="str">
        <f t="shared" si="73"/>
        <v>12-01</v>
      </c>
      <c r="H1459" s="1">
        <f>_xlfn.IFNA(VLOOKUP(Aragon!E1459,'Kilter Holds'!$P$36:$AB$370,13,0),0)</f>
        <v>0</v>
      </c>
      <c r="J1459" s="2">
        <f t="shared" si="71"/>
        <v>0</v>
      </c>
      <c r="K1459" s="2">
        <f t="shared" si="72"/>
        <v>0</v>
      </c>
    </row>
    <row r="1460" spans="5:11">
      <c r="E1460" t="s">
        <v>252</v>
      </c>
      <c r="F1460" t="s">
        <v>699</v>
      </c>
      <c r="G1460" s="5" t="str">
        <f t="shared" si="73"/>
        <v>11-12</v>
      </c>
      <c r="H1460" s="1">
        <f>_xlfn.IFNA(VLOOKUP(Aragon!E1460,'Kilter Holds'!$P$36:$AB$370,5,0),0)</f>
        <v>0</v>
      </c>
      <c r="J1460" s="2">
        <f t="shared" si="71"/>
        <v>0</v>
      </c>
      <c r="K1460" s="2">
        <f t="shared" si="72"/>
        <v>0</v>
      </c>
    </row>
    <row r="1461" spans="5:11">
      <c r="E1461" t="s">
        <v>252</v>
      </c>
      <c r="F1461" t="s">
        <v>699</v>
      </c>
      <c r="G1461" s="6" t="str">
        <f t="shared" si="73"/>
        <v>14-01</v>
      </c>
      <c r="H1461" s="1">
        <f>_xlfn.IFNA(VLOOKUP(Aragon!E1461,'Kilter Holds'!$P$36:$AB$370,6,0),0)</f>
        <v>0</v>
      </c>
      <c r="J1461" s="2">
        <f t="shared" si="71"/>
        <v>0</v>
      </c>
      <c r="K1461" s="2">
        <f t="shared" si="72"/>
        <v>0</v>
      </c>
    </row>
    <row r="1462" spans="5:11">
      <c r="E1462" t="s">
        <v>252</v>
      </c>
      <c r="F1462" t="s">
        <v>699</v>
      </c>
      <c r="G1462" s="7" t="str">
        <f t="shared" si="73"/>
        <v>15-12</v>
      </c>
      <c r="H1462" s="1">
        <f>_xlfn.IFNA(VLOOKUP(Aragon!E1462,'Kilter Holds'!$P$36:$AB$370,7,0),0)</f>
        <v>0</v>
      </c>
      <c r="J1462" s="2">
        <f t="shared" si="71"/>
        <v>0</v>
      </c>
      <c r="K1462" s="2">
        <f t="shared" si="72"/>
        <v>0</v>
      </c>
    </row>
    <row r="1463" spans="5:11">
      <c r="E1463" t="s">
        <v>252</v>
      </c>
      <c r="F1463" t="s">
        <v>699</v>
      </c>
      <c r="G1463" s="8" t="str">
        <f t="shared" si="73"/>
        <v>16-16</v>
      </c>
      <c r="H1463" s="1">
        <f>_xlfn.IFNA(VLOOKUP(Aragon!E1463,'Kilter Holds'!$P$36:$AB$370,8,0),0)</f>
        <v>0</v>
      </c>
      <c r="J1463" s="2">
        <f t="shared" si="71"/>
        <v>0</v>
      </c>
      <c r="K1463" s="2">
        <f t="shared" si="72"/>
        <v>0</v>
      </c>
    </row>
    <row r="1464" spans="5:11">
      <c r="E1464" t="s">
        <v>252</v>
      </c>
      <c r="F1464" t="s">
        <v>699</v>
      </c>
      <c r="G1464" s="9" t="str">
        <f t="shared" si="73"/>
        <v>13-01</v>
      </c>
      <c r="H1464" s="1">
        <f>_xlfn.IFNA(VLOOKUP(Aragon!E1464,'Kilter Holds'!$P$36:$AB$370,9,0),0)</f>
        <v>0</v>
      </c>
      <c r="J1464" s="2">
        <f t="shared" si="71"/>
        <v>0</v>
      </c>
      <c r="K1464" s="2">
        <f t="shared" si="72"/>
        <v>0</v>
      </c>
    </row>
    <row r="1465" spans="5:11">
      <c r="E1465" t="s">
        <v>252</v>
      </c>
      <c r="F1465" t="s">
        <v>699</v>
      </c>
      <c r="G1465" s="10" t="str">
        <f t="shared" si="73"/>
        <v>07-13</v>
      </c>
      <c r="H1465" s="1">
        <f>_xlfn.IFNA(VLOOKUP(Aragon!E1465,'Kilter Holds'!$P$36:$AB$370,10,0),0)</f>
        <v>0</v>
      </c>
      <c r="J1465" s="2">
        <f t="shared" si="71"/>
        <v>0</v>
      </c>
      <c r="K1465" s="2">
        <f t="shared" si="72"/>
        <v>0</v>
      </c>
    </row>
    <row r="1466" spans="5:11">
      <c r="E1466" t="s">
        <v>252</v>
      </c>
      <c r="F1466" t="s">
        <v>699</v>
      </c>
      <c r="G1466" s="11" t="str">
        <f t="shared" si="73"/>
        <v>11-25</v>
      </c>
      <c r="H1466" s="1">
        <f>_xlfn.IFNA(VLOOKUP(Aragon!E1466,'Kilter Holds'!$P$36:$AB$370,11,0),0)</f>
        <v>0</v>
      </c>
      <c r="J1466" s="2">
        <f t="shared" ref="J1466:J1529" si="74">H1466*I1466</f>
        <v>0</v>
      </c>
      <c r="K1466" s="2">
        <f t="shared" si="72"/>
        <v>0</v>
      </c>
    </row>
    <row r="1467" spans="5:11">
      <c r="E1467" t="s">
        <v>252</v>
      </c>
      <c r="F1467" t="s">
        <v>699</v>
      </c>
      <c r="G1467" s="13" t="str">
        <f t="shared" si="73"/>
        <v>18-01</v>
      </c>
      <c r="H1467" s="1">
        <f>_xlfn.IFNA(VLOOKUP(Aragon!E1467,'Kilter Holds'!$P$36:$AB$370,12,0),0)</f>
        <v>0</v>
      </c>
      <c r="J1467" s="2">
        <f t="shared" si="74"/>
        <v>0</v>
      </c>
      <c r="K1467" s="2">
        <f t="shared" si="72"/>
        <v>0</v>
      </c>
    </row>
    <row r="1468" spans="5:11">
      <c r="E1468" t="s">
        <v>252</v>
      </c>
      <c r="F1468" t="s">
        <v>699</v>
      </c>
      <c r="G1468" s="12" t="str">
        <f t="shared" si="73"/>
        <v>12-01</v>
      </c>
      <c r="H1468" s="1">
        <f>_xlfn.IFNA(VLOOKUP(Aragon!E1468,'Kilter Holds'!$P$36:$AB$370,13,0),0)</f>
        <v>0</v>
      </c>
      <c r="J1468" s="2">
        <f t="shared" si="74"/>
        <v>0</v>
      </c>
      <c r="K1468" s="2">
        <f t="shared" si="72"/>
        <v>0</v>
      </c>
    </row>
    <row r="1469" spans="5:11">
      <c r="E1469" t="s">
        <v>230</v>
      </c>
      <c r="F1469" t="s">
        <v>700</v>
      </c>
      <c r="G1469" s="5" t="str">
        <f t="shared" si="73"/>
        <v>11-12</v>
      </c>
      <c r="H1469" s="1">
        <f>_xlfn.IFNA(VLOOKUP(Aragon!E1469,'Kilter Holds'!$P$36:$AB$370,5,0),0)</f>
        <v>0</v>
      </c>
      <c r="J1469" s="2">
        <f t="shared" si="74"/>
        <v>0</v>
      </c>
      <c r="K1469" s="2">
        <f t="shared" si="72"/>
        <v>0</v>
      </c>
    </row>
    <row r="1470" spans="5:11">
      <c r="E1470" t="s">
        <v>230</v>
      </c>
      <c r="F1470" t="s">
        <v>700</v>
      </c>
      <c r="G1470" s="6" t="str">
        <f t="shared" si="73"/>
        <v>14-01</v>
      </c>
      <c r="H1470" s="1">
        <f>_xlfn.IFNA(VLOOKUP(Aragon!E1470,'Kilter Holds'!$P$36:$AB$370,6,0),0)</f>
        <v>0</v>
      </c>
      <c r="J1470" s="2">
        <f t="shared" si="74"/>
        <v>0</v>
      </c>
      <c r="K1470" s="2">
        <f t="shared" si="72"/>
        <v>0</v>
      </c>
    </row>
    <row r="1471" spans="5:11">
      <c r="E1471" t="s">
        <v>230</v>
      </c>
      <c r="F1471" t="s">
        <v>700</v>
      </c>
      <c r="G1471" s="7" t="str">
        <f t="shared" si="73"/>
        <v>15-12</v>
      </c>
      <c r="H1471" s="1">
        <f>_xlfn.IFNA(VLOOKUP(Aragon!E1471,'Kilter Holds'!$P$36:$AB$370,7,0),0)</f>
        <v>0</v>
      </c>
      <c r="J1471" s="2">
        <f t="shared" si="74"/>
        <v>0</v>
      </c>
      <c r="K1471" s="2">
        <f t="shared" si="72"/>
        <v>0</v>
      </c>
    </row>
    <row r="1472" spans="5:11">
      <c r="E1472" t="s">
        <v>230</v>
      </c>
      <c r="F1472" t="s">
        <v>700</v>
      </c>
      <c r="G1472" s="8" t="str">
        <f t="shared" si="73"/>
        <v>16-16</v>
      </c>
      <c r="H1472" s="1">
        <f>_xlfn.IFNA(VLOOKUP(Aragon!E1472,'Kilter Holds'!$P$36:$AB$370,8,0),0)</f>
        <v>0</v>
      </c>
      <c r="J1472" s="2">
        <f t="shared" si="74"/>
        <v>0</v>
      </c>
      <c r="K1472" s="2">
        <f t="shared" si="72"/>
        <v>0</v>
      </c>
    </row>
    <row r="1473" spans="5:11">
      <c r="E1473" t="s">
        <v>230</v>
      </c>
      <c r="F1473" t="s">
        <v>700</v>
      </c>
      <c r="G1473" s="9" t="str">
        <f t="shared" si="73"/>
        <v>13-01</v>
      </c>
      <c r="H1473" s="1">
        <f>_xlfn.IFNA(VLOOKUP(Aragon!E1473,'Kilter Holds'!$P$36:$AB$370,9,0),0)</f>
        <v>0</v>
      </c>
      <c r="J1473" s="2">
        <f t="shared" si="74"/>
        <v>0</v>
      </c>
      <c r="K1473" s="2">
        <f t="shared" si="72"/>
        <v>0</v>
      </c>
    </row>
    <row r="1474" spans="5:11">
      <c r="E1474" t="s">
        <v>230</v>
      </c>
      <c r="F1474" t="s">
        <v>700</v>
      </c>
      <c r="G1474" s="10" t="str">
        <f t="shared" si="73"/>
        <v>07-13</v>
      </c>
      <c r="H1474" s="1">
        <f>_xlfn.IFNA(VLOOKUP(Aragon!E1474,'Kilter Holds'!$P$36:$AB$370,10,0),0)</f>
        <v>0</v>
      </c>
      <c r="J1474" s="2">
        <f t="shared" si="74"/>
        <v>0</v>
      </c>
      <c r="K1474" s="2">
        <f t="shared" si="72"/>
        <v>0</v>
      </c>
    </row>
    <row r="1475" spans="5:11">
      <c r="E1475" t="s">
        <v>230</v>
      </c>
      <c r="F1475" t="s">
        <v>700</v>
      </c>
      <c r="G1475" s="11" t="str">
        <f t="shared" si="73"/>
        <v>11-25</v>
      </c>
      <c r="H1475" s="1">
        <f>_xlfn.IFNA(VLOOKUP(Aragon!E1475,'Kilter Holds'!$P$36:$AB$370,11,0),0)</f>
        <v>0</v>
      </c>
      <c r="J1475" s="2">
        <f t="shared" si="74"/>
        <v>0</v>
      </c>
      <c r="K1475" s="2">
        <f t="shared" si="72"/>
        <v>0</v>
      </c>
    </row>
    <row r="1476" spans="5:11">
      <c r="E1476" t="s">
        <v>230</v>
      </c>
      <c r="F1476" t="s">
        <v>700</v>
      </c>
      <c r="G1476" s="13" t="str">
        <f t="shared" si="73"/>
        <v>18-01</v>
      </c>
      <c r="H1476" s="1">
        <f>_xlfn.IFNA(VLOOKUP(Aragon!E1476,'Kilter Holds'!$P$36:$AB$370,12,0),0)</f>
        <v>0</v>
      </c>
      <c r="J1476" s="2">
        <f t="shared" si="74"/>
        <v>0</v>
      </c>
      <c r="K1476" s="2">
        <f t="shared" si="72"/>
        <v>0</v>
      </c>
    </row>
    <row r="1477" spans="5:11">
      <c r="E1477" t="s">
        <v>230</v>
      </c>
      <c r="F1477" t="s">
        <v>700</v>
      </c>
      <c r="G1477" s="12" t="str">
        <f t="shared" si="73"/>
        <v>12-01</v>
      </c>
      <c r="H1477" s="1">
        <f>_xlfn.IFNA(VLOOKUP(Aragon!E1477,'Kilter Holds'!$P$36:$AB$370,13,0),0)</f>
        <v>0</v>
      </c>
      <c r="J1477" s="2">
        <f t="shared" si="74"/>
        <v>0</v>
      </c>
      <c r="K1477" s="2">
        <f t="shared" si="72"/>
        <v>0</v>
      </c>
    </row>
    <row r="1478" spans="5:11">
      <c r="E1478" t="s">
        <v>232</v>
      </c>
      <c r="F1478" t="s">
        <v>701</v>
      </c>
      <c r="G1478" s="5" t="str">
        <f t="shared" si="73"/>
        <v>11-12</v>
      </c>
      <c r="H1478" s="1">
        <f>_xlfn.IFNA(VLOOKUP(Aragon!E1478,'Kilter Holds'!$P$36:$AB$370,5,0),0)</f>
        <v>0</v>
      </c>
      <c r="J1478" s="2">
        <f t="shared" si="74"/>
        <v>0</v>
      </c>
      <c r="K1478" s="2">
        <f t="shared" si="72"/>
        <v>0</v>
      </c>
    </row>
    <row r="1479" spans="5:11">
      <c r="E1479" t="s">
        <v>232</v>
      </c>
      <c r="F1479" t="s">
        <v>701</v>
      </c>
      <c r="G1479" s="6" t="str">
        <f t="shared" si="73"/>
        <v>14-01</v>
      </c>
      <c r="H1479" s="1">
        <f>_xlfn.IFNA(VLOOKUP(Aragon!E1479,'Kilter Holds'!$P$36:$AB$370,6,0),0)</f>
        <v>0</v>
      </c>
      <c r="J1479" s="2">
        <f t="shared" si="74"/>
        <v>0</v>
      </c>
      <c r="K1479" s="2">
        <f t="shared" si="72"/>
        <v>0</v>
      </c>
    </row>
    <row r="1480" spans="5:11">
      <c r="E1480" t="s">
        <v>232</v>
      </c>
      <c r="F1480" t="s">
        <v>701</v>
      </c>
      <c r="G1480" s="7" t="str">
        <f t="shared" si="73"/>
        <v>15-12</v>
      </c>
      <c r="H1480" s="1">
        <f>_xlfn.IFNA(VLOOKUP(Aragon!E1480,'Kilter Holds'!$P$36:$AB$370,7,0),0)</f>
        <v>0</v>
      </c>
      <c r="J1480" s="2">
        <f t="shared" si="74"/>
        <v>0</v>
      </c>
      <c r="K1480" s="2">
        <f t="shared" si="72"/>
        <v>0</v>
      </c>
    </row>
    <row r="1481" spans="5:11">
      <c r="E1481" t="s">
        <v>232</v>
      </c>
      <c r="F1481" t="s">
        <v>701</v>
      </c>
      <c r="G1481" s="8" t="str">
        <f t="shared" si="73"/>
        <v>16-16</v>
      </c>
      <c r="H1481" s="1">
        <f>_xlfn.IFNA(VLOOKUP(Aragon!E1481,'Kilter Holds'!$P$36:$AB$370,8,0),0)</f>
        <v>0</v>
      </c>
      <c r="J1481" s="2">
        <f t="shared" si="74"/>
        <v>0</v>
      </c>
      <c r="K1481" s="2">
        <f t="shared" si="72"/>
        <v>0</v>
      </c>
    </row>
    <row r="1482" spans="5:11">
      <c r="E1482" t="s">
        <v>232</v>
      </c>
      <c r="F1482" t="s">
        <v>701</v>
      </c>
      <c r="G1482" s="9" t="str">
        <f t="shared" si="73"/>
        <v>13-01</v>
      </c>
      <c r="H1482" s="1">
        <f>_xlfn.IFNA(VLOOKUP(Aragon!E1482,'Kilter Holds'!$P$36:$AB$370,9,0),0)</f>
        <v>0</v>
      </c>
      <c r="J1482" s="2">
        <f t="shared" si="74"/>
        <v>0</v>
      </c>
      <c r="K1482" s="2">
        <f t="shared" si="72"/>
        <v>0</v>
      </c>
    </row>
    <row r="1483" spans="5:11">
      <c r="E1483" t="s">
        <v>232</v>
      </c>
      <c r="F1483" t="s">
        <v>701</v>
      </c>
      <c r="G1483" s="10" t="str">
        <f t="shared" si="73"/>
        <v>07-13</v>
      </c>
      <c r="H1483" s="1">
        <f>_xlfn.IFNA(VLOOKUP(Aragon!E1483,'Kilter Holds'!$P$36:$AB$370,10,0),0)</f>
        <v>0</v>
      </c>
      <c r="J1483" s="2">
        <f t="shared" si="74"/>
        <v>0</v>
      </c>
      <c r="K1483" s="2">
        <f t="shared" si="72"/>
        <v>0</v>
      </c>
    </row>
    <row r="1484" spans="5:11">
      <c r="E1484" t="s">
        <v>232</v>
      </c>
      <c r="F1484" t="s">
        <v>701</v>
      </c>
      <c r="G1484" s="11" t="str">
        <f t="shared" si="73"/>
        <v>11-25</v>
      </c>
      <c r="H1484" s="1">
        <f>_xlfn.IFNA(VLOOKUP(Aragon!E1484,'Kilter Holds'!$P$36:$AB$370,11,0),0)</f>
        <v>0</v>
      </c>
      <c r="J1484" s="2">
        <f t="shared" si="74"/>
        <v>0</v>
      </c>
      <c r="K1484" s="2">
        <f t="shared" ref="K1484:K1547" si="75">IF($V$11="Y",J1484*0.05,0)</f>
        <v>0</v>
      </c>
    </row>
    <row r="1485" spans="5:11">
      <c r="E1485" t="s">
        <v>232</v>
      </c>
      <c r="F1485" t="s">
        <v>701</v>
      </c>
      <c r="G1485" s="13" t="str">
        <f t="shared" ref="G1485:G1548" si="76">G1476</f>
        <v>18-01</v>
      </c>
      <c r="H1485" s="1">
        <f>_xlfn.IFNA(VLOOKUP(Aragon!E1485,'Kilter Holds'!$P$36:$AB$370,12,0),0)</f>
        <v>0</v>
      </c>
      <c r="J1485" s="2">
        <f t="shared" si="74"/>
        <v>0</v>
      </c>
      <c r="K1485" s="2">
        <f t="shared" si="75"/>
        <v>0</v>
      </c>
    </row>
    <row r="1486" spans="5:11">
      <c r="E1486" t="s">
        <v>232</v>
      </c>
      <c r="F1486" t="s">
        <v>701</v>
      </c>
      <c r="G1486" s="12" t="str">
        <f t="shared" si="76"/>
        <v>12-01</v>
      </c>
      <c r="H1486" s="1">
        <f>_xlfn.IFNA(VLOOKUP(Aragon!E1486,'Kilter Holds'!$P$36:$AB$370,13,0),0)</f>
        <v>0</v>
      </c>
      <c r="J1486" s="2">
        <f t="shared" si="74"/>
        <v>0</v>
      </c>
      <c r="K1486" s="2">
        <f t="shared" si="75"/>
        <v>0</v>
      </c>
    </row>
    <row r="1487" spans="5:11">
      <c r="E1487" t="s">
        <v>253</v>
      </c>
      <c r="F1487" t="s">
        <v>702</v>
      </c>
      <c r="G1487" s="5" t="str">
        <f t="shared" si="76"/>
        <v>11-12</v>
      </c>
      <c r="H1487" s="1">
        <f>_xlfn.IFNA(VLOOKUP(Aragon!E1487,'Kilter Holds'!$P$36:$AB$370,5,0),0)</f>
        <v>0</v>
      </c>
      <c r="J1487" s="2">
        <f t="shared" si="74"/>
        <v>0</v>
      </c>
      <c r="K1487" s="2">
        <f t="shared" si="75"/>
        <v>0</v>
      </c>
    </row>
    <row r="1488" spans="5:11">
      <c r="E1488" t="s">
        <v>253</v>
      </c>
      <c r="F1488" t="s">
        <v>702</v>
      </c>
      <c r="G1488" s="6" t="str">
        <f t="shared" si="76"/>
        <v>14-01</v>
      </c>
      <c r="H1488" s="1">
        <f>_xlfn.IFNA(VLOOKUP(Aragon!E1488,'Kilter Holds'!$P$36:$AB$370,6,0),0)</f>
        <v>0</v>
      </c>
      <c r="J1488" s="2">
        <f t="shared" si="74"/>
        <v>0</v>
      </c>
      <c r="K1488" s="2">
        <f t="shared" si="75"/>
        <v>0</v>
      </c>
    </row>
    <row r="1489" spans="5:11">
      <c r="E1489" t="s">
        <v>253</v>
      </c>
      <c r="F1489" t="s">
        <v>702</v>
      </c>
      <c r="G1489" s="7" t="str">
        <f t="shared" si="76"/>
        <v>15-12</v>
      </c>
      <c r="H1489" s="1">
        <f>_xlfn.IFNA(VLOOKUP(Aragon!E1489,'Kilter Holds'!$P$36:$AB$370,7,0),0)</f>
        <v>0</v>
      </c>
      <c r="J1489" s="2">
        <f t="shared" si="74"/>
        <v>0</v>
      </c>
      <c r="K1489" s="2">
        <f t="shared" si="75"/>
        <v>0</v>
      </c>
    </row>
    <row r="1490" spans="5:11">
      <c r="E1490" t="s">
        <v>253</v>
      </c>
      <c r="F1490" t="s">
        <v>702</v>
      </c>
      <c r="G1490" s="8" t="str">
        <f t="shared" si="76"/>
        <v>16-16</v>
      </c>
      <c r="H1490" s="1">
        <f>_xlfn.IFNA(VLOOKUP(Aragon!E1490,'Kilter Holds'!$P$36:$AB$370,8,0),0)</f>
        <v>0</v>
      </c>
      <c r="J1490" s="2">
        <f t="shared" si="74"/>
        <v>0</v>
      </c>
      <c r="K1490" s="2">
        <f t="shared" si="75"/>
        <v>0</v>
      </c>
    </row>
    <row r="1491" spans="5:11">
      <c r="E1491" t="s">
        <v>253</v>
      </c>
      <c r="F1491" t="s">
        <v>702</v>
      </c>
      <c r="G1491" s="9" t="str">
        <f t="shared" si="76"/>
        <v>13-01</v>
      </c>
      <c r="H1491" s="1">
        <f>_xlfn.IFNA(VLOOKUP(Aragon!E1491,'Kilter Holds'!$P$36:$AB$370,9,0),0)</f>
        <v>0</v>
      </c>
      <c r="J1491" s="2">
        <f t="shared" si="74"/>
        <v>0</v>
      </c>
      <c r="K1491" s="2">
        <f t="shared" si="75"/>
        <v>0</v>
      </c>
    </row>
    <row r="1492" spans="5:11">
      <c r="E1492" t="s">
        <v>253</v>
      </c>
      <c r="F1492" t="s">
        <v>702</v>
      </c>
      <c r="G1492" s="10" t="str">
        <f t="shared" si="76"/>
        <v>07-13</v>
      </c>
      <c r="H1492" s="1">
        <f>_xlfn.IFNA(VLOOKUP(Aragon!E1492,'Kilter Holds'!$P$36:$AB$370,10,0),0)</f>
        <v>0</v>
      </c>
      <c r="J1492" s="2">
        <f t="shared" si="74"/>
        <v>0</v>
      </c>
      <c r="K1492" s="2">
        <f t="shared" si="75"/>
        <v>0</v>
      </c>
    </row>
    <row r="1493" spans="5:11">
      <c r="E1493" t="s">
        <v>253</v>
      </c>
      <c r="F1493" t="s">
        <v>702</v>
      </c>
      <c r="G1493" s="11" t="str">
        <f t="shared" si="76"/>
        <v>11-25</v>
      </c>
      <c r="H1493" s="1">
        <f>_xlfn.IFNA(VLOOKUP(Aragon!E1493,'Kilter Holds'!$P$36:$AB$370,11,0),0)</f>
        <v>0</v>
      </c>
      <c r="J1493" s="2">
        <f t="shared" si="74"/>
        <v>0</v>
      </c>
      <c r="K1493" s="2">
        <f t="shared" si="75"/>
        <v>0</v>
      </c>
    </row>
    <row r="1494" spans="5:11">
      <c r="E1494" t="s">
        <v>253</v>
      </c>
      <c r="F1494" t="s">
        <v>702</v>
      </c>
      <c r="G1494" s="13" t="str">
        <f t="shared" si="76"/>
        <v>18-01</v>
      </c>
      <c r="H1494" s="1">
        <f>_xlfn.IFNA(VLOOKUP(Aragon!E1494,'Kilter Holds'!$P$36:$AB$370,12,0),0)</f>
        <v>0</v>
      </c>
      <c r="J1494" s="2">
        <f t="shared" si="74"/>
        <v>0</v>
      </c>
      <c r="K1494" s="2">
        <f t="shared" si="75"/>
        <v>0</v>
      </c>
    </row>
    <row r="1495" spans="5:11">
      <c r="E1495" t="s">
        <v>253</v>
      </c>
      <c r="F1495" t="s">
        <v>702</v>
      </c>
      <c r="G1495" s="12" t="str">
        <f t="shared" si="76"/>
        <v>12-01</v>
      </c>
      <c r="H1495" s="1">
        <f>_xlfn.IFNA(VLOOKUP(Aragon!E1495,'Kilter Holds'!$P$36:$AB$370,13,0),0)</f>
        <v>0</v>
      </c>
      <c r="J1495" s="2">
        <f t="shared" si="74"/>
        <v>0</v>
      </c>
      <c r="K1495" s="2">
        <f t="shared" si="75"/>
        <v>0</v>
      </c>
    </row>
    <row r="1496" spans="5:11">
      <c r="E1496" t="s">
        <v>254</v>
      </c>
      <c r="F1496" t="s">
        <v>703</v>
      </c>
      <c r="G1496" s="5" t="str">
        <f t="shared" si="76"/>
        <v>11-12</v>
      </c>
      <c r="H1496" s="1">
        <f>_xlfn.IFNA(VLOOKUP(Aragon!E1496,'Kilter Holds'!$P$36:$AB$370,5,0),0)</f>
        <v>0</v>
      </c>
      <c r="J1496" s="2">
        <f t="shared" si="74"/>
        <v>0</v>
      </c>
      <c r="K1496" s="2">
        <f t="shared" si="75"/>
        <v>0</v>
      </c>
    </row>
    <row r="1497" spans="5:11">
      <c r="E1497" t="s">
        <v>254</v>
      </c>
      <c r="F1497" t="s">
        <v>703</v>
      </c>
      <c r="G1497" s="6" t="str">
        <f t="shared" si="76"/>
        <v>14-01</v>
      </c>
      <c r="H1497" s="1">
        <f>_xlfn.IFNA(VLOOKUP(Aragon!E1497,'Kilter Holds'!$P$36:$AB$370,6,0),0)</f>
        <v>0</v>
      </c>
      <c r="J1497" s="2">
        <f t="shared" si="74"/>
        <v>0</v>
      </c>
      <c r="K1497" s="2">
        <f t="shared" si="75"/>
        <v>0</v>
      </c>
    </row>
    <row r="1498" spans="5:11">
      <c r="E1498" t="s">
        <v>254</v>
      </c>
      <c r="F1498" t="s">
        <v>703</v>
      </c>
      <c r="G1498" s="7" t="str">
        <f t="shared" si="76"/>
        <v>15-12</v>
      </c>
      <c r="H1498" s="1">
        <f>_xlfn.IFNA(VLOOKUP(Aragon!E1498,'Kilter Holds'!$P$36:$AB$370,7,0),0)</f>
        <v>0</v>
      </c>
      <c r="J1498" s="2">
        <f t="shared" si="74"/>
        <v>0</v>
      </c>
      <c r="K1498" s="2">
        <f t="shared" si="75"/>
        <v>0</v>
      </c>
    </row>
    <row r="1499" spans="5:11">
      <c r="E1499" t="s">
        <v>254</v>
      </c>
      <c r="F1499" t="s">
        <v>703</v>
      </c>
      <c r="G1499" s="8" t="str">
        <f t="shared" si="76"/>
        <v>16-16</v>
      </c>
      <c r="H1499" s="1">
        <f>_xlfn.IFNA(VLOOKUP(Aragon!E1499,'Kilter Holds'!$P$36:$AB$370,8,0),0)</f>
        <v>0</v>
      </c>
      <c r="J1499" s="2">
        <f t="shared" si="74"/>
        <v>0</v>
      </c>
      <c r="K1499" s="2">
        <f t="shared" si="75"/>
        <v>0</v>
      </c>
    </row>
    <row r="1500" spans="5:11">
      <c r="E1500" t="s">
        <v>254</v>
      </c>
      <c r="F1500" t="s">
        <v>703</v>
      </c>
      <c r="G1500" s="9" t="str">
        <f t="shared" si="76"/>
        <v>13-01</v>
      </c>
      <c r="H1500" s="1">
        <f>_xlfn.IFNA(VLOOKUP(Aragon!E1500,'Kilter Holds'!$P$36:$AB$370,9,0),0)</f>
        <v>0</v>
      </c>
      <c r="J1500" s="2">
        <f t="shared" si="74"/>
        <v>0</v>
      </c>
      <c r="K1500" s="2">
        <f t="shared" si="75"/>
        <v>0</v>
      </c>
    </row>
    <row r="1501" spans="5:11">
      <c r="E1501" t="s">
        <v>254</v>
      </c>
      <c r="F1501" t="s">
        <v>703</v>
      </c>
      <c r="G1501" s="10" t="str">
        <f t="shared" si="76"/>
        <v>07-13</v>
      </c>
      <c r="H1501" s="1">
        <f>_xlfn.IFNA(VLOOKUP(Aragon!E1501,'Kilter Holds'!$P$36:$AB$370,10,0),0)</f>
        <v>0</v>
      </c>
      <c r="J1501" s="2">
        <f t="shared" si="74"/>
        <v>0</v>
      </c>
      <c r="K1501" s="2">
        <f t="shared" si="75"/>
        <v>0</v>
      </c>
    </row>
    <row r="1502" spans="5:11">
      <c r="E1502" t="s">
        <v>254</v>
      </c>
      <c r="F1502" t="s">
        <v>703</v>
      </c>
      <c r="G1502" s="11" t="str">
        <f t="shared" si="76"/>
        <v>11-25</v>
      </c>
      <c r="H1502" s="1">
        <f>_xlfn.IFNA(VLOOKUP(Aragon!E1502,'Kilter Holds'!$P$36:$AB$370,11,0),0)</f>
        <v>0</v>
      </c>
      <c r="J1502" s="2">
        <f t="shared" si="74"/>
        <v>0</v>
      </c>
      <c r="K1502" s="2">
        <f t="shared" si="75"/>
        <v>0</v>
      </c>
    </row>
    <row r="1503" spans="5:11">
      <c r="E1503" t="s">
        <v>254</v>
      </c>
      <c r="F1503" t="s">
        <v>703</v>
      </c>
      <c r="G1503" s="13" t="str">
        <f t="shared" si="76"/>
        <v>18-01</v>
      </c>
      <c r="H1503" s="1">
        <f>_xlfn.IFNA(VLOOKUP(Aragon!E1503,'Kilter Holds'!$P$36:$AB$370,12,0),0)</f>
        <v>0</v>
      </c>
      <c r="J1503" s="2">
        <f t="shared" si="74"/>
        <v>0</v>
      </c>
      <c r="K1503" s="2">
        <f t="shared" si="75"/>
        <v>0</v>
      </c>
    </row>
    <row r="1504" spans="5:11">
      <c r="E1504" t="s">
        <v>254</v>
      </c>
      <c r="F1504" t="s">
        <v>703</v>
      </c>
      <c r="G1504" s="12" t="str">
        <f t="shared" si="76"/>
        <v>12-01</v>
      </c>
      <c r="H1504" s="1">
        <f>_xlfn.IFNA(VLOOKUP(Aragon!E1504,'Kilter Holds'!$P$36:$AB$370,13,0),0)</f>
        <v>0</v>
      </c>
      <c r="J1504" s="2">
        <f t="shared" si="74"/>
        <v>0</v>
      </c>
      <c r="K1504" s="2">
        <f t="shared" si="75"/>
        <v>0</v>
      </c>
    </row>
    <row r="1505" spans="5:11">
      <c r="E1505" t="s">
        <v>255</v>
      </c>
      <c r="F1505" t="s">
        <v>704</v>
      </c>
      <c r="G1505" s="5" t="str">
        <f t="shared" si="76"/>
        <v>11-12</v>
      </c>
      <c r="H1505" s="1">
        <f>_xlfn.IFNA(VLOOKUP(Aragon!E1505,'Kilter Holds'!$P$36:$AB$370,5,0),0)</f>
        <v>0</v>
      </c>
      <c r="J1505" s="2">
        <f t="shared" si="74"/>
        <v>0</v>
      </c>
      <c r="K1505" s="2">
        <f t="shared" si="75"/>
        <v>0</v>
      </c>
    </row>
    <row r="1506" spans="5:11">
      <c r="E1506" t="s">
        <v>255</v>
      </c>
      <c r="F1506" t="s">
        <v>704</v>
      </c>
      <c r="G1506" s="6" t="str">
        <f t="shared" si="76"/>
        <v>14-01</v>
      </c>
      <c r="H1506" s="1">
        <f>_xlfn.IFNA(VLOOKUP(Aragon!E1506,'Kilter Holds'!$P$36:$AB$370,6,0),0)</f>
        <v>0</v>
      </c>
      <c r="J1506" s="2">
        <f t="shared" si="74"/>
        <v>0</v>
      </c>
      <c r="K1506" s="2">
        <f t="shared" si="75"/>
        <v>0</v>
      </c>
    </row>
    <row r="1507" spans="5:11">
      <c r="E1507" t="s">
        <v>255</v>
      </c>
      <c r="F1507" t="s">
        <v>704</v>
      </c>
      <c r="G1507" s="7" t="str">
        <f t="shared" si="76"/>
        <v>15-12</v>
      </c>
      <c r="H1507" s="1">
        <f>_xlfn.IFNA(VLOOKUP(Aragon!E1507,'Kilter Holds'!$P$36:$AB$370,7,0),0)</f>
        <v>0</v>
      </c>
      <c r="J1507" s="2">
        <f t="shared" si="74"/>
        <v>0</v>
      </c>
      <c r="K1507" s="2">
        <f t="shared" si="75"/>
        <v>0</v>
      </c>
    </row>
    <row r="1508" spans="5:11">
      <c r="E1508" t="s">
        <v>255</v>
      </c>
      <c r="F1508" t="s">
        <v>704</v>
      </c>
      <c r="G1508" s="8" t="str">
        <f t="shared" si="76"/>
        <v>16-16</v>
      </c>
      <c r="H1508" s="1">
        <f>_xlfn.IFNA(VLOOKUP(Aragon!E1508,'Kilter Holds'!$P$36:$AB$370,8,0),0)</f>
        <v>0</v>
      </c>
      <c r="J1508" s="2">
        <f t="shared" si="74"/>
        <v>0</v>
      </c>
      <c r="K1508" s="2">
        <f t="shared" si="75"/>
        <v>0</v>
      </c>
    </row>
    <row r="1509" spans="5:11">
      <c r="E1509" t="s">
        <v>255</v>
      </c>
      <c r="F1509" t="s">
        <v>704</v>
      </c>
      <c r="G1509" s="9" t="str">
        <f t="shared" si="76"/>
        <v>13-01</v>
      </c>
      <c r="H1509" s="1">
        <f>_xlfn.IFNA(VLOOKUP(Aragon!E1509,'Kilter Holds'!$P$36:$AB$370,9,0),0)</f>
        <v>0</v>
      </c>
      <c r="J1509" s="2">
        <f t="shared" si="74"/>
        <v>0</v>
      </c>
      <c r="K1509" s="2">
        <f t="shared" si="75"/>
        <v>0</v>
      </c>
    </row>
    <row r="1510" spans="5:11">
      <c r="E1510" t="s">
        <v>255</v>
      </c>
      <c r="F1510" t="s">
        <v>704</v>
      </c>
      <c r="G1510" s="10" t="str">
        <f t="shared" si="76"/>
        <v>07-13</v>
      </c>
      <c r="H1510" s="1">
        <f>_xlfn.IFNA(VLOOKUP(Aragon!E1510,'Kilter Holds'!$P$36:$AB$370,10,0),0)</f>
        <v>0</v>
      </c>
      <c r="J1510" s="2">
        <f t="shared" si="74"/>
        <v>0</v>
      </c>
      <c r="K1510" s="2">
        <f t="shared" si="75"/>
        <v>0</v>
      </c>
    </row>
    <row r="1511" spans="5:11">
      <c r="E1511" t="s">
        <v>255</v>
      </c>
      <c r="F1511" t="s">
        <v>704</v>
      </c>
      <c r="G1511" s="11" t="str">
        <f t="shared" si="76"/>
        <v>11-25</v>
      </c>
      <c r="H1511" s="1">
        <f>_xlfn.IFNA(VLOOKUP(Aragon!E1511,'Kilter Holds'!$P$36:$AB$370,11,0),0)</f>
        <v>0</v>
      </c>
      <c r="J1511" s="2">
        <f t="shared" si="74"/>
        <v>0</v>
      </c>
      <c r="K1511" s="2">
        <f t="shared" si="75"/>
        <v>0</v>
      </c>
    </row>
    <row r="1512" spans="5:11">
      <c r="E1512" t="s">
        <v>255</v>
      </c>
      <c r="F1512" t="s">
        <v>704</v>
      </c>
      <c r="G1512" s="13" t="str">
        <f t="shared" si="76"/>
        <v>18-01</v>
      </c>
      <c r="H1512" s="1">
        <f>_xlfn.IFNA(VLOOKUP(Aragon!E1512,'Kilter Holds'!$P$36:$AB$370,12,0),0)</f>
        <v>0</v>
      </c>
      <c r="J1512" s="2">
        <f t="shared" si="74"/>
        <v>0</v>
      </c>
      <c r="K1512" s="2">
        <f t="shared" si="75"/>
        <v>0</v>
      </c>
    </row>
    <row r="1513" spans="5:11">
      <c r="E1513" t="s">
        <v>255</v>
      </c>
      <c r="F1513" t="s">
        <v>704</v>
      </c>
      <c r="G1513" s="12" t="str">
        <f t="shared" si="76"/>
        <v>12-01</v>
      </c>
      <c r="H1513" s="1">
        <f>_xlfn.IFNA(VLOOKUP(Aragon!E1513,'Kilter Holds'!$P$36:$AB$370,13,0),0)</f>
        <v>0</v>
      </c>
      <c r="J1513" s="2">
        <f t="shared" si="74"/>
        <v>0</v>
      </c>
      <c r="K1513" s="2">
        <f t="shared" si="75"/>
        <v>0</v>
      </c>
    </row>
    <row r="1514" spans="5:11">
      <c r="E1514" t="s">
        <v>256</v>
      </c>
      <c r="F1514" t="s">
        <v>705</v>
      </c>
      <c r="G1514" s="5" t="str">
        <f t="shared" si="76"/>
        <v>11-12</v>
      </c>
      <c r="H1514" s="1">
        <f>_xlfn.IFNA(VLOOKUP(Aragon!E1514,'Kilter Holds'!$P$36:$AB$370,5,0),0)</f>
        <v>0</v>
      </c>
      <c r="J1514" s="2">
        <f t="shared" si="74"/>
        <v>0</v>
      </c>
      <c r="K1514" s="2">
        <f t="shared" si="75"/>
        <v>0</v>
      </c>
    </row>
    <row r="1515" spans="5:11">
      <c r="E1515" t="s">
        <v>256</v>
      </c>
      <c r="F1515" t="s">
        <v>705</v>
      </c>
      <c r="G1515" s="6" t="str">
        <f t="shared" si="76"/>
        <v>14-01</v>
      </c>
      <c r="H1515" s="1">
        <f>_xlfn.IFNA(VLOOKUP(Aragon!E1515,'Kilter Holds'!$P$36:$AB$370,6,0),0)</f>
        <v>0</v>
      </c>
      <c r="J1515" s="2">
        <f t="shared" si="74"/>
        <v>0</v>
      </c>
      <c r="K1515" s="2">
        <f t="shared" si="75"/>
        <v>0</v>
      </c>
    </row>
    <row r="1516" spans="5:11">
      <c r="E1516" t="s">
        <v>256</v>
      </c>
      <c r="F1516" t="s">
        <v>705</v>
      </c>
      <c r="G1516" s="7" t="str">
        <f t="shared" si="76"/>
        <v>15-12</v>
      </c>
      <c r="H1516" s="1">
        <f>_xlfn.IFNA(VLOOKUP(Aragon!E1516,'Kilter Holds'!$P$36:$AB$370,7,0),0)</f>
        <v>0</v>
      </c>
      <c r="J1516" s="2">
        <f t="shared" si="74"/>
        <v>0</v>
      </c>
      <c r="K1516" s="2">
        <f t="shared" si="75"/>
        <v>0</v>
      </c>
    </row>
    <row r="1517" spans="5:11">
      <c r="E1517" t="s">
        <v>256</v>
      </c>
      <c r="F1517" t="s">
        <v>705</v>
      </c>
      <c r="G1517" s="8" t="str">
        <f t="shared" si="76"/>
        <v>16-16</v>
      </c>
      <c r="H1517" s="1">
        <f>_xlfn.IFNA(VLOOKUP(Aragon!E1517,'Kilter Holds'!$P$36:$AB$370,8,0),0)</f>
        <v>0</v>
      </c>
      <c r="J1517" s="2">
        <f t="shared" si="74"/>
        <v>0</v>
      </c>
      <c r="K1517" s="2">
        <f t="shared" si="75"/>
        <v>0</v>
      </c>
    </row>
    <row r="1518" spans="5:11">
      <c r="E1518" t="s">
        <v>256</v>
      </c>
      <c r="F1518" t="s">
        <v>705</v>
      </c>
      <c r="G1518" s="9" t="str">
        <f t="shared" si="76"/>
        <v>13-01</v>
      </c>
      <c r="H1518" s="1">
        <f>_xlfn.IFNA(VLOOKUP(Aragon!E1518,'Kilter Holds'!$P$36:$AB$370,9,0),0)</f>
        <v>0</v>
      </c>
      <c r="J1518" s="2">
        <f t="shared" si="74"/>
        <v>0</v>
      </c>
      <c r="K1518" s="2">
        <f t="shared" si="75"/>
        <v>0</v>
      </c>
    </row>
    <row r="1519" spans="5:11">
      <c r="E1519" t="s">
        <v>256</v>
      </c>
      <c r="F1519" t="s">
        <v>705</v>
      </c>
      <c r="G1519" s="10" t="str">
        <f t="shared" si="76"/>
        <v>07-13</v>
      </c>
      <c r="H1519" s="1">
        <f>_xlfn.IFNA(VLOOKUP(Aragon!E1519,'Kilter Holds'!$P$36:$AB$370,10,0),0)</f>
        <v>0</v>
      </c>
      <c r="J1519" s="2">
        <f t="shared" si="74"/>
        <v>0</v>
      </c>
      <c r="K1519" s="2">
        <f t="shared" si="75"/>
        <v>0</v>
      </c>
    </row>
    <row r="1520" spans="5:11">
      <c r="E1520" t="s">
        <v>256</v>
      </c>
      <c r="F1520" t="s">
        <v>705</v>
      </c>
      <c r="G1520" s="11" t="str">
        <f t="shared" si="76"/>
        <v>11-25</v>
      </c>
      <c r="H1520" s="1">
        <f>_xlfn.IFNA(VLOOKUP(Aragon!E1520,'Kilter Holds'!$P$36:$AB$370,11,0),0)</f>
        <v>0</v>
      </c>
      <c r="J1520" s="2">
        <f t="shared" si="74"/>
        <v>0</v>
      </c>
      <c r="K1520" s="2">
        <f t="shared" si="75"/>
        <v>0</v>
      </c>
    </row>
    <row r="1521" spans="5:11">
      <c r="E1521" t="s">
        <v>256</v>
      </c>
      <c r="F1521" t="s">
        <v>705</v>
      </c>
      <c r="G1521" s="13" t="str">
        <f t="shared" si="76"/>
        <v>18-01</v>
      </c>
      <c r="H1521" s="1">
        <f>_xlfn.IFNA(VLOOKUP(Aragon!E1521,'Kilter Holds'!$P$36:$AB$370,12,0),0)</f>
        <v>0</v>
      </c>
      <c r="J1521" s="2">
        <f t="shared" si="74"/>
        <v>0</v>
      </c>
      <c r="K1521" s="2">
        <f t="shared" si="75"/>
        <v>0</v>
      </c>
    </row>
    <row r="1522" spans="5:11">
      <c r="E1522" t="s">
        <v>256</v>
      </c>
      <c r="F1522" t="s">
        <v>705</v>
      </c>
      <c r="G1522" s="12" t="str">
        <f t="shared" si="76"/>
        <v>12-01</v>
      </c>
      <c r="H1522" s="1">
        <f>_xlfn.IFNA(VLOOKUP(Aragon!E1522,'Kilter Holds'!$P$36:$AB$370,13,0),0)</f>
        <v>0</v>
      </c>
      <c r="J1522" s="2">
        <f t="shared" si="74"/>
        <v>0</v>
      </c>
      <c r="K1522" s="2">
        <f t="shared" si="75"/>
        <v>0</v>
      </c>
    </row>
    <row r="1523" spans="5:11">
      <c r="E1523" t="s">
        <v>261</v>
      </c>
      <c r="F1523" t="s">
        <v>706</v>
      </c>
      <c r="G1523" s="5" t="str">
        <f t="shared" si="76"/>
        <v>11-12</v>
      </c>
      <c r="H1523" s="1">
        <f>_xlfn.IFNA(VLOOKUP(Aragon!E1523,'Kilter Holds'!$P$36:$AB$370,5,0),0)</f>
        <v>0</v>
      </c>
      <c r="J1523" s="2">
        <f t="shared" si="74"/>
        <v>0</v>
      </c>
      <c r="K1523" s="2">
        <f t="shared" si="75"/>
        <v>0</v>
      </c>
    </row>
    <row r="1524" spans="5:11">
      <c r="E1524" t="s">
        <v>261</v>
      </c>
      <c r="F1524" t="s">
        <v>706</v>
      </c>
      <c r="G1524" s="6" t="str">
        <f t="shared" si="76"/>
        <v>14-01</v>
      </c>
      <c r="H1524" s="1">
        <f>_xlfn.IFNA(VLOOKUP(Aragon!E1524,'Kilter Holds'!$P$36:$AB$370,6,0),0)</f>
        <v>0</v>
      </c>
      <c r="J1524" s="2">
        <f t="shared" si="74"/>
        <v>0</v>
      </c>
      <c r="K1524" s="2">
        <f t="shared" si="75"/>
        <v>0</v>
      </c>
    </row>
    <row r="1525" spans="5:11">
      <c r="E1525" t="s">
        <v>261</v>
      </c>
      <c r="F1525" t="s">
        <v>706</v>
      </c>
      <c r="G1525" s="7" t="str">
        <f t="shared" si="76"/>
        <v>15-12</v>
      </c>
      <c r="H1525" s="1">
        <f>_xlfn.IFNA(VLOOKUP(Aragon!E1525,'Kilter Holds'!$P$36:$AB$370,7,0),0)</f>
        <v>0</v>
      </c>
      <c r="J1525" s="2">
        <f t="shared" si="74"/>
        <v>0</v>
      </c>
      <c r="K1525" s="2">
        <f t="shared" si="75"/>
        <v>0</v>
      </c>
    </row>
    <row r="1526" spans="5:11">
      <c r="E1526" t="s">
        <v>261</v>
      </c>
      <c r="F1526" t="s">
        <v>706</v>
      </c>
      <c r="G1526" s="8" t="str">
        <f t="shared" si="76"/>
        <v>16-16</v>
      </c>
      <c r="H1526" s="1">
        <f>_xlfn.IFNA(VLOOKUP(Aragon!E1526,'Kilter Holds'!$P$36:$AB$370,8,0),0)</f>
        <v>0</v>
      </c>
      <c r="J1526" s="2">
        <f t="shared" si="74"/>
        <v>0</v>
      </c>
      <c r="K1526" s="2">
        <f t="shared" si="75"/>
        <v>0</v>
      </c>
    </row>
    <row r="1527" spans="5:11">
      <c r="E1527" t="s">
        <v>261</v>
      </c>
      <c r="F1527" t="s">
        <v>706</v>
      </c>
      <c r="G1527" s="9" t="str">
        <f t="shared" si="76"/>
        <v>13-01</v>
      </c>
      <c r="H1527" s="1">
        <f>_xlfn.IFNA(VLOOKUP(Aragon!E1527,'Kilter Holds'!$P$36:$AB$370,9,0),0)</f>
        <v>0</v>
      </c>
      <c r="J1527" s="2">
        <f t="shared" si="74"/>
        <v>0</v>
      </c>
      <c r="K1527" s="2">
        <f t="shared" si="75"/>
        <v>0</v>
      </c>
    </row>
    <row r="1528" spans="5:11">
      <c r="E1528" t="s">
        <v>261</v>
      </c>
      <c r="F1528" t="s">
        <v>706</v>
      </c>
      <c r="G1528" s="10" t="str">
        <f t="shared" si="76"/>
        <v>07-13</v>
      </c>
      <c r="H1528" s="1">
        <f>_xlfn.IFNA(VLOOKUP(Aragon!E1528,'Kilter Holds'!$P$36:$AB$370,10,0),0)</f>
        <v>0</v>
      </c>
      <c r="J1528" s="2">
        <f t="shared" si="74"/>
        <v>0</v>
      </c>
      <c r="K1528" s="2">
        <f t="shared" si="75"/>
        <v>0</v>
      </c>
    </row>
    <row r="1529" spans="5:11">
      <c r="E1529" t="s">
        <v>261</v>
      </c>
      <c r="F1529" t="s">
        <v>706</v>
      </c>
      <c r="G1529" s="11" t="str">
        <f t="shared" si="76"/>
        <v>11-25</v>
      </c>
      <c r="H1529" s="1">
        <f>_xlfn.IFNA(VLOOKUP(Aragon!E1529,'Kilter Holds'!$P$36:$AB$370,11,0),0)</f>
        <v>0</v>
      </c>
      <c r="J1529" s="2">
        <f t="shared" si="74"/>
        <v>0</v>
      </c>
      <c r="K1529" s="2">
        <f t="shared" si="75"/>
        <v>0</v>
      </c>
    </row>
    <row r="1530" spans="5:11">
      <c r="E1530" t="s">
        <v>261</v>
      </c>
      <c r="F1530" t="s">
        <v>706</v>
      </c>
      <c r="G1530" s="13" t="str">
        <f t="shared" si="76"/>
        <v>18-01</v>
      </c>
      <c r="H1530" s="1">
        <f>_xlfn.IFNA(VLOOKUP(Aragon!E1530,'Kilter Holds'!$P$36:$AB$370,12,0),0)</f>
        <v>0</v>
      </c>
      <c r="J1530" s="2">
        <f t="shared" ref="J1530:J1593" si="77">H1530*I1530</f>
        <v>0</v>
      </c>
      <c r="K1530" s="2">
        <f t="shared" si="75"/>
        <v>0</v>
      </c>
    </row>
    <row r="1531" spans="5:11">
      <c r="E1531" t="s">
        <v>261</v>
      </c>
      <c r="F1531" t="s">
        <v>706</v>
      </c>
      <c r="G1531" s="12" t="str">
        <f t="shared" si="76"/>
        <v>12-01</v>
      </c>
      <c r="H1531" s="1">
        <f>_xlfn.IFNA(VLOOKUP(Aragon!E1531,'Kilter Holds'!$P$36:$AB$370,13,0),0)</f>
        <v>0</v>
      </c>
      <c r="J1531" s="2">
        <f t="shared" si="77"/>
        <v>0</v>
      </c>
      <c r="K1531" s="2">
        <f t="shared" si="75"/>
        <v>0</v>
      </c>
    </row>
    <row r="1532" spans="5:11">
      <c r="E1532" t="s">
        <v>257</v>
      </c>
      <c r="F1532" t="s">
        <v>707</v>
      </c>
      <c r="G1532" s="5" t="str">
        <f t="shared" si="76"/>
        <v>11-12</v>
      </c>
      <c r="H1532" s="1">
        <f>_xlfn.IFNA(VLOOKUP(Aragon!E1532,'Kilter Holds'!$P$36:$AB$370,5,0),0)</f>
        <v>0</v>
      </c>
      <c r="J1532" s="2">
        <f t="shared" si="77"/>
        <v>0</v>
      </c>
      <c r="K1532" s="2">
        <f t="shared" si="75"/>
        <v>0</v>
      </c>
    </row>
    <row r="1533" spans="5:11">
      <c r="E1533" t="s">
        <v>257</v>
      </c>
      <c r="F1533" t="s">
        <v>707</v>
      </c>
      <c r="G1533" s="6" t="str">
        <f t="shared" si="76"/>
        <v>14-01</v>
      </c>
      <c r="H1533" s="1">
        <f>_xlfn.IFNA(VLOOKUP(Aragon!E1533,'Kilter Holds'!$P$36:$AB$370,6,0),0)</f>
        <v>0</v>
      </c>
      <c r="J1533" s="2">
        <f t="shared" si="77"/>
        <v>0</v>
      </c>
      <c r="K1533" s="2">
        <f t="shared" si="75"/>
        <v>0</v>
      </c>
    </row>
    <row r="1534" spans="5:11">
      <c r="E1534" t="s">
        <v>257</v>
      </c>
      <c r="F1534" t="s">
        <v>707</v>
      </c>
      <c r="G1534" s="7" t="str">
        <f t="shared" si="76"/>
        <v>15-12</v>
      </c>
      <c r="H1534" s="1">
        <f>_xlfn.IFNA(VLOOKUP(Aragon!E1534,'Kilter Holds'!$P$36:$AB$370,7,0),0)</f>
        <v>0</v>
      </c>
      <c r="J1534" s="2">
        <f t="shared" si="77"/>
        <v>0</v>
      </c>
      <c r="K1534" s="2">
        <f t="shared" si="75"/>
        <v>0</v>
      </c>
    </row>
    <row r="1535" spans="5:11">
      <c r="E1535" t="s">
        <v>257</v>
      </c>
      <c r="F1535" t="s">
        <v>707</v>
      </c>
      <c r="G1535" s="8" t="str">
        <f t="shared" si="76"/>
        <v>16-16</v>
      </c>
      <c r="H1535" s="1">
        <f>_xlfn.IFNA(VLOOKUP(Aragon!E1535,'Kilter Holds'!$P$36:$AB$370,8,0),0)</f>
        <v>0</v>
      </c>
      <c r="J1535" s="2">
        <f t="shared" si="77"/>
        <v>0</v>
      </c>
      <c r="K1535" s="2">
        <f t="shared" si="75"/>
        <v>0</v>
      </c>
    </row>
    <row r="1536" spans="5:11">
      <c r="E1536" t="s">
        <v>257</v>
      </c>
      <c r="F1536" t="s">
        <v>707</v>
      </c>
      <c r="G1536" s="9" t="str">
        <f t="shared" si="76"/>
        <v>13-01</v>
      </c>
      <c r="H1536" s="1">
        <f>_xlfn.IFNA(VLOOKUP(Aragon!E1536,'Kilter Holds'!$P$36:$AB$370,9,0),0)</f>
        <v>0</v>
      </c>
      <c r="J1536" s="2">
        <f t="shared" si="77"/>
        <v>0</v>
      </c>
      <c r="K1536" s="2">
        <f t="shared" si="75"/>
        <v>0</v>
      </c>
    </row>
    <row r="1537" spans="5:11">
      <c r="E1537" t="s">
        <v>257</v>
      </c>
      <c r="F1537" t="s">
        <v>707</v>
      </c>
      <c r="G1537" s="10" t="str">
        <f t="shared" si="76"/>
        <v>07-13</v>
      </c>
      <c r="H1537" s="1">
        <f>_xlfn.IFNA(VLOOKUP(Aragon!E1537,'Kilter Holds'!$P$36:$AB$370,10,0),0)</f>
        <v>0</v>
      </c>
      <c r="J1537" s="2">
        <f t="shared" si="77"/>
        <v>0</v>
      </c>
      <c r="K1537" s="2">
        <f t="shared" si="75"/>
        <v>0</v>
      </c>
    </row>
    <row r="1538" spans="5:11">
      <c r="E1538" t="s">
        <v>257</v>
      </c>
      <c r="F1538" t="s">
        <v>707</v>
      </c>
      <c r="G1538" s="11" t="str">
        <f t="shared" si="76"/>
        <v>11-25</v>
      </c>
      <c r="H1538" s="1">
        <f>_xlfn.IFNA(VLOOKUP(Aragon!E1538,'Kilter Holds'!$P$36:$AB$370,11,0),0)</f>
        <v>0</v>
      </c>
      <c r="J1538" s="2">
        <f t="shared" si="77"/>
        <v>0</v>
      </c>
      <c r="K1538" s="2">
        <f t="shared" si="75"/>
        <v>0</v>
      </c>
    </row>
    <row r="1539" spans="5:11">
      <c r="E1539" t="s">
        <v>257</v>
      </c>
      <c r="F1539" t="s">
        <v>707</v>
      </c>
      <c r="G1539" s="13" t="str">
        <f t="shared" si="76"/>
        <v>18-01</v>
      </c>
      <c r="H1539" s="1">
        <f>_xlfn.IFNA(VLOOKUP(Aragon!E1539,'Kilter Holds'!$P$36:$AB$370,12,0),0)</f>
        <v>0</v>
      </c>
      <c r="J1539" s="2">
        <f t="shared" si="77"/>
        <v>0</v>
      </c>
      <c r="K1539" s="2">
        <f t="shared" si="75"/>
        <v>0</v>
      </c>
    </row>
    <row r="1540" spans="5:11">
      <c r="E1540" t="s">
        <v>257</v>
      </c>
      <c r="F1540" t="s">
        <v>707</v>
      </c>
      <c r="G1540" s="12" t="str">
        <f t="shared" si="76"/>
        <v>12-01</v>
      </c>
      <c r="H1540" s="1">
        <f>_xlfn.IFNA(VLOOKUP(Aragon!E1540,'Kilter Holds'!$P$36:$AB$370,13,0),0)</f>
        <v>0</v>
      </c>
      <c r="J1540" s="2">
        <f t="shared" si="77"/>
        <v>0</v>
      </c>
      <c r="K1540" s="2">
        <f t="shared" si="75"/>
        <v>0</v>
      </c>
    </row>
    <row r="1541" spans="5:11">
      <c r="E1541" t="s">
        <v>267</v>
      </c>
      <c r="F1541" t="s">
        <v>708</v>
      </c>
      <c r="G1541" s="5" t="str">
        <f t="shared" si="76"/>
        <v>11-12</v>
      </c>
      <c r="H1541" s="1">
        <f>_xlfn.IFNA(VLOOKUP(Aragon!E1541,'Kilter Holds'!$P$36:$AB$370,5,0),0)</f>
        <v>0</v>
      </c>
      <c r="J1541" s="2">
        <f t="shared" si="77"/>
        <v>0</v>
      </c>
      <c r="K1541" s="2">
        <f t="shared" si="75"/>
        <v>0</v>
      </c>
    </row>
    <row r="1542" spans="5:11">
      <c r="E1542" t="s">
        <v>267</v>
      </c>
      <c r="F1542" t="s">
        <v>708</v>
      </c>
      <c r="G1542" s="6" t="str">
        <f t="shared" si="76"/>
        <v>14-01</v>
      </c>
      <c r="H1542" s="1">
        <f>_xlfn.IFNA(VLOOKUP(Aragon!E1542,'Kilter Holds'!$P$36:$AB$370,6,0),0)</f>
        <v>0</v>
      </c>
      <c r="J1542" s="2">
        <f t="shared" si="77"/>
        <v>0</v>
      </c>
      <c r="K1542" s="2">
        <f t="shared" si="75"/>
        <v>0</v>
      </c>
    </row>
    <row r="1543" spans="5:11">
      <c r="E1543" t="s">
        <v>267</v>
      </c>
      <c r="F1543" t="s">
        <v>708</v>
      </c>
      <c r="G1543" s="7" t="str">
        <f t="shared" si="76"/>
        <v>15-12</v>
      </c>
      <c r="H1543" s="1">
        <f>_xlfn.IFNA(VLOOKUP(Aragon!E1543,'Kilter Holds'!$P$36:$AB$370,7,0),0)</f>
        <v>0</v>
      </c>
      <c r="J1543" s="2">
        <f t="shared" si="77"/>
        <v>0</v>
      </c>
      <c r="K1543" s="2">
        <f t="shared" si="75"/>
        <v>0</v>
      </c>
    </row>
    <row r="1544" spans="5:11">
      <c r="E1544" t="s">
        <v>267</v>
      </c>
      <c r="F1544" t="s">
        <v>708</v>
      </c>
      <c r="G1544" s="8" t="str">
        <f t="shared" si="76"/>
        <v>16-16</v>
      </c>
      <c r="H1544" s="1">
        <f>_xlfn.IFNA(VLOOKUP(Aragon!E1544,'Kilter Holds'!$P$36:$AB$370,8,0),0)</f>
        <v>0</v>
      </c>
      <c r="J1544" s="2">
        <f t="shared" si="77"/>
        <v>0</v>
      </c>
      <c r="K1544" s="2">
        <f t="shared" si="75"/>
        <v>0</v>
      </c>
    </row>
    <row r="1545" spans="5:11">
      <c r="E1545" t="s">
        <v>267</v>
      </c>
      <c r="F1545" t="s">
        <v>708</v>
      </c>
      <c r="G1545" s="9" t="str">
        <f t="shared" si="76"/>
        <v>13-01</v>
      </c>
      <c r="H1545" s="1">
        <f>_xlfn.IFNA(VLOOKUP(Aragon!E1545,'Kilter Holds'!$P$36:$AB$370,9,0),0)</f>
        <v>0</v>
      </c>
      <c r="J1545" s="2">
        <f t="shared" si="77"/>
        <v>0</v>
      </c>
      <c r="K1545" s="2">
        <f t="shared" si="75"/>
        <v>0</v>
      </c>
    </row>
    <row r="1546" spans="5:11">
      <c r="E1546" t="s">
        <v>267</v>
      </c>
      <c r="F1546" t="s">
        <v>708</v>
      </c>
      <c r="G1546" s="10" t="str">
        <f t="shared" si="76"/>
        <v>07-13</v>
      </c>
      <c r="H1546" s="1">
        <f>_xlfn.IFNA(VLOOKUP(Aragon!E1546,'Kilter Holds'!$P$36:$AB$370,10,0),0)</f>
        <v>0</v>
      </c>
      <c r="J1546" s="2">
        <f t="shared" si="77"/>
        <v>0</v>
      </c>
      <c r="K1546" s="2">
        <f t="shared" si="75"/>
        <v>0</v>
      </c>
    </row>
    <row r="1547" spans="5:11">
      <c r="E1547" t="s">
        <v>267</v>
      </c>
      <c r="F1547" t="s">
        <v>708</v>
      </c>
      <c r="G1547" s="11" t="str">
        <f t="shared" si="76"/>
        <v>11-25</v>
      </c>
      <c r="H1547" s="1">
        <f>_xlfn.IFNA(VLOOKUP(Aragon!E1547,'Kilter Holds'!$P$36:$AB$370,11,0),0)</f>
        <v>0</v>
      </c>
      <c r="J1547" s="2">
        <f t="shared" si="77"/>
        <v>0</v>
      </c>
      <c r="K1547" s="2">
        <f t="shared" si="75"/>
        <v>0</v>
      </c>
    </row>
    <row r="1548" spans="5:11">
      <c r="E1548" t="s">
        <v>267</v>
      </c>
      <c r="F1548" t="s">
        <v>708</v>
      </c>
      <c r="G1548" s="13" t="str">
        <f t="shared" si="76"/>
        <v>18-01</v>
      </c>
      <c r="H1548" s="1">
        <f>_xlfn.IFNA(VLOOKUP(Aragon!E1548,'Kilter Holds'!$P$36:$AB$370,12,0),0)</f>
        <v>0</v>
      </c>
      <c r="J1548" s="2">
        <f t="shared" si="77"/>
        <v>0</v>
      </c>
      <c r="K1548" s="2">
        <f t="shared" ref="K1548:K1611" si="78">IF($V$11="Y",J1548*0.05,0)</f>
        <v>0</v>
      </c>
    </row>
    <row r="1549" spans="5:11">
      <c r="E1549" t="s">
        <v>267</v>
      </c>
      <c r="F1549" t="s">
        <v>708</v>
      </c>
      <c r="G1549" s="12" t="str">
        <f t="shared" ref="G1549:G1612" si="79">G1540</f>
        <v>12-01</v>
      </c>
      <c r="H1549" s="1">
        <f>_xlfn.IFNA(VLOOKUP(Aragon!E1549,'Kilter Holds'!$P$36:$AB$370,13,0),0)</f>
        <v>0</v>
      </c>
      <c r="J1549" s="2">
        <f t="shared" si="77"/>
        <v>0</v>
      </c>
      <c r="K1549" s="2">
        <f t="shared" si="78"/>
        <v>0</v>
      </c>
    </row>
    <row r="1550" spans="5:11">
      <c r="E1550" t="s">
        <v>241</v>
      </c>
      <c r="F1550" t="s">
        <v>709</v>
      </c>
      <c r="G1550" s="5" t="str">
        <f t="shared" si="79"/>
        <v>11-12</v>
      </c>
      <c r="H1550" s="1">
        <f>_xlfn.IFNA(VLOOKUP(Aragon!E1550,'Kilter Holds'!$P$36:$AB$370,5,0),0)</f>
        <v>0</v>
      </c>
      <c r="J1550" s="2">
        <f t="shared" si="77"/>
        <v>0</v>
      </c>
      <c r="K1550" s="2">
        <f t="shared" si="78"/>
        <v>0</v>
      </c>
    </row>
    <row r="1551" spans="5:11">
      <c r="E1551" t="s">
        <v>241</v>
      </c>
      <c r="F1551" t="s">
        <v>709</v>
      </c>
      <c r="G1551" s="6" t="str">
        <f t="shared" si="79"/>
        <v>14-01</v>
      </c>
      <c r="H1551" s="1">
        <f>_xlfn.IFNA(VLOOKUP(Aragon!E1551,'Kilter Holds'!$P$36:$AB$370,6,0),0)</f>
        <v>0</v>
      </c>
      <c r="J1551" s="2">
        <f t="shared" si="77"/>
        <v>0</v>
      </c>
      <c r="K1551" s="2">
        <f t="shared" si="78"/>
        <v>0</v>
      </c>
    </row>
    <row r="1552" spans="5:11">
      <c r="E1552" t="s">
        <v>241</v>
      </c>
      <c r="F1552" t="s">
        <v>709</v>
      </c>
      <c r="G1552" s="7" t="str">
        <f t="shared" si="79"/>
        <v>15-12</v>
      </c>
      <c r="H1552" s="1">
        <f>_xlfn.IFNA(VLOOKUP(Aragon!E1552,'Kilter Holds'!$P$36:$AB$370,7,0),0)</f>
        <v>0</v>
      </c>
      <c r="J1552" s="2">
        <f t="shared" si="77"/>
        <v>0</v>
      </c>
      <c r="K1552" s="2">
        <f t="shared" si="78"/>
        <v>0</v>
      </c>
    </row>
    <row r="1553" spans="5:11">
      <c r="E1553" t="s">
        <v>241</v>
      </c>
      <c r="F1553" t="s">
        <v>709</v>
      </c>
      <c r="G1553" s="8" t="str">
        <f t="shared" si="79"/>
        <v>16-16</v>
      </c>
      <c r="H1553" s="1">
        <f>_xlfn.IFNA(VLOOKUP(Aragon!E1553,'Kilter Holds'!$P$36:$AB$370,8,0),0)</f>
        <v>0</v>
      </c>
      <c r="J1553" s="2">
        <f t="shared" si="77"/>
        <v>0</v>
      </c>
      <c r="K1553" s="2">
        <f t="shared" si="78"/>
        <v>0</v>
      </c>
    </row>
    <row r="1554" spans="5:11">
      <c r="E1554" t="s">
        <v>241</v>
      </c>
      <c r="F1554" t="s">
        <v>709</v>
      </c>
      <c r="G1554" s="9" t="str">
        <f t="shared" si="79"/>
        <v>13-01</v>
      </c>
      <c r="H1554" s="1">
        <f>_xlfn.IFNA(VLOOKUP(Aragon!E1554,'Kilter Holds'!$P$36:$AB$370,9,0),0)</f>
        <v>0</v>
      </c>
      <c r="J1554" s="2">
        <f t="shared" si="77"/>
        <v>0</v>
      </c>
      <c r="K1554" s="2">
        <f t="shared" si="78"/>
        <v>0</v>
      </c>
    </row>
    <row r="1555" spans="5:11">
      <c r="E1555" t="s">
        <v>241</v>
      </c>
      <c r="F1555" t="s">
        <v>709</v>
      </c>
      <c r="G1555" s="10" t="str">
        <f t="shared" si="79"/>
        <v>07-13</v>
      </c>
      <c r="H1555" s="1">
        <f>_xlfn.IFNA(VLOOKUP(Aragon!E1555,'Kilter Holds'!$P$36:$AB$370,10,0),0)</f>
        <v>0</v>
      </c>
      <c r="J1555" s="2">
        <f t="shared" si="77"/>
        <v>0</v>
      </c>
      <c r="K1555" s="2">
        <f t="shared" si="78"/>
        <v>0</v>
      </c>
    </row>
    <row r="1556" spans="5:11">
      <c r="E1556" t="s">
        <v>241</v>
      </c>
      <c r="F1556" t="s">
        <v>709</v>
      </c>
      <c r="G1556" s="11" t="str">
        <f t="shared" si="79"/>
        <v>11-25</v>
      </c>
      <c r="H1556" s="1">
        <f>_xlfn.IFNA(VLOOKUP(Aragon!E1556,'Kilter Holds'!$P$36:$AB$370,11,0),0)</f>
        <v>0</v>
      </c>
      <c r="J1556" s="2">
        <f t="shared" si="77"/>
        <v>0</v>
      </c>
      <c r="K1556" s="2">
        <f t="shared" si="78"/>
        <v>0</v>
      </c>
    </row>
    <row r="1557" spans="5:11">
      <c r="E1557" t="s">
        <v>241</v>
      </c>
      <c r="F1557" t="s">
        <v>709</v>
      </c>
      <c r="G1557" s="13" t="str">
        <f t="shared" si="79"/>
        <v>18-01</v>
      </c>
      <c r="H1557" s="1">
        <f>_xlfn.IFNA(VLOOKUP(Aragon!E1557,'Kilter Holds'!$P$36:$AB$370,12,0),0)</f>
        <v>0</v>
      </c>
      <c r="J1557" s="2">
        <f t="shared" si="77"/>
        <v>0</v>
      </c>
      <c r="K1557" s="2">
        <f t="shared" si="78"/>
        <v>0</v>
      </c>
    </row>
    <row r="1558" spans="5:11">
      <c r="E1558" t="s">
        <v>241</v>
      </c>
      <c r="F1558" t="s">
        <v>709</v>
      </c>
      <c r="G1558" s="12" t="str">
        <f t="shared" si="79"/>
        <v>12-01</v>
      </c>
      <c r="H1558" s="1">
        <f>_xlfn.IFNA(VLOOKUP(Aragon!E1558,'Kilter Holds'!$P$36:$AB$370,13,0),0)</f>
        <v>0</v>
      </c>
      <c r="J1558" s="2">
        <f t="shared" si="77"/>
        <v>0</v>
      </c>
      <c r="K1558" s="2">
        <f t="shared" si="78"/>
        <v>0</v>
      </c>
    </row>
    <row r="1559" spans="5:11">
      <c r="E1559" t="s">
        <v>268</v>
      </c>
      <c r="F1559" t="s">
        <v>710</v>
      </c>
      <c r="G1559" s="5" t="str">
        <f t="shared" si="79"/>
        <v>11-12</v>
      </c>
      <c r="H1559" s="1">
        <f>_xlfn.IFNA(VLOOKUP(Aragon!E1559,'Kilter Holds'!$P$36:$AB$370,5,0),0)</f>
        <v>0</v>
      </c>
      <c r="J1559" s="2">
        <f t="shared" si="77"/>
        <v>0</v>
      </c>
      <c r="K1559" s="2">
        <f t="shared" si="78"/>
        <v>0</v>
      </c>
    </row>
    <row r="1560" spans="5:11">
      <c r="E1560" t="s">
        <v>268</v>
      </c>
      <c r="F1560" t="s">
        <v>710</v>
      </c>
      <c r="G1560" s="6" t="str">
        <f t="shared" si="79"/>
        <v>14-01</v>
      </c>
      <c r="H1560" s="1">
        <f>_xlfn.IFNA(VLOOKUP(Aragon!E1560,'Kilter Holds'!$P$36:$AB$370,6,0),0)</f>
        <v>0</v>
      </c>
      <c r="J1560" s="2">
        <f t="shared" si="77"/>
        <v>0</v>
      </c>
      <c r="K1560" s="2">
        <f t="shared" si="78"/>
        <v>0</v>
      </c>
    </row>
    <row r="1561" spans="5:11">
      <c r="E1561" t="s">
        <v>268</v>
      </c>
      <c r="F1561" t="s">
        <v>710</v>
      </c>
      <c r="G1561" s="7" t="str">
        <f t="shared" si="79"/>
        <v>15-12</v>
      </c>
      <c r="H1561" s="1">
        <f>_xlfn.IFNA(VLOOKUP(Aragon!E1561,'Kilter Holds'!$P$36:$AB$370,7,0),0)</f>
        <v>0</v>
      </c>
      <c r="J1561" s="2">
        <f t="shared" si="77"/>
        <v>0</v>
      </c>
      <c r="K1561" s="2">
        <f t="shared" si="78"/>
        <v>0</v>
      </c>
    </row>
    <row r="1562" spans="5:11">
      <c r="E1562" t="s">
        <v>268</v>
      </c>
      <c r="F1562" t="s">
        <v>710</v>
      </c>
      <c r="G1562" s="8" t="str">
        <f t="shared" si="79"/>
        <v>16-16</v>
      </c>
      <c r="H1562" s="1">
        <f>_xlfn.IFNA(VLOOKUP(Aragon!E1562,'Kilter Holds'!$P$36:$AB$370,8,0),0)</f>
        <v>0</v>
      </c>
      <c r="J1562" s="2">
        <f t="shared" si="77"/>
        <v>0</v>
      </c>
      <c r="K1562" s="2">
        <f t="shared" si="78"/>
        <v>0</v>
      </c>
    </row>
    <row r="1563" spans="5:11">
      <c r="E1563" t="s">
        <v>268</v>
      </c>
      <c r="F1563" t="s">
        <v>710</v>
      </c>
      <c r="G1563" s="9" t="str">
        <f t="shared" si="79"/>
        <v>13-01</v>
      </c>
      <c r="H1563" s="1">
        <f>_xlfn.IFNA(VLOOKUP(Aragon!E1563,'Kilter Holds'!$P$36:$AB$370,9,0),0)</f>
        <v>0</v>
      </c>
      <c r="J1563" s="2">
        <f t="shared" si="77"/>
        <v>0</v>
      </c>
      <c r="K1563" s="2">
        <f t="shared" si="78"/>
        <v>0</v>
      </c>
    </row>
    <row r="1564" spans="5:11">
      <c r="E1564" t="s">
        <v>268</v>
      </c>
      <c r="F1564" t="s">
        <v>710</v>
      </c>
      <c r="G1564" s="10" t="str">
        <f t="shared" si="79"/>
        <v>07-13</v>
      </c>
      <c r="H1564" s="1">
        <f>_xlfn.IFNA(VLOOKUP(Aragon!E1564,'Kilter Holds'!$P$36:$AB$370,10,0),0)</f>
        <v>0</v>
      </c>
      <c r="J1564" s="2">
        <f t="shared" si="77"/>
        <v>0</v>
      </c>
      <c r="K1564" s="2">
        <f t="shared" si="78"/>
        <v>0</v>
      </c>
    </row>
    <row r="1565" spans="5:11">
      <c r="E1565" t="s">
        <v>268</v>
      </c>
      <c r="F1565" t="s">
        <v>710</v>
      </c>
      <c r="G1565" s="11" t="str">
        <f t="shared" si="79"/>
        <v>11-25</v>
      </c>
      <c r="H1565" s="1">
        <f>_xlfn.IFNA(VLOOKUP(Aragon!E1565,'Kilter Holds'!$P$36:$AB$370,11,0),0)</f>
        <v>0</v>
      </c>
      <c r="J1565" s="2">
        <f t="shared" si="77"/>
        <v>0</v>
      </c>
      <c r="K1565" s="2">
        <f t="shared" si="78"/>
        <v>0</v>
      </c>
    </row>
    <row r="1566" spans="5:11">
      <c r="E1566" t="s">
        <v>268</v>
      </c>
      <c r="F1566" t="s">
        <v>710</v>
      </c>
      <c r="G1566" s="13" t="str">
        <f t="shared" si="79"/>
        <v>18-01</v>
      </c>
      <c r="H1566" s="1">
        <f>_xlfn.IFNA(VLOOKUP(Aragon!E1566,'Kilter Holds'!$P$36:$AB$370,12,0),0)</f>
        <v>0</v>
      </c>
      <c r="J1566" s="2">
        <f t="shared" si="77"/>
        <v>0</v>
      </c>
      <c r="K1566" s="2">
        <f t="shared" si="78"/>
        <v>0</v>
      </c>
    </row>
    <row r="1567" spans="5:11">
      <c r="E1567" t="s">
        <v>268</v>
      </c>
      <c r="F1567" t="s">
        <v>710</v>
      </c>
      <c r="G1567" s="12" t="str">
        <f t="shared" si="79"/>
        <v>12-01</v>
      </c>
      <c r="H1567" s="1">
        <f>_xlfn.IFNA(VLOOKUP(Aragon!E1567,'Kilter Holds'!$P$36:$AB$370,13,0),0)</f>
        <v>0</v>
      </c>
      <c r="J1567" s="2">
        <f t="shared" si="77"/>
        <v>0</v>
      </c>
      <c r="K1567" s="2">
        <f t="shared" si="78"/>
        <v>0</v>
      </c>
    </row>
    <row r="1568" spans="5:11">
      <c r="E1568" t="s">
        <v>486</v>
      </c>
      <c r="F1568" t="s">
        <v>711</v>
      </c>
      <c r="G1568" s="5" t="str">
        <f t="shared" si="79"/>
        <v>11-12</v>
      </c>
      <c r="H1568" s="1">
        <f>_xlfn.IFNA(VLOOKUP(Aragon!E1568,'Kilter Holds'!$P$36:$AB$370,5,0),0)</f>
        <v>0</v>
      </c>
      <c r="J1568" s="2">
        <f t="shared" si="77"/>
        <v>0</v>
      </c>
      <c r="K1568" s="2">
        <f t="shared" si="78"/>
        <v>0</v>
      </c>
    </row>
    <row r="1569" spans="5:11">
      <c r="E1569" t="s">
        <v>486</v>
      </c>
      <c r="F1569" t="s">
        <v>711</v>
      </c>
      <c r="G1569" s="6" t="str">
        <f t="shared" si="79"/>
        <v>14-01</v>
      </c>
      <c r="H1569" s="1">
        <f>_xlfn.IFNA(VLOOKUP(Aragon!E1569,'Kilter Holds'!$P$36:$AB$370,6,0),0)</f>
        <v>0</v>
      </c>
      <c r="J1569" s="2">
        <f t="shared" si="77"/>
        <v>0</v>
      </c>
      <c r="K1569" s="2">
        <f t="shared" si="78"/>
        <v>0</v>
      </c>
    </row>
    <row r="1570" spans="5:11">
      <c r="E1570" t="s">
        <v>486</v>
      </c>
      <c r="F1570" t="s">
        <v>711</v>
      </c>
      <c r="G1570" s="7" t="str">
        <f t="shared" si="79"/>
        <v>15-12</v>
      </c>
      <c r="H1570" s="1">
        <f>_xlfn.IFNA(VLOOKUP(Aragon!E1570,'Kilter Holds'!$P$36:$AB$370,7,0),0)</f>
        <v>0</v>
      </c>
      <c r="J1570" s="2">
        <f t="shared" si="77"/>
        <v>0</v>
      </c>
      <c r="K1570" s="2">
        <f t="shared" si="78"/>
        <v>0</v>
      </c>
    </row>
    <row r="1571" spans="5:11">
      <c r="E1571" t="s">
        <v>486</v>
      </c>
      <c r="F1571" t="s">
        <v>711</v>
      </c>
      <c r="G1571" s="8" t="str">
        <f t="shared" si="79"/>
        <v>16-16</v>
      </c>
      <c r="H1571" s="1">
        <f>_xlfn.IFNA(VLOOKUP(Aragon!E1571,'Kilter Holds'!$P$36:$AB$370,8,0),0)</f>
        <v>0</v>
      </c>
      <c r="J1571" s="2">
        <f t="shared" si="77"/>
        <v>0</v>
      </c>
      <c r="K1571" s="2">
        <f t="shared" si="78"/>
        <v>0</v>
      </c>
    </row>
    <row r="1572" spans="5:11">
      <c r="E1572" t="s">
        <v>486</v>
      </c>
      <c r="F1572" t="s">
        <v>711</v>
      </c>
      <c r="G1572" s="9" t="str">
        <f t="shared" si="79"/>
        <v>13-01</v>
      </c>
      <c r="H1572" s="1">
        <f>_xlfn.IFNA(VLOOKUP(Aragon!E1572,'Kilter Holds'!$P$36:$AB$370,9,0),0)</f>
        <v>0</v>
      </c>
      <c r="J1572" s="2">
        <f t="shared" si="77"/>
        <v>0</v>
      </c>
      <c r="K1572" s="2">
        <f t="shared" si="78"/>
        <v>0</v>
      </c>
    </row>
    <row r="1573" spans="5:11">
      <c r="E1573" t="s">
        <v>486</v>
      </c>
      <c r="F1573" t="s">
        <v>711</v>
      </c>
      <c r="G1573" s="10" t="str">
        <f t="shared" si="79"/>
        <v>07-13</v>
      </c>
      <c r="H1573" s="1">
        <f>_xlfn.IFNA(VLOOKUP(Aragon!E1573,'Kilter Holds'!$P$36:$AB$370,10,0),0)</f>
        <v>0</v>
      </c>
      <c r="J1573" s="2">
        <f t="shared" si="77"/>
        <v>0</v>
      </c>
      <c r="K1573" s="2">
        <f t="shared" si="78"/>
        <v>0</v>
      </c>
    </row>
    <row r="1574" spans="5:11">
      <c r="E1574" t="s">
        <v>486</v>
      </c>
      <c r="F1574" t="s">
        <v>711</v>
      </c>
      <c r="G1574" s="11" t="str">
        <f t="shared" si="79"/>
        <v>11-25</v>
      </c>
      <c r="H1574" s="1">
        <f>_xlfn.IFNA(VLOOKUP(Aragon!E1574,'Kilter Holds'!$P$36:$AB$370,11,0),0)</f>
        <v>0</v>
      </c>
      <c r="J1574" s="2">
        <f t="shared" si="77"/>
        <v>0</v>
      </c>
      <c r="K1574" s="2">
        <f t="shared" si="78"/>
        <v>0</v>
      </c>
    </row>
    <row r="1575" spans="5:11">
      <c r="E1575" t="s">
        <v>486</v>
      </c>
      <c r="F1575" t="s">
        <v>711</v>
      </c>
      <c r="G1575" s="13" t="str">
        <f t="shared" si="79"/>
        <v>18-01</v>
      </c>
      <c r="H1575" s="1">
        <f>_xlfn.IFNA(VLOOKUP(Aragon!E1575,'Kilter Holds'!$P$36:$AB$370,12,0),0)</f>
        <v>0</v>
      </c>
      <c r="J1575" s="2">
        <f t="shared" si="77"/>
        <v>0</v>
      </c>
      <c r="K1575" s="2">
        <f t="shared" si="78"/>
        <v>0</v>
      </c>
    </row>
    <row r="1576" spans="5:11">
      <c r="E1576" t="s">
        <v>486</v>
      </c>
      <c r="F1576" t="s">
        <v>711</v>
      </c>
      <c r="G1576" s="12" t="str">
        <f t="shared" si="79"/>
        <v>12-01</v>
      </c>
      <c r="H1576" s="1">
        <f>_xlfn.IFNA(VLOOKUP(Aragon!E1576,'Kilter Holds'!$P$36:$AB$370,13,0),0)</f>
        <v>0</v>
      </c>
      <c r="J1576" s="2">
        <f t="shared" si="77"/>
        <v>0</v>
      </c>
      <c r="K1576" s="2">
        <f t="shared" si="78"/>
        <v>0</v>
      </c>
    </row>
    <row r="1577" spans="5:11">
      <c r="E1577" t="s">
        <v>258</v>
      </c>
      <c r="F1577" t="s">
        <v>712</v>
      </c>
      <c r="G1577" s="5" t="str">
        <f t="shared" si="79"/>
        <v>11-12</v>
      </c>
      <c r="H1577" s="1">
        <f>_xlfn.IFNA(VLOOKUP(Aragon!E1577,'Kilter Holds'!$P$36:$AB$370,5,0),0)</f>
        <v>0</v>
      </c>
      <c r="J1577" s="2">
        <f t="shared" si="77"/>
        <v>0</v>
      </c>
      <c r="K1577" s="2">
        <f t="shared" si="78"/>
        <v>0</v>
      </c>
    </row>
    <row r="1578" spans="5:11">
      <c r="E1578" t="s">
        <v>258</v>
      </c>
      <c r="F1578" t="s">
        <v>712</v>
      </c>
      <c r="G1578" s="6" t="str">
        <f t="shared" si="79"/>
        <v>14-01</v>
      </c>
      <c r="H1578" s="1">
        <f>_xlfn.IFNA(VLOOKUP(Aragon!E1578,'Kilter Holds'!$P$36:$AB$370,6,0),0)</f>
        <v>0</v>
      </c>
      <c r="J1578" s="2">
        <f t="shared" si="77"/>
        <v>0</v>
      </c>
      <c r="K1578" s="2">
        <f t="shared" si="78"/>
        <v>0</v>
      </c>
    </row>
    <row r="1579" spans="5:11">
      <c r="E1579" t="s">
        <v>258</v>
      </c>
      <c r="F1579" t="s">
        <v>712</v>
      </c>
      <c r="G1579" s="7" t="str">
        <f t="shared" si="79"/>
        <v>15-12</v>
      </c>
      <c r="H1579" s="1">
        <f>_xlfn.IFNA(VLOOKUP(Aragon!E1579,'Kilter Holds'!$P$36:$AB$370,7,0),0)</f>
        <v>0</v>
      </c>
      <c r="J1579" s="2">
        <f t="shared" si="77"/>
        <v>0</v>
      </c>
      <c r="K1579" s="2">
        <f t="shared" si="78"/>
        <v>0</v>
      </c>
    </row>
    <row r="1580" spans="5:11">
      <c r="E1580" t="s">
        <v>258</v>
      </c>
      <c r="F1580" t="s">
        <v>712</v>
      </c>
      <c r="G1580" s="8" t="str">
        <f t="shared" si="79"/>
        <v>16-16</v>
      </c>
      <c r="H1580" s="1">
        <f>_xlfn.IFNA(VLOOKUP(Aragon!E1580,'Kilter Holds'!$P$36:$AB$370,8,0),0)</f>
        <v>0</v>
      </c>
      <c r="J1580" s="2">
        <f t="shared" si="77"/>
        <v>0</v>
      </c>
      <c r="K1580" s="2">
        <f t="shared" si="78"/>
        <v>0</v>
      </c>
    </row>
    <row r="1581" spans="5:11">
      <c r="E1581" t="s">
        <v>258</v>
      </c>
      <c r="F1581" t="s">
        <v>712</v>
      </c>
      <c r="G1581" s="9" t="str">
        <f t="shared" si="79"/>
        <v>13-01</v>
      </c>
      <c r="H1581" s="1">
        <f>_xlfn.IFNA(VLOOKUP(Aragon!E1581,'Kilter Holds'!$P$36:$AB$370,9,0),0)</f>
        <v>0</v>
      </c>
      <c r="J1581" s="2">
        <f t="shared" si="77"/>
        <v>0</v>
      </c>
      <c r="K1581" s="2">
        <f t="shared" si="78"/>
        <v>0</v>
      </c>
    </row>
    <row r="1582" spans="5:11">
      <c r="E1582" t="s">
        <v>258</v>
      </c>
      <c r="F1582" t="s">
        <v>712</v>
      </c>
      <c r="G1582" s="10" t="str">
        <f t="shared" si="79"/>
        <v>07-13</v>
      </c>
      <c r="H1582" s="1">
        <f>_xlfn.IFNA(VLOOKUP(Aragon!E1582,'Kilter Holds'!$P$36:$AB$370,10,0),0)</f>
        <v>0</v>
      </c>
      <c r="J1582" s="2">
        <f t="shared" si="77"/>
        <v>0</v>
      </c>
      <c r="K1582" s="2">
        <f t="shared" si="78"/>
        <v>0</v>
      </c>
    </row>
    <row r="1583" spans="5:11">
      <c r="E1583" t="s">
        <v>258</v>
      </c>
      <c r="F1583" t="s">
        <v>712</v>
      </c>
      <c r="G1583" s="11" t="str">
        <f t="shared" si="79"/>
        <v>11-25</v>
      </c>
      <c r="H1583" s="1">
        <f>_xlfn.IFNA(VLOOKUP(Aragon!E1583,'Kilter Holds'!$P$36:$AB$370,11,0),0)</f>
        <v>0</v>
      </c>
      <c r="J1583" s="2">
        <f t="shared" si="77"/>
        <v>0</v>
      </c>
      <c r="K1583" s="2">
        <f t="shared" si="78"/>
        <v>0</v>
      </c>
    </row>
    <row r="1584" spans="5:11">
      <c r="E1584" t="s">
        <v>258</v>
      </c>
      <c r="F1584" t="s">
        <v>712</v>
      </c>
      <c r="G1584" s="13" t="str">
        <f t="shared" si="79"/>
        <v>18-01</v>
      </c>
      <c r="H1584" s="1">
        <f>_xlfn.IFNA(VLOOKUP(Aragon!E1584,'Kilter Holds'!$P$36:$AB$370,12,0),0)</f>
        <v>0</v>
      </c>
      <c r="J1584" s="2">
        <f t="shared" si="77"/>
        <v>0</v>
      </c>
      <c r="K1584" s="2">
        <f t="shared" si="78"/>
        <v>0</v>
      </c>
    </row>
    <row r="1585" spans="5:11">
      <c r="E1585" t="s">
        <v>258</v>
      </c>
      <c r="F1585" t="s">
        <v>712</v>
      </c>
      <c r="G1585" s="12" t="str">
        <f t="shared" si="79"/>
        <v>12-01</v>
      </c>
      <c r="H1585" s="1">
        <f>_xlfn.IFNA(VLOOKUP(Aragon!E1585,'Kilter Holds'!$P$36:$AB$370,13,0),0)</f>
        <v>0</v>
      </c>
      <c r="J1585" s="2">
        <f t="shared" si="77"/>
        <v>0</v>
      </c>
      <c r="K1585" s="2">
        <f t="shared" si="78"/>
        <v>0</v>
      </c>
    </row>
    <row r="1586" spans="5:11">
      <c r="E1586" t="s">
        <v>259</v>
      </c>
      <c r="F1586" t="s">
        <v>713</v>
      </c>
      <c r="G1586" s="5" t="str">
        <f t="shared" si="79"/>
        <v>11-12</v>
      </c>
      <c r="H1586" s="1">
        <f>_xlfn.IFNA(VLOOKUP(Aragon!E1586,'Kilter Holds'!$P$36:$AB$370,5,0),0)</f>
        <v>0</v>
      </c>
      <c r="J1586" s="2">
        <f t="shared" si="77"/>
        <v>0</v>
      </c>
      <c r="K1586" s="2">
        <f t="shared" si="78"/>
        <v>0</v>
      </c>
    </row>
    <row r="1587" spans="5:11">
      <c r="E1587" t="s">
        <v>259</v>
      </c>
      <c r="F1587" t="s">
        <v>713</v>
      </c>
      <c r="G1587" s="6" t="str">
        <f t="shared" si="79"/>
        <v>14-01</v>
      </c>
      <c r="H1587" s="1">
        <f>_xlfn.IFNA(VLOOKUP(Aragon!E1587,'Kilter Holds'!$P$36:$AB$370,6,0),0)</f>
        <v>0</v>
      </c>
      <c r="J1587" s="2">
        <f t="shared" si="77"/>
        <v>0</v>
      </c>
      <c r="K1587" s="2">
        <f t="shared" si="78"/>
        <v>0</v>
      </c>
    </row>
    <row r="1588" spans="5:11">
      <c r="E1588" t="s">
        <v>259</v>
      </c>
      <c r="F1588" t="s">
        <v>713</v>
      </c>
      <c r="G1588" s="7" t="str">
        <f t="shared" si="79"/>
        <v>15-12</v>
      </c>
      <c r="H1588" s="1">
        <f>_xlfn.IFNA(VLOOKUP(Aragon!E1588,'Kilter Holds'!$P$36:$AB$370,7,0),0)</f>
        <v>0</v>
      </c>
      <c r="J1588" s="2">
        <f t="shared" si="77"/>
        <v>0</v>
      </c>
      <c r="K1588" s="2">
        <f t="shared" si="78"/>
        <v>0</v>
      </c>
    </row>
    <row r="1589" spans="5:11">
      <c r="E1589" t="s">
        <v>259</v>
      </c>
      <c r="F1589" t="s">
        <v>713</v>
      </c>
      <c r="G1589" s="8" t="str">
        <f t="shared" si="79"/>
        <v>16-16</v>
      </c>
      <c r="H1589" s="1">
        <f>_xlfn.IFNA(VLOOKUP(Aragon!E1589,'Kilter Holds'!$P$36:$AB$370,8,0),0)</f>
        <v>0</v>
      </c>
      <c r="J1589" s="2">
        <f t="shared" si="77"/>
        <v>0</v>
      </c>
      <c r="K1589" s="2">
        <f t="shared" si="78"/>
        <v>0</v>
      </c>
    </row>
    <row r="1590" spans="5:11">
      <c r="E1590" t="s">
        <v>259</v>
      </c>
      <c r="F1590" t="s">
        <v>713</v>
      </c>
      <c r="G1590" s="9" t="str">
        <f t="shared" si="79"/>
        <v>13-01</v>
      </c>
      <c r="H1590" s="1">
        <f>_xlfn.IFNA(VLOOKUP(Aragon!E1590,'Kilter Holds'!$P$36:$AB$370,9,0),0)</f>
        <v>0</v>
      </c>
      <c r="J1590" s="2">
        <f t="shared" si="77"/>
        <v>0</v>
      </c>
      <c r="K1590" s="2">
        <f t="shared" si="78"/>
        <v>0</v>
      </c>
    </row>
    <row r="1591" spans="5:11">
      <c r="E1591" t="s">
        <v>259</v>
      </c>
      <c r="F1591" t="s">
        <v>713</v>
      </c>
      <c r="G1591" s="10" t="str">
        <f t="shared" si="79"/>
        <v>07-13</v>
      </c>
      <c r="H1591" s="1">
        <f>_xlfn.IFNA(VLOOKUP(Aragon!E1591,'Kilter Holds'!$P$36:$AB$370,10,0),0)</f>
        <v>0</v>
      </c>
      <c r="J1591" s="2">
        <f t="shared" si="77"/>
        <v>0</v>
      </c>
      <c r="K1591" s="2">
        <f t="shared" si="78"/>
        <v>0</v>
      </c>
    </row>
    <row r="1592" spans="5:11">
      <c r="E1592" t="s">
        <v>259</v>
      </c>
      <c r="F1592" t="s">
        <v>713</v>
      </c>
      <c r="G1592" s="11" t="str">
        <f t="shared" si="79"/>
        <v>11-25</v>
      </c>
      <c r="H1592" s="1">
        <f>_xlfn.IFNA(VLOOKUP(Aragon!E1592,'Kilter Holds'!$P$36:$AB$370,11,0),0)</f>
        <v>0</v>
      </c>
      <c r="J1592" s="2">
        <f t="shared" si="77"/>
        <v>0</v>
      </c>
      <c r="K1592" s="2">
        <f t="shared" si="78"/>
        <v>0</v>
      </c>
    </row>
    <row r="1593" spans="5:11">
      <c r="E1593" t="s">
        <v>259</v>
      </c>
      <c r="F1593" t="s">
        <v>713</v>
      </c>
      <c r="G1593" s="13" t="str">
        <f t="shared" si="79"/>
        <v>18-01</v>
      </c>
      <c r="H1593" s="1">
        <f>_xlfn.IFNA(VLOOKUP(Aragon!E1593,'Kilter Holds'!$P$36:$AB$370,12,0),0)</f>
        <v>0</v>
      </c>
      <c r="J1593" s="2">
        <f t="shared" si="77"/>
        <v>0</v>
      </c>
      <c r="K1593" s="2">
        <f t="shared" si="78"/>
        <v>0</v>
      </c>
    </row>
    <row r="1594" spans="5:11">
      <c r="E1594" t="s">
        <v>259</v>
      </c>
      <c r="F1594" t="s">
        <v>713</v>
      </c>
      <c r="G1594" s="12" t="str">
        <f t="shared" si="79"/>
        <v>12-01</v>
      </c>
      <c r="H1594" s="1">
        <f>_xlfn.IFNA(VLOOKUP(Aragon!E1594,'Kilter Holds'!$P$36:$AB$370,13,0),0)</f>
        <v>0</v>
      </c>
      <c r="J1594" s="2">
        <f t="shared" ref="J1594:J1657" si="80">H1594*I1594</f>
        <v>0</v>
      </c>
      <c r="K1594" s="2">
        <f t="shared" si="78"/>
        <v>0</v>
      </c>
    </row>
    <row r="1595" spans="5:11">
      <c r="E1595" t="s">
        <v>242</v>
      </c>
      <c r="F1595" t="s">
        <v>714</v>
      </c>
      <c r="G1595" s="5" t="str">
        <f t="shared" si="79"/>
        <v>11-12</v>
      </c>
      <c r="H1595" s="1">
        <f>_xlfn.IFNA(VLOOKUP(Aragon!E1595,'Kilter Holds'!$P$36:$AB$370,5,0),0)</f>
        <v>0</v>
      </c>
      <c r="J1595" s="2">
        <f t="shared" si="80"/>
        <v>0</v>
      </c>
      <c r="K1595" s="2">
        <f t="shared" si="78"/>
        <v>0</v>
      </c>
    </row>
    <row r="1596" spans="5:11">
      <c r="E1596" t="s">
        <v>242</v>
      </c>
      <c r="F1596" t="s">
        <v>714</v>
      </c>
      <c r="G1596" s="6" t="str">
        <f t="shared" si="79"/>
        <v>14-01</v>
      </c>
      <c r="H1596" s="1">
        <f>_xlfn.IFNA(VLOOKUP(Aragon!E1596,'Kilter Holds'!$P$36:$AB$370,6,0),0)</f>
        <v>0</v>
      </c>
      <c r="J1596" s="2">
        <f t="shared" si="80"/>
        <v>0</v>
      </c>
      <c r="K1596" s="2">
        <f t="shared" si="78"/>
        <v>0</v>
      </c>
    </row>
    <row r="1597" spans="5:11">
      <c r="E1597" t="s">
        <v>242</v>
      </c>
      <c r="F1597" t="s">
        <v>714</v>
      </c>
      <c r="G1597" s="7" t="str">
        <f t="shared" si="79"/>
        <v>15-12</v>
      </c>
      <c r="H1597" s="1">
        <f>_xlfn.IFNA(VLOOKUP(Aragon!E1597,'Kilter Holds'!$P$36:$AB$370,7,0),0)</f>
        <v>0</v>
      </c>
      <c r="J1597" s="2">
        <f t="shared" si="80"/>
        <v>0</v>
      </c>
      <c r="K1597" s="2">
        <f t="shared" si="78"/>
        <v>0</v>
      </c>
    </row>
    <row r="1598" spans="5:11">
      <c r="E1598" t="s">
        <v>242</v>
      </c>
      <c r="F1598" t="s">
        <v>714</v>
      </c>
      <c r="G1598" s="8" t="str">
        <f t="shared" si="79"/>
        <v>16-16</v>
      </c>
      <c r="H1598" s="1">
        <f>_xlfn.IFNA(VLOOKUP(Aragon!E1598,'Kilter Holds'!$P$36:$AB$370,8,0),0)</f>
        <v>0</v>
      </c>
      <c r="J1598" s="2">
        <f t="shared" si="80"/>
        <v>0</v>
      </c>
      <c r="K1598" s="2">
        <f t="shared" si="78"/>
        <v>0</v>
      </c>
    </row>
    <row r="1599" spans="5:11">
      <c r="E1599" t="s">
        <v>242</v>
      </c>
      <c r="F1599" t="s">
        <v>714</v>
      </c>
      <c r="G1599" s="9" t="str">
        <f t="shared" si="79"/>
        <v>13-01</v>
      </c>
      <c r="H1599" s="1">
        <f>_xlfn.IFNA(VLOOKUP(Aragon!E1599,'Kilter Holds'!$P$36:$AB$370,9,0),0)</f>
        <v>0</v>
      </c>
      <c r="J1599" s="2">
        <f t="shared" si="80"/>
        <v>0</v>
      </c>
      <c r="K1599" s="2">
        <f t="shared" si="78"/>
        <v>0</v>
      </c>
    </row>
    <row r="1600" spans="5:11">
      <c r="E1600" t="s">
        <v>242</v>
      </c>
      <c r="F1600" t="s">
        <v>714</v>
      </c>
      <c r="G1600" s="10" t="str">
        <f t="shared" si="79"/>
        <v>07-13</v>
      </c>
      <c r="H1600" s="1">
        <f>_xlfn.IFNA(VLOOKUP(Aragon!E1600,'Kilter Holds'!$P$36:$AB$370,10,0),0)</f>
        <v>0</v>
      </c>
      <c r="J1600" s="2">
        <f t="shared" si="80"/>
        <v>0</v>
      </c>
      <c r="K1600" s="2">
        <f t="shared" si="78"/>
        <v>0</v>
      </c>
    </row>
    <row r="1601" spans="5:11">
      <c r="E1601" t="s">
        <v>242</v>
      </c>
      <c r="F1601" t="s">
        <v>714</v>
      </c>
      <c r="G1601" s="11" t="str">
        <f t="shared" si="79"/>
        <v>11-25</v>
      </c>
      <c r="H1601" s="1">
        <f>_xlfn.IFNA(VLOOKUP(Aragon!E1601,'Kilter Holds'!$P$36:$AB$370,11,0),0)</f>
        <v>0</v>
      </c>
      <c r="J1601" s="2">
        <f t="shared" si="80"/>
        <v>0</v>
      </c>
      <c r="K1601" s="2">
        <f t="shared" si="78"/>
        <v>0</v>
      </c>
    </row>
    <row r="1602" spans="5:11">
      <c r="E1602" t="s">
        <v>242</v>
      </c>
      <c r="F1602" t="s">
        <v>714</v>
      </c>
      <c r="G1602" s="13" t="str">
        <f t="shared" si="79"/>
        <v>18-01</v>
      </c>
      <c r="H1602" s="1">
        <f>_xlfn.IFNA(VLOOKUP(Aragon!E1602,'Kilter Holds'!$P$36:$AB$370,12,0),0)</f>
        <v>0</v>
      </c>
      <c r="J1602" s="2">
        <f t="shared" si="80"/>
        <v>0</v>
      </c>
      <c r="K1602" s="2">
        <f t="shared" si="78"/>
        <v>0</v>
      </c>
    </row>
    <row r="1603" spans="5:11">
      <c r="E1603" t="s">
        <v>242</v>
      </c>
      <c r="F1603" t="s">
        <v>714</v>
      </c>
      <c r="G1603" s="12" t="str">
        <f t="shared" si="79"/>
        <v>12-01</v>
      </c>
      <c r="H1603" s="1">
        <f>_xlfn.IFNA(VLOOKUP(Aragon!E1603,'Kilter Holds'!$P$36:$AB$370,13,0),0)</f>
        <v>0</v>
      </c>
      <c r="J1603" s="2">
        <f t="shared" si="80"/>
        <v>0</v>
      </c>
      <c r="K1603" s="2">
        <f t="shared" si="78"/>
        <v>0</v>
      </c>
    </row>
    <row r="1604" spans="5:11">
      <c r="E1604" t="s">
        <v>260</v>
      </c>
      <c r="F1604" t="s">
        <v>715</v>
      </c>
      <c r="G1604" s="5" t="str">
        <f t="shared" si="79"/>
        <v>11-12</v>
      </c>
      <c r="H1604" s="1">
        <f>_xlfn.IFNA(VLOOKUP(Aragon!E1604,'Kilter Holds'!$P$36:$AB$370,5,0),0)</f>
        <v>0</v>
      </c>
      <c r="J1604" s="2">
        <f t="shared" si="80"/>
        <v>0</v>
      </c>
      <c r="K1604" s="2">
        <f t="shared" si="78"/>
        <v>0</v>
      </c>
    </row>
    <row r="1605" spans="5:11">
      <c r="E1605" t="s">
        <v>260</v>
      </c>
      <c r="F1605" t="s">
        <v>715</v>
      </c>
      <c r="G1605" s="6" t="str">
        <f t="shared" si="79"/>
        <v>14-01</v>
      </c>
      <c r="H1605" s="1">
        <f>_xlfn.IFNA(VLOOKUP(Aragon!E1605,'Kilter Holds'!$P$36:$AB$370,6,0),0)</f>
        <v>0</v>
      </c>
      <c r="J1605" s="2">
        <f t="shared" si="80"/>
        <v>0</v>
      </c>
      <c r="K1605" s="2">
        <f t="shared" si="78"/>
        <v>0</v>
      </c>
    </row>
    <row r="1606" spans="5:11">
      <c r="E1606" t="s">
        <v>260</v>
      </c>
      <c r="F1606" t="s">
        <v>715</v>
      </c>
      <c r="G1606" s="7" t="str">
        <f t="shared" si="79"/>
        <v>15-12</v>
      </c>
      <c r="H1606" s="1">
        <f>_xlfn.IFNA(VLOOKUP(Aragon!E1606,'Kilter Holds'!$P$36:$AB$370,7,0),0)</f>
        <v>0</v>
      </c>
      <c r="J1606" s="2">
        <f t="shared" si="80"/>
        <v>0</v>
      </c>
      <c r="K1606" s="2">
        <f t="shared" si="78"/>
        <v>0</v>
      </c>
    </row>
    <row r="1607" spans="5:11">
      <c r="E1607" t="s">
        <v>260</v>
      </c>
      <c r="F1607" t="s">
        <v>715</v>
      </c>
      <c r="G1607" s="8" t="str">
        <f t="shared" si="79"/>
        <v>16-16</v>
      </c>
      <c r="H1607" s="1">
        <f>_xlfn.IFNA(VLOOKUP(Aragon!E1607,'Kilter Holds'!$P$36:$AB$370,8,0),0)</f>
        <v>0</v>
      </c>
      <c r="J1607" s="2">
        <f t="shared" si="80"/>
        <v>0</v>
      </c>
      <c r="K1607" s="2">
        <f t="shared" si="78"/>
        <v>0</v>
      </c>
    </row>
    <row r="1608" spans="5:11">
      <c r="E1608" t="s">
        <v>260</v>
      </c>
      <c r="F1608" t="s">
        <v>715</v>
      </c>
      <c r="G1608" s="9" t="str">
        <f t="shared" si="79"/>
        <v>13-01</v>
      </c>
      <c r="H1608" s="1">
        <f>_xlfn.IFNA(VLOOKUP(Aragon!E1608,'Kilter Holds'!$P$36:$AB$370,9,0),0)</f>
        <v>0</v>
      </c>
      <c r="J1608" s="2">
        <f t="shared" si="80"/>
        <v>0</v>
      </c>
      <c r="K1608" s="2">
        <f t="shared" si="78"/>
        <v>0</v>
      </c>
    </row>
    <row r="1609" spans="5:11">
      <c r="E1609" t="s">
        <v>260</v>
      </c>
      <c r="F1609" t="s">
        <v>715</v>
      </c>
      <c r="G1609" s="10" t="str">
        <f t="shared" si="79"/>
        <v>07-13</v>
      </c>
      <c r="H1609" s="1">
        <f>_xlfn.IFNA(VLOOKUP(Aragon!E1609,'Kilter Holds'!$P$36:$AB$370,10,0),0)</f>
        <v>0</v>
      </c>
      <c r="J1609" s="2">
        <f t="shared" si="80"/>
        <v>0</v>
      </c>
      <c r="K1609" s="2">
        <f t="shared" si="78"/>
        <v>0</v>
      </c>
    </row>
    <row r="1610" spans="5:11">
      <c r="E1610" t="s">
        <v>260</v>
      </c>
      <c r="F1610" t="s">
        <v>715</v>
      </c>
      <c r="G1610" s="11" t="str">
        <f t="shared" si="79"/>
        <v>11-25</v>
      </c>
      <c r="H1610" s="1">
        <f>_xlfn.IFNA(VLOOKUP(Aragon!E1610,'Kilter Holds'!$P$36:$AB$370,11,0),0)</f>
        <v>0</v>
      </c>
      <c r="J1610" s="2">
        <f t="shared" si="80"/>
        <v>0</v>
      </c>
      <c r="K1610" s="2">
        <f t="shared" si="78"/>
        <v>0</v>
      </c>
    </row>
    <row r="1611" spans="5:11">
      <c r="E1611" t="s">
        <v>260</v>
      </c>
      <c r="F1611" t="s">
        <v>715</v>
      </c>
      <c r="G1611" s="13" t="str">
        <f t="shared" si="79"/>
        <v>18-01</v>
      </c>
      <c r="H1611" s="1">
        <f>_xlfn.IFNA(VLOOKUP(Aragon!E1611,'Kilter Holds'!$P$36:$AB$370,12,0),0)</f>
        <v>0</v>
      </c>
      <c r="J1611" s="2">
        <f t="shared" si="80"/>
        <v>0</v>
      </c>
      <c r="K1611" s="2">
        <f t="shared" si="78"/>
        <v>0</v>
      </c>
    </row>
    <row r="1612" spans="5:11">
      <c r="E1612" t="s">
        <v>260</v>
      </c>
      <c r="F1612" t="s">
        <v>715</v>
      </c>
      <c r="G1612" s="12" t="str">
        <f t="shared" si="79"/>
        <v>12-01</v>
      </c>
      <c r="H1612" s="1">
        <f>_xlfn.IFNA(VLOOKUP(Aragon!E1612,'Kilter Holds'!$P$36:$AB$370,13,0),0)</f>
        <v>0</v>
      </c>
      <c r="J1612" s="2">
        <f t="shared" si="80"/>
        <v>0</v>
      </c>
      <c r="K1612" s="2">
        <f t="shared" ref="K1612:K1675" si="81">IF($V$11="Y",J1612*0.05,0)</f>
        <v>0</v>
      </c>
    </row>
    <row r="1613" spans="5:11">
      <c r="E1613" t="s">
        <v>199</v>
      </c>
      <c r="F1613" t="s">
        <v>716</v>
      </c>
      <c r="G1613" s="5" t="str">
        <f t="shared" ref="G1613:G1676" si="82">G1604</f>
        <v>11-12</v>
      </c>
      <c r="H1613" s="1">
        <f>_xlfn.IFNA(VLOOKUP(Aragon!E1613,'Kilter Holds'!$P$36:$AB$370,5,0),0)</f>
        <v>0</v>
      </c>
      <c r="J1613" s="2">
        <f t="shared" si="80"/>
        <v>0</v>
      </c>
      <c r="K1613" s="2">
        <f t="shared" si="81"/>
        <v>0</v>
      </c>
    </row>
    <row r="1614" spans="5:11">
      <c r="E1614" t="s">
        <v>199</v>
      </c>
      <c r="F1614" t="s">
        <v>716</v>
      </c>
      <c r="G1614" s="6" t="str">
        <f t="shared" si="82"/>
        <v>14-01</v>
      </c>
      <c r="H1614" s="1">
        <f>_xlfn.IFNA(VLOOKUP(Aragon!E1614,'Kilter Holds'!$P$36:$AB$370,6,0),0)</f>
        <v>0</v>
      </c>
      <c r="J1614" s="2">
        <f t="shared" si="80"/>
        <v>0</v>
      </c>
      <c r="K1614" s="2">
        <f t="shared" si="81"/>
        <v>0</v>
      </c>
    </row>
    <row r="1615" spans="5:11">
      <c r="E1615" t="s">
        <v>199</v>
      </c>
      <c r="F1615" t="s">
        <v>716</v>
      </c>
      <c r="G1615" s="7" t="str">
        <f t="shared" si="82"/>
        <v>15-12</v>
      </c>
      <c r="H1615" s="1">
        <f>_xlfn.IFNA(VLOOKUP(Aragon!E1615,'Kilter Holds'!$P$36:$AB$370,7,0),0)</f>
        <v>0</v>
      </c>
      <c r="J1615" s="2">
        <f t="shared" si="80"/>
        <v>0</v>
      </c>
      <c r="K1615" s="2">
        <f t="shared" si="81"/>
        <v>0</v>
      </c>
    </row>
    <row r="1616" spans="5:11">
      <c r="E1616" t="s">
        <v>199</v>
      </c>
      <c r="F1616" t="s">
        <v>716</v>
      </c>
      <c r="G1616" s="8" t="str">
        <f t="shared" si="82"/>
        <v>16-16</v>
      </c>
      <c r="H1616" s="1">
        <f>_xlfn.IFNA(VLOOKUP(Aragon!E1616,'Kilter Holds'!$P$36:$AB$370,8,0),0)</f>
        <v>0</v>
      </c>
      <c r="J1616" s="2">
        <f t="shared" si="80"/>
        <v>0</v>
      </c>
      <c r="K1616" s="2">
        <f t="shared" si="81"/>
        <v>0</v>
      </c>
    </row>
    <row r="1617" spans="5:11">
      <c r="E1617" t="s">
        <v>199</v>
      </c>
      <c r="F1617" t="s">
        <v>716</v>
      </c>
      <c r="G1617" s="9" t="str">
        <f t="shared" si="82"/>
        <v>13-01</v>
      </c>
      <c r="H1617" s="1">
        <f>_xlfn.IFNA(VLOOKUP(Aragon!E1617,'Kilter Holds'!$P$36:$AB$370,9,0),0)</f>
        <v>0</v>
      </c>
      <c r="J1617" s="2">
        <f t="shared" si="80"/>
        <v>0</v>
      </c>
      <c r="K1617" s="2">
        <f t="shared" si="81"/>
        <v>0</v>
      </c>
    </row>
    <row r="1618" spans="5:11">
      <c r="E1618" t="s">
        <v>199</v>
      </c>
      <c r="F1618" t="s">
        <v>716</v>
      </c>
      <c r="G1618" s="10" t="str">
        <f t="shared" si="82"/>
        <v>07-13</v>
      </c>
      <c r="H1618" s="1">
        <f>_xlfn.IFNA(VLOOKUP(Aragon!E1618,'Kilter Holds'!$P$36:$AB$370,10,0),0)</f>
        <v>0</v>
      </c>
      <c r="J1618" s="2">
        <f t="shared" si="80"/>
        <v>0</v>
      </c>
      <c r="K1618" s="2">
        <f t="shared" si="81"/>
        <v>0</v>
      </c>
    </row>
    <row r="1619" spans="5:11">
      <c r="E1619" t="s">
        <v>199</v>
      </c>
      <c r="F1619" t="s">
        <v>716</v>
      </c>
      <c r="G1619" s="11" t="str">
        <f t="shared" si="82"/>
        <v>11-25</v>
      </c>
      <c r="H1619" s="1">
        <f>_xlfn.IFNA(VLOOKUP(Aragon!E1619,'Kilter Holds'!$P$36:$AB$370,11,0),0)</f>
        <v>0</v>
      </c>
      <c r="J1619" s="2">
        <f t="shared" si="80"/>
        <v>0</v>
      </c>
      <c r="K1619" s="2">
        <f t="shared" si="81"/>
        <v>0</v>
      </c>
    </row>
    <row r="1620" spans="5:11">
      <c r="E1620" t="s">
        <v>199</v>
      </c>
      <c r="F1620" t="s">
        <v>716</v>
      </c>
      <c r="G1620" s="13" t="str">
        <f t="shared" si="82"/>
        <v>18-01</v>
      </c>
      <c r="H1620" s="1">
        <f>_xlfn.IFNA(VLOOKUP(Aragon!E1620,'Kilter Holds'!$P$36:$AB$370,12,0),0)</f>
        <v>0</v>
      </c>
      <c r="J1620" s="2">
        <f t="shared" si="80"/>
        <v>0</v>
      </c>
      <c r="K1620" s="2">
        <f t="shared" si="81"/>
        <v>0</v>
      </c>
    </row>
    <row r="1621" spans="5:11">
      <c r="E1621" t="s">
        <v>199</v>
      </c>
      <c r="F1621" t="s">
        <v>716</v>
      </c>
      <c r="G1621" s="12" t="str">
        <f t="shared" si="82"/>
        <v>12-01</v>
      </c>
      <c r="H1621" s="1">
        <f>_xlfn.IFNA(VLOOKUP(Aragon!E1621,'Kilter Holds'!$P$36:$AB$370,13,0),0)</f>
        <v>0</v>
      </c>
      <c r="J1621" s="2">
        <f t="shared" si="80"/>
        <v>0</v>
      </c>
      <c r="K1621" s="2">
        <f t="shared" si="81"/>
        <v>0</v>
      </c>
    </row>
    <row r="1622" spans="5:11">
      <c r="E1622" t="s">
        <v>200</v>
      </c>
      <c r="F1622" t="s">
        <v>717</v>
      </c>
      <c r="G1622" s="5" t="str">
        <f t="shared" si="82"/>
        <v>11-12</v>
      </c>
      <c r="H1622" s="1">
        <f>_xlfn.IFNA(VLOOKUP(Aragon!E1622,'Kilter Holds'!$P$36:$AB$370,5,0),0)</f>
        <v>0</v>
      </c>
      <c r="J1622" s="2">
        <f t="shared" si="80"/>
        <v>0</v>
      </c>
      <c r="K1622" s="2">
        <f t="shared" si="81"/>
        <v>0</v>
      </c>
    </row>
    <row r="1623" spans="5:11">
      <c r="E1623" t="s">
        <v>200</v>
      </c>
      <c r="F1623" t="s">
        <v>717</v>
      </c>
      <c r="G1623" s="6" t="str">
        <f t="shared" si="82"/>
        <v>14-01</v>
      </c>
      <c r="H1623" s="1">
        <f>_xlfn.IFNA(VLOOKUP(Aragon!E1623,'Kilter Holds'!$P$36:$AB$370,6,0),0)</f>
        <v>0</v>
      </c>
      <c r="J1623" s="2">
        <f t="shared" si="80"/>
        <v>0</v>
      </c>
      <c r="K1623" s="2">
        <f t="shared" si="81"/>
        <v>0</v>
      </c>
    </row>
    <row r="1624" spans="5:11">
      <c r="E1624" t="s">
        <v>200</v>
      </c>
      <c r="F1624" t="s">
        <v>717</v>
      </c>
      <c r="G1624" s="7" t="str">
        <f t="shared" si="82"/>
        <v>15-12</v>
      </c>
      <c r="H1624" s="1">
        <f>_xlfn.IFNA(VLOOKUP(Aragon!E1624,'Kilter Holds'!$P$36:$AB$370,7,0),0)</f>
        <v>0</v>
      </c>
      <c r="J1624" s="2">
        <f t="shared" si="80"/>
        <v>0</v>
      </c>
      <c r="K1624" s="2">
        <f t="shared" si="81"/>
        <v>0</v>
      </c>
    </row>
    <row r="1625" spans="5:11">
      <c r="E1625" t="s">
        <v>200</v>
      </c>
      <c r="F1625" t="s">
        <v>717</v>
      </c>
      <c r="G1625" s="8" t="str">
        <f t="shared" si="82"/>
        <v>16-16</v>
      </c>
      <c r="H1625" s="1">
        <f>_xlfn.IFNA(VLOOKUP(Aragon!E1625,'Kilter Holds'!$P$36:$AB$370,8,0),0)</f>
        <v>0</v>
      </c>
      <c r="J1625" s="2">
        <f t="shared" si="80"/>
        <v>0</v>
      </c>
      <c r="K1625" s="2">
        <f t="shared" si="81"/>
        <v>0</v>
      </c>
    </row>
    <row r="1626" spans="5:11">
      <c r="E1626" t="s">
        <v>200</v>
      </c>
      <c r="F1626" t="s">
        <v>717</v>
      </c>
      <c r="G1626" s="9" t="str">
        <f t="shared" si="82"/>
        <v>13-01</v>
      </c>
      <c r="H1626" s="1">
        <f>_xlfn.IFNA(VLOOKUP(Aragon!E1626,'Kilter Holds'!$P$36:$AB$370,9,0),0)</f>
        <v>0</v>
      </c>
      <c r="J1626" s="2">
        <f t="shared" si="80"/>
        <v>0</v>
      </c>
      <c r="K1626" s="2">
        <f t="shared" si="81"/>
        <v>0</v>
      </c>
    </row>
    <row r="1627" spans="5:11">
      <c r="E1627" t="s">
        <v>200</v>
      </c>
      <c r="F1627" t="s">
        <v>717</v>
      </c>
      <c r="G1627" s="10" t="str">
        <f t="shared" si="82"/>
        <v>07-13</v>
      </c>
      <c r="H1627" s="1">
        <f>_xlfn.IFNA(VLOOKUP(Aragon!E1627,'Kilter Holds'!$P$36:$AB$370,10,0),0)</f>
        <v>0</v>
      </c>
      <c r="J1627" s="2">
        <f t="shared" si="80"/>
        <v>0</v>
      </c>
      <c r="K1627" s="2">
        <f t="shared" si="81"/>
        <v>0</v>
      </c>
    </row>
    <row r="1628" spans="5:11">
      <c r="E1628" t="s">
        <v>200</v>
      </c>
      <c r="F1628" t="s">
        <v>717</v>
      </c>
      <c r="G1628" s="11" t="str">
        <f t="shared" si="82"/>
        <v>11-25</v>
      </c>
      <c r="H1628" s="1">
        <f>_xlfn.IFNA(VLOOKUP(Aragon!E1628,'Kilter Holds'!$P$36:$AB$370,11,0),0)</f>
        <v>0</v>
      </c>
      <c r="J1628" s="2">
        <f t="shared" si="80"/>
        <v>0</v>
      </c>
      <c r="K1628" s="2">
        <f t="shared" si="81"/>
        <v>0</v>
      </c>
    </row>
    <row r="1629" spans="5:11">
      <c r="E1629" t="s">
        <v>200</v>
      </c>
      <c r="F1629" t="s">
        <v>717</v>
      </c>
      <c r="G1629" s="13" t="str">
        <f t="shared" si="82"/>
        <v>18-01</v>
      </c>
      <c r="H1629" s="1">
        <f>_xlfn.IFNA(VLOOKUP(Aragon!E1629,'Kilter Holds'!$P$36:$AB$370,12,0),0)</f>
        <v>0</v>
      </c>
      <c r="J1629" s="2">
        <f t="shared" si="80"/>
        <v>0</v>
      </c>
      <c r="K1629" s="2">
        <f t="shared" si="81"/>
        <v>0</v>
      </c>
    </row>
    <row r="1630" spans="5:11">
      <c r="E1630" t="s">
        <v>200</v>
      </c>
      <c r="F1630" t="s">
        <v>717</v>
      </c>
      <c r="G1630" s="12" t="str">
        <f t="shared" si="82"/>
        <v>12-01</v>
      </c>
      <c r="H1630" s="1">
        <f>_xlfn.IFNA(VLOOKUP(Aragon!E1630,'Kilter Holds'!$P$36:$AB$370,13,0),0)</f>
        <v>0</v>
      </c>
      <c r="J1630" s="2">
        <f t="shared" si="80"/>
        <v>0</v>
      </c>
      <c r="K1630" s="2">
        <f t="shared" si="81"/>
        <v>0</v>
      </c>
    </row>
    <row r="1631" spans="5:11">
      <c r="E1631" t="s">
        <v>201</v>
      </c>
      <c r="F1631" t="s">
        <v>718</v>
      </c>
      <c r="G1631" s="5" t="str">
        <f t="shared" si="82"/>
        <v>11-12</v>
      </c>
      <c r="H1631" s="1">
        <f>_xlfn.IFNA(VLOOKUP(Aragon!E1631,'Kilter Holds'!$P$36:$AB$370,5,0),0)</f>
        <v>0</v>
      </c>
      <c r="J1631" s="2">
        <f t="shared" si="80"/>
        <v>0</v>
      </c>
      <c r="K1631" s="2">
        <f t="shared" si="81"/>
        <v>0</v>
      </c>
    </row>
    <row r="1632" spans="5:11">
      <c r="E1632" t="s">
        <v>201</v>
      </c>
      <c r="F1632" t="s">
        <v>718</v>
      </c>
      <c r="G1632" s="6" t="str">
        <f t="shared" si="82"/>
        <v>14-01</v>
      </c>
      <c r="H1632" s="1">
        <f>_xlfn.IFNA(VLOOKUP(Aragon!E1632,'Kilter Holds'!$P$36:$AB$370,6,0),0)</f>
        <v>0</v>
      </c>
      <c r="J1632" s="2">
        <f t="shared" si="80"/>
        <v>0</v>
      </c>
      <c r="K1632" s="2">
        <f t="shared" si="81"/>
        <v>0</v>
      </c>
    </row>
    <row r="1633" spans="5:11">
      <c r="E1633" t="s">
        <v>201</v>
      </c>
      <c r="F1633" t="s">
        <v>718</v>
      </c>
      <c r="G1633" s="7" t="str">
        <f t="shared" si="82"/>
        <v>15-12</v>
      </c>
      <c r="H1633" s="1">
        <f>_xlfn.IFNA(VLOOKUP(Aragon!E1633,'Kilter Holds'!$P$36:$AB$370,7,0),0)</f>
        <v>0</v>
      </c>
      <c r="J1633" s="2">
        <f t="shared" si="80"/>
        <v>0</v>
      </c>
      <c r="K1633" s="2">
        <f t="shared" si="81"/>
        <v>0</v>
      </c>
    </row>
    <row r="1634" spans="5:11">
      <c r="E1634" t="s">
        <v>201</v>
      </c>
      <c r="F1634" t="s">
        <v>718</v>
      </c>
      <c r="G1634" s="8" t="str">
        <f t="shared" si="82"/>
        <v>16-16</v>
      </c>
      <c r="H1634" s="1">
        <f>_xlfn.IFNA(VLOOKUP(Aragon!E1634,'Kilter Holds'!$P$36:$AB$370,8,0),0)</f>
        <v>0</v>
      </c>
      <c r="J1634" s="2">
        <f t="shared" si="80"/>
        <v>0</v>
      </c>
      <c r="K1634" s="2">
        <f t="shared" si="81"/>
        <v>0</v>
      </c>
    </row>
    <row r="1635" spans="5:11">
      <c r="E1635" t="s">
        <v>201</v>
      </c>
      <c r="F1635" t="s">
        <v>718</v>
      </c>
      <c r="G1635" s="9" t="str">
        <f t="shared" si="82"/>
        <v>13-01</v>
      </c>
      <c r="H1635" s="1">
        <f>_xlfn.IFNA(VLOOKUP(Aragon!E1635,'Kilter Holds'!$P$36:$AB$370,9,0),0)</f>
        <v>0</v>
      </c>
      <c r="J1635" s="2">
        <f t="shared" si="80"/>
        <v>0</v>
      </c>
      <c r="K1635" s="2">
        <f t="shared" si="81"/>
        <v>0</v>
      </c>
    </row>
    <row r="1636" spans="5:11">
      <c r="E1636" t="s">
        <v>201</v>
      </c>
      <c r="F1636" t="s">
        <v>718</v>
      </c>
      <c r="G1636" s="10" t="str">
        <f t="shared" si="82"/>
        <v>07-13</v>
      </c>
      <c r="H1636" s="1">
        <f>_xlfn.IFNA(VLOOKUP(Aragon!E1636,'Kilter Holds'!$P$36:$AB$370,10,0),0)</f>
        <v>0</v>
      </c>
      <c r="J1636" s="2">
        <f t="shared" si="80"/>
        <v>0</v>
      </c>
      <c r="K1636" s="2">
        <f t="shared" si="81"/>
        <v>0</v>
      </c>
    </row>
    <row r="1637" spans="5:11">
      <c r="E1637" t="s">
        <v>201</v>
      </c>
      <c r="F1637" t="s">
        <v>718</v>
      </c>
      <c r="G1637" s="11" t="str">
        <f t="shared" si="82"/>
        <v>11-25</v>
      </c>
      <c r="H1637" s="1">
        <f>_xlfn.IFNA(VLOOKUP(Aragon!E1637,'Kilter Holds'!$P$36:$AB$370,11,0),0)</f>
        <v>0</v>
      </c>
      <c r="J1637" s="2">
        <f t="shared" si="80"/>
        <v>0</v>
      </c>
      <c r="K1637" s="2">
        <f t="shared" si="81"/>
        <v>0</v>
      </c>
    </row>
    <row r="1638" spans="5:11">
      <c r="E1638" t="s">
        <v>201</v>
      </c>
      <c r="F1638" t="s">
        <v>718</v>
      </c>
      <c r="G1638" s="13" t="str">
        <f t="shared" si="82"/>
        <v>18-01</v>
      </c>
      <c r="H1638" s="1">
        <f>_xlfn.IFNA(VLOOKUP(Aragon!E1638,'Kilter Holds'!$P$36:$AB$370,12,0),0)</f>
        <v>0</v>
      </c>
      <c r="J1638" s="2">
        <f t="shared" si="80"/>
        <v>0</v>
      </c>
      <c r="K1638" s="2">
        <f t="shared" si="81"/>
        <v>0</v>
      </c>
    </row>
    <row r="1639" spans="5:11">
      <c r="E1639" t="s">
        <v>201</v>
      </c>
      <c r="F1639" t="s">
        <v>718</v>
      </c>
      <c r="G1639" s="12" t="str">
        <f t="shared" si="82"/>
        <v>12-01</v>
      </c>
      <c r="H1639" s="1">
        <f>_xlfn.IFNA(VLOOKUP(Aragon!E1639,'Kilter Holds'!$P$36:$AB$370,13,0),0)</f>
        <v>0</v>
      </c>
      <c r="J1639" s="2">
        <f t="shared" si="80"/>
        <v>0</v>
      </c>
      <c r="K1639" s="2">
        <f t="shared" si="81"/>
        <v>0</v>
      </c>
    </row>
    <row r="1640" spans="5:11">
      <c r="E1640" t="s">
        <v>262</v>
      </c>
      <c r="F1640" t="s">
        <v>719</v>
      </c>
      <c r="G1640" s="5" t="str">
        <f t="shared" si="82"/>
        <v>11-12</v>
      </c>
      <c r="H1640" s="1">
        <f>_xlfn.IFNA(VLOOKUP(Aragon!E1640,'Kilter Holds'!$P$36:$AB$370,5,0),0)</f>
        <v>0</v>
      </c>
      <c r="J1640" s="2">
        <f t="shared" si="80"/>
        <v>0</v>
      </c>
      <c r="K1640" s="2">
        <f t="shared" si="81"/>
        <v>0</v>
      </c>
    </row>
    <row r="1641" spans="5:11">
      <c r="E1641" t="s">
        <v>262</v>
      </c>
      <c r="F1641" t="s">
        <v>719</v>
      </c>
      <c r="G1641" s="6" t="str">
        <f t="shared" si="82"/>
        <v>14-01</v>
      </c>
      <c r="H1641" s="1">
        <f>_xlfn.IFNA(VLOOKUP(Aragon!E1641,'Kilter Holds'!$P$36:$AB$370,6,0),0)</f>
        <v>0</v>
      </c>
      <c r="J1641" s="2">
        <f t="shared" si="80"/>
        <v>0</v>
      </c>
      <c r="K1641" s="2">
        <f t="shared" si="81"/>
        <v>0</v>
      </c>
    </row>
    <row r="1642" spans="5:11">
      <c r="E1642" t="s">
        <v>262</v>
      </c>
      <c r="F1642" t="s">
        <v>719</v>
      </c>
      <c r="G1642" s="7" t="str">
        <f t="shared" si="82"/>
        <v>15-12</v>
      </c>
      <c r="H1642" s="1">
        <f>_xlfn.IFNA(VLOOKUP(Aragon!E1642,'Kilter Holds'!$P$36:$AB$370,7,0),0)</f>
        <v>0</v>
      </c>
      <c r="J1642" s="2">
        <f t="shared" si="80"/>
        <v>0</v>
      </c>
      <c r="K1642" s="2">
        <f t="shared" si="81"/>
        <v>0</v>
      </c>
    </row>
    <row r="1643" spans="5:11">
      <c r="E1643" t="s">
        <v>262</v>
      </c>
      <c r="F1643" t="s">
        <v>719</v>
      </c>
      <c r="G1643" s="8" t="str">
        <f t="shared" si="82"/>
        <v>16-16</v>
      </c>
      <c r="H1643" s="1">
        <f>_xlfn.IFNA(VLOOKUP(Aragon!E1643,'Kilter Holds'!$P$36:$AB$370,8,0),0)</f>
        <v>0</v>
      </c>
      <c r="J1643" s="2">
        <f t="shared" si="80"/>
        <v>0</v>
      </c>
      <c r="K1643" s="2">
        <f t="shared" si="81"/>
        <v>0</v>
      </c>
    </row>
    <row r="1644" spans="5:11">
      <c r="E1644" t="s">
        <v>262</v>
      </c>
      <c r="F1644" t="s">
        <v>719</v>
      </c>
      <c r="G1644" s="9" t="str">
        <f t="shared" si="82"/>
        <v>13-01</v>
      </c>
      <c r="H1644" s="1">
        <f>_xlfn.IFNA(VLOOKUP(Aragon!E1644,'Kilter Holds'!$P$36:$AB$370,9,0),0)</f>
        <v>0</v>
      </c>
      <c r="J1644" s="2">
        <f t="shared" si="80"/>
        <v>0</v>
      </c>
      <c r="K1644" s="2">
        <f t="shared" si="81"/>
        <v>0</v>
      </c>
    </row>
    <row r="1645" spans="5:11">
      <c r="E1645" t="s">
        <v>262</v>
      </c>
      <c r="F1645" t="s">
        <v>719</v>
      </c>
      <c r="G1645" s="10" t="str">
        <f t="shared" si="82"/>
        <v>07-13</v>
      </c>
      <c r="H1645" s="1">
        <f>_xlfn.IFNA(VLOOKUP(Aragon!E1645,'Kilter Holds'!$P$36:$AB$370,10,0),0)</f>
        <v>0</v>
      </c>
      <c r="J1645" s="2">
        <f t="shared" si="80"/>
        <v>0</v>
      </c>
      <c r="K1645" s="2">
        <f t="shared" si="81"/>
        <v>0</v>
      </c>
    </row>
    <row r="1646" spans="5:11">
      <c r="E1646" t="s">
        <v>262</v>
      </c>
      <c r="F1646" t="s">
        <v>719</v>
      </c>
      <c r="G1646" s="11" t="str">
        <f t="shared" si="82"/>
        <v>11-25</v>
      </c>
      <c r="H1646" s="1">
        <f>_xlfn.IFNA(VLOOKUP(Aragon!E1646,'Kilter Holds'!$P$36:$AB$370,11,0),0)</f>
        <v>0</v>
      </c>
      <c r="J1646" s="2">
        <f t="shared" si="80"/>
        <v>0</v>
      </c>
      <c r="K1646" s="2">
        <f t="shared" si="81"/>
        <v>0</v>
      </c>
    </row>
    <row r="1647" spans="5:11">
      <c r="E1647" t="s">
        <v>262</v>
      </c>
      <c r="F1647" t="s">
        <v>719</v>
      </c>
      <c r="G1647" s="13" t="str">
        <f t="shared" si="82"/>
        <v>18-01</v>
      </c>
      <c r="H1647" s="1">
        <f>_xlfn.IFNA(VLOOKUP(Aragon!E1647,'Kilter Holds'!$P$36:$AB$370,12,0),0)</f>
        <v>0</v>
      </c>
      <c r="J1647" s="2">
        <f t="shared" si="80"/>
        <v>0</v>
      </c>
      <c r="K1647" s="2">
        <f t="shared" si="81"/>
        <v>0</v>
      </c>
    </row>
    <row r="1648" spans="5:11">
      <c r="E1648" t="s">
        <v>262</v>
      </c>
      <c r="F1648" t="s">
        <v>719</v>
      </c>
      <c r="G1648" s="12" t="str">
        <f t="shared" si="82"/>
        <v>12-01</v>
      </c>
      <c r="H1648" s="1">
        <f>_xlfn.IFNA(VLOOKUP(Aragon!E1648,'Kilter Holds'!$P$36:$AB$370,13,0),0)</f>
        <v>0</v>
      </c>
      <c r="J1648" s="2">
        <f t="shared" si="80"/>
        <v>0</v>
      </c>
      <c r="K1648" s="2">
        <f t="shared" si="81"/>
        <v>0</v>
      </c>
    </row>
    <row r="1649" spans="5:11">
      <c r="E1649" t="s">
        <v>263</v>
      </c>
      <c r="F1649" t="s">
        <v>720</v>
      </c>
      <c r="G1649" s="5" t="str">
        <f t="shared" si="82"/>
        <v>11-12</v>
      </c>
      <c r="H1649" s="1">
        <f>_xlfn.IFNA(VLOOKUP(Aragon!E1649,'Kilter Holds'!$P$36:$AB$370,5,0),0)</f>
        <v>0</v>
      </c>
      <c r="J1649" s="2">
        <f t="shared" si="80"/>
        <v>0</v>
      </c>
      <c r="K1649" s="2">
        <f t="shared" si="81"/>
        <v>0</v>
      </c>
    </row>
    <row r="1650" spans="5:11">
      <c r="E1650" t="s">
        <v>263</v>
      </c>
      <c r="F1650" t="s">
        <v>720</v>
      </c>
      <c r="G1650" s="6" t="str">
        <f t="shared" si="82"/>
        <v>14-01</v>
      </c>
      <c r="H1650" s="1">
        <f>_xlfn.IFNA(VLOOKUP(Aragon!E1650,'Kilter Holds'!$P$36:$AB$370,6,0),0)</f>
        <v>0</v>
      </c>
      <c r="J1650" s="2">
        <f t="shared" si="80"/>
        <v>0</v>
      </c>
      <c r="K1650" s="2">
        <f t="shared" si="81"/>
        <v>0</v>
      </c>
    </row>
    <row r="1651" spans="5:11">
      <c r="E1651" t="s">
        <v>263</v>
      </c>
      <c r="F1651" t="s">
        <v>720</v>
      </c>
      <c r="G1651" s="7" t="str">
        <f t="shared" si="82"/>
        <v>15-12</v>
      </c>
      <c r="H1651" s="1">
        <f>_xlfn.IFNA(VLOOKUP(Aragon!E1651,'Kilter Holds'!$P$36:$AB$370,7,0),0)</f>
        <v>0</v>
      </c>
      <c r="J1651" s="2">
        <f t="shared" si="80"/>
        <v>0</v>
      </c>
      <c r="K1651" s="2">
        <f t="shared" si="81"/>
        <v>0</v>
      </c>
    </row>
    <row r="1652" spans="5:11">
      <c r="E1652" t="s">
        <v>263</v>
      </c>
      <c r="F1652" t="s">
        <v>720</v>
      </c>
      <c r="G1652" s="8" t="str">
        <f t="shared" si="82"/>
        <v>16-16</v>
      </c>
      <c r="H1652" s="1">
        <f>_xlfn.IFNA(VLOOKUP(Aragon!E1652,'Kilter Holds'!$P$36:$AB$370,8,0),0)</f>
        <v>0</v>
      </c>
      <c r="J1652" s="2">
        <f t="shared" si="80"/>
        <v>0</v>
      </c>
      <c r="K1652" s="2">
        <f t="shared" si="81"/>
        <v>0</v>
      </c>
    </row>
    <row r="1653" spans="5:11">
      <c r="E1653" t="s">
        <v>263</v>
      </c>
      <c r="F1653" t="s">
        <v>720</v>
      </c>
      <c r="G1653" s="9" t="str">
        <f t="shared" si="82"/>
        <v>13-01</v>
      </c>
      <c r="H1653" s="1">
        <f>_xlfn.IFNA(VLOOKUP(Aragon!E1653,'Kilter Holds'!$P$36:$AB$370,9,0),0)</f>
        <v>0</v>
      </c>
      <c r="J1653" s="2">
        <f t="shared" si="80"/>
        <v>0</v>
      </c>
      <c r="K1653" s="2">
        <f t="shared" si="81"/>
        <v>0</v>
      </c>
    </row>
    <row r="1654" spans="5:11">
      <c r="E1654" t="s">
        <v>263</v>
      </c>
      <c r="F1654" t="s">
        <v>720</v>
      </c>
      <c r="G1654" s="10" t="str">
        <f t="shared" si="82"/>
        <v>07-13</v>
      </c>
      <c r="H1654" s="1">
        <f>_xlfn.IFNA(VLOOKUP(Aragon!E1654,'Kilter Holds'!$P$36:$AB$370,10,0),0)</f>
        <v>0</v>
      </c>
      <c r="J1654" s="2">
        <f t="shared" si="80"/>
        <v>0</v>
      </c>
      <c r="K1654" s="2">
        <f t="shared" si="81"/>
        <v>0</v>
      </c>
    </row>
    <row r="1655" spans="5:11">
      <c r="E1655" t="s">
        <v>263</v>
      </c>
      <c r="F1655" t="s">
        <v>720</v>
      </c>
      <c r="G1655" s="11" t="str">
        <f t="shared" si="82"/>
        <v>11-25</v>
      </c>
      <c r="H1655" s="1">
        <f>_xlfn.IFNA(VLOOKUP(Aragon!E1655,'Kilter Holds'!$P$36:$AB$370,11,0),0)</f>
        <v>0</v>
      </c>
      <c r="J1655" s="2">
        <f t="shared" si="80"/>
        <v>0</v>
      </c>
      <c r="K1655" s="2">
        <f t="shared" si="81"/>
        <v>0</v>
      </c>
    </row>
    <row r="1656" spans="5:11">
      <c r="E1656" t="s">
        <v>263</v>
      </c>
      <c r="F1656" t="s">
        <v>720</v>
      </c>
      <c r="G1656" s="13" t="str">
        <f t="shared" si="82"/>
        <v>18-01</v>
      </c>
      <c r="H1656" s="1">
        <f>_xlfn.IFNA(VLOOKUP(Aragon!E1656,'Kilter Holds'!$P$36:$AB$370,12,0),0)</f>
        <v>0</v>
      </c>
      <c r="J1656" s="2">
        <f t="shared" si="80"/>
        <v>0</v>
      </c>
      <c r="K1656" s="2">
        <f t="shared" si="81"/>
        <v>0</v>
      </c>
    </row>
    <row r="1657" spans="5:11">
      <c r="E1657" t="s">
        <v>263</v>
      </c>
      <c r="F1657" t="s">
        <v>720</v>
      </c>
      <c r="G1657" s="12" t="str">
        <f t="shared" si="82"/>
        <v>12-01</v>
      </c>
      <c r="H1657" s="1">
        <f>_xlfn.IFNA(VLOOKUP(Aragon!E1657,'Kilter Holds'!$P$36:$AB$370,13,0),0)</f>
        <v>0</v>
      </c>
      <c r="J1657" s="2">
        <f t="shared" si="80"/>
        <v>0</v>
      </c>
      <c r="K1657" s="2">
        <f t="shared" si="81"/>
        <v>0</v>
      </c>
    </row>
    <row r="1658" spans="5:11">
      <c r="E1658" t="s">
        <v>202</v>
      </c>
      <c r="F1658" t="s">
        <v>721</v>
      </c>
      <c r="G1658" s="5" t="str">
        <f t="shared" si="82"/>
        <v>11-12</v>
      </c>
      <c r="H1658" s="1">
        <f>_xlfn.IFNA(VLOOKUP(Aragon!E1658,'Kilter Holds'!$P$36:$AB$370,5,0),0)</f>
        <v>0</v>
      </c>
      <c r="J1658" s="2">
        <f t="shared" ref="J1658:J1721" si="83">H1658*I1658</f>
        <v>0</v>
      </c>
      <c r="K1658" s="2">
        <f t="shared" si="81"/>
        <v>0</v>
      </c>
    </row>
    <row r="1659" spans="5:11">
      <c r="E1659" t="s">
        <v>202</v>
      </c>
      <c r="F1659" t="s">
        <v>721</v>
      </c>
      <c r="G1659" s="6" t="str">
        <f t="shared" si="82"/>
        <v>14-01</v>
      </c>
      <c r="H1659" s="1">
        <f>_xlfn.IFNA(VLOOKUP(Aragon!E1659,'Kilter Holds'!$P$36:$AB$370,6,0),0)</f>
        <v>0</v>
      </c>
      <c r="J1659" s="2">
        <f t="shared" si="83"/>
        <v>0</v>
      </c>
      <c r="K1659" s="2">
        <f t="shared" si="81"/>
        <v>0</v>
      </c>
    </row>
    <row r="1660" spans="5:11">
      <c r="E1660" t="s">
        <v>202</v>
      </c>
      <c r="F1660" t="s">
        <v>721</v>
      </c>
      <c r="G1660" s="7" t="str">
        <f t="shared" si="82"/>
        <v>15-12</v>
      </c>
      <c r="H1660" s="1">
        <f>_xlfn.IFNA(VLOOKUP(Aragon!E1660,'Kilter Holds'!$P$36:$AB$370,7,0),0)</f>
        <v>0</v>
      </c>
      <c r="J1660" s="2">
        <f t="shared" si="83"/>
        <v>0</v>
      </c>
      <c r="K1660" s="2">
        <f t="shared" si="81"/>
        <v>0</v>
      </c>
    </row>
    <row r="1661" spans="5:11">
      <c r="E1661" t="s">
        <v>202</v>
      </c>
      <c r="F1661" t="s">
        <v>721</v>
      </c>
      <c r="G1661" s="8" t="str">
        <f t="shared" si="82"/>
        <v>16-16</v>
      </c>
      <c r="H1661" s="1">
        <f>_xlfn.IFNA(VLOOKUP(Aragon!E1661,'Kilter Holds'!$P$36:$AB$370,8,0),0)</f>
        <v>0</v>
      </c>
      <c r="J1661" s="2">
        <f t="shared" si="83"/>
        <v>0</v>
      </c>
      <c r="K1661" s="2">
        <f t="shared" si="81"/>
        <v>0</v>
      </c>
    </row>
    <row r="1662" spans="5:11">
      <c r="E1662" t="s">
        <v>202</v>
      </c>
      <c r="F1662" t="s">
        <v>721</v>
      </c>
      <c r="G1662" s="9" t="str">
        <f t="shared" si="82"/>
        <v>13-01</v>
      </c>
      <c r="H1662" s="1">
        <f>_xlfn.IFNA(VLOOKUP(Aragon!E1662,'Kilter Holds'!$P$36:$AB$370,9,0),0)</f>
        <v>0</v>
      </c>
      <c r="J1662" s="2">
        <f t="shared" si="83"/>
        <v>0</v>
      </c>
      <c r="K1662" s="2">
        <f t="shared" si="81"/>
        <v>0</v>
      </c>
    </row>
    <row r="1663" spans="5:11">
      <c r="E1663" t="s">
        <v>202</v>
      </c>
      <c r="F1663" t="s">
        <v>721</v>
      </c>
      <c r="G1663" s="10" t="str">
        <f t="shared" si="82"/>
        <v>07-13</v>
      </c>
      <c r="H1663" s="1">
        <f>_xlfn.IFNA(VLOOKUP(Aragon!E1663,'Kilter Holds'!$P$36:$AB$370,10,0),0)</f>
        <v>0</v>
      </c>
      <c r="J1663" s="2">
        <f t="shared" si="83"/>
        <v>0</v>
      </c>
      <c r="K1663" s="2">
        <f t="shared" si="81"/>
        <v>0</v>
      </c>
    </row>
    <row r="1664" spans="5:11">
      <c r="E1664" t="s">
        <v>202</v>
      </c>
      <c r="F1664" t="s">
        <v>721</v>
      </c>
      <c r="G1664" s="11" t="str">
        <f t="shared" si="82"/>
        <v>11-25</v>
      </c>
      <c r="H1664" s="1">
        <f>_xlfn.IFNA(VLOOKUP(Aragon!E1664,'Kilter Holds'!$P$36:$AB$370,11,0),0)</f>
        <v>0</v>
      </c>
      <c r="J1664" s="2">
        <f t="shared" si="83"/>
        <v>0</v>
      </c>
      <c r="K1664" s="2">
        <f t="shared" si="81"/>
        <v>0</v>
      </c>
    </row>
    <row r="1665" spans="5:11">
      <c r="E1665" t="s">
        <v>202</v>
      </c>
      <c r="F1665" t="s">
        <v>721</v>
      </c>
      <c r="G1665" s="13" t="str">
        <f t="shared" si="82"/>
        <v>18-01</v>
      </c>
      <c r="H1665" s="1">
        <f>_xlfn.IFNA(VLOOKUP(Aragon!E1665,'Kilter Holds'!$P$36:$AB$370,12,0),0)</f>
        <v>0</v>
      </c>
      <c r="J1665" s="2">
        <f t="shared" si="83"/>
        <v>0</v>
      </c>
      <c r="K1665" s="2">
        <f t="shared" si="81"/>
        <v>0</v>
      </c>
    </row>
    <row r="1666" spans="5:11">
      <c r="E1666" t="s">
        <v>202</v>
      </c>
      <c r="F1666" t="s">
        <v>721</v>
      </c>
      <c r="G1666" s="12" t="str">
        <f t="shared" si="82"/>
        <v>12-01</v>
      </c>
      <c r="H1666" s="1">
        <f>_xlfn.IFNA(VLOOKUP(Aragon!E1666,'Kilter Holds'!$P$36:$AB$370,13,0),0)</f>
        <v>0</v>
      </c>
      <c r="J1666" s="2">
        <f t="shared" si="83"/>
        <v>0</v>
      </c>
      <c r="K1666" s="2">
        <f t="shared" si="81"/>
        <v>0</v>
      </c>
    </row>
    <row r="1667" spans="5:11">
      <c r="E1667" t="s">
        <v>233</v>
      </c>
      <c r="F1667" t="s">
        <v>722</v>
      </c>
      <c r="G1667" s="5" t="str">
        <f t="shared" si="82"/>
        <v>11-12</v>
      </c>
      <c r="H1667" s="1">
        <f>_xlfn.IFNA(VLOOKUP(Aragon!E1667,'Kilter Holds'!$P$36:$AB$370,5,0),0)</f>
        <v>0</v>
      </c>
      <c r="J1667" s="2">
        <f t="shared" si="83"/>
        <v>0</v>
      </c>
      <c r="K1667" s="2">
        <f t="shared" si="81"/>
        <v>0</v>
      </c>
    </row>
    <row r="1668" spans="5:11">
      <c r="E1668" t="s">
        <v>233</v>
      </c>
      <c r="F1668" t="s">
        <v>722</v>
      </c>
      <c r="G1668" s="6" t="str">
        <f t="shared" si="82"/>
        <v>14-01</v>
      </c>
      <c r="H1668" s="1">
        <f>_xlfn.IFNA(VLOOKUP(Aragon!E1668,'Kilter Holds'!$P$36:$AB$370,6,0),0)</f>
        <v>0</v>
      </c>
      <c r="J1668" s="2">
        <f t="shared" si="83"/>
        <v>0</v>
      </c>
      <c r="K1668" s="2">
        <f t="shared" si="81"/>
        <v>0</v>
      </c>
    </row>
    <row r="1669" spans="5:11">
      <c r="E1669" t="s">
        <v>233</v>
      </c>
      <c r="F1669" t="s">
        <v>722</v>
      </c>
      <c r="G1669" s="7" t="str">
        <f t="shared" si="82"/>
        <v>15-12</v>
      </c>
      <c r="H1669" s="1">
        <f>_xlfn.IFNA(VLOOKUP(Aragon!E1669,'Kilter Holds'!$P$36:$AB$370,7,0),0)</f>
        <v>0</v>
      </c>
      <c r="J1669" s="2">
        <f t="shared" si="83"/>
        <v>0</v>
      </c>
      <c r="K1669" s="2">
        <f t="shared" si="81"/>
        <v>0</v>
      </c>
    </row>
    <row r="1670" spans="5:11">
      <c r="E1670" t="s">
        <v>233</v>
      </c>
      <c r="F1670" t="s">
        <v>722</v>
      </c>
      <c r="G1670" s="8" t="str">
        <f t="shared" si="82"/>
        <v>16-16</v>
      </c>
      <c r="H1670" s="1">
        <f>_xlfn.IFNA(VLOOKUP(Aragon!E1670,'Kilter Holds'!$P$36:$AB$370,8,0),0)</f>
        <v>0</v>
      </c>
      <c r="J1670" s="2">
        <f t="shared" si="83"/>
        <v>0</v>
      </c>
      <c r="K1670" s="2">
        <f t="shared" si="81"/>
        <v>0</v>
      </c>
    </row>
    <row r="1671" spans="5:11">
      <c r="E1671" t="s">
        <v>233</v>
      </c>
      <c r="F1671" t="s">
        <v>722</v>
      </c>
      <c r="G1671" s="9" t="str">
        <f t="shared" si="82"/>
        <v>13-01</v>
      </c>
      <c r="H1671" s="1">
        <f>_xlfn.IFNA(VLOOKUP(Aragon!E1671,'Kilter Holds'!$P$36:$AB$370,9,0),0)</f>
        <v>0</v>
      </c>
      <c r="J1671" s="2">
        <f t="shared" si="83"/>
        <v>0</v>
      </c>
      <c r="K1671" s="2">
        <f t="shared" si="81"/>
        <v>0</v>
      </c>
    </row>
    <row r="1672" spans="5:11">
      <c r="E1672" t="s">
        <v>233</v>
      </c>
      <c r="F1672" t="s">
        <v>722</v>
      </c>
      <c r="G1672" s="10" t="str">
        <f t="shared" si="82"/>
        <v>07-13</v>
      </c>
      <c r="H1672" s="1">
        <f>_xlfn.IFNA(VLOOKUP(Aragon!E1672,'Kilter Holds'!$P$36:$AB$370,10,0),0)</f>
        <v>0</v>
      </c>
      <c r="J1672" s="2">
        <f t="shared" si="83"/>
        <v>0</v>
      </c>
      <c r="K1672" s="2">
        <f t="shared" si="81"/>
        <v>0</v>
      </c>
    </row>
    <row r="1673" spans="5:11">
      <c r="E1673" t="s">
        <v>233</v>
      </c>
      <c r="F1673" t="s">
        <v>722</v>
      </c>
      <c r="G1673" s="11" t="str">
        <f t="shared" si="82"/>
        <v>11-25</v>
      </c>
      <c r="H1673" s="1">
        <f>_xlfn.IFNA(VLOOKUP(Aragon!E1673,'Kilter Holds'!$P$36:$AB$370,11,0),0)</f>
        <v>0</v>
      </c>
      <c r="J1673" s="2">
        <f t="shared" si="83"/>
        <v>0</v>
      </c>
      <c r="K1673" s="2">
        <f t="shared" si="81"/>
        <v>0</v>
      </c>
    </row>
    <row r="1674" spans="5:11">
      <c r="E1674" t="s">
        <v>233</v>
      </c>
      <c r="F1674" t="s">
        <v>722</v>
      </c>
      <c r="G1674" s="13" t="str">
        <f t="shared" si="82"/>
        <v>18-01</v>
      </c>
      <c r="H1674" s="1">
        <f>_xlfn.IFNA(VLOOKUP(Aragon!E1674,'Kilter Holds'!$P$36:$AB$370,12,0),0)</f>
        <v>0</v>
      </c>
      <c r="J1674" s="2">
        <f t="shared" si="83"/>
        <v>0</v>
      </c>
      <c r="K1674" s="2">
        <f t="shared" si="81"/>
        <v>0</v>
      </c>
    </row>
    <row r="1675" spans="5:11">
      <c r="E1675" t="s">
        <v>233</v>
      </c>
      <c r="F1675" t="s">
        <v>722</v>
      </c>
      <c r="G1675" s="12" t="str">
        <f t="shared" si="82"/>
        <v>12-01</v>
      </c>
      <c r="H1675" s="1">
        <f>_xlfn.IFNA(VLOOKUP(Aragon!E1675,'Kilter Holds'!$P$36:$AB$370,13,0),0)</f>
        <v>0</v>
      </c>
      <c r="J1675" s="2">
        <f t="shared" si="83"/>
        <v>0</v>
      </c>
      <c r="K1675" s="2">
        <f t="shared" si="81"/>
        <v>0</v>
      </c>
    </row>
    <row r="1676" spans="5:11">
      <c r="E1676" t="s">
        <v>891</v>
      </c>
      <c r="F1676" t="s">
        <v>908</v>
      </c>
      <c r="G1676" s="5" t="str">
        <f t="shared" si="82"/>
        <v>11-12</v>
      </c>
      <c r="H1676" s="1">
        <f>_xlfn.IFNA(VLOOKUP(Aragon!E1676,'Kilter Holds'!$P$36:$AB$370,5,0),0)</f>
        <v>0</v>
      </c>
      <c r="J1676" s="2">
        <f t="shared" si="83"/>
        <v>0</v>
      </c>
      <c r="K1676" s="2">
        <f t="shared" ref="K1676:K1739" si="84">IF($V$11="Y",J1676*0.05,0)</f>
        <v>0</v>
      </c>
    </row>
    <row r="1677" spans="5:11">
      <c r="E1677" t="s">
        <v>891</v>
      </c>
      <c r="F1677" t="s">
        <v>908</v>
      </c>
      <c r="G1677" s="6" t="str">
        <f t="shared" ref="G1677:G1740" si="85">G1668</f>
        <v>14-01</v>
      </c>
      <c r="H1677" s="1">
        <f>_xlfn.IFNA(VLOOKUP(Aragon!E1677,'Kilter Holds'!$P$36:$AB$370,6,0),0)</f>
        <v>0</v>
      </c>
      <c r="J1677" s="2">
        <f t="shared" si="83"/>
        <v>0</v>
      </c>
      <c r="K1677" s="2">
        <f t="shared" si="84"/>
        <v>0</v>
      </c>
    </row>
    <row r="1678" spans="5:11">
      <c r="E1678" t="s">
        <v>891</v>
      </c>
      <c r="F1678" t="s">
        <v>908</v>
      </c>
      <c r="G1678" s="7" t="str">
        <f t="shared" si="85"/>
        <v>15-12</v>
      </c>
      <c r="H1678" s="1">
        <f>_xlfn.IFNA(VLOOKUP(Aragon!E1678,'Kilter Holds'!$P$36:$AB$370,7,0),0)</f>
        <v>0</v>
      </c>
      <c r="J1678" s="2">
        <f t="shared" si="83"/>
        <v>0</v>
      </c>
      <c r="K1678" s="2">
        <f t="shared" si="84"/>
        <v>0</v>
      </c>
    </row>
    <row r="1679" spans="5:11">
      <c r="E1679" t="s">
        <v>891</v>
      </c>
      <c r="F1679" t="s">
        <v>908</v>
      </c>
      <c r="G1679" s="8" t="str">
        <f t="shared" si="85"/>
        <v>16-16</v>
      </c>
      <c r="H1679" s="1">
        <f>_xlfn.IFNA(VLOOKUP(Aragon!E1679,'Kilter Holds'!$P$36:$AB$370,8,0),0)</f>
        <v>0</v>
      </c>
      <c r="J1679" s="2">
        <f t="shared" si="83"/>
        <v>0</v>
      </c>
      <c r="K1679" s="2">
        <f t="shared" si="84"/>
        <v>0</v>
      </c>
    </row>
    <row r="1680" spans="5:11">
      <c r="E1680" t="s">
        <v>891</v>
      </c>
      <c r="F1680" t="s">
        <v>908</v>
      </c>
      <c r="G1680" s="9" t="str">
        <f t="shared" si="85"/>
        <v>13-01</v>
      </c>
      <c r="H1680" s="1">
        <f>_xlfn.IFNA(VLOOKUP(Aragon!E1680,'Kilter Holds'!$P$36:$AB$370,9,0),0)</f>
        <v>0</v>
      </c>
      <c r="J1680" s="2">
        <f t="shared" si="83"/>
        <v>0</v>
      </c>
      <c r="K1680" s="2">
        <f t="shared" si="84"/>
        <v>0</v>
      </c>
    </row>
    <row r="1681" spans="5:11">
      <c r="E1681" t="s">
        <v>891</v>
      </c>
      <c r="F1681" t="s">
        <v>908</v>
      </c>
      <c r="G1681" s="10" t="str">
        <f t="shared" si="85"/>
        <v>07-13</v>
      </c>
      <c r="H1681" s="1">
        <f>_xlfn.IFNA(VLOOKUP(Aragon!E1681,'Kilter Holds'!$P$36:$AB$370,10,0),0)</f>
        <v>0</v>
      </c>
      <c r="J1681" s="2">
        <f t="shared" si="83"/>
        <v>0</v>
      </c>
      <c r="K1681" s="2">
        <f t="shared" si="84"/>
        <v>0</v>
      </c>
    </row>
    <row r="1682" spans="5:11">
      <c r="E1682" t="s">
        <v>891</v>
      </c>
      <c r="F1682" t="s">
        <v>908</v>
      </c>
      <c r="G1682" s="11" t="str">
        <f t="shared" si="85"/>
        <v>11-25</v>
      </c>
      <c r="H1682" s="1">
        <f>_xlfn.IFNA(VLOOKUP(Aragon!E1682,'Kilter Holds'!$P$36:$AB$370,11,0),0)</f>
        <v>0</v>
      </c>
      <c r="J1682" s="2">
        <f t="shared" si="83"/>
        <v>0</v>
      </c>
      <c r="K1682" s="2">
        <f t="shared" si="84"/>
        <v>0</v>
      </c>
    </row>
    <row r="1683" spans="5:11">
      <c r="E1683" t="s">
        <v>891</v>
      </c>
      <c r="F1683" t="s">
        <v>908</v>
      </c>
      <c r="G1683" s="13" t="str">
        <f t="shared" si="85"/>
        <v>18-01</v>
      </c>
      <c r="H1683" s="1">
        <f>_xlfn.IFNA(VLOOKUP(Aragon!E1683,'Kilter Holds'!$P$36:$AB$370,12,0),0)</f>
        <v>0</v>
      </c>
      <c r="J1683" s="2">
        <f t="shared" si="83"/>
        <v>0</v>
      </c>
      <c r="K1683" s="2">
        <f t="shared" si="84"/>
        <v>0</v>
      </c>
    </row>
    <row r="1684" spans="5:11">
      <c r="E1684" t="s">
        <v>891</v>
      </c>
      <c r="F1684" t="s">
        <v>908</v>
      </c>
      <c r="G1684" s="12" t="str">
        <f t="shared" si="85"/>
        <v>12-01</v>
      </c>
      <c r="H1684" s="1">
        <f>_xlfn.IFNA(VLOOKUP(Aragon!E1684,'Kilter Holds'!$P$36:$AB$370,13,0),0)</f>
        <v>0</v>
      </c>
      <c r="J1684" s="2">
        <f t="shared" si="83"/>
        <v>0</v>
      </c>
      <c r="K1684" s="2">
        <f t="shared" si="84"/>
        <v>0</v>
      </c>
    </row>
    <row r="1685" spans="5:11">
      <c r="E1685" s="3" t="s">
        <v>893</v>
      </c>
      <c r="F1685" s="3" t="s">
        <v>913</v>
      </c>
      <c r="G1685" s="5" t="str">
        <f t="shared" si="85"/>
        <v>11-12</v>
      </c>
      <c r="H1685" s="1">
        <f>_xlfn.IFNA(VLOOKUP(Aragon!E1685,'Kilter Holds'!$P$36:$AB$370,5,0),0)</f>
        <v>0</v>
      </c>
      <c r="J1685" s="2">
        <f t="shared" si="83"/>
        <v>0</v>
      </c>
      <c r="K1685" s="2">
        <f t="shared" si="84"/>
        <v>0</v>
      </c>
    </row>
    <row r="1686" spans="5:11">
      <c r="E1686" s="3" t="s">
        <v>893</v>
      </c>
      <c r="F1686" s="3" t="s">
        <v>913</v>
      </c>
      <c r="G1686" s="6" t="str">
        <f t="shared" si="85"/>
        <v>14-01</v>
      </c>
      <c r="H1686" s="1">
        <f>_xlfn.IFNA(VLOOKUP(Aragon!E1686,'Kilter Holds'!$P$36:$AB$370,6,0),0)</f>
        <v>0</v>
      </c>
      <c r="J1686" s="2">
        <f t="shared" si="83"/>
        <v>0</v>
      </c>
      <c r="K1686" s="2">
        <f t="shared" si="84"/>
        <v>0</v>
      </c>
    </row>
    <row r="1687" spans="5:11">
      <c r="E1687" s="3" t="s">
        <v>893</v>
      </c>
      <c r="F1687" s="3" t="s">
        <v>913</v>
      </c>
      <c r="G1687" s="7" t="str">
        <f t="shared" si="85"/>
        <v>15-12</v>
      </c>
      <c r="H1687" s="1">
        <f>_xlfn.IFNA(VLOOKUP(Aragon!E1687,'Kilter Holds'!$P$36:$AB$370,7,0),0)</f>
        <v>0</v>
      </c>
      <c r="J1687" s="2">
        <f t="shared" si="83"/>
        <v>0</v>
      </c>
      <c r="K1687" s="2">
        <f t="shared" si="84"/>
        <v>0</v>
      </c>
    </row>
    <row r="1688" spans="5:11">
      <c r="E1688" s="3" t="s">
        <v>893</v>
      </c>
      <c r="F1688" s="3" t="s">
        <v>913</v>
      </c>
      <c r="G1688" s="8" t="str">
        <f t="shared" si="85"/>
        <v>16-16</v>
      </c>
      <c r="H1688" s="1">
        <f>_xlfn.IFNA(VLOOKUP(Aragon!E1688,'Kilter Holds'!$P$36:$AB$370,8,0),0)</f>
        <v>0</v>
      </c>
      <c r="J1688" s="2">
        <f t="shared" si="83"/>
        <v>0</v>
      </c>
      <c r="K1688" s="2">
        <f t="shared" si="84"/>
        <v>0</v>
      </c>
    </row>
    <row r="1689" spans="5:11">
      <c r="E1689" s="3" t="s">
        <v>893</v>
      </c>
      <c r="F1689" s="3" t="s">
        <v>913</v>
      </c>
      <c r="G1689" s="9" t="str">
        <f t="shared" si="85"/>
        <v>13-01</v>
      </c>
      <c r="H1689" s="1">
        <f>_xlfn.IFNA(VLOOKUP(Aragon!E1689,'Kilter Holds'!$P$36:$AB$370,9,0),0)</f>
        <v>0</v>
      </c>
      <c r="J1689" s="2">
        <f t="shared" si="83"/>
        <v>0</v>
      </c>
      <c r="K1689" s="2">
        <f t="shared" si="84"/>
        <v>0</v>
      </c>
    </row>
    <row r="1690" spans="5:11">
      <c r="E1690" s="3" t="s">
        <v>893</v>
      </c>
      <c r="F1690" s="3" t="s">
        <v>913</v>
      </c>
      <c r="G1690" s="10" t="str">
        <f t="shared" si="85"/>
        <v>07-13</v>
      </c>
      <c r="H1690" s="1">
        <f>_xlfn.IFNA(VLOOKUP(Aragon!E1690,'Kilter Holds'!$P$36:$AB$370,10,0),0)</f>
        <v>0</v>
      </c>
      <c r="J1690" s="2">
        <f t="shared" si="83"/>
        <v>0</v>
      </c>
      <c r="K1690" s="2">
        <f t="shared" si="84"/>
        <v>0</v>
      </c>
    </row>
    <row r="1691" spans="5:11">
      <c r="E1691" s="3" t="s">
        <v>893</v>
      </c>
      <c r="F1691" s="3" t="s">
        <v>913</v>
      </c>
      <c r="G1691" s="11" t="str">
        <f t="shared" si="85"/>
        <v>11-25</v>
      </c>
      <c r="H1691" s="1">
        <f>_xlfn.IFNA(VLOOKUP(Aragon!E1691,'Kilter Holds'!$P$36:$AB$370,11,0),0)</f>
        <v>0</v>
      </c>
      <c r="J1691" s="2">
        <f t="shared" si="83"/>
        <v>0</v>
      </c>
      <c r="K1691" s="2">
        <f t="shared" si="84"/>
        <v>0</v>
      </c>
    </row>
    <row r="1692" spans="5:11">
      <c r="E1692" s="3" t="s">
        <v>893</v>
      </c>
      <c r="F1692" s="3" t="s">
        <v>913</v>
      </c>
      <c r="G1692" s="13" t="str">
        <f t="shared" si="85"/>
        <v>18-01</v>
      </c>
      <c r="H1692" s="1">
        <f>_xlfn.IFNA(VLOOKUP(Aragon!E1692,'Kilter Holds'!$P$36:$AB$370,12,0),0)</f>
        <v>0</v>
      </c>
      <c r="J1692" s="2">
        <f t="shared" si="83"/>
        <v>0</v>
      </c>
      <c r="K1692" s="2">
        <f t="shared" si="84"/>
        <v>0</v>
      </c>
    </row>
    <row r="1693" spans="5:11">
      <c r="E1693" s="3" t="s">
        <v>893</v>
      </c>
      <c r="F1693" s="3" t="s">
        <v>913</v>
      </c>
      <c r="G1693" s="12" t="str">
        <f t="shared" si="85"/>
        <v>12-01</v>
      </c>
      <c r="H1693" s="1">
        <f>_xlfn.IFNA(VLOOKUP(Aragon!E1693,'Kilter Holds'!$P$36:$AB$370,13,0),0)</f>
        <v>0</v>
      </c>
      <c r="J1693" s="2">
        <f t="shared" si="83"/>
        <v>0</v>
      </c>
      <c r="K1693" s="2">
        <f t="shared" si="84"/>
        <v>0</v>
      </c>
    </row>
    <row r="1694" spans="5:11">
      <c r="E1694" t="s">
        <v>487</v>
      </c>
      <c r="F1694" t="s">
        <v>723</v>
      </c>
      <c r="G1694" s="5" t="str">
        <f t="shared" si="85"/>
        <v>11-12</v>
      </c>
      <c r="H1694" s="1">
        <f>_xlfn.IFNA(VLOOKUP(Aragon!E1694,'Kilter Holds'!$P$36:$AB$370,5,0),0)</f>
        <v>0</v>
      </c>
      <c r="J1694" s="2">
        <f t="shared" si="83"/>
        <v>0</v>
      </c>
      <c r="K1694" s="2">
        <f t="shared" si="84"/>
        <v>0</v>
      </c>
    </row>
    <row r="1695" spans="5:11">
      <c r="E1695" t="s">
        <v>487</v>
      </c>
      <c r="F1695" t="s">
        <v>723</v>
      </c>
      <c r="G1695" s="6" t="str">
        <f t="shared" si="85"/>
        <v>14-01</v>
      </c>
      <c r="H1695" s="1">
        <f>_xlfn.IFNA(VLOOKUP(Aragon!E1695,'Kilter Holds'!$P$36:$AB$370,6,0),0)</f>
        <v>0</v>
      </c>
      <c r="J1695" s="2">
        <f t="shared" si="83"/>
        <v>0</v>
      </c>
      <c r="K1695" s="2">
        <f t="shared" si="84"/>
        <v>0</v>
      </c>
    </row>
    <row r="1696" spans="5:11">
      <c r="E1696" t="s">
        <v>487</v>
      </c>
      <c r="F1696" t="s">
        <v>723</v>
      </c>
      <c r="G1696" s="7" t="str">
        <f t="shared" si="85"/>
        <v>15-12</v>
      </c>
      <c r="H1696" s="1">
        <f>_xlfn.IFNA(VLOOKUP(Aragon!E1696,'Kilter Holds'!$P$36:$AB$370,7,0),0)</f>
        <v>0</v>
      </c>
      <c r="J1696" s="2">
        <f t="shared" si="83"/>
        <v>0</v>
      </c>
      <c r="K1696" s="2">
        <f t="shared" si="84"/>
        <v>0</v>
      </c>
    </row>
    <row r="1697" spans="5:11">
      <c r="E1697" t="s">
        <v>487</v>
      </c>
      <c r="F1697" t="s">
        <v>723</v>
      </c>
      <c r="G1697" s="8" t="str">
        <f t="shared" si="85"/>
        <v>16-16</v>
      </c>
      <c r="H1697" s="1">
        <f>_xlfn.IFNA(VLOOKUP(Aragon!E1697,'Kilter Holds'!$P$36:$AB$370,8,0),0)</f>
        <v>0</v>
      </c>
      <c r="J1697" s="2">
        <f t="shared" si="83"/>
        <v>0</v>
      </c>
      <c r="K1697" s="2">
        <f t="shared" si="84"/>
        <v>0</v>
      </c>
    </row>
    <row r="1698" spans="5:11">
      <c r="E1698" t="s">
        <v>487</v>
      </c>
      <c r="F1698" t="s">
        <v>723</v>
      </c>
      <c r="G1698" s="9" t="str">
        <f t="shared" si="85"/>
        <v>13-01</v>
      </c>
      <c r="H1698" s="1">
        <f>_xlfn.IFNA(VLOOKUP(Aragon!E1698,'Kilter Holds'!$P$36:$AB$370,9,0),0)</f>
        <v>0</v>
      </c>
      <c r="J1698" s="2">
        <f t="shared" si="83"/>
        <v>0</v>
      </c>
      <c r="K1698" s="2">
        <f t="shared" si="84"/>
        <v>0</v>
      </c>
    </row>
    <row r="1699" spans="5:11">
      <c r="E1699" t="s">
        <v>487</v>
      </c>
      <c r="F1699" t="s">
        <v>723</v>
      </c>
      <c r="G1699" s="10" t="str">
        <f t="shared" si="85"/>
        <v>07-13</v>
      </c>
      <c r="H1699" s="1">
        <f>_xlfn.IFNA(VLOOKUP(Aragon!E1699,'Kilter Holds'!$P$36:$AB$370,10,0),0)</f>
        <v>0</v>
      </c>
      <c r="J1699" s="2">
        <f t="shared" si="83"/>
        <v>0</v>
      </c>
      <c r="K1699" s="2">
        <f t="shared" si="84"/>
        <v>0</v>
      </c>
    </row>
    <row r="1700" spans="5:11">
      <c r="E1700" t="s">
        <v>487</v>
      </c>
      <c r="F1700" t="s">
        <v>723</v>
      </c>
      <c r="G1700" s="11" t="str">
        <f t="shared" si="85"/>
        <v>11-25</v>
      </c>
      <c r="H1700" s="1">
        <f>_xlfn.IFNA(VLOOKUP(Aragon!E1700,'Kilter Holds'!$P$36:$AB$370,11,0),0)</f>
        <v>0</v>
      </c>
      <c r="J1700" s="2">
        <f t="shared" si="83"/>
        <v>0</v>
      </c>
      <c r="K1700" s="2">
        <f t="shared" si="84"/>
        <v>0</v>
      </c>
    </row>
    <row r="1701" spans="5:11">
      <c r="E1701" t="s">
        <v>487</v>
      </c>
      <c r="F1701" t="s">
        <v>723</v>
      </c>
      <c r="G1701" s="13" t="str">
        <f t="shared" si="85"/>
        <v>18-01</v>
      </c>
      <c r="H1701" s="1">
        <f>_xlfn.IFNA(VLOOKUP(Aragon!E1701,'Kilter Holds'!$P$36:$AB$370,12,0),0)</f>
        <v>0</v>
      </c>
      <c r="J1701" s="2">
        <f t="shared" si="83"/>
        <v>0</v>
      </c>
      <c r="K1701" s="2">
        <f t="shared" si="84"/>
        <v>0</v>
      </c>
    </row>
    <row r="1702" spans="5:11">
      <c r="E1702" t="s">
        <v>487</v>
      </c>
      <c r="F1702" t="s">
        <v>723</v>
      </c>
      <c r="G1702" s="12" t="str">
        <f t="shared" si="85"/>
        <v>12-01</v>
      </c>
      <c r="H1702" s="1">
        <f>_xlfn.IFNA(VLOOKUP(Aragon!E1702,'Kilter Holds'!$P$36:$AB$370,13,0),0)</f>
        <v>0</v>
      </c>
      <c r="J1702" s="2">
        <f t="shared" si="83"/>
        <v>0</v>
      </c>
      <c r="K1702" s="2">
        <f t="shared" si="84"/>
        <v>0</v>
      </c>
    </row>
    <row r="1703" spans="5:11">
      <c r="E1703" t="s">
        <v>220</v>
      </c>
      <c r="F1703" t="s">
        <v>724</v>
      </c>
      <c r="G1703" s="5" t="str">
        <f t="shared" si="85"/>
        <v>11-12</v>
      </c>
      <c r="H1703" s="1">
        <f>_xlfn.IFNA(VLOOKUP(Aragon!E1703,'Kilter Holds'!$P$36:$AB$370,5,0),0)</f>
        <v>0</v>
      </c>
      <c r="J1703" s="2">
        <f t="shared" si="83"/>
        <v>0</v>
      </c>
      <c r="K1703" s="2">
        <f t="shared" si="84"/>
        <v>0</v>
      </c>
    </row>
    <row r="1704" spans="5:11">
      <c r="E1704" t="s">
        <v>220</v>
      </c>
      <c r="F1704" t="s">
        <v>724</v>
      </c>
      <c r="G1704" s="6" t="str">
        <f t="shared" si="85"/>
        <v>14-01</v>
      </c>
      <c r="H1704" s="1">
        <f>_xlfn.IFNA(VLOOKUP(Aragon!E1704,'Kilter Holds'!$P$36:$AB$370,6,0),0)</f>
        <v>0</v>
      </c>
      <c r="J1704" s="2">
        <f t="shared" si="83"/>
        <v>0</v>
      </c>
      <c r="K1704" s="2">
        <f t="shared" si="84"/>
        <v>0</v>
      </c>
    </row>
    <row r="1705" spans="5:11">
      <c r="E1705" t="s">
        <v>220</v>
      </c>
      <c r="F1705" t="s">
        <v>724</v>
      </c>
      <c r="G1705" s="7" t="str">
        <f t="shared" si="85"/>
        <v>15-12</v>
      </c>
      <c r="H1705" s="1">
        <f>_xlfn.IFNA(VLOOKUP(Aragon!E1705,'Kilter Holds'!$P$36:$AB$370,7,0),0)</f>
        <v>0</v>
      </c>
      <c r="J1705" s="2">
        <f t="shared" si="83"/>
        <v>0</v>
      </c>
      <c r="K1705" s="2">
        <f t="shared" si="84"/>
        <v>0</v>
      </c>
    </row>
    <row r="1706" spans="5:11">
      <c r="E1706" t="s">
        <v>220</v>
      </c>
      <c r="F1706" t="s">
        <v>724</v>
      </c>
      <c r="G1706" s="8" t="str">
        <f t="shared" si="85"/>
        <v>16-16</v>
      </c>
      <c r="H1706" s="1">
        <f>_xlfn.IFNA(VLOOKUP(Aragon!E1706,'Kilter Holds'!$P$36:$AB$370,8,0),0)</f>
        <v>0</v>
      </c>
      <c r="J1706" s="2">
        <f t="shared" si="83"/>
        <v>0</v>
      </c>
      <c r="K1706" s="2">
        <f t="shared" si="84"/>
        <v>0</v>
      </c>
    </row>
    <row r="1707" spans="5:11">
      <c r="E1707" t="s">
        <v>220</v>
      </c>
      <c r="F1707" t="s">
        <v>724</v>
      </c>
      <c r="G1707" s="9" t="str">
        <f t="shared" si="85"/>
        <v>13-01</v>
      </c>
      <c r="H1707" s="1">
        <f>_xlfn.IFNA(VLOOKUP(Aragon!E1707,'Kilter Holds'!$P$36:$AB$370,9,0),0)</f>
        <v>0</v>
      </c>
      <c r="J1707" s="2">
        <f t="shared" si="83"/>
        <v>0</v>
      </c>
      <c r="K1707" s="2">
        <f t="shared" si="84"/>
        <v>0</v>
      </c>
    </row>
    <row r="1708" spans="5:11">
      <c r="E1708" t="s">
        <v>220</v>
      </c>
      <c r="F1708" t="s">
        <v>724</v>
      </c>
      <c r="G1708" s="10" t="str">
        <f t="shared" si="85"/>
        <v>07-13</v>
      </c>
      <c r="H1708" s="1">
        <f>_xlfn.IFNA(VLOOKUP(Aragon!E1708,'Kilter Holds'!$P$36:$AB$370,10,0),0)</f>
        <v>0</v>
      </c>
      <c r="J1708" s="2">
        <f t="shared" si="83"/>
        <v>0</v>
      </c>
      <c r="K1708" s="2">
        <f t="shared" si="84"/>
        <v>0</v>
      </c>
    </row>
    <row r="1709" spans="5:11">
      <c r="E1709" t="s">
        <v>220</v>
      </c>
      <c r="F1709" t="s">
        <v>724</v>
      </c>
      <c r="G1709" s="11" t="str">
        <f t="shared" si="85"/>
        <v>11-25</v>
      </c>
      <c r="H1709" s="1">
        <f>_xlfn.IFNA(VLOOKUP(Aragon!E1709,'Kilter Holds'!$P$36:$AB$370,11,0),0)</f>
        <v>0</v>
      </c>
      <c r="J1709" s="2">
        <f t="shared" si="83"/>
        <v>0</v>
      </c>
      <c r="K1709" s="2">
        <f t="shared" si="84"/>
        <v>0</v>
      </c>
    </row>
    <row r="1710" spans="5:11">
      <c r="E1710" t="s">
        <v>220</v>
      </c>
      <c r="F1710" t="s">
        <v>724</v>
      </c>
      <c r="G1710" s="13" t="str">
        <f t="shared" si="85"/>
        <v>18-01</v>
      </c>
      <c r="H1710" s="1">
        <f>_xlfn.IFNA(VLOOKUP(Aragon!E1710,'Kilter Holds'!$P$36:$AB$370,12,0),0)</f>
        <v>0</v>
      </c>
      <c r="J1710" s="2">
        <f t="shared" si="83"/>
        <v>0</v>
      </c>
      <c r="K1710" s="2">
        <f t="shared" si="84"/>
        <v>0</v>
      </c>
    </row>
    <row r="1711" spans="5:11">
      <c r="E1711" t="s">
        <v>220</v>
      </c>
      <c r="F1711" t="s">
        <v>724</v>
      </c>
      <c r="G1711" s="12" t="str">
        <f t="shared" si="85"/>
        <v>12-01</v>
      </c>
      <c r="H1711" s="1">
        <f>_xlfn.IFNA(VLOOKUP(Aragon!E1711,'Kilter Holds'!$P$36:$AB$370,13,0),0)</f>
        <v>0</v>
      </c>
      <c r="J1711" s="2">
        <f t="shared" si="83"/>
        <v>0</v>
      </c>
      <c r="K1711" s="2">
        <f t="shared" si="84"/>
        <v>0</v>
      </c>
    </row>
    <row r="1712" spans="5:11">
      <c r="E1712" t="s">
        <v>488</v>
      </c>
      <c r="F1712" t="s">
        <v>725</v>
      </c>
      <c r="G1712" s="5" t="str">
        <f t="shared" si="85"/>
        <v>11-12</v>
      </c>
      <c r="H1712" s="1">
        <f>_xlfn.IFNA(VLOOKUP(Aragon!E1712,'Kilter Holds'!$P$36:$AB$370,5,0),0)</f>
        <v>0</v>
      </c>
      <c r="J1712" s="2">
        <f t="shared" si="83"/>
        <v>0</v>
      </c>
      <c r="K1712" s="2">
        <f t="shared" si="84"/>
        <v>0</v>
      </c>
    </row>
    <row r="1713" spans="5:11">
      <c r="E1713" t="s">
        <v>488</v>
      </c>
      <c r="F1713" t="s">
        <v>725</v>
      </c>
      <c r="G1713" s="6" t="str">
        <f t="shared" si="85"/>
        <v>14-01</v>
      </c>
      <c r="H1713" s="1">
        <f>_xlfn.IFNA(VLOOKUP(Aragon!E1713,'Kilter Holds'!$P$36:$AB$370,6,0),0)</f>
        <v>0</v>
      </c>
      <c r="J1713" s="2">
        <f t="shared" si="83"/>
        <v>0</v>
      </c>
      <c r="K1713" s="2">
        <f t="shared" si="84"/>
        <v>0</v>
      </c>
    </row>
    <row r="1714" spans="5:11">
      <c r="E1714" t="s">
        <v>488</v>
      </c>
      <c r="F1714" t="s">
        <v>725</v>
      </c>
      <c r="G1714" s="7" t="str">
        <f t="shared" si="85"/>
        <v>15-12</v>
      </c>
      <c r="H1714" s="1">
        <f>_xlfn.IFNA(VLOOKUP(Aragon!E1714,'Kilter Holds'!$P$36:$AB$370,7,0),0)</f>
        <v>0</v>
      </c>
      <c r="J1714" s="2">
        <f t="shared" si="83"/>
        <v>0</v>
      </c>
      <c r="K1714" s="2">
        <f t="shared" si="84"/>
        <v>0</v>
      </c>
    </row>
    <row r="1715" spans="5:11">
      <c r="E1715" t="s">
        <v>488</v>
      </c>
      <c r="F1715" t="s">
        <v>725</v>
      </c>
      <c r="G1715" s="8" t="str">
        <f t="shared" si="85"/>
        <v>16-16</v>
      </c>
      <c r="H1715" s="1">
        <f>_xlfn.IFNA(VLOOKUP(Aragon!E1715,'Kilter Holds'!$P$36:$AB$370,8,0),0)</f>
        <v>0</v>
      </c>
      <c r="J1715" s="2">
        <f t="shared" si="83"/>
        <v>0</v>
      </c>
      <c r="K1715" s="2">
        <f t="shared" si="84"/>
        <v>0</v>
      </c>
    </row>
    <row r="1716" spans="5:11">
      <c r="E1716" t="s">
        <v>488</v>
      </c>
      <c r="F1716" t="s">
        <v>725</v>
      </c>
      <c r="G1716" s="9" t="str">
        <f t="shared" si="85"/>
        <v>13-01</v>
      </c>
      <c r="H1716" s="1">
        <f>_xlfn.IFNA(VLOOKUP(Aragon!E1716,'Kilter Holds'!$P$36:$AB$370,9,0),0)</f>
        <v>0</v>
      </c>
      <c r="J1716" s="2">
        <f t="shared" si="83"/>
        <v>0</v>
      </c>
      <c r="K1716" s="2">
        <f t="shared" si="84"/>
        <v>0</v>
      </c>
    </row>
    <row r="1717" spans="5:11">
      <c r="E1717" t="s">
        <v>488</v>
      </c>
      <c r="F1717" t="s">
        <v>725</v>
      </c>
      <c r="G1717" s="10" t="str">
        <f t="shared" si="85"/>
        <v>07-13</v>
      </c>
      <c r="H1717" s="1">
        <f>_xlfn.IFNA(VLOOKUP(Aragon!E1717,'Kilter Holds'!$P$36:$AB$370,10,0),0)</f>
        <v>0</v>
      </c>
      <c r="J1717" s="2">
        <f t="shared" si="83"/>
        <v>0</v>
      </c>
      <c r="K1717" s="2">
        <f t="shared" si="84"/>
        <v>0</v>
      </c>
    </row>
    <row r="1718" spans="5:11">
      <c r="E1718" t="s">
        <v>488</v>
      </c>
      <c r="F1718" t="s">
        <v>725</v>
      </c>
      <c r="G1718" s="11" t="str">
        <f t="shared" si="85"/>
        <v>11-25</v>
      </c>
      <c r="H1718" s="1">
        <f>_xlfn.IFNA(VLOOKUP(Aragon!E1718,'Kilter Holds'!$P$36:$AB$370,11,0),0)</f>
        <v>0</v>
      </c>
      <c r="J1718" s="2">
        <f t="shared" si="83"/>
        <v>0</v>
      </c>
      <c r="K1718" s="2">
        <f t="shared" si="84"/>
        <v>0</v>
      </c>
    </row>
    <row r="1719" spans="5:11">
      <c r="E1719" t="s">
        <v>488</v>
      </c>
      <c r="F1719" t="s">
        <v>725</v>
      </c>
      <c r="G1719" s="13" t="str">
        <f t="shared" si="85"/>
        <v>18-01</v>
      </c>
      <c r="H1719" s="1">
        <f>_xlfn.IFNA(VLOOKUP(Aragon!E1719,'Kilter Holds'!$P$36:$AB$370,12,0),0)</f>
        <v>0</v>
      </c>
      <c r="J1719" s="2">
        <f t="shared" si="83"/>
        <v>0</v>
      </c>
      <c r="K1719" s="2">
        <f t="shared" si="84"/>
        <v>0</v>
      </c>
    </row>
    <row r="1720" spans="5:11">
      <c r="E1720" t="s">
        <v>488</v>
      </c>
      <c r="F1720" t="s">
        <v>725</v>
      </c>
      <c r="G1720" s="12" t="str">
        <f t="shared" si="85"/>
        <v>12-01</v>
      </c>
      <c r="H1720" s="1">
        <f>_xlfn.IFNA(VLOOKUP(Aragon!E1720,'Kilter Holds'!$P$36:$AB$370,13,0),0)</f>
        <v>0</v>
      </c>
      <c r="J1720" s="2">
        <f t="shared" si="83"/>
        <v>0</v>
      </c>
      <c r="K1720" s="2">
        <f t="shared" si="84"/>
        <v>0</v>
      </c>
    </row>
    <row r="1721" spans="5:11">
      <c r="E1721" t="s">
        <v>221</v>
      </c>
      <c r="F1721" t="s">
        <v>726</v>
      </c>
      <c r="G1721" s="5" t="str">
        <f t="shared" si="85"/>
        <v>11-12</v>
      </c>
      <c r="H1721" s="1">
        <f>_xlfn.IFNA(VLOOKUP(Aragon!E1721,'Kilter Holds'!$P$36:$AB$370,5,0),0)</f>
        <v>0</v>
      </c>
      <c r="J1721" s="2">
        <f t="shared" si="83"/>
        <v>0</v>
      </c>
      <c r="K1721" s="2">
        <f t="shared" si="84"/>
        <v>0</v>
      </c>
    </row>
    <row r="1722" spans="5:11">
      <c r="E1722" t="s">
        <v>221</v>
      </c>
      <c r="F1722" t="s">
        <v>726</v>
      </c>
      <c r="G1722" s="6" t="str">
        <f t="shared" si="85"/>
        <v>14-01</v>
      </c>
      <c r="H1722" s="1">
        <f>_xlfn.IFNA(VLOOKUP(Aragon!E1722,'Kilter Holds'!$P$36:$AB$370,6,0),0)</f>
        <v>0</v>
      </c>
      <c r="J1722" s="2">
        <f t="shared" ref="J1722:J1785" si="86">H1722*I1722</f>
        <v>0</v>
      </c>
      <c r="K1722" s="2">
        <f t="shared" si="84"/>
        <v>0</v>
      </c>
    </row>
    <row r="1723" spans="5:11">
      <c r="E1723" t="s">
        <v>221</v>
      </c>
      <c r="F1723" t="s">
        <v>726</v>
      </c>
      <c r="G1723" s="7" t="str">
        <f t="shared" si="85"/>
        <v>15-12</v>
      </c>
      <c r="H1723" s="1">
        <f>_xlfn.IFNA(VLOOKUP(Aragon!E1723,'Kilter Holds'!$P$36:$AB$370,7,0),0)</f>
        <v>0</v>
      </c>
      <c r="J1723" s="2">
        <f t="shared" si="86"/>
        <v>0</v>
      </c>
      <c r="K1723" s="2">
        <f t="shared" si="84"/>
        <v>0</v>
      </c>
    </row>
    <row r="1724" spans="5:11">
      <c r="E1724" t="s">
        <v>221</v>
      </c>
      <c r="F1724" t="s">
        <v>726</v>
      </c>
      <c r="G1724" s="8" t="str">
        <f t="shared" si="85"/>
        <v>16-16</v>
      </c>
      <c r="H1724" s="1">
        <f>_xlfn.IFNA(VLOOKUP(Aragon!E1724,'Kilter Holds'!$P$36:$AB$370,8,0),0)</f>
        <v>0</v>
      </c>
      <c r="J1724" s="2">
        <f t="shared" si="86"/>
        <v>0</v>
      </c>
      <c r="K1724" s="2">
        <f t="shared" si="84"/>
        <v>0</v>
      </c>
    </row>
    <row r="1725" spans="5:11">
      <c r="E1725" t="s">
        <v>221</v>
      </c>
      <c r="F1725" t="s">
        <v>726</v>
      </c>
      <c r="G1725" s="9" t="str">
        <f t="shared" si="85"/>
        <v>13-01</v>
      </c>
      <c r="H1725" s="1">
        <f>_xlfn.IFNA(VLOOKUP(Aragon!E1725,'Kilter Holds'!$P$36:$AB$370,9,0),0)</f>
        <v>0</v>
      </c>
      <c r="J1725" s="2">
        <f t="shared" si="86"/>
        <v>0</v>
      </c>
      <c r="K1725" s="2">
        <f t="shared" si="84"/>
        <v>0</v>
      </c>
    </row>
    <row r="1726" spans="5:11">
      <c r="E1726" t="s">
        <v>221</v>
      </c>
      <c r="F1726" t="s">
        <v>726</v>
      </c>
      <c r="G1726" s="10" t="str">
        <f t="shared" si="85"/>
        <v>07-13</v>
      </c>
      <c r="H1726" s="1">
        <f>_xlfn.IFNA(VLOOKUP(Aragon!E1726,'Kilter Holds'!$P$36:$AB$370,10,0),0)</f>
        <v>0</v>
      </c>
      <c r="J1726" s="2">
        <f t="shared" si="86"/>
        <v>0</v>
      </c>
      <c r="K1726" s="2">
        <f t="shared" si="84"/>
        <v>0</v>
      </c>
    </row>
    <row r="1727" spans="5:11">
      <c r="E1727" t="s">
        <v>221</v>
      </c>
      <c r="F1727" t="s">
        <v>726</v>
      </c>
      <c r="G1727" s="11" t="str">
        <f t="shared" si="85"/>
        <v>11-25</v>
      </c>
      <c r="H1727" s="1">
        <f>_xlfn.IFNA(VLOOKUP(Aragon!E1727,'Kilter Holds'!$P$36:$AB$370,11,0),0)</f>
        <v>0</v>
      </c>
      <c r="J1727" s="2">
        <f t="shared" si="86"/>
        <v>0</v>
      </c>
      <c r="K1727" s="2">
        <f t="shared" si="84"/>
        <v>0</v>
      </c>
    </row>
    <row r="1728" spans="5:11">
      <c r="E1728" t="s">
        <v>221</v>
      </c>
      <c r="F1728" t="s">
        <v>726</v>
      </c>
      <c r="G1728" s="13" t="str">
        <f t="shared" si="85"/>
        <v>18-01</v>
      </c>
      <c r="H1728" s="1">
        <f>_xlfn.IFNA(VLOOKUP(Aragon!E1728,'Kilter Holds'!$P$36:$AB$370,12,0),0)</f>
        <v>0</v>
      </c>
      <c r="J1728" s="2">
        <f t="shared" si="86"/>
        <v>0</v>
      </c>
      <c r="K1728" s="2">
        <f t="shared" si="84"/>
        <v>0</v>
      </c>
    </row>
    <row r="1729" spans="5:11">
      <c r="E1729" t="s">
        <v>221</v>
      </c>
      <c r="F1729" t="s">
        <v>726</v>
      </c>
      <c r="G1729" s="12" t="str">
        <f t="shared" si="85"/>
        <v>12-01</v>
      </c>
      <c r="H1729" s="1">
        <f>_xlfn.IFNA(VLOOKUP(Aragon!E1729,'Kilter Holds'!$P$36:$AB$370,13,0),0)</f>
        <v>0</v>
      </c>
      <c r="J1729" s="2">
        <f t="shared" si="86"/>
        <v>0</v>
      </c>
      <c r="K1729" s="2">
        <f t="shared" si="84"/>
        <v>0</v>
      </c>
    </row>
    <row r="1730" spans="5:11">
      <c r="E1730" t="s">
        <v>489</v>
      </c>
      <c r="F1730" t="s">
        <v>727</v>
      </c>
      <c r="G1730" s="5" t="str">
        <f t="shared" si="85"/>
        <v>11-12</v>
      </c>
      <c r="H1730" s="1">
        <f>_xlfn.IFNA(VLOOKUP(Aragon!E1730,'Kilter Holds'!$P$36:$AB$370,5,0),0)</f>
        <v>0</v>
      </c>
      <c r="J1730" s="2">
        <f t="shared" si="86"/>
        <v>0</v>
      </c>
      <c r="K1730" s="2">
        <f t="shared" si="84"/>
        <v>0</v>
      </c>
    </row>
    <row r="1731" spans="5:11">
      <c r="E1731" t="s">
        <v>489</v>
      </c>
      <c r="F1731" t="s">
        <v>727</v>
      </c>
      <c r="G1731" s="6" t="str">
        <f t="shared" si="85"/>
        <v>14-01</v>
      </c>
      <c r="H1731" s="1">
        <f>_xlfn.IFNA(VLOOKUP(Aragon!E1731,'Kilter Holds'!$P$36:$AB$370,6,0),0)</f>
        <v>0</v>
      </c>
      <c r="J1731" s="2">
        <f t="shared" si="86"/>
        <v>0</v>
      </c>
      <c r="K1731" s="2">
        <f t="shared" si="84"/>
        <v>0</v>
      </c>
    </row>
    <row r="1732" spans="5:11">
      <c r="E1732" t="s">
        <v>489</v>
      </c>
      <c r="F1732" t="s">
        <v>727</v>
      </c>
      <c r="G1732" s="7" t="str">
        <f t="shared" si="85"/>
        <v>15-12</v>
      </c>
      <c r="H1732" s="1">
        <f>_xlfn.IFNA(VLOOKUP(Aragon!E1732,'Kilter Holds'!$P$36:$AB$370,7,0),0)</f>
        <v>0</v>
      </c>
      <c r="J1732" s="2">
        <f t="shared" si="86"/>
        <v>0</v>
      </c>
      <c r="K1732" s="2">
        <f t="shared" si="84"/>
        <v>0</v>
      </c>
    </row>
    <row r="1733" spans="5:11">
      <c r="E1733" t="s">
        <v>489</v>
      </c>
      <c r="F1733" t="s">
        <v>727</v>
      </c>
      <c r="G1733" s="8" t="str">
        <f t="shared" si="85"/>
        <v>16-16</v>
      </c>
      <c r="H1733" s="1">
        <f>_xlfn.IFNA(VLOOKUP(Aragon!E1733,'Kilter Holds'!$P$36:$AB$370,8,0),0)</f>
        <v>0</v>
      </c>
      <c r="J1733" s="2">
        <f t="shared" si="86"/>
        <v>0</v>
      </c>
      <c r="K1733" s="2">
        <f t="shared" si="84"/>
        <v>0</v>
      </c>
    </row>
    <row r="1734" spans="5:11">
      <c r="E1734" t="s">
        <v>489</v>
      </c>
      <c r="F1734" t="s">
        <v>727</v>
      </c>
      <c r="G1734" s="9" t="str">
        <f t="shared" si="85"/>
        <v>13-01</v>
      </c>
      <c r="H1734" s="1">
        <f>_xlfn.IFNA(VLOOKUP(Aragon!E1734,'Kilter Holds'!$P$36:$AB$370,9,0),0)</f>
        <v>0</v>
      </c>
      <c r="J1734" s="2">
        <f t="shared" si="86"/>
        <v>0</v>
      </c>
      <c r="K1734" s="2">
        <f t="shared" si="84"/>
        <v>0</v>
      </c>
    </row>
    <row r="1735" spans="5:11">
      <c r="E1735" t="s">
        <v>489</v>
      </c>
      <c r="F1735" t="s">
        <v>727</v>
      </c>
      <c r="G1735" s="10" t="str">
        <f t="shared" si="85"/>
        <v>07-13</v>
      </c>
      <c r="H1735" s="1">
        <f>_xlfn.IFNA(VLOOKUP(Aragon!E1735,'Kilter Holds'!$P$36:$AB$370,10,0),0)</f>
        <v>0</v>
      </c>
      <c r="J1735" s="2">
        <f t="shared" si="86"/>
        <v>0</v>
      </c>
      <c r="K1735" s="2">
        <f t="shared" si="84"/>
        <v>0</v>
      </c>
    </row>
    <row r="1736" spans="5:11">
      <c r="E1736" t="s">
        <v>489</v>
      </c>
      <c r="F1736" t="s">
        <v>727</v>
      </c>
      <c r="G1736" s="11" t="str">
        <f t="shared" si="85"/>
        <v>11-25</v>
      </c>
      <c r="H1736" s="1">
        <f>_xlfn.IFNA(VLOOKUP(Aragon!E1736,'Kilter Holds'!$P$36:$AB$370,11,0),0)</f>
        <v>0</v>
      </c>
      <c r="J1736" s="2">
        <f t="shared" si="86"/>
        <v>0</v>
      </c>
      <c r="K1736" s="2">
        <f t="shared" si="84"/>
        <v>0</v>
      </c>
    </row>
    <row r="1737" spans="5:11">
      <c r="E1737" t="s">
        <v>489</v>
      </c>
      <c r="F1737" t="s">
        <v>727</v>
      </c>
      <c r="G1737" s="13" t="str">
        <f t="shared" si="85"/>
        <v>18-01</v>
      </c>
      <c r="H1737" s="1">
        <f>_xlfn.IFNA(VLOOKUP(Aragon!E1737,'Kilter Holds'!$P$36:$AB$370,12,0),0)</f>
        <v>0</v>
      </c>
      <c r="J1737" s="2">
        <f t="shared" si="86"/>
        <v>0</v>
      </c>
      <c r="K1737" s="2">
        <f t="shared" si="84"/>
        <v>0</v>
      </c>
    </row>
    <row r="1738" spans="5:11">
      <c r="E1738" t="s">
        <v>489</v>
      </c>
      <c r="F1738" t="s">
        <v>727</v>
      </c>
      <c r="G1738" s="12" t="str">
        <f t="shared" si="85"/>
        <v>12-01</v>
      </c>
      <c r="H1738" s="1">
        <f>_xlfn.IFNA(VLOOKUP(Aragon!E1738,'Kilter Holds'!$P$36:$AB$370,13,0),0)</f>
        <v>0</v>
      </c>
      <c r="J1738" s="2">
        <f t="shared" si="86"/>
        <v>0</v>
      </c>
      <c r="K1738" s="2">
        <f t="shared" si="84"/>
        <v>0</v>
      </c>
    </row>
    <row r="1739" spans="5:11">
      <c r="E1739" s="3" t="s">
        <v>894</v>
      </c>
      <c r="F1739" s="3" t="s">
        <v>914</v>
      </c>
      <c r="G1739" s="5" t="str">
        <f t="shared" si="85"/>
        <v>11-12</v>
      </c>
      <c r="H1739" s="1">
        <f>_xlfn.IFNA(VLOOKUP(Aragon!E1739,'Kilter Holds'!$P$36:$AB$370,5,0),0)</f>
        <v>0</v>
      </c>
      <c r="J1739" s="2">
        <f t="shared" si="86"/>
        <v>0</v>
      </c>
      <c r="K1739" s="2">
        <f t="shared" si="84"/>
        <v>0</v>
      </c>
    </row>
    <row r="1740" spans="5:11">
      <c r="E1740" s="3" t="s">
        <v>894</v>
      </c>
      <c r="F1740" s="3" t="s">
        <v>914</v>
      </c>
      <c r="G1740" s="6" t="str">
        <f t="shared" si="85"/>
        <v>14-01</v>
      </c>
      <c r="H1740" s="1">
        <f>_xlfn.IFNA(VLOOKUP(Aragon!E1740,'Kilter Holds'!$P$36:$AB$370,6,0),0)</f>
        <v>0</v>
      </c>
      <c r="J1740" s="2">
        <f t="shared" si="86"/>
        <v>0</v>
      </c>
      <c r="K1740" s="2">
        <f t="shared" ref="K1740:K1803" si="87">IF($V$11="Y",J1740*0.05,0)</f>
        <v>0</v>
      </c>
    </row>
    <row r="1741" spans="5:11">
      <c r="E1741" s="3" t="s">
        <v>894</v>
      </c>
      <c r="F1741" s="3" t="s">
        <v>914</v>
      </c>
      <c r="G1741" s="7" t="str">
        <f t="shared" ref="G1741:G1804" si="88">G1732</f>
        <v>15-12</v>
      </c>
      <c r="H1741" s="1">
        <f>_xlfn.IFNA(VLOOKUP(Aragon!E1741,'Kilter Holds'!$P$36:$AB$370,7,0),0)</f>
        <v>0</v>
      </c>
      <c r="J1741" s="2">
        <f t="shared" si="86"/>
        <v>0</v>
      </c>
      <c r="K1741" s="2">
        <f t="shared" si="87"/>
        <v>0</v>
      </c>
    </row>
    <row r="1742" spans="5:11">
      <c r="E1742" s="3" t="s">
        <v>894</v>
      </c>
      <c r="F1742" s="3" t="s">
        <v>914</v>
      </c>
      <c r="G1742" s="8" t="str">
        <f t="shared" si="88"/>
        <v>16-16</v>
      </c>
      <c r="H1742" s="1">
        <f>_xlfn.IFNA(VLOOKUP(Aragon!E1742,'Kilter Holds'!$P$36:$AB$370,8,0),0)</f>
        <v>0</v>
      </c>
      <c r="J1742" s="2">
        <f t="shared" si="86"/>
        <v>0</v>
      </c>
      <c r="K1742" s="2">
        <f t="shared" si="87"/>
        <v>0</v>
      </c>
    </row>
    <row r="1743" spans="5:11">
      <c r="E1743" s="3" t="s">
        <v>894</v>
      </c>
      <c r="F1743" s="3" t="s">
        <v>914</v>
      </c>
      <c r="G1743" s="9" t="str">
        <f t="shared" si="88"/>
        <v>13-01</v>
      </c>
      <c r="H1743" s="1">
        <f>_xlfn.IFNA(VLOOKUP(Aragon!E1743,'Kilter Holds'!$P$36:$AB$370,9,0),0)</f>
        <v>0</v>
      </c>
      <c r="J1743" s="2">
        <f t="shared" si="86"/>
        <v>0</v>
      </c>
      <c r="K1743" s="2">
        <f t="shared" si="87"/>
        <v>0</v>
      </c>
    </row>
    <row r="1744" spans="5:11">
      <c r="E1744" s="3" t="s">
        <v>894</v>
      </c>
      <c r="F1744" s="3" t="s">
        <v>914</v>
      </c>
      <c r="G1744" s="10" t="str">
        <f t="shared" si="88"/>
        <v>07-13</v>
      </c>
      <c r="H1744" s="1">
        <f>_xlfn.IFNA(VLOOKUP(Aragon!E1744,'Kilter Holds'!$P$36:$AB$370,10,0),0)</f>
        <v>0</v>
      </c>
      <c r="J1744" s="2">
        <f t="shared" si="86"/>
        <v>0</v>
      </c>
      <c r="K1744" s="2">
        <f t="shared" si="87"/>
        <v>0</v>
      </c>
    </row>
    <row r="1745" spans="5:11">
      <c r="E1745" s="3" t="s">
        <v>894</v>
      </c>
      <c r="F1745" s="3" t="s">
        <v>914</v>
      </c>
      <c r="G1745" s="11" t="str">
        <f t="shared" si="88"/>
        <v>11-25</v>
      </c>
      <c r="H1745" s="1">
        <f>_xlfn.IFNA(VLOOKUP(Aragon!E1745,'Kilter Holds'!$P$36:$AB$370,11,0),0)</f>
        <v>0</v>
      </c>
      <c r="J1745" s="2">
        <f t="shared" si="86"/>
        <v>0</v>
      </c>
      <c r="K1745" s="2">
        <f t="shared" si="87"/>
        <v>0</v>
      </c>
    </row>
    <row r="1746" spans="5:11">
      <c r="E1746" s="3" t="s">
        <v>894</v>
      </c>
      <c r="F1746" s="3" t="s">
        <v>914</v>
      </c>
      <c r="G1746" s="13" t="str">
        <f t="shared" si="88"/>
        <v>18-01</v>
      </c>
      <c r="H1746" s="1">
        <f>_xlfn.IFNA(VLOOKUP(Aragon!E1746,'Kilter Holds'!$P$36:$AB$370,12,0),0)</f>
        <v>0</v>
      </c>
      <c r="J1746" s="2">
        <f t="shared" si="86"/>
        <v>0</v>
      </c>
      <c r="K1746" s="2">
        <f t="shared" si="87"/>
        <v>0</v>
      </c>
    </row>
    <row r="1747" spans="5:11">
      <c r="E1747" s="3" t="s">
        <v>894</v>
      </c>
      <c r="F1747" s="3" t="s">
        <v>914</v>
      </c>
      <c r="G1747" s="12" t="str">
        <f t="shared" si="88"/>
        <v>12-01</v>
      </c>
      <c r="H1747" s="1">
        <f>_xlfn.IFNA(VLOOKUP(Aragon!E1747,'Kilter Holds'!$P$36:$AB$370,13,0),0)</f>
        <v>0</v>
      </c>
      <c r="J1747" s="2">
        <f t="shared" si="86"/>
        <v>0</v>
      </c>
      <c r="K1747" s="2">
        <f t="shared" si="87"/>
        <v>0</v>
      </c>
    </row>
    <row r="1748" spans="5:11">
      <c r="E1748" t="s">
        <v>490</v>
      </c>
      <c r="F1748" t="s">
        <v>728</v>
      </c>
      <c r="G1748" s="5" t="str">
        <f t="shared" si="88"/>
        <v>11-12</v>
      </c>
      <c r="H1748" s="1">
        <f>_xlfn.IFNA(VLOOKUP(Aragon!E1748,'Kilter Holds'!$P$36:$AB$370,5,0),0)</f>
        <v>0</v>
      </c>
      <c r="J1748" s="2">
        <f t="shared" si="86"/>
        <v>0</v>
      </c>
      <c r="K1748" s="2">
        <f t="shared" si="87"/>
        <v>0</v>
      </c>
    </row>
    <row r="1749" spans="5:11">
      <c r="E1749" t="s">
        <v>490</v>
      </c>
      <c r="F1749" t="s">
        <v>728</v>
      </c>
      <c r="G1749" s="6" t="str">
        <f t="shared" si="88"/>
        <v>14-01</v>
      </c>
      <c r="H1749" s="1">
        <f>_xlfn.IFNA(VLOOKUP(Aragon!E1749,'Kilter Holds'!$P$36:$AB$370,6,0),0)</f>
        <v>0</v>
      </c>
      <c r="J1749" s="2">
        <f t="shared" si="86"/>
        <v>0</v>
      </c>
      <c r="K1749" s="2">
        <f t="shared" si="87"/>
        <v>0</v>
      </c>
    </row>
    <row r="1750" spans="5:11">
      <c r="E1750" t="s">
        <v>490</v>
      </c>
      <c r="F1750" t="s">
        <v>728</v>
      </c>
      <c r="G1750" s="7" t="str">
        <f t="shared" si="88"/>
        <v>15-12</v>
      </c>
      <c r="H1750" s="1">
        <f>_xlfn.IFNA(VLOOKUP(Aragon!E1750,'Kilter Holds'!$P$36:$AB$370,7,0),0)</f>
        <v>0</v>
      </c>
      <c r="J1750" s="2">
        <f t="shared" si="86"/>
        <v>0</v>
      </c>
      <c r="K1750" s="2">
        <f t="shared" si="87"/>
        <v>0</v>
      </c>
    </row>
    <row r="1751" spans="5:11">
      <c r="E1751" t="s">
        <v>490</v>
      </c>
      <c r="F1751" t="s">
        <v>728</v>
      </c>
      <c r="G1751" s="8" t="str">
        <f t="shared" si="88"/>
        <v>16-16</v>
      </c>
      <c r="H1751" s="1">
        <f>_xlfn.IFNA(VLOOKUP(Aragon!E1751,'Kilter Holds'!$P$36:$AB$370,8,0),0)</f>
        <v>0</v>
      </c>
      <c r="J1751" s="2">
        <f t="shared" si="86"/>
        <v>0</v>
      </c>
      <c r="K1751" s="2">
        <f t="shared" si="87"/>
        <v>0</v>
      </c>
    </row>
    <row r="1752" spans="5:11">
      <c r="E1752" t="s">
        <v>490</v>
      </c>
      <c r="F1752" t="s">
        <v>728</v>
      </c>
      <c r="G1752" s="9" t="str">
        <f t="shared" si="88"/>
        <v>13-01</v>
      </c>
      <c r="H1752" s="1">
        <f>_xlfn.IFNA(VLOOKUP(Aragon!E1752,'Kilter Holds'!$P$36:$AB$370,9,0),0)</f>
        <v>0</v>
      </c>
      <c r="J1752" s="2">
        <f t="shared" si="86"/>
        <v>0</v>
      </c>
      <c r="K1752" s="2">
        <f t="shared" si="87"/>
        <v>0</v>
      </c>
    </row>
    <row r="1753" spans="5:11">
      <c r="E1753" t="s">
        <v>490</v>
      </c>
      <c r="F1753" t="s">
        <v>728</v>
      </c>
      <c r="G1753" s="10" t="str">
        <f t="shared" si="88"/>
        <v>07-13</v>
      </c>
      <c r="H1753" s="1">
        <f>_xlfn.IFNA(VLOOKUP(Aragon!E1753,'Kilter Holds'!$P$36:$AB$370,10,0),0)</f>
        <v>0</v>
      </c>
      <c r="J1753" s="2">
        <f t="shared" si="86"/>
        <v>0</v>
      </c>
      <c r="K1753" s="2">
        <f t="shared" si="87"/>
        <v>0</v>
      </c>
    </row>
    <row r="1754" spans="5:11">
      <c r="E1754" t="s">
        <v>490</v>
      </c>
      <c r="F1754" t="s">
        <v>728</v>
      </c>
      <c r="G1754" s="11" t="str">
        <f t="shared" si="88"/>
        <v>11-25</v>
      </c>
      <c r="H1754" s="1">
        <f>_xlfn.IFNA(VLOOKUP(Aragon!E1754,'Kilter Holds'!$P$36:$AB$370,11,0),0)</f>
        <v>0</v>
      </c>
      <c r="J1754" s="2">
        <f t="shared" si="86"/>
        <v>0</v>
      </c>
      <c r="K1754" s="2">
        <f t="shared" si="87"/>
        <v>0</v>
      </c>
    </row>
    <row r="1755" spans="5:11">
      <c r="E1755" t="s">
        <v>490</v>
      </c>
      <c r="F1755" t="s">
        <v>728</v>
      </c>
      <c r="G1755" s="13" t="str">
        <f t="shared" si="88"/>
        <v>18-01</v>
      </c>
      <c r="H1755" s="1">
        <f>_xlfn.IFNA(VLOOKUP(Aragon!E1755,'Kilter Holds'!$P$36:$AB$370,12,0),0)</f>
        <v>0</v>
      </c>
      <c r="J1755" s="2">
        <f t="shared" si="86"/>
        <v>0</v>
      </c>
      <c r="K1755" s="2">
        <f t="shared" si="87"/>
        <v>0</v>
      </c>
    </row>
    <row r="1756" spans="5:11">
      <c r="E1756" t="s">
        <v>490</v>
      </c>
      <c r="F1756" t="s">
        <v>728</v>
      </c>
      <c r="G1756" s="12" t="str">
        <f t="shared" si="88"/>
        <v>12-01</v>
      </c>
      <c r="H1756" s="1">
        <f>_xlfn.IFNA(VLOOKUP(Aragon!E1756,'Kilter Holds'!$P$36:$AB$370,13,0),0)</f>
        <v>0</v>
      </c>
      <c r="J1756" s="2">
        <f t="shared" si="86"/>
        <v>0</v>
      </c>
      <c r="K1756" s="2">
        <f t="shared" si="87"/>
        <v>0</v>
      </c>
    </row>
    <row r="1757" spans="5:11">
      <c r="E1757" t="s">
        <v>491</v>
      </c>
      <c r="F1757" t="s">
        <v>729</v>
      </c>
      <c r="G1757" s="5" t="str">
        <f t="shared" si="88"/>
        <v>11-12</v>
      </c>
      <c r="H1757" s="1">
        <f>_xlfn.IFNA(VLOOKUP(Aragon!E1757,'Kilter Holds'!$P$36:$AB$370,5,0),0)</f>
        <v>0</v>
      </c>
      <c r="J1757" s="2">
        <f t="shared" si="86"/>
        <v>0</v>
      </c>
      <c r="K1757" s="2">
        <f t="shared" si="87"/>
        <v>0</v>
      </c>
    </row>
    <row r="1758" spans="5:11">
      <c r="E1758" t="s">
        <v>491</v>
      </c>
      <c r="F1758" t="s">
        <v>729</v>
      </c>
      <c r="G1758" s="6" t="str">
        <f t="shared" si="88"/>
        <v>14-01</v>
      </c>
      <c r="H1758" s="1">
        <f>_xlfn.IFNA(VLOOKUP(Aragon!E1758,'Kilter Holds'!$P$36:$AB$370,6,0),0)</f>
        <v>0</v>
      </c>
      <c r="J1758" s="2">
        <f t="shared" si="86"/>
        <v>0</v>
      </c>
      <c r="K1758" s="2">
        <f t="shared" si="87"/>
        <v>0</v>
      </c>
    </row>
    <row r="1759" spans="5:11">
      <c r="E1759" t="s">
        <v>491</v>
      </c>
      <c r="F1759" t="s">
        <v>729</v>
      </c>
      <c r="G1759" s="7" t="str">
        <f t="shared" si="88"/>
        <v>15-12</v>
      </c>
      <c r="H1759" s="1">
        <f>_xlfn.IFNA(VLOOKUP(Aragon!E1759,'Kilter Holds'!$P$36:$AB$370,7,0),0)</f>
        <v>0</v>
      </c>
      <c r="J1759" s="2">
        <f t="shared" si="86"/>
        <v>0</v>
      </c>
      <c r="K1759" s="2">
        <f t="shared" si="87"/>
        <v>0</v>
      </c>
    </row>
    <row r="1760" spans="5:11">
      <c r="E1760" t="s">
        <v>491</v>
      </c>
      <c r="F1760" t="s">
        <v>729</v>
      </c>
      <c r="G1760" s="8" t="str">
        <f t="shared" si="88"/>
        <v>16-16</v>
      </c>
      <c r="H1760" s="1">
        <f>_xlfn.IFNA(VLOOKUP(Aragon!E1760,'Kilter Holds'!$P$36:$AB$370,8,0),0)</f>
        <v>0</v>
      </c>
      <c r="J1760" s="2">
        <f t="shared" si="86"/>
        <v>0</v>
      </c>
      <c r="K1760" s="2">
        <f t="shared" si="87"/>
        <v>0</v>
      </c>
    </row>
    <row r="1761" spans="5:11">
      <c r="E1761" t="s">
        <v>491</v>
      </c>
      <c r="F1761" t="s">
        <v>729</v>
      </c>
      <c r="G1761" s="9" t="str">
        <f t="shared" si="88"/>
        <v>13-01</v>
      </c>
      <c r="H1761" s="1">
        <f>_xlfn.IFNA(VLOOKUP(Aragon!E1761,'Kilter Holds'!$P$36:$AB$370,9,0),0)</f>
        <v>0</v>
      </c>
      <c r="J1761" s="2">
        <f t="shared" si="86"/>
        <v>0</v>
      </c>
      <c r="K1761" s="2">
        <f t="shared" si="87"/>
        <v>0</v>
      </c>
    </row>
    <row r="1762" spans="5:11">
      <c r="E1762" t="s">
        <v>491</v>
      </c>
      <c r="F1762" t="s">
        <v>729</v>
      </c>
      <c r="G1762" s="10" t="str">
        <f t="shared" si="88"/>
        <v>07-13</v>
      </c>
      <c r="H1762" s="1">
        <f>_xlfn.IFNA(VLOOKUP(Aragon!E1762,'Kilter Holds'!$P$36:$AB$370,10,0),0)</f>
        <v>0</v>
      </c>
      <c r="J1762" s="2">
        <f t="shared" si="86"/>
        <v>0</v>
      </c>
      <c r="K1762" s="2">
        <f t="shared" si="87"/>
        <v>0</v>
      </c>
    </row>
    <row r="1763" spans="5:11">
      <c r="E1763" t="s">
        <v>491</v>
      </c>
      <c r="F1763" t="s">
        <v>729</v>
      </c>
      <c r="G1763" s="11" t="str">
        <f t="shared" si="88"/>
        <v>11-25</v>
      </c>
      <c r="H1763" s="1">
        <f>_xlfn.IFNA(VLOOKUP(Aragon!E1763,'Kilter Holds'!$P$36:$AB$370,11,0),0)</f>
        <v>0</v>
      </c>
      <c r="J1763" s="2">
        <f t="shared" si="86"/>
        <v>0</v>
      </c>
      <c r="K1763" s="2">
        <f t="shared" si="87"/>
        <v>0</v>
      </c>
    </row>
    <row r="1764" spans="5:11">
      <c r="E1764" t="s">
        <v>491</v>
      </c>
      <c r="F1764" t="s">
        <v>729</v>
      </c>
      <c r="G1764" s="13" t="str">
        <f t="shared" si="88"/>
        <v>18-01</v>
      </c>
      <c r="H1764" s="1">
        <f>_xlfn.IFNA(VLOOKUP(Aragon!E1764,'Kilter Holds'!$P$36:$AB$370,12,0),0)</f>
        <v>0</v>
      </c>
      <c r="J1764" s="2">
        <f t="shared" si="86"/>
        <v>0</v>
      </c>
      <c r="K1764" s="2">
        <f t="shared" si="87"/>
        <v>0</v>
      </c>
    </row>
    <row r="1765" spans="5:11">
      <c r="E1765" t="s">
        <v>491</v>
      </c>
      <c r="F1765" t="s">
        <v>729</v>
      </c>
      <c r="G1765" s="12" t="str">
        <f t="shared" si="88"/>
        <v>12-01</v>
      </c>
      <c r="H1765" s="1">
        <f>_xlfn.IFNA(VLOOKUP(Aragon!E1765,'Kilter Holds'!$P$36:$AB$370,13,0),0)</f>
        <v>0</v>
      </c>
      <c r="J1765" s="2">
        <f t="shared" si="86"/>
        <v>0</v>
      </c>
      <c r="K1765" s="2">
        <f t="shared" si="87"/>
        <v>0</v>
      </c>
    </row>
    <row r="1766" spans="5:11">
      <c r="E1766" t="s">
        <v>492</v>
      </c>
      <c r="F1766" t="s">
        <v>730</v>
      </c>
      <c r="G1766" s="5" t="str">
        <f t="shared" si="88"/>
        <v>11-12</v>
      </c>
      <c r="H1766" s="1">
        <f>_xlfn.IFNA(VLOOKUP(Aragon!E1766,'Kilter Holds'!$P$36:$AB$370,5,0),0)</f>
        <v>0</v>
      </c>
      <c r="J1766" s="2">
        <f t="shared" si="86"/>
        <v>0</v>
      </c>
      <c r="K1766" s="2">
        <f t="shared" si="87"/>
        <v>0</v>
      </c>
    </row>
    <row r="1767" spans="5:11">
      <c r="E1767" t="s">
        <v>492</v>
      </c>
      <c r="F1767" t="s">
        <v>730</v>
      </c>
      <c r="G1767" s="6" t="str">
        <f t="shared" si="88"/>
        <v>14-01</v>
      </c>
      <c r="H1767" s="1">
        <f>_xlfn.IFNA(VLOOKUP(Aragon!E1767,'Kilter Holds'!$P$36:$AB$370,6,0),0)</f>
        <v>0</v>
      </c>
      <c r="J1767" s="2">
        <f t="shared" si="86"/>
        <v>0</v>
      </c>
      <c r="K1767" s="2">
        <f t="shared" si="87"/>
        <v>0</v>
      </c>
    </row>
    <row r="1768" spans="5:11">
      <c r="E1768" t="s">
        <v>492</v>
      </c>
      <c r="F1768" t="s">
        <v>730</v>
      </c>
      <c r="G1768" s="7" t="str">
        <f t="shared" si="88"/>
        <v>15-12</v>
      </c>
      <c r="H1768" s="1">
        <f>_xlfn.IFNA(VLOOKUP(Aragon!E1768,'Kilter Holds'!$P$36:$AB$370,7,0),0)</f>
        <v>0</v>
      </c>
      <c r="J1768" s="2">
        <f t="shared" si="86"/>
        <v>0</v>
      </c>
      <c r="K1768" s="2">
        <f t="shared" si="87"/>
        <v>0</v>
      </c>
    </row>
    <row r="1769" spans="5:11">
      <c r="E1769" t="s">
        <v>492</v>
      </c>
      <c r="F1769" t="s">
        <v>730</v>
      </c>
      <c r="G1769" s="8" t="str">
        <f t="shared" si="88"/>
        <v>16-16</v>
      </c>
      <c r="H1769" s="1">
        <f>_xlfn.IFNA(VLOOKUP(Aragon!E1769,'Kilter Holds'!$P$36:$AB$370,8,0),0)</f>
        <v>0</v>
      </c>
      <c r="J1769" s="2">
        <f t="shared" si="86"/>
        <v>0</v>
      </c>
      <c r="K1769" s="2">
        <f t="shared" si="87"/>
        <v>0</v>
      </c>
    </row>
    <row r="1770" spans="5:11">
      <c r="E1770" t="s">
        <v>492</v>
      </c>
      <c r="F1770" t="s">
        <v>730</v>
      </c>
      <c r="G1770" s="9" t="str">
        <f t="shared" si="88"/>
        <v>13-01</v>
      </c>
      <c r="H1770" s="1">
        <f>_xlfn.IFNA(VLOOKUP(Aragon!E1770,'Kilter Holds'!$P$36:$AB$370,9,0),0)</f>
        <v>0</v>
      </c>
      <c r="J1770" s="2">
        <f t="shared" si="86"/>
        <v>0</v>
      </c>
      <c r="K1770" s="2">
        <f t="shared" si="87"/>
        <v>0</v>
      </c>
    </row>
    <row r="1771" spans="5:11">
      <c r="E1771" t="s">
        <v>492</v>
      </c>
      <c r="F1771" t="s">
        <v>730</v>
      </c>
      <c r="G1771" s="10" t="str">
        <f t="shared" si="88"/>
        <v>07-13</v>
      </c>
      <c r="H1771" s="1">
        <f>_xlfn.IFNA(VLOOKUP(Aragon!E1771,'Kilter Holds'!$P$36:$AB$370,10,0),0)</f>
        <v>0</v>
      </c>
      <c r="J1771" s="2">
        <f t="shared" si="86"/>
        <v>0</v>
      </c>
      <c r="K1771" s="2">
        <f t="shared" si="87"/>
        <v>0</v>
      </c>
    </row>
    <row r="1772" spans="5:11">
      <c r="E1772" t="s">
        <v>492</v>
      </c>
      <c r="F1772" t="s">
        <v>730</v>
      </c>
      <c r="G1772" s="11" t="str">
        <f t="shared" si="88"/>
        <v>11-25</v>
      </c>
      <c r="H1772" s="1">
        <f>_xlfn.IFNA(VLOOKUP(Aragon!E1772,'Kilter Holds'!$P$36:$AB$370,11,0),0)</f>
        <v>0</v>
      </c>
      <c r="J1772" s="2">
        <f t="shared" si="86"/>
        <v>0</v>
      </c>
      <c r="K1772" s="2">
        <f t="shared" si="87"/>
        <v>0</v>
      </c>
    </row>
    <row r="1773" spans="5:11">
      <c r="E1773" t="s">
        <v>492</v>
      </c>
      <c r="F1773" t="s">
        <v>730</v>
      </c>
      <c r="G1773" s="13" t="str">
        <f t="shared" si="88"/>
        <v>18-01</v>
      </c>
      <c r="H1773" s="1">
        <f>_xlfn.IFNA(VLOOKUP(Aragon!E1773,'Kilter Holds'!$P$36:$AB$370,12,0),0)</f>
        <v>0</v>
      </c>
      <c r="J1773" s="2">
        <f t="shared" si="86"/>
        <v>0</v>
      </c>
      <c r="K1773" s="2">
        <f t="shared" si="87"/>
        <v>0</v>
      </c>
    </row>
    <row r="1774" spans="5:11">
      <c r="E1774" t="s">
        <v>492</v>
      </c>
      <c r="F1774" t="s">
        <v>730</v>
      </c>
      <c r="G1774" s="12" t="str">
        <f t="shared" si="88"/>
        <v>12-01</v>
      </c>
      <c r="H1774" s="1">
        <f>_xlfn.IFNA(VLOOKUP(Aragon!E1774,'Kilter Holds'!$P$36:$AB$370,13,0),0)</f>
        <v>0</v>
      </c>
      <c r="J1774" s="2">
        <f t="shared" si="86"/>
        <v>0</v>
      </c>
      <c r="K1774" s="2">
        <f t="shared" si="87"/>
        <v>0</v>
      </c>
    </row>
    <row r="1775" spans="5:11">
      <c r="E1775" t="s">
        <v>167</v>
      </c>
      <c r="F1775" t="s">
        <v>731</v>
      </c>
      <c r="G1775" s="5" t="str">
        <f t="shared" si="88"/>
        <v>11-12</v>
      </c>
      <c r="H1775" s="1">
        <f>_xlfn.IFNA(VLOOKUP(Aragon!E1775,'Kilter Holds'!$P$36:$AB$370,5,0),0)</f>
        <v>0</v>
      </c>
      <c r="J1775" s="2">
        <f t="shared" si="86"/>
        <v>0</v>
      </c>
      <c r="K1775" s="2">
        <f t="shared" si="87"/>
        <v>0</v>
      </c>
    </row>
    <row r="1776" spans="5:11">
      <c r="E1776" t="s">
        <v>167</v>
      </c>
      <c r="F1776" t="s">
        <v>731</v>
      </c>
      <c r="G1776" s="6" t="str">
        <f t="shared" si="88"/>
        <v>14-01</v>
      </c>
      <c r="H1776" s="1">
        <f>_xlfn.IFNA(VLOOKUP(Aragon!E1776,'Kilter Holds'!$P$36:$AB$370,6,0),0)</f>
        <v>0</v>
      </c>
      <c r="J1776" s="2">
        <f t="shared" si="86"/>
        <v>0</v>
      </c>
      <c r="K1776" s="2">
        <f t="shared" si="87"/>
        <v>0</v>
      </c>
    </row>
    <row r="1777" spans="5:11">
      <c r="E1777" t="s">
        <v>167</v>
      </c>
      <c r="F1777" t="s">
        <v>731</v>
      </c>
      <c r="G1777" s="7" t="str">
        <f t="shared" si="88"/>
        <v>15-12</v>
      </c>
      <c r="H1777" s="1">
        <f>_xlfn.IFNA(VLOOKUP(Aragon!E1777,'Kilter Holds'!$P$36:$AB$370,7,0),0)</f>
        <v>0</v>
      </c>
      <c r="J1777" s="2">
        <f t="shared" si="86"/>
        <v>0</v>
      </c>
      <c r="K1777" s="2">
        <f t="shared" si="87"/>
        <v>0</v>
      </c>
    </row>
    <row r="1778" spans="5:11">
      <c r="E1778" t="s">
        <v>167</v>
      </c>
      <c r="F1778" t="s">
        <v>731</v>
      </c>
      <c r="G1778" s="8" t="str">
        <f t="shared" si="88"/>
        <v>16-16</v>
      </c>
      <c r="H1778" s="1">
        <f>_xlfn.IFNA(VLOOKUP(Aragon!E1778,'Kilter Holds'!$P$36:$AB$370,8,0),0)</f>
        <v>0</v>
      </c>
      <c r="J1778" s="2">
        <f t="shared" si="86"/>
        <v>0</v>
      </c>
      <c r="K1778" s="2">
        <f t="shared" si="87"/>
        <v>0</v>
      </c>
    </row>
    <row r="1779" spans="5:11">
      <c r="E1779" t="s">
        <v>167</v>
      </c>
      <c r="F1779" t="s">
        <v>731</v>
      </c>
      <c r="G1779" s="9" t="str">
        <f t="shared" si="88"/>
        <v>13-01</v>
      </c>
      <c r="H1779" s="1">
        <f>_xlfn.IFNA(VLOOKUP(Aragon!E1779,'Kilter Holds'!$P$36:$AB$370,9,0),0)</f>
        <v>0</v>
      </c>
      <c r="J1779" s="2">
        <f t="shared" si="86"/>
        <v>0</v>
      </c>
      <c r="K1779" s="2">
        <f t="shared" si="87"/>
        <v>0</v>
      </c>
    </row>
    <row r="1780" spans="5:11">
      <c r="E1780" t="s">
        <v>167</v>
      </c>
      <c r="F1780" t="s">
        <v>731</v>
      </c>
      <c r="G1780" s="10" t="str">
        <f t="shared" si="88"/>
        <v>07-13</v>
      </c>
      <c r="H1780" s="1">
        <f>_xlfn.IFNA(VLOOKUP(Aragon!E1780,'Kilter Holds'!$P$36:$AB$370,10,0),0)</f>
        <v>0</v>
      </c>
      <c r="J1780" s="2">
        <f t="shared" si="86"/>
        <v>0</v>
      </c>
      <c r="K1780" s="2">
        <f t="shared" si="87"/>
        <v>0</v>
      </c>
    </row>
    <row r="1781" spans="5:11">
      <c r="E1781" t="s">
        <v>167</v>
      </c>
      <c r="F1781" t="s">
        <v>731</v>
      </c>
      <c r="G1781" s="11" t="str">
        <f t="shared" si="88"/>
        <v>11-25</v>
      </c>
      <c r="H1781" s="1">
        <f>_xlfn.IFNA(VLOOKUP(Aragon!E1781,'Kilter Holds'!$P$36:$AB$370,11,0),0)</f>
        <v>0</v>
      </c>
      <c r="J1781" s="2">
        <f t="shared" si="86"/>
        <v>0</v>
      </c>
      <c r="K1781" s="2">
        <f t="shared" si="87"/>
        <v>0</v>
      </c>
    </row>
    <row r="1782" spans="5:11">
      <c r="E1782" t="s">
        <v>167</v>
      </c>
      <c r="F1782" t="s">
        <v>731</v>
      </c>
      <c r="G1782" s="13" t="str">
        <f t="shared" si="88"/>
        <v>18-01</v>
      </c>
      <c r="H1782" s="1">
        <f>_xlfn.IFNA(VLOOKUP(Aragon!E1782,'Kilter Holds'!$P$36:$AB$370,12,0),0)</f>
        <v>0</v>
      </c>
      <c r="J1782" s="2">
        <f t="shared" si="86"/>
        <v>0</v>
      </c>
      <c r="K1782" s="2">
        <f t="shared" si="87"/>
        <v>0</v>
      </c>
    </row>
    <row r="1783" spans="5:11">
      <c r="E1783" t="s">
        <v>167</v>
      </c>
      <c r="F1783" t="s">
        <v>731</v>
      </c>
      <c r="G1783" s="12" t="str">
        <f t="shared" si="88"/>
        <v>12-01</v>
      </c>
      <c r="H1783" s="1">
        <f>_xlfn.IFNA(VLOOKUP(Aragon!E1783,'Kilter Holds'!$P$36:$AB$370,13,0),0)</f>
        <v>0</v>
      </c>
      <c r="J1783" s="2">
        <f t="shared" si="86"/>
        <v>0</v>
      </c>
      <c r="K1783" s="2">
        <f t="shared" si="87"/>
        <v>0</v>
      </c>
    </row>
    <row r="1784" spans="5:11">
      <c r="E1784" t="s">
        <v>324</v>
      </c>
      <c r="F1784" t="s">
        <v>732</v>
      </c>
      <c r="G1784" s="5" t="str">
        <f t="shared" si="88"/>
        <v>11-12</v>
      </c>
      <c r="H1784" s="1">
        <f>_xlfn.IFNA(VLOOKUP(Aragon!E1784,'Kilter Holds'!$P$36:$AB$370,5,0),0)</f>
        <v>0</v>
      </c>
      <c r="J1784" s="2">
        <f t="shared" si="86"/>
        <v>0</v>
      </c>
      <c r="K1784" s="2">
        <f t="shared" si="87"/>
        <v>0</v>
      </c>
    </row>
    <row r="1785" spans="5:11">
      <c r="E1785" t="s">
        <v>324</v>
      </c>
      <c r="F1785" t="s">
        <v>732</v>
      </c>
      <c r="G1785" s="6" t="str">
        <f t="shared" si="88"/>
        <v>14-01</v>
      </c>
      <c r="H1785" s="1">
        <f>_xlfn.IFNA(VLOOKUP(Aragon!E1785,'Kilter Holds'!$P$36:$AB$370,6,0),0)</f>
        <v>0</v>
      </c>
      <c r="J1785" s="2">
        <f t="shared" si="86"/>
        <v>0</v>
      </c>
      <c r="K1785" s="2">
        <f t="shared" si="87"/>
        <v>0</v>
      </c>
    </row>
    <row r="1786" spans="5:11">
      <c r="E1786" t="s">
        <v>324</v>
      </c>
      <c r="F1786" t="s">
        <v>732</v>
      </c>
      <c r="G1786" s="7" t="str">
        <f t="shared" si="88"/>
        <v>15-12</v>
      </c>
      <c r="H1786" s="1">
        <f>_xlfn.IFNA(VLOOKUP(Aragon!E1786,'Kilter Holds'!$P$36:$AB$370,7,0),0)</f>
        <v>0</v>
      </c>
      <c r="J1786" s="2">
        <f t="shared" ref="J1786:J1849" si="89">H1786*I1786</f>
        <v>0</v>
      </c>
      <c r="K1786" s="2">
        <f t="shared" si="87"/>
        <v>0</v>
      </c>
    </row>
    <row r="1787" spans="5:11">
      <c r="E1787" t="s">
        <v>324</v>
      </c>
      <c r="F1787" t="s">
        <v>732</v>
      </c>
      <c r="G1787" s="8" t="str">
        <f t="shared" si="88"/>
        <v>16-16</v>
      </c>
      <c r="H1787" s="1">
        <f>_xlfn.IFNA(VLOOKUP(Aragon!E1787,'Kilter Holds'!$P$36:$AB$370,8,0),0)</f>
        <v>0</v>
      </c>
      <c r="J1787" s="2">
        <f t="shared" si="89"/>
        <v>0</v>
      </c>
      <c r="K1787" s="2">
        <f t="shared" si="87"/>
        <v>0</v>
      </c>
    </row>
    <row r="1788" spans="5:11">
      <c r="E1788" t="s">
        <v>324</v>
      </c>
      <c r="F1788" t="s">
        <v>732</v>
      </c>
      <c r="G1788" s="9" t="str">
        <f t="shared" si="88"/>
        <v>13-01</v>
      </c>
      <c r="H1788" s="1">
        <f>_xlfn.IFNA(VLOOKUP(Aragon!E1788,'Kilter Holds'!$P$36:$AB$370,9,0),0)</f>
        <v>0</v>
      </c>
      <c r="J1788" s="2">
        <f t="shared" si="89"/>
        <v>0</v>
      </c>
      <c r="K1788" s="2">
        <f t="shared" si="87"/>
        <v>0</v>
      </c>
    </row>
    <row r="1789" spans="5:11">
      <c r="E1789" t="s">
        <v>324</v>
      </c>
      <c r="F1789" t="s">
        <v>732</v>
      </c>
      <c r="G1789" s="10" t="str">
        <f t="shared" si="88"/>
        <v>07-13</v>
      </c>
      <c r="H1789" s="1">
        <f>_xlfn.IFNA(VLOOKUP(Aragon!E1789,'Kilter Holds'!$P$36:$AB$370,10,0),0)</f>
        <v>0</v>
      </c>
      <c r="J1789" s="2">
        <f t="shared" si="89"/>
        <v>0</v>
      </c>
      <c r="K1789" s="2">
        <f t="shared" si="87"/>
        <v>0</v>
      </c>
    </row>
    <row r="1790" spans="5:11">
      <c r="E1790" t="s">
        <v>324</v>
      </c>
      <c r="F1790" t="s">
        <v>732</v>
      </c>
      <c r="G1790" s="11" t="str">
        <f t="shared" si="88"/>
        <v>11-25</v>
      </c>
      <c r="H1790" s="1">
        <f>_xlfn.IFNA(VLOOKUP(Aragon!E1790,'Kilter Holds'!$P$36:$AB$370,11,0),0)</f>
        <v>0</v>
      </c>
      <c r="J1790" s="2">
        <f t="shared" si="89"/>
        <v>0</v>
      </c>
      <c r="K1790" s="2">
        <f t="shared" si="87"/>
        <v>0</v>
      </c>
    </row>
    <row r="1791" spans="5:11">
      <c r="E1791" t="s">
        <v>324</v>
      </c>
      <c r="F1791" t="s">
        <v>732</v>
      </c>
      <c r="G1791" s="13" t="str">
        <f t="shared" si="88"/>
        <v>18-01</v>
      </c>
      <c r="H1791" s="1">
        <f>_xlfn.IFNA(VLOOKUP(Aragon!E1791,'Kilter Holds'!$P$36:$AB$370,12,0),0)</f>
        <v>0</v>
      </c>
      <c r="J1791" s="2">
        <f t="shared" si="89"/>
        <v>0</v>
      </c>
      <c r="K1791" s="2">
        <f t="shared" si="87"/>
        <v>0</v>
      </c>
    </row>
    <row r="1792" spans="5:11">
      <c r="E1792" t="s">
        <v>324</v>
      </c>
      <c r="F1792" t="s">
        <v>732</v>
      </c>
      <c r="G1792" s="12" t="str">
        <f t="shared" si="88"/>
        <v>12-01</v>
      </c>
      <c r="H1792" s="1">
        <f>_xlfn.IFNA(VLOOKUP(Aragon!E1792,'Kilter Holds'!$P$36:$AB$370,13,0),0)</f>
        <v>0</v>
      </c>
      <c r="J1792" s="2">
        <f t="shared" si="89"/>
        <v>0</v>
      </c>
      <c r="K1792" s="2">
        <f t="shared" si="87"/>
        <v>0</v>
      </c>
    </row>
    <row r="1793" spans="1:11">
      <c r="A1793" s="3" t="s">
        <v>2251</v>
      </c>
      <c r="E1793" t="s">
        <v>325</v>
      </c>
      <c r="F1793" t="s">
        <v>733</v>
      </c>
      <c r="G1793" s="5" t="str">
        <f t="shared" si="88"/>
        <v>11-12</v>
      </c>
      <c r="H1793" s="1">
        <f>_xlfn.IFNA(VLOOKUP(Aragon!E1793,'Kilter Holds'!$P$36:$AB$370,5,0),0)+_xlfn.IFNA(VLOOKUP(A1793,'Kilter Holds'!$P$36:$AB$370,5,0),0)</f>
        <v>0</v>
      </c>
      <c r="J1793" s="2">
        <f t="shared" si="89"/>
        <v>0</v>
      </c>
      <c r="K1793" s="2">
        <f t="shared" si="87"/>
        <v>0</v>
      </c>
    </row>
    <row r="1794" spans="1:11">
      <c r="A1794" s="3" t="s">
        <v>2251</v>
      </c>
      <c r="E1794" t="s">
        <v>325</v>
      </c>
      <c r="F1794" t="s">
        <v>733</v>
      </c>
      <c r="G1794" s="6" t="str">
        <f t="shared" si="88"/>
        <v>14-01</v>
      </c>
      <c r="H1794" s="1">
        <f>_xlfn.IFNA(VLOOKUP(Aragon!E1794,'Kilter Holds'!$P$36:$AB$370,6,0),0)+_xlfn.IFNA(VLOOKUP(A1794,'Kilter Holds'!$P$36:$AB$370,6,0),0)</f>
        <v>0</v>
      </c>
      <c r="J1794" s="2">
        <f t="shared" si="89"/>
        <v>0</v>
      </c>
      <c r="K1794" s="2">
        <f t="shared" si="87"/>
        <v>0</v>
      </c>
    </row>
    <row r="1795" spans="1:11">
      <c r="A1795" s="3" t="s">
        <v>2251</v>
      </c>
      <c r="E1795" t="s">
        <v>325</v>
      </c>
      <c r="F1795" t="s">
        <v>733</v>
      </c>
      <c r="G1795" s="7" t="str">
        <f t="shared" si="88"/>
        <v>15-12</v>
      </c>
      <c r="H1795" s="1">
        <f>_xlfn.IFNA(VLOOKUP(Aragon!E1795,'Kilter Holds'!$P$36:$AB$370,7,0),0)+_xlfn.IFNA(VLOOKUP(A1795,'Kilter Holds'!$P$36:$AB$370,7,0),0)</f>
        <v>0</v>
      </c>
      <c r="J1795" s="2">
        <f t="shared" si="89"/>
        <v>0</v>
      </c>
      <c r="K1795" s="2">
        <f t="shared" si="87"/>
        <v>0</v>
      </c>
    </row>
    <row r="1796" spans="1:11">
      <c r="A1796" s="3" t="s">
        <v>2251</v>
      </c>
      <c r="E1796" t="s">
        <v>325</v>
      </c>
      <c r="F1796" t="s">
        <v>733</v>
      </c>
      <c r="G1796" s="8" t="str">
        <f t="shared" si="88"/>
        <v>16-16</v>
      </c>
      <c r="H1796" s="1">
        <f>_xlfn.IFNA(VLOOKUP(Aragon!E1796,'Kilter Holds'!$P$36:$AB$370,8,0),0)+_xlfn.IFNA(VLOOKUP(A1796,'Kilter Holds'!$P$36:$AB$370,8,0),0)</f>
        <v>0</v>
      </c>
      <c r="J1796" s="2">
        <f t="shared" si="89"/>
        <v>0</v>
      </c>
      <c r="K1796" s="2">
        <f t="shared" si="87"/>
        <v>0</v>
      </c>
    </row>
    <row r="1797" spans="1:11">
      <c r="A1797" s="3" t="s">
        <v>2251</v>
      </c>
      <c r="E1797" t="s">
        <v>325</v>
      </c>
      <c r="F1797" t="s">
        <v>733</v>
      </c>
      <c r="G1797" s="9" t="str">
        <f t="shared" si="88"/>
        <v>13-01</v>
      </c>
      <c r="H1797" s="1">
        <f>_xlfn.IFNA(VLOOKUP(Aragon!E1797,'Kilter Holds'!$P$36:$AB$370,9,0),0)+_xlfn.IFNA(VLOOKUP(A1797,'Kilter Holds'!$P$36:$AB$370,9,0),0)</f>
        <v>0</v>
      </c>
      <c r="J1797" s="2">
        <f t="shared" si="89"/>
        <v>0</v>
      </c>
      <c r="K1797" s="2">
        <f t="shared" si="87"/>
        <v>0</v>
      </c>
    </row>
    <row r="1798" spans="1:11">
      <c r="A1798" s="3" t="s">
        <v>2251</v>
      </c>
      <c r="E1798" t="s">
        <v>325</v>
      </c>
      <c r="F1798" t="s">
        <v>733</v>
      </c>
      <c r="G1798" s="10" t="str">
        <f t="shared" si="88"/>
        <v>07-13</v>
      </c>
      <c r="H1798" s="1">
        <f>_xlfn.IFNA(VLOOKUP(Aragon!E1798,'Kilter Holds'!$P$36:$AB$370,10,0),0)+_xlfn.IFNA(VLOOKUP(A1798,'Kilter Holds'!$P$36:$AB$370,10,0),0)</f>
        <v>0</v>
      </c>
      <c r="J1798" s="2">
        <f t="shared" si="89"/>
        <v>0</v>
      </c>
      <c r="K1798" s="2">
        <f t="shared" si="87"/>
        <v>0</v>
      </c>
    </row>
    <row r="1799" spans="1:11">
      <c r="A1799" s="3" t="s">
        <v>2251</v>
      </c>
      <c r="E1799" t="s">
        <v>325</v>
      </c>
      <c r="F1799" t="s">
        <v>733</v>
      </c>
      <c r="G1799" s="11" t="str">
        <f t="shared" si="88"/>
        <v>11-25</v>
      </c>
      <c r="H1799" s="1">
        <f>_xlfn.IFNA(VLOOKUP(Aragon!E1799,'Kilter Holds'!$P$36:$AB$370,11,0),0)+_xlfn.IFNA(VLOOKUP(A1799,'Kilter Holds'!$P$36:$AB$370,11,0),0)</f>
        <v>0</v>
      </c>
      <c r="J1799" s="2">
        <f t="shared" si="89"/>
        <v>0</v>
      </c>
      <c r="K1799" s="2">
        <f t="shared" si="87"/>
        <v>0</v>
      </c>
    </row>
    <row r="1800" spans="1:11">
      <c r="A1800" s="3" t="s">
        <v>2251</v>
      </c>
      <c r="E1800" t="s">
        <v>325</v>
      </c>
      <c r="F1800" t="s">
        <v>733</v>
      </c>
      <c r="G1800" s="13" t="str">
        <f t="shared" si="88"/>
        <v>18-01</v>
      </c>
      <c r="H1800" s="1">
        <f>_xlfn.IFNA(VLOOKUP(Aragon!E1800,'Kilter Holds'!$P$36:$AB$370,12,0),0)+_xlfn.IFNA(VLOOKUP(A1800,'Kilter Holds'!$P$36:$AB$370,12,0),0)</f>
        <v>0</v>
      </c>
      <c r="J1800" s="2">
        <f t="shared" si="89"/>
        <v>0</v>
      </c>
      <c r="K1800" s="2">
        <f t="shared" si="87"/>
        <v>0</v>
      </c>
    </row>
    <row r="1801" spans="1:11">
      <c r="A1801" s="3" t="s">
        <v>2251</v>
      </c>
      <c r="E1801" t="s">
        <v>325</v>
      </c>
      <c r="F1801" t="s">
        <v>733</v>
      </c>
      <c r="G1801" s="12" t="str">
        <f t="shared" si="88"/>
        <v>12-01</v>
      </c>
      <c r="H1801" s="1">
        <f>_xlfn.IFNA(VLOOKUP(Aragon!E1801,'Kilter Holds'!$P$36:$AB$370,13,0),0)+_xlfn.IFNA(VLOOKUP(A1801,'Kilter Holds'!$P$36:$AB$370,13,0),0)</f>
        <v>0</v>
      </c>
      <c r="J1801" s="2">
        <f t="shared" si="89"/>
        <v>0</v>
      </c>
      <c r="K1801" s="2">
        <f t="shared" si="87"/>
        <v>0</v>
      </c>
    </row>
    <row r="1802" spans="1:11">
      <c r="E1802" t="s">
        <v>326</v>
      </c>
      <c r="F1802" t="s">
        <v>734</v>
      </c>
      <c r="G1802" s="5" t="str">
        <f t="shared" si="88"/>
        <v>11-12</v>
      </c>
      <c r="H1802" s="1">
        <f>_xlfn.IFNA(VLOOKUP(Aragon!E1802,'Kilter Holds'!$P$36:$AB$370,5,0),0)</f>
        <v>0</v>
      </c>
      <c r="J1802" s="2">
        <f t="shared" si="89"/>
        <v>0</v>
      </c>
      <c r="K1802" s="2">
        <f t="shared" si="87"/>
        <v>0</v>
      </c>
    </row>
    <row r="1803" spans="1:11">
      <c r="E1803" t="s">
        <v>326</v>
      </c>
      <c r="F1803" t="s">
        <v>734</v>
      </c>
      <c r="G1803" s="6" t="str">
        <f t="shared" si="88"/>
        <v>14-01</v>
      </c>
      <c r="H1803" s="1">
        <f>_xlfn.IFNA(VLOOKUP(Aragon!E1803,'Kilter Holds'!$P$36:$AB$370,6,0),0)</f>
        <v>0</v>
      </c>
      <c r="J1803" s="2">
        <f t="shared" si="89"/>
        <v>0</v>
      </c>
      <c r="K1803" s="2">
        <f t="shared" si="87"/>
        <v>0</v>
      </c>
    </row>
    <row r="1804" spans="1:11">
      <c r="E1804" t="s">
        <v>326</v>
      </c>
      <c r="F1804" t="s">
        <v>734</v>
      </c>
      <c r="G1804" s="7" t="str">
        <f t="shared" si="88"/>
        <v>15-12</v>
      </c>
      <c r="H1804" s="1">
        <f>_xlfn.IFNA(VLOOKUP(Aragon!E1804,'Kilter Holds'!$P$36:$AB$370,7,0),0)</f>
        <v>0</v>
      </c>
      <c r="J1804" s="2">
        <f t="shared" si="89"/>
        <v>0</v>
      </c>
      <c r="K1804" s="2">
        <f t="shared" ref="K1804:K1867" si="90">IF($V$11="Y",J1804*0.05,0)</f>
        <v>0</v>
      </c>
    </row>
    <row r="1805" spans="1:11">
      <c r="E1805" t="s">
        <v>326</v>
      </c>
      <c r="F1805" t="s">
        <v>734</v>
      </c>
      <c r="G1805" s="8" t="str">
        <f t="shared" ref="G1805:G1868" si="91">G1796</f>
        <v>16-16</v>
      </c>
      <c r="H1805" s="1">
        <f>_xlfn.IFNA(VLOOKUP(Aragon!E1805,'Kilter Holds'!$P$36:$AB$370,8,0),0)</f>
        <v>0</v>
      </c>
      <c r="J1805" s="2">
        <f t="shared" si="89"/>
        <v>0</v>
      </c>
      <c r="K1805" s="2">
        <f t="shared" si="90"/>
        <v>0</v>
      </c>
    </row>
    <row r="1806" spans="1:11">
      <c r="E1806" t="s">
        <v>326</v>
      </c>
      <c r="F1806" t="s">
        <v>734</v>
      </c>
      <c r="G1806" s="9" t="str">
        <f t="shared" si="91"/>
        <v>13-01</v>
      </c>
      <c r="H1806" s="1">
        <f>_xlfn.IFNA(VLOOKUP(Aragon!E1806,'Kilter Holds'!$P$36:$AB$370,9,0),0)</f>
        <v>0</v>
      </c>
      <c r="J1806" s="2">
        <f t="shared" si="89"/>
        <v>0</v>
      </c>
      <c r="K1806" s="2">
        <f t="shared" si="90"/>
        <v>0</v>
      </c>
    </row>
    <row r="1807" spans="1:11">
      <c r="E1807" t="s">
        <v>326</v>
      </c>
      <c r="F1807" t="s">
        <v>734</v>
      </c>
      <c r="G1807" s="10" t="str">
        <f t="shared" si="91"/>
        <v>07-13</v>
      </c>
      <c r="H1807" s="1">
        <f>_xlfn.IFNA(VLOOKUP(Aragon!E1807,'Kilter Holds'!$P$36:$AB$370,10,0),0)</f>
        <v>0</v>
      </c>
      <c r="J1807" s="2">
        <f t="shared" si="89"/>
        <v>0</v>
      </c>
      <c r="K1807" s="2">
        <f t="shared" si="90"/>
        <v>0</v>
      </c>
    </row>
    <row r="1808" spans="1:11">
      <c r="E1808" t="s">
        <v>326</v>
      </c>
      <c r="F1808" t="s">
        <v>734</v>
      </c>
      <c r="G1808" s="11" t="str">
        <f t="shared" si="91"/>
        <v>11-25</v>
      </c>
      <c r="H1808" s="1">
        <f>_xlfn.IFNA(VLOOKUP(Aragon!E1808,'Kilter Holds'!$P$36:$AB$370,11,0),0)</f>
        <v>0</v>
      </c>
      <c r="J1808" s="2">
        <f t="shared" si="89"/>
        <v>0</v>
      </c>
      <c r="K1808" s="2">
        <f t="shared" si="90"/>
        <v>0</v>
      </c>
    </row>
    <row r="1809" spans="1:11">
      <c r="E1809" t="s">
        <v>326</v>
      </c>
      <c r="F1809" t="s">
        <v>734</v>
      </c>
      <c r="G1809" s="13" t="str">
        <f t="shared" si="91"/>
        <v>18-01</v>
      </c>
      <c r="H1809" s="1">
        <f>_xlfn.IFNA(VLOOKUP(Aragon!E1809,'Kilter Holds'!$P$36:$AB$370,12,0),0)</f>
        <v>0</v>
      </c>
      <c r="J1809" s="2">
        <f t="shared" si="89"/>
        <v>0</v>
      </c>
      <c r="K1809" s="2">
        <f t="shared" si="90"/>
        <v>0</v>
      </c>
    </row>
    <row r="1810" spans="1:11">
      <c r="E1810" t="s">
        <v>326</v>
      </c>
      <c r="F1810" t="s">
        <v>734</v>
      </c>
      <c r="G1810" s="12" t="str">
        <f t="shared" si="91"/>
        <v>12-01</v>
      </c>
      <c r="H1810" s="1">
        <f>_xlfn.IFNA(VLOOKUP(Aragon!E1810,'Kilter Holds'!$P$36:$AB$370,13,0),0)</f>
        <v>0</v>
      </c>
      <c r="J1810" s="2">
        <f t="shared" si="89"/>
        <v>0</v>
      </c>
      <c r="K1810" s="2">
        <f t="shared" si="90"/>
        <v>0</v>
      </c>
    </row>
    <row r="1811" spans="1:11">
      <c r="E1811" t="s">
        <v>243</v>
      </c>
      <c r="F1811" t="s">
        <v>735</v>
      </c>
      <c r="G1811" s="5" t="str">
        <f t="shared" si="91"/>
        <v>11-12</v>
      </c>
      <c r="H1811" s="1">
        <f>_xlfn.IFNA(VLOOKUP(Aragon!E1811,'Kilter Holds'!$P$36:$AB$370,5,0),0)</f>
        <v>0</v>
      </c>
      <c r="J1811" s="2">
        <f t="shared" si="89"/>
        <v>0</v>
      </c>
      <c r="K1811" s="2">
        <f t="shared" si="90"/>
        <v>0</v>
      </c>
    </row>
    <row r="1812" spans="1:11">
      <c r="E1812" t="s">
        <v>243</v>
      </c>
      <c r="F1812" t="s">
        <v>735</v>
      </c>
      <c r="G1812" s="6" t="str">
        <f t="shared" si="91"/>
        <v>14-01</v>
      </c>
      <c r="H1812" s="1">
        <f>_xlfn.IFNA(VLOOKUP(Aragon!E1812,'Kilter Holds'!$P$36:$AB$370,6,0),0)</f>
        <v>0</v>
      </c>
      <c r="J1812" s="2">
        <f t="shared" si="89"/>
        <v>0</v>
      </c>
      <c r="K1812" s="2">
        <f t="shared" si="90"/>
        <v>0</v>
      </c>
    </row>
    <row r="1813" spans="1:11">
      <c r="E1813" t="s">
        <v>243</v>
      </c>
      <c r="F1813" t="s">
        <v>735</v>
      </c>
      <c r="G1813" s="7" t="str">
        <f t="shared" si="91"/>
        <v>15-12</v>
      </c>
      <c r="H1813" s="1">
        <f>_xlfn.IFNA(VLOOKUP(Aragon!E1813,'Kilter Holds'!$P$36:$AB$370,7,0),0)</f>
        <v>0</v>
      </c>
      <c r="J1813" s="2">
        <f t="shared" si="89"/>
        <v>0</v>
      </c>
      <c r="K1813" s="2">
        <f t="shared" si="90"/>
        <v>0</v>
      </c>
    </row>
    <row r="1814" spans="1:11">
      <c r="E1814" t="s">
        <v>243</v>
      </c>
      <c r="F1814" t="s">
        <v>735</v>
      </c>
      <c r="G1814" s="8" t="str">
        <f t="shared" si="91"/>
        <v>16-16</v>
      </c>
      <c r="H1814" s="1">
        <f>_xlfn.IFNA(VLOOKUP(Aragon!E1814,'Kilter Holds'!$P$36:$AB$370,8,0),0)</f>
        <v>0</v>
      </c>
      <c r="J1814" s="2">
        <f t="shared" si="89"/>
        <v>0</v>
      </c>
      <c r="K1814" s="2">
        <f t="shared" si="90"/>
        <v>0</v>
      </c>
    </row>
    <row r="1815" spans="1:11">
      <c r="E1815" t="s">
        <v>243</v>
      </c>
      <c r="F1815" t="s">
        <v>735</v>
      </c>
      <c r="G1815" s="9" t="str">
        <f t="shared" si="91"/>
        <v>13-01</v>
      </c>
      <c r="H1815" s="1">
        <f>_xlfn.IFNA(VLOOKUP(Aragon!E1815,'Kilter Holds'!$P$36:$AB$370,9,0),0)</f>
        <v>0</v>
      </c>
      <c r="J1815" s="2">
        <f t="shared" si="89"/>
        <v>0</v>
      </c>
      <c r="K1815" s="2">
        <f t="shared" si="90"/>
        <v>0</v>
      </c>
    </row>
    <row r="1816" spans="1:11">
      <c r="E1816" t="s">
        <v>243</v>
      </c>
      <c r="F1816" t="s">
        <v>735</v>
      </c>
      <c r="G1816" s="10" t="str">
        <f t="shared" si="91"/>
        <v>07-13</v>
      </c>
      <c r="H1816" s="1">
        <f>_xlfn.IFNA(VLOOKUP(Aragon!E1816,'Kilter Holds'!$P$36:$AB$370,10,0),0)</f>
        <v>0</v>
      </c>
      <c r="J1816" s="2">
        <f t="shared" si="89"/>
        <v>0</v>
      </c>
      <c r="K1816" s="2">
        <f t="shared" si="90"/>
        <v>0</v>
      </c>
    </row>
    <row r="1817" spans="1:11">
      <c r="E1817" t="s">
        <v>243</v>
      </c>
      <c r="F1817" t="s">
        <v>735</v>
      </c>
      <c r="G1817" s="11" t="str">
        <f t="shared" si="91"/>
        <v>11-25</v>
      </c>
      <c r="H1817" s="1">
        <f>_xlfn.IFNA(VLOOKUP(Aragon!E1817,'Kilter Holds'!$P$36:$AB$370,11,0),0)</f>
        <v>0</v>
      </c>
      <c r="J1817" s="2">
        <f t="shared" si="89"/>
        <v>0</v>
      </c>
      <c r="K1817" s="2">
        <f t="shared" si="90"/>
        <v>0</v>
      </c>
    </row>
    <row r="1818" spans="1:11">
      <c r="E1818" t="s">
        <v>243</v>
      </c>
      <c r="F1818" t="s">
        <v>735</v>
      </c>
      <c r="G1818" s="13" t="str">
        <f t="shared" si="91"/>
        <v>18-01</v>
      </c>
      <c r="H1818" s="1">
        <f>_xlfn.IFNA(VLOOKUP(Aragon!E1818,'Kilter Holds'!$P$36:$AB$370,12,0),0)</f>
        <v>0</v>
      </c>
      <c r="J1818" s="2">
        <f t="shared" si="89"/>
        <v>0</v>
      </c>
      <c r="K1818" s="2">
        <f t="shared" si="90"/>
        <v>0</v>
      </c>
    </row>
    <row r="1819" spans="1:11">
      <c r="E1819" t="s">
        <v>243</v>
      </c>
      <c r="F1819" t="s">
        <v>735</v>
      </c>
      <c r="G1819" s="12" t="str">
        <f t="shared" si="91"/>
        <v>12-01</v>
      </c>
      <c r="H1819" s="1">
        <f>_xlfn.IFNA(VLOOKUP(Aragon!E1819,'Kilter Holds'!$P$36:$AB$370,13,0),0)</f>
        <v>0</v>
      </c>
      <c r="J1819" s="2">
        <f t="shared" si="89"/>
        <v>0</v>
      </c>
      <c r="K1819" s="2">
        <f t="shared" si="90"/>
        <v>0</v>
      </c>
    </row>
    <row r="1820" spans="1:11">
      <c r="A1820" s="3" t="s">
        <v>2251</v>
      </c>
      <c r="E1820" t="s">
        <v>327</v>
      </c>
      <c r="F1820" t="s">
        <v>736</v>
      </c>
      <c r="G1820" s="5" t="str">
        <f t="shared" si="91"/>
        <v>11-12</v>
      </c>
      <c r="H1820" s="1">
        <f>_xlfn.IFNA(VLOOKUP(Aragon!E1820,'Kilter Holds'!$P$36:$AB$370,5,0),0)+_xlfn.IFNA(VLOOKUP(A1820,'Kilter Holds'!$P$36:$AB$370,5,0),0)</f>
        <v>0</v>
      </c>
      <c r="J1820" s="2">
        <f t="shared" si="89"/>
        <v>0</v>
      </c>
      <c r="K1820" s="2">
        <f t="shared" si="90"/>
        <v>0</v>
      </c>
    </row>
    <row r="1821" spans="1:11">
      <c r="A1821" s="3" t="s">
        <v>2251</v>
      </c>
      <c r="E1821" t="s">
        <v>327</v>
      </c>
      <c r="F1821" t="s">
        <v>736</v>
      </c>
      <c r="G1821" s="6" t="str">
        <f t="shared" si="91"/>
        <v>14-01</v>
      </c>
      <c r="H1821" s="1">
        <f>_xlfn.IFNA(VLOOKUP(Aragon!E1821,'Kilter Holds'!$P$36:$AB$370,6,0),0)+_xlfn.IFNA(VLOOKUP(A1821,'Kilter Holds'!$P$36:$AB$370,6,0),0)</f>
        <v>0</v>
      </c>
      <c r="J1821" s="2">
        <f t="shared" si="89"/>
        <v>0</v>
      </c>
      <c r="K1821" s="2">
        <f t="shared" si="90"/>
        <v>0</v>
      </c>
    </row>
    <row r="1822" spans="1:11">
      <c r="A1822" s="3" t="s">
        <v>2251</v>
      </c>
      <c r="E1822" t="s">
        <v>327</v>
      </c>
      <c r="F1822" t="s">
        <v>736</v>
      </c>
      <c r="G1822" s="7" t="str">
        <f t="shared" si="91"/>
        <v>15-12</v>
      </c>
      <c r="H1822" s="1">
        <f>_xlfn.IFNA(VLOOKUP(Aragon!E1822,'Kilter Holds'!$P$36:$AB$370,7,0),0)+_xlfn.IFNA(VLOOKUP(A1822,'Kilter Holds'!$P$36:$AB$370,7,0),0)</f>
        <v>0</v>
      </c>
      <c r="J1822" s="2">
        <f t="shared" si="89"/>
        <v>0</v>
      </c>
      <c r="K1822" s="2">
        <f t="shared" si="90"/>
        <v>0</v>
      </c>
    </row>
    <row r="1823" spans="1:11">
      <c r="A1823" s="3" t="s">
        <v>2251</v>
      </c>
      <c r="E1823" t="s">
        <v>327</v>
      </c>
      <c r="F1823" t="s">
        <v>736</v>
      </c>
      <c r="G1823" s="8" t="str">
        <f t="shared" si="91"/>
        <v>16-16</v>
      </c>
      <c r="H1823" s="1">
        <f>_xlfn.IFNA(VLOOKUP(Aragon!E1823,'Kilter Holds'!$P$36:$AB$370,8,0),0)+_xlfn.IFNA(VLOOKUP(A1823,'Kilter Holds'!$P$36:$AB$370,8,0),0)</f>
        <v>0</v>
      </c>
      <c r="J1823" s="2">
        <f t="shared" si="89"/>
        <v>0</v>
      </c>
      <c r="K1823" s="2">
        <f t="shared" si="90"/>
        <v>0</v>
      </c>
    </row>
    <row r="1824" spans="1:11">
      <c r="A1824" s="3" t="s">
        <v>2251</v>
      </c>
      <c r="E1824" t="s">
        <v>327</v>
      </c>
      <c r="F1824" t="s">
        <v>736</v>
      </c>
      <c r="G1824" s="9" t="str">
        <f t="shared" si="91"/>
        <v>13-01</v>
      </c>
      <c r="H1824" s="1">
        <f>_xlfn.IFNA(VLOOKUP(Aragon!E1824,'Kilter Holds'!$P$36:$AB$370,9,0),0)+_xlfn.IFNA(VLOOKUP(A1824,'Kilter Holds'!$P$36:$AB$370,9,0),0)</f>
        <v>0</v>
      </c>
      <c r="J1824" s="2">
        <f t="shared" si="89"/>
        <v>0</v>
      </c>
      <c r="K1824" s="2">
        <f t="shared" si="90"/>
        <v>0</v>
      </c>
    </row>
    <row r="1825" spans="1:11">
      <c r="A1825" s="3" t="s">
        <v>2251</v>
      </c>
      <c r="E1825" t="s">
        <v>327</v>
      </c>
      <c r="F1825" t="s">
        <v>736</v>
      </c>
      <c r="G1825" s="10" t="str">
        <f t="shared" si="91"/>
        <v>07-13</v>
      </c>
      <c r="H1825" s="1">
        <f>_xlfn.IFNA(VLOOKUP(Aragon!E1825,'Kilter Holds'!$P$36:$AB$370,10,0),0)+_xlfn.IFNA(VLOOKUP(A1825,'Kilter Holds'!$P$36:$AB$370,10,0),0)</f>
        <v>0</v>
      </c>
      <c r="J1825" s="2">
        <f t="shared" si="89"/>
        <v>0</v>
      </c>
      <c r="K1825" s="2">
        <f t="shared" si="90"/>
        <v>0</v>
      </c>
    </row>
    <row r="1826" spans="1:11">
      <c r="A1826" s="3" t="s">
        <v>2251</v>
      </c>
      <c r="E1826" t="s">
        <v>327</v>
      </c>
      <c r="F1826" t="s">
        <v>736</v>
      </c>
      <c r="G1826" s="11" t="str">
        <f t="shared" si="91"/>
        <v>11-25</v>
      </c>
      <c r="H1826" s="1">
        <f>_xlfn.IFNA(VLOOKUP(Aragon!E1826,'Kilter Holds'!$P$36:$AB$370,11,0),0)+_xlfn.IFNA(VLOOKUP(A1826,'Kilter Holds'!$P$36:$AB$370,11,0),0)</f>
        <v>0</v>
      </c>
      <c r="J1826" s="2">
        <f t="shared" si="89"/>
        <v>0</v>
      </c>
      <c r="K1826" s="2">
        <f t="shared" si="90"/>
        <v>0</v>
      </c>
    </row>
    <row r="1827" spans="1:11">
      <c r="A1827" s="3" t="s">
        <v>2251</v>
      </c>
      <c r="E1827" t="s">
        <v>327</v>
      </c>
      <c r="F1827" t="s">
        <v>736</v>
      </c>
      <c r="G1827" s="13" t="str">
        <f t="shared" si="91"/>
        <v>18-01</v>
      </c>
      <c r="H1827" s="1">
        <f>_xlfn.IFNA(VLOOKUP(Aragon!E1827,'Kilter Holds'!$P$36:$AB$370,12,0),0)+_xlfn.IFNA(VLOOKUP(A1827,'Kilter Holds'!$P$36:$AB$370,12,0),0)</f>
        <v>0</v>
      </c>
      <c r="J1827" s="2">
        <f t="shared" si="89"/>
        <v>0</v>
      </c>
      <c r="K1827" s="2">
        <f t="shared" si="90"/>
        <v>0</v>
      </c>
    </row>
    <row r="1828" spans="1:11">
      <c r="A1828" s="3" t="s">
        <v>2251</v>
      </c>
      <c r="E1828" t="s">
        <v>327</v>
      </c>
      <c r="F1828" t="s">
        <v>736</v>
      </c>
      <c r="G1828" s="12" t="str">
        <f t="shared" si="91"/>
        <v>12-01</v>
      </c>
      <c r="H1828" s="1">
        <f>_xlfn.IFNA(VLOOKUP(Aragon!E1828,'Kilter Holds'!$P$36:$AB$370,13,0),0)+_xlfn.IFNA(VLOOKUP(A1828,'Kilter Holds'!$P$36:$AB$370,13,0),0)</f>
        <v>0</v>
      </c>
      <c r="J1828" s="2">
        <f t="shared" si="89"/>
        <v>0</v>
      </c>
      <c r="K1828" s="2">
        <f t="shared" si="90"/>
        <v>0</v>
      </c>
    </row>
    <row r="1829" spans="1:11">
      <c r="E1829" t="s">
        <v>244</v>
      </c>
      <c r="F1829" t="s">
        <v>737</v>
      </c>
      <c r="G1829" s="5" t="str">
        <f t="shared" si="91"/>
        <v>11-12</v>
      </c>
      <c r="H1829" s="1">
        <f>_xlfn.IFNA(VLOOKUP(Aragon!E1829,'Kilter Holds'!$P$36:$AB$370,5,0),0)</f>
        <v>0</v>
      </c>
      <c r="J1829" s="2">
        <f t="shared" si="89"/>
        <v>0</v>
      </c>
      <c r="K1829" s="2">
        <f t="shared" si="90"/>
        <v>0</v>
      </c>
    </row>
    <row r="1830" spans="1:11">
      <c r="E1830" t="s">
        <v>244</v>
      </c>
      <c r="F1830" t="s">
        <v>737</v>
      </c>
      <c r="G1830" s="6" t="str">
        <f t="shared" si="91"/>
        <v>14-01</v>
      </c>
      <c r="H1830" s="1">
        <f>_xlfn.IFNA(VLOOKUP(Aragon!E1830,'Kilter Holds'!$P$36:$AB$370,6,0),0)</f>
        <v>0</v>
      </c>
      <c r="J1830" s="2">
        <f t="shared" si="89"/>
        <v>0</v>
      </c>
      <c r="K1830" s="2">
        <f t="shared" si="90"/>
        <v>0</v>
      </c>
    </row>
    <row r="1831" spans="1:11">
      <c r="E1831" t="s">
        <v>244</v>
      </c>
      <c r="F1831" t="s">
        <v>737</v>
      </c>
      <c r="G1831" s="7" t="str">
        <f t="shared" si="91"/>
        <v>15-12</v>
      </c>
      <c r="H1831" s="1">
        <f>_xlfn.IFNA(VLOOKUP(Aragon!E1831,'Kilter Holds'!$P$36:$AB$370,7,0),0)</f>
        <v>0</v>
      </c>
      <c r="J1831" s="2">
        <f t="shared" si="89"/>
        <v>0</v>
      </c>
      <c r="K1831" s="2">
        <f t="shared" si="90"/>
        <v>0</v>
      </c>
    </row>
    <row r="1832" spans="1:11">
      <c r="E1832" t="s">
        <v>244</v>
      </c>
      <c r="F1832" t="s">
        <v>737</v>
      </c>
      <c r="G1832" s="8" t="str">
        <f t="shared" si="91"/>
        <v>16-16</v>
      </c>
      <c r="H1832" s="1">
        <f>_xlfn.IFNA(VLOOKUP(Aragon!E1832,'Kilter Holds'!$P$36:$AB$370,8,0),0)</f>
        <v>0</v>
      </c>
      <c r="J1832" s="2">
        <f t="shared" si="89"/>
        <v>0</v>
      </c>
      <c r="K1832" s="2">
        <f t="shared" si="90"/>
        <v>0</v>
      </c>
    </row>
    <row r="1833" spans="1:11">
      <c r="E1833" t="s">
        <v>244</v>
      </c>
      <c r="F1833" t="s">
        <v>737</v>
      </c>
      <c r="G1833" s="9" t="str">
        <f t="shared" si="91"/>
        <v>13-01</v>
      </c>
      <c r="H1833" s="1">
        <f>_xlfn.IFNA(VLOOKUP(Aragon!E1833,'Kilter Holds'!$P$36:$AB$370,9,0),0)</f>
        <v>0</v>
      </c>
      <c r="J1833" s="2">
        <f t="shared" si="89"/>
        <v>0</v>
      </c>
      <c r="K1833" s="2">
        <f t="shared" si="90"/>
        <v>0</v>
      </c>
    </row>
    <row r="1834" spans="1:11">
      <c r="E1834" t="s">
        <v>244</v>
      </c>
      <c r="F1834" t="s">
        <v>737</v>
      </c>
      <c r="G1834" s="10" t="str">
        <f t="shared" si="91"/>
        <v>07-13</v>
      </c>
      <c r="H1834" s="1">
        <f>_xlfn.IFNA(VLOOKUP(Aragon!E1834,'Kilter Holds'!$P$36:$AB$370,10,0),0)</f>
        <v>0</v>
      </c>
      <c r="J1834" s="2">
        <f t="shared" si="89"/>
        <v>0</v>
      </c>
      <c r="K1834" s="2">
        <f t="shared" si="90"/>
        <v>0</v>
      </c>
    </row>
    <row r="1835" spans="1:11">
      <c r="E1835" t="s">
        <v>244</v>
      </c>
      <c r="F1835" t="s">
        <v>737</v>
      </c>
      <c r="G1835" s="11" t="str">
        <f t="shared" si="91"/>
        <v>11-25</v>
      </c>
      <c r="H1835" s="1">
        <f>_xlfn.IFNA(VLOOKUP(Aragon!E1835,'Kilter Holds'!$P$36:$AB$370,11,0),0)</f>
        <v>0</v>
      </c>
      <c r="J1835" s="2">
        <f t="shared" si="89"/>
        <v>0</v>
      </c>
      <c r="K1835" s="2">
        <f t="shared" si="90"/>
        <v>0</v>
      </c>
    </row>
    <row r="1836" spans="1:11">
      <c r="E1836" t="s">
        <v>244</v>
      </c>
      <c r="F1836" t="s">
        <v>737</v>
      </c>
      <c r="G1836" s="13" t="str">
        <f t="shared" si="91"/>
        <v>18-01</v>
      </c>
      <c r="H1836" s="1">
        <f>_xlfn.IFNA(VLOOKUP(Aragon!E1836,'Kilter Holds'!$P$36:$AB$370,12,0),0)</f>
        <v>0</v>
      </c>
      <c r="J1836" s="2">
        <f t="shared" si="89"/>
        <v>0</v>
      </c>
      <c r="K1836" s="2">
        <f t="shared" si="90"/>
        <v>0</v>
      </c>
    </row>
    <row r="1837" spans="1:11">
      <c r="E1837" t="s">
        <v>244</v>
      </c>
      <c r="F1837" t="s">
        <v>737</v>
      </c>
      <c r="G1837" s="12" t="str">
        <f t="shared" si="91"/>
        <v>12-01</v>
      </c>
      <c r="H1837" s="1">
        <f>_xlfn.IFNA(VLOOKUP(Aragon!E1837,'Kilter Holds'!$P$36:$AB$370,13,0),0)</f>
        <v>0</v>
      </c>
      <c r="J1837" s="2">
        <f t="shared" si="89"/>
        <v>0</v>
      </c>
      <c r="K1837" s="2">
        <f t="shared" si="90"/>
        <v>0</v>
      </c>
    </row>
    <row r="1838" spans="1:11">
      <c r="E1838" t="s">
        <v>269</v>
      </c>
      <c r="F1838" t="s">
        <v>738</v>
      </c>
      <c r="G1838" s="5" t="str">
        <f t="shared" si="91"/>
        <v>11-12</v>
      </c>
      <c r="H1838" s="1">
        <f>_xlfn.IFNA(VLOOKUP(Aragon!E1838,'Kilter Holds'!$P$36:$AB$370,5,0),0)</f>
        <v>0</v>
      </c>
      <c r="J1838" s="2">
        <f t="shared" si="89"/>
        <v>0</v>
      </c>
      <c r="K1838" s="2">
        <f t="shared" si="90"/>
        <v>0</v>
      </c>
    </row>
    <row r="1839" spans="1:11">
      <c r="E1839" t="s">
        <v>269</v>
      </c>
      <c r="F1839" t="s">
        <v>738</v>
      </c>
      <c r="G1839" s="6" t="str">
        <f t="shared" si="91"/>
        <v>14-01</v>
      </c>
      <c r="H1839" s="1">
        <f>_xlfn.IFNA(VLOOKUP(Aragon!E1839,'Kilter Holds'!$P$36:$AB$370,6,0),0)</f>
        <v>0</v>
      </c>
      <c r="J1839" s="2">
        <f t="shared" si="89"/>
        <v>0</v>
      </c>
      <c r="K1839" s="2">
        <f t="shared" si="90"/>
        <v>0</v>
      </c>
    </row>
    <row r="1840" spans="1:11">
      <c r="E1840" t="s">
        <v>269</v>
      </c>
      <c r="F1840" t="s">
        <v>738</v>
      </c>
      <c r="G1840" s="7" t="str">
        <f t="shared" si="91"/>
        <v>15-12</v>
      </c>
      <c r="H1840" s="1">
        <f>_xlfn.IFNA(VLOOKUP(Aragon!E1840,'Kilter Holds'!$P$36:$AB$370,7,0),0)</f>
        <v>0</v>
      </c>
      <c r="J1840" s="2">
        <f t="shared" si="89"/>
        <v>0</v>
      </c>
      <c r="K1840" s="2">
        <f t="shared" si="90"/>
        <v>0</v>
      </c>
    </row>
    <row r="1841" spans="5:11">
      <c r="E1841" t="s">
        <v>269</v>
      </c>
      <c r="F1841" t="s">
        <v>738</v>
      </c>
      <c r="G1841" s="8" t="str">
        <f t="shared" si="91"/>
        <v>16-16</v>
      </c>
      <c r="H1841" s="1">
        <f>_xlfn.IFNA(VLOOKUP(Aragon!E1841,'Kilter Holds'!$P$36:$AB$370,8,0),0)</f>
        <v>0</v>
      </c>
      <c r="J1841" s="2">
        <f t="shared" si="89"/>
        <v>0</v>
      </c>
      <c r="K1841" s="2">
        <f t="shared" si="90"/>
        <v>0</v>
      </c>
    </row>
    <row r="1842" spans="5:11">
      <c r="E1842" t="s">
        <v>269</v>
      </c>
      <c r="F1842" t="s">
        <v>738</v>
      </c>
      <c r="G1842" s="9" t="str">
        <f t="shared" si="91"/>
        <v>13-01</v>
      </c>
      <c r="H1842" s="1">
        <f>_xlfn.IFNA(VLOOKUP(Aragon!E1842,'Kilter Holds'!$P$36:$AB$370,9,0),0)</f>
        <v>0</v>
      </c>
      <c r="J1842" s="2">
        <f t="shared" si="89"/>
        <v>0</v>
      </c>
      <c r="K1842" s="2">
        <f t="shared" si="90"/>
        <v>0</v>
      </c>
    </row>
    <row r="1843" spans="5:11">
      <c r="E1843" t="s">
        <v>269</v>
      </c>
      <c r="F1843" t="s">
        <v>738</v>
      </c>
      <c r="G1843" s="10" t="str">
        <f t="shared" si="91"/>
        <v>07-13</v>
      </c>
      <c r="H1843" s="1">
        <f>_xlfn.IFNA(VLOOKUP(Aragon!E1843,'Kilter Holds'!$P$36:$AB$370,10,0),0)</f>
        <v>0</v>
      </c>
      <c r="J1843" s="2">
        <f t="shared" si="89"/>
        <v>0</v>
      </c>
      <c r="K1843" s="2">
        <f t="shared" si="90"/>
        <v>0</v>
      </c>
    </row>
    <row r="1844" spans="5:11">
      <c r="E1844" t="s">
        <v>269</v>
      </c>
      <c r="F1844" t="s">
        <v>738</v>
      </c>
      <c r="G1844" s="11" t="str">
        <f t="shared" si="91"/>
        <v>11-25</v>
      </c>
      <c r="H1844" s="1">
        <f>_xlfn.IFNA(VLOOKUP(Aragon!E1844,'Kilter Holds'!$P$36:$AB$370,11,0),0)</f>
        <v>0</v>
      </c>
      <c r="J1844" s="2">
        <f t="shared" si="89"/>
        <v>0</v>
      </c>
      <c r="K1844" s="2">
        <f t="shared" si="90"/>
        <v>0</v>
      </c>
    </row>
    <row r="1845" spans="5:11">
      <c r="E1845" t="s">
        <v>269</v>
      </c>
      <c r="F1845" t="s">
        <v>738</v>
      </c>
      <c r="G1845" s="13" t="str">
        <f t="shared" si="91"/>
        <v>18-01</v>
      </c>
      <c r="H1845" s="1">
        <f>_xlfn.IFNA(VLOOKUP(Aragon!E1845,'Kilter Holds'!$P$36:$AB$370,12,0),0)</f>
        <v>0</v>
      </c>
      <c r="J1845" s="2">
        <f t="shared" si="89"/>
        <v>0</v>
      </c>
      <c r="K1845" s="2">
        <f t="shared" si="90"/>
        <v>0</v>
      </c>
    </row>
    <row r="1846" spans="5:11">
      <c r="E1846" t="s">
        <v>269</v>
      </c>
      <c r="F1846" t="s">
        <v>738</v>
      </c>
      <c r="G1846" s="12" t="str">
        <f t="shared" si="91"/>
        <v>12-01</v>
      </c>
      <c r="H1846" s="1">
        <f>_xlfn.IFNA(VLOOKUP(Aragon!E1846,'Kilter Holds'!$P$36:$AB$370,13,0),0)</f>
        <v>0</v>
      </c>
      <c r="J1846" s="2">
        <f t="shared" si="89"/>
        <v>0</v>
      </c>
      <c r="K1846" s="2">
        <f t="shared" si="90"/>
        <v>0</v>
      </c>
    </row>
    <row r="1847" spans="5:11">
      <c r="E1847" t="s">
        <v>245</v>
      </c>
      <c r="F1847" t="s">
        <v>739</v>
      </c>
      <c r="G1847" s="5" t="str">
        <f t="shared" si="91"/>
        <v>11-12</v>
      </c>
      <c r="H1847" s="1">
        <f>_xlfn.IFNA(VLOOKUP(Aragon!E1847,'Kilter Holds'!$P$36:$AB$370,5,0),0)</f>
        <v>0</v>
      </c>
      <c r="J1847" s="2">
        <f t="shared" si="89"/>
        <v>0</v>
      </c>
      <c r="K1847" s="2">
        <f t="shared" si="90"/>
        <v>0</v>
      </c>
    </row>
    <row r="1848" spans="5:11">
      <c r="E1848" t="s">
        <v>245</v>
      </c>
      <c r="F1848" t="s">
        <v>739</v>
      </c>
      <c r="G1848" s="6" t="str">
        <f t="shared" si="91"/>
        <v>14-01</v>
      </c>
      <c r="H1848" s="1">
        <f>_xlfn.IFNA(VLOOKUP(Aragon!E1848,'Kilter Holds'!$P$36:$AB$370,6,0),0)</f>
        <v>0</v>
      </c>
      <c r="J1848" s="2">
        <f t="shared" si="89"/>
        <v>0</v>
      </c>
      <c r="K1848" s="2">
        <f t="shared" si="90"/>
        <v>0</v>
      </c>
    </row>
    <row r="1849" spans="5:11">
      <c r="E1849" t="s">
        <v>245</v>
      </c>
      <c r="F1849" t="s">
        <v>739</v>
      </c>
      <c r="G1849" s="7" t="str">
        <f t="shared" si="91"/>
        <v>15-12</v>
      </c>
      <c r="H1849" s="1">
        <f>_xlfn.IFNA(VLOOKUP(Aragon!E1849,'Kilter Holds'!$P$36:$AB$370,7,0),0)</f>
        <v>0</v>
      </c>
      <c r="J1849" s="2">
        <f t="shared" si="89"/>
        <v>0</v>
      </c>
      <c r="K1849" s="2">
        <f t="shared" si="90"/>
        <v>0</v>
      </c>
    </row>
    <row r="1850" spans="5:11">
      <c r="E1850" t="s">
        <v>245</v>
      </c>
      <c r="F1850" t="s">
        <v>739</v>
      </c>
      <c r="G1850" s="8" t="str">
        <f t="shared" si="91"/>
        <v>16-16</v>
      </c>
      <c r="H1850" s="1">
        <f>_xlfn.IFNA(VLOOKUP(Aragon!E1850,'Kilter Holds'!$P$36:$AB$370,8,0),0)</f>
        <v>0</v>
      </c>
      <c r="J1850" s="2">
        <f t="shared" ref="J1850:J2606" si="92">H1850*I1850</f>
        <v>0</v>
      </c>
      <c r="K1850" s="2">
        <f t="shared" si="90"/>
        <v>0</v>
      </c>
    </row>
    <row r="1851" spans="5:11">
      <c r="E1851" t="s">
        <v>245</v>
      </c>
      <c r="F1851" t="s">
        <v>739</v>
      </c>
      <c r="G1851" s="9" t="str">
        <f t="shared" si="91"/>
        <v>13-01</v>
      </c>
      <c r="H1851" s="1">
        <f>_xlfn.IFNA(VLOOKUP(Aragon!E1851,'Kilter Holds'!$P$36:$AB$370,9,0),0)</f>
        <v>0</v>
      </c>
      <c r="J1851" s="2">
        <f t="shared" si="92"/>
        <v>0</v>
      </c>
      <c r="K1851" s="2">
        <f t="shared" si="90"/>
        <v>0</v>
      </c>
    </row>
    <row r="1852" spans="5:11">
      <c r="E1852" t="s">
        <v>245</v>
      </c>
      <c r="F1852" t="s">
        <v>739</v>
      </c>
      <c r="G1852" s="10" t="str">
        <f t="shared" si="91"/>
        <v>07-13</v>
      </c>
      <c r="H1852" s="1">
        <f>_xlfn.IFNA(VLOOKUP(Aragon!E1852,'Kilter Holds'!$P$36:$AB$370,10,0),0)</f>
        <v>0</v>
      </c>
      <c r="J1852" s="2">
        <f t="shared" si="92"/>
        <v>0</v>
      </c>
      <c r="K1852" s="2">
        <f t="shared" si="90"/>
        <v>0</v>
      </c>
    </row>
    <row r="1853" spans="5:11">
      <c r="E1853" t="s">
        <v>245</v>
      </c>
      <c r="F1853" t="s">
        <v>739</v>
      </c>
      <c r="G1853" s="11" t="str">
        <f t="shared" si="91"/>
        <v>11-25</v>
      </c>
      <c r="H1853" s="1">
        <f>_xlfn.IFNA(VLOOKUP(Aragon!E1853,'Kilter Holds'!$P$36:$AB$370,11,0),0)</f>
        <v>0</v>
      </c>
      <c r="J1853" s="2">
        <f t="shared" si="92"/>
        <v>0</v>
      </c>
      <c r="K1853" s="2">
        <f t="shared" si="90"/>
        <v>0</v>
      </c>
    </row>
    <row r="1854" spans="5:11">
      <c r="E1854" t="s">
        <v>245</v>
      </c>
      <c r="F1854" t="s">
        <v>739</v>
      </c>
      <c r="G1854" s="13" t="str">
        <f t="shared" si="91"/>
        <v>18-01</v>
      </c>
      <c r="H1854" s="1">
        <f>_xlfn.IFNA(VLOOKUP(Aragon!E1854,'Kilter Holds'!$P$36:$AB$370,12,0),0)</f>
        <v>0</v>
      </c>
      <c r="J1854" s="2">
        <f t="shared" si="92"/>
        <v>0</v>
      </c>
      <c r="K1854" s="2">
        <f t="shared" si="90"/>
        <v>0</v>
      </c>
    </row>
    <row r="1855" spans="5:11">
      <c r="E1855" t="s">
        <v>245</v>
      </c>
      <c r="F1855" t="s">
        <v>739</v>
      </c>
      <c r="G1855" s="12" t="str">
        <f t="shared" si="91"/>
        <v>12-01</v>
      </c>
      <c r="H1855" s="1">
        <f>_xlfn.IFNA(VLOOKUP(Aragon!E1855,'Kilter Holds'!$P$36:$AB$370,13,0),0)</f>
        <v>0</v>
      </c>
      <c r="J1855" s="2">
        <f t="shared" si="92"/>
        <v>0</v>
      </c>
      <c r="K1855" s="2">
        <f t="shared" si="90"/>
        <v>0</v>
      </c>
    </row>
    <row r="1856" spans="5:11">
      <c r="E1856" t="s">
        <v>203</v>
      </c>
      <c r="F1856" t="s">
        <v>740</v>
      </c>
      <c r="G1856" s="5" t="str">
        <f t="shared" si="91"/>
        <v>11-12</v>
      </c>
      <c r="H1856" s="1">
        <f>_xlfn.IFNA(VLOOKUP(Aragon!E1856,'Kilter Holds'!$P$36:$AB$370,5,0),0)</f>
        <v>0</v>
      </c>
      <c r="J1856" s="2">
        <f t="shared" si="92"/>
        <v>0</v>
      </c>
      <c r="K1856" s="2">
        <f t="shared" si="90"/>
        <v>0</v>
      </c>
    </row>
    <row r="1857" spans="5:11">
      <c r="E1857" t="s">
        <v>203</v>
      </c>
      <c r="F1857" t="s">
        <v>740</v>
      </c>
      <c r="G1857" s="6" t="str">
        <f t="shared" si="91"/>
        <v>14-01</v>
      </c>
      <c r="H1857" s="1">
        <f>_xlfn.IFNA(VLOOKUP(Aragon!E1857,'Kilter Holds'!$P$36:$AB$370,6,0),0)</f>
        <v>0</v>
      </c>
      <c r="J1857" s="2">
        <f t="shared" si="92"/>
        <v>0</v>
      </c>
      <c r="K1857" s="2">
        <f t="shared" si="90"/>
        <v>0</v>
      </c>
    </row>
    <row r="1858" spans="5:11">
      <c r="E1858" t="s">
        <v>203</v>
      </c>
      <c r="F1858" t="s">
        <v>740</v>
      </c>
      <c r="G1858" s="7" t="str">
        <f t="shared" si="91"/>
        <v>15-12</v>
      </c>
      <c r="H1858" s="1">
        <f>_xlfn.IFNA(VLOOKUP(Aragon!E1858,'Kilter Holds'!$P$36:$AB$370,7,0),0)</f>
        <v>0</v>
      </c>
      <c r="J1858" s="2">
        <f t="shared" si="92"/>
        <v>0</v>
      </c>
      <c r="K1858" s="2">
        <f t="shared" si="90"/>
        <v>0</v>
      </c>
    </row>
    <row r="1859" spans="5:11">
      <c r="E1859" t="s">
        <v>203</v>
      </c>
      <c r="F1859" t="s">
        <v>740</v>
      </c>
      <c r="G1859" s="8" t="str">
        <f t="shared" si="91"/>
        <v>16-16</v>
      </c>
      <c r="H1859" s="1">
        <f>_xlfn.IFNA(VLOOKUP(Aragon!E1859,'Kilter Holds'!$P$36:$AB$370,8,0),0)</f>
        <v>0</v>
      </c>
      <c r="J1859" s="2">
        <f t="shared" si="92"/>
        <v>0</v>
      </c>
      <c r="K1859" s="2">
        <f t="shared" si="90"/>
        <v>0</v>
      </c>
    </row>
    <row r="1860" spans="5:11">
      <c r="E1860" t="s">
        <v>203</v>
      </c>
      <c r="F1860" t="s">
        <v>740</v>
      </c>
      <c r="G1860" s="9" t="str">
        <f t="shared" si="91"/>
        <v>13-01</v>
      </c>
      <c r="H1860" s="1">
        <f>_xlfn.IFNA(VLOOKUP(Aragon!E1860,'Kilter Holds'!$P$36:$AB$370,9,0),0)</f>
        <v>0</v>
      </c>
      <c r="J1860" s="2">
        <f t="shared" si="92"/>
        <v>0</v>
      </c>
      <c r="K1860" s="2">
        <f t="shared" si="90"/>
        <v>0</v>
      </c>
    </row>
    <row r="1861" spans="5:11">
      <c r="E1861" t="s">
        <v>203</v>
      </c>
      <c r="F1861" t="s">
        <v>740</v>
      </c>
      <c r="G1861" s="10" t="str">
        <f t="shared" si="91"/>
        <v>07-13</v>
      </c>
      <c r="H1861" s="1">
        <f>_xlfn.IFNA(VLOOKUP(Aragon!E1861,'Kilter Holds'!$P$36:$AB$370,10,0),0)</f>
        <v>0</v>
      </c>
      <c r="J1861" s="2">
        <f t="shared" si="92"/>
        <v>0</v>
      </c>
      <c r="K1861" s="2">
        <f t="shared" si="90"/>
        <v>0</v>
      </c>
    </row>
    <row r="1862" spans="5:11">
      <c r="E1862" t="s">
        <v>203</v>
      </c>
      <c r="F1862" t="s">
        <v>740</v>
      </c>
      <c r="G1862" s="11" t="str">
        <f t="shared" si="91"/>
        <v>11-25</v>
      </c>
      <c r="H1862" s="1">
        <f>_xlfn.IFNA(VLOOKUP(Aragon!E1862,'Kilter Holds'!$P$36:$AB$370,11,0),0)</f>
        <v>0</v>
      </c>
      <c r="J1862" s="2">
        <f t="shared" si="92"/>
        <v>0</v>
      </c>
      <c r="K1862" s="2">
        <f t="shared" si="90"/>
        <v>0</v>
      </c>
    </row>
    <row r="1863" spans="5:11">
      <c r="E1863" t="s">
        <v>203</v>
      </c>
      <c r="F1863" t="s">
        <v>740</v>
      </c>
      <c r="G1863" s="13" t="str">
        <f t="shared" si="91"/>
        <v>18-01</v>
      </c>
      <c r="H1863" s="1">
        <f>_xlfn.IFNA(VLOOKUP(Aragon!E1863,'Kilter Holds'!$P$36:$AB$370,12,0),0)</f>
        <v>0</v>
      </c>
      <c r="J1863" s="2">
        <f t="shared" si="92"/>
        <v>0</v>
      </c>
      <c r="K1863" s="2">
        <f t="shared" si="90"/>
        <v>0</v>
      </c>
    </row>
    <row r="1864" spans="5:11">
      <c r="E1864" t="s">
        <v>203</v>
      </c>
      <c r="F1864" t="s">
        <v>740</v>
      </c>
      <c r="G1864" s="12" t="str">
        <f t="shared" si="91"/>
        <v>12-01</v>
      </c>
      <c r="H1864" s="1">
        <f>_xlfn.IFNA(VLOOKUP(Aragon!E1864,'Kilter Holds'!$P$36:$AB$370,13,0),0)</f>
        <v>0</v>
      </c>
      <c r="J1864" s="2">
        <f t="shared" si="92"/>
        <v>0</v>
      </c>
      <c r="K1864" s="2">
        <f t="shared" si="90"/>
        <v>0</v>
      </c>
    </row>
    <row r="1865" spans="5:11">
      <c r="E1865" t="s">
        <v>211</v>
      </c>
      <c r="F1865" t="s">
        <v>741</v>
      </c>
      <c r="G1865" s="5" t="str">
        <f t="shared" si="91"/>
        <v>11-12</v>
      </c>
      <c r="H1865" s="1">
        <f>_xlfn.IFNA(VLOOKUP(Aragon!E1865,'Kilter Holds'!$P$36:$AB$370,5,0),0)</f>
        <v>0</v>
      </c>
      <c r="J1865" s="2">
        <f t="shared" si="92"/>
        <v>0</v>
      </c>
      <c r="K1865" s="2">
        <f t="shared" si="90"/>
        <v>0</v>
      </c>
    </row>
    <row r="1866" spans="5:11">
      <c r="E1866" t="s">
        <v>211</v>
      </c>
      <c r="F1866" t="s">
        <v>741</v>
      </c>
      <c r="G1866" s="6" t="str">
        <f t="shared" si="91"/>
        <v>14-01</v>
      </c>
      <c r="H1866" s="1">
        <f>_xlfn.IFNA(VLOOKUP(Aragon!E1866,'Kilter Holds'!$P$36:$AB$370,6,0),0)</f>
        <v>0</v>
      </c>
      <c r="J1866" s="2">
        <f t="shared" si="92"/>
        <v>0</v>
      </c>
      <c r="K1866" s="2">
        <f t="shared" si="90"/>
        <v>0</v>
      </c>
    </row>
    <row r="1867" spans="5:11">
      <c r="E1867" t="s">
        <v>211</v>
      </c>
      <c r="F1867" t="s">
        <v>741</v>
      </c>
      <c r="G1867" s="7" t="str">
        <f t="shared" si="91"/>
        <v>15-12</v>
      </c>
      <c r="H1867" s="1">
        <f>_xlfn.IFNA(VLOOKUP(Aragon!E1867,'Kilter Holds'!$P$36:$AB$370,7,0),0)</f>
        <v>0</v>
      </c>
      <c r="J1867" s="2">
        <f t="shared" si="92"/>
        <v>0</v>
      </c>
      <c r="K1867" s="2">
        <f t="shared" si="90"/>
        <v>0</v>
      </c>
    </row>
    <row r="1868" spans="5:11">
      <c r="E1868" t="s">
        <v>211</v>
      </c>
      <c r="F1868" t="s">
        <v>741</v>
      </c>
      <c r="G1868" s="8" t="str">
        <f t="shared" si="91"/>
        <v>16-16</v>
      </c>
      <c r="H1868" s="1">
        <f>_xlfn.IFNA(VLOOKUP(Aragon!E1868,'Kilter Holds'!$P$36:$AB$370,8,0),0)</f>
        <v>0</v>
      </c>
      <c r="J1868" s="2">
        <f t="shared" si="92"/>
        <v>0</v>
      </c>
      <c r="K1868" s="2">
        <f t="shared" ref="K1868:K1931" si="93">IF($V$11="Y",J1868*0.05,0)</f>
        <v>0</v>
      </c>
    </row>
    <row r="1869" spans="5:11">
      <c r="E1869" t="s">
        <v>211</v>
      </c>
      <c r="F1869" t="s">
        <v>741</v>
      </c>
      <c r="G1869" s="9" t="str">
        <f t="shared" ref="G1869:G1932" si="94">G1860</f>
        <v>13-01</v>
      </c>
      <c r="H1869" s="1">
        <f>_xlfn.IFNA(VLOOKUP(Aragon!E1869,'Kilter Holds'!$P$36:$AB$370,9,0),0)</f>
        <v>0</v>
      </c>
      <c r="J1869" s="2">
        <f t="shared" si="92"/>
        <v>0</v>
      </c>
      <c r="K1869" s="2">
        <f t="shared" si="93"/>
        <v>0</v>
      </c>
    </row>
    <row r="1870" spans="5:11">
      <c r="E1870" t="s">
        <v>211</v>
      </c>
      <c r="F1870" t="s">
        <v>741</v>
      </c>
      <c r="G1870" s="10" t="str">
        <f t="shared" si="94"/>
        <v>07-13</v>
      </c>
      <c r="H1870" s="1">
        <f>_xlfn.IFNA(VLOOKUP(Aragon!E1870,'Kilter Holds'!$P$36:$AB$370,10,0),0)</f>
        <v>0</v>
      </c>
      <c r="J1870" s="2">
        <f t="shared" si="92"/>
        <v>0</v>
      </c>
      <c r="K1870" s="2">
        <f t="shared" si="93"/>
        <v>0</v>
      </c>
    </row>
    <row r="1871" spans="5:11">
      <c r="E1871" t="s">
        <v>211</v>
      </c>
      <c r="F1871" t="s">
        <v>741</v>
      </c>
      <c r="G1871" s="11" t="str">
        <f t="shared" si="94"/>
        <v>11-25</v>
      </c>
      <c r="H1871" s="1">
        <f>_xlfn.IFNA(VLOOKUP(Aragon!E1871,'Kilter Holds'!$P$36:$AB$370,11,0),0)</f>
        <v>0</v>
      </c>
      <c r="J1871" s="2">
        <f t="shared" si="92"/>
        <v>0</v>
      </c>
      <c r="K1871" s="2">
        <f t="shared" si="93"/>
        <v>0</v>
      </c>
    </row>
    <row r="1872" spans="5:11">
      <c r="E1872" t="s">
        <v>211</v>
      </c>
      <c r="F1872" t="s">
        <v>741</v>
      </c>
      <c r="G1872" s="13" t="str">
        <f t="shared" si="94"/>
        <v>18-01</v>
      </c>
      <c r="H1872" s="1">
        <f>_xlfn.IFNA(VLOOKUP(Aragon!E1872,'Kilter Holds'!$P$36:$AB$370,12,0),0)</f>
        <v>0</v>
      </c>
      <c r="J1872" s="2">
        <f t="shared" si="92"/>
        <v>0</v>
      </c>
      <c r="K1872" s="2">
        <f t="shared" si="93"/>
        <v>0</v>
      </c>
    </row>
    <row r="1873" spans="5:11">
      <c r="E1873" t="s">
        <v>211</v>
      </c>
      <c r="F1873" t="s">
        <v>741</v>
      </c>
      <c r="G1873" s="12" t="str">
        <f t="shared" si="94"/>
        <v>12-01</v>
      </c>
      <c r="H1873" s="1">
        <f>_xlfn.IFNA(VLOOKUP(Aragon!E1873,'Kilter Holds'!$P$36:$AB$370,13,0),0)</f>
        <v>0</v>
      </c>
      <c r="J1873" s="2">
        <f t="shared" si="92"/>
        <v>0</v>
      </c>
      <c r="K1873" s="2">
        <f t="shared" si="93"/>
        <v>0</v>
      </c>
    </row>
    <row r="1874" spans="5:11">
      <c r="E1874" t="s">
        <v>264</v>
      </c>
      <c r="F1874" t="s">
        <v>742</v>
      </c>
      <c r="G1874" s="5" t="str">
        <f t="shared" si="94"/>
        <v>11-12</v>
      </c>
      <c r="H1874" s="1">
        <f>_xlfn.IFNA(VLOOKUP(Aragon!E1874,'Kilter Holds'!$P$36:$AB$370,5,0),0)</f>
        <v>0</v>
      </c>
      <c r="J1874" s="2">
        <f t="shared" si="92"/>
        <v>0</v>
      </c>
      <c r="K1874" s="2">
        <f t="shared" si="93"/>
        <v>0</v>
      </c>
    </row>
    <row r="1875" spans="5:11">
      <c r="E1875" t="s">
        <v>264</v>
      </c>
      <c r="F1875" t="s">
        <v>742</v>
      </c>
      <c r="G1875" s="6" t="str">
        <f t="shared" si="94"/>
        <v>14-01</v>
      </c>
      <c r="H1875" s="1">
        <f>_xlfn.IFNA(VLOOKUP(Aragon!E1875,'Kilter Holds'!$P$36:$AB$370,6,0),0)</f>
        <v>0</v>
      </c>
      <c r="J1875" s="2">
        <f t="shared" si="92"/>
        <v>0</v>
      </c>
      <c r="K1875" s="2">
        <f t="shared" si="93"/>
        <v>0</v>
      </c>
    </row>
    <row r="1876" spans="5:11">
      <c r="E1876" t="s">
        <v>264</v>
      </c>
      <c r="F1876" t="s">
        <v>742</v>
      </c>
      <c r="G1876" s="7" t="str">
        <f t="shared" si="94"/>
        <v>15-12</v>
      </c>
      <c r="H1876" s="1">
        <f>_xlfn.IFNA(VLOOKUP(Aragon!E1876,'Kilter Holds'!$P$36:$AB$370,7,0),0)</f>
        <v>0</v>
      </c>
      <c r="J1876" s="2">
        <f t="shared" si="92"/>
        <v>0</v>
      </c>
      <c r="K1876" s="2">
        <f t="shared" si="93"/>
        <v>0</v>
      </c>
    </row>
    <row r="1877" spans="5:11">
      <c r="E1877" t="s">
        <v>264</v>
      </c>
      <c r="F1877" t="s">
        <v>742</v>
      </c>
      <c r="G1877" s="8" t="str">
        <f t="shared" si="94"/>
        <v>16-16</v>
      </c>
      <c r="H1877" s="1">
        <f>_xlfn.IFNA(VLOOKUP(Aragon!E1877,'Kilter Holds'!$P$36:$AB$370,8,0),0)</f>
        <v>0</v>
      </c>
      <c r="J1877" s="2">
        <f t="shared" si="92"/>
        <v>0</v>
      </c>
      <c r="K1877" s="2">
        <f t="shared" si="93"/>
        <v>0</v>
      </c>
    </row>
    <row r="1878" spans="5:11">
      <c r="E1878" t="s">
        <v>264</v>
      </c>
      <c r="F1878" t="s">
        <v>742</v>
      </c>
      <c r="G1878" s="9" t="str">
        <f t="shared" si="94"/>
        <v>13-01</v>
      </c>
      <c r="H1878" s="1">
        <f>_xlfn.IFNA(VLOOKUP(Aragon!E1878,'Kilter Holds'!$P$36:$AB$370,9,0),0)</f>
        <v>0</v>
      </c>
      <c r="J1878" s="2">
        <f t="shared" si="92"/>
        <v>0</v>
      </c>
      <c r="K1878" s="2">
        <f t="shared" si="93"/>
        <v>0</v>
      </c>
    </row>
    <row r="1879" spans="5:11">
      <c r="E1879" t="s">
        <v>264</v>
      </c>
      <c r="F1879" t="s">
        <v>742</v>
      </c>
      <c r="G1879" s="10" t="str">
        <f t="shared" si="94"/>
        <v>07-13</v>
      </c>
      <c r="H1879" s="1">
        <f>_xlfn.IFNA(VLOOKUP(Aragon!E1879,'Kilter Holds'!$P$36:$AB$370,10,0),0)</f>
        <v>0</v>
      </c>
      <c r="J1879" s="2">
        <f t="shared" si="92"/>
        <v>0</v>
      </c>
      <c r="K1879" s="2">
        <f t="shared" si="93"/>
        <v>0</v>
      </c>
    </row>
    <row r="1880" spans="5:11">
      <c r="E1880" t="s">
        <v>264</v>
      </c>
      <c r="F1880" t="s">
        <v>742</v>
      </c>
      <c r="G1880" s="11" t="str">
        <f t="shared" si="94"/>
        <v>11-25</v>
      </c>
      <c r="H1880" s="1">
        <f>_xlfn.IFNA(VLOOKUP(Aragon!E1880,'Kilter Holds'!$P$36:$AB$370,11,0),0)</f>
        <v>0</v>
      </c>
      <c r="J1880" s="2">
        <f t="shared" si="92"/>
        <v>0</v>
      </c>
      <c r="K1880" s="2">
        <f t="shared" si="93"/>
        <v>0</v>
      </c>
    </row>
    <row r="1881" spans="5:11">
      <c r="E1881" t="s">
        <v>264</v>
      </c>
      <c r="F1881" t="s">
        <v>742</v>
      </c>
      <c r="G1881" s="13" t="str">
        <f t="shared" si="94"/>
        <v>18-01</v>
      </c>
      <c r="H1881" s="1">
        <f>_xlfn.IFNA(VLOOKUP(Aragon!E1881,'Kilter Holds'!$P$36:$AB$370,12,0),0)</f>
        <v>0</v>
      </c>
      <c r="J1881" s="2">
        <f t="shared" si="92"/>
        <v>0</v>
      </c>
      <c r="K1881" s="2">
        <f t="shared" si="93"/>
        <v>0</v>
      </c>
    </row>
    <row r="1882" spans="5:11">
      <c r="E1882" t="s">
        <v>264</v>
      </c>
      <c r="F1882" t="s">
        <v>742</v>
      </c>
      <c r="G1882" s="12" t="str">
        <f t="shared" si="94"/>
        <v>12-01</v>
      </c>
      <c r="H1882" s="1">
        <f>_xlfn.IFNA(VLOOKUP(Aragon!E1882,'Kilter Holds'!$P$36:$AB$370,13,0),0)</f>
        <v>0</v>
      </c>
      <c r="J1882" s="2">
        <f t="shared" si="92"/>
        <v>0</v>
      </c>
      <c r="K1882" s="2">
        <f t="shared" si="93"/>
        <v>0</v>
      </c>
    </row>
    <row r="1883" spans="5:11">
      <c r="E1883" t="s">
        <v>265</v>
      </c>
      <c r="F1883" t="s">
        <v>743</v>
      </c>
      <c r="G1883" s="5" t="str">
        <f t="shared" si="94"/>
        <v>11-12</v>
      </c>
      <c r="H1883" s="1">
        <f>_xlfn.IFNA(VLOOKUP(Aragon!E1883,'Kilter Holds'!$P$36:$AB$370,5,0),0)</f>
        <v>0</v>
      </c>
      <c r="J1883" s="2">
        <f t="shared" si="92"/>
        <v>0</v>
      </c>
      <c r="K1883" s="2">
        <f t="shared" si="93"/>
        <v>0</v>
      </c>
    </row>
    <row r="1884" spans="5:11">
      <c r="E1884" t="s">
        <v>265</v>
      </c>
      <c r="F1884" t="s">
        <v>743</v>
      </c>
      <c r="G1884" s="6" t="str">
        <f t="shared" si="94"/>
        <v>14-01</v>
      </c>
      <c r="H1884" s="1">
        <f>_xlfn.IFNA(VLOOKUP(Aragon!E1884,'Kilter Holds'!$P$36:$AB$370,6,0),0)</f>
        <v>0</v>
      </c>
      <c r="J1884" s="2">
        <f t="shared" si="92"/>
        <v>0</v>
      </c>
      <c r="K1884" s="2">
        <f t="shared" si="93"/>
        <v>0</v>
      </c>
    </row>
    <row r="1885" spans="5:11">
      <c r="E1885" t="s">
        <v>265</v>
      </c>
      <c r="F1885" t="s">
        <v>743</v>
      </c>
      <c r="G1885" s="7" t="str">
        <f t="shared" si="94"/>
        <v>15-12</v>
      </c>
      <c r="H1885" s="1">
        <f>_xlfn.IFNA(VLOOKUP(Aragon!E1885,'Kilter Holds'!$P$36:$AB$370,7,0),0)</f>
        <v>0</v>
      </c>
      <c r="J1885" s="2">
        <f t="shared" si="92"/>
        <v>0</v>
      </c>
      <c r="K1885" s="2">
        <f t="shared" si="93"/>
        <v>0</v>
      </c>
    </row>
    <row r="1886" spans="5:11">
      <c r="E1886" t="s">
        <v>265</v>
      </c>
      <c r="F1886" t="s">
        <v>743</v>
      </c>
      <c r="G1886" s="8" t="str">
        <f t="shared" si="94"/>
        <v>16-16</v>
      </c>
      <c r="H1886" s="1">
        <f>_xlfn.IFNA(VLOOKUP(Aragon!E1886,'Kilter Holds'!$P$36:$AB$370,8,0),0)</f>
        <v>0</v>
      </c>
      <c r="J1886" s="2">
        <f t="shared" si="92"/>
        <v>0</v>
      </c>
      <c r="K1886" s="2">
        <f t="shared" si="93"/>
        <v>0</v>
      </c>
    </row>
    <row r="1887" spans="5:11">
      <c r="E1887" t="s">
        <v>265</v>
      </c>
      <c r="F1887" t="s">
        <v>743</v>
      </c>
      <c r="G1887" s="9" t="str">
        <f t="shared" si="94"/>
        <v>13-01</v>
      </c>
      <c r="H1887" s="1">
        <f>_xlfn.IFNA(VLOOKUP(Aragon!E1887,'Kilter Holds'!$P$36:$AB$370,9,0),0)</f>
        <v>0</v>
      </c>
      <c r="J1887" s="2">
        <f t="shared" si="92"/>
        <v>0</v>
      </c>
      <c r="K1887" s="2">
        <f t="shared" si="93"/>
        <v>0</v>
      </c>
    </row>
    <row r="1888" spans="5:11">
      <c r="E1888" t="s">
        <v>265</v>
      </c>
      <c r="F1888" t="s">
        <v>743</v>
      </c>
      <c r="G1888" s="10" t="str">
        <f t="shared" si="94"/>
        <v>07-13</v>
      </c>
      <c r="H1888" s="1">
        <f>_xlfn.IFNA(VLOOKUP(Aragon!E1888,'Kilter Holds'!$P$36:$AB$370,10,0),0)</f>
        <v>0</v>
      </c>
      <c r="J1888" s="2">
        <f t="shared" si="92"/>
        <v>0</v>
      </c>
      <c r="K1888" s="2">
        <f t="shared" si="93"/>
        <v>0</v>
      </c>
    </row>
    <row r="1889" spans="5:11">
      <c r="E1889" t="s">
        <v>265</v>
      </c>
      <c r="F1889" t="s">
        <v>743</v>
      </c>
      <c r="G1889" s="11" t="str">
        <f t="shared" si="94"/>
        <v>11-25</v>
      </c>
      <c r="H1889" s="1">
        <f>_xlfn.IFNA(VLOOKUP(Aragon!E1889,'Kilter Holds'!$P$36:$AB$370,11,0),0)</f>
        <v>0</v>
      </c>
      <c r="J1889" s="2">
        <f t="shared" si="92"/>
        <v>0</v>
      </c>
      <c r="K1889" s="2">
        <f t="shared" si="93"/>
        <v>0</v>
      </c>
    </row>
    <row r="1890" spans="5:11">
      <c r="E1890" t="s">
        <v>265</v>
      </c>
      <c r="F1890" t="s">
        <v>743</v>
      </c>
      <c r="G1890" s="13" t="str">
        <f t="shared" si="94"/>
        <v>18-01</v>
      </c>
      <c r="H1890" s="1">
        <f>_xlfn.IFNA(VLOOKUP(Aragon!E1890,'Kilter Holds'!$P$36:$AB$370,12,0),0)</f>
        <v>0</v>
      </c>
      <c r="J1890" s="2">
        <f t="shared" si="92"/>
        <v>0</v>
      </c>
      <c r="K1890" s="2">
        <f t="shared" si="93"/>
        <v>0</v>
      </c>
    </row>
    <row r="1891" spans="5:11">
      <c r="E1891" t="s">
        <v>265</v>
      </c>
      <c r="F1891" t="s">
        <v>743</v>
      </c>
      <c r="G1891" s="12" t="str">
        <f t="shared" si="94"/>
        <v>12-01</v>
      </c>
      <c r="H1891" s="1">
        <f>_xlfn.IFNA(VLOOKUP(Aragon!E1891,'Kilter Holds'!$P$36:$AB$370,13,0),0)</f>
        <v>0</v>
      </c>
      <c r="J1891" s="2">
        <f t="shared" si="92"/>
        <v>0</v>
      </c>
      <c r="K1891" s="2">
        <f t="shared" si="93"/>
        <v>0</v>
      </c>
    </row>
    <row r="1892" spans="5:11">
      <c r="E1892" t="s">
        <v>266</v>
      </c>
      <c r="F1892" t="s">
        <v>744</v>
      </c>
      <c r="G1892" s="5" t="str">
        <f t="shared" si="94"/>
        <v>11-12</v>
      </c>
      <c r="H1892" s="1">
        <f>_xlfn.IFNA(VLOOKUP(Aragon!E1892,'Kilter Holds'!$P$36:$AB$370,5,0),0)</f>
        <v>0</v>
      </c>
      <c r="J1892" s="2">
        <f t="shared" si="92"/>
        <v>0</v>
      </c>
      <c r="K1892" s="2">
        <f t="shared" si="93"/>
        <v>0</v>
      </c>
    </row>
    <row r="1893" spans="5:11">
      <c r="E1893" t="s">
        <v>266</v>
      </c>
      <c r="F1893" t="s">
        <v>744</v>
      </c>
      <c r="G1893" s="6" t="str">
        <f t="shared" si="94"/>
        <v>14-01</v>
      </c>
      <c r="H1893" s="1">
        <f>_xlfn.IFNA(VLOOKUP(Aragon!E1893,'Kilter Holds'!$P$36:$AB$370,6,0),0)</f>
        <v>0</v>
      </c>
      <c r="J1893" s="2">
        <f t="shared" si="92"/>
        <v>0</v>
      </c>
      <c r="K1893" s="2">
        <f t="shared" si="93"/>
        <v>0</v>
      </c>
    </row>
    <row r="1894" spans="5:11">
      <c r="E1894" t="s">
        <v>266</v>
      </c>
      <c r="F1894" t="s">
        <v>744</v>
      </c>
      <c r="G1894" s="7" t="str">
        <f t="shared" si="94"/>
        <v>15-12</v>
      </c>
      <c r="H1894" s="1">
        <f>_xlfn.IFNA(VLOOKUP(Aragon!E1894,'Kilter Holds'!$P$36:$AB$370,7,0),0)</f>
        <v>0</v>
      </c>
      <c r="J1894" s="2">
        <f t="shared" si="92"/>
        <v>0</v>
      </c>
      <c r="K1894" s="2">
        <f t="shared" si="93"/>
        <v>0</v>
      </c>
    </row>
    <row r="1895" spans="5:11">
      <c r="E1895" t="s">
        <v>266</v>
      </c>
      <c r="F1895" t="s">
        <v>744</v>
      </c>
      <c r="G1895" s="8" t="str">
        <f t="shared" si="94"/>
        <v>16-16</v>
      </c>
      <c r="H1895" s="1">
        <f>_xlfn.IFNA(VLOOKUP(Aragon!E1895,'Kilter Holds'!$P$36:$AB$370,8,0),0)</f>
        <v>0</v>
      </c>
      <c r="J1895" s="2">
        <f t="shared" si="92"/>
        <v>0</v>
      </c>
      <c r="K1895" s="2">
        <f t="shared" si="93"/>
        <v>0</v>
      </c>
    </row>
    <row r="1896" spans="5:11">
      <c r="E1896" t="s">
        <v>266</v>
      </c>
      <c r="F1896" t="s">
        <v>744</v>
      </c>
      <c r="G1896" s="9" t="str">
        <f t="shared" si="94"/>
        <v>13-01</v>
      </c>
      <c r="H1896" s="1">
        <f>_xlfn.IFNA(VLOOKUP(Aragon!E1896,'Kilter Holds'!$P$36:$AB$370,9,0),0)</f>
        <v>0</v>
      </c>
      <c r="J1896" s="2">
        <f t="shared" si="92"/>
        <v>0</v>
      </c>
      <c r="K1896" s="2">
        <f t="shared" si="93"/>
        <v>0</v>
      </c>
    </row>
    <row r="1897" spans="5:11">
      <c r="E1897" t="s">
        <v>266</v>
      </c>
      <c r="F1897" t="s">
        <v>744</v>
      </c>
      <c r="G1897" s="10" t="str">
        <f t="shared" si="94"/>
        <v>07-13</v>
      </c>
      <c r="H1897" s="1">
        <f>_xlfn.IFNA(VLOOKUP(Aragon!E1897,'Kilter Holds'!$P$36:$AB$370,10,0),0)</f>
        <v>0</v>
      </c>
      <c r="J1897" s="2">
        <f t="shared" si="92"/>
        <v>0</v>
      </c>
      <c r="K1897" s="2">
        <f t="shared" si="93"/>
        <v>0</v>
      </c>
    </row>
    <row r="1898" spans="5:11">
      <c r="E1898" t="s">
        <v>266</v>
      </c>
      <c r="F1898" t="s">
        <v>744</v>
      </c>
      <c r="G1898" s="11" t="str">
        <f t="shared" si="94"/>
        <v>11-25</v>
      </c>
      <c r="H1898" s="1">
        <f>_xlfn.IFNA(VLOOKUP(Aragon!E1898,'Kilter Holds'!$P$36:$AB$370,11,0),0)</f>
        <v>0</v>
      </c>
      <c r="J1898" s="2">
        <f t="shared" si="92"/>
        <v>0</v>
      </c>
      <c r="K1898" s="2">
        <f t="shared" si="93"/>
        <v>0</v>
      </c>
    </row>
    <row r="1899" spans="5:11">
      <c r="E1899" t="s">
        <v>266</v>
      </c>
      <c r="F1899" t="s">
        <v>744</v>
      </c>
      <c r="G1899" s="13" t="str">
        <f t="shared" si="94"/>
        <v>18-01</v>
      </c>
      <c r="H1899" s="1">
        <f>_xlfn.IFNA(VLOOKUP(Aragon!E1899,'Kilter Holds'!$P$36:$AB$370,12,0),0)</f>
        <v>0</v>
      </c>
      <c r="J1899" s="2">
        <f t="shared" si="92"/>
        <v>0</v>
      </c>
      <c r="K1899" s="2">
        <f t="shared" si="93"/>
        <v>0</v>
      </c>
    </row>
    <row r="1900" spans="5:11">
      <c r="E1900" t="s">
        <v>266</v>
      </c>
      <c r="F1900" t="s">
        <v>744</v>
      </c>
      <c r="G1900" s="12" t="str">
        <f t="shared" si="94"/>
        <v>12-01</v>
      </c>
      <c r="H1900" s="1">
        <f>_xlfn.IFNA(VLOOKUP(Aragon!E1900,'Kilter Holds'!$P$36:$AB$370,13,0),0)</f>
        <v>0</v>
      </c>
      <c r="J1900" s="2">
        <f t="shared" si="92"/>
        <v>0</v>
      </c>
      <c r="K1900" s="2">
        <f t="shared" si="93"/>
        <v>0</v>
      </c>
    </row>
    <row r="1901" spans="5:11">
      <c r="E1901" t="s">
        <v>936</v>
      </c>
      <c r="F1901" t="s">
        <v>943</v>
      </c>
      <c r="G1901" s="5" t="str">
        <f t="shared" si="94"/>
        <v>11-12</v>
      </c>
      <c r="H1901" s="1">
        <f>_xlfn.IFNA(VLOOKUP(Aragon!E1901,'Kilter Holds'!$P$36:$AB$370,5,0),0)</f>
        <v>0</v>
      </c>
      <c r="J1901" s="2">
        <f t="shared" ref="J1901:J1936" si="95">H1901*I1901</f>
        <v>0</v>
      </c>
      <c r="K1901" s="2">
        <f t="shared" si="93"/>
        <v>0</v>
      </c>
    </row>
    <row r="1902" spans="5:11">
      <c r="E1902" t="s">
        <v>936</v>
      </c>
      <c r="F1902" t="s">
        <v>943</v>
      </c>
      <c r="G1902" s="6" t="str">
        <f t="shared" si="94"/>
        <v>14-01</v>
      </c>
      <c r="H1902" s="1">
        <f>_xlfn.IFNA(VLOOKUP(Aragon!E1902,'Kilter Holds'!$P$36:$AB$370,6,0),0)</f>
        <v>0</v>
      </c>
      <c r="J1902" s="2">
        <f t="shared" si="95"/>
        <v>0</v>
      </c>
      <c r="K1902" s="2">
        <f t="shared" si="93"/>
        <v>0</v>
      </c>
    </row>
    <row r="1903" spans="5:11">
      <c r="E1903" t="s">
        <v>936</v>
      </c>
      <c r="F1903" t="s">
        <v>943</v>
      </c>
      <c r="G1903" s="7" t="str">
        <f t="shared" si="94"/>
        <v>15-12</v>
      </c>
      <c r="H1903" s="1">
        <f>_xlfn.IFNA(VLOOKUP(Aragon!E1903,'Kilter Holds'!$P$36:$AB$370,7,0),0)</f>
        <v>0</v>
      </c>
      <c r="J1903" s="2">
        <f t="shared" si="95"/>
        <v>0</v>
      </c>
      <c r="K1903" s="2">
        <f t="shared" si="93"/>
        <v>0</v>
      </c>
    </row>
    <row r="1904" spans="5:11">
      <c r="E1904" t="s">
        <v>936</v>
      </c>
      <c r="F1904" t="s">
        <v>943</v>
      </c>
      <c r="G1904" s="8" t="str">
        <f t="shared" si="94"/>
        <v>16-16</v>
      </c>
      <c r="H1904" s="1">
        <f>_xlfn.IFNA(VLOOKUP(Aragon!E1904,'Kilter Holds'!$P$36:$AB$370,8,0),0)</f>
        <v>0</v>
      </c>
      <c r="J1904" s="2">
        <f t="shared" si="95"/>
        <v>0</v>
      </c>
      <c r="K1904" s="2">
        <f t="shared" si="93"/>
        <v>0</v>
      </c>
    </row>
    <row r="1905" spans="5:11">
      <c r="E1905" t="s">
        <v>936</v>
      </c>
      <c r="F1905" t="s">
        <v>943</v>
      </c>
      <c r="G1905" s="9" t="str">
        <f t="shared" si="94"/>
        <v>13-01</v>
      </c>
      <c r="H1905" s="1">
        <f>_xlfn.IFNA(VLOOKUP(Aragon!E1905,'Kilter Holds'!$P$36:$AB$370,9,0),0)</f>
        <v>0</v>
      </c>
      <c r="J1905" s="2">
        <f t="shared" si="95"/>
        <v>0</v>
      </c>
      <c r="K1905" s="2">
        <f t="shared" si="93"/>
        <v>0</v>
      </c>
    </row>
    <row r="1906" spans="5:11">
      <c r="E1906" t="s">
        <v>936</v>
      </c>
      <c r="F1906" t="s">
        <v>943</v>
      </c>
      <c r="G1906" s="10" t="str">
        <f t="shared" si="94"/>
        <v>07-13</v>
      </c>
      <c r="H1906" s="1">
        <f>_xlfn.IFNA(VLOOKUP(Aragon!E1906,'Kilter Holds'!$P$36:$AB$370,10,0),0)</f>
        <v>0</v>
      </c>
      <c r="J1906" s="2">
        <f t="shared" si="95"/>
        <v>0</v>
      </c>
      <c r="K1906" s="2">
        <f t="shared" si="93"/>
        <v>0</v>
      </c>
    </row>
    <row r="1907" spans="5:11">
      <c r="E1907" t="s">
        <v>936</v>
      </c>
      <c r="F1907" t="s">
        <v>943</v>
      </c>
      <c r="G1907" s="11" t="str">
        <f t="shared" si="94"/>
        <v>11-25</v>
      </c>
      <c r="H1907" s="1">
        <f>_xlfn.IFNA(VLOOKUP(Aragon!E1907,'Kilter Holds'!$P$36:$AB$370,11,0),0)</f>
        <v>0</v>
      </c>
      <c r="J1907" s="2">
        <f t="shared" si="95"/>
        <v>0</v>
      </c>
      <c r="K1907" s="2">
        <f t="shared" si="93"/>
        <v>0</v>
      </c>
    </row>
    <row r="1908" spans="5:11">
      <c r="E1908" t="s">
        <v>936</v>
      </c>
      <c r="F1908" t="s">
        <v>943</v>
      </c>
      <c r="G1908" s="13" t="str">
        <f t="shared" si="94"/>
        <v>18-01</v>
      </c>
      <c r="H1908" s="1">
        <f>_xlfn.IFNA(VLOOKUP(Aragon!E1908,'Kilter Holds'!$P$36:$AB$370,12,0),0)</f>
        <v>0</v>
      </c>
      <c r="J1908" s="2">
        <f t="shared" si="95"/>
        <v>0</v>
      </c>
      <c r="K1908" s="2">
        <f t="shared" si="93"/>
        <v>0</v>
      </c>
    </row>
    <row r="1909" spans="5:11">
      <c r="E1909" t="s">
        <v>936</v>
      </c>
      <c r="F1909" t="s">
        <v>943</v>
      </c>
      <c r="G1909" s="12" t="str">
        <f t="shared" si="94"/>
        <v>12-01</v>
      </c>
      <c r="H1909" s="1">
        <f>_xlfn.IFNA(VLOOKUP(Aragon!E1909,'Kilter Holds'!$P$36:$AB$370,13,0),0)</f>
        <v>0</v>
      </c>
      <c r="J1909" s="2">
        <f t="shared" si="95"/>
        <v>0</v>
      </c>
      <c r="K1909" s="2">
        <f t="shared" si="93"/>
        <v>0</v>
      </c>
    </row>
    <row r="1910" spans="5:11">
      <c r="E1910" t="s">
        <v>937</v>
      </c>
      <c r="F1910" t="s">
        <v>944</v>
      </c>
      <c r="G1910" s="5" t="str">
        <f t="shared" si="94"/>
        <v>11-12</v>
      </c>
      <c r="H1910" s="1">
        <f>_xlfn.IFNA(VLOOKUP(Aragon!E1910,'Kilter Holds'!$P$36:$AB$370,5,0),0)</f>
        <v>0</v>
      </c>
      <c r="J1910" s="2">
        <f t="shared" si="95"/>
        <v>0</v>
      </c>
      <c r="K1910" s="2">
        <f t="shared" si="93"/>
        <v>0</v>
      </c>
    </row>
    <row r="1911" spans="5:11">
      <c r="E1911" t="s">
        <v>937</v>
      </c>
      <c r="F1911" t="s">
        <v>944</v>
      </c>
      <c r="G1911" s="6" t="str">
        <f t="shared" si="94"/>
        <v>14-01</v>
      </c>
      <c r="H1911" s="1">
        <f>_xlfn.IFNA(VLOOKUP(Aragon!E1911,'Kilter Holds'!$P$36:$AB$370,6,0),0)</f>
        <v>0</v>
      </c>
      <c r="J1911" s="2">
        <f t="shared" si="95"/>
        <v>0</v>
      </c>
      <c r="K1911" s="2">
        <f t="shared" si="93"/>
        <v>0</v>
      </c>
    </row>
    <row r="1912" spans="5:11">
      <c r="E1912" t="s">
        <v>937</v>
      </c>
      <c r="F1912" t="s">
        <v>944</v>
      </c>
      <c r="G1912" s="7" t="str">
        <f t="shared" si="94"/>
        <v>15-12</v>
      </c>
      <c r="H1912" s="1">
        <f>_xlfn.IFNA(VLOOKUP(Aragon!E1912,'Kilter Holds'!$P$36:$AB$370,7,0),0)</f>
        <v>0</v>
      </c>
      <c r="J1912" s="2">
        <f t="shared" si="95"/>
        <v>0</v>
      </c>
      <c r="K1912" s="2">
        <f t="shared" si="93"/>
        <v>0</v>
      </c>
    </row>
    <row r="1913" spans="5:11">
      <c r="E1913" t="s">
        <v>937</v>
      </c>
      <c r="F1913" t="s">
        <v>944</v>
      </c>
      <c r="G1913" s="8" t="str">
        <f t="shared" si="94"/>
        <v>16-16</v>
      </c>
      <c r="H1913" s="1">
        <f>_xlfn.IFNA(VLOOKUP(Aragon!E1913,'Kilter Holds'!$P$36:$AB$370,8,0),0)</f>
        <v>0</v>
      </c>
      <c r="J1913" s="2">
        <f t="shared" si="95"/>
        <v>0</v>
      </c>
      <c r="K1913" s="2">
        <f t="shared" si="93"/>
        <v>0</v>
      </c>
    </row>
    <row r="1914" spans="5:11">
      <c r="E1914" t="s">
        <v>937</v>
      </c>
      <c r="F1914" t="s">
        <v>944</v>
      </c>
      <c r="G1914" s="9" t="str">
        <f t="shared" si="94"/>
        <v>13-01</v>
      </c>
      <c r="H1914" s="1">
        <f>_xlfn.IFNA(VLOOKUP(Aragon!E1914,'Kilter Holds'!$P$36:$AB$370,9,0),0)</f>
        <v>0</v>
      </c>
      <c r="J1914" s="2">
        <f t="shared" si="95"/>
        <v>0</v>
      </c>
      <c r="K1914" s="2">
        <f t="shared" si="93"/>
        <v>0</v>
      </c>
    </row>
    <row r="1915" spans="5:11">
      <c r="E1915" t="s">
        <v>937</v>
      </c>
      <c r="F1915" t="s">
        <v>944</v>
      </c>
      <c r="G1915" s="10" t="str">
        <f t="shared" si="94"/>
        <v>07-13</v>
      </c>
      <c r="H1915" s="1">
        <f>_xlfn.IFNA(VLOOKUP(Aragon!E1915,'Kilter Holds'!$P$36:$AB$370,10,0),0)</f>
        <v>0</v>
      </c>
      <c r="J1915" s="2">
        <f t="shared" si="95"/>
        <v>0</v>
      </c>
      <c r="K1915" s="2">
        <f t="shared" si="93"/>
        <v>0</v>
      </c>
    </row>
    <row r="1916" spans="5:11">
      <c r="E1916" t="s">
        <v>937</v>
      </c>
      <c r="F1916" t="s">
        <v>944</v>
      </c>
      <c r="G1916" s="11" t="str">
        <f t="shared" si="94"/>
        <v>11-25</v>
      </c>
      <c r="H1916" s="1">
        <f>_xlfn.IFNA(VLOOKUP(Aragon!E1916,'Kilter Holds'!$P$36:$AB$370,11,0),0)</f>
        <v>0</v>
      </c>
      <c r="J1916" s="2">
        <f t="shared" si="95"/>
        <v>0</v>
      </c>
      <c r="K1916" s="2">
        <f t="shared" si="93"/>
        <v>0</v>
      </c>
    </row>
    <row r="1917" spans="5:11">
      <c r="E1917" t="s">
        <v>937</v>
      </c>
      <c r="F1917" t="s">
        <v>944</v>
      </c>
      <c r="G1917" s="13" t="str">
        <f t="shared" si="94"/>
        <v>18-01</v>
      </c>
      <c r="H1917" s="1">
        <f>_xlfn.IFNA(VLOOKUP(Aragon!E1917,'Kilter Holds'!$P$36:$AB$370,12,0),0)</f>
        <v>0</v>
      </c>
      <c r="J1917" s="2">
        <f t="shared" si="95"/>
        <v>0</v>
      </c>
      <c r="K1917" s="2">
        <f t="shared" si="93"/>
        <v>0</v>
      </c>
    </row>
    <row r="1918" spans="5:11">
      <c r="E1918" t="s">
        <v>937</v>
      </c>
      <c r="F1918" t="s">
        <v>944</v>
      </c>
      <c r="G1918" s="12" t="str">
        <f t="shared" si="94"/>
        <v>12-01</v>
      </c>
      <c r="H1918" s="1">
        <f>_xlfn.IFNA(VLOOKUP(Aragon!E1918,'Kilter Holds'!$P$36:$AB$370,13,0),0)</f>
        <v>0</v>
      </c>
      <c r="J1918" s="2">
        <f t="shared" si="95"/>
        <v>0</v>
      </c>
      <c r="K1918" s="2">
        <f t="shared" si="93"/>
        <v>0</v>
      </c>
    </row>
    <row r="1919" spans="5:11">
      <c r="E1919" t="s">
        <v>938</v>
      </c>
      <c r="F1919" t="s">
        <v>945</v>
      </c>
      <c r="G1919" s="5" t="str">
        <f t="shared" si="94"/>
        <v>11-12</v>
      </c>
      <c r="H1919" s="1">
        <f>_xlfn.IFNA(VLOOKUP(Aragon!E1919,'Kilter Holds'!$P$36:$AB$370,5,0),0)</f>
        <v>0</v>
      </c>
      <c r="J1919" s="2">
        <f t="shared" si="95"/>
        <v>0</v>
      </c>
      <c r="K1919" s="2">
        <f t="shared" si="93"/>
        <v>0</v>
      </c>
    </row>
    <row r="1920" spans="5:11">
      <c r="E1920" t="s">
        <v>938</v>
      </c>
      <c r="F1920" t="s">
        <v>945</v>
      </c>
      <c r="G1920" s="6" t="str">
        <f t="shared" si="94"/>
        <v>14-01</v>
      </c>
      <c r="H1920" s="1">
        <f>_xlfn.IFNA(VLOOKUP(Aragon!E1920,'Kilter Holds'!$P$36:$AB$370,6,0),0)</f>
        <v>0</v>
      </c>
      <c r="J1920" s="2">
        <f t="shared" si="95"/>
        <v>0</v>
      </c>
      <c r="K1920" s="2">
        <f t="shared" si="93"/>
        <v>0</v>
      </c>
    </row>
    <row r="1921" spans="5:11">
      <c r="E1921" t="s">
        <v>938</v>
      </c>
      <c r="F1921" t="s">
        <v>945</v>
      </c>
      <c r="G1921" s="7" t="str">
        <f t="shared" si="94"/>
        <v>15-12</v>
      </c>
      <c r="H1921" s="1">
        <f>_xlfn.IFNA(VLOOKUP(Aragon!E1921,'Kilter Holds'!$P$36:$AB$370,7,0),0)</f>
        <v>0</v>
      </c>
      <c r="J1921" s="2">
        <f t="shared" si="95"/>
        <v>0</v>
      </c>
      <c r="K1921" s="2">
        <f t="shared" si="93"/>
        <v>0</v>
      </c>
    </row>
    <row r="1922" spans="5:11">
      <c r="E1922" t="s">
        <v>938</v>
      </c>
      <c r="F1922" t="s">
        <v>945</v>
      </c>
      <c r="G1922" s="8" t="str">
        <f t="shared" si="94"/>
        <v>16-16</v>
      </c>
      <c r="H1922" s="1">
        <f>_xlfn.IFNA(VLOOKUP(Aragon!E1922,'Kilter Holds'!$P$36:$AB$370,8,0),0)</f>
        <v>0</v>
      </c>
      <c r="J1922" s="2">
        <f t="shared" si="95"/>
        <v>0</v>
      </c>
      <c r="K1922" s="2">
        <f t="shared" si="93"/>
        <v>0</v>
      </c>
    </row>
    <row r="1923" spans="5:11">
      <c r="E1923" t="s">
        <v>938</v>
      </c>
      <c r="F1923" t="s">
        <v>945</v>
      </c>
      <c r="G1923" s="9" t="str">
        <f t="shared" si="94"/>
        <v>13-01</v>
      </c>
      <c r="H1923" s="1">
        <f>_xlfn.IFNA(VLOOKUP(Aragon!E1923,'Kilter Holds'!$P$36:$AB$370,9,0),0)</f>
        <v>0</v>
      </c>
      <c r="J1923" s="2">
        <f t="shared" si="95"/>
        <v>0</v>
      </c>
      <c r="K1923" s="2">
        <f t="shared" si="93"/>
        <v>0</v>
      </c>
    </row>
    <row r="1924" spans="5:11">
      <c r="E1924" t="s">
        <v>938</v>
      </c>
      <c r="F1924" t="s">
        <v>945</v>
      </c>
      <c r="G1924" s="10" t="str">
        <f t="shared" si="94"/>
        <v>07-13</v>
      </c>
      <c r="H1924" s="1">
        <f>_xlfn.IFNA(VLOOKUP(Aragon!E1924,'Kilter Holds'!$P$36:$AB$370,10,0),0)</f>
        <v>0</v>
      </c>
      <c r="J1924" s="2">
        <f t="shared" si="95"/>
        <v>0</v>
      </c>
      <c r="K1924" s="2">
        <f t="shared" si="93"/>
        <v>0</v>
      </c>
    </row>
    <row r="1925" spans="5:11">
      <c r="E1925" t="s">
        <v>938</v>
      </c>
      <c r="F1925" t="s">
        <v>945</v>
      </c>
      <c r="G1925" s="11" t="str">
        <f t="shared" si="94"/>
        <v>11-25</v>
      </c>
      <c r="H1925" s="1">
        <f>_xlfn.IFNA(VLOOKUP(Aragon!E1925,'Kilter Holds'!$P$36:$AB$370,11,0),0)</f>
        <v>0</v>
      </c>
      <c r="J1925" s="2">
        <f t="shared" si="95"/>
        <v>0</v>
      </c>
      <c r="K1925" s="2">
        <f t="shared" si="93"/>
        <v>0</v>
      </c>
    </row>
    <row r="1926" spans="5:11">
      <c r="E1926" t="s">
        <v>938</v>
      </c>
      <c r="F1926" t="s">
        <v>945</v>
      </c>
      <c r="G1926" s="13" t="str">
        <f t="shared" si="94"/>
        <v>18-01</v>
      </c>
      <c r="H1926" s="1">
        <f>_xlfn.IFNA(VLOOKUP(Aragon!E1926,'Kilter Holds'!$P$36:$AB$370,12,0),0)</f>
        <v>0</v>
      </c>
      <c r="J1926" s="2">
        <f t="shared" si="95"/>
        <v>0</v>
      </c>
      <c r="K1926" s="2">
        <f t="shared" si="93"/>
        <v>0</v>
      </c>
    </row>
    <row r="1927" spans="5:11">
      <c r="E1927" t="s">
        <v>938</v>
      </c>
      <c r="F1927" t="s">
        <v>945</v>
      </c>
      <c r="G1927" s="12" t="str">
        <f t="shared" si="94"/>
        <v>12-01</v>
      </c>
      <c r="H1927" s="1">
        <f>_xlfn.IFNA(VLOOKUP(Aragon!E1927,'Kilter Holds'!$P$36:$AB$370,13,0),0)</f>
        <v>0</v>
      </c>
      <c r="J1927" s="2">
        <f t="shared" si="95"/>
        <v>0</v>
      </c>
      <c r="K1927" s="2">
        <f t="shared" si="93"/>
        <v>0</v>
      </c>
    </row>
    <row r="1928" spans="5:11">
      <c r="E1928" t="s">
        <v>939</v>
      </c>
      <c r="F1928" t="s">
        <v>946</v>
      </c>
      <c r="G1928" s="5" t="str">
        <f t="shared" si="94"/>
        <v>11-12</v>
      </c>
      <c r="H1928" s="1">
        <f>_xlfn.IFNA(VLOOKUP(Aragon!E1928,'Kilter Holds'!$P$36:$AB$370,5,0),0)</f>
        <v>0</v>
      </c>
      <c r="J1928" s="2">
        <f t="shared" si="95"/>
        <v>0</v>
      </c>
      <c r="K1928" s="2">
        <f t="shared" si="93"/>
        <v>0</v>
      </c>
    </row>
    <row r="1929" spans="5:11">
      <c r="E1929" t="s">
        <v>939</v>
      </c>
      <c r="F1929" t="s">
        <v>946</v>
      </c>
      <c r="G1929" s="6" t="str">
        <f t="shared" si="94"/>
        <v>14-01</v>
      </c>
      <c r="H1929" s="1">
        <f>_xlfn.IFNA(VLOOKUP(Aragon!E1929,'Kilter Holds'!$P$36:$AB$370,6,0),0)</f>
        <v>0</v>
      </c>
      <c r="J1929" s="2">
        <f t="shared" si="95"/>
        <v>0</v>
      </c>
      <c r="K1929" s="2">
        <f t="shared" si="93"/>
        <v>0</v>
      </c>
    </row>
    <row r="1930" spans="5:11">
      <c r="E1930" t="s">
        <v>939</v>
      </c>
      <c r="F1930" t="s">
        <v>946</v>
      </c>
      <c r="G1930" s="7" t="str">
        <f t="shared" si="94"/>
        <v>15-12</v>
      </c>
      <c r="H1930" s="1">
        <f>_xlfn.IFNA(VLOOKUP(Aragon!E1930,'Kilter Holds'!$P$36:$AB$370,7,0),0)</f>
        <v>0</v>
      </c>
      <c r="J1930" s="2">
        <f t="shared" si="95"/>
        <v>0</v>
      </c>
      <c r="K1930" s="2">
        <f t="shared" si="93"/>
        <v>0</v>
      </c>
    </row>
    <row r="1931" spans="5:11">
      <c r="E1931" t="s">
        <v>939</v>
      </c>
      <c r="F1931" t="s">
        <v>946</v>
      </c>
      <c r="G1931" s="8" t="str">
        <f t="shared" si="94"/>
        <v>16-16</v>
      </c>
      <c r="H1931" s="1">
        <f>_xlfn.IFNA(VLOOKUP(Aragon!E1931,'Kilter Holds'!$P$36:$AB$370,8,0),0)</f>
        <v>0</v>
      </c>
      <c r="J1931" s="2">
        <f t="shared" si="95"/>
        <v>0</v>
      </c>
      <c r="K1931" s="2">
        <f t="shared" si="93"/>
        <v>0</v>
      </c>
    </row>
    <row r="1932" spans="5:11">
      <c r="E1932" t="s">
        <v>939</v>
      </c>
      <c r="F1932" t="s">
        <v>946</v>
      </c>
      <c r="G1932" s="9" t="str">
        <f t="shared" si="94"/>
        <v>13-01</v>
      </c>
      <c r="H1932" s="1">
        <f>_xlfn.IFNA(VLOOKUP(Aragon!E1932,'Kilter Holds'!$P$36:$AB$370,9,0),0)</f>
        <v>0</v>
      </c>
      <c r="J1932" s="2">
        <f t="shared" si="95"/>
        <v>0</v>
      </c>
      <c r="K1932" s="2">
        <f t="shared" ref="K1932:K2607" si="96">IF($V$11="Y",J1932*0.05,0)</f>
        <v>0</v>
      </c>
    </row>
    <row r="1933" spans="5:11">
      <c r="E1933" t="s">
        <v>939</v>
      </c>
      <c r="F1933" t="s">
        <v>946</v>
      </c>
      <c r="G1933" s="10" t="str">
        <f t="shared" ref="G1933:G2608" si="97">G1924</f>
        <v>07-13</v>
      </c>
      <c r="H1933" s="1">
        <f>_xlfn.IFNA(VLOOKUP(Aragon!E1933,'Kilter Holds'!$P$36:$AB$370,10,0),0)</f>
        <v>0</v>
      </c>
      <c r="J1933" s="2">
        <f t="shared" si="95"/>
        <v>0</v>
      </c>
      <c r="K1933" s="2">
        <f t="shared" si="96"/>
        <v>0</v>
      </c>
    </row>
    <row r="1934" spans="5:11">
      <c r="E1934" t="s">
        <v>939</v>
      </c>
      <c r="F1934" t="s">
        <v>946</v>
      </c>
      <c r="G1934" s="11" t="str">
        <f t="shared" si="97"/>
        <v>11-25</v>
      </c>
      <c r="H1934" s="1">
        <f>_xlfn.IFNA(VLOOKUP(Aragon!E1934,'Kilter Holds'!$P$36:$AB$370,11,0),0)</f>
        <v>0</v>
      </c>
      <c r="J1934" s="2">
        <f t="shared" si="95"/>
        <v>0</v>
      </c>
      <c r="K1934" s="2">
        <f t="shared" si="96"/>
        <v>0</v>
      </c>
    </row>
    <row r="1935" spans="5:11">
      <c r="E1935" t="s">
        <v>939</v>
      </c>
      <c r="F1935" t="s">
        <v>946</v>
      </c>
      <c r="G1935" s="13" t="str">
        <f t="shared" si="97"/>
        <v>18-01</v>
      </c>
      <c r="H1935" s="1">
        <f>_xlfn.IFNA(VLOOKUP(Aragon!E1935,'Kilter Holds'!$P$36:$AB$370,12,0),0)</f>
        <v>0</v>
      </c>
      <c r="J1935" s="2">
        <f t="shared" si="95"/>
        <v>0</v>
      </c>
      <c r="K1935" s="2">
        <f t="shared" si="96"/>
        <v>0</v>
      </c>
    </row>
    <row r="1936" spans="5:11">
      <c r="E1936" t="s">
        <v>939</v>
      </c>
      <c r="F1936" t="s">
        <v>946</v>
      </c>
      <c r="G1936" s="12" t="str">
        <f t="shared" si="97"/>
        <v>12-01</v>
      </c>
      <c r="H1936" s="1">
        <f>_xlfn.IFNA(VLOOKUP(Aragon!E1936,'Kilter Holds'!$P$36:$AB$370,13,0),0)</f>
        <v>0</v>
      </c>
      <c r="J1936" s="2">
        <f t="shared" si="95"/>
        <v>0</v>
      </c>
      <c r="K1936" s="2">
        <f t="shared" si="96"/>
        <v>0</v>
      </c>
    </row>
    <row r="1937" spans="5:11">
      <c r="E1937" t="s">
        <v>948</v>
      </c>
      <c r="F1937" t="s">
        <v>954</v>
      </c>
      <c r="G1937" s="5" t="str">
        <f t="shared" si="97"/>
        <v>11-12</v>
      </c>
      <c r="H1937" s="1">
        <f>_xlfn.IFNA(VLOOKUP(Aragon!E1937,'Kilter Holds'!$P$36:$AB$370,5,0),0)</f>
        <v>0</v>
      </c>
      <c r="J1937" s="2">
        <f t="shared" ref="J1937:J1945" si="98">H1937*I1937</f>
        <v>0</v>
      </c>
      <c r="K1937" s="2">
        <f t="shared" si="96"/>
        <v>0</v>
      </c>
    </row>
    <row r="1938" spans="5:11">
      <c r="E1938" t="s">
        <v>948</v>
      </c>
      <c r="F1938" t="s">
        <v>954</v>
      </c>
      <c r="G1938" s="6" t="str">
        <f t="shared" si="97"/>
        <v>14-01</v>
      </c>
      <c r="H1938" s="1">
        <f>_xlfn.IFNA(VLOOKUP(Aragon!E1938,'Kilter Holds'!$P$36:$AB$370,6,0),0)</f>
        <v>0</v>
      </c>
      <c r="J1938" s="2">
        <f t="shared" si="98"/>
        <v>0</v>
      </c>
      <c r="K1938" s="2">
        <f t="shared" si="96"/>
        <v>0</v>
      </c>
    </row>
    <row r="1939" spans="5:11">
      <c r="E1939" t="s">
        <v>948</v>
      </c>
      <c r="F1939" t="s">
        <v>954</v>
      </c>
      <c r="G1939" s="7" t="str">
        <f t="shared" si="97"/>
        <v>15-12</v>
      </c>
      <c r="H1939" s="1">
        <f>_xlfn.IFNA(VLOOKUP(Aragon!E1939,'Kilter Holds'!$P$36:$AB$370,7,0),0)</f>
        <v>0</v>
      </c>
      <c r="J1939" s="2">
        <f t="shared" si="98"/>
        <v>0</v>
      </c>
      <c r="K1939" s="2">
        <f t="shared" si="96"/>
        <v>0</v>
      </c>
    </row>
    <row r="1940" spans="5:11">
      <c r="E1940" t="s">
        <v>948</v>
      </c>
      <c r="F1940" t="s">
        <v>954</v>
      </c>
      <c r="G1940" s="8" t="str">
        <f t="shared" si="97"/>
        <v>16-16</v>
      </c>
      <c r="H1940" s="1">
        <f>_xlfn.IFNA(VLOOKUP(Aragon!E1940,'Kilter Holds'!$P$36:$AB$370,8,0),0)</f>
        <v>0</v>
      </c>
      <c r="J1940" s="2">
        <f t="shared" si="98"/>
        <v>0</v>
      </c>
      <c r="K1940" s="2">
        <f t="shared" si="96"/>
        <v>0</v>
      </c>
    </row>
    <row r="1941" spans="5:11">
      <c r="E1941" t="s">
        <v>948</v>
      </c>
      <c r="F1941" t="s">
        <v>954</v>
      </c>
      <c r="G1941" s="9" t="str">
        <f t="shared" si="97"/>
        <v>13-01</v>
      </c>
      <c r="H1941" s="1">
        <f>_xlfn.IFNA(VLOOKUP(Aragon!E1941,'Kilter Holds'!$P$36:$AB$370,9,0),0)</f>
        <v>0</v>
      </c>
      <c r="J1941" s="2">
        <f t="shared" si="98"/>
        <v>0</v>
      </c>
      <c r="K1941" s="2">
        <f t="shared" si="96"/>
        <v>0</v>
      </c>
    </row>
    <row r="1942" spans="5:11">
      <c r="E1942" t="s">
        <v>948</v>
      </c>
      <c r="F1942" t="s">
        <v>954</v>
      </c>
      <c r="G1942" s="10" t="str">
        <f t="shared" si="97"/>
        <v>07-13</v>
      </c>
      <c r="H1942" s="1">
        <f>_xlfn.IFNA(VLOOKUP(Aragon!E1942,'Kilter Holds'!$P$36:$AB$370,10,0),0)</f>
        <v>0</v>
      </c>
      <c r="J1942" s="2">
        <f t="shared" si="98"/>
        <v>0</v>
      </c>
      <c r="K1942" s="2">
        <f t="shared" si="96"/>
        <v>0</v>
      </c>
    </row>
    <row r="1943" spans="5:11">
      <c r="E1943" t="s">
        <v>948</v>
      </c>
      <c r="F1943" t="s">
        <v>954</v>
      </c>
      <c r="G1943" s="11" t="str">
        <f t="shared" si="97"/>
        <v>11-25</v>
      </c>
      <c r="H1943" s="1">
        <f>_xlfn.IFNA(VLOOKUP(Aragon!E1943,'Kilter Holds'!$P$36:$AB$370,11,0),0)</f>
        <v>0</v>
      </c>
      <c r="J1943" s="2">
        <f t="shared" si="98"/>
        <v>0</v>
      </c>
      <c r="K1943" s="2">
        <f t="shared" si="96"/>
        <v>0</v>
      </c>
    </row>
    <row r="1944" spans="5:11">
      <c r="E1944" t="s">
        <v>948</v>
      </c>
      <c r="F1944" t="s">
        <v>954</v>
      </c>
      <c r="G1944" s="13" t="str">
        <f t="shared" si="97"/>
        <v>18-01</v>
      </c>
      <c r="H1944" s="1">
        <f>_xlfn.IFNA(VLOOKUP(Aragon!E1944,'Kilter Holds'!$P$36:$AB$370,12,0),0)</f>
        <v>0</v>
      </c>
      <c r="J1944" s="2">
        <f t="shared" si="98"/>
        <v>0</v>
      </c>
      <c r="K1944" s="2">
        <f t="shared" si="96"/>
        <v>0</v>
      </c>
    </row>
    <row r="1945" spans="5:11">
      <c r="E1945" t="s">
        <v>948</v>
      </c>
      <c r="F1945" t="s">
        <v>954</v>
      </c>
      <c r="G1945" s="12" t="str">
        <f t="shared" si="97"/>
        <v>12-01</v>
      </c>
      <c r="H1945" s="1">
        <f>_xlfn.IFNA(VLOOKUP(Aragon!E1945,'Kilter Holds'!$P$36:$AB$370,13,0),0)</f>
        <v>0</v>
      </c>
      <c r="J1945" s="2">
        <f t="shared" si="98"/>
        <v>0</v>
      </c>
      <c r="K1945" s="2">
        <f t="shared" si="96"/>
        <v>0</v>
      </c>
    </row>
    <row r="1946" spans="5:11">
      <c r="E1946" t="s">
        <v>949</v>
      </c>
      <c r="F1946" t="s">
        <v>955</v>
      </c>
      <c r="G1946" s="5" t="str">
        <f t="shared" si="97"/>
        <v>11-12</v>
      </c>
      <c r="H1946" s="1">
        <f>_xlfn.IFNA(VLOOKUP(Aragon!E1946,'Kilter Holds'!$P$36:$AB$370,5,0),0)</f>
        <v>0</v>
      </c>
      <c r="J1946" s="2">
        <f t="shared" ref="J1946:J1954" si="99">H1946*I1946</f>
        <v>0</v>
      </c>
      <c r="K1946" s="2">
        <f t="shared" si="96"/>
        <v>0</v>
      </c>
    </row>
    <row r="1947" spans="5:11">
      <c r="E1947" t="s">
        <v>949</v>
      </c>
      <c r="F1947" t="s">
        <v>955</v>
      </c>
      <c r="G1947" s="6" t="str">
        <f t="shared" si="97"/>
        <v>14-01</v>
      </c>
      <c r="H1947" s="1">
        <f>_xlfn.IFNA(VLOOKUP(Aragon!E1947,'Kilter Holds'!$P$36:$AB$370,6,0),0)</f>
        <v>0</v>
      </c>
      <c r="J1947" s="2">
        <f t="shared" si="99"/>
        <v>0</v>
      </c>
      <c r="K1947" s="2">
        <f t="shared" si="96"/>
        <v>0</v>
      </c>
    </row>
    <row r="1948" spans="5:11">
      <c r="E1948" t="s">
        <v>949</v>
      </c>
      <c r="F1948" t="s">
        <v>955</v>
      </c>
      <c r="G1948" s="7" t="str">
        <f t="shared" si="97"/>
        <v>15-12</v>
      </c>
      <c r="H1948" s="1">
        <f>_xlfn.IFNA(VLOOKUP(Aragon!E1948,'Kilter Holds'!$P$36:$AB$370,7,0),0)</f>
        <v>0</v>
      </c>
      <c r="J1948" s="2">
        <f t="shared" si="99"/>
        <v>0</v>
      </c>
      <c r="K1948" s="2">
        <f t="shared" si="96"/>
        <v>0</v>
      </c>
    </row>
    <row r="1949" spans="5:11">
      <c r="E1949" t="s">
        <v>949</v>
      </c>
      <c r="F1949" t="s">
        <v>955</v>
      </c>
      <c r="G1949" s="8" t="str">
        <f t="shared" si="97"/>
        <v>16-16</v>
      </c>
      <c r="H1949" s="1">
        <f>_xlfn.IFNA(VLOOKUP(Aragon!E1949,'Kilter Holds'!$P$36:$AB$370,8,0),0)</f>
        <v>0</v>
      </c>
      <c r="J1949" s="2">
        <f t="shared" si="99"/>
        <v>0</v>
      </c>
      <c r="K1949" s="2">
        <f t="shared" si="96"/>
        <v>0</v>
      </c>
    </row>
    <row r="1950" spans="5:11">
      <c r="E1950" t="s">
        <v>949</v>
      </c>
      <c r="F1950" t="s">
        <v>955</v>
      </c>
      <c r="G1950" s="9" t="str">
        <f t="shared" si="97"/>
        <v>13-01</v>
      </c>
      <c r="H1950" s="1">
        <f>_xlfn.IFNA(VLOOKUP(Aragon!E1950,'Kilter Holds'!$P$36:$AB$370,9,0),0)</f>
        <v>0</v>
      </c>
      <c r="J1950" s="2">
        <f t="shared" si="99"/>
        <v>0</v>
      </c>
      <c r="K1950" s="2">
        <f t="shared" si="96"/>
        <v>0</v>
      </c>
    </row>
    <row r="1951" spans="5:11">
      <c r="E1951" t="s">
        <v>949</v>
      </c>
      <c r="F1951" t="s">
        <v>955</v>
      </c>
      <c r="G1951" s="10" t="str">
        <f t="shared" si="97"/>
        <v>07-13</v>
      </c>
      <c r="H1951" s="1">
        <f>_xlfn.IFNA(VLOOKUP(Aragon!E1951,'Kilter Holds'!$P$36:$AB$370,10,0),0)</f>
        <v>0</v>
      </c>
      <c r="J1951" s="2">
        <f t="shared" si="99"/>
        <v>0</v>
      </c>
      <c r="K1951" s="2">
        <f t="shared" si="96"/>
        <v>0</v>
      </c>
    </row>
    <row r="1952" spans="5:11">
      <c r="E1952" t="s">
        <v>949</v>
      </c>
      <c r="F1952" t="s">
        <v>955</v>
      </c>
      <c r="G1952" s="11" t="str">
        <f t="shared" si="97"/>
        <v>11-25</v>
      </c>
      <c r="H1952" s="1">
        <f>_xlfn.IFNA(VLOOKUP(Aragon!E1952,'Kilter Holds'!$P$36:$AB$370,11,0),0)</f>
        <v>0</v>
      </c>
      <c r="J1952" s="2">
        <f t="shared" si="99"/>
        <v>0</v>
      </c>
      <c r="K1952" s="2">
        <f t="shared" si="96"/>
        <v>0</v>
      </c>
    </row>
    <row r="1953" spans="5:11">
      <c r="E1953" t="s">
        <v>949</v>
      </c>
      <c r="F1953" t="s">
        <v>955</v>
      </c>
      <c r="G1953" s="13" t="str">
        <f t="shared" si="97"/>
        <v>18-01</v>
      </c>
      <c r="H1953" s="1">
        <f>_xlfn.IFNA(VLOOKUP(Aragon!E1953,'Kilter Holds'!$P$36:$AB$370,12,0),0)</f>
        <v>0</v>
      </c>
      <c r="J1953" s="2">
        <f t="shared" si="99"/>
        <v>0</v>
      </c>
      <c r="K1953" s="2">
        <f t="shared" si="96"/>
        <v>0</v>
      </c>
    </row>
    <row r="1954" spans="5:11">
      <c r="E1954" t="s">
        <v>949</v>
      </c>
      <c r="F1954" t="s">
        <v>955</v>
      </c>
      <c r="G1954" s="12" t="str">
        <f t="shared" si="97"/>
        <v>12-01</v>
      </c>
      <c r="H1954" s="1">
        <f>_xlfn.IFNA(VLOOKUP(Aragon!E1954,'Kilter Holds'!$P$36:$AB$370,13,0),0)</f>
        <v>0</v>
      </c>
      <c r="J1954" s="2">
        <f t="shared" si="99"/>
        <v>0</v>
      </c>
      <c r="K1954" s="2">
        <f t="shared" si="96"/>
        <v>0</v>
      </c>
    </row>
    <row r="1955" spans="5:11">
      <c r="E1955" t="s">
        <v>950</v>
      </c>
      <c r="F1955" t="s">
        <v>956</v>
      </c>
      <c r="G1955" s="5" t="str">
        <f t="shared" si="97"/>
        <v>11-12</v>
      </c>
      <c r="H1955" s="1">
        <f>_xlfn.IFNA(VLOOKUP(Aragon!E1955,'Kilter Holds'!$P$36:$AB$370,5,0),0)</f>
        <v>0</v>
      </c>
      <c r="J1955" s="2">
        <f t="shared" ref="J1955:J1963" si="100">H1955*I1955</f>
        <v>0</v>
      </c>
      <c r="K1955" s="2">
        <f t="shared" si="96"/>
        <v>0</v>
      </c>
    </row>
    <row r="1956" spans="5:11">
      <c r="E1956" t="s">
        <v>950</v>
      </c>
      <c r="F1956" t="s">
        <v>956</v>
      </c>
      <c r="G1956" s="6" t="str">
        <f t="shared" si="97"/>
        <v>14-01</v>
      </c>
      <c r="H1956" s="1">
        <f>_xlfn.IFNA(VLOOKUP(Aragon!E1956,'Kilter Holds'!$P$36:$AB$370,6,0),0)</f>
        <v>0</v>
      </c>
      <c r="J1956" s="2">
        <f t="shared" si="100"/>
        <v>0</v>
      </c>
      <c r="K1956" s="2">
        <f t="shared" si="96"/>
        <v>0</v>
      </c>
    </row>
    <row r="1957" spans="5:11">
      <c r="E1957" t="s">
        <v>950</v>
      </c>
      <c r="F1957" t="s">
        <v>956</v>
      </c>
      <c r="G1957" s="7" t="str">
        <f t="shared" si="97"/>
        <v>15-12</v>
      </c>
      <c r="H1957" s="1">
        <f>_xlfn.IFNA(VLOOKUP(Aragon!E1957,'Kilter Holds'!$P$36:$AB$370,7,0),0)</f>
        <v>0</v>
      </c>
      <c r="J1957" s="2">
        <f t="shared" si="100"/>
        <v>0</v>
      </c>
      <c r="K1957" s="2">
        <f t="shared" si="96"/>
        <v>0</v>
      </c>
    </row>
    <row r="1958" spans="5:11">
      <c r="E1958" t="s">
        <v>950</v>
      </c>
      <c r="F1958" t="s">
        <v>956</v>
      </c>
      <c r="G1958" s="8" t="str">
        <f t="shared" si="97"/>
        <v>16-16</v>
      </c>
      <c r="H1958" s="1">
        <f>_xlfn.IFNA(VLOOKUP(Aragon!E1958,'Kilter Holds'!$P$36:$AB$370,8,0),0)</f>
        <v>0</v>
      </c>
      <c r="J1958" s="2">
        <f t="shared" si="100"/>
        <v>0</v>
      </c>
      <c r="K1958" s="2">
        <f t="shared" si="96"/>
        <v>0</v>
      </c>
    </row>
    <row r="1959" spans="5:11">
      <c r="E1959" t="s">
        <v>950</v>
      </c>
      <c r="F1959" t="s">
        <v>956</v>
      </c>
      <c r="G1959" s="9" t="str">
        <f t="shared" si="97"/>
        <v>13-01</v>
      </c>
      <c r="H1959" s="1">
        <f>_xlfn.IFNA(VLOOKUP(Aragon!E1959,'Kilter Holds'!$P$36:$AB$370,9,0),0)</f>
        <v>0</v>
      </c>
      <c r="J1959" s="2">
        <f t="shared" si="100"/>
        <v>0</v>
      </c>
      <c r="K1959" s="2">
        <f t="shared" si="96"/>
        <v>0</v>
      </c>
    </row>
    <row r="1960" spans="5:11">
      <c r="E1960" t="s">
        <v>950</v>
      </c>
      <c r="F1960" t="s">
        <v>956</v>
      </c>
      <c r="G1960" s="10" t="str">
        <f t="shared" si="97"/>
        <v>07-13</v>
      </c>
      <c r="H1960" s="1">
        <f>_xlfn.IFNA(VLOOKUP(Aragon!E1960,'Kilter Holds'!$P$36:$AB$370,10,0),0)</f>
        <v>0</v>
      </c>
      <c r="J1960" s="2">
        <f t="shared" si="100"/>
        <v>0</v>
      </c>
      <c r="K1960" s="2">
        <f t="shared" si="96"/>
        <v>0</v>
      </c>
    </row>
    <row r="1961" spans="5:11">
      <c r="E1961" t="s">
        <v>950</v>
      </c>
      <c r="F1961" t="s">
        <v>956</v>
      </c>
      <c r="G1961" s="11" t="str">
        <f t="shared" si="97"/>
        <v>11-25</v>
      </c>
      <c r="H1961" s="1">
        <f>_xlfn.IFNA(VLOOKUP(Aragon!E1961,'Kilter Holds'!$P$36:$AB$370,11,0),0)</f>
        <v>0</v>
      </c>
      <c r="J1961" s="2">
        <f t="shared" si="100"/>
        <v>0</v>
      </c>
      <c r="K1961" s="2">
        <f t="shared" si="96"/>
        <v>0</v>
      </c>
    </row>
    <row r="1962" spans="5:11">
      <c r="E1962" t="s">
        <v>950</v>
      </c>
      <c r="F1962" t="s">
        <v>956</v>
      </c>
      <c r="G1962" s="13" t="str">
        <f t="shared" si="97"/>
        <v>18-01</v>
      </c>
      <c r="H1962" s="1">
        <f>_xlfn.IFNA(VLOOKUP(Aragon!E1962,'Kilter Holds'!$P$36:$AB$370,12,0),0)</f>
        <v>0</v>
      </c>
      <c r="J1962" s="2">
        <f t="shared" si="100"/>
        <v>0</v>
      </c>
      <c r="K1962" s="2">
        <f t="shared" si="96"/>
        <v>0</v>
      </c>
    </row>
    <row r="1963" spans="5:11">
      <c r="E1963" t="s">
        <v>950</v>
      </c>
      <c r="F1963" t="s">
        <v>956</v>
      </c>
      <c r="G1963" s="12" t="str">
        <f t="shared" si="97"/>
        <v>12-01</v>
      </c>
      <c r="H1963" s="1">
        <f>_xlfn.IFNA(VLOOKUP(Aragon!E1963,'Kilter Holds'!$P$36:$AB$370,13,0),0)</f>
        <v>0</v>
      </c>
      <c r="J1963" s="2">
        <f t="shared" si="100"/>
        <v>0</v>
      </c>
      <c r="K1963" s="2">
        <f t="shared" si="96"/>
        <v>0</v>
      </c>
    </row>
    <row r="1964" spans="5:11">
      <c r="E1964" t="s">
        <v>951</v>
      </c>
      <c r="F1964" t="s">
        <v>957</v>
      </c>
      <c r="G1964" s="5" t="str">
        <f t="shared" si="97"/>
        <v>11-12</v>
      </c>
      <c r="H1964" s="1">
        <f>_xlfn.IFNA(VLOOKUP(Aragon!E1964,'Kilter Holds'!$P$36:$AB$370,5,0),0)</f>
        <v>0</v>
      </c>
      <c r="J1964" s="2">
        <f t="shared" ref="J1964:J1972" si="101">H1964*I1964</f>
        <v>0</v>
      </c>
      <c r="K1964" s="2">
        <f t="shared" si="96"/>
        <v>0</v>
      </c>
    </row>
    <row r="1965" spans="5:11">
      <c r="E1965" t="s">
        <v>951</v>
      </c>
      <c r="F1965" t="s">
        <v>957</v>
      </c>
      <c r="G1965" s="6" t="str">
        <f t="shared" si="97"/>
        <v>14-01</v>
      </c>
      <c r="H1965" s="1">
        <f>_xlfn.IFNA(VLOOKUP(Aragon!E1965,'Kilter Holds'!$P$36:$AB$370,6,0),0)</f>
        <v>0</v>
      </c>
      <c r="J1965" s="2">
        <f t="shared" si="101"/>
        <v>0</v>
      </c>
      <c r="K1965" s="2">
        <f t="shared" si="96"/>
        <v>0</v>
      </c>
    </row>
    <row r="1966" spans="5:11">
      <c r="E1966" t="s">
        <v>951</v>
      </c>
      <c r="F1966" t="s">
        <v>957</v>
      </c>
      <c r="G1966" s="7" t="str">
        <f t="shared" si="97"/>
        <v>15-12</v>
      </c>
      <c r="H1966" s="1">
        <f>_xlfn.IFNA(VLOOKUP(Aragon!E1966,'Kilter Holds'!$P$36:$AB$370,7,0),0)</f>
        <v>0</v>
      </c>
      <c r="J1966" s="2">
        <f t="shared" si="101"/>
        <v>0</v>
      </c>
      <c r="K1966" s="2">
        <f t="shared" si="96"/>
        <v>0</v>
      </c>
    </row>
    <row r="1967" spans="5:11">
      <c r="E1967" t="s">
        <v>951</v>
      </c>
      <c r="F1967" t="s">
        <v>957</v>
      </c>
      <c r="G1967" s="8" t="str">
        <f t="shared" si="97"/>
        <v>16-16</v>
      </c>
      <c r="H1967" s="1">
        <f>_xlfn.IFNA(VLOOKUP(Aragon!E1967,'Kilter Holds'!$P$36:$AB$370,8,0),0)</f>
        <v>0</v>
      </c>
      <c r="J1967" s="2">
        <f t="shared" si="101"/>
        <v>0</v>
      </c>
      <c r="K1967" s="2">
        <f t="shared" si="96"/>
        <v>0</v>
      </c>
    </row>
    <row r="1968" spans="5:11">
      <c r="E1968" t="s">
        <v>951</v>
      </c>
      <c r="F1968" t="s">
        <v>957</v>
      </c>
      <c r="G1968" s="9" t="str">
        <f t="shared" si="97"/>
        <v>13-01</v>
      </c>
      <c r="H1968" s="1">
        <f>_xlfn.IFNA(VLOOKUP(Aragon!E1968,'Kilter Holds'!$P$36:$AB$370,9,0),0)</f>
        <v>0</v>
      </c>
      <c r="J1968" s="2">
        <f t="shared" si="101"/>
        <v>0</v>
      </c>
      <c r="K1968" s="2">
        <f t="shared" si="96"/>
        <v>0</v>
      </c>
    </row>
    <row r="1969" spans="5:11">
      <c r="E1969" t="s">
        <v>951</v>
      </c>
      <c r="F1969" t="s">
        <v>957</v>
      </c>
      <c r="G1969" s="10" t="str">
        <f t="shared" si="97"/>
        <v>07-13</v>
      </c>
      <c r="H1969" s="1">
        <f>_xlfn.IFNA(VLOOKUP(Aragon!E1969,'Kilter Holds'!$P$36:$AB$370,10,0),0)</f>
        <v>0</v>
      </c>
      <c r="J1969" s="2">
        <f t="shared" si="101"/>
        <v>0</v>
      </c>
      <c r="K1969" s="2">
        <f t="shared" si="96"/>
        <v>0</v>
      </c>
    </row>
    <row r="1970" spans="5:11">
      <c r="E1970" t="s">
        <v>951</v>
      </c>
      <c r="F1970" t="s">
        <v>957</v>
      </c>
      <c r="G1970" s="11" t="str">
        <f t="shared" si="97"/>
        <v>11-25</v>
      </c>
      <c r="H1970" s="1">
        <f>_xlfn.IFNA(VLOOKUP(Aragon!E1970,'Kilter Holds'!$P$36:$AB$370,11,0),0)</f>
        <v>0</v>
      </c>
      <c r="J1970" s="2">
        <f t="shared" si="101"/>
        <v>0</v>
      </c>
      <c r="K1970" s="2">
        <f t="shared" si="96"/>
        <v>0</v>
      </c>
    </row>
    <row r="1971" spans="5:11">
      <c r="E1971" t="s">
        <v>951</v>
      </c>
      <c r="F1971" t="s">
        <v>957</v>
      </c>
      <c r="G1971" s="13" t="str">
        <f t="shared" si="97"/>
        <v>18-01</v>
      </c>
      <c r="H1971" s="1">
        <f>_xlfn.IFNA(VLOOKUP(Aragon!E1971,'Kilter Holds'!$P$36:$AB$370,12,0),0)</f>
        <v>0</v>
      </c>
      <c r="J1971" s="2">
        <f t="shared" si="101"/>
        <v>0</v>
      </c>
      <c r="K1971" s="2">
        <f t="shared" si="96"/>
        <v>0</v>
      </c>
    </row>
    <row r="1972" spans="5:11">
      <c r="E1972" t="s">
        <v>951</v>
      </c>
      <c r="F1972" t="s">
        <v>957</v>
      </c>
      <c r="G1972" s="12" t="str">
        <f t="shared" si="97"/>
        <v>12-01</v>
      </c>
      <c r="H1972" s="1">
        <f>_xlfn.IFNA(VLOOKUP(Aragon!E1972,'Kilter Holds'!$P$36:$AB$370,13,0),0)</f>
        <v>0</v>
      </c>
      <c r="J1972" s="2">
        <f t="shared" si="101"/>
        <v>0</v>
      </c>
      <c r="K1972" s="2">
        <f t="shared" si="96"/>
        <v>0</v>
      </c>
    </row>
    <row r="1973" spans="5:11">
      <c r="E1973" t="s">
        <v>952</v>
      </c>
      <c r="F1973" t="s">
        <v>958</v>
      </c>
      <c r="G1973" s="5" t="str">
        <f t="shared" si="97"/>
        <v>11-12</v>
      </c>
      <c r="H1973" s="1">
        <f>_xlfn.IFNA(VLOOKUP(Aragon!E1973,'Kilter Holds'!$P$36:$AB$370,5,0),0)</f>
        <v>0</v>
      </c>
      <c r="J1973" s="2">
        <f t="shared" ref="J1973:J2017" si="102">H1973*I1973</f>
        <v>0</v>
      </c>
      <c r="K1973" s="2">
        <f t="shared" si="96"/>
        <v>0</v>
      </c>
    </row>
    <row r="1974" spans="5:11">
      <c r="E1974" t="s">
        <v>952</v>
      </c>
      <c r="F1974" t="s">
        <v>958</v>
      </c>
      <c r="G1974" s="6" t="str">
        <f t="shared" si="97"/>
        <v>14-01</v>
      </c>
      <c r="H1974" s="1">
        <f>_xlfn.IFNA(VLOOKUP(Aragon!E1974,'Kilter Holds'!$P$36:$AB$370,6,0),0)</f>
        <v>0</v>
      </c>
      <c r="J1974" s="2">
        <f t="shared" si="102"/>
        <v>0</v>
      </c>
      <c r="K1974" s="2">
        <f t="shared" si="96"/>
        <v>0</v>
      </c>
    </row>
    <row r="1975" spans="5:11">
      <c r="E1975" t="s">
        <v>952</v>
      </c>
      <c r="F1975" t="s">
        <v>958</v>
      </c>
      <c r="G1975" s="7" t="str">
        <f t="shared" si="97"/>
        <v>15-12</v>
      </c>
      <c r="H1975" s="1">
        <f>_xlfn.IFNA(VLOOKUP(Aragon!E1975,'Kilter Holds'!$P$36:$AB$370,7,0),0)</f>
        <v>0</v>
      </c>
      <c r="J1975" s="2">
        <f t="shared" si="102"/>
        <v>0</v>
      </c>
      <c r="K1975" s="2">
        <f t="shared" si="96"/>
        <v>0</v>
      </c>
    </row>
    <row r="1976" spans="5:11">
      <c r="E1976" t="s">
        <v>952</v>
      </c>
      <c r="F1976" t="s">
        <v>958</v>
      </c>
      <c r="G1976" s="8" t="str">
        <f t="shared" si="97"/>
        <v>16-16</v>
      </c>
      <c r="H1976" s="1">
        <f>_xlfn.IFNA(VLOOKUP(Aragon!E1976,'Kilter Holds'!$P$36:$AB$370,8,0),0)</f>
        <v>0</v>
      </c>
      <c r="J1976" s="2">
        <f t="shared" si="102"/>
        <v>0</v>
      </c>
      <c r="K1976" s="2">
        <f t="shared" si="96"/>
        <v>0</v>
      </c>
    </row>
    <row r="1977" spans="5:11">
      <c r="E1977" t="s">
        <v>952</v>
      </c>
      <c r="F1977" t="s">
        <v>958</v>
      </c>
      <c r="G1977" s="9" t="str">
        <f t="shared" si="97"/>
        <v>13-01</v>
      </c>
      <c r="H1977" s="1">
        <f>_xlfn.IFNA(VLOOKUP(Aragon!E1977,'Kilter Holds'!$P$36:$AB$370,9,0),0)</f>
        <v>0</v>
      </c>
      <c r="J1977" s="2">
        <f t="shared" si="102"/>
        <v>0</v>
      </c>
      <c r="K1977" s="2">
        <f t="shared" si="96"/>
        <v>0</v>
      </c>
    </row>
    <row r="1978" spans="5:11">
      <c r="E1978" t="s">
        <v>952</v>
      </c>
      <c r="F1978" t="s">
        <v>958</v>
      </c>
      <c r="G1978" s="10" t="str">
        <f t="shared" si="97"/>
        <v>07-13</v>
      </c>
      <c r="H1978" s="1">
        <f>_xlfn.IFNA(VLOOKUP(Aragon!E1978,'Kilter Holds'!$P$36:$AB$370,10,0),0)</f>
        <v>0</v>
      </c>
      <c r="J1978" s="2">
        <f t="shared" si="102"/>
        <v>0</v>
      </c>
      <c r="K1978" s="2">
        <f t="shared" si="96"/>
        <v>0</v>
      </c>
    </row>
    <row r="1979" spans="5:11">
      <c r="E1979" t="s">
        <v>952</v>
      </c>
      <c r="F1979" t="s">
        <v>958</v>
      </c>
      <c r="G1979" s="11" t="str">
        <f t="shared" si="97"/>
        <v>11-25</v>
      </c>
      <c r="H1979" s="1">
        <f>_xlfn.IFNA(VLOOKUP(Aragon!E1979,'Kilter Holds'!$P$36:$AB$370,11,0),0)</f>
        <v>0</v>
      </c>
      <c r="J1979" s="2">
        <f t="shared" si="102"/>
        <v>0</v>
      </c>
      <c r="K1979" s="2">
        <f t="shared" si="96"/>
        <v>0</v>
      </c>
    </row>
    <row r="1980" spans="5:11">
      <c r="E1980" t="s">
        <v>952</v>
      </c>
      <c r="F1980" t="s">
        <v>958</v>
      </c>
      <c r="G1980" s="13" t="str">
        <f t="shared" si="97"/>
        <v>18-01</v>
      </c>
      <c r="H1980" s="1">
        <f>_xlfn.IFNA(VLOOKUP(Aragon!E1980,'Kilter Holds'!$P$36:$AB$370,12,0),0)</f>
        <v>0</v>
      </c>
      <c r="J1980" s="2">
        <f t="shared" si="102"/>
        <v>0</v>
      </c>
      <c r="K1980" s="2">
        <f t="shared" si="96"/>
        <v>0</v>
      </c>
    </row>
    <row r="1981" spans="5:11">
      <c r="E1981" t="s">
        <v>952</v>
      </c>
      <c r="F1981" t="s">
        <v>958</v>
      </c>
      <c r="G1981" s="12" t="str">
        <f t="shared" si="97"/>
        <v>12-01</v>
      </c>
      <c r="H1981" s="1">
        <f>_xlfn.IFNA(VLOOKUP(Aragon!E1981,'Kilter Holds'!$P$36:$AB$370,13,0),0)</f>
        <v>0</v>
      </c>
      <c r="J1981" s="2">
        <f t="shared" si="102"/>
        <v>0</v>
      </c>
      <c r="K1981" s="2">
        <f t="shared" si="96"/>
        <v>0</v>
      </c>
    </row>
    <row r="1982" spans="5:11">
      <c r="E1982" t="s">
        <v>1581</v>
      </c>
      <c r="F1982" t="s">
        <v>1582</v>
      </c>
      <c r="G1982" s="5" t="str">
        <f t="shared" si="97"/>
        <v>11-12</v>
      </c>
      <c r="H1982" s="1">
        <f>_xlfn.IFNA(VLOOKUP(Aragon!E1982,'Kilter Holds'!$P$36:$AB$370,5,0),0)</f>
        <v>0</v>
      </c>
      <c r="J1982" s="2">
        <f t="shared" ref="J1982:J1990" si="103">H1982*I1982</f>
        <v>0</v>
      </c>
      <c r="K1982" s="2">
        <f t="shared" ref="K1982:K1990" si="104">IF($V$11="Y",J1982*0.05,0)</f>
        <v>0</v>
      </c>
    </row>
    <row r="1983" spans="5:11">
      <c r="E1983" t="s">
        <v>1581</v>
      </c>
      <c r="F1983" t="s">
        <v>1582</v>
      </c>
      <c r="G1983" s="6" t="str">
        <f t="shared" si="97"/>
        <v>14-01</v>
      </c>
      <c r="H1983" s="1">
        <f>_xlfn.IFNA(VLOOKUP(Aragon!E1983,'Kilter Holds'!$P$36:$AB$370,6,0),0)</f>
        <v>0</v>
      </c>
      <c r="J1983" s="2">
        <f t="shared" si="103"/>
        <v>0</v>
      </c>
      <c r="K1983" s="2">
        <f t="shared" si="104"/>
        <v>0</v>
      </c>
    </row>
    <row r="1984" spans="5:11">
      <c r="E1984" t="s">
        <v>1581</v>
      </c>
      <c r="F1984" t="s">
        <v>1582</v>
      </c>
      <c r="G1984" s="7" t="str">
        <f t="shared" si="97"/>
        <v>15-12</v>
      </c>
      <c r="H1984" s="1">
        <f>_xlfn.IFNA(VLOOKUP(Aragon!E1984,'Kilter Holds'!$P$36:$AB$370,7,0),0)</f>
        <v>0</v>
      </c>
      <c r="J1984" s="2">
        <f t="shared" si="103"/>
        <v>0</v>
      </c>
      <c r="K1984" s="2">
        <f t="shared" si="104"/>
        <v>0</v>
      </c>
    </row>
    <row r="1985" spans="1:11">
      <c r="E1985" t="s">
        <v>1581</v>
      </c>
      <c r="F1985" t="s">
        <v>1582</v>
      </c>
      <c r="G1985" s="8" t="str">
        <f t="shared" si="97"/>
        <v>16-16</v>
      </c>
      <c r="H1985" s="1">
        <f>_xlfn.IFNA(VLOOKUP(Aragon!E1985,'Kilter Holds'!$P$36:$AB$370,8,0),0)</f>
        <v>0</v>
      </c>
      <c r="J1985" s="2">
        <f t="shared" si="103"/>
        <v>0</v>
      </c>
      <c r="K1985" s="2">
        <f t="shared" si="104"/>
        <v>0</v>
      </c>
    </row>
    <row r="1986" spans="1:11">
      <c r="E1986" t="s">
        <v>1581</v>
      </c>
      <c r="F1986" t="s">
        <v>1582</v>
      </c>
      <c r="G1986" s="9" t="str">
        <f t="shared" si="97"/>
        <v>13-01</v>
      </c>
      <c r="H1986" s="1">
        <f>_xlfn.IFNA(VLOOKUP(Aragon!E1986,'Kilter Holds'!$P$36:$AB$370,9,0),0)</f>
        <v>0</v>
      </c>
      <c r="J1986" s="2">
        <f t="shared" si="103"/>
        <v>0</v>
      </c>
      <c r="K1986" s="2">
        <f t="shared" si="104"/>
        <v>0</v>
      </c>
    </row>
    <row r="1987" spans="1:11">
      <c r="E1987" t="s">
        <v>1581</v>
      </c>
      <c r="F1987" t="s">
        <v>1582</v>
      </c>
      <c r="G1987" s="10" t="str">
        <f t="shared" si="97"/>
        <v>07-13</v>
      </c>
      <c r="H1987" s="1">
        <f>_xlfn.IFNA(VLOOKUP(Aragon!E1987,'Kilter Holds'!$P$36:$AB$370,10,0),0)</f>
        <v>0</v>
      </c>
      <c r="J1987" s="2">
        <f t="shared" si="103"/>
        <v>0</v>
      </c>
      <c r="K1987" s="2">
        <f t="shared" si="104"/>
        <v>0</v>
      </c>
    </row>
    <row r="1988" spans="1:11">
      <c r="E1988" t="s">
        <v>1581</v>
      </c>
      <c r="F1988" t="s">
        <v>1582</v>
      </c>
      <c r="G1988" s="11" t="str">
        <f t="shared" si="97"/>
        <v>11-25</v>
      </c>
      <c r="H1988" s="1">
        <f>_xlfn.IFNA(VLOOKUP(Aragon!E1988,'Kilter Holds'!$P$36:$AB$370,11,0),0)</f>
        <v>0</v>
      </c>
      <c r="J1988" s="2">
        <f t="shared" si="103"/>
        <v>0</v>
      </c>
      <c r="K1988" s="2">
        <f t="shared" si="104"/>
        <v>0</v>
      </c>
    </row>
    <row r="1989" spans="1:11">
      <c r="E1989" t="s">
        <v>1581</v>
      </c>
      <c r="F1989" t="s">
        <v>1582</v>
      </c>
      <c r="G1989" s="13" t="str">
        <f t="shared" si="97"/>
        <v>18-01</v>
      </c>
      <c r="H1989" s="1">
        <f>_xlfn.IFNA(VLOOKUP(Aragon!E1989,'Kilter Holds'!$P$36:$AB$370,12,0),0)</f>
        <v>0</v>
      </c>
      <c r="J1989" s="2">
        <f t="shared" si="103"/>
        <v>0</v>
      </c>
      <c r="K1989" s="2">
        <f t="shared" si="104"/>
        <v>0</v>
      </c>
    </row>
    <row r="1990" spans="1:11">
      <c r="E1990" t="s">
        <v>1581</v>
      </c>
      <c r="F1990" t="s">
        <v>1582</v>
      </c>
      <c r="G1990" s="12" t="str">
        <f t="shared" si="97"/>
        <v>12-01</v>
      </c>
      <c r="H1990" s="1">
        <f>_xlfn.IFNA(VLOOKUP(Aragon!E1990,'Kilter Holds'!$P$36:$AB$370,13,0),0)</f>
        <v>0</v>
      </c>
      <c r="J1990" s="2">
        <f t="shared" si="103"/>
        <v>0</v>
      </c>
      <c r="K1990" s="2">
        <f t="shared" si="104"/>
        <v>0</v>
      </c>
    </row>
    <row r="1991" spans="1:11">
      <c r="A1991" t="s">
        <v>1061</v>
      </c>
      <c r="E1991" t="s">
        <v>1059</v>
      </c>
      <c r="F1991" t="s">
        <v>1062</v>
      </c>
      <c r="G1991" s="5" t="str">
        <f t="shared" ref="G1991:G1999" si="105">G1973</f>
        <v>11-12</v>
      </c>
      <c r="H1991" s="1">
        <f>_xlfn.IFNA(VLOOKUP(Aragon!E1991,'Kilter Holds'!$P$36:$AB$370,5,0),0)+_xlfn.IFNA(VLOOKUP(Aragon!A1991,'Kilter Holds'!$P$36:$AB$370,5,0),0)</f>
        <v>0</v>
      </c>
      <c r="J1991" s="2">
        <f t="shared" si="102"/>
        <v>0</v>
      </c>
      <c r="K1991" s="2">
        <f t="shared" ref="K1991:K2008" si="106">IF($V$11="Y",J1991*0.05,0)</f>
        <v>0</v>
      </c>
    </row>
    <row r="1992" spans="1:11">
      <c r="A1992" t="s">
        <v>1061</v>
      </c>
      <c r="E1992" t="s">
        <v>1059</v>
      </c>
      <c r="F1992" t="s">
        <v>1062</v>
      </c>
      <c r="G1992" s="6" t="str">
        <f t="shared" si="105"/>
        <v>14-01</v>
      </c>
      <c r="H1992" s="1">
        <f>_xlfn.IFNA(VLOOKUP(Aragon!E1992,'Kilter Holds'!$P$36:$AB$370,6,0),0)+_xlfn.IFNA(VLOOKUP(Aragon!A1992,'Kilter Holds'!$P$36:$AB$370,6,0),0)</f>
        <v>0</v>
      </c>
      <c r="J1992" s="2">
        <f t="shared" si="102"/>
        <v>0</v>
      </c>
      <c r="K1992" s="2">
        <f t="shared" si="106"/>
        <v>0</v>
      </c>
    </row>
    <row r="1993" spans="1:11">
      <c r="A1993" t="s">
        <v>1061</v>
      </c>
      <c r="E1993" t="s">
        <v>1059</v>
      </c>
      <c r="F1993" t="s">
        <v>1062</v>
      </c>
      <c r="G1993" s="7" t="str">
        <f t="shared" si="105"/>
        <v>15-12</v>
      </c>
      <c r="H1993" s="1">
        <f>_xlfn.IFNA(VLOOKUP(Aragon!E1993,'Kilter Holds'!$P$36:$AB$370,7,0),0)+_xlfn.IFNA(VLOOKUP(Aragon!A1993,'Kilter Holds'!$P$36:$AB$370,7,0),0)</f>
        <v>0</v>
      </c>
      <c r="J1993" s="2">
        <f t="shared" si="102"/>
        <v>0</v>
      </c>
      <c r="K1993" s="2">
        <f t="shared" si="106"/>
        <v>0</v>
      </c>
    </row>
    <row r="1994" spans="1:11">
      <c r="A1994" t="s">
        <v>1061</v>
      </c>
      <c r="E1994" t="s">
        <v>1059</v>
      </c>
      <c r="F1994" t="s">
        <v>1062</v>
      </c>
      <c r="G1994" s="8" t="str">
        <f t="shared" si="105"/>
        <v>16-16</v>
      </c>
      <c r="H1994" s="1">
        <f>_xlfn.IFNA(VLOOKUP(Aragon!E1994,'Kilter Holds'!$P$36:$AB$370,8,0),0)+_xlfn.IFNA(VLOOKUP(Aragon!A1994,'Kilter Holds'!$P$36:$AB$370,8,0),0)</f>
        <v>0</v>
      </c>
      <c r="J1994" s="2">
        <f t="shared" si="102"/>
        <v>0</v>
      </c>
      <c r="K1994" s="2">
        <f t="shared" si="106"/>
        <v>0</v>
      </c>
    </row>
    <row r="1995" spans="1:11">
      <c r="A1995" t="s">
        <v>1061</v>
      </c>
      <c r="E1995" t="s">
        <v>1059</v>
      </c>
      <c r="F1995" t="s">
        <v>1062</v>
      </c>
      <c r="G1995" s="9" t="str">
        <f t="shared" si="105"/>
        <v>13-01</v>
      </c>
      <c r="H1995" s="1">
        <f>_xlfn.IFNA(VLOOKUP(Aragon!E1995,'Kilter Holds'!$P$36:$AB$370,9,0),0)+_xlfn.IFNA(VLOOKUP(Aragon!A1995,'Kilter Holds'!$P$36:$AB$370,9,0),0)</f>
        <v>0</v>
      </c>
      <c r="J1995" s="2">
        <f t="shared" si="102"/>
        <v>0</v>
      </c>
      <c r="K1995" s="2">
        <f t="shared" si="106"/>
        <v>0</v>
      </c>
    </row>
    <row r="1996" spans="1:11">
      <c r="A1996" t="s">
        <v>1061</v>
      </c>
      <c r="E1996" t="s">
        <v>1059</v>
      </c>
      <c r="F1996" t="s">
        <v>1062</v>
      </c>
      <c r="G1996" s="10" t="str">
        <f t="shared" si="105"/>
        <v>07-13</v>
      </c>
      <c r="H1996" s="1">
        <f>_xlfn.IFNA(VLOOKUP(Aragon!E1996,'Kilter Holds'!$P$36:$AB$370,10,0),0)+_xlfn.IFNA(VLOOKUP(Aragon!A1996,'Kilter Holds'!$P$36:$AB$370,10,0),0)</f>
        <v>0</v>
      </c>
      <c r="J1996" s="2">
        <f t="shared" si="102"/>
        <v>0</v>
      </c>
      <c r="K1996" s="2">
        <f t="shared" si="106"/>
        <v>0</v>
      </c>
    </row>
    <row r="1997" spans="1:11">
      <c r="A1997" t="s">
        <v>1061</v>
      </c>
      <c r="E1997" t="s">
        <v>1059</v>
      </c>
      <c r="F1997" t="s">
        <v>1062</v>
      </c>
      <c r="G1997" s="11" t="str">
        <f t="shared" si="105"/>
        <v>11-25</v>
      </c>
      <c r="H1997" s="1">
        <f>_xlfn.IFNA(VLOOKUP(Aragon!E1997,'Kilter Holds'!$P$36:$AB$370,11,0),0)+_xlfn.IFNA(VLOOKUP(Aragon!A1997,'Kilter Holds'!$P$36:$AB$370,11,0),0)</f>
        <v>0</v>
      </c>
      <c r="J1997" s="2">
        <f t="shared" si="102"/>
        <v>0</v>
      </c>
      <c r="K1997" s="2">
        <f t="shared" si="106"/>
        <v>0</v>
      </c>
    </row>
    <row r="1998" spans="1:11">
      <c r="A1998" t="s">
        <v>1061</v>
      </c>
      <c r="E1998" t="s">
        <v>1059</v>
      </c>
      <c r="F1998" t="s">
        <v>1062</v>
      </c>
      <c r="G1998" s="13" t="str">
        <f t="shared" si="105"/>
        <v>18-01</v>
      </c>
      <c r="H1998" s="1">
        <f>_xlfn.IFNA(VLOOKUP(Aragon!E1998,'Kilter Holds'!$P$36:$AB$370,12,0),0)+_xlfn.IFNA(VLOOKUP(Aragon!A1998,'Kilter Holds'!$P$36:$AB$370,12,0),0)</f>
        <v>0</v>
      </c>
      <c r="J1998" s="2">
        <f t="shared" si="102"/>
        <v>0</v>
      </c>
      <c r="K1998" s="2">
        <f t="shared" si="106"/>
        <v>0</v>
      </c>
    </row>
    <row r="1999" spans="1:11">
      <c r="A1999" t="s">
        <v>1061</v>
      </c>
      <c r="E1999" t="s">
        <v>1059</v>
      </c>
      <c r="F1999" t="s">
        <v>1062</v>
      </c>
      <c r="G1999" s="12" t="str">
        <f t="shared" si="105"/>
        <v>12-01</v>
      </c>
      <c r="H1999" s="1">
        <f>_xlfn.IFNA(VLOOKUP(Aragon!E1999,'Kilter Holds'!$P$36:$AB$370,13,0),0)+_xlfn.IFNA(VLOOKUP(Aragon!A1999,'Kilter Holds'!$P$36:$AB$370,13,0),0)</f>
        <v>0</v>
      </c>
      <c r="J1999" s="2">
        <f t="shared" si="102"/>
        <v>0</v>
      </c>
      <c r="K1999" s="2">
        <f t="shared" si="106"/>
        <v>0</v>
      </c>
    </row>
    <row r="2000" spans="1:11">
      <c r="A2000" t="s">
        <v>1061</v>
      </c>
      <c r="E2000" t="s">
        <v>1060</v>
      </c>
      <c r="F2000" t="s">
        <v>1063</v>
      </c>
      <c r="G2000" s="5" t="str">
        <f t="shared" si="97"/>
        <v>11-12</v>
      </c>
      <c r="H2000" s="1">
        <f>_xlfn.IFNA(VLOOKUP(Aragon!E2000,'Kilter Holds'!$P$36:$AB$370,5,0),0)+(2*_xlfn.IFNA(VLOOKUP(Aragon!A2000,'Kilter Holds'!$P$36:$AB$370,5,0),0))</f>
        <v>0</v>
      </c>
      <c r="J2000" s="2">
        <f t="shared" si="102"/>
        <v>0</v>
      </c>
      <c r="K2000" s="2">
        <f t="shared" si="106"/>
        <v>0</v>
      </c>
    </row>
    <row r="2001" spans="1:11">
      <c r="A2001" t="s">
        <v>1061</v>
      </c>
      <c r="E2001" t="s">
        <v>1060</v>
      </c>
      <c r="F2001" t="s">
        <v>1063</v>
      </c>
      <c r="G2001" s="6" t="str">
        <f t="shared" si="97"/>
        <v>14-01</v>
      </c>
      <c r="H2001" s="1">
        <f>_xlfn.IFNA(VLOOKUP(Aragon!E2001,'Kilter Holds'!$P$36:$AB$370,6,0),0)+(2*_xlfn.IFNA(VLOOKUP(Aragon!A2001,'Kilter Holds'!$P$36:$AB$370,6,0),0))</f>
        <v>0</v>
      </c>
      <c r="J2001" s="2">
        <f t="shared" si="102"/>
        <v>0</v>
      </c>
      <c r="K2001" s="2">
        <f t="shared" si="106"/>
        <v>0</v>
      </c>
    </row>
    <row r="2002" spans="1:11">
      <c r="A2002" t="s">
        <v>1061</v>
      </c>
      <c r="E2002" t="s">
        <v>1060</v>
      </c>
      <c r="F2002" t="s">
        <v>1063</v>
      </c>
      <c r="G2002" s="7" t="str">
        <f t="shared" si="97"/>
        <v>15-12</v>
      </c>
      <c r="H2002" s="1">
        <f>_xlfn.IFNA(VLOOKUP(Aragon!E2002,'Kilter Holds'!$P$36:$AB$370,7,0),0)+(2*_xlfn.IFNA(VLOOKUP(Aragon!A2002,'Kilter Holds'!$P$36:$AB$370,7,0),0))</f>
        <v>0</v>
      </c>
      <c r="J2002" s="2">
        <f t="shared" si="102"/>
        <v>0</v>
      </c>
      <c r="K2002" s="2">
        <f t="shared" si="106"/>
        <v>0</v>
      </c>
    </row>
    <row r="2003" spans="1:11">
      <c r="A2003" t="s">
        <v>1061</v>
      </c>
      <c r="E2003" t="s">
        <v>1060</v>
      </c>
      <c r="F2003" t="s">
        <v>1063</v>
      </c>
      <c r="G2003" s="8" t="str">
        <f t="shared" si="97"/>
        <v>16-16</v>
      </c>
      <c r="H2003" s="1">
        <f>_xlfn.IFNA(VLOOKUP(Aragon!E2003,'Kilter Holds'!$P$36:$AB$370,8,0),0)+(2*_xlfn.IFNA(VLOOKUP(Aragon!A2003,'Kilter Holds'!$P$36:$AB$370,8,0),0))</f>
        <v>0</v>
      </c>
      <c r="J2003" s="2">
        <f t="shared" si="102"/>
        <v>0</v>
      </c>
      <c r="K2003" s="2">
        <f t="shared" si="106"/>
        <v>0</v>
      </c>
    </row>
    <row r="2004" spans="1:11">
      <c r="A2004" t="s">
        <v>1061</v>
      </c>
      <c r="E2004" t="s">
        <v>1060</v>
      </c>
      <c r="F2004" t="s">
        <v>1063</v>
      </c>
      <c r="G2004" s="9" t="str">
        <f t="shared" si="97"/>
        <v>13-01</v>
      </c>
      <c r="H2004" s="1">
        <f>_xlfn.IFNA(VLOOKUP(Aragon!E2004,'Kilter Holds'!$P$36:$AB$370,9,0),0)+(2*_xlfn.IFNA(VLOOKUP(Aragon!A2004,'Kilter Holds'!$P$36:$AB$370,9,0),0))</f>
        <v>0</v>
      </c>
      <c r="J2004" s="2">
        <f t="shared" si="102"/>
        <v>0</v>
      </c>
      <c r="K2004" s="2">
        <f t="shared" si="106"/>
        <v>0</v>
      </c>
    </row>
    <row r="2005" spans="1:11">
      <c r="A2005" t="s">
        <v>1061</v>
      </c>
      <c r="E2005" t="s">
        <v>1060</v>
      </c>
      <c r="F2005" t="s">
        <v>1063</v>
      </c>
      <c r="G2005" s="10" t="str">
        <f t="shared" si="97"/>
        <v>07-13</v>
      </c>
      <c r="H2005" s="1">
        <f>_xlfn.IFNA(VLOOKUP(Aragon!E2005,'Kilter Holds'!$P$36:$AB$370,10,0),0)+(2*_xlfn.IFNA(VLOOKUP(Aragon!A2005,'Kilter Holds'!$P$36:$AB$370,10,0),0))</f>
        <v>0</v>
      </c>
      <c r="J2005" s="2">
        <f t="shared" si="102"/>
        <v>0</v>
      </c>
      <c r="K2005" s="2">
        <f t="shared" si="106"/>
        <v>0</v>
      </c>
    </row>
    <row r="2006" spans="1:11">
      <c r="A2006" t="s">
        <v>1061</v>
      </c>
      <c r="E2006" t="s">
        <v>1060</v>
      </c>
      <c r="F2006" t="s">
        <v>1063</v>
      </c>
      <c r="G2006" s="11" t="str">
        <f t="shared" si="97"/>
        <v>11-25</v>
      </c>
      <c r="H2006" s="1">
        <f>_xlfn.IFNA(VLOOKUP(Aragon!E2006,'Kilter Holds'!$P$36:$AB$370,11,0),0)+(2*_xlfn.IFNA(VLOOKUP(Aragon!A2006,'Kilter Holds'!$P$36:$AB$370,11,0),0))</f>
        <v>0</v>
      </c>
      <c r="J2006" s="2">
        <f t="shared" si="102"/>
        <v>0</v>
      </c>
      <c r="K2006" s="2">
        <f t="shared" si="106"/>
        <v>0</v>
      </c>
    </row>
    <row r="2007" spans="1:11">
      <c r="A2007" t="s">
        <v>1061</v>
      </c>
      <c r="E2007" t="s">
        <v>1060</v>
      </c>
      <c r="F2007" t="s">
        <v>1063</v>
      </c>
      <c r="G2007" s="13" t="str">
        <f t="shared" si="97"/>
        <v>18-01</v>
      </c>
      <c r="H2007" s="1">
        <f>_xlfn.IFNA(VLOOKUP(Aragon!E2007,'Kilter Holds'!$P$36:$AB$370,12,0),0)+(2*_xlfn.IFNA(VLOOKUP(Aragon!A2007,'Kilter Holds'!$P$36:$AB$370,12,0),0))</f>
        <v>0</v>
      </c>
      <c r="J2007" s="2">
        <f t="shared" si="102"/>
        <v>0</v>
      </c>
      <c r="K2007" s="2">
        <f t="shared" si="106"/>
        <v>0</v>
      </c>
    </row>
    <row r="2008" spans="1:11">
      <c r="A2008" t="s">
        <v>1061</v>
      </c>
      <c r="E2008" t="s">
        <v>1060</v>
      </c>
      <c r="F2008" t="s">
        <v>1063</v>
      </c>
      <c r="G2008" s="12" t="str">
        <f t="shared" si="97"/>
        <v>12-01</v>
      </c>
      <c r="H2008" s="1">
        <f>_xlfn.IFNA(VLOOKUP(Aragon!E2008,'Kilter Holds'!$P$36:$AB$370,13,0),0)+(2*_xlfn.IFNA(VLOOKUP(Aragon!A2008,'Kilter Holds'!$P$36:$AB$370,13,0),0))</f>
        <v>0</v>
      </c>
      <c r="J2008" s="2">
        <f t="shared" si="102"/>
        <v>0</v>
      </c>
      <c r="K2008" s="2">
        <f t="shared" si="106"/>
        <v>0</v>
      </c>
    </row>
    <row r="2009" spans="1:11">
      <c r="E2009" t="s">
        <v>1064</v>
      </c>
      <c r="F2009" t="s">
        <v>1065</v>
      </c>
      <c r="G2009" s="5" t="str">
        <f t="shared" si="97"/>
        <v>11-12</v>
      </c>
      <c r="H2009" s="1">
        <f>_xlfn.IFNA(VLOOKUP(Aragon!E2009,'Kilter Holds'!$P$36:$AB$370,5,0),0)+(2*_xlfn.IFNA(VLOOKUP(Aragon!A2009,'Kilter Holds'!$P$36:$AB$370,5,0),0))</f>
        <v>0</v>
      </c>
      <c r="J2009" s="2">
        <f t="shared" si="102"/>
        <v>0</v>
      </c>
      <c r="K2009" s="2">
        <f t="shared" ref="K2009:K2017" si="107">IF($V$11="Y",J2009*0.05,0)</f>
        <v>0</v>
      </c>
    </row>
    <row r="2010" spans="1:11">
      <c r="E2010" t="s">
        <v>1064</v>
      </c>
      <c r="F2010" t="s">
        <v>1065</v>
      </c>
      <c r="G2010" s="6" t="str">
        <f t="shared" si="97"/>
        <v>14-01</v>
      </c>
      <c r="H2010" s="1">
        <f>_xlfn.IFNA(VLOOKUP(Aragon!E2010,'Kilter Holds'!$P$36:$AB$370,6,0),0)+(2*_xlfn.IFNA(VLOOKUP(Aragon!A2010,'Kilter Holds'!$P$36:$AB$370,6,0),0))</f>
        <v>0</v>
      </c>
      <c r="J2010" s="2">
        <f t="shared" si="102"/>
        <v>0</v>
      </c>
      <c r="K2010" s="2">
        <f t="shared" si="107"/>
        <v>0</v>
      </c>
    </row>
    <row r="2011" spans="1:11">
      <c r="E2011" t="s">
        <v>1064</v>
      </c>
      <c r="F2011" t="s">
        <v>1065</v>
      </c>
      <c r="G2011" s="7" t="str">
        <f t="shared" si="97"/>
        <v>15-12</v>
      </c>
      <c r="H2011" s="1">
        <f>_xlfn.IFNA(VLOOKUP(Aragon!E2011,'Kilter Holds'!$P$36:$AB$370,7,0),0)+(2*_xlfn.IFNA(VLOOKUP(Aragon!A2011,'Kilter Holds'!$P$36:$AB$370,7,0),0))</f>
        <v>0</v>
      </c>
      <c r="J2011" s="2">
        <f t="shared" si="102"/>
        <v>0</v>
      </c>
      <c r="K2011" s="2">
        <f t="shared" si="107"/>
        <v>0</v>
      </c>
    </row>
    <row r="2012" spans="1:11">
      <c r="E2012" t="s">
        <v>1064</v>
      </c>
      <c r="F2012" t="s">
        <v>1065</v>
      </c>
      <c r="G2012" s="8" t="str">
        <f t="shared" si="97"/>
        <v>16-16</v>
      </c>
      <c r="H2012" s="1">
        <f>_xlfn.IFNA(VLOOKUP(Aragon!E2012,'Kilter Holds'!$P$36:$AB$370,8,0),0)+(2*_xlfn.IFNA(VLOOKUP(Aragon!A2012,'Kilter Holds'!$P$36:$AB$370,8,0),0))</f>
        <v>0</v>
      </c>
      <c r="J2012" s="2">
        <f t="shared" si="102"/>
        <v>0</v>
      </c>
      <c r="K2012" s="2">
        <f t="shared" si="107"/>
        <v>0</v>
      </c>
    </row>
    <row r="2013" spans="1:11">
      <c r="E2013" t="s">
        <v>1064</v>
      </c>
      <c r="F2013" t="s">
        <v>1065</v>
      </c>
      <c r="G2013" s="9" t="str">
        <f t="shared" si="97"/>
        <v>13-01</v>
      </c>
      <c r="H2013" s="1">
        <f>_xlfn.IFNA(VLOOKUP(Aragon!E2013,'Kilter Holds'!$P$36:$AB$370,9,0),0)+(2*_xlfn.IFNA(VLOOKUP(Aragon!A2013,'Kilter Holds'!$P$36:$AB$370,9,0),0))</f>
        <v>0</v>
      </c>
      <c r="J2013" s="2">
        <f t="shared" si="102"/>
        <v>0</v>
      </c>
      <c r="K2013" s="2">
        <f t="shared" si="107"/>
        <v>0</v>
      </c>
    </row>
    <row r="2014" spans="1:11">
      <c r="E2014" t="s">
        <v>1064</v>
      </c>
      <c r="F2014" t="s">
        <v>1065</v>
      </c>
      <c r="G2014" s="10" t="str">
        <f t="shared" si="97"/>
        <v>07-13</v>
      </c>
      <c r="H2014" s="1">
        <f>_xlfn.IFNA(VLOOKUP(Aragon!E2014,'Kilter Holds'!$P$36:$AB$370,10,0),0)+(2*_xlfn.IFNA(VLOOKUP(Aragon!A2014,'Kilter Holds'!$P$36:$AB$370,10,0),0))</f>
        <v>0</v>
      </c>
      <c r="J2014" s="2">
        <f t="shared" si="102"/>
        <v>0</v>
      </c>
      <c r="K2014" s="2">
        <f t="shared" si="107"/>
        <v>0</v>
      </c>
    </row>
    <row r="2015" spans="1:11">
      <c r="E2015" t="s">
        <v>1064</v>
      </c>
      <c r="F2015" t="s">
        <v>1065</v>
      </c>
      <c r="G2015" s="11" t="str">
        <f t="shared" si="97"/>
        <v>11-25</v>
      </c>
      <c r="H2015" s="1">
        <f>_xlfn.IFNA(VLOOKUP(Aragon!E2015,'Kilter Holds'!$P$36:$AB$370,11,0),0)+(2*_xlfn.IFNA(VLOOKUP(Aragon!A2015,'Kilter Holds'!$P$36:$AB$370,11,0),0))</f>
        <v>0</v>
      </c>
      <c r="J2015" s="2">
        <f t="shared" si="102"/>
        <v>0</v>
      </c>
      <c r="K2015" s="2">
        <f t="shared" si="107"/>
        <v>0</v>
      </c>
    </row>
    <row r="2016" spans="1:11">
      <c r="E2016" t="s">
        <v>1064</v>
      </c>
      <c r="F2016" t="s">
        <v>1065</v>
      </c>
      <c r="G2016" s="13" t="str">
        <f t="shared" si="97"/>
        <v>18-01</v>
      </c>
      <c r="H2016" s="1">
        <f>_xlfn.IFNA(VLOOKUP(Aragon!E2016,'Kilter Holds'!$P$36:$AB$370,12,0),0)+(2*_xlfn.IFNA(VLOOKUP(Aragon!A2016,'Kilter Holds'!$P$36:$AB$370,12,0),0))</f>
        <v>0</v>
      </c>
      <c r="J2016" s="2">
        <f t="shared" si="102"/>
        <v>0</v>
      </c>
      <c r="K2016" s="2">
        <f t="shared" si="107"/>
        <v>0</v>
      </c>
    </row>
    <row r="2017" spans="5:11">
      <c r="E2017" t="s">
        <v>1064</v>
      </c>
      <c r="F2017" t="s">
        <v>1065</v>
      </c>
      <c r="G2017" s="12" t="str">
        <f t="shared" si="97"/>
        <v>12-01</v>
      </c>
      <c r="H2017" s="1">
        <f>_xlfn.IFNA(VLOOKUP(Aragon!E2017,'Kilter Holds'!$P$36:$AB$370,13,0),0)+(2*_xlfn.IFNA(VLOOKUP(Aragon!A2017,'Kilter Holds'!$P$36:$AB$370,13,0),0))</f>
        <v>0</v>
      </c>
      <c r="J2017" s="2">
        <f t="shared" si="102"/>
        <v>0</v>
      </c>
      <c r="K2017" s="2">
        <f t="shared" si="107"/>
        <v>0</v>
      </c>
    </row>
    <row r="2018" spans="5:11">
      <c r="E2018" t="s">
        <v>1207</v>
      </c>
      <c r="F2018" t="s">
        <v>1216</v>
      </c>
      <c r="G2018" s="5" t="str">
        <f t="shared" si="97"/>
        <v>11-12</v>
      </c>
      <c r="H2018" s="1">
        <f>_xlfn.IFNA(VLOOKUP(Aragon!E2018,'Kilter Holds'!$P$36:$AB$370,5,0),0)+(2*_xlfn.IFNA(VLOOKUP(Aragon!A2018,'Kilter Holds'!$P$36:$AB$370,5,0),0))</f>
        <v>0</v>
      </c>
      <c r="J2018" s="2">
        <f t="shared" ref="J2018:J2026" si="108">H2018*I2018</f>
        <v>0</v>
      </c>
      <c r="K2018" s="2">
        <f t="shared" ref="K2018:K2026" si="109">IF($V$11="Y",J2018*0.05,0)</f>
        <v>0</v>
      </c>
    </row>
    <row r="2019" spans="5:11">
      <c r="E2019" t="s">
        <v>1207</v>
      </c>
      <c r="F2019" t="s">
        <v>1216</v>
      </c>
      <c r="G2019" s="6" t="str">
        <f t="shared" si="97"/>
        <v>14-01</v>
      </c>
      <c r="H2019" s="1">
        <f>_xlfn.IFNA(VLOOKUP(Aragon!E2019,'Kilter Holds'!$P$36:$AB$370,6,0),0)+(2*_xlfn.IFNA(VLOOKUP(Aragon!A2019,'Kilter Holds'!$P$36:$AB$370,6,0),0))</f>
        <v>0</v>
      </c>
      <c r="J2019" s="2">
        <f t="shared" si="108"/>
        <v>0</v>
      </c>
      <c r="K2019" s="2">
        <f t="shared" si="109"/>
        <v>0</v>
      </c>
    </row>
    <row r="2020" spans="5:11">
      <c r="E2020" t="s">
        <v>1207</v>
      </c>
      <c r="F2020" t="s">
        <v>1216</v>
      </c>
      <c r="G2020" s="7" t="str">
        <f t="shared" si="97"/>
        <v>15-12</v>
      </c>
      <c r="H2020" s="1">
        <f>_xlfn.IFNA(VLOOKUP(Aragon!E2020,'Kilter Holds'!$P$36:$AB$370,7,0),0)+(2*_xlfn.IFNA(VLOOKUP(Aragon!A2020,'Kilter Holds'!$P$36:$AB$370,7,0),0))</f>
        <v>0</v>
      </c>
      <c r="J2020" s="2">
        <f t="shared" si="108"/>
        <v>0</v>
      </c>
      <c r="K2020" s="2">
        <f t="shared" si="109"/>
        <v>0</v>
      </c>
    </row>
    <row r="2021" spans="5:11">
      <c r="E2021" t="s">
        <v>1207</v>
      </c>
      <c r="F2021" t="s">
        <v>1216</v>
      </c>
      <c r="G2021" s="8" t="str">
        <f t="shared" si="97"/>
        <v>16-16</v>
      </c>
      <c r="H2021" s="1">
        <f>_xlfn.IFNA(VLOOKUP(Aragon!E2021,'Kilter Holds'!$P$36:$AB$370,8,0),0)+(2*_xlfn.IFNA(VLOOKUP(Aragon!A2021,'Kilter Holds'!$P$36:$AB$370,8,0),0))</f>
        <v>0</v>
      </c>
      <c r="J2021" s="2">
        <f t="shared" si="108"/>
        <v>0</v>
      </c>
      <c r="K2021" s="2">
        <f t="shared" si="109"/>
        <v>0</v>
      </c>
    </row>
    <row r="2022" spans="5:11">
      <c r="E2022" t="s">
        <v>1207</v>
      </c>
      <c r="F2022" t="s">
        <v>1216</v>
      </c>
      <c r="G2022" s="9" t="str">
        <f t="shared" si="97"/>
        <v>13-01</v>
      </c>
      <c r="H2022" s="1">
        <f>_xlfn.IFNA(VLOOKUP(Aragon!E2022,'Kilter Holds'!$P$36:$AB$370,9,0),0)+(2*_xlfn.IFNA(VLOOKUP(Aragon!A2022,'Kilter Holds'!$P$36:$AB$370,9,0),0))</f>
        <v>0</v>
      </c>
      <c r="J2022" s="2">
        <f t="shared" si="108"/>
        <v>0</v>
      </c>
      <c r="K2022" s="2">
        <f t="shared" si="109"/>
        <v>0</v>
      </c>
    </row>
    <row r="2023" spans="5:11">
      <c r="E2023" t="s">
        <v>1207</v>
      </c>
      <c r="F2023" t="s">
        <v>1216</v>
      </c>
      <c r="G2023" s="10" t="str">
        <f t="shared" si="97"/>
        <v>07-13</v>
      </c>
      <c r="H2023" s="1">
        <f>_xlfn.IFNA(VLOOKUP(Aragon!E2023,'Kilter Holds'!$P$36:$AB$370,10,0),0)+(2*_xlfn.IFNA(VLOOKUP(Aragon!A2023,'Kilter Holds'!$P$36:$AB$370,10,0),0))</f>
        <v>0</v>
      </c>
      <c r="J2023" s="2">
        <f t="shared" si="108"/>
        <v>0</v>
      </c>
      <c r="K2023" s="2">
        <f t="shared" si="109"/>
        <v>0</v>
      </c>
    </row>
    <row r="2024" spans="5:11">
      <c r="E2024" t="s">
        <v>1207</v>
      </c>
      <c r="F2024" t="s">
        <v>1216</v>
      </c>
      <c r="G2024" s="11" t="str">
        <f t="shared" si="97"/>
        <v>11-25</v>
      </c>
      <c r="H2024" s="1">
        <f>_xlfn.IFNA(VLOOKUP(Aragon!E2024,'Kilter Holds'!$P$36:$AB$370,11,0),0)+(2*_xlfn.IFNA(VLOOKUP(Aragon!A2024,'Kilter Holds'!$P$36:$AB$370,11,0),0))</f>
        <v>0</v>
      </c>
      <c r="J2024" s="2">
        <f t="shared" si="108"/>
        <v>0</v>
      </c>
      <c r="K2024" s="2">
        <f t="shared" si="109"/>
        <v>0</v>
      </c>
    </row>
    <row r="2025" spans="5:11">
      <c r="E2025" t="s">
        <v>1207</v>
      </c>
      <c r="F2025" t="s">
        <v>1216</v>
      </c>
      <c r="G2025" s="13" t="str">
        <f t="shared" si="97"/>
        <v>18-01</v>
      </c>
      <c r="H2025" s="1">
        <f>_xlfn.IFNA(VLOOKUP(Aragon!E2025,'Kilter Holds'!$P$36:$AB$370,12,0),0)+(2*_xlfn.IFNA(VLOOKUP(Aragon!A2025,'Kilter Holds'!$P$36:$AB$370,12,0),0))</f>
        <v>0</v>
      </c>
      <c r="J2025" s="2">
        <f t="shared" si="108"/>
        <v>0</v>
      </c>
      <c r="K2025" s="2">
        <f t="shared" si="109"/>
        <v>0</v>
      </c>
    </row>
    <row r="2026" spans="5:11">
      <c r="E2026" t="s">
        <v>1207</v>
      </c>
      <c r="F2026" t="s">
        <v>1216</v>
      </c>
      <c r="G2026" s="12" t="str">
        <f t="shared" si="97"/>
        <v>12-01</v>
      </c>
      <c r="H2026" s="1">
        <f>_xlfn.IFNA(VLOOKUP(Aragon!E2026,'Kilter Holds'!$P$36:$AB$370,13,0),0)+(2*_xlfn.IFNA(VLOOKUP(Aragon!A2026,'Kilter Holds'!$P$36:$AB$370,13,0),0))</f>
        <v>0</v>
      </c>
      <c r="J2026" s="2">
        <f t="shared" si="108"/>
        <v>0</v>
      </c>
      <c r="K2026" s="2">
        <f t="shared" si="109"/>
        <v>0</v>
      </c>
    </row>
    <row r="2027" spans="5:11">
      <c r="E2027" t="s">
        <v>1892</v>
      </c>
      <c r="F2027" t="s">
        <v>1893</v>
      </c>
      <c r="G2027" s="5" t="str">
        <f t="shared" si="97"/>
        <v>11-12</v>
      </c>
      <c r="H2027" s="1">
        <f>_xlfn.IFNA(VLOOKUP(Aragon!E2027,'Kilter Holds'!$P$36:$AB$370,5,0),0)+(2*_xlfn.IFNA(VLOOKUP(Aragon!A2027,'Kilter Holds'!$P$36:$AB$370,5,0),0))</f>
        <v>0</v>
      </c>
      <c r="J2027" s="2">
        <f t="shared" ref="J2027:J2044" si="110">H2027*I2027</f>
        <v>0</v>
      </c>
      <c r="K2027" s="2">
        <f t="shared" ref="K2027:K2044" si="111">IF($V$11="Y",J2027*0.05,0)</f>
        <v>0</v>
      </c>
    </row>
    <row r="2028" spans="5:11">
      <c r="E2028" t="s">
        <v>1892</v>
      </c>
      <c r="F2028" t="s">
        <v>1893</v>
      </c>
      <c r="G2028" s="6" t="str">
        <f t="shared" si="97"/>
        <v>14-01</v>
      </c>
      <c r="H2028" s="1">
        <f>_xlfn.IFNA(VLOOKUP(Aragon!E2028,'Kilter Holds'!$P$36:$AB$370,6,0),0)+(2*_xlfn.IFNA(VLOOKUP(Aragon!A2028,'Kilter Holds'!$P$36:$AB$370,6,0),0))</f>
        <v>0</v>
      </c>
      <c r="J2028" s="2">
        <f t="shared" si="110"/>
        <v>0</v>
      </c>
      <c r="K2028" s="2">
        <f t="shared" si="111"/>
        <v>0</v>
      </c>
    </row>
    <row r="2029" spans="5:11">
      <c r="E2029" t="s">
        <v>1892</v>
      </c>
      <c r="F2029" t="s">
        <v>1893</v>
      </c>
      <c r="G2029" s="7" t="str">
        <f t="shared" si="97"/>
        <v>15-12</v>
      </c>
      <c r="H2029" s="1">
        <f>_xlfn.IFNA(VLOOKUP(Aragon!E2029,'Kilter Holds'!$P$36:$AB$370,7,0),0)+(2*_xlfn.IFNA(VLOOKUP(Aragon!A2029,'Kilter Holds'!$P$36:$AB$370,7,0),0))</f>
        <v>0</v>
      </c>
      <c r="J2029" s="2">
        <f t="shared" si="110"/>
        <v>0</v>
      </c>
      <c r="K2029" s="2">
        <f t="shared" si="111"/>
        <v>0</v>
      </c>
    </row>
    <row r="2030" spans="5:11">
      <c r="E2030" t="s">
        <v>1892</v>
      </c>
      <c r="F2030" t="s">
        <v>1893</v>
      </c>
      <c r="G2030" s="8" t="str">
        <f t="shared" si="97"/>
        <v>16-16</v>
      </c>
      <c r="H2030" s="1">
        <f>_xlfn.IFNA(VLOOKUP(Aragon!E2030,'Kilter Holds'!$P$36:$AB$370,8,0),0)+(2*_xlfn.IFNA(VLOOKUP(Aragon!A2030,'Kilter Holds'!$P$36:$AB$370,8,0),0))</f>
        <v>0</v>
      </c>
      <c r="J2030" s="2">
        <f t="shared" si="110"/>
        <v>0</v>
      </c>
      <c r="K2030" s="2">
        <f t="shared" si="111"/>
        <v>0</v>
      </c>
    </row>
    <row r="2031" spans="5:11">
      <c r="E2031" t="s">
        <v>1892</v>
      </c>
      <c r="F2031" t="s">
        <v>1893</v>
      </c>
      <c r="G2031" s="9" t="str">
        <f t="shared" si="97"/>
        <v>13-01</v>
      </c>
      <c r="H2031" s="1">
        <f>_xlfn.IFNA(VLOOKUP(Aragon!E2031,'Kilter Holds'!$P$36:$AB$370,9,0),0)+(2*_xlfn.IFNA(VLOOKUP(Aragon!A2031,'Kilter Holds'!$P$36:$AB$370,9,0),0))</f>
        <v>0</v>
      </c>
      <c r="J2031" s="2">
        <f t="shared" si="110"/>
        <v>0</v>
      </c>
      <c r="K2031" s="2">
        <f t="shared" si="111"/>
        <v>0</v>
      </c>
    </row>
    <row r="2032" spans="5:11">
      <c r="E2032" t="s">
        <v>1892</v>
      </c>
      <c r="F2032" t="s">
        <v>1893</v>
      </c>
      <c r="G2032" s="10" t="str">
        <f t="shared" si="97"/>
        <v>07-13</v>
      </c>
      <c r="H2032" s="1">
        <f>_xlfn.IFNA(VLOOKUP(Aragon!E2032,'Kilter Holds'!$P$36:$AB$370,10,0),0)+(2*_xlfn.IFNA(VLOOKUP(Aragon!A2032,'Kilter Holds'!$P$36:$AB$370,10,0),0))</f>
        <v>0</v>
      </c>
      <c r="J2032" s="2">
        <f t="shared" si="110"/>
        <v>0</v>
      </c>
      <c r="K2032" s="2">
        <f t="shared" si="111"/>
        <v>0</v>
      </c>
    </row>
    <row r="2033" spans="5:11">
      <c r="E2033" t="s">
        <v>1892</v>
      </c>
      <c r="F2033" t="s">
        <v>1893</v>
      </c>
      <c r="G2033" s="11" t="str">
        <f t="shared" si="97"/>
        <v>11-25</v>
      </c>
      <c r="H2033" s="1">
        <f>_xlfn.IFNA(VLOOKUP(Aragon!E2033,'Kilter Holds'!$P$36:$AB$370,11,0),0)+(2*_xlfn.IFNA(VLOOKUP(Aragon!A2033,'Kilter Holds'!$P$36:$AB$370,11,0),0))</f>
        <v>0</v>
      </c>
      <c r="J2033" s="2">
        <f t="shared" si="110"/>
        <v>0</v>
      </c>
      <c r="K2033" s="2">
        <f t="shared" si="111"/>
        <v>0</v>
      </c>
    </row>
    <row r="2034" spans="5:11">
      <c r="E2034" t="s">
        <v>1892</v>
      </c>
      <c r="F2034" t="s">
        <v>1893</v>
      </c>
      <c r="G2034" s="13" t="str">
        <f t="shared" si="97"/>
        <v>18-01</v>
      </c>
      <c r="H2034" s="1">
        <f>_xlfn.IFNA(VLOOKUP(Aragon!E2034,'Kilter Holds'!$P$36:$AB$370,12,0),0)+(2*_xlfn.IFNA(VLOOKUP(Aragon!A2034,'Kilter Holds'!$P$36:$AB$370,12,0),0))</f>
        <v>0</v>
      </c>
      <c r="J2034" s="2">
        <f t="shared" si="110"/>
        <v>0</v>
      </c>
      <c r="K2034" s="2">
        <f t="shared" si="111"/>
        <v>0</v>
      </c>
    </row>
    <row r="2035" spans="5:11">
      <c r="E2035" t="s">
        <v>1892</v>
      </c>
      <c r="F2035" t="s">
        <v>1893</v>
      </c>
      <c r="G2035" s="12" t="str">
        <f t="shared" si="97"/>
        <v>12-01</v>
      </c>
      <c r="H2035" s="1">
        <f>_xlfn.IFNA(VLOOKUP(Aragon!E2035,'Kilter Holds'!$P$36:$AB$370,13,0),0)+(2*_xlfn.IFNA(VLOOKUP(Aragon!A2035,'Kilter Holds'!$P$36:$AB$370,13,0),0))</f>
        <v>0</v>
      </c>
      <c r="J2035" s="2">
        <f t="shared" si="110"/>
        <v>0</v>
      </c>
      <c r="K2035" s="2">
        <f t="shared" si="111"/>
        <v>0</v>
      </c>
    </row>
    <row r="2036" spans="5:11">
      <c r="E2036" t="s">
        <v>1891</v>
      </c>
      <c r="F2036" t="s">
        <v>1894</v>
      </c>
      <c r="G2036" s="5" t="str">
        <f t="shared" si="97"/>
        <v>11-12</v>
      </c>
      <c r="H2036" s="1">
        <f>_xlfn.IFNA(VLOOKUP(Aragon!E2036,'Kilter Holds'!$P$36:$AB$370,5,0),0)+(2*_xlfn.IFNA(VLOOKUP(Aragon!A2036,'Kilter Holds'!$P$36:$AB$370,5,0),0))</f>
        <v>0</v>
      </c>
      <c r="J2036" s="2">
        <f t="shared" si="110"/>
        <v>0</v>
      </c>
      <c r="K2036" s="2">
        <f t="shared" si="111"/>
        <v>0</v>
      </c>
    </row>
    <row r="2037" spans="5:11">
      <c r="E2037" t="s">
        <v>1891</v>
      </c>
      <c r="F2037" t="s">
        <v>1894</v>
      </c>
      <c r="G2037" s="6" t="str">
        <f t="shared" si="97"/>
        <v>14-01</v>
      </c>
      <c r="H2037" s="1">
        <f>_xlfn.IFNA(VLOOKUP(Aragon!E2037,'Kilter Holds'!$P$36:$AB$370,6,0),0)+(2*_xlfn.IFNA(VLOOKUP(Aragon!A2037,'Kilter Holds'!$P$36:$AB$370,6,0),0))</f>
        <v>0</v>
      </c>
      <c r="J2037" s="2">
        <f t="shared" si="110"/>
        <v>0</v>
      </c>
      <c r="K2037" s="2">
        <f t="shared" si="111"/>
        <v>0</v>
      </c>
    </row>
    <row r="2038" spans="5:11">
      <c r="E2038" t="s">
        <v>1891</v>
      </c>
      <c r="F2038" t="s">
        <v>1894</v>
      </c>
      <c r="G2038" s="7" t="str">
        <f t="shared" si="97"/>
        <v>15-12</v>
      </c>
      <c r="H2038" s="1">
        <f>_xlfn.IFNA(VLOOKUP(Aragon!E2038,'Kilter Holds'!$P$36:$AB$370,7,0),0)+(2*_xlfn.IFNA(VLOOKUP(Aragon!A2038,'Kilter Holds'!$P$36:$AB$370,7,0),0))</f>
        <v>0</v>
      </c>
      <c r="J2038" s="2">
        <f t="shared" si="110"/>
        <v>0</v>
      </c>
      <c r="K2038" s="2">
        <f t="shared" si="111"/>
        <v>0</v>
      </c>
    </row>
    <row r="2039" spans="5:11">
      <c r="E2039" t="s">
        <v>1891</v>
      </c>
      <c r="F2039" t="s">
        <v>1894</v>
      </c>
      <c r="G2039" s="8" t="str">
        <f t="shared" si="97"/>
        <v>16-16</v>
      </c>
      <c r="H2039" s="1">
        <f>_xlfn.IFNA(VLOOKUP(Aragon!E2039,'Kilter Holds'!$P$36:$AB$370,8,0),0)+(2*_xlfn.IFNA(VLOOKUP(Aragon!A2039,'Kilter Holds'!$P$36:$AB$370,8,0),0))</f>
        <v>0</v>
      </c>
      <c r="J2039" s="2">
        <f t="shared" si="110"/>
        <v>0</v>
      </c>
      <c r="K2039" s="2">
        <f t="shared" si="111"/>
        <v>0</v>
      </c>
    </row>
    <row r="2040" spans="5:11">
      <c r="E2040" t="s">
        <v>1891</v>
      </c>
      <c r="F2040" t="s">
        <v>1894</v>
      </c>
      <c r="G2040" s="9" t="str">
        <f t="shared" si="97"/>
        <v>13-01</v>
      </c>
      <c r="H2040" s="1">
        <f>_xlfn.IFNA(VLOOKUP(Aragon!E2040,'Kilter Holds'!$P$36:$AB$370,9,0),0)+(2*_xlfn.IFNA(VLOOKUP(Aragon!A2040,'Kilter Holds'!$P$36:$AB$370,9,0),0))</f>
        <v>0</v>
      </c>
      <c r="J2040" s="2">
        <f t="shared" si="110"/>
        <v>0</v>
      </c>
      <c r="K2040" s="2">
        <f t="shared" si="111"/>
        <v>0</v>
      </c>
    </row>
    <row r="2041" spans="5:11">
      <c r="E2041" t="s">
        <v>1891</v>
      </c>
      <c r="F2041" t="s">
        <v>1894</v>
      </c>
      <c r="G2041" s="10" t="str">
        <f t="shared" si="97"/>
        <v>07-13</v>
      </c>
      <c r="H2041" s="1">
        <f>_xlfn.IFNA(VLOOKUP(Aragon!E2041,'Kilter Holds'!$P$36:$AB$370,10,0),0)+(2*_xlfn.IFNA(VLOOKUP(Aragon!A2041,'Kilter Holds'!$P$36:$AB$370,10,0),0))</f>
        <v>0</v>
      </c>
      <c r="J2041" s="2">
        <f t="shared" si="110"/>
        <v>0</v>
      </c>
      <c r="K2041" s="2">
        <f t="shared" si="111"/>
        <v>0</v>
      </c>
    </row>
    <row r="2042" spans="5:11">
      <c r="E2042" t="s">
        <v>1891</v>
      </c>
      <c r="F2042" t="s">
        <v>1894</v>
      </c>
      <c r="G2042" s="11" t="str">
        <f t="shared" si="97"/>
        <v>11-25</v>
      </c>
      <c r="H2042" s="1">
        <f>_xlfn.IFNA(VLOOKUP(Aragon!E2042,'Kilter Holds'!$P$36:$AB$370,11,0),0)+(2*_xlfn.IFNA(VLOOKUP(Aragon!A2042,'Kilter Holds'!$P$36:$AB$370,11,0),0))</f>
        <v>0</v>
      </c>
      <c r="J2042" s="2">
        <f t="shared" si="110"/>
        <v>0</v>
      </c>
      <c r="K2042" s="2">
        <f t="shared" si="111"/>
        <v>0</v>
      </c>
    </row>
    <row r="2043" spans="5:11">
      <c r="E2043" t="s">
        <v>1891</v>
      </c>
      <c r="F2043" t="s">
        <v>1894</v>
      </c>
      <c r="G2043" s="13" t="str">
        <f t="shared" si="97"/>
        <v>18-01</v>
      </c>
      <c r="H2043" s="1">
        <f>_xlfn.IFNA(VLOOKUP(Aragon!E2043,'Kilter Holds'!$P$36:$AB$370,12,0),0)+(2*_xlfn.IFNA(VLOOKUP(Aragon!A2043,'Kilter Holds'!$P$36:$AB$370,12,0),0))</f>
        <v>0</v>
      </c>
      <c r="J2043" s="2">
        <f t="shared" si="110"/>
        <v>0</v>
      </c>
      <c r="K2043" s="2">
        <f t="shared" si="111"/>
        <v>0</v>
      </c>
    </row>
    <row r="2044" spans="5:11">
      <c r="E2044" t="s">
        <v>1891</v>
      </c>
      <c r="F2044" t="s">
        <v>1894</v>
      </c>
      <c r="G2044" s="12" t="str">
        <f t="shared" si="97"/>
        <v>12-01</v>
      </c>
      <c r="H2044" s="1">
        <f>_xlfn.IFNA(VLOOKUP(Aragon!E2044,'Kilter Holds'!$P$36:$AB$370,13,0),0)+(2*_xlfn.IFNA(VLOOKUP(Aragon!A2044,'Kilter Holds'!$P$36:$AB$370,13,0),0))</f>
        <v>0</v>
      </c>
      <c r="J2044" s="2">
        <f t="shared" si="110"/>
        <v>0</v>
      </c>
      <c r="K2044" s="2">
        <f t="shared" si="111"/>
        <v>0</v>
      </c>
    </row>
    <row r="2045" spans="5:11">
      <c r="E2045" t="s">
        <v>1895</v>
      </c>
      <c r="F2045" t="s">
        <v>1896</v>
      </c>
      <c r="G2045" s="5" t="str">
        <f t="shared" si="97"/>
        <v>11-12</v>
      </c>
      <c r="H2045" s="1">
        <f>_xlfn.IFNA(VLOOKUP(Aragon!E2045,'Kilter Holds'!$P$36:$AB$370,5,0),0)+(2*_xlfn.IFNA(VLOOKUP(Aragon!A2045,'Kilter Holds'!$P$36:$AB$370,5,0),0))</f>
        <v>0</v>
      </c>
      <c r="J2045" s="2">
        <f t="shared" ref="J2045:J2053" si="112">H2045*I2045</f>
        <v>0</v>
      </c>
      <c r="K2045" s="2">
        <f t="shared" ref="K2045:K2053" si="113">IF($V$11="Y",J2045*0.05,0)</f>
        <v>0</v>
      </c>
    </row>
    <row r="2046" spans="5:11">
      <c r="E2046" t="s">
        <v>1895</v>
      </c>
      <c r="F2046" t="s">
        <v>1896</v>
      </c>
      <c r="G2046" s="6" t="str">
        <f t="shared" si="97"/>
        <v>14-01</v>
      </c>
      <c r="H2046" s="1">
        <f>_xlfn.IFNA(VLOOKUP(Aragon!E2046,'Kilter Holds'!$P$36:$AB$370,6,0),0)+(2*_xlfn.IFNA(VLOOKUP(Aragon!A2046,'Kilter Holds'!$P$36:$AB$370,6,0),0))</f>
        <v>0</v>
      </c>
      <c r="J2046" s="2">
        <f t="shared" si="112"/>
        <v>0</v>
      </c>
      <c r="K2046" s="2">
        <f t="shared" si="113"/>
        <v>0</v>
      </c>
    </row>
    <row r="2047" spans="5:11">
      <c r="E2047" t="s">
        <v>1895</v>
      </c>
      <c r="F2047" t="s">
        <v>1896</v>
      </c>
      <c r="G2047" s="7" t="str">
        <f t="shared" si="97"/>
        <v>15-12</v>
      </c>
      <c r="H2047" s="1">
        <f>_xlfn.IFNA(VLOOKUP(Aragon!E2047,'Kilter Holds'!$P$36:$AB$370,7,0),0)+(2*_xlfn.IFNA(VLOOKUP(Aragon!A2047,'Kilter Holds'!$P$36:$AB$370,7,0),0))</f>
        <v>0</v>
      </c>
      <c r="J2047" s="2">
        <f t="shared" si="112"/>
        <v>0</v>
      </c>
      <c r="K2047" s="2">
        <f t="shared" si="113"/>
        <v>0</v>
      </c>
    </row>
    <row r="2048" spans="5:11">
      <c r="E2048" t="s">
        <v>1895</v>
      </c>
      <c r="F2048" t="s">
        <v>1896</v>
      </c>
      <c r="G2048" s="8" t="str">
        <f t="shared" si="97"/>
        <v>16-16</v>
      </c>
      <c r="H2048" s="1">
        <f>_xlfn.IFNA(VLOOKUP(Aragon!E2048,'Kilter Holds'!$P$36:$AB$370,8,0),0)+(2*_xlfn.IFNA(VLOOKUP(Aragon!A2048,'Kilter Holds'!$P$36:$AB$370,8,0),0))</f>
        <v>0</v>
      </c>
      <c r="J2048" s="2">
        <f t="shared" si="112"/>
        <v>0</v>
      </c>
      <c r="K2048" s="2">
        <f t="shared" si="113"/>
        <v>0</v>
      </c>
    </row>
    <row r="2049" spans="5:11">
      <c r="E2049" t="s">
        <v>1895</v>
      </c>
      <c r="F2049" t="s">
        <v>1896</v>
      </c>
      <c r="G2049" s="9" t="str">
        <f t="shared" si="97"/>
        <v>13-01</v>
      </c>
      <c r="H2049" s="1">
        <f>_xlfn.IFNA(VLOOKUP(Aragon!E2049,'Kilter Holds'!$P$36:$AB$370,9,0),0)+(2*_xlfn.IFNA(VLOOKUP(Aragon!A2049,'Kilter Holds'!$P$36:$AB$370,9,0),0))</f>
        <v>0</v>
      </c>
      <c r="J2049" s="2">
        <f t="shared" si="112"/>
        <v>0</v>
      </c>
      <c r="K2049" s="2">
        <f t="shared" si="113"/>
        <v>0</v>
      </c>
    </row>
    <row r="2050" spans="5:11">
      <c r="E2050" t="s">
        <v>1895</v>
      </c>
      <c r="F2050" t="s">
        <v>1896</v>
      </c>
      <c r="G2050" s="10" t="str">
        <f t="shared" si="97"/>
        <v>07-13</v>
      </c>
      <c r="H2050" s="1">
        <f>_xlfn.IFNA(VLOOKUP(Aragon!E2050,'Kilter Holds'!$P$36:$AB$370,10,0),0)+(2*_xlfn.IFNA(VLOOKUP(Aragon!A2050,'Kilter Holds'!$P$36:$AB$370,10,0),0))</f>
        <v>0</v>
      </c>
      <c r="J2050" s="2">
        <f t="shared" si="112"/>
        <v>0</v>
      </c>
      <c r="K2050" s="2">
        <f t="shared" si="113"/>
        <v>0</v>
      </c>
    </row>
    <row r="2051" spans="5:11">
      <c r="E2051" t="s">
        <v>1895</v>
      </c>
      <c r="F2051" t="s">
        <v>1896</v>
      </c>
      <c r="G2051" s="11" t="str">
        <f t="shared" si="97"/>
        <v>11-25</v>
      </c>
      <c r="H2051" s="1">
        <f>_xlfn.IFNA(VLOOKUP(Aragon!E2051,'Kilter Holds'!$P$36:$AB$370,11,0),0)+(2*_xlfn.IFNA(VLOOKUP(Aragon!A2051,'Kilter Holds'!$P$36:$AB$370,11,0),0))</f>
        <v>0</v>
      </c>
      <c r="J2051" s="2">
        <f t="shared" si="112"/>
        <v>0</v>
      </c>
      <c r="K2051" s="2">
        <f t="shared" si="113"/>
        <v>0</v>
      </c>
    </row>
    <row r="2052" spans="5:11">
      <c r="E2052" t="s">
        <v>1895</v>
      </c>
      <c r="F2052" t="s">
        <v>1896</v>
      </c>
      <c r="G2052" s="13" t="str">
        <f t="shared" si="97"/>
        <v>18-01</v>
      </c>
      <c r="H2052" s="1">
        <f>_xlfn.IFNA(VLOOKUP(Aragon!E2052,'Kilter Holds'!$P$36:$AB$370,12,0),0)+(2*_xlfn.IFNA(VLOOKUP(Aragon!A2052,'Kilter Holds'!$P$36:$AB$370,12,0),0))</f>
        <v>0</v>
      </c>
      <c r="J2052" s="2">
        <f t="shared" si="112"/>
        <v>0</v>
      </c>
      <c r="K2052" s="2">
        <f t="shared" si="113"/>
        <v>0</v>
      </c>
    </row>
    <row r="2053" spans="5:11">
      <c r="E2053" t="s">
        <v>1895</v>
      </c>
      <c r="F2053" t="s">
        <v>1896</v>
      </c>
      <c r="G2053" s="12" t="str">
        <f t="shared" si="97"/>
        <v>12-01</v>
      </c>
      <c r="H2053" s="1">
        <f>_xlfn.IFNA(VLOOKUP(Aragon!E2053,'Kilter Holds'!$P$36:$AB$370,13,0),0)+(2*_xlfn.IFNA(VLOOKUP(Aragon!A2053,'Kilter Holds'!$P$36:$AB$370,13,0),0))</f>
        <v>0</v>
      </c>
      <c r="J2053" s="2">
        <f t="shared" si="112"/>
        <v>0</v>
      </c>
      <c r="K2053" s="2">
        <f t="shared" si="113"/>
        <v>0</v>
      </c>
    </row>
    <row r="2054" spans="5:11">
      <c r="E2054" t="s">
        <v>1985</v>
      </c>
      <c r="F2054" t="s">
        <v>1986</v>
      </c>
      <c r="G2054" s="5" t="str">
        <f t="shared" si="97"/>
        <v>11-12</v>
      </c>
      <c r="H2054" s="1">
        <f>_xlfn.IFNA(VLOOKUP(Aragon!E2054,'Kilter Holds'!$P$36:$AB$370,5,0),0)+(2*_xlfn.IFNA(VLOOKUP(Aragon!A2054,'Kilter Holds'!$P$36:$AB$370,5,0),0))</f>
        <v>0</v>
      </c>
      <c r="J2054" s="2">
        <f t="shared" ref="J2054:J2080" si="114">H2054*I2054</f>
        <v>0</v>
      </c>
      <c r="K2054" s="2">
        <f t="shared" ref="K2054:K2080" si="115">IF($V$11="Y",J2054*0.05,0)</f>
        <v>0</v>
      </c>
    </row>
    <row r="2055" spans="5:11">
      <c r="E2055" t="s">
        <v>1985</v>
      </c>
      <c r="F2055" t="s">
        <v>1986</v>
      </c>
      <c r="G2055" s="6" t="str">
        <f t="shared" si="97"/>
        <v>14-01</v>
      </c>
      <c r="H2055" s="1">
        <f>_xlfn.IFNA(VLOOKUP(Aragon!E2055,'Kilter Holds'!$P$36:$AB$370,6,0),0)+(2*_xlfn.IFNA(VLOOKUP(Aragon!A2055,'Kilter Holds'!$P$36:$AB$370,6,0),0))</f>
        <v>0</v>
      </c>
      <c r="J2055" s="2">
        <f t="shared" si="114"/>
        <v>0</v>
      </c>
      <c r="K2055" s="2">
        <f t="shared" si="115"/>
        <v>0</v>
      </c>
    </row>
    <row r="2056" spans="5:11">
      <c r="E2056" t="s">
        <v>1985</v>
      </c>
      <c r="F2056" t="s">
        <v>1986</v>
      </c>
      <c r="G2056" s="7" t="str">
        <f t="shared" si="97"/>
        <v>15-12</v>
      </c>
      <c r="H2056" s="1">
        <f>_xlfn.IFNA(VLOOKUP(Aragon!E2056,'Kilter Holds'!$P$36:$AB$370,7,0),0)+(2*_xlfn.IFNA(VLOOKUP(Aragon!A2056,'Kilter Holds'!$P$36:$AB$370,7,0),0))</f>
        <v>0</v>
      </c>
      <c r="J2056" s="2">
        <f t="shared" si="114"/>
        <v>0</v>
      </c>
      <c r="K2056" s="2">
        <f t="shared" si="115"/>
        <v>0</v>
      </c>
    </row>
    <row r="2057" spans="5:11">
      <c r="E2057" t="s">
        <v>1985</v>
      </c>
      <c r="F2057" t="s">
        <v>1986</v>
      </c>
      <c r="G2057" s="8" t="str">
        <f t="shared" si="97"/>
        <v>16-16</v>
      </c>
      <c r="H2057" s="1">
        <f>_xlfn.IFNA(VLOOKUP(Aragon!E2057,'Kilter Holds'!$P$36:$AB$370,8,0),0)+(2*_xlfn.IFNA(VLOOKUP(Aragon!A2057,'Kilter Holds'!$P$36:$AB$370,8,0),0))</f>
        <v>0</v>
      </c>
      <c r="J2057" s="2">
        <f t="shared" si="114"/>
        <v>0</v>
      </c>
      <c r="K2057" s="2">
        <f t="shared" si="115"/>
        <v>0</v>
      </c>
    </row>
    <row r="2058" spans="5:11">
      <c r="E2058" t="s">
        <v>1985</v>
      </c>
      <c r="F2058" t="s">
        <v>1986</v>
      </c>
      <c r="G2058" s="9" t="str">
        <f t="shared" si="97"/>
        <v>13-01</v>
      </c>
      <c r="H2058" s="1">
        <f>_xlfn.IFNA(VLOOKUP(Aragon!E2058,'Kilter Holds'!$P$36:$AB$370,9,0),0)+(2*_xlfn.IFNA(VLOOKUP(Aragon!A2058,'Kilter Holds'!$P$36:$AB$370,9,0),0))</f>
        <v>0</v>
      </c>
      <c r="J2058" s="2">
        <f t="shared" si="114"/>
        <v>0</v>
      </c>
      <c r="K2058" s="2">
        <f t="shared" si="115"/>
        <v>0</v>
      </c>
    </row>
    <row r="2059" spans="5:11">
      <c r="E2059" t="s">
        <v>1985</v>
      </c>
      <c r="F2059" t="s">
        <v>1986</v>
      </c>
      <c r="G2059" s="10" t="str">
        <f t="shared" si="97"/>
        <v>07-13</v>
      </c>
      <c r="H2059" s="1">
        <f>_xlfn.IFNA(VLOOKUP(Aragon!E2059,'Kilter Holds'!$P$36:$AB$370,10,0),0)+(2*_xlfn.IFNA(VLOOKUP(Aragon!A2059,'Kilter Holds'!$P$36:$AB$370,10,0),0))</f>
        <v>0</v>
      </c>
      <c r="J2059" s="2">
        <f t="shared" si="114"/>
        <v>0</v>
      </c>
      <c r="K2059" s="2">
        <f t="shared" si="115"/>
        <v>0</v>
      </c>
    </row>
    <row r="2060" spans="5:11">
      <c r="E2060" t="s">
        <v>1985</v>
      </c>
      <c r="F2060" t="s">
        <v>1986</v>
      </c>
      <c r="G2060" s="11" t="str">
        <f t="shared" si="97"/>
        <v>11-25</v>
      </c>
      <c r="H2060" s="1">
        <f>_xlfn.IFNA(VLOOKUP(Aragon!E2060,'Kilter Holds'!$P$36:$AB$370,11,0),0)+(2*_xlfn.IFNA(VLOOKUP(Aragon!A2060,'Kilter Holds'!$P$36:$AB$370,11,0),0))</f>
        <v>0</v>
      </c>
      <c r="J2060" s="2">
        <f t="shared" si="114"/>
        <v>0</v>
      </c>
      <c r="K2060" s="2">
        <f t="shared" si="115"/>
        <v>0</v>
      </c>
    </row>
    <row r="2061" spans="5:11">
      <c r="E2061" t="s">
        <v>1985</v>
      </c>
      <c r="F2061" t="s">
        <v>1986</v>
      </c>
      <c r="G2061" s="13" t="str">
        <f t="shared" si="97"/>
        <v>18-01</v>
      </c>
      <c r="H2061" s="1">
        <f>_xlfn.IFNA(VLOOKUP(Aragon!E2061,'Kilter Holds'!$P$36:$AB$370,12,0),0)+(2*_xlfn.IFNA(VLOOKUP(Aragon!A2061,'Kilter Holds'!$P$36:$AB$370,12,0),0))</f>
        <v>0</v>
      </c>
      <c r="J2061" s="2">
        <f t="shared" si="114"/>
        <v>0</v>
      </c>
      <c r="K2061" s="2">
        <f t="shared" si="115"/>
        <v>0</v>
      </c>
    </row>
    <row r="2062" spans="5:11">
      <c r="E2062" t="s">
        <v>1985</v>
      </c>
      <c r="F2062" t="s">
        <v>1986</v>
      </c>
      <c r="G2062" s="12" t="str">
        <f t="shared" si="97"/>
        <v>12-01</v>
      </c>
      <c r="H2062" s="1">
        <f>_xlfn.IFNA(VLOOKUP(Aragon!E2062,'Kilter Holds'!$P$36:$AB$370,13,0),0)+(2*_xlfn.IFNA(VLOOKUP(Aragon!A2062,'Kilter Holds'!$P$36:$AB$370,13,0),0))</f>
        <v>0</v>
      </c>
      <c r="J2062" s="2">
        <f t="shared" si="114"/>
        <v>0</v>
      </c>
      <c r="K2062" s="2">
        <f t="shared" si="115"/>
        <v>0</v>
      </c>
    </row>
    <row r="2063" spans="5:11">
      <c r="E2063" t="s">
        <v>1987</v>
      </c>
      <c r="F2063" t="s">
        <v>1988</v>
      </c>
      <c r="G2063" s="5" t="str">
        <f t="shared" si="97"/>
        <v>11-12</v>
      </c>
      <c r="H2063" s="1">
        <f>_xlfn.IFNA(VLOOKUP(Aragon!E2063,'Kilter Holds'!$P$36:$AB$370,5,0),0)+(2*_xlfn.IFNA(VLOOKUP(Aragon!A2063,'Kilter Holds'!$P$36:$AB$370,5,0),0))</f>
        <v>0</v>
      </c>
      <c r="J2063" s="2">
        <f t="shared" si="114"/>
        <v>0</v>
      </c>
      <c r="K2063" s="2">
        <f t="shared" si="115"/>
        <v>0</v>
      </c>
    </row>
    <row r="2064" spans="5:11">
      <c r="E2064" t="s">
        <v>1987</v>
      </c>
      <c r="F2064" t="s">
        <v>1988</v>
      </c>
      <c r="G2064" s="6" t="str">
        <f t="shared" si="97"/>
        <v>14-01</v>
      </c>
      <c r="H2064" s="1">
        <f>_xlfn.IFNA(VLOOKUP(Aragon!E2064,'Kilter Holds'!$P$36:$AB$370,6,0),0)+(2*_xlfn.IFNA(VLOOKUP(Aragon!A2064,'Kilter Holds'!$P$36:$AB$370,6,0),0))</f>
        <v>0</v>
      </c>
      <c r="J2064" s="2">
        <f t="shared" si="114"/>
        <v>0</v>
      </c>
      <c r="K2064" s="2">
        <f t="shared" si="115"/>
        <v>0</v>
      </c>
    </row>
    <row r="2065" spans="5:11">
      <c r="E2065" t="s">
        <v>1987</v>
      </c>
      <c r="F2065" t="s">
        <v>1988</v>
      </c>
      <c r="G2065" s="7" t="str">
        <f t="shared" si="97"/>
        <v>15-12</v>
      </c>
      <c r="H2065" s="1">
        <f>_xlfn.IFNA(VLOOKUP(Aragon!E2065,'Kilter Holds'!$P$36:$AB$370,7,0),0)+(2*_xlfn.IFNA(VLOOKUP(Aragon!A2065,'Kilter Holds'!$P$36:$AB$370,7,0),0))</f>
        <v>0</v>
      </c>
      <c r="J2065" s="2">
        <f t="shared" si="114"/>
        <v>0</v>
      </c>
      <c r="K2065" s="2">
        <f t="shared" si="115"/>
        <v>0</v>
      </c>
    </row>
    <row r="2066" spans="5:11">
      <c r="E2066" t="s">
        <v>1987</v>
      </c>
      <c r="F2066" t="s">
        <v>1988</v>
      </c>
      <c r="G2066" s="8" t="str">
        <f t="shared" si="97"/>
        <v>16-16</v>
      </c>
      <c r="H2066" s="1">
        <f>_xlfn.IFNA(VLOOKUP(Aragon!E2066,'Kilter Holds'!$P$36:$AB$370,8,0),0)+(2*_xlfn.IFNA(VLOOKUP(Aragon!A2066,'Kilter Holds'!$P$36:$AB$370,8,0),0))</f>
        <v>0</v>
      </c>
      <c r="J2066" s="2">
        <f t="shared" si="114"/>
        <v>0</v>
      </c>
      <c r="K2066" s="2">
        <f t="shared" si="115"/>
        <v>0</v>
      </c>
    </row>
    <row r="2067" spans="5:11">
      <c r="E2067" t="s">
        <v>1987</v>
      </c>
      <c r="F2067" t="s">
        <v>1988</v>
      </c>
      <c r="G2067" s="9" t="str">
        <f t="shared" si="97"/>
        <v>13-01</v>
      </c>
      <c r="H2067" s="1">
        <f>_xlfn.IFNA(VLOOKUP(Aragon!E2067,'Kilter Holds'!$P$36:$AB$370,9,0),0)+(2*_xlfn.IFNA(VLOOKUP(Aragon!A2067,'Kilter Holds'!$P$36:$AB$370,9,0),0))</f>
        <v>0</v>
      </c>
      <c r="J2067" s="2">
        <f t="shared" si="114"/>
        <v>0</v>
      </c>
      <c r="K2067" s="2">
        <f t="shared" si="115"/>
        <v>0</v>
      </c>
    </row>
    <row r="2068" spans="5:11">
      <c r="E2068" t="s">
        <v>1987</v>
      </c>
      <c r="F2068" t="s">
        <v>1988</v>
      </c>
      <c r="G2068" s="10" t="str">
        <f t="shared" si="97"/>
        <v>07-13</v>
      </c>
      <c r="H2068" s="1">
        <f>_xlfn.IFNA(VLOOKUP(Aragon!E2068,'Kilter Holds'!$P$36:$AB$370,10,0),0)+(2*_xlfn.IFNA(VLOOKUP(Aragon!A2068,'Kilter Holds'!$P$36:$AB$370,10,0),0))</f>
        <v>0</v>
      </c>
      <c r="J2068" s="2">
        <f t="shared" si="114"/>
        <v>0</v>
      </c>
      <c r="K2068" s="2">
        <f t="shared" si="115"/>
        <v>0</v>
      </c>
    </row>
    <row r="2069" spans="5:11">
      <c r="E2069" t="s">
        <v>1987</v>
      </c>
      <c r="F2069" t="s">
        <v>1988</v>
      </c>
      <c r="G2069" s="11" t="str">
        <f t="shared" si="97"/>
        <v>11-25</v>
      </c>
      <c r="H2069" s="1">
        <f>_xlfn.IFNA(VLOOKUP(Aragon!E2069,'Kilter Holds'!$P$36:$AB$370,11,0),0)+(2*_xlfn.IFNA(VLOOKUP(Aragon!A2069,'Kilter Holds'!$P$36:$AB$370,11,0),0))</f>
        <v>0</v>
      </c>
      <c r="J2069" s="2">
        <f t="shared" si="114"/>
        <v>0</v>
      </c>
      <c r="K2069" s="2">
        <f t="shared" si="115"/>
        <v>0</v>
      </c>
    </row>
    <row r="2070" spans="5:11">
      <c r="E2070" t="s">
        <v>1987</v>
      </c>
      <c r="F2070" t="s">
        <v>1988</v>
      </c>
      <c r="G2070" s="13" t="str">
        <f t="shared" si="97"/>
        <v>18-01</v>
      </c>
      <c r="H2070" s="1">
        <f>_xlfn.IFNA(VLOOKUP(Aragon!E2070,'Kilter Holds'!$P$36:$AB$370,12,0),0)+(2*_xlfn.IFNA(VLOOKUP(Aragon!A2070,'Kilter Holds'!$P$36:$AB$370,12,0),0))</f>
        <v>0</v>
      </c>
      <c r="J2070" s="2">
        <f t="shared" si="114"/>
        <v>0</v>
      </c>
      <c r="K2070" s="2">
        <f t="shared" si="115"/>
        <v>0</v>
      </c>
    </row>
    <row r="2071" spans="5:11">
      <c r="E2071" t="s">
        <v>1987</v>
      </c>
      <c r="F2071" t="s">
        <v>1988</v>
      </c>
      <c r="G2071" s="12" t="str">
        <f t="shared" si="97"/>
        <v>12-01</v>
      </c>
      <c r="H2071" s="1">
        <f>_xlfn.IFNA(VLOOKUP(Aragon!E2071,'Kilter Holds'!$P$36:$AB$370,13,0),0)+(2*_xlfn.IFNA(VLOOKUP(Aragon!A2071,'Kilter Holds'!$P$36:$AB$370,13,0),0))</f>
        <v>0</v>
      </c>
      <c r="J2071" s="2">
        <f t="shared" si="114"/>
        <v>0</v>
      </c>
      <c r="K2071" s="2">
        <f t="shared" si="115"/>
        <v>0</v>
      </c>
    </row>
    <row r="2072" spans="5:11">
      <c r="E2072" s="3" t="s">
        <v>1989</v>
      </c>
      <c r="F2072" s="3" t="s">
        <v>1990</v>
      </c>
      <c r="G2072" s="5" t="str">
        <f t="shared" si="97"/>
        <v>11-12</v>
      </c>
      <c r="H2072" s="1">
        <f>_xlfn.IFNA(VLOOKUP(Aragon!E2072,'Kilter Holds'!$P$36:$AB$370,5,0),0)+(2*_xlfn.IFNA(VLOOKUP(Aragon!A2072,'Kilter Holds'!$P$36:$AB$370,5,0),0))</f>
        <v>0</v>
      </c>
      <c r="J2072" s="2">
        <f t="shared" si="114"/>
        <v>0</v>
      </c>
      <c r="K2072" s="2">
        <f t="shared" si="115"/>
        <v>0</v>
      </c>
    </row>
    <row r="2073" spans="5:11">
      <c r="E2073" s="3" t="s">
        <v>1989</v>
      </c>
      <c r="F2073" s="3" t="s">
        <v>1990</v>
      </c>
      <c r="G2073" s="6" t="str">
        <f t="shared" si="97"/>
        <v>14-01</v>
      </c>
      <c r="H2073" s="1">
        <f>_xlfn.IFNA(VLOOKUP(Aragon!E2073,'Kilter Holds'!$P$36:$AB$370,6,0),0)+(2*_xlfn.IFNA(VLOOKUP(Aragon!A2073,'Kilter Holds'!$P$36:$AB$370,6,0),0))</f>
        <v>0</v>
      </c>
      <c r="J2073" s="2">
        <f t="shared" si="114"/>
        <v>0</v>
      </c>
      <c r="K2073" s="2">
        <f t="shared" si="115"/>
        <v>0</v>
      </c>
    </row>
    <row r="2074" spans="5:11">
      <c r="E2074" s="3" t="s">
        <v>1989</v>
      </c>
      <c r="F2074" s="3" t="s">
        <v>1990</v>
      </c>
      <c r="G2074" s="7" t="str">
        <f t="shared" si="97"/>
        <v>15-12</v>
      </c>
      <c r="H2074" s="1">
        <f>_xlfn.IFNA(VLOOKUP(Aragon!E2074,'Kilter Holds'!$P$36:$AB$370,7,0),0)+(2*_xlfn.IFNA(VLOOKUP(Aragon!A2074,'Kilter Holds'!$P$36:$AB$370,7,0),0))</f>
        <v>0</v>
      </c>
      <c r="J2074" s="2">
        <f t="shared" si="114"/>
        <v>0</v>
      </c>
      <c r="K2074" s="2">
        <f t="shared" si="115"/>
        <v>0</v>
      </c>
    </row>
    <row r="2075" spans="5:11">
      <c r="E2075" s="3" t="s">
        <v>1989</v>
      </c>
      <c r="F2075" s="3" t="s">
        <v>1990</v>
      </c>
      <c r="G2075" s="8" t="str">
        <f t="shared" si="97"/>
        <v>16-16</v>
      </c>
      <c r="H2075" s="1">
        <f>_xlfn.IFNA(VLOOKUP(Aragon!E2075,'Kilter Holds'!$P$36:$AB$370,8,0),0)+(2*_xlfn.IFNA(VLOOKUP(Aragon!A2075,'Kilter Holds'!$P$36:$AB$370,8,0),0))</f>
        <v>0</v>
      </c>
      <c r="J2075" s="2">
        <f t="shared" si="114"/>
        <v>0</v>
      </c>
      <c r="K2075" s="2">
        <f t="shared" si="115"/>
        <v>0</v>
      </c>
    </row>
    <row r="2076" spans="5:11">
      <c r="E2076" s="3" t="s">
        <v>1989</v>
      </c>
      <c r="F2076" s="3" t="s">
        <v>1990</v>
      </c>
      <c r="G2076" s="9" t="str">
        <f t="shared" si="97"/>
        <v>13-01</v>
      </c>
      <c r="H2076" s="1">
        <f>_xlfn.IFNA(VLOOKUP(Aragon!E2076,'Kilter Holds'!$P$36:$AB$370,9,0),0)+(2*_xlfn.IFNA(VLOOKUP(Aragon!A2076,'Kilter Holds'!$P$36:$AB$370,9,0),0))</f>
        <v>0</v>
      </c>
      <c r="J2076" s="2">
        <f t="shared" si="114"/>
        <v>0</v>
      </c>
      <c r="K2076" s="2">
        <f t="shared" si="115"/>
        <v>0</v>
      </c>
    </row>
    <row r="2077" spans="5:11">
      <c r="E2077" s="3" t="s">
        <v>1989</v>
      </c>
      <c r="F2077" s="3" t="s">
        <v>1990</v>
      </c>
      <c r="G2077" s="10" t="str">
        <f t="shared" si="97"/>
        <v>07-13</v>
      </c>
      <c r="H2077" s="1">
        <f>_xlfn.IFNA(VLOOKUP(Aragon!E2077,'Kilter Holds'!$P$36:$AB$370,10,0),0)+(2*_xlfn.IFNA(VLOOKUP(Aragon!A2077,'Kilter Holds'!$P$36:$AB$370,10,0),0))</f>
        <v>0</v>
      </c>
      <c r="J2077" s="2">
        <f t="shared" si="114"/>
        <v>0</v>
      </c>
      <c r="K2077" s="2">
        <f t="shared" si="115"/>
        <v>0</v>
      </c>
    </row>
    <row r="2078" spans="5:11">
      <c r="E2078" s="3" t="s">
        <v>1989</v>
      </c>
      <c r="F2078" s="3" t="s">
        <v>1990</v>
      </c>
      <c r="G2078" s="11" t="str">
        <f t="shared" si="97"/>
        <v>11-25</v>
      </c>
      <c r="H2078" s="1">
        <f>_xlfn.IFNA(VLOOKUP(Aragon!E2078,'Kilter Holds'!$P$36:$AB$370,11,0),0)+(2*_xlfn.IFNA(VLOOKUP(Aragon!A2078,'Kilter Holds'!$P$36:$AB$370,11,0),0))</f>
        <v>0</v>
      </c>
      <c r="J2078" s="2">
        <f t="shared" si="114"/>
        <v>0</v>
      </c>
      <c r="K2078" s="2">
        <f t="shared" si="115"/>
        <v>0</v>
      </c>
    </row>
    <row r="2079" spans="5:11">
      <c r="E2079" s="3" t="s">
        <v>1989</v>
      </c>
      <c r="F2079" s="3" t="s">
        <v>1990</v>
      </c>
      <c r="G2079" s="13" t="str">
        <f t="shared" si="97"/>
        <v>18-01</v>
      </c>
      <c r="H2079" s="1">
        <f>_xlfn.IFNA(VLOOKUP(Aragon!E2079,'Kilter Holds'!$P$36:$AB$370,12,0),0)+(2*_xlfn.IFNA(VLOOKUP(Aragon!A2079,'Kilter Holds'!$P$36:$AB$370,12,0),0))</f>
        <v>0</v>
      </c>
      <c r="J2079" s="2">
        <f t="shared" si="114"/>
        <v>0</v>
      </c>
      <c r="K2079" s="2">
        <f t="shared" si="115"/>
        <v>0</v>
      </c>
    </row>
    <row r="2080" spans="5:11">
      <c r="E2080" s="3" t="s">
        <v>1989</v>
      </c>
      <c r="F2080" s="3" t="s">
        <v>1990</v>
      </c>
      <c r="G2080" s="12" t="str">
        <f t="shared" si="97"/>
        <v>12-01</v>
      </c>
      <c r="H2080" s="1">
        <f>_xlfn.IFNA(VLOOKUP(Aragon!E2080,'Kilter Holds'!$P$36:$AB$370,13,0),0)+(2*_xlfn.IFNA(VLOOKUP(Aragon!A2080,'Kilter Holds'!$P$36:$AB$370,13,0),0))</f>
        <v>0</v>
      </c>
      <c r="J2080" s="2">
        <f t="shared" si="114"/>
        <v>0</v>
      </c>
      <c r="K2080" s="2">
        <f t="shared" si="115"/>
        <v>0</v>
      </c>
    </row>
    <row r="2081" spans="5:11">
      <c r="E2081" s="3" t="s">
        <v>2058</v>
      </c>
      <c r="F2081" s="3" t="s">
        <v>2062</v>
      </c>
      <c r="G2081" s="5" t="str">
        <f t="shared" si="97"/>
        <v>11-12</v>
      </c>
      <c r="H2081" s="1">
        <f>_xlfn.IFNA(VLOOKUP(Aragon!E2081,'Kilter Holds'!$P$36:$AB$370,5,0),0)+(2*_xlfn.IFNA(VLOOKUP(Aragon!A2081,'Kilter Holds'!$P$36:$AB$370,5,0),0))</f>
        <v>0</v>
      </c>
      <c r="J2081" s="2">
        <f t="shared" ref="J2081:J2089" si="116">H2081*I2081</f>
        <v>0</v>
      </c>
      <c r="K2081" s="2">
        <f t="shared" ref="K2081:K2089" si="117">IF($V$11="Y",J2081*0.05,0)</f>
        <v>0</v>
      </c>
    </row>
    <row r="2082" spans="5:11">
      <c r="E2082" s="3" t="s">
        <v>2058</v>
      </c>
      <c r="F2082" s="3" t="s">
        <v>2062</v>
      </c>
      <c r="G2082" s="6" t="str">
        <f t="shared" si="97"/>
        <v>14-01</v>
      </c>
      <c r="H2082" s="1">
        <f>_xlfn.IFNA(VLOOKUP(Aragon!E2082,'Kilter Holds'!$P$36:$AB$370,6,0),0)+(2*_xlfn.IFNA(VLOOKUP(Aragon!A2082,'Kilter Holds'!$P$36:$AB$370,6,0),0))</f>
        <v>0</v>
      </c>
      <c r="J2082" s="2">
        <f t="shared" si="116"/>
        <v>0</v>
      </c>
      <c r="K2082" s="2">
        <f t="shared" si="117"/>
        <v>0</v>
      </c>
    </row>
    <row r="2083" spans="5:11">
      <c r="E2083" s="3" t="s">
        <v>2058</v>
      </c>
      <c r="F2083" s="3" t="s">
        <v>2062</v>
      </c>
      <c r="G2083" s="7" t="str">
        <f t="shared" si="97"/>
        <v>15-12</v>
      </c>
      <c r="H2083" s="1">
        <f>_xlfn.IFNA(VLOOKUP(Aragon!E2083,'Kilter Holds'!$P$36:$AB$370,7,0),0)+(2*_xlfn.IFNA(VLOOKUP(Aragon!A2083,'Kilter Holds'!$P$36:$AB$370,7,0),0))</f>
        <v>0</v>
      </c>
      <c r="J2083" s="2">
        <f t="shared" si="116"/>
        <v>0</v>
      </c>
      <c r="K2083" s="2">
        <f t="shared" si="117"/>
        <v>0</v>
      </c>
    </row>
    <row r="2084" spans="5:11">
      <c r="E2084" s="3" t="s">
        <v>2058</v>
      </c>
      <c r="F2084" s="3" t="s">
        <v>2062</v>
      </c>
      <c r="G2084" s="8" t="str">
        <f t="shared" si="97"/>
        <v>16-16</v>
      </c>
      <c r="H2084" s="1">
        <f>_xlfn.IFNA(VLOOKUP(Aragon!E2084,'Kilter Holds'!$P$36:$AB$370,8,0),0)+(2*_xlfn.IFNA(VLOOKUP(Aragon!A2084,'Kilter Holds'!$P$36:$AB$370,8,0),0))</f>
        <v>0</v>
      </c>
      <c r="J2084" s="2">
        <f t="shared" si="116"/>
        <v>0</v>
      </c>
      <c r="K2084" s="2">
        <f t="shared" si="117"/>
        <v>0</v>
      </c>
    </row>
    <row r="2085" spans="5:11">
      <c r="E2085" s="3" t="s">
        <v>2058</v>
      </c>
      <c r="F2085" s="3" t="s">
        <v>2062</v>
      </c>
      <c r="G2085" s="9" t="str">
        <f t="shared" si="97"/>
        <v>13-01</v>
      </c>
      <c r="H2085" s="1">
        <f>_xlfn.IFNA(VLOOKUP(Aragon!E2085,'Kilter Holds'!$P$36:$AB$370,9,0),0)+(2*_xlfn.IFNA(VLOOKUP(Aragon!A2085,'Kilter Holds'!$P$36:$AB$370,9,0),0))</f>
        <v>0</v>
      </c>
      <c r="J2085" s="2">
        <f t="shared" si="116"/>
        <v>0</v>
      </c>
      <c r="K2085" s="2">
        <f t="shared" si="117"/>
        <v>0</v>
      </c>
    </row>
    <row r="2086" spans="5:11">
      <c r="E2086" s="3" t="s">
        <v>2058</v>
      </c>
      <c r="F2086" s="3" t="s">
        <v>2062</v>
      </c>
      <c r="G2086" s="10" t="str">
        <f t="shared" si="97"/>
        <v>07-13</v>
      </c>
      <c r="H2086" s="1">
        <f>_xlfn.IFNA(VLOOKUP(Aragon!E2086,'Kilter Holds'!$P$36:$AB$370,10,0),0)+(2*_xlfn.IFNA(VLOOKUP(Aragon!A2086,'Kilter Holds'!$P$36:$AB$370,10,0),0))</f>
        <v>0</v>
      </c>
      <c r="J2086" s="2">
        <f t="shared" si="116"/>
        <v>0</v>
      </c>
      <c r="K2086" s="2">
        <f t="shared" si="117"/>
        <v>0</v>
      </c>
    </row>
    <row r="2087" spans="5:11">
      <c r="E2087" s="3" t="s">
        <v>2058</v>
      </c>
      <c r="F2087" s="3" t="s">
        <v>2062</v>
      </c>
      <c r="G2087" s="11" t="str">
        <f t="shared" si="97"/>
        <v>11-25</v>
      </c>
      <c r="H2087" s="1">
        <f>_xlfn.IFNA(VLOOKUP(Aragon!E2087,'Kilter Holds'!$P$36:$AB$370,11,0),0)+(2*_xlfn.IFNA(VLOOKUP(Aragon!A2087,'Kilter Holds'!$P$36:$AB$370,11,0),0))</f>
        <v>0</v>
      </c>
      <c r="J2087" s="2">
        <f t="shared" si="116"/>
        <v>0</v>
      </c>
      <c r="K2087" s="2">
        <f t="shared" si="117"/>
        <v>0</v>
      </c>
    </row>
    <row r="2088" spans="5:11">
      <c r="E2088" s="3" t="s">
        <v>2058</v>
      </c>
      <c r="F2088" s="3" t="s">
        <v>2062</v>
      </c>
      <c r="G2088" s="13" t="str">
        <f t="shared" si="97"/>
        <v>18-01</v>
      </c>
      <c r="H2088" s="1">
        <f>_xlfn.IFNA(VLOOKUP(Aragon!E2088,'Kilter Holds'!$P$36:$AB$370,12,0),0)+(2*_xlfn.IFNA(VLOOKUP(Aragon!A2088,'Kilter Holds'!$P$36:$AB$370,12,0),0))</f>
        <v>0</v>
      </c>
      <c r="J2088" s="2">
        <f t="shared" si="116"/>
        <v>0</v>
      </c>
      <c r="K2088" s="2">
        <f t="shared" si="117"/>
        <v>0</v>
      </c>
    </row>
    <row r="2089" spans="5:11">
      <c r="E2089" s="3" t="s">
        <v>2058</v>
      </c>
      <c r="F2089" s="3" t="s">
        <v>2062</v>
      </c>
      <c r="G2089" s="12" t="str">
        <f t="shared" si="97"/>
        <v>12-01</v>
      </c>
      <c r="H2089" s="1">
        <f>_xlfn.IFNA(VLOOKUP(Aragon!E2089,'Kilter Holds'!$P$36:$AB$370,13,0),0)+(2*_xlfn.IFNA(VLOOKUP(Aragon!A2089,'Kilter Holds'!$P$36:$AB$370,13,0),0))</f>
        <v>0</v>
      </c>
      <c r="J2089" s="2">
        <f t="shared" si="116"/>
        <v>0</v>
      </c>
      <c r="K2089" s="2">
        <f t="shared" si="117"/>
        <v>0</v>
      </c>
    </row>
    <row r="2090" spans="5:11">
      <c r="E2090" s="3" t="s">
        <v>2122</v>
      </c>
      <c r="F2090" s="3" t="s">
        <v>2123</v>
      </c>
      <c r="G2090" s="5" t="str">
        <f t="shared" si="97"/>
        <v>11-12</v>
      </c>
      <c r="H2090" s="1">
        <f>_xlfn.IFNA(VLOOKUP(Aragon!E2090,'Kilter Holds'!$P$36:$AB$370,5,0),0)+(2*_xlfn.IFNA(VLOOKUP(Aragon!A2090,'Kilter Holds'!$P$36:$AB$370,5,0),0))</f>
        <v>0</v>
      </c>
      <c r="J2090" s="2">
        <f t="shared" ref="J2090:J2107" si="118">H2090*I2090</f>
        <v>0</v>
      </c>
      <c r="K2090" s="2">
        <f t="shared" ref="K2090:K2107" si="119">IF($V$11="Y",J2090*0.05,0)</f>
        <v>0</v>
      </c>
    </row>
    <row r="2091" spans="5:11">
      <c r="E2091" s="3" t="s">
        <v>2122</v>
      </c>
      <c r="F2091" s="3" t="s">
        <v>2123</v>
      </c>
      <c r="G2091" s="6" t="str">
        <f t="shared" si="97"/>
        <v>14-01</v>
      </c>
      <c r="H2091" s="1">
        <f>_xlfn.IFNA(VLOOKUP(Aragon!E2091,'Kilter Holds'!$P$36:$AB$370,6,0),0)+(2*_xlfn.IFNA(VLOOKUP(Aragon!A2091,'Kilter Holds'!$P$36:$AB$370,6,0),0))</f>
        <v>0</v>
      </c>
      <c r="J2091" s="2">
        <f t="shared" si="118"/>
        <v>0</v>
      </c>
      <c r="K2091" s="2">
        <f t="shared" si="119"/>
        <v>0</v>
      </c>
    </row>
    <row r="2092" spans="5:11">
      <c r="E2092" s="3" t="s">
        <v>2122</v>
      </c>
      <c r="F2092" s="3" t="s">
        <v>2123</v>
      </c>
      <c r="G2092" s="7" t="str">
        <f t="shared" si="97"/>
        <v>15-12</v>
      </c>
      <c r="H2092" s="1">
        <f>_xlfn.IFNA(VLOOKUP(Aragon!E2092,'Kilter Holds'!$P$36:$AB$370,7,0),0)+(2*_xlfn.IFNA(VLOOKUP(Aragon!A2092,'Kilter Holds'!$P$36:$AB$370,7,0),0))</f>
        <v>0</v>
      </c>
      <c r="J2092" s="2">
        <f t="shared" si="118"/>
        <v>0</v>
      </c>
      <c r="K2092" s="2">
        <f t="shared" si="119"/>
        <v>0</v>
      </c>
    </row>
    <row r="2093" spans="5:11">
      <c r="E2093" s="3" t="s">
        <v>2122</v>
      </c>
      <c r="F2093" s="3" t="s">
        <v>2123</v>
      </c>
      <c r="G2093" s="8" t="str">
        <f t="shared" si="97"/>
        <v>16-16</v>
      </c>
      <c r="H2093" s="1">
        <f>_xlfn.IFNA(VLOOKUP(Aragon!E2093,'Kilter Holds'!$P$36:$AB$370,8,0),0)+(2*_xlfn.IFNA(VLOOKUP(Aragon!A2093,'Kilter Holds'!$P$36:$AB$370,8,0),0))</f>
        <v>0</v>
      </c>
      <c r="J2093" s="2">
        <f t="shared" si="118"/>
        <v>0</v>
      </c>
      <c r="K2093" s="2">
        <f t="shared" si="119"/>
        <v>0</v>
      </c>
    </row>
    <row r="2094" spans="5:11">
      <c r="E2094" s="3" t="s">
        <v>2122</v>
      </c>
      <c r="F2094" s="3" t="s">
        <v>2123</v>
      </c>
      <c r="G2094" s="9" t="str">
        <f t="shared" si="97"/>
        <v>13-01</v>
      </c>
      <c r="H2094" s="1">
        <f>_xlfn.IFNA(VLOOKUP(Aragon!E2094,'Kilter Holds'!$P$36:$AB$370,9,0),0)+(2*_xlfn.IFNA(VLOOKUP(Aragon!A2094,'Kilter Holds'!$P$36:$AB$370,9,0),0))</f>
        <v>0</v>
      </c>
      <c r="J2094" s="2">
        <f t="shared" si="118"/>
        <v>0</v>
      </c>
      <c r="K2094" s="2">
        <f t="shared" si="119"/>
        <v>0</v>
      </c>
    </row>
    <row r="2095" spans="5:11">
      <c r="E2095" s="3" t="s">
        <v>2122</v>
      </c>
      <c r="F2095" s="3" t="s">
        <v>2123</v>
      </c>
      <c r="G2095" s="10" t="str">
        <f t="shared" si="97"/>
        <v>07-13</v>
      </c>
      <c r="H2095" s="1">
        <f>_xlfn.IFNA(VLOOKUP(Aragon!E2095,'Kilter Holds'!$P$36:$AB$370,10,0),0)+(2*_xlfn.IFNA(VLOOKUP(Aragon!A2095,'Kilter Holds'!$P$36:$AB$370,10,0),0))</f>
        <v>0</v>
      </c>
      <c r="J2095" s="2">
        <f t="shared" si="118"/>
        <v>0</v>
      </c>
      <c r="K2095" s="2">
        <f t="shared" si="119"/>
        <v>0</v>
      </c>
    </row>
    <row r="2096" spans="5:11">
      <c r="E2096" s="3" t="s">
        <v>2122</v>
      </c>
      <c r="F2096" s="3" t="s">
        <v>2123</v>
      </c>
      <c r="G2096" s="11" t="str">
        <f t="shared" si="97"/>
        <v>11-25</v>
      </c>
      <c r="H2096" s="1">
        <f>_xlfn.IFNA(VLOOKUP(Aragon!E2096,'Kilter Holds'!$P$36:$AB$370,11,0),0)+(2*_xlfn.IFNA(VLOOKUP(Aragon!A2096,'Kilter Holds'!$P$36:$AB$370,11,0),0))</f>
        <v>0</v>
      </c>
      <c r="J2096" s="2">
        <f t="shared" si="118"/>
        <v>0</v>
      </c>
      <c r="K2096" s="2">
        <f t="shared" si="119"/>
        <v>0</v>
      </c>
    </row>
    <row r="2097" spans="5:11">
      <c r="E2097" s="3" t="s">
        <v>2122</v>
      </c>
      <c r="F2097" s="3" t="s">
        <v>2123</v>
      </c>
      <c r="G2097" s="13" t="str">
        <f t="shared" si="97"/>
        <v>18-01</v>
      </c>
      <c r="H2097" s="1">
        <f>_xlfn.IFNA(VLOOKUP(Aragon!E2097,'Kilter Holds'!$P$36:$AB$370,12,0),0)+(2*_xlfn.IFNA(VLOOKUP(Aragon!A2097,'Kilter Holds'!$P$36:$AB$370,12,0),0))</f>
        <v>0</v>
      </c>
      <c r="J2097" s="2">
        <f t="shared" si="118"/>
        <v>0</v>
      </c>
      <c r="K2097" s="2">
        <f t="shared" si="119"/>
        <v>0</v>
      </c>
    </row>
    <row r="2098" spans="5:11">
      <c r="E2098" s="3" t="s">
        <v>2122</v>
      </c>
      <c r="F2098" s="3" t="s">
        <v>2123</v>
      </c>
      <c r="G2098" s="12" t="str">
        <f t="shared" si="97"/>
        <v>12-01</v>
      </c>
      <c r="H2098" s="1">
        <f>_xlfn.IFNA(VLOOKUP(Aragon!E2098,'Kilter Holds'!$P$36:$AB$370,13,0),0)+(2*_xlfn.IFNA(VLOOKUP(Aragon!A2098,'Kilter Holds'!$P$36:$AB$370,13,0),0))</f>
        <v>0</v>
      </c>
      <c r="J2098" s="2">
        <f t="shared" si="118"/>
        <v>0</v>
      </c>
      <c r="K2098" s="2">
        <f t="shared" si="119"/>
        <v>0</v>
      </c>
    </row>
    <row r="2099" spans="5:11">
      <c r="E2099" s="3" t="s">
        <v>2124</v>
      </c>
      <c r="F2099" s="3" t="s">
        <v>2125</v>
      </c>
      <c r="G2099" s="5" t="str">
        <f t="shared" si="97"/>
        <v>11-12</v>
      </c>
      <c r="H2099" s="1">
        <f>_xlfn.IFNA(VLOOKUP(Aragon!E2099,'Kilter Holds'!$P$36:$AB$370,5,0),0)+(2*_xlfn.IFNA(VLOOKUP(Aragon!A2099,'Kilter Holds'!$P$36:$AB$370,5,0),0))</f>
        <v>0</v>
      </c>
      <c r="J2099" s="2">
        <f t="shared" si="118"/>
        <v>0</v>
      </c>
      <c r="K2099" s="2">
        <f t="shared" si="119"/>
        <v>0</v>
      </c>
    </row>
    <row r="2100" spans="5:11">
      <c r="E2100" s="3" t="s">
        <v>2124</v>
      </c>
      <c r="F2100" s="3" t="s">
        <v>2125</v>
      </c>
      <c r="G2100" s="6" t="str">
        <f t="shared" si="97"/>
        <v>14-01</v>
      </c>
      <c r="H2100" s="1">
        <f>_xlfn.IFNA(VLOOKUP(Aragon!E2100,'Kilter Holds'!$P$36:$AB$370,6,0),0)+(2*_xlfn.IFNA(VLOOKUP(Aragon!A2100,'Kilter Holds'!$P$36:$AB$370,6,0),0))</f>
        <v>0</v>
      </c>
      <c r="J2100" s="2">
        <f t="shared" si="118"/>
        <v>0</v>
      </c>
      <c r="K2100" s="2">
        <f t="shared" si="119"/>
        <v>0</v>
      </c>
    </row>
    <row r="2101" spans="5:11">
      <c r="E2101" s="3" t="s">
        <v>2124</v>
      </c>
      <c r="F2101" s="3" t="s">
        <v>2125</v>
      </c>
      <c r="G2101" s="7" t="str">
        <f t="shared" si="97"/>
        <v>15-12</v>
      </c>
      <c r="H2101" s="1">
        <f>_xlfn.IFNA(VLOOKUP(Aragon!E2101,'Kilter Holds'!$P$36:$AB$370,7,0),0)+(2*_xlfn.IFNA(VLOOKUP(Aragon!A2101,'Kilter Holds'!$P$36:$AB$370,7,0),0))</f>
        <v>0</v>
      </c>
      <c r="J2101" s="2">
        <f t="shared" si="118"/>
        <v>0</v>
      </c>
      <c r="K2101" s="2">
        <f t="shared" si="119"/>
        <v>0</v>
      </c>
    </row>
    <row r="2102" spans="5:11">
      <c r="E2102" s="3" t="s">
        <v>2124</v>
      </c>
      <c r="F2102" s="3" t="s">
        <v>2125</v>
      </c>
      <c r="G2102" s="8" t="str">
        <f t="shared" si="97"/>
        <v>16-16</v>
      </c>
      <c r="H2102" s="1">
        <f>_xlfn.IFNA(VLOOKUP(Aragon!E2102,'Kilter Holds'!$P$36:$AB$370,8,0),0)+(2*_xlfn.IFNA(VLOOKUP(Aragon!A2102,'Kilter Holds'!$P$36:$AB$370,8,0),0))</f>
        <v>0</v>
      </c>
      <c r="J2102" s="2">
        <f t="shared" si="118"/>
        <v>0</v>
      </c>
      <c r="K2102" s="2">
        <f t="shared" si="119"/>
        <v>0</v>
      </c>
    </row>
    <row r="2103" spans="5:11">
      <c r="E2103" s="3" t="s">
        <v>2124</v>
      </c>
      <c r="F2103" s="3" t="s">
        <v>2125</v>
      </c>
      <c r="G2103" s="9" t="str">
        <f t="shared" si="97"/>
        <v>13-01</v>
      </c>
      <c r="H2103" s="1">
        <f>_xlfn.IFNA(VLOOKUP(Aragon!E2103,'Kilter Holds'!$P$36:$AB$370,9,0),0)+(2*_xlfn.IFNA(VLOOKUP(Aragon!A2103,'Kilter Holds'!$P$36:$AB$370,9,0),0))</f>
        <v>0</v>
      </c>
      <c r="J2103" s="2">
        <f t="shared" si="118"/>
        <v>0</v>
      </c>
      <c r="K2103" s="2">
        <f t="shared" si="119"/>
        <v>0</v>
      </c>
    </row>
    <row r="2104" spans="5:11">
      <c r="E2104" s="3" t="s">
        <v>2124</v>
      </c>
      <c r="F2104" s="3" t="s">
        <v>2125</v>
      </c>
      <c r="G2104" s="10" t="str">
        <f t="shared" si="97"/>
        <v>07-13</v>
      </c>
      <c r="H2104" s="1">
        <f>_xlfn.IFNA(VLOOKUP(Aragon!E2104,'Kilter Holds'!$P$36:$AB$370,10,0),0)+(2*_xlfn.IFNA(VLOOKUP(Aragon!A2104,'Kilter Holds'!$P$36:$AB$370,10,0),0))</f>
        <v>0</v>
      </c>
      <c r="J2104" s="2">
        <f t="shared" si="118"/>
        <v>0</v>
      </c>
      <c r="K2104" s="2">
        <f t="shared" si="119"/>
        <v>0</v>
      </c>
    </row>
    <row r="2105" spans="5:11">
      <c r="E2105" s="3" t="s">
        <v>2124</v>
      </c>
      <c r="F2105" s="3" t="s">
        <v>2125</v>
      </c>
      <c r="G2105" s="11" t="str">
        <f t="shared" si="97"/>
        <v>11-25</v>
      </c>
      <c r="H2105" s="1">
        <f>_xlfn.IFNA(VLOOKUP(Aragon!E2105,'Kilter Holds'!$P$36:$AB$370,11,0),0)+(2*_xlfn.IFNA(VLOOKUP(Aragon!A2105,'Kilter Holds'!$P$36:$AB$370,11,0),0))</f>
        <v>0</v>
      </c>
      <c r="J2105" s="2">
        <f t="shared" si="118"/>
        <v>0</v>
      </c>
      <c r="K2105" s="2">
        <f t="shared" si="119"/>
        <v>0</v>
      </c>
    </row>
    <row r="2106" spans="5:11">
      <c r="E2106" s="3" t="s">
        <v>2124</v>
      </c>
      <c r="F2106" s="3" t="s">
        <v>2125</v>
      </c>
      <c r="G2106" s="13" t="str">
        <f t="shared" si="97"/>
        <v>18-01</v>
      </c>
      <c r="H2106" s="1">
        <f>_xlfn.IFNA(VLOOKUP(Aragon!E2106,'Kilter Holds'!$P$36:$AB$370,12,0),0)+(2*_xlfn.IFNA(VLOOKUP(Aragon!A2106,'Kilter Holds'!$P$36:$AB$370,12,0),0))</f>
        <v>0</v>
      </c>
      <c r="J2106" s="2">
        <f t="shared" si="118"/>
        <v>0</v>
      </c>
      <c r="K2106" s="2">
        <f t="shared" si="119"/>
        <v>0</v>
      </c>
    </row>
    <row r="2107" spans="5:11">
      <c r="E2107" s="3" t="s">
        <v>2124</v>
      </c>
      <c r="F2107" s="3" t="s">
        <v>2125</v>
      </c>
      <c r="G2107" s="12" t="str">
        <f t="shared" si="97"/>
        <v>12-01</v>
      </c>
      <c r="H2107" s="1">
        <f>_xlfn.IFNA(VLOOKUP(Aragon!E2107,'Kilter Holds'!$P$36:$AB$370,13,0),0)+(2*_xlfn.IFNA(VLOOKUP(Aragon!A2107,'Kilter Holds'!$P$36:$AB$370,13,0),0))</f>
        <v>0</v>
      </c>
      <c r="J2107" s="2">
        <f t="shared" si="118"/>
        <v>0</v>
      </c>
      <c r="K2107" s="2">
        <f t="shared" si="119"/>
        <v>0</v>
      </c>
    </row>
    <row r="2108" spans="5:11">
      <c r="E2108" s="3" t="s">
        <v>2225</v>
      </c>
      <c r="F2108" s="3" t="s">
        <v>2226</v>
      </c>
      <c r="G2108" s="5" t="str">
        <f t="shared" si="97"/>
        <v>11-12</v>
      </c>
      <c r="H2108" s="1">
        <f>_xlfn.IFNA(VLOOKUP(Aragon!E2108,'Kilter Holds'!$P$36:$AB$370,5,0),0)+(2*_xlfn.IFNA(VLOOKUP(Aragon!A2108,'Kilter Holds'!$P$36:$AB$370,5,0),0))</f>
        <v>0</v>
      </c>
      <c r="J2108" s="2">
        <f t="shared" ref="J2108:J2170" si="120">H2108*I2108</f>
        <v>0</v>
      </c>
      <c r="K2108" s="2">
        <f t="shared" ref="K2108:K2170" si="121">IF($V$11="Y",J2108*0.05,0)</f>
        <v>0</v>
      </c>
    </row>
    <row r="2109" spans="5:11">
      <c r="E2109" s="3" t="s">
        <v>2225</v>
      </c>
      <c r="F2109" s="3" t="s">
        <v>2226</v>
      </c>
      <c r="G2109" s="6" t="str">
        <f t="shared" si="97"/>
        <v>14-01</v>
      </c>
      <c r="H2109" s="1">
        <f>_xlfn.IFNA(VLOOKUP(Aragon!E2109,'Kilter Holds'!$P$36:$AB$370,6,0),0)+(2*_xlfn.IFNA(VLOOKUP(Aragon!A2109,'Kilter Holds'!$P$36:$AB$370,6,0),0))</f>
        <v>0</v>
      </c>
      <c r="J2109" s="2">
        <f t="shared" si="120"/>
        <v>0</v>
      </c>
      <c r="K2109" s="2">
        <f t="shared" si="121"/>
        <v>0</v>
      </c>
    </row>
    <row r="2110" spans="5:11">
      <c r="E2110" s="3" t="s">
        <v>2225</v>
      </c>
      <c r="F2110" s="3" t="s">
        <v>2226</v>
      </c>
      <c r="G2110" s="7" t="str">
        <f t="shared" si="97"/>
        <v>15-12</v>
      </c>
      <c r="H2110" s="1">
        <f>_xlfn.IFNA(VLOOKUP(Aragon!E2110,'Kilter Holds'!$P$36:$AB$370,7,0),0)+(2*_xlfn.IFNA(VLOOKUP(Aragon!A2110,'Kilter Holds'!$P$36:$AB$370,7,0),0))</f>
        <v>0</v>
      </c>
      <c r="J2110" s="2">
        <f t="shared" si="120"/>
        <v>0</v>
      </c>
      <c r="K2110" s="2">
        <f t="shared" si="121"/>
        <v>0</v>
      </c>
    </row>
    <row r="2111" spans="5:11">
      <c r="E2111" s="3" t="s">
        <v>2225</v>
      </c>
      <c r="F2111" s="3" t="s">
        <v>2226</v>
      </c>
      <c r="G2111" s="8" t="str">
        <f t="shared" si="97"/>
        <v>16-16</v>
      </c>
      <c r="H2111" s="1">
        <f>_xlfn.IFNA(VLOOKUP(Aragon!E2111,'Kilter Holds'!$P$36:$AB$370,8,0),0)+(2*_xlfn.IFNA(VLOOKUP(Aragon!A2111,'Kilter Holds'!$P$36:$AB$370,8,0),0))</f>
        <v>0</v>
      </c>
      <c r="J2111" s="2">
        <f t="shared" si="120"/>
        <v>0</v>
      </c>
      <c r="K2111" s="2">
        <f t="shared" si="121"/>
        <v>0</v>
      </c>
    </row>
    <row r="2112" spans="5:11">
      <c r="E2112" s="3" t="s">
        <v>2225</v>
      </c>
      <c r="F2112" s="3" t="s">
        <v>2226</v>
      </c>
      <c r="G2112" s="9" t="str">
        <f t="shared" si="97"/>
        <v>13-01</v>
      </c>
      <c r="H2112" s="1">
        <f>_xlfn.IFNA(VLOOKUP(Aragon!E2112,'Kilter Holds'!$P$36:$AB$370,9,0),0)+(2*_xlfn.IFNA(VLOOKUP(Aragon!A2112,'Kilter Holds'!$P$36:$AB$370,9,0),0))</f>
        <v>0</v>
      </c>
      <c r="J2112" s="2">
        <f t="shared" si="120"/>
        <v>0</v>
      </c>
      <c r="K2112" s="2">
        <f t="shared" si="121"/>
        <v>0</v>
      </c>
    </row>
    <row r="2113" spans="5:11">
      <c r="E2113" s="3" t="s">
        <v>2225</v>
      </c>
      <c r="F2113" s="3" t="s">
        <v>2226</v>
      </c>
      <c r="G2113" s="10" t="str">
        <f t="shared" si="97"/>
        <v>07-13</v>
      </c>
      <c r="H2113" s="1">
        <f>_xlfn.IFNA(VLOOKUP(Aragon!E2113,'Kilter Holds'!$P$36:$AB$370,10,0),0)+(2*_xlfn.IFNA(VLOOKUP(Aragon!A2113,'Kilter Holds'!$P$36:$AB$370,10,0),0))</f>
        <v>0</v>
      </c>
      <c r="J2113" s="2">
        <f t="shared" si="120"/>
        <v>0</v>
      </c>
      <c r="K2113" s="2">
        <f t="shared" si="121"/>
        <v>0</v>
      </c>
    </row>
    <row r="2114" spans="5:11">
      <c r="E2114" s="3" t="s">
        <v>2225</v>
      </c>
      <c r="F2114" s="3" t="s">
        <v>2226</v>
      </c>
      <c r="G2114" s="11" t="str">
        <f t="shared" si="97"/>
        <v>11-25</v>
      </c>
      <c r="H2114" s="1">
        <f>_xlfn.IFNA(VLOOKUP(Aragon!E2114,'Kilter Holds'!$P$36:$AB$370,11,0),0)+(2*_xlfn.IFNA(VLOOKUP(Aragon!A2114,'Kilter Holds'!$P$36:$AB$370,11,0),0))</f>
        <v>0</v>
      </c>
      <c r="J2114" s="2">
        <f t="shared" si="120"/>
        <v>0</v>
      </c>
      <c r="K2114" s="2">
        <f t="shared" si="121"/>
        <v>0</v>
      </c>
    </row>
    <row r="2115" spans="5:11">
      <c r="E2115" s="3" t="s">
        <v>2225</v>
      </c>
      <c r="F2115" s="3" t="s">
        <v>2226</v>
      </c>
      <c r="G2115" s="13" t="str">
        <f t="shared" si="97"/>
        <v>18-01</v>
      </c>
      <c r="H2115" s="1">
        <f>_xlfn.IFNA(VLOOKUP(Aragon!E2115,'Kilter Holds'!$P$36:$AB$370,12,0),0)+(2*_xlfn.IFNA(VLOOKUP(Aragon!A2115,'Kilter Holds'!$P$36:$AB$370,12,0),0))</f>
        <v>0</v>
      </c>
      <c r="J2115" s="2">
        <f t="shared" si="120"/>
        <v>0</v>
      </c>
      <c r="K2115" s="2">
        <f t="shared" si="121"/>
        <v>0</v>
      </c>
    </row>
    <row r="2116" spans="5:11">
      <c r="E2116" s="3" t="s">
        <v>2225</v>
      </c>
      <c r="F2116" s="3" t="s">
        <v>2226</v>
      </c>
      <c r="G2116" s="12" t="str">
        <f t="shared" si="97"/>
        <v>12-01</v>
      </c>
      <c r="H2116" s="1">
        <f>_xlfn.IFNA(VLOOKUP(Aragon!E2116,'Kilter Holds'!$P$36:$AB$370,13,0),0)+(2*_xlfn.IFNA(VLOOKUP(Aragon!A2116,'Kilter Holds'!$P$36:$AB$370,13,0),0))</f>
        <v>0</v>
      </c>
      <c r="J2116" s="2">
        <f t="shared" si="120"/>
        <v>0</v>
      </c>
      <c r="K2116" s="2">
        <f t="shared" si="121"/>
        <v>0</v>
      </c>
    </row>
    <row r="2117" spans="5:11">
      <c r="E2117" s="3" t="s">
        <v>2227</v>
      </c>
      <c r="F2117" s="3" t="s">
        <v>2228</v>
      </c>
      <c r="G2117" s="5" t="str">
        <f t="shared" si="97"/>
        <v>11-12</v>
      </c>
      <c r="H2117" s="1">
        <f>_xlfn.IFNA(VLOOKUP(Aragon!E2117,'Kilter Holds'!$P$36:$AB$370,5,0),0)+(2*_xlfn.IFNA(VLOOKUP(Aragon!A2117,'Kilter Holds'!$P$36:$AB$370,5,0),0))</f>
        <v>0</v>
      </c>
      <c r="J2117" s="2">
        <f t="shared" si="120"/>
        <v>0</v>
      </c>
      <c r="K2117" s="2">
        <f t="shared" si="121"/>
        <v>0</v>
      </c>
    </row>
    <row r="2118" spans="5:11">
      <c r="E2118" s="3" t="s">
        <v>2227</v>
      </c>
      <c r="F2118" s="3" t="s">
        <v>2228</v>
      </c>
      <c r="G2118" s="6" t="str">
        <f t="shared" si="97"/>
        <v>14-01</v>
      </c>
      <c r="H2118" s="1">
        <f>_xlfn.IFNA(VLOOKUP(Aragon!E2118,'Kilter Holds'!$P$36:$AB$370,6,0),0)+(2*_xlfn.IFNA(VLOOKUP(Aragon!A2118,'Kilter Holds'!$P$36:$AB$370,6,0),0))</f>
        <v>0</v>
      </c>
      <c r="J2118" s="2">
        <f t="shared" si="120"/>
        <v>0</v>
      </c>
      <c r="K2118" s="2">
        <f t="shared" si="121"/>
        <v>0</v>
      </c>
    </row>
    <row r="2119" spans="5:11">
      <c r="E2119" s="3" t="s">
        <v>2227</v>
      </c>
      <c r="F2119" s="3" t="s">
        <v>2228</v>
      </c>
      <c r="G2119" s="7" t="str">
        <f t="shared" si="97"/>
        <v>15-12</v>
      </c>
      <c r="H2119" s="1">
        <f>_xlfn.IFNA(VLOOKUP(Aragon!E2119,'Kilter Holds'!$P$36:$AB$370,7,0),0)+(2*_xlfn.IFNA(VLOOKUP(Aragon!A2119,'Kilter Holds'!$P$36:$AB$370,7,0),0))</f>
        <v>0</v>
      </c>
      <c r="J2119" s="2">
        <f t="shared" si="120"/>
        <v>0</v>
      </c>
      <c r="K2119" s="2">
        <f t="shared" si="121"/>
        <v>0</v>
      </c>
    </row>
    <row r="2120" spans="5:11">
      <c r="E2120" s="3" t="s">
        <v>2227</v>
      </c>
      <c r="F2120" s="3" t="s">
        <v>2228</v>
      </c>
      <c r="G2120" s="8" t="str">
        <f t="shared" si="97"/>
        <v>16-16</v>
      </c>
      <c r="H2120" s="1">
        <f>_xlfn.IFNA(VLOOKUP(Aragon!E2120,'Kilter Holds'!$P$36:$AB$370,8,0),0)+(2*_xlfn.IFNA(VLOOKUP(Aragon!A2120,'Kilter Holds'!$P$36:$AB$370,8,0),0))</f>
        <v>0</v>
      </c>
      <c r="J2120" s="2">
        <f t="shared" si="120"/>
        <v>0</v>
      </c>
      <c r="K2120" s="2">
        <f t="shared" si="121"/>
        <v>0</v>
      </c>
    </row>
    <row r="2121" spans="5:11">
      <c r="E2121" s="3" t="s">
        <v>2227</v>
      </c>
      <c r="F2121" s="3" t="s">
        <v>2228</v>
      </c>
      <c r="G2121" s="9" t="str">
        <f t="shared" si="97"/>
        <v>13-01</v>
      </c>
      <c r="H2121" s="1">
        <f>_xlfn.IFNA(VLOOKUP(Aragon!E2121,'Kilter Holds'!$P$36:$AB$370,9,0),0)+(2*_xlfn.IFNA(VLOOKUP(Aragon!A2121,'Kilter Holds'!$P$36:$AB$370,9,0),0))</f>
        <v>0</v>
      </c>
      <c r="J2121" s="2">
        <f t="shared" si="120"/>
        <v>0</v>
      </c>
      <c r="K2121" s="2">
        <f t="shared" si="121"/>
        <v>0</v>
      </c>
    </row>
    <row r="2122" spans="5:11">
      <c r="E2122" s="3" t="s">
        <v>2227</v>
      </c>
      <c r="F2122" s="3" t="s">
        <v>2228</v>
      </c>
      <c r="G2122" s="10" t="str">
        <f t="shared" si="97"/>
        <v>07-13</v>
      </c>
      <c r="H2122" s="1">
        <f>_xlfn.IFNA(VLOOKUP(Aragon!E2122,'Kilter Holds'!$P$36:$AB$370,10,0),0)+(2*_xlfn.IFNA(VLOOKUP(Aragon!A2122,'Kilter Holds'!$P$36:$AB$370,10,0),0))</f>
        <v>0</v>
      </c>
      <c r="J2122" s="2">
        <f t="shared" si="120"/>
        <v>0</v>
      </c>
      <c r="K2122" s="2">
        <f t="shared" si="121"/>
        <v>0</v>
      </c>
    </row>
    <row r="2123" spans="5:11">
      <c r="E2123" s="3" t="s">
        <v>2227</v>
      </c>
      <c r="F2123" s="3" t="s">
        <v>2228</v>
      </c>
      <c r="G2123" s="11" t="str">
        <f t="shared" si="97"/>
        <v>11-25</v>
      </c>
      <c r="H2123" s="1">
        <f>_xlfn.IFNA(VLOOKUP(Aragon!E2123,'Kilter Holds'!$P$36:$AB$370,11,0),0)+(2*_xlfn.IFNA(VLOOKUP(Aragon!A2123,'Kilter Holds'!$P$36:$AB$370,11,0),0))</f>
        <v>0</v>
      </c>
      <c r="J2123" s="2">
        <f t="shared" si="120"/>
        <v>0</v>
      </c>
      <c r="K2123" s="2">
        <f t="shared" si="121"/>
        <v>0</v>
      </c>
    </row>
    <row r="2124" spans="5:11">
      <c r="E2124" s="3" t="s">
        <v>2227</v>
      </c>
      <c r="F2124" s="3" t="s">
        <v>2228</v>
      </c>
      <c r="G2124" s="13" t="str">
        <f t="shared" si="97"/>
        <v>18-01</v>
      </c>
      <c r="H2124" s="1">
        <f>_xlfn.IFNA(VLOOKUP(Aragon!E2124,'Kilter Holds'!$P$36:$AB$370,12,0),0)+(2*_xlfn.IFNA(VLOOKUP(Aragon!A2124,'Kilter Holds'!$P$36:$AB$370,12,0),0))</f>
        <v>0</v>
      </c>
      <c r="J2124" s="2">
        <f t="shared" si="120"/>
        <v>0</v>
      </c>
      <c r="K2124" s="2">
        <f t="shared" si="121"/>
        <v>0</v>
      </c>
    </row>
    <row r="2125" spans="5:11">
      <c r="E2125" s="3" t="s">
        <v>2227</v>
      </c>
      <c r="F2125" s="3" t="s">
        <v>2228</v>
      </c>
      <c r="G2125" s="12" t="str">
        <f t="shared" si="97"/>
        <v>12-01</v>
      </c>
      <c r="H2125" s="1">
        <f>_xlfn.IFNA(VLOOKUP(Aragon!E2125,'Kilter Holds'!$P$36:$AB$370,13,0),0)+(2*_xlfn.IFNA(VLOOKUP(Aragon!A2125,'Kilter Holds'!$P$36:$AB$370,13,0),0))</f>
        <v>0</v>
      </c>
      <c r="J2125" s="2">
        <f t="shared" si="120"/>
        <v>0</v>
      </c>
      <c r="K2125" s="2">
        <f t="shared" si="121"/>
        <v>0</v>
      </c>
    </row>
    <row r="2126" spans="5:11">
      <c r="E2126" s="3" t="s">
        <v>2229</v>
      </c>
      <c r="F2126" s="3" t="s">
        <v>2230</v>
      </c>
      <c r="G2126" s="5" t="str">
        <f t="shared" si="97"/>
        <v>11-12</v>
      </c>
      <c r="H2126" s="1">
        <f>_xlfn.IFNA(VLOOKUP(Aragon!E2126,'Kilter Holds'!$P$36:$AB$370,5,0),0)+(2*_xlfn.IFNA(VLOOKUP(Aragon!A2126,'Kilter Holds'!$P$36:$AB$370,5,0),0))</f>
        <v>0</v>
      </c>
      <c r="J2126" s="2">
        <f t="shared" si="120"/>
        <v>0</v>
      </c>
      <c r="K2126" s="2">
        <f t="shared" si="121"/>
        <v>0</v>
      </c>
    </row>
    <row r="2127" spans="5:11">
      <c r="E2127" s="3" t="s">
        <v>2229</v>
      </c>
      <c r="F2127" s="3" t="s">
        <v>2230</v>
      </c>
      <c r="G2127" s="6" t="str">
        <f t="shared" si="97"/>
        <v>14-01</v>
      </c>
      <c r="H2127" s="1">
        <f>_xlfn.IFNA(VLOOKUP(Aragon!E2127,'Kilter Holds'!$P$36:$AB$370,6,0),0)+(2*_xlfn.IFNA(VLOOKUP(Aragon!A2127,'Kilter Holds'!$P$36:$AB$370,6,0),0))</f>
        <v>0</v>
      </c>
      <c r="J2127" s="2">
        <f t="shared" si="120"/>
        <v>0</v>
      </c>
      <c r="K2127" s="2">
        <f t="shared" si="121"/>
        <v>0</v>
      </c>
    </row>
    <row r="2128" spans="5:11">
      <c r="E2128" s="3" t="s">
        <v>2229</v>
      </c>
      <c r="F2128" s="3" t="s">
        <v>2230</v>
      </c>
      <c r="G2128" s="7" t="str">
        <f t="shared" si="97"/>
        <v>15-12</v>
      </c>
      <c r="H2128" s="1">
        <f>_xlfn.IFNA(VLOOKUP(Aragon!E2128,'Kilter Holds'!$P$36:$AB$370,7,0),0)+(2*_xlfn.IFNA(VLOOKUP(Aragon!A2128,'Kilter Holds'!$P$36:$AB$370,7,0),0))</f>
        <v>0</v>
      </c>
      <c r="J2128" s="2">
        <f t="shared" si="120"/>
        <v>0</v>
      </c>
      <c r="K2128" s="2">
        <f t="shared" si="121"/>
        <v>0</v>
      </c>
    </row>
    <row r="2129" spans="5:11">
      <c r="E2129" s="3" t="s">
        <v>2229</v>
      </c>
      <c r="F2129" s="3" t="s">
        <v>2230</v>
      </c>
      <c r="G2129" s="8" t="str">
        <f t="shared" si="97"/>
        <v>16-16</v>
      </c>
      <c r="H2129" s="1">
        <f>_xlfn.IFNA(VLOOKUP(Aragon!E2129,'Kilter Holds'!$P$36:$AB$370,8,0),0)+(2*_xlfn.IFNA(VLOOKUP(Aragon!A2129,'Kilter Holds'!$P$36:$AB$370,8,0),0))</f>
        <v>0</v>
      </c>
      <c r="J2129" s="2">
        <f t="shared" si="120"/>
        <v>0</v>
      </c>
      <c r="K2129" s="2">
        <f t="shared" si="121"/>
        <v>0</v>
      </c>
    </row>
    <row r="2130" spans="5:11">
      <c r="E2130" s="3" t="s">
        <v>2229</v>
      </c>
      <c r="F2130" s="3" t="s">
        <v>2230</v>
      </c>
      <c r="G2130" s="9" t="str">
        <f t="shared" si="97"/>
        <v>13-01</v>
      </c>
      <c r="H2130" s="1">
        <f>_xlfn.IFNA(VLOOKUP(Aragon!E2130,'Kilter Holds'!$P$36:$AB$370,9,0),0)+(2*_xlfn.IFNA(VLOOKUP(Aragon!A2130,'Kilter Holds'!$P$36:$AB$370,9,0),0))</f>
        <v>0</v>
      </c>
      <c r="J2130" s="2">
        <f t="shared" si="120"/>
        <v>0</v>
      </c>
      <c r="K2130" s="2">
        <f t="shared" si="121"/>
        <v>0</v>
      </c>
    </row>
    <row r="2131" spans="5:11">
      <c r="E2131" s="3" t="s">
        <v>2229</v>
      </c>
      <c r="F2131" s="3" t="s">
        <v>2230</v>
      </c>
      <c r="G2131" s="10" t="str">
        <f t="shared" si="97"/>
        <v>07-13</v>
      </c>
      <c r="H2131" s="1">
        <f>_xlfn.IFNA(VLOOKUP(Aragon!E2131,'Kilter Holds'!$P$36:$AB$370,10,0),0)+(2*_xlfn.IFNA(VLOOKUP(Aragon!A2131,'Kilter Holds'!$P$36:$AB$370,10,0),0))</f>
        <v>0</v>
      </c>
      <c r="J2131" s="2">
        <f t="shared" si="120"/>
        <v>0</v>
      </c>
      <c r="K2131" s="2">
        <f t="shared" si="121"/>
        <v>0</v>
      </c>
    </row>
    <row r="2132" spans="5:11">
      <c r="E2132" s="3" t="s">
        <v>2229</v>
      </c>
      <c r="F2132" s="3" t="s">
        <v>2230</v>
      </c>
      <c r="G2132" s="11" t="str">
        <f t="shared" si="97"/>
        <v>11-25</v>
      </c>
      <c r="H2132" s="1">
        <f>_xlfn.IFNA(VLOOKUP(Aragon!E2132,'Kilter Holds'!$P$36:$AB$370,11,0),0)+(2*_xlfn.IFNA(VLOOKUP(Aragon!A2132,'Kilter Holds'!$P$36:$AB$370,11,0),0))</f>
        <v>0</v>
      </c>
      <c r="J2132" s="2">
        <f t="shared" si="120"/>
        <v>0</v>
      </c>
      <c r="K2132" s="2">
        <f t="shared" si="121"/>
        <v>0</v>
      </c>
    </row>
    <row r="2133" spans="5:11">
      <c r="E2133" s="3" t="s">
        <v>2229</v>
      </c>
      <c r="F2133" s="3" t="s">
        <v>2230</v>
      </c>
      <c r="G2133" s="13" t="str">
        <f t="shared" si="97"/>
        <v>18-01</v>
      </c>
      <c r="H2133" s="1">
        <f>_xlfn.IFNA(VLOOKUP(Aragon!E2133,'Kilter Holds'!$P$36:$AB$370,12,0),0)+(2*_xlfn.IFNA(VLOOKUP(Aragon!A2133,'Kilter Holds'!$P$36:$AB$370,12,0),0))</f>
        <v>0</v>
      </c>
      <c r="J2133" s="2">
        <f t="shared" si="120"/>
        <v>0</v>
      </c>
      <c r="K2133" s="2">
        <f t="shared" si="121"/>
        <v>0</v>
      </c>
    </row>
    <row r="2134" spans="5:11">
      <c r="E2134" s="3" t="s">
        <v>2229</v>
      </c>
      <c r="F2134" s="3" t="s">
        <v>2230</v>
      </c>
      <c r="G2134" s="12" t="str">
        <f t="shared" si="97"/>
        <v>12-01</v>
      </c>
      <c r="H2134" s="1">
        <f>_xlfn.IFNA(VLOOKUP(Aragon!E2134,'Kilter Holds'!$P$36:$AB$370,13,0),0)+(2*_xlfn.IFNA(VLOOKUP(Aragon!A2134,'Kilter Holds'!$P$36:$AB$370,13,0),0))</f>
        <v>0</v>
      </c>
      <c r="J2134" s="2">
        <f t="shared" si="120"/>
        <v>0</v>
      </c>
      <c r="K2134" s="2">
        <f t="shared" si="121"/>
        <v>0</v>
      </c>
    </row>
    <row r="2135" spans="5:11">
      <c r="E2135" s="3" t="s">
        <v>2231</v>
      </c>
      <c r="F2135" s="3" t="s">
        <v>2232</v>
      </c>
      <c r="G2135" s="5" t="str">
        <f t="shared" si="97"/>
        <v>11-12</v>
      </c>
      <c r="H2135" s="1">
        <f>_xlfn.IFNA(VLOOKUP(Aragon!E2135,'Kilter Holds'!$P$36:$AB$370,5,0),0)+(2*_xlfn.IFNA(VLOOKUP(Aragon!A2135,'Kilter Holds'!$P$36:$AB$370,5,0),0))</f>
        <v>0</v>
      </c>
      <c r="J2135" s="2">
        <f t="shared" si="120"/>
        <v>0</v>
      </c>
      <c r="K2135" s="2">
        <f t="shared" si="121"/>
        <v>0</v>
      </c>
    </row>
    <row r="2136" spans="5:11">
      <c r="E2136" s="3" t="s">
        <v>2231</v>
      </c>
      <c r="F2136" s="3" t="s">
        <v>2232</v>
      </c>
      <c r="G2136" s="6" t="str">
        <f t="shared" si="97"/>
        <v>14-01</v>
      </c>
      <c r="H2136" s="1">
        <f>_xlfn.IFNA(VLOOKUP(Aragon!E2136,'Kilter Holds'!$P$36:$AB$370,6,0),0)+(2*_xlfn.IFNA(VLOOKUP(Aragon!A2136,'Kilter Holds'!$P$36:$AB$370,6,0),0))</f>
        <v>0</v>
      </c>
      <c r="J2136" s="2">
        <f t="shared" si="120"/>
        <v>0</v>
      </c>
      <c r="K2136" s="2">
        <f t="shared" si="121"/>
        <v>0</v>
      </c>
    </row>
    <row r="2137" spans="5:11">
      <c r="E2137" s="3" t="s">
        <v>2231</v>
      </c>
      <c r="F2137" s="3" t="s">
        <v>2232</v>
      </c>
      <c r="G2137" s="7" t="str">
        <f t="shared" si="97"/>
        <v>15-12</v>
      </c>
      <c r="H2137" s="1">
        <f>_xlfn.IFNA(VLOOKUP(Aragon!E2137,'Kilter Holds'!$P$36:$AB$370,7,0),0)+(2*_xlfn.IFNA(VLOOKUP(Aragon!A2137,'Kilter Holds'!$P$36:$AB$370,7,0),0))</f>
        <v>0</v>
      </c>
      <c r="J2137" s="2">
        <f t="shared" si="120"/>
        <v>0</v>
      </c>
      <c r="K2137" s="2">
        <f t="shared" si="121"/>
        <v>0</v>
      </c>
    </row>
    <row r="2138" spans="5:11">
      <c r="E2138" s="3" t="s">
        <v>2231</v>
      </c>
      <c r="F2138" s="3" t="s">
        <v>2232</v>
      </c>
      <c r="G2138" s="8" t="str">
        <f t="shared" si="97"/>
        <v>16-16</v>
      </c>
      <c r="H2138" s="1">
        <f>_xlfn.IFNA(VLOOKUP(Aragon!E2138,'Kilter Holds'!$P$36:$AB$370,8,0),0)+(2*_xlfn.IFNA(VLOOKUP(Aragon!A2138,'Kilter Holds'!$P$36:$AB$370,8,0),0))</f>
        <v>0</v>
      </c>
      <c r="J2138" s="2">
        <f t="shared" si="120"/>
        <v>0</v>
      </c>
      <c r="K2138" s="2">
        <f t="shared" si="121"/>
        <v>0</v>
      </c>
    </row>
    <row r="2139" spans="5:11">
      <c r="E2139" s="3" t="s">
        <v>2231</v>
      </c>
      <c r="F2139" s="3" t="s">
        <v>2232</v>
      </c>
      <c r="G2139" s="9" t="str">
        <f t="shared" si="97"/>
        <v>13-01</v>
      </c>
      <c r="H2139" s="1">
        <f>_xlfn.IFNA(VLOOKUP(Aragon!E2139,'Kilter Holds'!$P$36:$AB$370,9,0),0)+(2*_xlfn.IFNA(VLOOKUP(Aragon!A2139,'Kilter Holds'!$P$36:$AB$370,9,0),0))</f>
        <v>0</v>
      </c>
      <c r="J2139" s="2">
        <f t="shared" si="120"/>
        <v>0</v>
      </c>
      <c r="K2139" s="2">
        <f t="shared" si="121"/>
        <v>0</v>
      </c>
    </row>
    <row r="2140" spans="5:11">
      <c r="E2140" s="3" t="s">
        <v>2231</v>
      </c>
      <c r="F2140" s="3" t="s">
        <v>2232</v>
      </c>
      <c r="G2140" s="10" t="str">
        <f t="shared" si="97"/>
        <v>07-13</v>
      </c>
      <c r="H2140" s="1">
        <f>_xlfn.IFNA(VLOOKUP(Aragon!E2140,'Kilter Holds'!$P$36:$AB$370,10,0),0)+(2*_xlfn.IFNA(VLOOKUP(Aragon!A2140,'Kilter Holds'!$P$36:$AB$370,10,0),0))</f>
        <v>0</v>
      </c>
      <c r="J2140" s="2">
        <f t="shared" si="120"/>
        <v>0</v>
      </c>
      <c r="K2140" s="2">
        <f t="shared" si="121"/>
        <v>0</v>
      </c>
    </row>
    <row r="2141" spans="5:11">
      <c r="E2141" s="3" t="s">
        <v>2231</v>
      </c>
      <c r="F2141" s="3" t="s">
        <v>2232</v>
      </c>
      <c r="G2141" s="11" t="str">
        <f t="shared" si="97"/>
        <v>11-25</v>
      </c>
      <c r="H2141" s="1">
        <f>_xlfn.IFNA(VLOOKUP(Aragon!E2141,'Kilter Holds'!$P$36:$AB$370,11,0),0)+(2*_xlfn.IFNA(VLOOKUP(Aragon!A2141,'Kilter Holds'!$P$36:$AB$370,11,0),0))</f>
        <v>0</v>
      </c>
      <c r="J2141" s="2">
        <f t="shared" si="120"/>
        <v>0</v>
      </c>
      <c r="K2141" s="2">
        <f t="shared" si="121"/>
        <v>0</v>
      </c>
    </row>
    <row r="2142" spans="5:11">
      <c r="E2142" s="3" t="s">
        <v>2231</v>
      </c>
      <c r="F2142" s="3" t="s">
        <v>2232</v>
      </c>
      <c r="G2142" s="13" t="str">
        <f t="shared" si="97"/>
        <v>18-01</v>
      </c>
      <c r="H2142" s="1">
        <f>_xlfn.IFNA(VLOOKUP(Aragon!E2142,'Kilter Holds'!$P$36:$AB$370,12,0),0)+(2*_xlfn.IFNA(VLOOKUP(Aragon!A2142,'Kilter Holds'!$P$36:$AB$370,12,0),0))</f>
        <v>0</v>
      </c>
      <c r="J2142" s="2">
        <f t="shared" si="120"/>
        <v>0</v>
      </c>
      <c r="K2142" s="2">
        <f t="shared" si="121"/>
        <v>0</v>
      </c>
    </row>
    <row r="2143" spans="5:11">
      <c r="E2143" s="3" t="s">
        <v>2231</v>
      </c>
      <c r="F2143" s="3" t="s">
        <v>2232</v>
      </c>
      <c r="G2143" s="12" t="str">
        <f t="shared" si="97"/>
        <v>12-01</v>
      </c>
      <c r="H2143" s="1">
        <f>_xlfn.IFNA(VLOOKUP(Aragon!E2143,'Kilter Holds'!$P$36:$AB$370,13,0),0)+(2*_xlfn.IFNA(VLOOKUP(Aragon!A2143,'Kilter Holds'!$P$36:$AB$370,13,0),0))</f>
        <v>0</v>
      </c>
      <c r="J2143" s="2">
        <f t="shared" si="120"/>
        <v>0</v>
      </c>
      <c r="K2143" s="2">
        <f t="shared" si="121"/>
        <v>0</v>
      </c>
    </row>
    <row r="2144" spans="5:11">
      <c r="E2144" s="3" t="s">
        <v>2233</v>
      </c>
      <c r="F2144" s="3" t="s">
        <v>2234</v>
      </c>
      <c r="G2144" s="5" t="str">
        <f t="shared" si="97"/>
        <v>11-12</v>
      </c>
      <c r="H2144" s="1">
        <f>_xlfn.IFNA(VLOOKUP(Aragon!E2144,'Kilter Holds'!$P$36:$AB$370,5,0),0)+(2*_xlfn.IFNA(VLOOKUP(Aragon!A2144,'Kilter Holds'!$P$36:$AB$370,5,0),0))</f>
        <v>0</v>
      </c>
      <c r="J2144" s="2">
        <f t="shared" si="120"/>
        <v>0</v>
      </c>
      <c r="K2144" s="2">
        <f t="shared" si="121"/>
        <v>0</v>
      </c>
    </row>
    <row r="2145" spans="5:11">
      <c r="E2145" s="3" t="s">
        <v>2233</v>
      </c>
      <c r="F2145" s="3" t="s">
        <v>2234</v>
      </c>
      <c r="G2145" s="6" t="str">
        <f t="shared" si="97"/>
        <v>14-01</v>
      </c>
      <c r="H2145" s="1">
        <f>_xlfn.IFNA(VLOOKUP(Aragon!E2145,'Kilter Holds'!$P$36:$AB$370,6,0),0)+(2*_xlfn.IFNA(VLOOKUP(Aragon!A2145,'Kilter Holds'!$P$36:$AB$370,6,0),0))</f>
        <v>0</v>
      </c>
      <c r="J2145" s="2">
        <f t="shared" si="120"/>
        <v>0</v>
      </c>
      <c r="K2145" s="2">
        <f t="shared" si="121"/>
        <v>0</v>
      </c>
    </row>
    <row r="2146" spans="5:11">
      <c r="E2146" s="3" t="s">
        <v>2233</v>
      </c>
      <c r="F2146" s="3" t="s">
        <v>2234</v>
      </c>
      <c r="G2146" s="7" t="str">
        <f t="shared" si="97"/>
        <v>15-12</v>
      </c>
      <c r="H2146" s="1">
        <f>_xlfn.IFNA(VLOOKUP(Aragon!E2146,'Kilter Holds'!$P$36:$AB$370,7,0),0)+(2*_xlfn.IFNA(VLOOKUP(Aragon!A2146,'Kilter Holds'!$P$36:$AB$370,7,0),0))</f>
        <v>0</v>
      </c>
      <c r="J2146" s="2">
        <f t="shared" si="120"/>
        <v>0</v>
      </c>
      <c r="K2146" s="2">
        <f t="shared" si="121"/>
        <v>0</v>
      </c>
    </row>
    <row r="2147" spans="5:11">
      <c r="E2147" s="3" t="s">
        <v>2233</v>
      </c>
      <c r="F2147" s="3" t="s">
        <v>2234</v>
      </c>
      <c r="G2147" s="8" t="str">
        <f t="shared" si="97"/>
        <v>16-16</v>
      </c>
      <c r="H2147" s="1">
        <f>_xlfn.IFNA(VLOOKUP(Aragon!E2147,'Kilter Holds'!$P$36:$AB$370,8,0),0)+(2*_xlfn.IFNA(VLOOKUP(Aragon!A2147,'Kilter Holds'!$P$36:$AB$370,8,0),0))</f>
        <v>0</v>
      </c>
      <c r="J2147" s="2">
        <f t="shared" si="120"/>
        <v>0</v>
      </c>
      <c r="K2147" s="2">
        <f t="shared" si="121"/>
        <v>0</v>
      </c>
    </row>
    <row r="2148" spans="5:11">
      <c r="E2148" s="3" t="s">
        <v>2233</v>
      </c>
      <c r="F2148" s="3" t="s">
        <v>2234</v>
      </c>
      <c r="G2148" s="9" t="str">
        <f t="shared" si="97"/>
        <v>13-01</v>
      </c>
      <c r="H2148" s="1">
        <f>_xlfn.IFNA(VLOOKUP(Aragon!E2148,'Kilter Holds'!$P$36:$AB$370,9,0),0)+(2*_xlfn.IFNA(VLOOKUP(Aragon!A2148,'Kilter Holds'!$P$36:$AB$370,9,0),0))</f>
        <v>0</v>
      </c>
      <c r="J2148" s="2">
        <f t="shared" si="120"/>
        <v>0</v>
      </c>
      <c r="K2148" s="2">
        <f t="shared" si="121"/>
        <v>0</v>
      </c>
    </row>
    <row r="2149" spans="5:11">
      <c r="E2149" s="3" t="s">
        <v>2233</v>
      </c>
      <c r="F2149" s="3" t="s">
        <v>2234</v>
      </c>
      <c r="G2149" s="10" t="str">
        <f t="shared" si="97"/>
        <v>07-13</v>
      </c>
      <c r="H2149" s="1">
        <f>_xlfn.IFNA(VLOOKUP(Aragon!E2149,'Kilter Holds'!$P$36:$AB$370,10,0),0)+(2*_xlfn.IFNA(VLOOKUP(Aragon!A2149,'Kilter Holds'!$P$36:$AB$370,10,0),0))</f>
        <v>0</v>
      </c>
      <c r="J2149" s="2">
        <f t="shared" si="120"/>
        <v>0</v>
      </c>
      <c r="K2149" s="2">
        <f t="shared" si="121"/>
        <v>0</v>
      </c>
    </row>
    <row r="2150" spans="5:11">
      <c r="E2150" s="3" t="s">
        <v>2233</v>
      </c>
      <c r="F2150" s="3" t="s">
        <v>2234</v>
      </c>
      <c r="G2150" s="11" t="str">
        <f t="shared" si="97"/>
        <v>11-25</v>
      </c>
      <c r="H2150" s="1">
        <f>_xlfn.IFNA(VLOOKUP(Aragon!E2150,'Kilter Holds'!$P$36:$AB$370,11,0),0)+(2*_xlfn.IFNA(VLOOKUP(Aragon!A2150,'Kilter Holds'!$P$36:$AB$370,11,0),0))</f>
        <v>0</v>
      </c>
      <c r="J2150" s="2">
        <f t="shared" si="120"/>
        <v>0</v>
      </c>
      <c r="K2150" s="2">
        <f t="shared" si="121"/>
        <v>0</v>
      </c>
    </row>
    <row r="2151" spans="5:11">
      <c r="E2151" s="3" t="s">
        <v>2233</v>
      </c>
      <c r="F2151" s="3" t="s">
        <v>2234</v>
      </c>
      <c r="G2151" s="13" t="str">
        <f t="shared" si="97"/>
        <v>18-01</v>
      </c>
      <c r="H2151" s="1">
        <f>_xlfn.IFNA(VLOOKUP(Aragon!E2151,'Kilter Holds'!$P$36:$AB$370,12,0),0)+(2*_xlfn.IFNA(VLOOKUP(Aragon!A2151,'Kilter Holds'!$P$36:$AB$370,12,0),0))</f>
        <v>0</v>
      </c>
      <c r="J2151" s="2">
        <f t="shared" si="120"/>
        <v>0</v>
      </c>
      <c r="K2151" s="2">
        <f t="shared" si="121"/>
        <v>0</v>
      </c>
    </row>
    <row r="2152" spans="5:11">
      <c r="E2152" s="3" t="s">
        <v>2233</v>
      </c>
      <c r="F2152" s="3" t="s">
        <v>2234</v>
      </c>
      <c r="G2152" s="12" t="str">
        <f t="shared" si="97"/>
        <v>12-01</v>
      </c>
      <c r="H2152" s="1">
        <f>_xlfn.IFNA(VLOOKUP(Aragon!E2152,'Kilter Holds'!$P$36:$AB$370,13,0),0)+(2*_xlfn.IFNA(VLOOKUP(Aragon!A2152,'Kilter Holds'!$P$36:$AB$370,13,0),0))</f>
        <v>0</v>
      </c>
      <c r="J2152" s="2">
        <f t="shared" si="120"/>
        <v>0</v>
      </c>
      <c r="K2152" s="2">
        <f t="shared" si="121"/>
        <v>0</v>
      </c>
    </row>
    <row r="2153" spans="5:11">
      <c r="E2153" s="3" t="s">
        <v>2415</v>
      </c>
      <c r="F2153" s="3" t="s">
        <v>2416</v>
      </c>
      <c r="G2153" s="5" t="str">
        <f t="shared" ref="G2153:G2161" si="122">G2144</f>
        <v>11-12</v>
      </c>
      <c r="H2153" s="1">
        <f>_xlfn.IFNA(VLOOKUP(Aragon!E2153,'Kilter Holds'!$P$36:$AB$370,5,0),0)+(2*_xlfn.IFNA(VLOOKUP(Aragon!A2153,'Kilter Holds'!$P$36:$AB$370,5,0),0))</f>
        <v>0</v>
      </c>
      <c r="J2153" s="2">
        <f t="shared" ref="J2153:J2161" si="123">H2153*I2153</f>
        <v>0</v>
      </c>
      <c r="K2153" s="2">
        <f t="shared" ref="K2153:K2161" si="124">IF($V$11="Y",J2153*0.05,0)</f>
        <v>0</v>
      </c>
    </row>
    <row r="2154" spans="5:11">
      <c r="E2154" s="3" t="s">
        <v>2415</v>
      </c>
      <c r="F2154" s="3" t="s">
        <v>2416</v>
      </c>
      <c r="G2154" s="6" t="str">
        <f t="shared" si="122"/>
        <v>14-01</v>
      </c>
      <c r="H2154" s="1">
        <f>_xlfn.IFNA(VLOOKUP(Aragon!E2154,'Kilter Holds'!$P$36:$AB$370,6,0),0)+(2*_xlfn.IFNA(VLOOKUP(Aragon!A2154,'Kilter Holds'!$P$36:$AB$370,6,0),0))</f>
        <v>0</v>
      </c>
      <c r="J2154" s="2">
        <f t="shared" si="123"/>
        <v>0</v>
      </c>
      <c r="K2154" s="2">
        <f t="shared" si="124"/>
        <v>0</v>
      </c>
    </row>
    <row r="2155" spans="5:11">
      <c r="E2155" s="3" t="s">
        <v>2415</v>
      </c>
      <c r="F2155" s="3" t="s">
        <v>2416</v>
      </c>
      <c r="G2155" s="7" t="str">
        <f t="shared" si="122"/>
        <v>15-12</v>
      </c>
      <c r="H2155" s="1">
        <f>_xlfn.IFNA(VLOOKUP(Aragon!E2155,'Kilter Holds'!$P$36:$AB$370,7,0),0)+(2*_xlfn.IFNA(VLOOKUP(Aragon!A2155,'Kilter Holds'!$P$36:$AB$370,7,0),0))</f>
        <v>0</v>
      </c>
      <c r="J2155" s="2">
        <f t="shared" si="123"/>
        <v>0</v>
      </c>
      <c r="K2155" s="2">
        <f t="shared" si="124"/>
        <v>0</v>
      </c>
    </row>
    <row r="2156" spans="5:11">
      <c r="E2156" s="3" t="s">
        <v>2415</v>
      </c>
      <c r="F2156" s="3" t="s">
        <v>2416</v>
      </c>
      <c r="G2156" s="8" t="str">
        <f t="shared" si="122"/>
        <v>16-16</v>
      </c>
      <c r="H2156" s="1">
        <f>_xlfn.IFNA(VLOOKUP(Aragon!E2156,'Kilter Holds'!$P$36:$AB$370,8,0),0)+(2*_xlfn.IFNA(VLOOKUP(Aragon!A2156,'Kilter Holds'!$P$36:$AB$370,8,0),0))</f>
        <v>0</v>
      </c>
      <c r="J2156" s="2">
        <f t="shared" si="123"/>
        <v>0</v>
      </c>
      <c r="K2156" s="2">
        <f t="shared" si="124"/>
        <v>0</v>
      </c>
    </row>
    <row r="2157" spans="5:11">
      <c r="E2157" s="3" t="s">
        <v>2415</v>
      </c>
      <c r="F2157" s="3" t="s">
        <v>2416</v>
      </c>
      <c r="G2157" s="9" t="str">
        <f t="shared" si="122"/>
        <v>13-01</v>
      </c>
      <c r="H2157" s="1">
        <f>_xlfn.IFNA(VLOOKUP(Aragon!E2157,'Kilter Holds'!$P$36:$AB$370,9,0),0)+(2*_xlfn.IFNA(VLOOKUP(Aragon!A2157,'Kilter Holds'!$P$36:$AB$370,9,0),0))</f>
        <v>0</v>
      </c>
      <c r="J2157" s="2">
        <f t="shared" si="123"/>
        <v>0</v>
      </c>
      <c r="K2157" s="2">
        <f t="shared" si="124"/>
        <v>0</v>
      </c>
    </row>
    <row r="2158" spans="5:11">
      <c r="E2158" s="3" t="s">
        <v>2415</v>
      </c>
      <c r="F2158" s="3" t="s">
        <v>2416</v>
      </c>
      <c r="G2158" s="10" t="str">
        <f t="shared" si="122"/>
        <v>07-13</v>
      </c>
      <c r="H2158" s="1">
        <f>_xlfn.IFNA(VLOOKUP(Aragon!E2158,'Kilter Holds'!$P$36:$AB$370,10,0),0)+(2*_xlfn.IFNA(VLOOKUP(Aragon!A2158,'Kilter Holds'!$P$36:$AB$370,10,0),0))</f>
        <v>0</v>
      </c>
      <c r="J2158" s="2">
        <f t="shared" si="123"/>
        <v>0</v>
      </c>
      <c r="K2158" s="2">
        <f t="shared" si="124"/>
        <v>0</v>
      </c>
    </row>
    <row r="2159" spans="5:11">
      <c r="E2159" s="3" t="s">
        <v>2415</v>
      </c>
      <c r="F2159" s="3" t="s">
        <v>2416</v>
      </c>
      <c r="G2159" s="11" t="str">
        <f t="shared" si="122"/>
        <v>11-25</v>
      </c>
      <c r="H2159" s="1">
        <f>_xlfn.IFNA(VLOOKUP(Aragon!E2159,'Kilter Holds'!$P$36:$AB$370,11,0),0)+(2*_xlfn.IFNA(VLOOKUP(Aragon!A2159,'Kilter Holds'!$P$36:$AB$370,11,0),0))</f>
        <v>0</v>
      </c>
      <c r="J2159" s="2">
        <f t="shared" si="123"/>
        <v>0</v>
      </c>
      <c r="K2159" s="2">
        <f t="shared" si="124"/>
        <v>0</v>
      </c>
    </row>
    <row r="2160" spans="5:11">
      <c r="E2160" s="3" t="s">
        <v>2415</v>
      </c>
      <c r="F2160" s="3" t="s">
        <v>2416</v>
      </c>
      <c r="G2160" s="13" t="str">
        <f t="shared" si="122"/>
        <v>18-01</v>
      </c>
      <c r="H2160" s="1">
        <f>_xlfn.IFNA(VLOOKUP(Aragon!E2160,'Kilter Holds'!$P$36:$AB$370,12,0),0)+(2*_xlfn.IFNA(VLOOKUP(Aragon!A2160,'Kilter Holds'!$P$36:$AB$370,12,0),0))</f>
        <v>0</v>
      </c>
      <c r="J2160" s="2">
        <f t="shared" si="123"/>
        <v>0</v>
      </c>
      <c r="K2160" s="2">
        <f t="shared" si="124"/>
        <v>0</v>
      </c>
    </row>
    <row r="2161" spans="5:11">
      <c r="E2161" s="3" t="s">
        <v>2415</v>
      </c>
      <c r="F2161" s="3" t="s">
        <v>2416</v>
      </c>
      <c r="G2161" s="12" t="str">
        <f t="shared" si="122"/>
        <v>12-01</v>
      </c>
      <c r="H2161" s="1">
        <f>_xlfn.IFNA(VLOOKUP(Aragon!E2161,'Kilter Holds'!$P$36:$AB$370,13,0),0)+(2*_xlfn.IFNA(VLOOKUP(Aragon!A2161,'Kilter Holds'!$P$36:$AB$370,13,0),0))</f>
        <v>0</v>
      </c>
      <c r="J2161" s="2">
        <f t="shared" si="123"/>
        <v>0</v>
      </c>
      <c r="K2161" s="2">
        <f t="shared" si="124"/>
        <v>0</v>
      </c>
    </row>
    <row r="2162" spans="5:11">
      <c r="E2162" s="3" t="s">
        <v>2353</v>
      </c>
      <c r="F2162" s="3" t="s">
        <v>2354</v>
      </c>
      <c r="G2162" s="5" t="str">
        <f t="shared" ref="G2162:G2179" si="125">G2135</f>
        <v>11-12</v>
      </c>
      <c r="H2162" s="1">
        <f>_xlfn.IFNA(VLOOKUP(Aragon!E2162,'Kilter Holds'!$P$36:$AB$370,5,0),0)+(2*_xlfn.IFNA(VLOOKUP(Aragon!A2162,'Kilter Holds'!$P$36:$AB$370,5,0),0))</f>
        <v>0</v>
      </c>
      <c r="J2162" s="2">
        <f t="shared" si="120"/>
        <v>0</v>
      </c>
      <c r="K2162" s="2">
        <f t="shared" si="121"/>
        <v>0</v>
      </c>
    </row>
    <row r="2163" spans="5:11">
      <c r="E2163" s="3" t="s">
        <v>2353</v>
      </c>
      <c r="F2163" s="3" t="s">
        <v>2354</v>
      </c>
      <c r="G2163" s="6" t="str">
        <f t="shared" si="125"/>
        <v>14-01</v>
      </c>
      <c r="H2163" s="1">
        <f>_xlfn.IFNA(VLOOKUP(Aragon!E2163,'Kilter Holds'!$P$36:$AB$370,6,0),0)+(2*_xlfn.IFNA(VLOOKUP(Aragon!A2163,'Kilter Holds'!$P$36:$AB$370,6,0),0))</f>
        <v>0</v>
      </c>
      <c r="J2163" s="2">
        <f t="shared" si="120"/>
        <v>0</v>
      </c>
      <c r="K2163" s="2">
        <f t="shared" si="121"/>
        <v>0</v>
      </c>
    </row>
    <row r="2164" spans="5:11">
      <c r="E2164" s="3" t="s">
        <v>2353</v>
      </c>
      <c r="F2164" s="3" t="s">
        <v>2354</v>
      </c>
      <c r="G2164" s="7" t="str">
        <f t="shared" si="125"/>
        <v>15-12</v>
      </c>
      <c r="H2164" s="1">
        <f>_xlfn.IFNA(VLOOKUP(Aragon!E2164,'Kilter Holds'!$P$36:$AB$370,7,0),0)+(2*_xlfn.IFNA(VLOOKUP(Aragon!A2164,'Kilter Holds'!$P$36:$AB$370,7,0),0))</f>
        <v>0</v>
      </c>
      <c r="J2164" s="2">
        <f t="shared" si="120"/>
        <v>0</v>
      </c>
      <c r="K2164" s="2">
        <f t="shared" si="121"/>
        <v>0</v>
      </c>
    </row>
    <row r="2165" spans="5:11">
      <c r="E2165" s="3" t="s">
        <v>2353</v>
      </c>
      <c r="F2165" s="3" t="s">
        <v>2354</v>
      </c>
      <c r="G2165" s="8" t="str">
        <f t="shared" si="125"/>
        <v>16-16</v>
      </c>
      <c r="H2165" s="1">
        <f>_xlfn.IFNA(VLOOKUP(Aragon!E2165,'Kilter Holds'!$P$36:$AB$370,8,0),0)+(2*_xlfn.IFNA(VLOOKUP(Aragon!A2165,'Kilter Holds'!$P$36:$AB$370,8,0),0))</f>
        <v>0</v>
      </c>
      <c r="J2165" s="2">
        <f t="shared" si="120"/>
        <v>0</v>
      </c>
      <c r="K2165" s="2">
        <f t="shared" si="121"/>
        <v>0</v>
      </c>
    </row>
    <row r="2166" spans="5:11">
      <c r="E2166" s="3" t="s">
        <v>2353</v>
      </c>
      <c r="F2166" s="3" t="s">
        <v>2354</v>
      </c>
      <c r="G2166" s="9" t="str">
        <f t="shared" si="125"/>
        <v>13-01</v>
      </c>
      <c r="H2166" s="1">
        <f>_xlfn.IFNA(VLOOKUP(Aragon!E2166,'Kilter Holds'!$P$36:$AB$370,9,0),0)+(2*_xlfn.IFNA(VLOOKUP(Aragon!A2166,'Kilter Holds'!$P$36:$AB$370,9,0),0))</f>
        <v>0</v>
      </c>
      <c r="J2166" s="2">
        <f t="shared" si="120"/>
        <v>0</v>
      </c>
      <c r="K2166" s="2">
        <f t="shared" si="121"/>
        <v>0</v>
      </c>
    </row>
    <row r="2167" spans="5:11">
      <c r="E2167" s="3" t="s">
        <v>2353</v>
      </c>
      <c r="F2167" s="3" t="s">
        <v>2354</v>
      </c>
      <c r="G2167" s="10" t="str">
        <f t="shared" si="125"/>
        <v>07-13</v>
      </c>
      <c r="H2167" s="1">
        <f>_xlfn.IFNA(VLOOKUP(Aragon!E2167,'Kilter Holds'!$P$36:$AB$370,10,0),0)+(2*_xlfn.IFNA(VLOOKUP(Aragon!A2167,'Kilter Holds'!$P$36:$AB$370,10,0),0))</f>
        <v>0</v>
      </c>
      <c r="J2167" s="2">
        <f t="shared" si="120"/>
        <v>0</v>
      </c>
      <c r="K2167" s="2">
        <f t="shared" si="121"/>
        <v>0</v>
      </c>
    </row>
    <row r="2168" spans="5:11">
      <c r="E2168" s="3" t="s">
        <v>2353</v>
      </c>
      <c r="F2168" s="3" t="s">
        <v>2354</v>
      </c>
      <c r="G2168" s="11" t="str">
        <f t="shared" si="125"/>
        <v>11-25</v>
      </c>
      <c r="H2168" s="1">
        <f>_xlfn.IFNA(VLOOKUP(Aragon!E2168,'Kilter Holds'!$P$36:$AB$370,11,0),0)+(2*_xlfn.IFNA(VLOOKUP(Aragon!A2168,'Kilter Holds'!$P$36:$AB$370,11,0),0))</f>
        <v>0</v>
      </c>
      <c r="J2168" s="2">
        <f t="shared" si="120"/>
        <v>0</v>
      </c>
      <c r="K2168" s="2">
        <f t="shared" si="121"/>
        <v>0</v>
      </c>
    </row>
    <row r="2169" spans="5:11">
      <c r="E2169" s="3" t="s">
        <v>2353</v>
      </c>
      <c r="F2169" s="3" t="s">
        <v>2354</v>
      </c>
      <c r="G2169" s="13" t="str">
        <f t="shared" si="125"/>
        <v>18-01</v>
      </c>
      <c r="H2169" s="1">
        <f>_xlfn.IFNA(VLOOKUP(Aragon!E2169,'Kilter Holds'!$P$36:$AB$370,12,0),0)+(2*_xlfn.IFNA(VLOOKUP(Aragon!A2169,'Kilter Holds'!$P$36:$AB$370,12,0),0))</f>
        <v>0</v>
      </c>
      <c r="J2169" s="2">
        <f t="shared" si="120"/>
        <v>0</v>
      </c>
      <c r="K2169" s="2">
        <f t="shared" si="121"/>
        <v>0</v>
      </c>
    </row>
    <row r="2170" spans="5:11">
      <c r="E2170" s="3" t="s">
        <v>2353</v>
      </c>
      <c r="F2170" s="3" t="s">
        <v>2354</v>
      </c>
      <c r="G2170" s="12" t="str">
        <f t="shared" si="125"/>
        <v>12-01</v>
      </c>
      <c r="H2170" s="1">
        <f>_xlfn.IFNA(VLOOKUP(Aragon!E2170,'Kilter Holds'!$P$36:$AB$370,13,0),0)+(2*_xlfn.IFNA(VLOOKUP(Aragon!A2170,'Kilter Holds'!$P$36:$AB$370,13,0),0))</f>
        <v>0</v>
      </c>
      <c r="J2170" s="2">
        <f t="shared" si="120"/>
        <v>0</v>
      </c>
      <c r="K2170" s="2">
        <f t="shared" si="121"/>
        <v>0</v>
      </c>
    </row>
    <row r="2171" spans="5:11">
      <c r="E2171" s="3" t="s">
        <v>2239</v>
      </c>
      <c r="F2171" s="3" t="s">
        <v>2240</v>
      </c>
      <c r="G2171" s="5" t="str">
        <f t="shared" si="125"/>
        <v>11-12</v>
      </c>
      <c r="H2171" s="1">
        <f>_xlfn.IFNA(VLOOKUP(Aragon!E2171,'Kilter Holds'!$P$36:$AB$370,5,0),0)+(2*_xlfn.IFNA(VLOOKUP(Aragon!A2171,'Kilter Holds'!$P$36:$AB$370,5,0),0))</f>
        <v>0</v>
      </c>
      <c r="J2171" s="2">
        <f t="shared" ref="J2171:J2179" si="126">H2171*I2171</f>
        <v>0</v>
      </c>
      <c r="K2171" s="2">
        <f t="shared" ref="K2171:K2179" si="127">IF($V$11="Y",J2171*0.05,0)</f>
        <v>0</v>
      </c>
    </row>
    <row r="2172" spans="5:11">
      <c r="E2172" s="3" t="s">
        <v>2239</v>
      </c>
      <c r="F2172" s="3" t="s">
        <v>2240</v>
      </c>
      <c r="G2172" s="6" t="str">
        <f t="shared" si="125"/>
        <v>14-01</v>
      </c>
      <c r="H2172" s="1">
        <f>_xlfn.IFNA(VLOOKUP(Aragon!E2172,'Kilter Holds'!$P$36:$AB$370,6,0),0)+(2*_xlfn.IFNA(VLOOKUP(Aragon!A2172,'Kilter Holds'!$P$36:$AB$370,6,0),0))</f>
        <v>0</v>
      </c>
      <c r="J2172" s="2">
        <f t="shared" si="126"/>
        <v>0</v>
      </c>
      <c r="K2172" s="2">
        <f t="shared" si="127"/>
        <v>0</v>
      </c>
    </row>
    <row r="2173" spans="5:11">
      <c r="E2173" s="3" t="s">
        <v>2239</v>
      </c>
      <c r="F2173" s="3" t="s">
        <v>2240</v>
      </c>
      <c r="G2173" s="7" t="str">
        <f t="shared" si="125"/>
        <v>15-12</v>
      </c>
      <c r="H2173" s="1">
        <f>_xlfn.IFNA(VLOOKUP(Aragon!E2173,'Kilter Holds'!$P$36:$AB$370,7,0),0)+(2*_xlfn.IFNA(VLOOKUP(Aragon!A2173,'Kilter Holds'!$P$36:$AB$370,7,0),0))</f>
        <v>0</v>
      </c>
      <c r="J2173" s="2">
        <f t="shared" si="126"/>
        <v>0</v>
      </c>
      <c r="K2173" s="2">
        <f t="shared" si="127"/>
        <v>0</v>
      </c>
    </row>
    <row r="2174" spans="5:11">
      <c r="E2174" s="3" t="s">
        <v>2239</v>
      </c>
      <c r="F2174" s="3" t="s">
        <v>2240</v>
      </c>
      <c r="G2174" s="8" t="str">
        <f t="shared" si="125"/>
        <v>16-16</v>
      </c>
      <c r="H2174" s="1">
        <f>_xlfn.IFNA(VLOOKUP(Aragon!E2174,'Kilter Holds'!$P$36:$AB$370,8,0),0)+(2*_xlfn.IFNA(VLOOKUP(Aragon!A2174,'Kilter Holds'!$P$36:$AB$370,8,0),0))</f>
        <v>0</v>
      </c>
      <c r="J2174" s="2">
        <f t="shared" si="126"/>
        <v>0</v>
      </c>
      <c r="K2174" s="2">
        <f t="shared" si="127"/>
        <v>0</v>
      </c>
    </row>
    <row r="2175" spans="5:11">
      <c r="E2175" s="3" t="s">
        <v>2239</v>
      </c>
      <c r="F2175" s="3" t="s">
        <v>2240</v>
      </c>
      <c r="G2175" s="9" t="str">
        <f t="shared" si="125"/>
        <v>13-01</v>
      </c>
      <c r="H2175" s="1">
        <f>_xlfn.IFNA(VLOOKUP(Aragon!E2175,'Kilter Holds'!$P$36:$AB$370,9,0),0)+(2*_xlfn.IFNA(VLOOKUP(Aragon!A2175,'Kilter Holds'!$P$36:$AB$370,9,0),0))</f>
        <v>0</v>
      </c>
      <c r="J2175" s="2">
        <f t="shared" si="126"/>
        <v>0</v>
      </c>
      <c r="K2175" s="2">
        <f t="shared" si="127"/>
        <v>0</v>
      </c>
    </row>
    <row r="2176" spans="5:11">
      <c r="E2176" s="3" t="s">
        <v>2239</v>
      </c>
      <c r="F2176" s="3" t="s">
        <v>2240</v>
      </c>
      <c r="G2176" s="10" t="str">
        <f t="shared" si="125"/>
        <v>07-13</v>
      </c>
      <c r="H2176" s="1">
        <f>_xlfn.IFNA(VLOOKUP(Aragon!E2176,'Kilter Holds'!$P$36:$AB$370,10,0),0)+(2*_xlfn.IFNA(VLOOKUP(Aragon!A2176,'Kilter Holds'!$P$36:$AB$370,10,0),0))</f>
        <v>0</v>
      </c>
      <c r="J2176" s="2">
        <f t="shared" si="126"/>
        <v>0</v>
      </c>
      <c r="K2176" s="2">
        <f t="shared" si="127"/>
        <v>0</v>
      </c>
    </row>
    <row r="2177" spans="5:11">
      <c r="E2177" s="3" t="s">
        <v>2239</v>
      </c>
      <c r="F2177" s="3" t="s">
        <v>2240</v>
      </c>
      <c r="G2177" s="11" t="str">
        <f t="shared" si="125"/>
        <v>11-25</v>
      </c>
      <c r="H2177" s="1">
        <f>_xlfn.IFNA(VLOOKUP(Aragon!E2177,'Kilter Holds'!$P$36:$AB$370,11,0),0)+(2*_xlfn.IFNA(VLOOKUP(Aragon!A2177,'Kilter Holds'!$P$36:$AB$370,11,0),0))</f>
        <v>0</v>
      </c>
      <c r="J2177" s="2">
        <f t="shared" si="126"/>
        <v>0</v>
      </c>
      <c r="K2177" s="2">
        <f t="shared" si="127"/>
        <v>0</v>
      </c>
    </row>
    <row r="2178" spans="5:11">
      <c r="E2178" s="3" t="s">
        <v>2239</v>
      </c>
      <c r="F2178" s="3" t="s">
        <v>2240</v>
      </c>
      <c r="G2178" s="13" t="str">
        <f t="shared" si="125"/>
        <v>18-01</v>
      </c>
      <c r="H2178" s="1">
        <f>_xlfn.IFNA(VLOOKUP(Aragon!E2178,'Kilter Holds'!$P$36:$AB$370,12,0),0)+(2*_xlfn.IFNA(VLOOKUP(Aragon!A2178,'Kilter Holds'!$P$36:$AB$370,12,0),0))</f>
        <v>0</v>
      </c>
      <c r="J2178" s="2">
        <f t="shared" si="126"/>
        <v>0</v>
      </c>
      <c r="K2178" s="2">
        <f t="shared" si="127"/>
        <v>0</v>
      </c>
    </row>
    <row r="2179" spans="5:11">
      <c r="E2179" s="3" t="s">
        <v>2239</v>
      </c>
      <c r="F2179" s="3" t="s">
        <v>2240</v>
      </c>
      <c r="G2179" s="12" t="str">
        <f t="shared" si="125"/>
        <v>12-01</v>
      </c>
      <c r="H2179" s="1">
        <f>_xlfn.IFNA(VLOOKUP(Aragon!E2179,'Kilter Holds'!$P$36:$AB$370,13,0),0)+(2*_xlfn.IFNA(VLOOKUP(Aragon!A2179,'Kilter Holds'!$P$36:$AB$370,13,0),0))</f>
        <v>0</v>
      </c>
      <c r="J2179" s="2">
        <f t="shared" si="126"/>
        <v>0</v>
      </c>
      <c r="K2179" s="2">
        <f t="shared" si="127"/>
        <v>0</v>
      </c>
    </row>
    <row r="2180" spans="5:11">
      <c r="E2180" s="3" t="s">
        <v>2312</v>
      </c>
      <c r="F2180" s="3" t="s">
        <v>2314</v>
      </c>
      <c r="G2180" s="5" t="str">
        <f t="shared" si="97"/>
        <v>11-12</v>
      </c>
      <c r="H2180" s="1">
        <f>_xlfn.IFNA(VLOOKUP(Aragon!E2180,'Kilter Holds'!$P$36:$AB$370,5,0),0)+(2*_xlfn.IFNA(VLOOKUP(Aragon!A2180,'Kilter Holds'!$P$36:$AB$370,5,0),0))</f>
        <v>0</v>
      </c>
      <c r="J2180" s="2">
        <f t="shared" ref="J2180:J2197" si="128">H2180*I2180</f>
        <v>0</v>
      </c>
      <c r="K2180" s="2">
        <f t="shared" ref="K2180:K2197" si="129">IF($V$11="Y",J2180*0.05,0)</f>
        <v>0</v>
      </c>
    </row>
    <row r="2181" spans="5:11">
      <c r="E2181" s="3" t="s">
        <v>2312</v>
      </c>
      <c r="F2181" s="3" t="s">
        <v>2314</v>
      </c>
      <c r="G2181" s="6" t="str">
        <f t="shared" si="97"/>
        <v>14-01</v>
      </c>
      <c r="H2181" s="1">
        <f>_xlfn.IFNA(VLOOKUP(Aragon!E2181,'Kilter Holds'!$P$36:$AB$370,6,0),0)+(2*_xlfn.IFNA(VLOOKUP(Aragon!A2181,'Kilter Holds'!$P$36:$AB$370,6,0),0))</f>
        <v>0</v>
      </c>
      <c r="J2181" s="2">
        <f t="shared" si="128"/>
        <v>0</v>
      </c>
      <c r="K2181" s="2">
        <f t="shared" si="129"/>
        <v>0</v>
      </c>
    </row>
    <row r="2182" spans="5:11">
      <c r="E2182" s="3" t="s">
        <v>2312</v>
      </c>
      <c r="F2182" s="3" t="s">
        <v>2314</v>
      </c>
      <c r="G2182" s="7" t="str">
        <f t="shared" si="97"/>
        <v>15-12</v>
      </c>
      <c r="H2182" s="1">
        <f>_xlfn.IFNA(VLOOKUP(Aragon!E2182,'Kilter Holds'!$P$36:$AB$370,7,0),0)+(2*_xlfn.IFNA(VLOOKUP(Aragon!A2182,'Kilter Holds'!$P$36:$AB$370,7,0),0))</f>
        <v>0</v>
      </c>
      <c r="J2182" s="2">
        <f t="shared" si="128"/>
        <v>0</v>
      </c>
      <c r="K2182" s="2">
        <f t="shared" si="129"/>
        <v>0</v>
      </c>
    </row>
    <row r="2183" spans="5:11">
      <c r="E2183" s="3" t="s">
        <v>2312</v>
      </c>
      <c r="F2183" s="3" t="s">
        <v>2314</v>
      </c>
      <c r="G2183" s="8" t="str">
        <f t="shared" si="97"/>
        <v>16-16</v>
      </c>
      <c r="H2183" s="1">
        <f>_xlfn.IFNA(VLOOKUP(Aragon!E2183,'Kilter Holds'!$P$36:$AB$370,8,0),0)+(2*_xlfn.IFNA(VLOOKUP(Aragon!A2183,'Kilter Holds'!$P$36:$AB$370,8,0),0))</f>
        <v>0</v>
      </c>
      <c r="J2183" s="2">
        <f t="shared" si="128"/>
        <v>0</v>
      </c>
      <c r="K2183" s="2">
        <f t="shared" si="129"/>
        <v>0</v>
      </c>
    </row>
    <row r="2184" spans="5:11">
      <c r="E2184" s="3" t="s">
        <v>2312</v>
      </c>
      <c r="F2184" s="3" t="s">
        <v>2314</v>
      </c>
      <c r="G2184" s="9" t="str">
        <f t="shared" si="97"/>
        <v>13-01</v>
      </c>
      <c r="H2184" s="1">
        <f>_xlfn.IFNA(VLOOKUP(Aragon!E2184,'Kilter Holds'!$P$36:$AB$370,9,0),0)+(2*_xlfn.IFNA(VLOOKUP(Aragon!A2184,'Kilter Holds'!$P$36:$AB$370,9,0),0))</f>
        <v>0</v>
      </c>
      <c r="J2184" s="2">
        <f t="shared" si="128"/>
        <v>0</v>
      </c>
      <c r="K2184" s="2">
        <f t="shared" si="129"/>
        <v>0</v>
      </c>
    </row>
    <row r="2185" spans="5:11">
      <c r="E2185" s="3" t="s">
        <v>2312</v>
      </c>
      <c r="F2185" s="3" t="s">
        <v>2314</v>
      </c>
      <c r="G2185" s="10" t="str">
        <f t="shared" si="97"/>
        <v>07-13</v>
      </c>
      <c r="H2185" s="1">
        <f>_xlfn.IFNA(VLOOKUP(Aragon!E2185,'Kilter Holds'!$P$36:$AB$370,10,0),0)+(2*_xlfn.IFNA(VLOOKUP(Aragon!A2185,'Kilter Holds'!$P$36:$AB$370,10,0),0))</f>
        <v>0</v>
      </c>
      <c r="J2185" s="2">
        <f t="shared" si="128"/>
        <v>0</v>
      </c>
      <c r="K2185" s="2">
        <f t="shared" si="129"/>
        <v>0</v>
      </c>
    </row>
    <row r="2186" spans="5:11">
      <c r="E2186" s="3" t="s">
        <v>2312</v>
      </c>
      <c r="F2186" s="3" t="s">
        <v>2314</v>
      </c>
      <c r="G2186" s="11" t="str">
        <f t="shared" si="97"/>
        <v>11-25</v>
      </c>
      <c r="H2186" s="1">
        <f>_xlfn.IFNA(VLOOKUP(Aragon!E2186,'Kilter Holds'!$P$36:$AB$370,11,0),0)+(2*_xlfn.IFNA(VLOOKUP(Aragon!A2186,'Kilter Holds'!$P$36:$AB$370,11,0),0))</f>
        <v>0</v>
      </c>
      <c r="J2186" s="2">
        <f t="shared" si="128"/>
        <v>0</v>
      </c>
      <c r="K2186" s="2">
        <f t="shared" si="129"/>
        <v>0</v>
      </c>
    </row>
    <row r="2187" spans="5:11">
      <c r="E2187" s="3" t="s">
        <v>2312</v>
      </c>
      <c r="F2187" s="3" t="s">
        <v>2314</v>
      </c>
      <c r="G2187" s="13" t="str">
        <f t="shared" si="97"/>
        <v>18-01</v>
      </c>
      <c r="H2187" s="1">
        <f>_xlfn.IFNA(VLOOKUP(Aragon!E2187,'Kilter Holds'!$P$36:$AB$370,12,0),0)+(2*_xlfn.IFNA(VLOOKUP(Aragon!A2187,'Kilter Holds'!$P$36:$AB$370,12,0),0))</f>
        <v>0</v>
      </c>
      <c r="J2187" s="2">
        <f t="shared" si="128"/>
        <v>0</v>
      </c>
      <c r="K2187" s="2">
        <f t="shared" si="129"/>
        <v>0</v>
      </c>
    </row>
    <row r="2188" spans="5:11">
      <c r="E2188" s="3" t="s">
        <v>2312</v>
      </c>
      <c r="F2188" s="3" t="s">
        <v>2314</v>
      </c>
      <c r="G2188" s="12" t="str">
        <f t="shared" si="97"/>
        <v>12-01</v>
      </c>
      <c r="H2188" s="1">
        <f>_xlfn.IFNA(VLOOKUP(Aragon!E2188,'Kilter Holds'!$P$36:$AB$370,13,0),0)+(2*_xlfn.IFNA(VLOOKUP(Aragon!A2188,'Kilter Holds'!$P$36:$AB$370,13,0),0))</f>
        <v>0</v>
      </c>
      <c r="J2188" s="2">
        <f t="shared" si="128"/>
        <v>0</v>
      </c>
      <c r="K2188" s="2">
        <f t="shared" si="129"/>
        <v>0</v>
      </c>
    </row>
    <row r="2189" spans="5:11">
      <c r="E2189" s="3" t="s">
        <v>2313</v>
      </c>
      <c r="F2189" s="3" t="s">
        <v>2315</v>
      </c>
      <c r="G2189" s="5" t="str">
        <f t="shared" si="97"/>
        <v>11-12</v>
      </c>
      <c r="H2189" s="1">
        <f>_xlfn.IFNA(VLOOKUP(Aragon!E2189,'Kilter Holds'!$P$36:$AB$370,5,0),0)+(2*_xlfn.IFNA(VLOOKUP(Aragon!A2189,'Kilter Holds'!$P$36:$AB$370,5,0),0))</f>
        <v>0</v>
      </c>
      <c r="J2189" s="2">
        <f t="shared" si="128"/>
        <v>0</v>
      </c>
      <c r="K2189" s="2">
        <f t="shared" si="129"/>
        <v>0</v>
      </c>
    </row>
    <row r="2190" spans="5:11">
      <c r="E2190" s="3" t="s">
        <v>2313</v>
      </c>
      <c r="F2190" s="3" t="s">
        <v>2315</v>
      </c>
      <c r="G2190" s="6" t="str">
        <f t="shared" si="97"/>
        <v>14-01</v>
      </c>
      <c r="H2190" s="1">
        <f>_xlfn.IFNA(VLOOKUP(Aragon!E2190,'Kilter Holds'!$P$36:$AB$370,6,0),0)+(2*_xlfn.IFNA(VLOOKUP(Aragon!A2190,'Kilter Holds'!$P$36:$AB$370,6,0),0))</f>
        <v>0</v>
      </c>
      <c r="J2190" s="2">
        <f t="shared" si="128"/>
        <v>0</v>
      </c>
      <c r="K2190" s="2">
        <f t="shared" si="129"/>
        <v>0</v>
      </c>
    </row>
    <row r="2191" spans="5:11">
      <c r="E2191" s="3" t="s">
        <v>2313</v>
      </c>
      <c r="F2191" s="3" t="s">
        <v>2315</v>
      </c>
      <c r="G2191" s="7" t="str">
        <f t="shared" si="97"/>
        <v>15-12</v>
      </c>
      <c r="H2191" s="1">
        <f>_xlfn.IFNA(VLOOKUP(Aragon!E2191,'Kilter Holds'!$P$36:$AB$370,7,0),0)+(2*_xlfn.IFNA(VLOOKUP(Aragon!A2191,'Kilter Holds'!$P$36:$AB$370,7,0),0))</f>
        <v>0</v>
      </c>
      <c r="J2191" s="2">
        <f t="shared" si="128"/>
        <v>0</v>
      </c>
      <c r="K2191" s="2">
        <f t="shared" si="129"/>
        <v>0</v>
      </c>
    </row>
    <row r="2192" spans="5:11">
      <c r="E2192" s="3" t="s">
        <v>2313</v>
      </c>
      <c r="F2192" s="3" t="s">
        <v>2315</v>
      </c>
      <c r="G2192" s="8" t="str">
        <f t="shared" si="97"/>
        <v>16-16</v>
      </c>
      <c r="H2192" s="1">
        <f>_xlfn.IFNA(VLOOKUP(Aragon!E2192,'Kilter Holds'!$P$36:$AB$370,8,0),0)+(2*_xlfn.IFNA(VLOOKUP(Aragon!A2192,'Kilter Holds'!$P$36:$AB$370,8,0),0))</f>
        <v>0</v>
      </c>
      <c r="J2192" s="2">
        <f t="shared" si="128"/>
        <v>0</v>
      </c>
      <c r="K2192" s="2">
        <f t="shared" si="129"/>
        <v>0</v>
      </c>
    </row>
    <row r="2193" spans="5:11">
      <c r="E2193" s="3" t="s">
        <v>2313</v>
      </c>
      <c r="F2193" s="3" t="s">
        <v>2315</v>
      </c>
      <c r="G2193" s="9" t="str">
        <f t="shared" si="97"/>
        <v>13-01</v>
      </c>
      <c r="H2193" s="1">
        <f>_xlfn.IFNA(VLOOKUP(Aragon!E2193,'Kilter Holds'!$P$36:$AB$370,9,0),0)+(2*_xlfn.IFNA(VLOOKUP(Aragon!A2193,'Kilter Holds'!$P$36:$AB$370,9,0),0))</f>
        <v>0</v>
      </c>
      <c r="J2193" s="2">
        <f t="shared" si="128"/>
        <v>0</v>
      </c>
      <c r="K2193" s="2">
        <f t="shared" si="129"/>
        <v>0</v>
      </c>
    </row>
    <row r="2194" spans="5:11">
      <c r="E2194" s="3" t="s">
        <v>2313</v>
      </c>
      <c r="F2194" s="3" t="s">
        <v>2315</v>
      </c>
      <c r="G2194" s="10" t="str">
        <f t="shared" si="97"/>
        <v>07-13</v>
      </c>
      <c r="H2194" s="1">
        <f>_xlfn.IFNA(VLOOKUP(Aragon!E2194,'Kilter Holds'!$P$36:$AB$370,10,0),0)+(2*_xlfn.IFNA(VLOOKUP(Aragon!A2194,'Kilter Holds'!$P$36:$AB$370,10,0),0))</f>
        <v>0</v>
      </c>
      <c r="J2194" s="2">
        <f t="shared" si="128"/>
        <v>0</v>
      </c>
      <c r="K2194" s="2">
        <f t="shared" si="129"/>
        <v>0</v>
      </c>
    </row>
    <row r="2195" spans="5:11">
      <c r="E2195" s="3" t="s">
        <v>2313</v>
      </c>
      <c r="F2195" s="3" t="s">
        <v>2315</v>
      </c>
      <c r="G2195" s="11" t="str">
        <f t="shared" si="97"/>
        <v>11-25</v>
      </c>
      <c r="H2195" s="1">
        <f>_xlfn.IFNA(VLOOKUP(Aragon!E2195,'Kilter Holds'!$P$36:$AB$370,11,0),0)+(2*_xlfn.IFNA(VLOOKUP(Aragon!A2195,'Kilter Holds'!$P$36:$AB$370,11,0),0))</f>
        <v>0</v>
      </c>
      <c r="J2195" s="2">
        <f t="shared" si="128"/>
        <v>0</v>
      </c>
      <c r="K2195" s="2">
        <f t="shared" si="129"/>
        <v>0</v>
      </c>
    </row>
    <row r="2196" spans="5:11">
      <c r="E2196" s="3" t="s">
        <v>2313</v>
      </c>
      <c r="F2196" s="3" t="s">
        <v>2315</v>
      </c>
      <c r="G2196" s="13" t="str">
        <f t="shared" si="97"/>
        <v>18-01</v>
      </c>
      <c r="H2196" s="1">
        <f>_xlfn.IFNA(VLOOKUP(Aragon!E2196,'Kilter Holds'!$P$36:$AB$370,12,0),0)+(2*_xlfn.IFNA(VLOOKUP(Aragon!A2196,'Kilter Holds'!$P$36:$AB$370,12,0),0))</f>
        <v>0</v>
      </c>
      <c r="J2196" s="2">
        <f t="shared" si="128"/>
        <v>0</v>
      </c>
      <c r="K2196" s="2">
        <f t="shared" si="129"/>
        <v>0</v>
      </c>
    </row>
    <row r="2197" spans="5:11">
      <c r="E2197" s="3" t="s">
        <v>2313</v>
      </c>
      <c r="F2197" s="3" t="s">
        <v>2315</v>
      </c>
      <c r="G2197" s="12" t="str">
        <f t="shared" si="97"/>
        <v>12-01</v>
      </c>
      <c r="H2197" s="1">
        <f>_xlfn.IFNA(VLOOKUP(Aragon!E2197,'Kilter Holds'!$P$36:$AB$370,13,0),0)+(2*_xlfn.IFNA(VLOOKUP(Aragon!A2197,'Kilter Holds'!$P$36:$AB$370,13,0),0))</f>
        <v>0</v>
      </c>
      <c r="J2197" s="2">
        <f t="shared" si="128"/>
        <v>0</v>
      </c>
      <c r="K2197" s="2">
        <f t="shared" si="129"/>
        <v>0</v>
      </c>
    </row>
    <row r="2198" spans="5:11">
      <c r="E2198" s="3" t="s">
        <v>2355</v>
      </c>
      <c r="F2198" s="3" t="s">
        <v>2356</v>
      </c>
      <c r="G2198" s="5" t="str">
        <f t="shared" si="97"/>
        <v>11-12</v>
      </c>
      <c r="H2198" s="1">
        <f>_xlfn.IFNA(VLOOKUP(Aragon!E2198,'Kilter Holds'!$P$36:$AB$370,5,0),0)+(2*_xlfn.IFNA(VLOOKUP(Aragon!A2198,'Kilter Holds'!$P$36:$AB$370,5,0),0))</f>
        <v>0</v>
      </c>
      <c r="J2198" s="2">
        <f t="shared" ref="J2198:J2224" si="130">H2198*I2198</f>
        <v>0</v>
      </c>
      <c r="K2198" s="2">
        <f t="shared" ref="K2198:K2224" si="131">IF($V$11="Y",J2198*0.05,0)</f>
        <v>0</v>
      </c>
    </row>
    <row r="2199" spans="5:11">
      <c r="E2199" s="3" t="s">
        <v>2355</v>
      </c>
      <c r="F2199" s="3" t="s">
        <v>2356</v>
      </c>
      <c r="G2199" s="6" t="str">
        <f t="shared" si="97"/>
        <v>14-01</v>
      </c>
      <c r="H2199" s="1">
        <f>_xlfn.IFNA(VLOOKUP(Aragon!E2199,'Kilter Holds'!$P$36:$AB$370,6,0),0)+(2*_xlfn.IFNA(VLOOKUP(Aragon!A2199,'Kilter Holds'!$P$36:$AB$370,6,0),0))</f>
        <v>0</v>
      </c>
      <c r="J2199" s="2">
        <f t="shared" si="130"/>
        <v>0</v>
      </c>
      <c r="K2199" s="2">
        <f t="shared" si="131"/>
        <v>0</v>
      </c>
    </row>
    <row r="2200" spans="5:11">
      <c r="E2200" s="3" t="s">
        <v>2355</v>
      </c>
      <c r="F2200" s="3" t="s">
        <v>2356</v>
      </c>
      <c r="G2200" s="7" t="str">
        <f t="shared" si="97"/>
        <v>15-12</v>
      </c>
      <c r="H2200" s="1">
        <f>_xlfn.IFNA(VLOOKUP(Aragon!E2200,'Kilter Holds'!$P$36:$AB$370,7,0),0)+(2*_xlfn.IFNA(VLOOKUP(Aragon!A2200,'Kilter Holds'!$P$36:$AB$370,7,0),0))</f>
        <v>0</v>
      </c>
      <c r="J2200" s="2">
        <f t="shared" si="130"/>
        <v>0</v>
      </c>
      <c r="K2200" s="2">
        <f t="shared" si="131"/>
        <v>0</v>
      </c>
    </row>
    <row r="2201" spans="5:11">
      <c r="E2201" s="3" t="s">
        <v>2355</v>
      </c>
      <c r="F2201" s="3" t="s">
        <v>2356</v>
      </c>
      <c r="G2201" s="8" t="str">
        <f t="shared" si="97"/>
        <v>16-16</v>
      </c>
      <c r="H2201" s="1">
        <f>_xlfn.IFNA(VLOOKUP(Aragon!E2201,'Kilter Holds'!$P$36:$AB$370,8,0),0)+(2*_xlfn.IFNA(VLOOKUP(Aragon!A2201,'Kilter Holds'!$P$36:$AB$370,8,0),0))</f>
        <v>0</v>
      </c>
      <c r="J2201" s="2">
        <f t="shared" si="130"/>
        <v>0</v>
      </c>
      <c r="K2201" s="2">
        <f t="shared" si="131"/>
        <v>0</v>
      </c>
    </row>
    <row r="2202" spans="5:11">
      <c r="E2202" s="3" t="s">
        <v>2355</v>
      </c>
      <c r="F2202" s="3" t="s">
        <v>2356</v>
      </c>
      <c r="G2202" s="9" t="str">
        <f t="shared" si="97"/>
        <v>13-01</v>
      </c>
      <c r="H2202" s="1">
        <f>_xlfn.IFNA(VLOOKUP(Aragon!E2202,'Kilter Holds'!$P$36:$AB$370,9,0),0)+(2*_xlfn.IFNA(VLOOKUP(Aragon!A2202,'Kilter Holds'!$P$36:$AB$370,9,0),0))</f>
        <v>0</v>
      </c>
      <c r="J2202" s="2">
        <f t="shared" si="130"/>
        <v>0</v>
      </c>
      <c r="K2202" s="2">
        <f t="shared" si="131"/>
        <v>0</v>
      </c>
    </row>
    <row r="2203" spans="5:11">
      <c r="E2203" s="3" t="s">
        <v>2355</v>
      </c>
      <c r="F2203" s="3" t="s">
        <v>2356</v>
      </c>
      <c r="G2203" s="10" t="str">
        <f t="shared" si="97"/>
        <v>07-13</v>
      </c>
      <c r="H2203" s="1">
        <f>_xlfn.IFNA(VLOOKUP(Aragon!E2203,'Kilter Holds'!$P$36:$AB$370,10,0),0)+(2*_xlfn.IFNA(VLOOKUP(Aragon!A2203,'Kilter Holds'!$P$36:$AB$370,10,0),0))</f>
        <v>0</v>
      </c>
      <c r="J2203" s="2">
        <f t="shared" si="130"/>
        <v>0</v>
      </c>
      <c r="K2203" s="2">
        <f t="shared" si="131"/>
        <v>0</v>
      </c>
    </row>
    <row r="2204" spans="5:11">
      <c r="E2204" s="3" t="s">
        <v>2355</v>
      </c>
      <c r="F2204" s="3" t="s">
        <v>2356</v>
      </c>
      <c r="G2204" s="11" t="str">
        <f t="shared" si="97"/>
        <v>11-25</v>
      </c>
      <c r="H2204" s="1">
        <f>_xlfn.IFNA(VLOOKUP(Aragon!E2204,'Kilter Holds'!$P$36:$AB$370,11,0),0)+(2*_xlfn.IFNA(VLOOKUP(Aragon!A2204,'Kilter Holds'!$P$36:$AB$370,11,0),0))</f>
        <v>0</v>
      </c>
      <c r="J2204" s="2">
        <f t="shared" si="130"/>
        <v>0</v>
      </c>
      <c r="K2204" s="2">
        <f t="shared" si="131"/>
        <v>0</v>
      </c>
    </row>
    <row r="2205" spans="5:11">
      <c r="E2205" s="3" t="s">
        <v>2355</v>
      </c>
      <c r="F2205" s="3" t="s">
        <v>2356</v>
      </c>
      <c r="G2205" s="13" t="str">
        <f t="shared" si="97"/>
        <v>18-01</v>
      </c>
      <c r="H2205" s="1">
        <f>_xlfn.IFNA(VLOOKUP(Aragon!E2205,'Kilter Holds'!$P$36:$AB$370,12,0),0)+(2*_xlfn.IFNA(VLOOKUP(Aragon!A2205,'Kilter Holds'!$P$36:$AB$370,12,0),0))</f>
        <v>0</v>
      </c>
      <c r="J2205" s="2">
        <f t="shared" si="130"/>
        <v>0</v>
      </c>
      <c r="K2205" s="2">
        <f t="shared" si="131"/>
        <v>0</v>
      </c>
    </row>
    <row r="2206" spans="5:11">
      <c r="E2206" s="3" t="s">
        <v>2355</v>
      </c>
      <c r="F2206" s="3" t="s">
        <v>2356</v>
      </c>
      <c r="G2206" s="12" t="str">
        <f t="shared" si="97"/>
        <v>12-01</v>
      </c>
      <c r="H2206" s="1">
        <f>_xlfn.IFNA(VLOOKUP(Aragon!E2206,'Kilter Holds'!$P$36:$AB$370,13,0),0)+(2*_xlfn.IFNA(VLOOKUP(Aragon!A2206,'Kilter Holds'!$P$36:$AB$370,13,0),0))</f>
        <v>0</v>
      </c>
      <c r="J2206" s="2">
        <f t="shared" si="130"/>
        <v>0</v>
      </c>
      <c r="K2206" s="2">
        <f t="shared" si="131"/>
        <v>0</v>
      </c>
    </row>
    <row r="2207" spans="5:11">
      <c r="E2207" s="3" t="s">
        <v>2357</v>
      </c>
      <c r="F2207" s="3" t="s">
        <v>2358</v>
      </c>
      <c r="G2207" s="5" t="str">
        <f t="shared" si="97"/>
        <v>11-12</v>
      </c>
      <c r="H2207" s="1">
        <f>_xlfn.IFNA(VLOOKUP(Aragon!E2207,'Kilter Holds'!$P$36:$AB$370,5,0),0)+(2*_xlfn.IFNA(VLOOKUP(Aragon!A2207,'Kilter Holds'!$P$36:$AB$370,5,0),0))</f>
        <v>0</v>
      </c>
      <c r="J2207" s="2">
        <f t="shared" si="130"/>
        <v>0</v>
      </c>
      <c r="K2207" s="2">
        <f t="shared" si="131"/>
        <v>0</v>
      </c>
    </row>
    <row r="2208" spans="5:11">
      <c r="E2208" s="3" t="s">
        <v>2357</v>
      </c>
      <c r="F2208" s="3" t="s">
        <v>2358</v>
      </c>
      <c r="G2208" s="6" t="str">
        <f t="shared" si="97"/>
        <v>14-01</v>
      </c>
      <c r="H2208" s="1">
        <f>_xlfn.IFNA(VLOOKUP(Aragon!E2208,'Kilter Holds'!$P$36:$AB$370,6,0),0)+(2*_xlfn.IFNA(VLOOKUP(Aragon!A2208,'Kilter Holds'!$P$36:$AB$370,6,0),0))</f>
        <v>0</v>
      </c>
      <c r="J2208" s="2">
        <f t="shared" si="130"/>
        <v>0</v>
      </c>
      <c r="K2208" s="2">
        <f t="shared" si="131"/>
        <v>0</v>
      </c>
    </row>
    <row r="2209" spans="5:11">
      <c r="E2209" s="3" t="s">
        <v>2357</v>
      </c>
      <c r="F2209" s="3" t="s">
        <v>2358</v>
      </c>
      <c r="G2209" s="7" t="str">
        <f t="shared" si="97"/>
        <v>15-12</v>
      </c>
      <c r="H2209" s="1">
        <f>_xlfn.IFNA(VLOOKUP(Aragon!E2209,'Kilter Holds'!$P$36:$AB$370,7,0),0)+(2*_xlfn.IFNA(VLOOKUP(Aragon!A2209,'Kilter Holds'!$P$36:$AB$370,7,0),0))</f>
        <v>0</v>
      </c>
      <c r="J2209" s="2">
        <f t="shared" si="130"/>
        <v>0</v>
      </c>
      <c r="K2209" s="2">
        <f t="shared" si="131"/>
        <v>0</v>
      </c>
    </row>
    <row r="2210" spans="5:11">
      <c r="E2210" s="3" t="s">
        <v>2357</v>
      </c>
      <c r="F2210" s="3" t="s">
        <v>2358</v>
      </c>
      <c r="G2210" s="8" t="str">
        <f t="shared" si="97"/>
        <v>16-16</v>
      </c>
      <c r="H2210" s="1">
        <f>_xlfn.IFNA(VLOOKUP(Aragon!E2210,'Kilter Holds'!$P$36:$AB$370,8,0),0)+(2*_xlfn.IFNA(VLOOKUP(Aragon!A2210,'Kilter Holds'!$P$36:$AB$370,8,0),0))</f>
        <v>0</v>
      </c>
      <c r="J2210" s="2">
        <f t="shared" si="130"/>
        <v>0</v>
      </c>
      <c r="K2210" s="2">
        <f t="shared" si="131"/>
        <v>0</v>
      </c>
    </row>
    <row r="2211" spans="5:11">
      <c r="E2211" s="3" t="s">
        <v>2357</v>
      </c>
      <c r="F2211" s="3" t="s">
        <v>2358</v>
      </c>
      <c r="G2211" s="9" t="str">
        <f t="shared" si="97"/>
        <v>13-01</v>
      </c>
      <c r="H2211" s="1">
        <f>_xlfn.IFNA(VLOOKUP(Aragon!E2211,'Kilter Holds'!$P$36:$AB$370,9,0),0)+(2*_xlfn.IFNA(VLOOKUP(Aragon!A2211,'Kilter Holds'!$P$36:$AB$370,9,0),0))</f>
        <v>0</v>
      </c>
      <c r="J2211" s="2">
        <f t="shared" si="130"/>
        <v>0</v>
      </c>
      <c r="K2211" s="2">
        <f t="shared" si="131"/>
        <v>0</v>
      </c>
    </row>
    <row r="2212" spans="5:11">
      <c r="E2212" s="3" t="s">
        <v>2357</v>
      </c>
      <c r="F2212" s="3" t="s">
        <v>2358</v>
      </c>
      <c r="G2212" s="10" t="str">
        <f t="shared" si="97"/>
        <v>07-13</v>
      </c>
      <c r="H2212" s="1">
        <f>_xlfn.IFNA(VLOOKUP(Aragon!E2212,'Kilter Holds'!$P$36:$AB$370,10,0),0)+(2*_xlfn.IFNA(VLOOKUP(Aragon!A2212,'Kilter Holds'!$P$36:$AB$370,10,0),0))</f>
        <v>0</v>
      </c>
      <c r="J2212" s="2">
        <f t="shared" si="130"/>
        <v>0</v>
      </c>
      <c r="K2212" s="2">
        <f t="shared" si="131"/>
        <v>0</v>
      </c>
    </row>
    <row r="2213" spans="5:11">
      <c r="E2213" s="3" t="s">
        <v>2357</v>
      </c>
      <c r="F2213" s="3" t="s">
        <v>2358</v>
      </c>
      <c r="G2213" s="11" t="str">
        <f t="shared" si="97"/>
        <v>11-25</v>
      </c>
      <c r="H2213" s="1">
        <f>_xlfn.IFNA(VLOOKUP(Aragon!E2213,'Kilter Holds'!$P$36:$AB$370,11,0),0)+(2*_xlfn.IFNA(VLOOKUP(Aragon!A2213,'Kilter Holds'!$P$36:$AB$370,11,0),0))</f>
        <v>0</v>
      </c>
      <c r="J2213" s="2">
        <f t="shared" si="130"/>
        <v>0</v>
      </c>
      <c r="K2213" s="2">
        <f t="shared" si="131"/>
        <v>0</v>
      </c>
    </row>
    <row r="2214" spans="5:11">
      <c r="E2214" s="3" t="s">
        <v>2357</v>
      </c>
      <c r="F2214" s="3" t="s">
        <v>2358</v>
      </c>
      <c r="G2214" s="13" t="str">
        <f t="shared" si="97"/>
        <v>18-01</v>
      </c>
      <c r="H2214" s="1">
        <f>_xlfn.IFNA(VLOOKUP(Aragon!E2214,'Kilter Holds'!$P$36:$AB$370,12,0),0)+(2*_xlfn.IFNA(VLOOKUP(Aragon!A2214,'Kilter Holds'!$P$36:$AB$370,12,0),0))</f>
        <v>0</v>
      </c>
      <c r="J2214" s="2">
        <f t="shared" si="130"/>
        <v>0</v>
      </c>
      <c r="K2214" s="2">
        <f t="shared" si="131"/>
        <v>0</v>
      </c>
    </row>
    <row r="2215" spans="5:11">
      <c r="E2215" s="3" t="s">
        <v>2357</v>
      </c>
      <c r="F2215" s="3" t="s">
        <v>2358</v>
      </c>
      <c r="G2215" s="12" t="str">
        <f t="shared" si="97"/>
        <v>12-01</v>
      </c>
      <c r="H2215" s="1">
        <f>_xlfn.IFNA(VLOOKUP(Aragon!E2215,'Kilter Holds'!$P$36:$AB$370,13,0),0)+(2*_xlfn.IFNA(VLOOKUP(Aragon!A2215,'Kilter Holds'!$P$36:$AB$370,13,0),0))</f>
        <v>0</v>
      </c>
      <c r="J2215" s="2">
        <f t="shared" si="130"/>
        <v>0</v>
      </c>
      <c r="K2215" s="2">
        <f t="shared" si="131"/>
        <v>0</v>
      </c>
    </row>
    <row r="2216" spans="5:11">
      <c r="E2216" s="3" t="s">
        <v>2352</v>
      </c>
      <c r="F2216" s="3" t="s">
        <v>2359</v>
      </c>
      <c r="G2216" s="5" t="str">
        <f t="shared" si="97"/>
        <v>11-12</v>
      </c>
      <c r="H2216" s="1">
        <f>_xlfn.IFNA(VLOOKUP(Aragon!E2216,'Kilter Holds'!$P$36:$AB$370,5,0),0)+(2*_xlfn.IFNA(VLOOKUP(Aragon!A2216,'Kilter Holds'!$P$36:$AB$370,5,0),0))</f>
        <v>0</v>
      </c>
      <c r="J2216" s="2">
        <f t="shared" si="130"/>
        <v>0</v>
      </c>
      <c r="K2216" s="2">
        <f t="shared" si="131"/>
        <v>0</v>
      </c>
    </row>
    <row r="2217" spans="5:11">
      <c r="E2217" s="3" t="s">
        <v>2352</v>
      </c>
      <c r="F2217" s="3" t="s">
        <v>2359</v>
      </c>
      <c r="G2217" s="6" t="str">
        <f t="shared" si="97"/>
        <v>14-01</v>
      </c>
      <c r="H2217" s="1">
        <f>_xlfn.IFNA(VLOOKUP(Aragon!E2217,'Kilter Holds'!$P$36:$AB$370,6,0),0)+(2*_xlfn.IFNA(VLOOKUP(Aragon!A2217,'Kilter Holds'!$P$36:$AB$370,6,0),0))</f>
        <v>0</v>
      </c>
      <c r="J2217" s="2">
        <f t="shared" si="130"/>
        <v>0</v>
      </c>
      <c r="K2217" s="2">
        <f t="shared" si="131"/>
        <v>0</v>
      </c>
    </row>
    <row r="2218" spans="5:11">
      <c r="E2218" s="3" t="s">
        <v>2352</v>
      </c>
      <c r="F2218" s="3" t="s">
        <v>2359</v>
      </c>
      <c r="G2218" s="7" t="str">
        <f t="shared" ref="G2218:G2281" si="132">G2209</f>
        <v>15-12</v>
      </c>
      <c r="H2218" s="1">
        <f>_xlfn.IFNA(VLOOKUP(Aragon!E2218,'Kilter Holds'!$P$36:$AB$370,7,0),0)+(2*_xlfn.IFNA(VLOOKUP(Aragon!A2218,'Kilter Holds'!$P$36:$AB$370,7,0),0))</f>
        <v>0</v>
      </c>
      <c r="J2218" s="2">
        <f t="shared" si="130"/>
        <v>0</v>
      </c>
      <c r="K2218" s="2">
        <f t="shared" si="131"/>
        <v>0</v>
      </c>
    </row>
    <row r="2219" spans="5:11">
      <c r="E2219" s="3" t="s">
        <v>2352</v>
      </c>
      <c r="F2219" s="3" t="s">
        <v>2359</v>
      </c>
      <c r="G2219" s="8" t="str">
        <f t="shared" si="132"/>
        <v>16-16</v>
      </c>
      <c r="H2219" s="1">
        <f>_xlfn.IFNA(VLOOKUP(Aragon!E2219,'Kilter Holds'!$P$36:$AB$370,8,0),0)+(2*_xlfn.IFNA(VLOOKUP(Aragon!A2219,'Kilter Holds'!$P$36:$AB$370,8,0),0))</f>
        <v>0</v>
      </c>
      <c r="J2219" s="2">
        <f t="shared" si="130"/>
        <v>0</v>
      </c>
      <c r="K2219" s="2">
        <f t="shared" si="131"/>
        <v>0</v>
      </c>
    </row>
    <row r="2220" spans="5:11">
      <c r="E2220" s="3" t="s">
        <v>2352</v>
      </c>
      <c r="F2220" s="3" t="s">
        <v>2359</v>
      </c>
      <c r="G2220" s="9" t="str">
        <f t="shared" si="132"/>
        <v>13-01</v>
      </c>
      <c r="H2220" s="1">
        <f>_xlfn.IFNA(VLOOKUP(Aragon!E2220,'Kilter Holds'!$P$36:$AB$370,9,0),0)+(2*_xlfn.IFNA(VLOOKUP(Aragon!A2220,'Kilter Holds'!$P$36:$AB$370,9,0),0))</f>
        <v>0</v>
      </c>
      <c r="J2220" s="2">
        <f t="shared" si="130"/>
        <v>0</v>
      </c>
      <c r="K2220" s="2">
        <f t="shared" si="131"/>
        <v>0</v>
      </c>
    </row>
    <row r="2221" spans="5:11">
      <c r="E2221" s="3" t="s">
        <v>2352</v>
      </c>
      <c r="F2221" s="3" t="s">
        <v>2359</v>
      </c>
      <c r="G2221" s="10" t="str">
        <f t="shared" si="132"/>
        <v>07-13</v>
      </c>
      <c r="H2221" s="1">
        <f>_xlfn.IFNA(VLOOKUP(Aragon!E2221,'Kilter Holds'!$P$36:$AB$370,10,0),0)+(2*_xlfn.IFNA(VLOOKUP(Aragon!A2221,'Kilter Holds'!$P$36:$AB$370,10,0),0))</f>
        <v>0</v>
      </c>
      <c r="J2221" s="2">
        <f t="shared" si="130"/>
        <v>0</v>
      </c>
      <c r="K2221" s="2">
        <f t="shared" si="131"/>
        <v>0</v>
      </c>
    </row>
    <row r="2222" spans="5:11">
      <c r="E2222" s="3" t="s">
        <v>2352</v>
      </c>
      <c r="F2222" s="3" t="s">
        <v>2359</v>
      </c>
      <c r="G2222" s="11" t="str">
        <f t="shared" si="132"/>
        <v>11-25</v>
      </c>
      <c r="H2222" s="1">
        <f>_xlfn.IFNA(VLOOKUP(Aragon!E2222,'Kilter Holds'!$P$36:$AB$370,11,0),0)+(2*_xlfn.IFNA(VLOOKUP(Aragon!A2222,'Kilter Holds'!$P$36:$AB$370,11,0),0))</f>
        <v>0</v>
      </c>
      <c r="J2222" s="2">
        <f t="shared" si="130"/>
        <v>0</v>
      </c>
      <c r="K2222" s="2">
        <f t="shared" si="131"/>
        <v>0</v>
      </c>
    </row>
    <row r="2223" spans="5:11">
      <c r="E2223" s="3" t="s">
        <v>2352</v>
      </c>
      <c r="F2223" s="3" t="s">
        <v>2359</v>
      </c>
      <c r="G2223" s="13" t="str">
        <f t="shared" si="132"/>
        <v>18-01</v>
      </c>
      <c r="H2223" s="1">
        <f>_xlfn.IFNA(VLOOKUP(Aragon!E2223,'Kilter Holds'!$P$36:$AB$370,12,0),0)+(2*_xlfn.IFNA(VLOOKUP(Aragon!A2223,'Kilter Holds'!$P$36:$AB$370,12,0),0))</f>
        <v>0</v>
      </c>
      <c r="J2223" s="2">
        <f t="shared" si="130"/>
        <v>0</v>
      </c>
      <c r="K2223" s="2">
        <f t="shared" si="131"/>
        <v>0</v>
      </c>
    </row>
    <row r="2224" spans="5:11">
      <c r="E2224" s="3" t="s">
        <v>2352</v>
      </c>
      <c r="F2224" s="3" t="s">
        <v>2359</v>
      </c>
      <c r="G2224" s="12" t="str">
        <f t="shared" si="132"/>
        <v>12-01</v>
      </c>
      <c r="H2224" s="1">
        <f>_xlfn.IFNA(VLOOKUP(Aragon!E2224,'Kilter Holds'!$P$36:$AB$370,13,0),0)+(2*_xlfn.IFNA(VLOOKUP(Aragon!A2224,'Kilter Holds'!$P$36:$AB$370,13,0),0))</f>
        <v>0</v>
      </c>
      <c r="J2224" s="2">
        <f t="shared" si="130"/>
        <v>0</v>
      </c>
      <c r="K2224" s="2">
        <f t="shared" si="131"/>
        <v>0</v>
      </c>
    </row>
    <row r="2225" spans="5:11">
      <c r="E2225" s="3" t="s">
        <v>2455</v>
      </c>
      <c r="F2225" s="3" t="s">
        <v>2456</v>
      </c>
      <c r="G2225" s="5" t="str">
        <f t="shared" si="132"/>
        <v>11-12</v>
      </c>
      <c r="H2225" s="1">
        <f>_xlfn.IFNA(VLOOKUP(Aragon!E2225,'Kilter Holds'!$P$36:$AB$370,5,0),0)+(2*_xlfn.IFNA(VLOOKUP(Aragon!A2225,'Kilter Holds'!$P$36:$AB$370,5,0),0))</f>
        <v>0</v>
      </c>
      <c r="J2225" s="2">
        <f t="shared" ref="J2225:J2233" si="133">H2225*I2225</f>
        <v>0</v>
      </c>
      <c r="K2225" s="2">
        <f t="shared" ref="K2225:K2233" si="134">IF($V$11="Y",J2225*0.05,0)</f>
        <v>0</v>
      </c>
    </row>
    <row r="2226" spans="5:11">
      <c r="E2226" s="3" t="s">
        <v>2455</v>
      </c>
      <c r="F2226" s="3" t="s">
        <v>2456</v>
      </c>
      <c r="G2226" s="6" t="str">
        <f t="shared" si="132"/>
        <v>14-01</v>
      </c>
      <c r="H2226" s="1">
        <f>_xlfn.IFNA(VLOOKUP(Aragon!E2226,'Kilter Holds'!$P$36:$AB$370,6,0),0)+(2*_xlfn.IFNA(VLOOKUP(Aragon!A2226,'Kilter Holds'!$P$36:$AB$370,6,0),0))</f>
        <v>0</v>
      </c>
      <c r="J2226" s="2">
        <f t="shared" si="133"/>
        <v>0</v>
      </c>
      <c r="K2226" s="2">
        <f t="shared" si="134"/>
        <v>0</v>
      </c>
    </row>
    <row r="2227" spans="5:11">
      <c r="E2227" s="3" t="s">
        <v>2455</v>
      </c>
      <c r="F2227" s="3" t="s">
        <v>2456</v>
      </c>
      <c r="G2227" s="7" t="str">
        <f t="shared" si="132"/>
        <v>15-12</v>
      </c>
      <c r="H2227" s="1">
        <f>_xlfn.IFNA(VLOOKUP(Aragon!E2227,'Kilter Holds'!$P$36:$AB$370,7,0),0)+(2*_xlfn.IFNA(VLOOKUP(Aragon!A2227,'Kilter Holds'!$P$36:$AB$370,7,0),0))</f>
        <v>0</v>
      </c>
      <c r="J2227" s="2">
        <f t="shared" si="133"/>
        <v>0</v>
      </c>
      <c r="K2227" s="2">
        <f t="shared" si="134"/>
        <v>0</v>
      </c>
    </row>
    <row r="2228" spans="5:11">
      <c r="E2228" s="3" t="s">
        <v>2455</v>
      </c>
      <c r="F2228" s="3" t="s">
        <v>2456</v>
      </c>
      <c r="G2228" s="8" t="str">
        <f t="shared" si="132"/>
        <v>16-16</v>
      </c>
      <c r="H2228" s="1">
        <f>_xlfn.IFNA(VLOOKUP(Aragon!E2228,'Kilter Holds'!$P$36:$AB$370,8,0),0)+(2*_xlfn.IFNA(VLOOKUP(Aragon!A2228,'Kilter Holds'!$P$36:$AB$370,8,0),0))</f>
        <v>0</v>
      </c>
      <c r="J2228" s="2">
        <f t="shared" si="133"/>
        <v>0</v>
      </c>
      <c r="K2228" s="2">
        <f t="shared" si="134"/>
        <v>0</v>
      </c>
    </row>
    <row r="2229" spans="5:11">
      <c r="E2229" s="3" t="s">
        <v>2455</v>
      </c>
      <c r="F2229" s="3" t="s">
        <v>2456</v>
      </c>
      <c r="G2229" s="9" t="str">
        <f t="shared" si="132"/>
        <v>13-01</v>
      </c>
      <c r="H2229" s="1">
        <f>_xlfn.IFNA(VLOOKUP(Aragon!E2229,'Kilter Holds'!$P$36:$AB$370,9,0),0)+(2*_xlfn.IFNA(VLOOKUP(Aragon!A2229,'Kilter Holds'!$P$36:$AB$370,9,0),0))</f>
        <v>0</v>
      </c>
      <c r="J2229" s="2">
        <f t="shared" si="133"/>
        <v>0</v>
      </c>
      <c r="K2229" s="2">
        <f t="shared" si="134"/>
        <v>0</v>
      </c>
    </row>
    <row r="2230" spans="5:11">
      <c r="E2230" s="3" t="s">
        <v>2455</v>
      </c>
      <c r="F2230" s="3" t="s">
        <v>2456</v>
      </c>
      <c r="G2230" s="10" t="str">
        <f t="shared" si="132"/>
        <v>07-13</v>
      </c>
      <c r="H2230" s="1">
        <f>_xlfn.IFNA(VLOOKUP(Aragon!E2230,'Kilter Holds'!$P$36:$AB$370,10,0),0)+(2*_xlfn.IFNA(VLOOKUP(Aragon!A2230,'Kilter Holds'!$P$36:$AB$370,10,0),0))</f>
        <v>0</v>
      </c>
      <c r="J2230" s="2">
        <f t="shared" si="133"/>
        <v>0</v>
      </c>
      <c r="K2230" s="2">
        <f t="shared" si="134"/>
        <v>0</v>
      </c>
    </row>
    <row r="2231" spans="5:11">
      <c r="E2231" s="3" t="s">
        <v>2455</v>
      </c>
      <c r="F2231" s="3" t="s">
        <v>2456</v>
      </c>
      <c r="G2231" s="11" t="str">
        <f t="shared" si="132"/>
        <v>11-25</v>
      </c>
      <c r="H2231" s="1">
        <f>_xlfn.IFNA(VLOOKUP(Aragon!E2231,'Kilter Holds'!$P$36:$AB$370,11,0),0)+(2*_xlfn.IFNA(VLOOKUP(Aragon!A2231,'Kilter Holds'!$P$36:$AB$370,11,0),0))</f>
        <v>0</v>
      </c>
      <c r="J2231" s="2">
        <f t="shared" si="133"/>
        <v>0</v>
      </c>
      <c r="K2231" s="2">
        <f t="shared" si="134"/>
        <v>0</v>
      </c>
    </row>
    <row r="2232" spans="5:11">
      <c r="E2232" s="3" t="s">
        <v>2455</v>
      </c>
      <c r="F2232" s="3" t="s">
        <v>2456</v>
      </c>
      <c r="G2232" s="13" t="str">
        <f t="shared" si="132"/>
        <v>18-01</v>
      </c>
      <c r="H2232" s="1">
        <f>_xlfn.IFNA(VLOOKUP(Aragon!E2232,'Kilter Holds'!$P$36:$AB$370,12,0),0)+(2*_xlfn.IFNA(VLOOKUP(Aragon!A2232,'Kilter Holds'!$P$36:$AB$370,12,0),0))</f>
        <v>0</v>
      </c>
      <c r="J2232" s="2">
        <f t="shared" si="133"/>
        <v>0</v>
      </c>
      <c r="K2232" s="2">
        <f t="shared" si="134"/>
        <v>0</v>
      </c>
    </row>
    <row r="2233" spans="5:11">
      <c r="E2233" s="3" t="s">
        <v>2455</v>
      </c>
      <c r="F2233" s="3" t="s">
        <v>2456</v>
      </c>
      <c r="G2233" s="12" t="str">
        <f t="shared" si="132"/>
        <v>12-01</v>
      </c>
      <c r="H2233" s="1">
        <f>_xlfn.IFNA(VLOOKUP(Aragon!E2233,'Kilter Holds'!$P$36:$AB$370,13,0),0)+(2*_xlfn.IFNA(VLOOKUP(Aragon!A2233,'Kilter Holds'!$P$36:$AB$370,13,0),0))</f>
        <v>0</v>
      </c>
      <c r="J2233" s="2">
        <f t="shared" si="133"/>
        <v>0</v>
      </c>
      <c r="K2233" s="2">
        <f t="shared" si="134"/>
        <v>0</v>
      </c>
    </row>
    <row r="2234" spans="5:11">
      <c r="E2234" s="3" t="s">
        <v>2458</v>
      </c>
      <c r="F2234" s="3" t="s">
        <v>2470</v>
      </c>
      <c r="G2234" s="5" t="str">
        <f t="shared" si="132"/>
        <v>11-12</v>
      </c>
      <c r="H2234" s="1">
        <f>_xlfn.IFNA(VLOOKUP(Aragon!E2234,'Kilter Holds'!$P$36:$AB$370,5,0),0)+(2*_xlfn.IFNA(VLOOKUP(Aragon!A2234,'Kilter Holds'!$P$36:$AB$370,5,0),0))</f>
        <v>0</v>
      </c>
      <c r="J2234" s="2">
        <f t="shared" ref="J2234:J2242" si="135">H2234*I2234</f>
        <v>0</v>
      </c>
      <c r="K2234" s="2">
        <f t="shared" ref="K2234:K2242" si="136">IF($V$11="Y",J2234*0.05,0)</f>
        <v>0</v>
      </c>
    </row>
    <row r="2235" spans="5:11">
      <c r="E2235" s="3" t="s">
        <v>2458</v>
      </c>
      <c r="F2235" s="3" t="s">
        <v>2470</v>
      </c>
      <c r="G2235" s="6" t="str">
        <f t="shared" si="132"/>
        <v>14-01</v>
      </c>
      <c r="H2235" s="1">
        <f>_xlfn.IFNA(VLOOKUP(Aragon!E2235,'Kilter Holds'!$P$36:$AB$370,6,0),0)+(2*_xlfn.IFNA(VLOOKUP(Aragon!A2235,'Kilter Holds'!$P$36:$AB$370,6,0),0))</f>
        <v>0</v>
      </c>
      <c r="J2235" s="2">
        <f t="shared" si="135"/>
        <v>0</v>
      </c>
      <c r="K2235" s="2">
        <f t="shared" si="136"/>
        <v>0</v>
      </c>
    </row>
    <row r="2236" spans="5:11">
      <c r="E2236" s="3" t="s">
        <v>2458</v>
      </c>
      <c r="F2236" s="3" t="s">
        <v>2470</v>
      </c>
      <c r="G2236" s="7" t="str">
        <f t="shared" si="132"/>
        <v>15-12</v>
      </c>
      <c r="H2236" s="1">
        <f>_xlfn.IFNA(VLOOKUP(Aragon!E2236,'Kilter Holds'!$P$36:$AB$370,7,0),0)+(2*_xlfn.IFNA(VLOOKUP(Aragon!A2236,'Kilter Holds'!$P$36:$AB$370,7,0),0))</f>
        <v>0</v>
      </c>
      <c r="J2236" s="2">
        <f t="shared" si="135"/>
        <v>0</v>
      </c>
      <c r="K2236" s="2">
        <f t="shared" si="136"/>
        <v>0</v>
      </c>
    </row>
    <row r="2237" spans="5:11">
      <c r="E2237" s="3" t="s">
        <v>2458</v>
      </c>
      <c r="F2237" s="3" t="s">
        <v>2470</v>
      </c>
      <c r="G2237" s="8" t="str">
        <f t="shared" si="132"/>
        <v>16-16</v>
      </c>
      <c r="H2237" s="1">
        <f>_xlfn.IFNA(VLOOKUP(Aragon!E2237,'Kilter Holds'!$P$36:$AB$370,8,0),0)+(2*_xlfn.IFNA(VLOOKUP(Aragon!A2237,'Kilter Holds'!$P$36:$AB$370,8,0),0))</f>
        <v>0</v>
      </c>
      <c r="J2237" s="2">
        <f t="shared" si="135"/>
        <v>0</v>
      </c>
      <c r="K2237" s="2">
        <f t="shared" si="136"/>
        <v>0</v>
      </c>
    </row>
    <row r="2238" spans="5:11">
      <c r="E2238" s="3" t="s">
        <v>2458</v>
      </c>
      <c r="F2238" s="3" t="s">
        <v>2470</v>
      </c>
      <c r="G2238" s="9" t="str">
        <f t="shared" si="132"/>
        <v>13-01</v>
      </c>
      <c r="H2238" s="1">
        <f>_xlfn.IFNA(VLOOKUP(Aragon!E2238,'Kilter Holds'!$P$36:$AB$370,9,0),0)+(2*_xlfn.IFNA(VLOOKUP(Aragon!A2238,'Kilter Holds'!$P$36:$AB$370,9,0),0))</f>
        <v>0</v>
      </c>
      <c r="J2238" s="2">
        <f t="shared" si="135"/>
        <v>0</v>
      </c>
      <c r="K2238" s="2">
        <f t="shared" si="136"/>
        <v>0</v>
      </c>
    </row>
    <row r="2239" spans="5:11">
      <c r="E2239" s="3" t="s">
        <v>2458</v>
      </c>
      <c r="F2239" s="3" t="s">
        <v>2470</v>
      </c>
      <c r="G2239" s="10" t="str">
        <f t="shared" si="132"/>
        <v>07-13</v>
      </c>
      <c r="H2239" s="1">
        <f>_xlfn.IFNA(VLOOKUP(Aragon!E2239,'Kilter Holds'!$P$36:$AB$370,10,0),0)+(2*_xlfn.IFNA(VLOOKUP(Aragon!A2239,'Kilter Holds'!$P$36:$AB$370,10,0),0))</f>
        <v>0</v>
      </c>
      <c r="J2239" s="2">
        <f t="shared" si="135"/>
        <v>0</v>
      </c>
      <c r="K2239" s="2">
        <f t="shared" si="136"/>
        <v>0</v>
      </c>
    </row>
    <row r="2240" spans="5:11">
      <c r="E2240" s="3" t="s">
        <v>2458</v>
      </c>
      <c r="F2240" s="3" t="s">
        <v>2470</v>
      </c>
      <c r="G2240" s="11" t="str">
        <f t="shared" si="132"/>
        <v>11-25</v>
      </c>
      <c r="H2240" s="1">
        <f>_xlfn.IFNA(VLOOKUP(Aragon!E2240,'Kilter Holds'!$P$36:$AB$370,11,0),0)+(2*_xlfn.IFNA(VLOOKUP(Aragon!A2240,'Kilter Holds'!$P$36:$AB$370,11,0),0))</f>
        <v>0</v>
      </c>
      <c r="J2240" s="2">
        <f t="shared" si="135"/>
        <v>0</v>
      </c>
      <c r="K2240" s="2">
        <f t="shared" si="136"/>
        <v>0</v>
      </c>
    </row>
    <row r="2241" spans="5:11">
      <c r="E2241" s="3" t="s">
        <v>2458</v>
      </c>
      <c r="F2241" s="3" t="s">
        <v>2470</v>
      </c>
      <c r="G2241" s="13" t="str">
        <f t="shared" si="132"/>
        <v>18-01</v>
      </c>
      <c r="H2241" s="1">
        <f>_xlfn.IFNA(VLOOKUP(Aragon!E2241,'Kilter Holds'!$P$36:$AB$370,12,0),0)+(2*_xlfn.IFNA(VLOOKUP(Aragon!A2241,'Kilter Holds'!$P$36:$AB$370,12,0),0))</f>
        <v>0</v>
      </c>
      <c r="J2241" s="2">
        <f t="shared" si="135"/>
        <v>0</v>
      </c>
      <c r="K2241" s="2">
        <f t="shared" si="136"/>
        <v>0</v>
      </c>
    </row>
    <row r="2242" spans="5:11">
      <c r="E2242" s="3" t="s">
        <v>2458</v>
      </c>
      <c r="F2242" s="3" t="s">
        <v>2470</v>
      </c>
      <c r="G2242" s="12" t="str">
        <f t="shared" si="132"/>
        <v>12-01</v>
      </c>
      <c r="H2242" s="1">
        <f>_xlfn.IFNA(VLOOKUP(Aragon!E2242,'Kilter Holds'!$P$36:$AB$370,13,0),0)+(2*_xlfn.IFNA(VLOOKUP(Aragon!A2242,'Kilter Holds'!$P$36:$AB$370,13,0),0))</f>
        <v>0</v>
      </c>
      <c r="J2242" s="2">
        <f t="shared" si="135"/>
        <v>0</v>
      </c>
      <c r="K2242" s="2">
        <f t="shared" si="136"/>
        <v>0</v>
      </c>
    </row>
    <row r="2243" spans="5:11">
      <c r="E2243" s="3" t="s">
        <v>2493</v>
      </c>
      <c r="F2243" s="3" t="s">
        <v>2497</v>
      </c>
      <c r="G2243" s="5" t="str">
        <f t="shared" si="132"/>
        <v>11-12</v>
      </c>
      <c r="H2243" s="1">
        <f>_xlfn.IFNA(VLOOKUP(Aragon!E2243,'Kilter Holds'!$P$36:$AB$370,5,0),0)+(2*_xlfn.IFNA(VLOOKUP(Aragon!A2243,'Kilter Holds'!$P$36:$AB$370,5,0),0))</f>
        <v>0</v>
      </c>
      <c r="J2243" s="2">
        <f t="shared" ref="J2243:J2278" si="137">H2243*I2243</f>
        <v>0</v>
      </c>
      <c r="K2243" s="2">
        <f t="shared" ref="K2243:K2278" si="138">IF($V$11="Y",J2243*0.05,0)</f>
        <v>0</v>
      </c>
    </row>
    <row r="2244" spans="5:11">
      <c r="E2244" s="3" t="s">
        <v>2493</v>
      </c>
      <c r="F2244" s="3" t="s">
        <v>2497</v>
      </c>
      <c r="G2244" s="6" t="str">
        <f t="shared" si="132"/>
        <v>14-01</v>
      </c>
      <c r="H2244" s="1">
        <f>_xlfn.IFNA(VLOOKUP(Aragon!E2244,'Kilter Holds'!$P$36:$AB$370,6,0),0)+(2*_xlfn.IFNA(VLOOKUP(Aragon!A2244,'Kilter Holds'!$P$36:$AB$370,6,0),0))</f>
        <v>0</v>
      </c>
      <c r="J2244" s="2">
        <f t="shared" si="137"/>
        <v>0</v>
      </c>
      <c r="K2244" s="2">
        <f t="shared" si="138"/>
        <v>0</v>
      </c>
    </row>
    <row r="2245" spans="5:11">
      <c r="E2245" s="3" t="s">
        <v>2493</v>
      </c>
      <c r="F2245" s="3" t="s">
        <v>2497</v>
      </c>
      <c r="G2245" s="7" t="str">
        <f t="shared" si="132"/>
        <v>15-12</v>
      </c>
      <c r="H2245" s="1">
        <f>_xlfn.IFNA(VLOOKUP(Aragon!E2245,'Kilter Holds'!$P$36:$AB$370,7,0),0)+(2*_xlfn.IFNA(VLOOKUP(Aragon!A2245,'Kilter Holds'!$P$36:$AB$370,7,0),0))</f>
        <v>0</v>
      </c>
      <c r="J2245" s="2">
        <f t="shared" si="137"/>
        <v>0</v>
      </c>
      <c r="K2245" s="2">
        <f t="shared" si="138"/>
        <v>0</v>
      </c>
    </row>
    <row r="2246" spans="5:11">
      <c r="E2246" s="3" t="s">
        <v>2493</v>
      </c>
      <c r="F2246" s="3" t="s">
        <v>2497</v>
      </c>
      <c r="G2246" s="8" t="str">
        <f t="shared" si="132"/>
        <v>16-16</v>
      </c>
      <c r="H2246" s="1">
        <f>_xlfn.IFNA(VLOOKUP(Aragon!E2246,'Kilter Holds'!$P$36:$AB$370,8,0),0)+(2*_xlfn.IFNA(VLOOKUP(Aragon!A2246,'Kilter Holds'!$P$36:$AB$370,8,0),0))</f>
        <v>0</v>
      </c>
      <c r="J2246" s="2">
        <f t="shared" si="137"/>
        <v>0</v>
      </c>
      <c r="K2246" s="2">
        <f t="shared" si="138"/>
        <v>0</v>
      </c>
    </row>
    <row r="2247" spans="5:11">
      <c r="E2247" s="3" t="s">
        <v>2493</v>
      </c>
      <c r="F2247" s="3" t="s">
        <v>2497</v>
      </c>
      <c r="G2247" s="9" t="str">
        <f t="shared" si="132"/>
        <v>13-01</v>
      </c>
      <c r="H2247" s="1">
        <f>_xlfn.IFNA(VLOOKUP(Aragon!E2247,'Kilter Holds'!$P$36:$AB$370,9,0),0)+(2*_xlfn.IFNA(VLOOKUP(Aragon!A2247,'Kilter Holds'!$P$36:$AB$370,9,0),0))</f>
        <v>0</v>
      </c>
      <c r="J2247" s="2">
        <f t="shared" si="137"/>
        <v>0</v>
      </c>
      <c r="K2247" s="2">
        <f t="shared" si="138"/>
        <v>0</v>
      </c>
    </row>
    <row r="2248" spans="5:11">
      <c r="E2248" s="3" t="s">
        <v>2493</v>
      </c>
      <c r="F2248" s="3" t="s">
        <v>2497</v>
      </c>
      <c r="G2248" s="10" t="str">
        <f t="shared" si="132"/>
        <v>07-13</v>
      </c>
      <c r="H2248" s="1">
        <f>_xlfn.IFNA(VLOOKUP(Aragon!E2248,'Kilter Holds'!$P$36:$AB$370,10,0),0)+(2*_xlfn.IFNA(VLOOKUP(Aragon!A2248,'Kilter Holds'!$P$36:$AB$370,10,0),0))</f>
        <v>0</v>
      </c>
      <c r="J2248" s="2">
        <f t="shared" si="137"/>
        <v>0</v>
      </c>
      <c r="K2248" s="2">
        <f t="shared" si="138"/>
        <v>0</v>
      </c>
    </row>
    <row r="2249" spans="5:11">
      <c r="E2249" s="3" t="s">
        <v>2493</v>
      </c>
      <c r="F2249" s="3" t="s">
        <v>2497</v>
      </c>
      <c r="G2249" s="11" t="str">
        <f t="shared" si="132"/>
        <v>11-25</v>
      </c>
      <c r="H2249" s="1">
        <f>_xlfn.IFNA(VLOOKUP(Aragon!E2249,'Kilter Holds'!$P$36:$AB$370,11,0),0)+(2*_xlfn.IFNA(VLOOKUP(Aragon!A2249,'Kilter Holds'!$P$36:$AB$370,11,0),0))</f>
        <v>0</v>
      </c>
      <c r="J2249" s="2">
        <f t="shared" si="137"/>
        <v>0</v>
      </c>
      <c r="K2249" s="2">
        <f t="shared" si="138"/>
        <v>0</v>
      </c>
    </row>
    <row r="2250" spans="5:11">
      <c r="E2250" s="3" t="s">
        <v>2493</v>
      </c>
      <c r="F2250" s="3" t="s">
        <v>2497</v>
      </c>
      <c r="G2250" s="13" t="str">
        <f t="shared" si="132"/>
        <v>18-01</v>
      </c>
      <c r="H2250" s="1">
        <f>_xlfn.IFNA(VLOOKUP(Aragon!E2250,'Kilter Holds'!$P$36:$AB$370,12,0),0)+(2*_xlfn.IFNA(VLOOKUP(Aragon!A2250,'Kilter Holds'!$P$36:$AB$370,12,0),0))</f>
        <v>0</v>
      </c>
      <c r="J2250" s="2">
        <f t="shared" si="137"/>
        <v>0</v>
      </c>
      <c r="K2250" s="2">
        <f t="shared" si="138"/>
        <v>0</v>
      </c>
    </row>
    <row r="2251" spans="5:11">
      <c r="E2251" s="3" t="s">
        <v>2493</v>
      </c>
      <c r="F2251" s="3" t="s">
        <v>2497</v>
      </c>
      <c r="G2251" s="12" t="str">
        <f t="shared" si="132"/>
        <v>12-01</v>
      </c>
      <c r="H2251" s="1">
        <f>_xlfn.IFNA(VLOOKUP(Aragon!E2251,'Kilter Holds'!$P$36:$AB$370,13,0),0)+(2*_xlfn.IFNA(VLOOKUP(Aragon!A2251,'Kilter Holds'!$P$36:$AB$370,13,0),0))</f>
        <v>0</v>
      </c>
      <c r="J2251" s="2">
        <f t="shared" si="137"/>
        <v>0</v>
      </c>
      <c r="K2251" s="2">
        <f t="shared" si="138"/>
        <v>0</v>
      </c>
    </row>
    <row r="2252" spans="5:11">
      <c r="E2252" s="3" t="s">
        <v>2494</v>
      </c>
      <c r="F2252" s="3" t="s">
        <v>2498</v>
      </c>
      <c r="G2252" s="5" t="str">
        <f t="shared" si="132"/>
        <v>11-12</v>
      </c>
      <c r="H2252" s="1">
        <f>_xlfn.IFNA(VLOOKUP(Aragon!E2252,'Kilter Holds'!$P$36:$AB$370,5,0),0)+(2*_xlfn.IFNA(VLOOKUP(Aragon!A2252,'Kilter Holds'!$P$36:$AB$370,5,0),0))</f>
        <v>0</v>
      </c>
      <c r="J2252" s="2">
        <f t="shared" si="137"/>
        <v>0</v>
      </c>
      <c r="K2252" s="2">
        <f t="shared" si="138"/>
        <v>0</v>
      </c>
    </row>
    <row r="2253" spans="5:11">
      <c r="E2253" s="3" t="s">
        <v>2494</v>
      </c>
      <c r="F2253" s="3" t="s">
        <v>2498</v>
      </c>
      <c r="G2253" s="6" t="str">
        <f t="shared" si="132"/>
        <v>14-01</v>
      </c>
      <c r="H2253" s="1">
        <f>_xlfn.IFNA(VLOOKUP(Aragon!E2253,'Kilter Holds'!$P$36:$AB$370,6,0),0)+(2*_xlfn.IFNA(VLOOKUP(Aragon!A2253,'Kilter Holds'!$P$36:$AB$370,6,0),0))</f>
        <v>0</v>
      </c>
      <c r="J2253" s="2">
        <f t="shared" si="137"/>
        <v>0</v>
      </c>
      <c r="K2253" s="2">
        <f t="shared" si="138"/>
        <v>0</v>
      </c>
    </row>
    <row r="2254" spans="5:11">
      <c r="E2254" s="3" t="s">
        <v>2494</v>
      </c>
      <c r="F2254" s="3" t="s">
        <v>2498</v>
      </c>
      <c r="G2254" s="7" t="str">
        <f t="shared" si="132"/>
        <v>15-12</v>
      </c>
      <c r="H2254" s="1">
        <f>_xlfn.IFNA(VLOOKUP(Aragon!E2254,'Kilter Holds'!$P$36:$AB$370,7,0),0)+(2*_xlfn.IFNA(VLOOKUP(Aragon!A2254,'Kilter Holds'!$P$36:$AB$370,7,0),0))</f>
        <v>0</v>
      </c>
      <c r="J2254" s="2">
        <f t="shared" si="137"/>
        <v>0</v>
      </c>
      <c r="K2254" s="2">
        <f t="shared" si="138"/>
        <v>0</v>
      </c>
    </row>
    <row r="2255" spans="5:11">
      <c r="E2255" s="3" t="s">
        <v>2494</v>
      </c>
      <c r="F2255" s="3" t="s">
        <v>2498</v>
      </c>
      <c r="G2255" s="8" t="str">
        <f t="shared" si="132"/>
        <v>16-16</v>
      </c>
      <c r="H2255" s="1">
        <f>_xlfn.IFNA(VLOOKUP(Aragon!E2255,'Kilter Holds'!$P$36:$AB$370,8,0),0)+(2*_xlfn.IFNA(VLOOKUP(Aragon!A2255,'Kilter Holds'!$P$36:$AB$370,8,0),0))</f>
        <v>0</v>
      </c>
      <c r="J2255" s="2">
        <f t="shared" si="137"/>
        <v>0</v>
      </c>
      <c r="K2255" s="2">
        <f t="shared" si="138"/>
        <v>0</v>
      </c>
    </row>
    <row r="2256" spans="5:11">
      <c r="E2256" s="3" t="s">
        <v>2494</v>
      </c>
      <c r="F2256" s="3" t="s">
        <v>2498</v>
      </c>
      <c r="G2256" s="9" t="str">
        <f t="shared" si="132"/>
        <v>13-01</v>
      </c>
      <c r="H2256" s="1">
        <f>_xlfn.IFNA(VLOOKUP(Aragon!E2256,'Kilter Holds'!$P$36:$AB$370,9,0),0)+(2*_xlfn.IFNA(VLOOKUP(Aragon!A2256,'Kilter Holds'!$P$36:$AB$370,9,0),0))</f>
        <v>0</v>
      </c>
      <c r="J2256" s="2">
        <f t="shared" si="137"/>
        <v>0</v>
      </c>
      <c r="K2256" s="2">
        <f t="shared" si="138"/>
        <v>0</v>
      </c>
    </row>
    <row r="2257" spans="5:11">
      <c r="E2257" s="3" t="s">
        <v>2494</v>
      </c>
      <c r="F2257" s="3" t="s">
        <v>2498</v>
      </c>
      <c r="G2257" s="10" t="str">
        <f t="shared" si="132"/>
        <v>07-13</v>
      </c>
      <c r="H2257" s="1">
        <f>_xlfn.IFNA(VLOOKUP(Aragon!E2257,'Kilter Holds'!$P$36:$AB$370,10,0),0)+(2*_xlfn.IFNA(VLOOKUP(Aragon!A2257,'Kilter Holds'!$P$36:$AB$370,10,0),0))</f>
        <v>0</v>
      </c>
      <c r="J2257" s="2">
        <f t="shared" si="137"/>
        <v>0</v>
      </c>
      <c r="K2257" s="2">
        <f t="shared" si="138"/>
        <v>0</v>
      </c>
    </row>
    <row r="2258" spans="5:11">
      <c r="E2258" s="3" t="s">
        <v>2494</v>
      </c>
      <c r="F2258" s="3" t="s">
        <v>2498</v>
      </c>
      <c r="G2258" s="11" t="str">
        <f t="shared" si="132"/>
        <v>11-25</v>
      </c>
      <c r="H2258" s="1">
        <f>_xlfn.IFNA(VLOOKUP(Aragon!E2258,'Kilter Holds'!$P$36:$AB$370,11,0),0)+(2*_xlfn.IFNA(VLOOKUP(Aragon!A2258,'Kilter Holds'!$P$36:$AB$370,11,0),0))</f>
        <v>0</v>
      </c>
      <c r="J2258" s="2">
        <f t="shared" si="137"/>
        <v>0</v>
      </c>
      <c r="K2258" s="2">
        <f t="shared" si="138"/>
        <v>0</v>
      </c>
    </row>
    <row r="2259" spans="5:11">
      <c r="E2259" s="3" t="s">
        <v>2494</v>
      </c>
      <c r="F2259" s="3" t="s">
        <v>2498</v>
      </c>
      <c r="G2259" s="13" t="str">
        <f t="shared" si="132"/>
        <v>18-01</v>
      </c>
      <c r="H2259" s="1">
        <f>_xlfn.IFNA(VLOOKUP(Aragon!E2259,'Kilter Holds'!$P$36:$AB$370,12,0),0)+(2*_xlfn.IFNA(VLOOKUP(Aragon!A2259,'Kilter Holds'!$P$36:$AB$370,12,0),0))</f>
        <v>0</v>
      </c>
      <c r="J2259" s="2">
        <f t="shared" si="137"/>
        <v>0</v>
      </c>
      <c r="K2259" s="2">
        <f t="shared" si="138"/>
        <v>0</v>
      </c>
    </row>
    <row r="2260" spans="5:11">
      <c r="E2260" s="3" t="s">
        <v>2494</v>
      </c>
      <c r="F2260" s="3" t="s">
        <v>2498</v>
      </c>
      <c r="G2260" s="12" t="str">
        <f t="shared" si="132"/>
        <v>12-01</v>
      </c>
      <c r="H2260" s="1">
        <f>_xlfn.IFNA(VLOOKUP(Aragon!E2260,'Kilter Holds'!$P$36:$AB$370,13,0),0)+(2*_xlfn.IFNA(VLOOKUP(Aragon!A2260,'Kilter Holds'!$P$36:$AB$370,13,0),0))</f>
        <v>0</v>
      </c>
      <c r="J2260" s="2">
        <f t="shared" si="137"/>
        <v>0</v>
      </c>
      <c r="K2260" s="2">
        <f t="shared" si="138"/>
        <v>0</v>
      </c>
    </row>
    <row r="2261" spans="5:11">
      <c r="E2261" s="3" t="s">
        <v>2495</v>
      </c>
      <c r="F2261" s="3" t="s">
        <v>2499</v>
      </c>
      <c r="G2261" s="5" t="str">
        <f t="shared" si="132"/>
        <v>11-12</v>
      </c>
      <c r="H2261" s="1">
        <f>_xlfn.IFNA(VLOOKUP(Aragon!E2261,'Kilter Holds'!$P$36:$AB$370,5,0),0)+(2*_xlfn.IFNA(VLOOKUP(Aragon!A2261,'Kilter Holds'!$P$36:$AB$370,5,0),0))</f>
        <v>0</v>
      </c>
      <c r="J2261" s="2">
        <f t="shared" si="137"/>
        <v>0</v>
      </c>
      <c r="K2261" s="2">
        <f t="shared" si="138"/>
        <v>0</v>
      </c>
    </row>
    <row r="2262" spans="5:11">
      <c r="E2262" s="3" t="s">
        <v>2495</v>
      </c>
      <c r="F2262" s="3" t="s">
        <v>2499</v>
      </c>
      <c r="G2262" s="6" t="str">
        <f t="shared" si="132"/>
        <v>14-01</v>
      </c>
      <c r="H2262" s="1">
        <f>_xlfn.IFNA(VLOOKUP(Aragon!E2262,'Kilter Holds'!$P$36:$AB$370,6,0),0)+(2*_xlfn.IFNA(VLOOKUP(Aragon!A2262,'Kilter Holds'!$P$36:$AB$370,6,0),0))</f>
        <v>0</v>
      </c>
      <c r="J2262" s="2">
        <f t="shared" si="137"/>
        <v>0</v>
      </c>
      <c r="K2262" s="2">
        <f t="shared" si="138"/>
        <v>0</v>
      </c>
    </row>
    <row r="2263" spans="5:11">
      <c r="E2263" s="3" t="s">
        <v>2495</v>
      </c>
      <c r="F2263" s="3" t="s">
        <v>2499</v>
      </c>
      <c r="G2263" s="7" t="str">
        <f t="shared" si="132"/>
        <v>15-12</v>
      </c>
      <c r="H2263" s="1">
        <f>_xlfn.IFNA(VLOOKUP(Aragon!E2263,'Kilter Holds'!$P$36:$AB$370,7,0),0)+(2*_xlfn.IFNA(VLOOKUP(Aragon!A2263,'Kilter Holds'!$P$36:$AB$370,7,0),0))</f>
        <v>0</v>
      </c>
      <c r="J2263" s="2">
        <f t="shared" si="137"/>
        <v>0</v>
      </c>
      <c r="K2263" s="2">
        <f t="shared" si="138"/>
        <v>0</v>
      </c>
    </row>
    <row r="2264" spans="5:11">
      <c r="E2264" s="3" t="s">
        <v>2495</v>
      </c>
      <c r="F2264" s="3" t="s">
        <v>2499</v>
      </c>
      <c r="G2264" s="8" t="str">
        <f t="shared" si="132"/>
        <v>16-16</v>
      </c>
      <c r="H2264" s="1">
        <f>_xlfn.IFNA(VLOOKUP(Aragon!E2264,'Kilter Holds'!$P$36:$AB$370,8,0),0)+(2*_xlfn.IFNA(VLOOKUP(Aragon!A2264,'Kilter Holds'!$P$36:$AB$370,8,0),0))</f>
        <v>0</v>
      </c>
      <c r="J2264" s="2">
        <f t="shared" si="137"/>
        <v>0</v>
      </c>
      <c r="K2264" s="2">
        <f t="shared" si="138"/>
        <v>0</v>
      </c>
    </row>
    <row r="2265" spans="5:11">
      <c r="E2265" s="3" t="s">
        <v>2495</v>
      </c>
      <c r="F2265" s="3" t="s">
        <v>2499</v>
      </c>
      <c r="G2265" s="9" t="str">
        <f t="shared" si="132"/>
        <v>13-01</v>
      </c>
      <c r="H2265" s="1">
        <f>_xlfn.IFNA(VLOOKUP(Aragon!E2265,'Kilter Holds'!$P$36:$AB$370,9,0),0)+(2*_xlfn.IFNA(VLOOKUP(Aragon!A2265,'Kilter Holds'!$P$36:$AB$370,9,0),0))</f>
        <v>0</v>
      </c>
      <c r="J2265" s="2">
        <f t="shared" si="137"/>
        <v>0</v>
      </c>
      <c r="K2265" s="2">
        <f t="shared" si="138"/>
        <v>0</v>
      </c>
    </row>
    <row r="2266" spans="5:11">
      <c r="E2266" s="3" t="s">
        <v>2495</v>
      </c>
      <c r="F2266" s="3" t="s">
        <v>2499</v>
      </c>
      <c r="G2266" s="10" t="str">
        <f t="shared" si="132"/>
        <v>07-13</v>
      </c>
      <c r="H2266" s="1">
        <f>_xlfn.IFNA(VLOOKUP(Aragon!E2266,'Kilter Holds'!$P$36:$AB$370,10,0),0)+(2*_xlfn.IFNA(VLOOKUP(Aragon!A2266,'Kilter Holds'!$P$36:$AB$370,10,0),0))</f>
        <v>0</v>
      </c>
      <c r="J2266" s="2">
        <f t="shared" si="137"/>
        <v>0</v>
      </c>
      <c r="K2266" s="2">
        <f t="shared" si="138"/>
        <v>0</v>
      </c>
    </row>
    <row r="2267" spans="5:11">
      <c r="E2267" s="3" t="s">
        <v>2495</v>
      </c>
      <c r="F2267" s="3" t="s">
        <v>2499</v>
      </c>
      <c r="G2267" s="11" t="str">
        <f t="shared" si="132"/>
        <v>11-25</v>
      </c>
      <c r="H2267" s="1">
        <f>_xlfn.IFNA(VLOOKUP(Aragon!E2267,'Kilter Holds'!$P$36:$AB$370,11,0),0)+(2*_xlfn.IFNA(VLOOKUP(Aragon!A2267,'Kilter Holds'!$P$36:$AB$370,11,0),0))</f>
        <v>0</v>
      </c>
      <c r="J2267" s="2">
        <f t="shared" si="137"/>
        <v>0</v>
      </c>
      <c r="K2267" s="2">
        <f t="shared" si="138"/>
        <v>0</v>
      </c>
    </row>
    <row r="2268" spans="5:11">
      <c r="E2268" s="3" t="s">
        <v>2495</v>
      </c>
      <c r="F2268" s="3" t="s">
        <v>2499</v>
      </c>
      <c r="G2268" s="13" t="str">
        <f t="shared" si="132"/>
        <v>18-01</v>
      </c>
      <c r="H2268" s="1">
        <f>_xlfn.IFNA(VLOOKUP(Aragon!E2268,'Kilter Holds'!$P$36:$AB$370,12,0),0)+(2*_xlfn.IFNA(VLOOKUP(Aragon!A2268,'Kilter Holds'!$P$36:$AB$370,12,0),0))</f>
        <v>0</v>
      </c>
      <c r="J2268" s="2">
        <f t="shared" si="137"/>
        <v>0</v>
      </c>
      <c r="K2268" s="2">
        <f t="shared" si="138"/>
        <v>0</v>
      </c>
    </row>
    <row r="2269" spans="5:11">
      <c r="E2269" s="3" t="s">
        <v>2495</v>
      </c>
      <c r="F2269" s="3" t="s">
        <v>2499</v>
      </c>
      <c r="G2269" s="12" t="str">
        <f t="shared" si="132"/>
        <v>12-01</v>
      </c>
      <c r="H2269" s="1">
        <f>_xlfn.IFNA(VLOOKUP(Aragon!E2269,'Kilter Holds'!$P$36:$AB$370,13,0),0)+(2*_xlfn.IFNA(VLOOKUP(Aragon!A2269,'Kilter Holds'!$P$36:$AB$370,13,0),0))</f>
        <v>0</v>
      </c>
      <c r="J2269" s="2">
        <f t="shared" si="137"/>
        <v>0</v>
      </c>
      <c r="K2269" s="2">
        <f t="shared" si="138"/>
        <v>0</v>
      </c>
    </row>
    <row r="2270" spans="5:11">
      <c r="E2270" s="3" t="s">
        <v>2496</v>
      </c>
      <c r="F2270" s="3" t="s">
        <v>2500</v>
      </c>
      <c r="G2270" s="5" t="str">
        <f t="shared" si="132"/>
        <v>11-12</v>
      </c>
      <c r="H2270" s="1">
        <f>_xlfn.IFNA(VLOOKUP(Aragon!E2270,'Kilter Holds'!$P$36:$AB$370,5,0),0)+(2*_xlfn.IFNA(VLOOKUP(Aragon!A2270,'Kilter Holds'!$P$36:$AB$370,5,0),0))</f>
        <v>0</v>
      </c>
      <c r="J2270" s="2">
        <f t="shared" si="137"/>
        <v>0</v>
      </c>
      <c r="K2270" s="2">
        <f t="shared" si="138"/>
        <v>0</v>
      </c>
    </row>
    <row r="2271" spans="5:11">
      <c r="E2271" s="3" t="s">
        <v>2496</v>
      </c>
      <c r="F2271" s="3" t="s">
        <v>2500</v>
      </c>
      <c r="G2271" s="6" t="str">
        <f t="shared" si="132"/>
        <v>14-01</v>
      </c>
      <c r="H2271" s="1">
        <f>_xlfn.IFNA(VLOOKUP(Aragon!E2271,'Kilter Holds'!$P$36:$AB$370,6,0),0)+(2*_xlfn.IFNA(VLOOKUP(Aragon!A2271,'Kilter Holds'!$P$36:$AB$370,6,0),0))</f>
        <v>0</v>
      </c>
      <c r="J2271" s="2">
        <f t="shared" si="137"/>
        <v>0</v>
      </c>
      <c r="K2271" s="2">
        <f t="shared" si="138"/>
        <v>0</v>
      </c>
    </row>
    <row r="2272" spans="5:11">
      <c r="E2272" s="3" t="s">
        <v>2496</v>
      </c>
      <c r="F2272" s="3" t="s">
        <v>2500</v>
      </c>
      <c r="G2272" s="7" t="str">
        <f t="shared" si="132"/>
        <v>15-12</v>
      </c>
      <c r="H2272" s="1">
        <f>_xlfn.IFNA(VLOOKUP(Aragon!E2272,'Kilter Holds'!$P$36:$AB$370,7,0),0)+(2*_xlfn.IFNA(VLOOKUP(Aragon!A2272,'Kilter Holds'!$P$36:$AB$370,7,0),0))</f>
        <v>0</v>
      </c>
      <c r="J2272" s="2">
        <f t="shared" si="137"/>
        <v>0</v>
      </c>
      <c r="K2272" s="2">
        <f t="shared" si="138"/>
        <v>0</v>
      </c>
    </row>
    <row r="2273" spans="1:11">
      <c r="E2273" s="3" t="s">
        <v>2496</v>
      </c>
      <c r="F2273" s="3" t="s">
        <v>2500</v>
      </c>
      <c r="G2273" s="8" t="str">
        <f t="shared" si="132"/>
        <v>16-16</v>
      </c>
      <c r="H2273" s="1">
        <f>_xlfn.IFNA(VLOOKUP(Aragon!E2273,'Kilter Holds'!$P$36:$AB$370,8,0),0)+(2*_xlfn.IFNA(VLOOKUP(Aragon!A2273,'Kilter Holds'!$P$36:$AB$370,8,0),0))</f>
        <v>0</v>
      </c>
      <c r="J2273" s="2">
        <f t="shared" si="137"/>
        <v>0</v>
      </c>
      <c r="K2273" s="2">
        <f t="shared" si="138"/>
        <v>0</v>
      </c>
    </row>
    <row r="2274" spans="1:11">
      <c r="E2274" s="3" t="s">
        <v>2496</v>
      </c>
      <c r="F2274" s="3" t="s">
        <v>2500</v>
      </c>
      <c r="G2274" s="9" t="str">
        <f t="shared" si="132"/>
        <v>13-01</v>
      </c>
      <c r="H2274" s="1">
        <f>_xlfn.IFNA(VLOOKUP(Aragon!E2274,'Kilter Holds'!$P$36:$AB$370,9,0),0)+(2*_xlfn.IFNA(VLOOKUP(Aragon!A2274,'Kilter Holds'!$P$36:$AB$370,9,0),0))</f>
        <v>0</v>
      </c>
      <c r="J2274" s="2">
        <f t="shared" si="137"/>
        <v>0</v>
      </c>
      <c r="K2274" s="2">
        <f t="shared" si="138"/>
        <v>0</v>
      </c>
    </row>
    <row r="2275" spans="1:11">
      <c r="E2275" s="3" t="s">
        <v>2496</v>
      </c>
      <c r="F2275" s="3" t="s">
        <v>2500</v>
      </c>
      <c r="G2275" s="10" t="str">
        <f t="shared" si="132"/>
        <v>07-13</v>
      </c>
      <c r="H2275" s="1">
        <f>_xlfn.IFNA(VLOOKUP(Aragon!E2275,'Kilter Holds'!$P$36:$AB$370,10,0),0)+(2*_xlfn.IFNA(VLOOKUP(Aragon!A2275,'Kilter Holds'!$P$36:$AB$370,10,0),0))</f>
        <v>0</v>
      </c>
      <c r="J2275" s="2">
        <f t="shared" si="137"/>
        <v>0</v>
      </c>
      <c r="K2275" s="2">
        <f t="shared" si="138"/>
        <v>0</v>
      </c>
    </row>
    <row r="2276" spans="1:11">
      <c r="E2276" s="3" t="s">
        <v>2496</v>
      </c>
      <c r="F2276" s="3" t="s">
        <v>2500</v>
      </c>
      <c r="G2276" s="11" t="str">
        <f t="shared" si="132"/>
        <v>11-25</v>
      </c>
      <c r="H2276" s="1">
        <f>_xlfn.IFNA(VLOOKUP(Aragon!E2276,'Kilter Holds'!$P$36:$AB$370,11,0),0)+(2*_xlfn.IFNA(VLOOKUP(Aragon!A2276,'Kilter Holds'!$P$36:$AB$370,11,0),0))</f>
        <v>0</v>
      </c>
      <c r="J2276" s="2">
        <f t="shared" si="137"/>
        <v>0</v>
      </c>
      <c r="K2276" s="2">
        <f t="shared" si="138"/>
        <v>0</v>
      </c>
    </row>
    <row r="2277" spans="1:11">
      <c r="E2277" s="3" t="s">
        <v>2496</v>
      </c>
      <c r="F2277" s="3" t="s">
        <v>2500</v>
      </c>
      <c r="G2277" s="13" t="str">
        <f t="shared" si="132"/>
        <v>18-01</v>
      </c>
      <c r="H2277" s="1">
        <f>_xlfn.IFNA(VLOOKUP(Aragon!E2277,'Kilter Holds'!$P$36:$AB$370,12,0),0)+(2*_xlfn.IFNA(VLOOKUP(Aragon!A2277,'Kilter Holds'!$P$36:$AB$370,12,0),0))</f>
        <v>0</v>
      </c>
      <c r="J2277" s="2">
        <f t="shared" si="137"/>
        <v>0</v>
      </c>
      <c r="K2277" s="2">
        <f t="shared" si="138"/>
        <v>0</v>
      </c>
    </row>
    <row r="2278" spans="1:11">
      <c r="E2278" s="3" t="s">
        <v>2496</v>
      </c>
      <c r="F2278" s="3" t="s">
        <v>2500</v>
      </c>
      <c r="G2278" s="12" t="str">
        <f t="shared" si="132"/>
        <v>12-01</v>
      </c>
      <c r="H2278" s="1">
        <f>_xlfn.IFNA(VLOOKUP(Aragon!E2278,'Kilter Holds'!$P$36:$AB$370,13,0),0)+(2*_xlfn.IFNA(VLOOKUP(Aragon!A2278,'Kilter Holds'!$P$36:$AB$370,13,0),0))</f>
        <v>0</v>
      </c>
      <c r="J2278" s="2">
        <f t="shared" si="137"/>
        <v>0</v>
      </c>
      <c r="K2278" s="2">
        <f t="shared" si="138"/>
        <v>0</v>
      </c>
    </row>
    <row r="2279" spans="1:11">
      <c r="E2279" s="3" t="s">
        <v>2525</v>
      </c>
      <c r="F2279" s="3" t="s">
        <v>2526</v>
      </c>
      <c r="G2279" s="5" t="str">
        <f t="shared" si="132"/>
        <v>11-12</v>
      </c>
      <c r="H2279" s="1">
        <f>_xlfn.IFNA(VLOOKUP(Aragon!E2279,'Kilter Holds'!$P$36:$AB$370,5,0),0)+(2*_xlfn.IFNA(VLOOKUP(Aragon!A2279,'Kilter Holds'!$P$36:$AB$370,5,0),0))</f>
        <v>0</v>
      </c>
      <c r="J2279" s="2">
        <f t="shared" ref="J2279:J2323" si="139">H2279*I2279</f>
        <v>0</v>
      </c>
      <c r="K2279" s="2">
        <f t="shared" ref="K2279:K2323" si="140">IF($V$11="Y",J2279*0.05,0)</f>
        <v>0</v>
      </c>
    </row>
    <row r="2280" spans="1:11">
      <c r="E2280" s="3" t="s">
        <v>2525</v>
      </c>
      <c r="F2280" s="3" t="s">
        <v>2526</v>
      </c>
      <c r="G2280" s="6" t="str">
        <f t="shared" si="132"/>
        <v>14-01</v>
      </c>
      <c r="H2280" s="1">
        <f>_xlfn.IFNA(VLOOKUP(Aragon!E2280,'Kilter Holds'!$P$36:$AB$370,6,0),0)+(2*_xlfn.IFNA(VLOOKUP(Aragon!A2280,'Kilter Holds'!$P$36:$AB$370,6,0),0))</f>
        <v>0</v>
      </c>
      <c r="J2280" s="2">
        <f t="shared" si="139"/>
        <v>0</v>
      </c>
      <c r="K2280" s="2">
        <f t="shared" si="140"/>
        <v>0</v>
      </c>
    </row>
    <row r="2281" spans="1:11">
      <c r="E2281" s="3" t="s">
        <v>2525</v>
      </c>
      <c r="F2281" s="3" t="s">
        <v>2526</v>
      </c>
      <c r="G2281" s="7" t="str">
        <f t="shared" si="132"/>
        <v>15-12</v>
      </c>
      <c r="H2281" s="1">
        <f>_xlfn.IFNA(VLOOKUP(Aragon!E2281,'Kilter Holds'!$P$36:$AB$370,7,0),0)+(2*_xlfn.IFNA(VLOOKUP(Aragon!A2281,'Kilter Holds'!$P$36:$AB$370,7,0),0))</f>
        <v>0</v>
      </c>
      <c r="J2281" s="2">
        <f t="shared" si="139"/>
        <v>0</v>
      </c>
      <c r="K2281" s="2">
        <f t="shared" si="140"/>
        <v>0</v>
      </c>
    </row>
    <row r="2282" spans="1:11">
      <c r="E2282" s="3" t="s">
        <v>2525</v>
      </c>
      <c r="F2282" s="3" t="s">
        <v>2526</v>
      </c>
      <c r="G2282" s="8" t="str">
        <f t="shared" ref="G2282:G2345" si="141">G2273</f>
        <v>16-16</v>
      </c>
      <c r="H2282" s="1">
        <f>_xlfn.IFNA(VLOOKUP(Aragon!E2282,'Kilter Holds'!$P$36:$AB$370,8,0),0)+(2*_xlfn.IFNA(VLOOKUP(Aragon!A2282,'Kilter Holds'!$P$36:$AB$370,8,0),0))</f>
        <v>0</v>
      </c>
      <c r="J2282" s="2">
        <f t="shared" si="139"/>
        <v>0</v>
      </c>
      <c r="K2282" s="2">
        <f t="shared" si="140"/>
        <v>0</v>
      </c>
    </row>
    <row r="2283" spans="1:11">
      <c r="E2283" s="3" t="s">
        <v>2525</v>
      </c>
      <c r="F2283" s="3" t="s">
        <v>2526</v>
      </c>
      <c r="G2283" s="9" t="str">
        <f t="shared" si="141"/>
        <v>13-01</v>
      </c>
      <c r="H2283" s="1">
        <f>_xlfn.IFNA(VLOOKUP(Aragon!E2283,'Kilter Holds'!$P$36:$AB$370,9,0),0)+(2*_xlfn.IFNA(VLOOKUP(Aragon!A2283,'Kilter Holds'!$P$36:$AB$370,9,0),0))</f>
        <v>0</v>
      </c>
      <c r="J2283" s="2">
        <f t="shared" si="139"/>
        <v>0</v>
      </c>
      <c r="K2283" s="2">
        <f t="shared" si="140"/>
        <v>0</v>
      </c>
    </row>
    <row r="2284" spans="1:11">
      <c r="E2284" s="3" t="s">
        <v>2525</v>
      </c>
      <c r="F2284" s="3" t="s">
        <v>2526</v>
      </c>
      <c r="G2284" s="10" t="str">
        <f t="shared" si="141"/>
        <v>07-13</v>
      </c>
      <c r="H2284" s="1">
        <f>_xlfn.IFNA(VLOOKUP(Aragon!E2284,'Kilter Holds'!$P$36:$AB$370,10,0),0)+(2*_xlfn.IFNA(VLOOKUP(Aragon!A2284,'Kilter Holds'!$P$36:$AB$370,10,0),0))</f>
        <v>0</v>
      </c>
      <c r="J2284" s="2">
        <f t="shared" si="139"/>
        <v>0</v>
      </c>
      <c r="K2284" s="2">
        <f t="shared" si="140"/>
        <v>0</v>
      </c>
    </row>
    <row r="2285" spans="1:11">
      <c r="E2285" s="3" t="s">
        <v>2525</v>
      </c>
      <c r="F2285" s="3" t="s">
        <v>2526</v>
      </c>
      <c r="G2285" s="11" t="str">
        <f t="shared" si="141"/>
        <v>11-25</v>
      </c>
      <c r="H2285" s="1">
        <f>_xlfn.IFNA(VLOOKUP(Aragon!E2285,'Kilter Holds'!$P$36:$AB$370,11,0),0)+(2*_xlfn.IFNA(VLOOKUP(Aragon!A2285,'Kilter Holds'!$P$36:$AB$370,11,0),0))</f>
        <v>0</v>
      </c>
      <c r="J2285" s="2">
        <f t="shared" si="139"/>
        <v>0</v>
      </c>
      <c r="K2285" s="2">
        <f t="shared" si="140"/>
        <v>0</v>
      </c>
    </row>
    <row r="2286" spans="1:11">
      <c r="E2286" s="3" t="s">
        <v>2525</v>
      </c>
      <c r="F2286" s="3" t="s">
        <v>2526</v>
      </c>
      <c r="G2286" s="13" t="str">
        <f t="shared" si="141"/>
        <v>18-01</v>
      </c>
      <c r="H2286" s="1">
        <f>_xlfn.IFNA(VLOOKUP(Aragon!E2286,'Kilter Holds'!$P$36:$AB$370,12,0),0)+(2*_xlfn.IFNA(VLOOKUP(Aragon!A2286,'Kilter Holds'!$P$36:$AB$370,12,0),0))</f>
        <v>0</v>
      </c>
      <c r="J2286" s="2">
        <f t="shared" si="139"/>
        <v>0</v>
      </c>
      <c r="K2286" s="2">
        <f t="shared" si="140"/>
        <v>0</v>
      </c>
    </row>
    <row r="2287" spans="1:11">
      <c r="E2287" s="3" t="s">
        <v>2525</v>
      </c>
      <c r="F2287" s="3" t="s">
        <v>2526</v>
      </c>
      <c r="G2287" s="12" t="str">
        <f t="shared" si="141"/>
        <v>12-01</v>
      </c>
      <c r="H2287" s="1">
        <f>_xlfn.IFNA(VLOOKUP(Aragon!E2287,'Kilter Holds'!$P$36:$AB$370,13,0),0)+(2*_xlfn.IFNA(VLOOKUP(Aragon!A2287,'Kilter Holds'!$P$36:$AB$370,13,0),0))</f>
        <v>0</v>
      </c>
      <c r="J2287" s="2">
        <f t="shared" si="139"/>
        <v>0</v>
      </c>
      <c r="K2287" s="2">
        <f t="shared" si="140"/>
        <v>0</v>
      </c>
    </row>
    <row r="2288" spans="1:11">
      <c r="A2288" s="3" t="s">
        <v>2542</v>
      </c>
      <c r="E2288" s="3" t="s">
        <v>2522</v>
      </c>
      <c r="F2288" s="3" t="s">
        <v>2527</v>
      </c>
      <c r="G2288" s="5" t="str">
        <f t="shared" si="141"/>
        <v>11-12</v>
      </c>
      <c r="H2288" s="1">
        <f>_xlfn.IFNA(VLOOKUP(Aragon!E2288,'Kilter Holds'!$P$36:$AB$370,5,0),0)+_xlfn.IFNA(VLOOKUP(A2288,'Kilter Holds'!$P$36:$AB$370,5,0),0)</f>
        <v>0</v>
      </c>
      <c r="J2288" s="2">
        <f t="shared" si="139"/>
        <v>0</v>
      </c>
      <c r="K2288" s="2">
        <f t="shared" si="140"/>
        <v>0</v>
      </c>
    </row>
    <row r="2289" spans="1:11">
      <c r="A2289" s="3" t="s">
        <v>2542</v>
      </c>
      <c r="E2289" s="3" t="s">
        <v>2522</v>
      </c>
      <c r="F2289" s="3" t="s">
        <v>2527</v>
      </c>
      <c r="G2289" s="6" t="str">
        <f t="shared" si="141"/>
        <v>14-01</v>
      </c>
      <c r="H2289" s="1">
        <f>_xlfn.IFNA(VLOOKUP(Aragon!E2289,'Kilter Holds'!$P$36:$AB$370,6,0),0)+_xlfn.IFNA(VLOOKUP(A2289,'Kilter Holds'!$P$36:$AB$370,6,0),0)</f>
        <v>0</v>
      </c>
      <c r="J2289" s="2">
        <f t="shared" si="139"/>
        <v>0</v>
      </c>
      <c r="K2289" s="2">
        <f t="shared" si="140"/>
        <v>0</v>
      </c>
    </row>
    <row r="2290" spans="1:11">
      <c r="A2290" s="3" t="s">
        <v>2542</v>
      </c>
      <c r="E2290" s="3" t="s">
        <v>2522</v>
      </c>
      <c r="F2290" s="3" t="s">
        <v>2527</v>
      </c>
      <c r="G2290" s="7" t="str">
        <f t="shared" si="141"/>
        <v>15-12</v>
      </c>
      <c r="H2290" s="1">
        <f>_xlfn.IFNA(VLOOKUP(Aragon!E2290,'Kilter Holds'!$P$36:$AB$370,7,0),0)+_xlfn.IFNA(VLOOKUP(A2290,'Kilter Holds'!$P$36:$AB$370,7,0),0)</f>
        <v>0</v>
      </c>
      <c r="J2290" s="2">
        <f t="shared" si="139"/>
        <v>0</v>
      </c>
      <c r="K2290" s="2">
        <f t="shared" si="140"/>
        <v>0</v>
      </c>
    </row>
    <row r="2291" spans="1:11">
      <c r="A2291" s="3" t="s">
        <v>2542</v>
      </c>
      <c r="E2291" s="3" t="s">
        <v>2522</v>
      </c>
      <c r="F2291" s="3" t="s">
        <v>2527</v>
      </c>
      <c r="G2291" s="8" t="str">
        <f t="shared" si="141"/>
        <v>16-16</v>
      </c>
      <c r="H2291" s="1">
        <f>_xlfn.IFNA(VLOOKUP(Aragon!E2291,'Kilter Holds'!$P$36:$AB$370,8,0),0)+_xlfn.IFNA(VLOOKUP(A2291,'Kilter Holds'!$P$36:$AB$370,8,0),0)</f>
        <v>0</v>
      </c>
      <c r="J2291" s="2">
        <f t="shared" si="139"/>
        <v>0</v>
      </c>
      <c r="K2291" s="2">
        <f t="shared" si="140"/>
        <v>0</v>
      </c>
    </row>
    <row r="2292" spans="1:11">
      <c r="A2292" s="3" t="s">
        <v>2542</v>
      </c>
      <c r="E2292" s="3" t="s">
        <v>2522</v>
      </c>
      <c r="F2292" s="3" t="s">
        <v>2527</v>
      </c>
      <c r="G2292" s="9" t="str">
        <f t="shared" si="141"/>
        <v>13-01</v>
      </c>
      <c r="H2292" s="1">
        <f>_xlfn.IFNA(VLOOKUP(Aragon!E2292,'Kilter Holds'!$P$36:$AB$370,9,0),0)+_xlfn.IFNA(VLOOKUP(A2292,'Kilter Holds'!$P$36:$AB$370,9,0),0)</f>
        <v>0</v>
      </c>
      <c r="J2292" s="2">
        <f t="shared" si="139"/>
        <v>0</v>
      </c>
      <c r="K2292" s="2">
        <f t="shared" si="140"/>
        <v>0</v>
      </c>
    </row>
    <row r="2293" spans="1:11">
      <c r="A2293" s="3" t="s">
        <v>2542</v>
      </c>
      <c r="E2293" s="3" t="s">
        <v>2522</v>
      </c>
      <c r="F2293" s="3" t="s">
        <v>2527</v>
      </c>
      <c r="G2293" s="10" t="str">
        <f t="shared" si="141"/>
        <v>07-13</v>
      </c>
      <c r="H2293" s="1">
        <f>_xlfn.IFNA(VLOOKUP(Aragon!E2293,'Kilter Holds'!$P$36:$AB$370,10,0),0)+_xlfn.IFNA(VLOOKUP(A2293,'Kilter Holds'!$P$36:$AB$370,10,0),0)</f>
        <v>0</v>
      </c>
      <c r="J2293" s="2">
        <f t="shared" si="139"/>
        <v>0</v>
      </c>
      <c r="K2293" s="2">
        <f t="shared" si="140"/>
        <v>0</v>
      </c>
    </row>
    <row r="2294" spans="1:11">
      <c r="A2294" s="3" t="s">
        <v>2542</v>
      </c>
      <c r="E2294" s="3" t="s">
        <v>2522</v>
      </c>
      <c r="F2294" s="3" t="s">
        <v>2527</v>
      </c>
      <c r="G2294" s="11" t="str">
        <f t="shared" si="141"/>
        <v>11-25</v>
      </c>
      <c r="H2294" s="1">
        <f>_xlfn.IFNA(VLOOKUP(Aragon!E2294,'Kilter Holds'!$P$36:$AB$370,11,0),0)+_xlfn.IFNA(VLOOKUP(A2294,'Kilter Holds'!$P$36:$AB$370,11,0),0)</f>
        <v>0</v>
      </c>
      <c r="J2294" s="2">
        <f t="shared" si="139"/>
        <v>0</v>
      </c>
      <c r="K2294" s="2">
        <f t="shared" si="140"/>
        <v>0</v>
      </c>
    </row>
    <row r="2295" spans="1:11">
      <c r="A2295" s="3" t="s">
        <v>2542</v>
      </c>
      <c r="E2295" s="3" t="s">
        <v>2522</v>
      </c>
      <c r="F2295" s="3" t="s">
        <v>2527</v>
      </c>
      <c r="G2295" s="13" t="str">
        <f t="shared" si="141"/>
        <v>18-01</v>
      </c>
      <c r="H2295" s="1">
        <f>_xlfn.IFNA(VLOOKUP(Aragon!E2295,'Kilter Holds'!$P$36:$AB$370,12,0),0)+_xlfn.IFNA(VLOOKUP(A2295,'Kilter Holds'!$P$36:$AB$370,12,0),0)</f>
        <v>0</v>
      </c>
      <c r="J2295" s="2">
        <f t="shared" si="139"/>
        <v>0</v>
      </c>
      <c r="K2295" s="2">
        <f t="shared" si="140"/>
        <v>0</v>
      </c>
    </row>
    <row r="2296" spans="1:11">
      <c r="A2296" s="3" t="s">
        <v>2542</v>
      </c>
      <c r="E2296" s="3" t="s">
        <v>2522</v>
      </c>
      <c r="F2296" s="3" t="s">
        <v>2527</v>
      </c>
      <c r="G2296" s="12" t="str">
        <f t="shared" si="141"/>
        <v>12-01</v>
      </c>
      <c r="H2296" s="1">
        <f>_xlfn.IFNA(VLOOKUP(Aragon!E2296,'Kilter Holds'!$P$36:$AB$370,13,0),0)+_xlfn.IFNA(VLOOKUP(A2296,'Kilter Holds'!$P$36:$AB$370,13,0),0)</f>
        <v>0</v>
      </c>
      <c r="J2296" s="2">
        <f t="shared" si="139"/>
        <v>0</v>
      </c>
      <c r="K2296" s="2">
        <f t="shared" si="140"/>
        <v>0</v>
      </c>
    </row>
    <row r="2297" spans="1:11">
      <c r="A2297" s="3" t="s">
        <v>2543</v>
      </c>
      <c r="E2297" s="3" t="s">
        <v>2523</v>
      </c>
      <c r="F2297" s="3" t="s">
        <v>2528</v>
      </c>
      <c r="G2297" s="5" t="str">
        <f t="shared" si="141"/>
        <v>11-12</v>
      </c>
      <c r="H2297" s="1">
        <f>_xlfn.IFNA(VLOOKUP(Aragon!E2297,'Kilter Holds'!$P$36:$AB$370,5,0),0)+_xlfn.IFNA(VLOOKUP(A2297,'Kilter Holds'!$P$36:$AB$370,5,0),0)</f>
        <v>0</v>
      </c>
      <c r="J2297" s="2">
        <f t="shared" si="139"/>
        <v>0</v>
      </c>
      <c r="K2297" s="2">
        <f t="shared" si="140"/>
        <v>0</v>
      </c>
    </row>
    <row r="2298" spans="1:11">
      <c r="A2298" s="3" t="s">
        <v>2543</v>
      </c>
      <c r="E2298" s="3" t="s">
        <v>2523</v>
      </c>
      <c r="F2298" s="3" t="s">
        <v>2528</v>
      </c>
      <c r="G2298" s="6" t="str">
        <f t="shared" si="141"/>
        <v>14-01</v>
      </c>
      <c r="H2298" s="1">
        <f>_xlfn.IFNA(VLOOKUP(Aragon!E2298,'Kilter Holds'!$P$36:$AB$370,6,0),0)+_xlfn.IFNA(VLOOKUP(A2298,'Kilter Holds'!$P$36:$AB$370,6,0),0)</f>
        <v>0</v>
      </c>
      <c r="J2298" s="2">
        <f t="shared" si="139"/>
        <v>0</v>
      </c>
      <c r="K2298" s="2">
        <f t="shared" si="140"/>
        <v>0</v>
      </c>
    </row>
    <row r="2299" spans="1:11">
      <c r="A2299" s="3" t="s">
        <v>2543</v>
      </c>
      <c r="E2299" s="3" t="s">
        <v>2523</v>
      </c>
      <c r="F2299" s="3" t="s">
        <v>2528</v>
      </c>
      <c r="G2299" s="7" t="str">
        <f t="shared" si="141"/>
        <v>15-12</v>
      </c>
      <c r="H2299" s="1">
        <f>_xlfn.IFNA(VLOOKUP(Aragon!E2299,'Kilter Holds'!$P$36:$AB$370,7,0),0)+_xlfn.IFNA(VLOOKUP(A2299,'Kilter Holds'!$P$36:$AB$370,7,0),0)</f>
        <v>0</v>
      </c>
      <c r="J2299" s="2">
        <f t="shared" si="139"/>
        <v>0</v>
      </c>
      <c r="K2299" s="2">
        <f t="shared" si="140"/>
        <v>0</v>
      </c>
    </row>
    <row r="2300" spans="1:11">
      <c r="A2300" s="3" t="s">
        <v>2543</v>
      </c>
      <c r="E2300" s="3" t="s">
        <v>2523</v>
      </c>
      <c r="F2300" s="3" t="s">
        <v>2528</v>
      </c>
      <c r="G2300" s="8" t="str">
        <f t="shared" si="141"/>
        <v>16-16</v>
      </c>
      <c r="H2300" s="1">
        <f>_xlfn.IFNA(VLOOKUP(Aragon!E2300,'Kilter Holds'!$P$36:$AB$370,8,0),0)+_xlfn.IFNA(VLOOKUP(A2300,'Kilter Holds'!$P$36:$AB$370,8,0),0)</f>
        <v>0</v>
      </c>
      <c r="J2300" s="2">
        <f t="shared" si="139"/>
        <v>0</v>
      </c>
      <c r="K2300" s="2">
        <f t="shared" si="140"/>
        <v>0</v>
      </c>
    </row>
    <row r="2301" spans="1:11">
      <c r="A2301" s="3" t="s">
        <v>2543</v>
      </c>
      <c r="E2301" s="3" t="s">
        <v>2523</v>
      </c>
      <c r="F2301" s="3" t="s">
        <v>2528</v>
      </c>
      <c r="G2301" s="9" t="str">
        <f t="shared" si="141"/>
        <v>13-01</v>
      </c>
      <c r="H2301" s="1">
        <f>_xlfn.IFNA(VLOOKUP(Aragon!E2301,'Kilter Holds'!$P$36:$AB$370,9,0),0)+_xlfn.IFNA(VLOOKUP(A2301,'Kilter Holds'!$P$36:$AB$370,9,0),0)</f>
        <v>0</v>
      </c>
      <c r="J2301" s="2">
        <f t="shared" si="139"/>
        <v>0</v>
      </c>
      <c r="K2301" s="2">
        <f t="shared" si="140"/>
        <v>0</v>
      </c>
    </row>
    <row r="2302" spans="1:11">
      <c r="A2302" s="3" t="s">
        <v>2543</v>
      </c>
      <c r="E2302" s="3" t="s">
        <v>2523</v>
      </c>
      <c r="F2302" s="3" t="s">
        <v>2528</v>
      </c>
      <c r="G2302" s="10" t="str">
        <f t="shared" si="141"/>
        <v>07-13</v>
      </c>
      <c r="H2302" s="1">
        <f>_xlfn.IFNA(VLOOKUP(Aragon!E2302,'Kilter Holds'!$P$36:$AB$370,10,0),0)+_xlfn.IFNA(VLOOKUP(A2302,'Kilter Holds'!$P$36:$AB$370,10,0),0)</f>
        <v>0</v>
      </c>
      <c r="J2302" s="2">
        <f t="shared" si="139"/>
        <v>0</v>
      </c>
      <c r="K2302" s="2">
        <f t="shared" si="140"/>
        <v>0</v>
      </c>
    </row>
    <row r="2303" spans="1:11">
      <c r="A2303" s="3" t="s">
        <v>2543</v>
      </c>
      <c r="E2303" s="3" t="s">
        <v>2523</v>
      </c>
      <c r="F2303" s="3" t="s">
        <v>2528</v>
      </c>
      <c r="G2303" s="11" t="str">
        <f t="shared" si="141"/>
        <v>11-25</v>
      </c>
      <c r="H2303" s="1">
        <f>_xlfn.IFNA(VLOOKUP(Aragon!E2303,'Kilter Holds'!$P$36:$AB$370,11,0),0)+_xlfn.IFNA(VLOOKUP(A2303,'Kilter Holds'!$P$36:$AB$370,11,0),0)</f>
        <v>0</v>
      </c>
      <c r="J2303" s="2">
        <f t="shared" si="139"/>
        <v>0</v>
      </c>
      <c r="K2303" s="2">
        <f t="shared" si="140"/>
        <v>0</v>
      </c>
    </row>
    <row r="2304" spans="1:11">
      <c r="A2304" s="3" t="s">
        <v>2543</v>
      </c>
      <c r="E2304" s="3" t="s">
        <v>2523</v>
      </c>
      <c r="F2304" s="3" t="s">
        <v>2528</v>
      </c>
      <c r="G2304" s="13" t="str">
        <f t="shared" si="141"/>
        <v>18-01</v>
      </c>
      <c r="H2304" s="1">
        <f>_xlfn.IFNA(VLOOKUP(Aragon!E2304,'Kilter Holds'!$P$36:$AB$370,12,0),0)+_xlfn.IFNA(VLOOKUP(A2304,'Kilter Holds'!$P$36:$AB$370,12,0),0)</f>
        <v>0</v>
      </c>
      <c r="J2304" s="2">
        <f t="shared" si="139"/>
        <v>0</v>
      </c>
      <c r="K2304" s="2">
        <f t="shared" si="140"/>
        <v>0</v>
      </c>
    </row>
    <row r="2305" spans="1:11">
      <c r="A2305" s="3" t="s">
        <v>2543</v>
      </c>
      <c r="E2305" s="3" t="s">
        <v>2523</v>
      </c>
      <c r="F2305" s="3" t="s">
        <v>2528</v>
      </c>
      <c r="G2305" s="12" t="str">
        <f t="shared" si="141"/>
        <v>12-01</v>
      </c>
      <c r="H2305" s="1">
        <f>_xlfn.IFNA(VLOOKUP(Aragon!E2305,'Kilter Holds'!$P$36:$AB$370,13,0),0)+_xlfn.IFNA(VLOOKUP(A2305,'Kilter Holds'!$P$36:$AB$370,13,0),0)</f>
        <v>0</v>
      </c>
      <c r="J2305" s="2">
        <f t="shared" si="139"/>
        <v>0</v>
      </c>
      <c r="K2305" s="2">
        <f t="shared" si="140"/>
        <v>0</v>
      </c>
    </row>
    <row r="2306" spans="1:11">
      <c r="A2306" s="3" t="s">
        <v>2543</v>
      </c>
      <c r="E2306" s="3" t="s">
        <v>2520</v>
      </c>
      <c r="F2306" s="3" t="s">
        <v>2529</v>
      </c>
      <c r="G2306" s="5" t="str">
        <f t="shared" si="141"/>
        <v>11-12</v>
      </c>
      <c r="H2306" s="1">
        <f>_xlfn.IFNA(VLOOKUP(Aragon!E2306,'Kilter Holds'!$P$36:$AB$370,5,0),0)+_xlfn.IFNA(VLOOKUP(A2306,'Kilter Holds'!$P$36:$AB$370,5,0),0)</f>
        <v>0</v>
      </c>
      <c r="J2306" s="2">
        <f t="shared" si="139"/>
        <v>0</v>
      </c>
      <c r="K2306" s="2">
        <f t="shared" si="140"/>
        <v>0</v>
      </c>
    </row>
    <row r="2307" spans="1:11">
      <c r="A2307" s="3" t="s">
        <v>2543</v>
      </c>
      <c r="E2307" s="3" t="s">
        <v>2520</v>
      </c>
      <c r="F2307" s="3" t="s">
        <v>2529</v>
      </c>
      <c r="G2307" s="6" t="str">
        <f t="shared" si="141"/>
        <v>14-01</v>
      </c>
      <c r="H2307" s="1">
        <f>_xlfn.IFNA(VLOOKUP(Aragon!E2307,'Kilter Holds'!$P$36:$AB$370,6,0),0)+_xlfn.IFNA(VLOOKUP(A2307,'Kilter Holds'!$P$36:$AB$370,6,0),0)</f>
        <v>0</v>
      </c>
      <c r="J2307" s="2">
        <f t="shared" si="139"/>
        <v>0</v>
      </c>
      <c r="K2307" s="2">
        <f t="shared" si="140"/>
        <v>0</v>
      </c>
    </row>
    <row r="2308" spans="1:11">
      <c r="A2308" s="3" t="s">
        <v>2543</v>
      </c>
      <c r="E2308" s="3" t="s">
        <v>2520</v>
      </c>
      <c r="F2308" s="3" t="s">
        <v>2529</v>
      </c>
      <c r="G2308" s="7" t="str">
        <f t="shared" si="141"/>
        <v>15-12</v>
      </c>
      <c r="H2308" s="1">
        <f>_xlfn.IFNA(VLOOKUP(Aragon!E2308,'Kilter Holds'!$P$36:$AB$370,7,0),0)+_xlfn.IFNA(VLOOKUP(A2308,'Kilter Holds'!$P$36:$AB$370,7,0),0)</f>
        <v>0</v>
      </c>
      <c r="J2308" s="2">
        <f t="shared" si="139"/>
        <v>0</v>
      </c>
      <c r="K2308" s="2">
        <f t="shared" si="140"/>
        <v>0</v>
      </c>
    </row>
    <row r="2309" spans="1:11">
      <c r="A2309" s="3" t="s">
        <v>2543</v>
      </c>
      <c r="E2309" s="3" t="s">
        <v>2520</v>
      </c>
      <c r="F2309" s="3" t="s">
        <v>2529</v>
      </c>
      <c r="G2309" s="8" t="str">
        <f t="shared" si="141"/>
        <v>16-16</v>
      </c>
      <c r="H2309" s="1">
        <f>_xlfn.IFNA(VLOOKUP(Aragon!E2309,'Kilter Holds'!$P$36:$AB$370,8,0),0)+_xlfn.IFNA(VLOOKUP(A2309,'Kilter Holds'!$P$36:$AB$370,8,0),0)</f>
        <v>0</v>
      </c>
      <c r="J2309" s="2">
        <f t="shared" si="139"/>
        <v>0</v>
      </c>
      <c r="K2309" s="2">
        <f t="shared" si="140"/>
        <v>0</v>
      </c>
    </row>
    <row r="2310" spans="1:11">
      <c r="A2310" s="3" t="s">
        <v>2543</v>
      </c>
      <c r="E2310" s="3" t="s">
        <v>2520</v>
      </c>
      <c r="F2310" s="3" t="s">
        <v>2529</v>
      </c>
      <c r="G2310" s="9" t="str">
        <f t="shared" si="141"/>
        <v>13-01</v>
      </c>
      <c r="H2310" s="1">
        <f>_xlfn.IFNA(VLOOKUP(Aragon!E2310,'Kilter Holds'!$P$36:$AB$370,9,0),0)+_xlfn.IFNA(VLOOKUP(A2310,'Kilter Holds'!$P$36:$AB$370,9,0),0)</f>
        <v>0</v>
      </c>
      <c r="J2310" s="2">
        <f t="shared" si="139"/>
        <v>0</v>
      </c>
      <c r="K2310" s="2">
        <f t="shared" si="140"/>
        <v>0</v>
      </c>
    </row>
    <row r="2311" spans="1:11">
      <c r="A2311" s="3" t="s">
        <v>2543</v>
      </c>
      <c r="E2311" s="3" t="s">
        <v>2520</v>
      </c>
      <c r="F2311" s="3" t="s">
        <v>2529</v>
      </c>
      <c r="G2311" s="10" t="str">
        <f t="shared" si="141"/>
        <v>07-13</v>
      </c>
      <c r="H2311" s="1">
        <f>_xlfn.IFNA(VLOOKUP(Aragon!E2311,'Kilter Holds'!$P$36:$AB$370,10,0),0)+_xlfn.IFNA(VLOOKUP(A2311,'Kilter Holds'!$P$36:$AB$370,10,0),0)</f>
        <v>0</v>
      </c>
      <c r="J2311" s="2">
        <f t="shared" si="139"/>
        <v>0</v>
      </c>
      <c r="K2311" s="2">
        <f t="shared" si="140"/>
        <v>0</v>
      </c>
    </row>
    <row r="2312" spans="1:11">
      <c r="A2312" s="3" t="s">
        <v>2543</v>
      </c>
      <c r="E2312" s="3" t="s">
        <v>2520</v>
      </c>
      <c r="F2312" s="3" t="s">
        <v>2529</v>
      </c>
      <c r="G2312" s="11" t="str">
        <f t="shared" si="141"/>
        <v>11-25</v>
      </c>
      <c r="H2312" s="1">
        <f>_xlfn.IFNA(VLOOKUP(Aragon!E2312,'Kilter Holds'!$P$36:$AB$370,11,0),0)+_xlfn.IFNA(VLOOKUP(A2312,'Kilter Holds'!$P$36:$AB$370,11,0),0)</f>
        <v>0</v>
      </c>
      <c r="J2312" s="2">
        <f t="shared" si="139"/>
        <v>0</v>
      </c>
      <c r="K2312" s="2">
        <f t="shared" si="140"/>
        <v>0</v>
      </c>
    </row>
    <row r="2313" spans="1:11">
      <c r="A2313" s="3" t="s">
        <v>2543</v>
      </c>
      <c r="E2313" s="3" t="s">
        <v>2520</v>
      </c>
      <c r="F2313" s="3" t="s">
        <v>2529</v>
      </c>
      <c r="G2313" s="13" t="str">
        <f t="shared" si="141"/>
        <v>18-01</v>
      </c>
      <c r="H2313" s="1">
        <f>_xlfn.IFNA(VLOOKUP(Aragon!E2313,'Kilter Holds'!$P$36:$AB$370,12,0),0)+_xlfn.IFNA(VLOOKUP(A2313,'Kilter Holds'!$P$36:$AB$370,12,0),0)</f>
        <v>0</v>
      </c>
      <c r="J2313" s="2">
        <f t="shared" si="139"/>
        <v>0</v>
      </c>
      <c r="K2313" s="2">
        <f t="shared" si="140"/>
        <v>0</v>
      </c>
    </row>
    <row r="2314" spans="1:11">
      <c r="A2314" s="3" t="s">
        <v>2543</v>
      </c>
      <c r="E2314" s="3" t="s">
        <v>2520</v>
      </c>
      <c r="F2314" s="3" t="s">
        <v>2529</v>
      </c>
      <c r="G2314" s="12" t="str">
        <f t="shared" si="141"/>
        <v>12-01</v>
      </c>
      <c r="H2314" s="1">
        <f>_xlfn.IFNA(VLOOKUP(Aragon!E2314,'Kilter Holds'!$P$36:$AB$370,13,0),0)+_xlfn.IFNA(VLOOKUP(A2314,'Kilter Holds'!$P$36:$AB$370,13,0),0)</f>
        <v>0</v>
      </c>
      <c r="J2314" s="2">
        <f t="shared" si="139"/>
        <v>0</v>
      </c>
      <c r="K2314" s="2">
        <f t="shared" si="140"/>
        <v>0</v>
      </c>
    </row>
    <row r="2315" spans="1:11">
      <c r="A2315" s="3" t="s">
        <v>2542</v>
      </c>
      <c r="E2315" s="3" t="s">
        <v>2521</v>
      </c>
      <c r="F2315" s="3" t="s">
        <v>2530</v>
      </c>
      <c r="G2315" s="5" t="str">
        <f t="shared" si="141"/>
        <v>11-12</v>
      </c>
      <c r="H2315" s="1">
        <f>_xlfn.IFNA(VLOOKUP(Aragon!E2315,'Kilter Holds'!$P$36:$AB$370,5,0),0)+_xlfn.IFNA(VLOOKUP(A2315,'Kilter Holds'!$P$36:$AB$370,5,0),0)</f>
        <v>0</v>
      </c>
      <c r="J2315" s="2">
        <f t="shared" si="139"/>
        <v>0</v>
      </c>
      <c r="K2315" s="2">
        <f t="shared" si="140"/>
        <v>0</v>
      </c>
    </row>
    <row r="2316" spans="1:11">
      <c r="A2316" s="3" t="s">
        <v>2542</v>
      </c>
      <c r="E2316" s="3" t="s">
        <v>2521</v>
      </c>
      <c r="F2316" s="3" t="s">
        <v>2530</v>
      </c>
      <c r="G2316" s="6" t="str">
        <f t="shared" si="141"/>
        <v>14-01</v>
      </c>
      <c r="H2316" s="1">
        <f>_xlfn.IFNA(VLOOKUP(Aragon!E2316,'Kilter Holds'!$P$36:$AB$370,6,0),0)+_xlfn.IFNA(VLOOKUP(A2316,'Kilter Holds'!$P$36:$AB$370,6,0),0)</f>
        <v>0</v>
      </c>
      <c r="J2316" s="2">
        <f t="shared" si="139"/>
        <v>0</v>
      </c>
      <c r="K2316" s="2">
        <f t="shared" si="140"/>
        <v>0</v>
      </c>
    </row>
    <row r="2317" spans="1:11">
      <c r="A2317" s="3" t="s">
        <v>2542</v>
      </c>
      <c r="E2317" s="3" t="s">
        <v>2521</v>
      </c>
      <c r="F2317" s="3" t="s">
        <v>2530</v>
      </c>
      <c r="G2317" s="7" t="str">
        <f t="shared" si="141"/>
        <v>15-12</v>
      </c>
      <c r="H2317" s="1">
        <f>_xlfn.IFNA(VLOOKUP(Aragon!E2317,'Kilter Holds'!$P$36:$AB$370,7,0),0)+_xlfn.IFNA(VLOOKUP(A2317,'Kilter Holds'!$P$36:$AB$370,7,0),0)</f>
        <v>0</v>
      </c>
      <c r="J2317" s="2">
        <f t="shared" si="139"/>
        <v>0</v>
      </c>
      <c r="K2317" s="2">
        <f t="shared" si="140"/>
        <v>0</v>
      </c>
    </row>
    <row r="2318" spans="1:11">
      <c r="A2318" s="3" t="s">
        <v>2542</v>
      </c>
      <c r="E2318" s="3" t="s">
        <v>2521</v>
      </c>
      <c r="F2318" s="3" t="s">
        <v>2530</v>
      </c>
      <c r="G2318" s="8" t="str">
        <f t="shared" si="141"/>
        <v>16-16</v>
      </c>
      <c r="H2318" s="1">
        <f>_xlfn.IFNA(VLOOKUP(Aragon!E2318,'Kilter Holds'!$P$36:$AB$370,8,0),0)+_xlfn.IFNA(VLOOKUP(A2318,'Kilter Holds'!$P$36:$AB$370,8,0),0)</f>
        <v>0</v>
      </c>
      <c r="J2318" s="2">
        <f t="shared" si="139"/>
        <v>0</v>
      </c>
      <c r="K2318" s="2">
        <f t="shared" si="140"/>
        <v>0</v>
      </c>
    </row>
    <row r="2319" spans="1:11">
      <c r="A2319" s="3" t="s">
        <v>2542</v>
      </c>
      <c r="E2319" s="3" t="s">
        <v>2521</v>
      </c>
      <c r="F2319" s="3" t="s">
        <v>2530</v>
      </c>
      <c r="G2319" s="9" t="str">
        <f t="shared" si="141"/>
        <v>13-01</v>
      </c>
      <c r="H2319" s="1">
        <f>_xlfn.IFNA(VLOOKUP(Aragon!E2319,'Kilter Holds'!$P$36:$AB$370,9,0),0)+_xlfn.IFNA(VLOOKUP(A2319,'Kilter Holds'!$P$36:$AB$370,9,0),0)</f>
        <v>0</v>
      </c>
      <c r="J2319" s="2">
        <f t="shared" si="139"/>
        <v>0</v>
      </c>
      <c r="K2319" s="2">
        <f t="shared" si="140"/>
        <v>0</v>
      </c>
    </row>
    <row r="2320" spans="1:11">
      <c r="A2320" s="3" t="s">
        <v>2542</v>
      </c>
      <c r="E2320" s="3" t="s">
        <v>2521</v>
      </c>
      <c r="F2320" s="3" t="s">
        <v>2530</v>
      </c>
      <c r="G2320" s="10" t="str">
        <f t="shared" si="141"/>
        <v>07-13</v>
      </c>
      <c r="H2320" s="1">
        <f>_xlfn.IFNA(VLOOKUP(Aragon!E2320,'Kilter Holds'!$P$36:$AB$370,10,0),0)+_xlfn.IFNA(VLOOKUP(A2320,'Kilter Holds'!$P$36:$AB$370,10,0),0)</f>
        <v>0</v>
      </c>
      <c r="J2320" s="2">
        <f t="shared" si="139"/>
        <v>0</v>
      </c>
      <c r="K2320" s="2">
        <f t="shared" si="140"/>
        <v>0</v>
      </c>
    </row>
    <row r="2321" spans="1:11">
      <c r="A2321" s="3" t="s">
        <v>2542</v>
      </c>
      <c r="E2321" s="3" t="s">
        <v>2521</v>
      </c>
      <c r="F2321" s="3" t="s">
        <v>2530</v>
      </c>
      <c r="G2321" s="11" t="str">
        <f t="shared" si="141"/>
        <v>11-25</v>
      </c>
      <c r="H2321" s="1">
        <f>_xlfn.IFNA(VLOOKUP(Aragon!E2321,'Kilter Holds'!$P$36:$AB$370,11,0),0)+_xlfn.IFNA(VLOOKUP(A2321,'Kilter Holds'!$P$36:$AB$370,11,0),0)</f>
        <v>0</v>
      </c>
      <c r="J2321" s="2">
        <f t="shared" si="139"/>
        <v>0</v>
      </c>
      <c r="K2321" s="2">
        <f t="shared" si="140"/>
        <v>0</v>
      </c>
    </row>
    <row r="2322" spans="1:11">
      <c r="A2322" s="3" t="s">
        <v>2542</v>
      </c>
      <c r="E2322" s="3" t="s">
        <v>2521</v>
      </c>
      <c r="F2322" s="3" t="s">
        <v>2530</v>
      </c>
      <c r="G2322" s="13" t="str">
        <f t="shared" si="141"/>
        <v>18-01</v>
      </c>
      <c r="H2322" s="1">
        <f>_xlfn.IFNA(VLOOKUP(Aragon!E2322,'Kilter Holds'!$P$36:$AB$370,12,0),0)+_xlfn.IFNA(VLOOKUP(A2322,'Kilter Holds'!$P$36:$AB$370,12,0),0)</f>
        <v>0</v>
      </c>
      <c r="J2322" s="2">
        <f t="shared" si="139"/>
        <v>0</v>
      </c>
      <c r="K2322" s="2">
        <f t="shared" si="140"/>
        <v>0</v>
      </c>
    </row>
    <row r="2323" spans="1:11">
      <c r="A2323" s="3" t="s">
        <v>2542</v>
      </c>
      <c r="E2323" s="3" t="s">
        <v>2521</v>
      </c>
      <c r="F2323" s="3" t="s">
        <v>2530</v>
      </c>
      <c r="G2323" s="12" t="str">
        <f t="shared" si="141"/>
        <v>12-01</v>
      </c>
      <c r="H2323" s="1">
        <f>_xlfn.IFNA(VLOOKUP(Aragon!E2323,'Kilter Holds'!$P$36:$AB$370,13,0),0)+_xlfn.IFNA(VLOOKUP(A2323,'Kilter Holds'!$P$36:$AB$370,13,0),0)</f>
        <v>0</v>
      </c>
      <c r="J2323" s="2">
        <f t="shared" si="139"/>
        <v>0</v>
      </c>
      <c r="K2323" s="2">
        <f t="shared" si="140"/>
        <v>0</v>
      </c>
    </row>
    <row r="2324" spans="1:11">
      <c r="A2324" s="3"/>
      <c r="E2324" s="3" t="s">
        <v>2549</v>
      </c>
      <c r="F2324" s="3" t="s">
        <v>2551</v>
      </c>
      <c r="G2324" s="5" t="str">
        <f t="shared" si="141"/>
        <v>11-12</v>
      </c>
      <c r="H2324" s="1">
        <f>_xlfn.IFNA(VLOOKUP(Aragon!E2324,'Kilter Holds'!$P$36:$AB$370,5,0),0)+_xlfn.IFNA(VLOOKUP(A2324,'Kilter Holds'!$P$36:$AB$370,5,0),0)</f>
        <v>0</v>
      </c>
      <c r="J2324" s="2">
        <f t="shared" ref="J2324:J2332" si="142">H2324*I2324</f>
        <v>0</v>
      </c>
      <c r="K2324" s="2">
        <f t="shared" ref="K2324:K2332" si="143">IF($V$11="Y",J2324*0.05,0)</f>
        <v>0</v>
      </c>
    </row>
    <row r="2325" spans="1:11">
      <c r="A2325" s="3"/>
      <c r="E2325" s="3" t="s">
        <v>2549</v>
      </c>
      <c r="F2325" s="3" t="s">
        <v>2551</v>
      </c>
      <c r="G2325" s="6" t="str">
        <f t="shared" si="141"/>
        <v>14-01</v>
      </c>
      <c r="H2325" s="1">
        <f>_xlfn.IFNA(VLOOKUP(Aragon!E2325,'Kilter Holds'!$P$36:$AB$370,6,0),0)+_xlfn.IFNA(VLOOKUP(A2325,'Kilter Holds'!$P$36:$AB$370,6,0),0)</f>
        <v>0</v>
      </c>
      <c r="J2325" s="2">
        <f t="shared" si="142"/>
        <v>0</v>
      </c>
      <c r="K2325" s="2">
        <f t="shared" si="143"/>
        <v>0</v>
      </c>
    </row>
    <row r="2326" spans="1:11">
      <c r="A2326" s="3"/>
      <c r="E2326" s="3" t="s">
        <v>2549</v>
      </c>
      <c r="F2326" s="3" t="s">
        <v>2551</v>
      </c>
      <c r="G2326" s="7" t="str">
        <f t="shared" si="141"/>
        <v>15-12</v>
      </c>
      <c r="H2326" s="1">
        <f>_xlfn.IFNA(VLOOKUP(Aragon!E2326,'Kilter Holds'!$P$36:$AB$370,7,0),0)+_xlfn.IFNA(VLOOKUP(A2326,'Kilter Holds'!$P$36:$AB$370,7,0),0)</f>
        <v>0</v>
      </c>
      <c r="J2326" s="2">
        <f t="shared" si="142"/>
        <v>0</v>
      </c>
      <c r="K2326" s="2">
        <f t="shared" si="143"/>
        <v>0</v>
      </c>
    </row>
    <row r="2327" spans="1:11">
      <c r="A2327" s="3"/>
      <c r="E2327" s="3" t="s">
        <v>2549</v>
      </c>
      <c r="F2327" s="3" t="s">
        <v>2551</v>
      </c>
      <c r="G2327" s="8" t="str">
        <f t="shared" si="141"/>
        <v>16-16</v>
      </c>
      <c r="H2327" s="1">
        <f>_xlfn.IFNA(VLOOKUP(Aragon!E2327,'Kilter Holds'!$P$36:$AB$370,8,0),0)+_xlfn.IFNA(VLOOKUP(A2327,'Kilter Holds'!$P$36:$AB$370,8,0),0)</f>
        <v>0</v>
      </c>
      <c r="J2327" s="2">
        <f t="shared" si="142"/>
        <v>0</v>
      </c>
      <c r="K2327" s="2">
        <f t="shared" si="143"/>
        <v>0</v>
      </c>
    </row>
    <row r="2328" spans="1:11">
      <c r="A2328" s="3"/>
      <c r="E2328" s="3" t="s">
        <v>2549</v>
      </c>
      <c r="F2328" s="3" t="s">
        <v>2551</v>
      </c>
      <c r="G2328" s="9" t="str">
        <f t="shared" si="141"/>
        <v>13-01</v>
      </c>
      <c r="H2328" s="1">
        <f>_xlfn.IFNA(VLOOKUP(Aragon!E2328,'Kilter Holds'!$P$36:$AB$370,9,0),0)+_xlfn.IFNA(VLOOKUP(A2328,'Kilter Holds'!$P$36:$AB$370,9,0),0)</f>
        <v>0</v>
      </c>
      <c r="J2328" s="2">
        <f t="shared" si="142"/>
        <v>0</v>
      </c>
      <c r="K2328" s="2">
        <f t="shared" si="143"/>
        <v>0</v>
      </c>
    </row>
    <row r="2329" spans="1:11">
      <c r="A2329" s="3"/>
      <c r="E2329" s="3" t="s">
        <v>2549</v>
      </c>
      <c r="F2329" s="3" t="s">
        <v>2551</v>
      </c>
      <c r="G2329" s="10" t="str">
        <f t="shared" si="141"/>
        <v>07-13</v>
      </c>
      <c r="H2329" s="1">
        <f>_xlfn.IFNA(VLOOKUP(Aragon!E2329,'Kilter Holds'!$P$36:$AB$370,10,0),0)+_xlfn.IFNA(VLOOKUP(A2329,'Kilter Holds'!$P$36:$AB$370,10,0),0)</f>
        <v>0</v>
      </c>
      <c r="J2329" s="2">
        <f t="shared" si="142"/>
        <v>0</v>
      </c>
      <c r="K2329" s="2">
        <f t="shared" si="143"/>
        <v>0</v>
      </c>
    </row>
    <row r="2330" spans="1:11">
      <c r="A2330" s="3"/>
      <c r="E2330" s="3" t="s">
        <v>2549</v>
      </c>
      <c r="F2330" s="3" t="s">
        <v>2551</v>
      </c>
      <c r="G2330" s="11" t="str">
        <f t="shared" si="141"/>
        <v>11-25</v>
      </c>
      <c r="H2330" s="1">
        <f>_xlfn.IFNA(VLOOKUP(Aragon!E2330,'Kilter Holds'!$P$36:$AB$370,11,0),0)+_xlfn.IFNA(VLOOKUP(A2330,'Kilter Holds'!$P$36:$AB$370,11,0),0)</f>
        <v>0</v>
      </c>
      <c r="J2330" s="2">
        <f t="shared" si="142"/>
        <v>0</v>
      </c>
      <c r="K2330" s="2">
        <f t="shared" si="143"/>
        <v>0</v>
      </c>
    </row>
    <row r="2331" spans="1:11">
      <c r="A2331" s="3"/>
      <c r="E2331" s="3" t="s">
        <v>2549</v>
      </c>
      <c r="F2331" s="3" t="s">
        <v>2551</v>
      </c>
      <c r="G2331" s="13" t="str">
        <f t="shared" si="141"/>
        <v>18-01</v>
      </c>
      <c r="H2331" s="1">
        <f>_xlfn.IFNA(VLOOKUP(Aragon!E2331,'Kilter Holds'!$P$36:$AB$370,12,0),0)+_xlfn.IFNA(VLOOKUP(A2331,'Kilter Holds'!$P$36:$AB$370,12,0),0)</f>
        <v>0</v>
      </c>
      <c r="J2331" s="2">
        <f t="shared" si="142"/>
        <v>0</v>
      </c>
      <c r="K2331" s="2">
        <f t="shared" si="143"/>
        <v>0</v>
      </c>
    </row>
    <row r="2332" spans="1:11">
      <c r="A2332" s="3"/>
      <c r="E2332" s="3" t="s">
        <v>2549</v>
      </c>
      <c r="F2332" s="3" t="s">
        <v>2551</v>
      </c>
      <c r="G2332" s="12" t="str">
        <f t="shared" si="141"/>
        <v>12-01</v>
      </c>
      <c r="H2332" s="1">
        <f>_xlfn.IFNA(VLOOKUP(Aragon!E2332,'Kilter Holds'!$P$36:$AB$370,13,0),0)+_xlfn.IFNA(VLOOKUP(A2332,'Kilter Holds'!$P$36:$AB$370,13,0),0)</f>
        <v>0</v>
      </c>
      <c r="J2332" s="2">
        <f t="shared" si="142"/>
        <v>0</v>
      </c>
      <c r="K2332" s="2">
        <f t="shared" si="143"/>
        <v>0</v>
      </c>
    </row>
    <row r="2333" spans="1:11">
      <c r="A2333" s="3"/>
      <c r="E2333" s="3" t="s">
        <v>2600</v>
      </c>
      <c r="F2333" s="3" t="s">
        <v>2601</v>
      </c>
      <c r="G2333" s="5" t="str">
        <f t="shared" si="141"/>
        <v>11-12</v>
      </c>
      <c r="H2333" s="1">
        <f>_xlfn.IFNA(VLOOKUP(Aragon!E2333,'Kilter Holds'!$P$36:$AB$370,5,0),0)+_xlfn.IFNA(VLOOKUP(A2333,'Kilter Holds'!$P$36:$AB$370,5,0),0)</f>
        <v>0</v>
      </c>
      <c r="J2333" s="2">
        <f t="shared" ref="J2333:J2386" si="144">H2333*I2333</f>
        <v>0</v>
      </c>
      <c r="K2333" s="2">
        <f t="shared" ref="K2333:K2386" si="145">IF($V$11="Y",J2333*0.05,0)</f>
        <v>0</v>
      </c>
    </row>
    <row r="2334" spans="1:11">
      <c r="A2334" s="3"/>
      <c r="E2334" s="3" t="s">
        <v>2600</v>
      </c>
      <c r="F2334" s="3" t="s">
        <v>2601</v>
      </c>
      <c r="G2334" s="6" t="str">
        <f t="shared" si="141"/>
        <v>14-01</v>
      </c>
      <c r="H2334" s="1">
        <f>_xlfn.IFNA(VLOOKUP(Aragon!E2334,'Kilter Holds'!$P$36:$AB$370,6,0),0)+_xlfn.IFNA(VLOOKUP(A2334,'Kilter Holds'!$P$36:$AB$370,6,0),0)</f>
        <v>0</v>
      </c>
      <c r="J2334" s="2">
        <f t="shared" si="144"/>
        <v>0</v>
      </c>
      <c r="K2334" s="2">
        <f t="shared" si="145"/>
        <v>0</v>
      </c>
    </row>
    <row r="2335" spans="1:11">
      <c r="A2335" s="3"/>
      <c r="E2335" s="3" t="s">
        <v>2600</v>
      </c>
      <c r="F2335" s="3" t="s">
        <v>2601</v>
      </c>
      <c r="G2335" s="7" t="str">
        <f t="shared" si="141"/>
        <v>15-12</v>
      </c>
      <c r="H2335" s="1">
        <f>_xlfn.IFNA(VLOOKUP(Aragon!E2335,'Kilter Holds'!$P$36:$AB$370,7,0),0)+_xlfn.IFNA(VLOOKUP(A2335,'Kilter Holds'!$P$36:$AB$370,7,0),0)</f>
        <v>0</v>
      </c>
      <c r="J2335" s="2">
        <f t="shared" si="144"/>
        <v>0</v>
      </c>
      <c r="K2335" s="2">
        <f t="shared" si="145"/>
        <v>0</v>
      </c>
    </row>
    <row r="2336" spans="1:11">
      <c r="A2336" s="3"/>
      <c r="E2336" s="3" t="s">
        <v>2600</v>
      </c>
      <c r="F2336" s="3" t="s">
        <v>2601</v>
      </c>
      <c r="G2336" s="8" t="str">
        <f t="shared" si="141"/>
        <v>16-16</v>
      </c>
      <c r="H2336" s="1">
        <f>_xlfn.IFNA(VLOOKUP(Aragon!E2336,'Kilter Holds'!$P$36:$AB$370,8,0),0)+_xlfn.IFNA(VLOOKUP(A2336,'Kilter Holds'!$P$36:$AB$370,8,0),0)</f>
        <v>0</v>
      </c>
      <c r="J2336" s="2">
        <f t="shared" si="144"/>
        <v>0</v>
      </c>
      <c r="K2336" s="2">
        <f t="shared" si="145"/>
        <v>0</v>
      </c>
    </row>
    <row r="2337" spans="1:11">
      <c r="A2337" s="3"/>
      <c r="E2337" s="3" t="s">
        <v>2600</v>
      </c>
      <c r="F2337" s="3" t="s">
        <v>2601</v>
      </c>
      <c r="G2337" s="9" t="str">
        <f t="shared" si="141"/>
        <v>13-01</v>
      </c>
      <c r="H2337" s="1">
        <f>_xlfn.IFNA(VLOOKUP(Aragon!E2337,'Kilter Holds'!$P$36:$AB$370,9,0),0)+_xlfn.IFNA(VLOOKUP(A2337,'Kilter Holds'!$P$36:$AB$370,9,0),0)</f>
        <v>0</v>
      </c>
      <c r="J2337" s="2">
        <f t="shared" si="144"/>
        <v>0</v>
      </c>
      <c r="K2337" s="2">
        <f t="shared" si="145"/>
        <v>0</v>
      </c>
    </row>
    <row r="2338" spans="1:11">
      <c r="A2338" s="3"/>
      <c r="E2338" s="3" t="s">
        <v>2600</v>
      </c>
      <c r="F2338" s="3" t="s">
        <v>2601</v>
      </c>
      <c r="G2338" s="10" t="str">
        <f t="shared" si="141"/>
        <v>07-13</v>
      </c>
      <c r="H2338" s="1">
        <f>_xlfn.IFNA(VLOOKUP(Aragon!E2338,'Kilter Holds'!$P$36:$AB$370,10,0),0)+_xlfn.IFNA(VLOOKUP(A2338,'Kilter Holds'!$P$36:$AB$370,10,0),0)</f>
        <v>0</v>
      </c>
      <c r="J2338" s="2">
        <f t="shared" si="144"/>
        <v>0</v>
      </c>
      <c r="K2338" s="2">
        <f t="shared" si="145"/>
        <v>0</v>
      </c>
    </row>
    <row r="2339" spans="1:11">
      <c r="A2339" s="3"/>
      <c r="E2339" s="3" t="s">
        <v>2600</v>
      </c>
      <c r="F2339" s="3" t="s">
        <v>2601</v>
      </c>
      <c r="G2339" s="11" t="str">
        <f t="shared" si="141"/>
        <v>11-25</v>
      </c>
      <c r="H2339" s="1">
        <f>_xlfn.IFNA(VLOOKUP(Aragon!E2339,'Kilter Holds'!$P$36:$AB$370,11,0),0)+_xlfn.IFNA(VLOOKUP(A2339,'Kilter Holds'!$P$36:$AB$370,11,0),0)</f>
        <v>0</v>
      </c>
      <c r="J2339" s="2">
        <f t="shared" si="144"/>
        <v>0</v>
      </c>
      <c r="K2339" s="2">
        <f t="shared" si="145"/>
        <v>0</v>
      </c>
    </row>
    <row r="2340" spans="1:11">
      <c r="A2340" s="3"/>
      <c r="E2340" s="3" t="s">
        <v>2600</v>
      </c>
      <c r="F2340" s="3" t="s">
        <v>2601</v>
      </c>
      <c r="G2340" s="13" t="str">
        <f t="shared" si="141"/>
        <v>18-01</v>
      </c>
      <c r="H2340" s="1">
        <f>_xlfn.IFNA(VLOOKUP(Aragon!E2340,'Kilter Holds'!$P$36:$AB$370,12,0),0)+_xlfn.IFNA(VLOOKUP(A2340,'Kilter Holds'!$P$36:$AB$370,12,0),0)</f>
        <v>0</v>
      </c>
      <c r="J2340" s="2">
        <f t="shared" si="144"/>
        <v>0</v>
      </c>
      <c r="K2340" s="2">
        <f t="shared" si="145"/>
        <v>0</v>
      </c>
    </row>
    <row r="2341" spans="1:11">
      <c r="A2341" s="3"/>
      <c r="E2341" s="3" t="s">
        <v>2600</v>
      </c>
      <c r="F2341" s="3" t="s">
        <v>2601</v>
      </c>
      <c r="G2341" s="12" t="str">
        <f t="shared" si="141"/>
        <v>12-01</v>
      </c>
      <c r="H2341" s="1">
        <f>_xlfn.IFNA(VLOOKUP(Aragon!E2341,'Kilter Holds'!$P$36:$AB$370,13,0),0)+_xlfn.IFNA(VLOOKUP(A2341,'Kilter Holds'!$P$36:$AB$370,13,0),0)</f>
        <v>0</v>
      </c>
      <c r="J2341" s="2">
        <f t="shared" si="144"/>
        <v>0</v>
      </c>
      <c r="K2341" s="2">
        <f t="shared" si="145"/>
        <v>0</v>
      </c>
    </row>
    <row r="2342" spans="1:11">
      <c r="A2342" s="3"/>
      <c r="E2342" s="3" t="s">
        <v>2602</v>
      </c>
      <c r="F2342" s="3" t="s">
        <v>2603</v>
      </c>
      <c r="G2342" s="5" t="str">
        <f t="shared" si="141"/>
        <v>11-12</v>
      </c>
      <c r="H2342" s="1">
        <f>_xlfn.IFNA(VLOOKUP(Aragon!E2342,'Kilter Holds'!$P$36:$AB$370,5,0),0)+_xlfn.IFNA(VLOOKUP(A2342,'Kilter Holds'!$P$36:$AB$370,5,0),0)</f>
        <v>0</v>
      </c>
      <c r="J2342" s="2">
        <f t="shared" si="144"/>
        <v>0</v>
      </c>
      <c r="K2342" s="2">
        <f t="shared" si="145"/>
        <v>0</v>
      </c>
    </row>
    <row r="2343" spans="1:11">
      <c r="A2343" s="3"/>
      <c r="E2343" s="3" t="s">
        <v>2602</v>
      </c>
      <c r="F2343" s="3" t="s">
        <v>2603</v>
      </c>
      <c r="G2343" s="6" t="str">
        <f t="shared" si="141"/>
        <v>14-01</v>
      </c>
      <c r="H2343" s="1">
        <f>_xlfn.IFNA(VLOOKUP(Aragon!E2343,'Kilter Holds'!$P$36:$AB$370,6,0),0)+_xlfn.IFNA(VLOOKUP(A2343,'Kilter Holds'!$P$36:$AB$370,6,0),0)</f>
        <v>0</v>
      </c>
      <c r="J2343" s="2">
        <f t="shared" si="144"/>
        <v>0</v>
      </c>
      <c r="K2343" s="2">
        <f t="shared" si="145"/>
        <v>0</v>
      </c>
    </row>
    <row r="2344" spans="1:11">
      <c r="A2344" s="3"/>
      <c r="E2344" s="3" t="s">
        <v>2602</v>
      </c>
      <c r="F2344" s="3" t="s">
        <v>2603</v>
      </c>
      <c r="G2344" s="7" t="str">
        <f t="shared" si="141"/>
        <v>15-12</v>
      </c>
      <c r="H2344" s="1">
        <f>_xlfn.IFNA(VLOOKUP(Aragon!E2344,'Kilter Holds'!$P$36:$AB$370,7,0),0)+_xlfn.IFNA(VLOOKUP(A2344,'Kilter Holds'!$P$36:$AB$370,7,0),0)</f>
        <v>0</v>
      </c>
      <c r="J2344" s="2">
        <f t="shared" si="144"/>
        <v>0</v>
      </c>
      <c r="K2344" s="2">
        <f t="shared" si="145"/>
        <v>0</v>
      </c>
    </row>
    <row r="2345" spans="1:11">
      <c r="A2345" s="3"/>
      <c r="E2345" s="3" t="s">
        <v>2602</v>
      </c>
      <c r="F2345" s="3" t="s">
        <v>2603</v>
      </c>
      <c r="G2345" s="8" t="str">
        <f t="shared" si="141"/>
        <v>16-16</v>
      </c>
      <c r="H2345" s="1">
        <f>_xlfn.IFNA(VLOOKUP(Aragon!E2345,'Kilter Holds'!$P$36:$AB$370,8,0),0)+_xlfn.IFNA(VLOOKUP(A2345,'Kilter Holds'!$P$36:$AB$370,8,0),0)</f>
        <v>0</v>
      </c>
      <c r="J2345" s="2">
        <f t="shared" si="144"/>
        <v>0</v>
      </c>
      <c r="K2345" s="2">
        <f t="shared" si="145"/>
        <v>0</v>
      </c>
    </row>
    <row r="2346" spans="1:11">
      <c r="A2346" s="3"/>
      <c r="E2346" s="3" t="s">
        <v>2602</v>
      </c>
      <c r="F2346" s="3" t="s">
        <v>2603</v>
      </c>
      <c r="G2346" s="9" t="str">
        <f t="shared" ref="G2346:G2409" si="146">G2337</f>
        <v>13-01</v>
      </c>
      <c r="H2346" s="1">
        <f>_xlfn.IFNA(VLOOKUP(Aragon!E2346,'Kilter Holds'!$P$36:$AB$370,9,0),0)+_xlfn.IFNA(VLOOKUP(A2346,'Kilter Holds'!$P$36:$AB$370,9,0),0)</f>
        <v>0</v>
      </c>
      <c r="J2346" s="2">
        <f t="shared" si="144"/>
        <v>0</v>
      </c>
      <c r="K2346" s="2">
        <f t="shared" si="145"/>
        <v>0</v>
      </c>
    </row>
    <row r="2347" spans="1:11">
      <c r="A2347" s="3"/>
      <c r="E2347" s="3" t="s">
        <v>2602</v>
      </c>
      <c r="F2347" s="3" t="s">
        <v>2603</v>
      </c>
      <c r="G2347" s="10" t="str">
        <f t="shared" si="146"/>
        <v>07-13</v>
      </c>
      <c r="H2347" s="1">
        <f>_xlfn.IFNA(VLOOKUP(Aragon!E2347,'Kilter Holds'!$P$36:$AB$370,10,0),0)+_xlfn.IFNA(VLOOKUP(A2347,'Kilter Holds'!$P$36:$AB$370,10,0),0)</f>
        <v>0</v>
      </c>
      <c r="J2347" s="2">
        <f t="shared" si="144"/>
        <v>0</v>
      </c>
      <c r="K2347" s="2">
        <f t="shared" si="145"/>
        <v>0</v>
      </c>
    </row>
    <row r="2348" spans="1:11">
      <c r="A2348" s="3"/>
      <c r="E2348" s="3" t="s">
        <v>2602</v>
      </c>
      <c r="F2348" s="3" t="s">
        <v>2603</v>
      </c>
      <c r="G2348" s="11" t="str">
        <f t="shared" si="146"/>
        <v>11-25</v>
      </c>
      <c r="H2348" s="1">
        <f>_xlfn.IFNA(VLOOKUP(Aragon!E2348,'Kilter Holds'!$P$36:$AB$370,11,0),0)+_xlfn.IFNA(VLOOKUP(A2348,'Kilter Holds'!$P$36:$AB$370,11,0),0)</f>
        <v>0</v>
      </c>
      <c r="J2348" s="2">
        <f t="shared" si="144"/>
        <v>0</v>
      </c>
      <c r="K2348" s="2">
        <f t="shared" si="145"/>
        <v>0</v>
      </c>
    </row>
    <row r="2349" spans="1:11">
      <c r="A2349" s="3"/>
      <c r="E2349" s="3" t="s">
        <v>2602</v>
      </c>
      <c r="F2349" s="3" t="s">
        <v>2603</v>
      </c>
      <c r="G2349" s="13" t="str">
        <f t="shared" si="146"/>
        <v>18-01</v>
      </c>
      <c r="H2349" s="1">
        <f>_xlfn.IFNA(VLOOKUP(Aragon!E2349,'Kilter Holds'!$P$36:$AB$370,12,0),0)+_xlfn.IFNA(VLOOKUP(A2349,'Kilter Holds'!$P$36:$AB$370,12,0),0)</f>
        <v>0</v>
      </c>
      <c r="J2349" s="2">
        <f t="shared" si="144"/>
        <v>0</v>
      </c>
      <c r="K2349" s="2">
        <f t="shared" si="145"/>
        <v>0</v>
      </c>
    </row>
    <row r="2350" spans="1:11">
      <c r="A2350" s="3"/>
      <c r="E2350" s="3" t="s">
        <v>2602</v>
      </c>
      <c r="F2350" s="3" t="s">
        <v>2603</v>
      </c>
      <c r="G2350" s="12" t="str">
        <f t="shared" si="146"/>
        <v>12-01</v>
      </c>
      <c r="H2350" s="1">
        <f>_xlfn.IFNA(VLOOKUP(Aragon!E2350,'Kilter Holds'!$P$36:$AB$370,13,0),0)+_xlfn.IFNA(VLOOKUP(A2350,'Kilter Holds'!$P$36:$AB$370,13,0),0)</f>
        <v>0</v>
      </c>
      <c r="J2350" s="2">
        <f t="shared" si="144"/>
        <v>0</v>
      </c>
      <c r="K2350" s="2">
        <f t="shared" si="145"/>
        <v>0</v>
      </c>
    </row>
    <row r="2351" spans="1:11">
      <c r="A2351" s="3"/>
      <c r="E2351" s="3" t="s">
        <v>2604</v>
      </c>
      <c r="F2351" s="3" t="s">
        <v>2605</v>
      </c>
      <c r="G2351" s="5" t="str">
        <f t="shared" si="146"/>
        <v>11-12</v>
      </c>
      <c r="H2351" s="1">
        <f>_xlfn.IFNA(VLOOKUP(Aragon!E2351,'Kilter Holds'!$P$36:$AB$370,5,0),0)+_xlfn.IFNA(VLOOKUP(A2351,'Kilter Holds'!$P$36:$AB$370,5,0),0)</f>
        <v>0</v>
      </c>
      <c r="J2351" s="2">
        <f t="shared" si="144"/>
        <v>0</v>
      </c>
      <c r="K2351" s="2">
        <f t="shared" si="145"/>
        <v>0</v>
      </c>
    </row>
    <row r="2352" spans="1:11">
      <c r="A2352" s="3"/>
      <c r="E2352" s="3" t="s">
        <v>2604</v>
      </c>
      <c r="F2352" s="3" t="s">
        <v>2605</v>
      </c>
      <c r="G2352" s="6" t="str">
        <f t="shared" si="146"/>
        <v>14-01</v>
      </c>
      <c r="H2352" s="1">
        <f>_xlfn.IFNA(VLOOKUP(Aragon!E2352,'Kilter Holds'!$P$36:$AB$370,6,0),0)+_xlfn.IFNA(VLOOKUP(A2352,'Kilter Holds'!$P$36:$AB$370,6,0),0)</f>
        <v>0</v>
      </c>
      <c r="J2352" s="2">
        <f t="shared" si="144"/>
        <v>0</v>
      </c>
      <c r="K2352" s="2">
        <f t="shared" si="145"/>
        <v>0</v>
      </c>
    </row>
    <row r="2353" spans="1:11">
      <c r="A2353" s="3"/>
      <c r="E2353" s="3" t="s">
        <v>2604</v>
      </c>
      <c r="F2353" s="3" t="s">
        <v>2605</v>
      </c>
      <c r="G2353" s="7" t="str">
        <f t="shared" si="146"/>
        <v>15-12</v>
      </c>
      <c r="H2353" s="1">
        <f>_xlfn.IFNA(VLOOKUP(Aragon!E2353,'Kilter Holds'!$P$36:$AB$370,7,0),0)+_xlfn.IFNA(VLOOKUP(A2353,'Kilter Holds'!$P$36:$AB$370,7,0),0)</f>
        <v>0</v>
      </c>
      <c r="J2353" s="2">
        <f t="shared" si="144"/>
        <v>0</v>
      </c>
      <c r="K2353" s="2">
        <f t="shared" si="145"/>
        <v>0</v>
      </c>
    </row>
    <row r="2354" spans="1:11">
      <c r="A2354" s="3"/>
      <c r="E2354" s="3" t="s">
        <v>2604</v>
      </c>
      <c r="F2354" s="3" t="s">
        <v>2605</v>
      </c>
      <c r="G2354" s="8" t="str">
        <f t="shared" si="146"/>
        <v>16-16</v>
      </c>
      <c r="H2354" s="1">
        <f>_xlfn.IFNA(VLOOKUP(Aragon!E2354,'Kilter Holds'!$P$36:$AB$370,8,0),0)+_xlfn.IFNA(VLOOKUP(A2354,'Kilter Holds'!$P$36:$AB$370,8,0),0)</f>
        <v>0</v>
      </c>
      <c r="J2354" s="2">
        <f t="shared" si="144"/>
        <v>0</v>
      </c>
      <c r="K2354" s="2">
        <f t="shared" si="145"/>
        <v>0</v>
      </c>
    </row>
    <row r="2355" spans="1:11">
      <c r="A2355" s="3"/>
      <c r="E2355" s="3" t="s">
        <v>2604</v>
      </c>
      <c r="F2355" s="3" t="s">
        <v>2605</v>
      </c>
      <c r="G2355" s="9" t="str">
        <f t="shared" si="146"/>
        <v>13-01</v>
      </c>
      <c r="H2355" s="1">
        <f>_xlfn.IFNA(VLOOKUP(Aragon!E2355,'Kilter Holds'!$P$36:$AB$370,9,0),0)+_xlfn.IFNA(VLOOKUP(A2355,'Kilter Holds'!$P$36:$AB$370,9,0),0)</f>
        <v>0</v>
      </c>
      <c r="J2355" s="2">
        <f t="shared" si="144"/>
        <v>0</v>
      </c>
      <c r="K2355" s="2">
        <f t="shared" si="145"/>
        <v>0</v>
      </c>
    </row>
    <row r="2356" spans="1:11">
      <c r="A2356" s="3"/>
      <c r="E2356" s="3" t="s">
        <v>2604</v>
      </c>
      <c r="F2356" s="3" t="s">
        <v>2605</v>
      </c>
      <c r="G2356" s="10" t="str">
        <f t="shared" si="146"/>
        <v>07-13</v>
      </c>
      <c r="H2356" s="1">
        <f>_xlfn.IFNA(VLOOKUP(Aragon!E2356,'Kilter Holds'!$P$36:$AB$370,10,0),0)+_xlfn.IFNA(VLOOKUP(A2356,'Kilter Holds'!$P$36:$AB$370,10,0),0)</f>
        <v>0</v>
      </c>
      <c r="J2356" s="2">
        <f t="shared" si="144"/>
        <v>0</v>
      </c>
      <c r="K2356" s="2">
        <f t="shared" si="145"/>
        <v>0</v>
      </c>
    </row>
    <row r="2357" spans="1:11">
      <c r="A2357" s="3"/>
      <c r="E2357" s="3" t="s">
        <v>2604</v>
      </c>
      <c r="F2357" s="3" t="s">
        <v>2605</v>
      </c>
      <c r="G2357" s="11" t="str">
        <f t="shared" si="146"/>
        <v>11-25</v>
      </c>
      <c r="H2357" s="1">
        <f>_xlfn.IFNA(VLOOKUP(Aragon!E2357,'Kilter Holds'!$P$36:$AB$370,11,0),0)+_xlfn.IFNA(VLOOKUP(A2357,'Kilter Holds'!$P$36:$AB$370,11,0),0)</f>
        <v>0</v>
      </c>
      <c r="J2357" s="2">
        <f t="shared" si="144"/>
        <v>0</v>
      </c>
      <c r="K2357" s="2">
        <f t="shared" si="145"/>
        <v>0</v>
      </c>
    </row>
    <row r="2358" spans="1:11">
      <c r="A2358" s="3"/>
      <c r="E2358" s="3" t="s">
        <v>2604</v>
      </c>
      <c r="F2358" s="3" t="s">
        <v>2605</v>
      </c>
      <c r="G2358" s="13" t="str">
        <f t="shared" si="146"/>
        <v>18-01</v>
      </c>
      <c r="H2358" s="1">
        <f>_xlfn.IFNA(VLOOKUP(Aragon!E2358,'Kilter Holds'!$P$36:$AB$370,12,0),0)+_xlfn.IFNA(VLOOKUP(A2358,'Kilter Holds'!$P$36:$AB$370,12,0),0)</f>
        <v>0</v>
      </c>
      <c r="J2358" s="2">
        <f t="shared" si="144"/>
        <v>0</v>
      </c>
      <c r="K2358" s="2">
        <f t="shared" si="145"/>
        <v>0</v>
      </c>
    </row>
    <row r="2359" spans="1:11">
      <c r="A2359" s="3"/>
      <c r="E2359" s="3" t="s">
        <v>2604</v>
      </c>
      <c r="F2359" s="3" t="s">
        <v>2605</v>
      </c>
      <c r="G2359" s="12" t="str">
        <f t="shared" si="146"/>
        <v>12-01</v>
      </c>
      <c r="H2359" s="1">
        <f>_xlfn.IFNA(VLOOKUP(Aragon!E2359,'Kilter Holds'!$P$36:$AB$370,13,0),0)+_xlfn.IFNA(VLOOKUP(A2359,'Kilter Holds'!$P$36:$AB$370,13,0),0)</f>
        <v>0</v>
      </c>
      <c r="J2359" s="2">
        <f t="shared" si="144"/>
        <v>0</v>
      </c>
      <c r="K2359" s="2">
        <f t="shared" si="145"/>
        <v>0</v>
      </c>
    </row>
    <row r="2360" spans="1:11">
      <c r="A2360" s="3"/>
      <c r="E2360" s="3" t="s">
        <v>2606</v>
      </c>
      <c r="F2360" s="3" t="s">
        <v>2607</v>
      </c>
      <c r="G2360" s="5" t="str">
        <f t="shared" si="146"/>
        <v>11-12</v>
      </c>
      <c r="H2360" s="1">
        <f>_xlfn.IFNA(VLOOKUP(Aragon!E2360,'Kilter Holds'!$P$36:$AB$370,5,0),0)+_xlfn.IFNA(VLOOKUP(A2360,'Kilter Holds'!$P$36:$AB$370,5,0),0)</f>
        <v>0</v>
      </c>
      <c r="J2360" s="2">
        <f t="shared" si="144"/>
        <v>0</v>
      </c>
      <c r="K2360" s="2">
        <f t="shared" si="145"/>
        <v>0</v>
      </c>
    </row>
    <row r="2361" spans="1:11">
      <c r="A2361" s="3"/>
      <c r="E2361" s="3" t="s">
        <v>2606</v>
      </c>
      <c r="F2361" s="3" t="s">
        <v>2607</v>
      </c>
      <c r="G2361" s="6" t="str">
        <f t="shared" si="146"/>
        <v>14-01</v>
      </c>
      <c r="H2361" s="1">
        <f>_xlfn.IFNA(VLOOKUP(Aragon!E2361,'Kilter Holds'!$P$36:$AB$370,6,0),0)+_xlfn.IFNA(VLOOKUP(A2361,'Kilter Holds'!$P$36:$AB$370,6,0),0)</f>
        <v>0</v>
      </c>
      <c r="J2361" s="2">
        <f t="shared" si="144"/>
        <v>0</v>
      </c>
      <c r="K2361" s="2">
        <f t="shared" si="145"/>
        <v>0</v>
      </c>
    </row>
    <row r="2362" spans="1:11">
      <c r="A2362" s="3"/>
      <c r="E2362" s="3" t="s">
        <v>2606</v>
      </c>
      <c r="F2362" s="3" t="s">
        <v>2607</v>
      </c>
      <c r="G2362" s="7" t="str">
        <f t="shared" si="146"/>
        <v>15-12</v>
      </c>
      <c r="H2362" s="1">
        <f>_xlfn.IFNA(VLOOKUP(Aragon!E2362,'Kilter Holds'!$P$36:$AB$370,7,0),0)+_xlfn.IFNA(VLOOKUP(A2362,'Kilter Holds'!$P$36:$AB$370,7,0),0)</f>
        <v>0</v>
      </c>
      <c r="J2362" s="2">
        <f t="shared" si="144"/>
        <v>0</v>
      </c>
      <c r="K2362" s="2">
        <f t="shared" si="145"/>
        <v>0</v>
      </c>
    </row>
    <row r="2363" spans="1:11">
      <c r="A2363" s="3"/>
      <c r="E2363" s="3" t="s">
        <v>2606</v>
      </c>
      <c r="F2363" s="3" t="s">
        <v>2607</v>
      </c>
      <c r="G2363" s="8" t="str">
        <f t="shared" si="146"/>
        <v>16-16</v>
      </c>
      <c r="H2363" s="1">
        <f>_xlfn.IFNA(VLOOKUP(Aragon!E2363,'Kilter Holds'!$P$36:$AB$370,8,0),0)+_xlfn.IFNA(VLOOKUP(A2363,'Kilter Holds'!$P$36:$AB$370,8,0),0)</f>
        <v>0</v>
      </c>
      <c r="J2363" s="2">
        <f t="shared" si="144"/>
        <v>0</v>
      </c>
      <c r="K2363" s="2">
        <f t="shared" si="145"/>
        <v>0</v>
      </c>
    </row>
    <row r="2364" spans="1:11">
      <c r="A2364" s="3"/>
      <c r="E2364" s="3" t="s">
        <v>2606</v>
      </c>
      <c r="F2364" s="3" t="s">
        <v>2607</v>
      </c>
      <c r="G2364" s="9" t="str">
        <f t="shared" si="146"/>
        <v>13-01</v>
      </c>
      <c r="H2364" s="1">
        <f>_xlfn.IFNA(VLOOKUP(Aragon!E2364,'Kilter Holds'!$P$36:$AB$370,9,0),0)+_xlfn.IFNA(VLOOKUP(A2364,'Kilter Holds'!$P$36:$AB$370,9,0),0)</f>
        <v>0</v>
      </c>
      <c r="J2364" s="2">
        <f t="shared" si="144"/>
        <v>0</v>
      </c>
      <c r="K2364" s="2">
        <f t="shared" si="145"/>
        <v>0</v>
      </c>
    </row>
    <row r="2365" spans="1:11">
      <c r="A2365" s="3"/>
      <c r="E2365" s="3" t="s">
        <v>2606</v>
      </c>
      <c r="F2365" s="3" t="s">
        <v>2607</v>
      </c>
      <c r="G2365" s="10" t="str">
        <f t="shared" si="146"/>
        <v>07-13</v>
      </c>
      <c r="H2365" s="1">
        <f>_xlfn.IFNA(VLOOKUP(Aragon!E2365,'Kilter Holds'!$P$36:$AB$370,10,0),0)+_xlfn.IFNA(VLOOKUP(A2365,'Kilter Holds'!$P$36:$AB$370,10,0),0)</f>
        <v>0</v>
      </c>
      <c r="J2365" s="2">
        <f t="shared" si="144"/>
        <v>0</v>
      </c>
      <c r="K2365" s="2">
        <f t="shared" si="145"/>
        <v>0</v>
      </c>
    </row>
    <row r="2366" spans="1:11">
      <c r="A2366" s="3"/>
      <c r="E2366" s="3" t="s">
        <v>2606</v>
      </c>
      <c r="F2366" s="3" t="s">
        <v>2607</v>
      </c>
      <c r="G2366" s="11" t="str">
        <f t="shared" si="146"/>
        <v>11-25</v>
      </c>
      <c r="H2366" s="1">
        <f>_xlfn.IFNA(VLOOKUP(Aragon!E2366,'Kilter Holds'!$P$36:$AB$370,11,0),0)+_xlfn.IFNA(VLOOKUP(A2366,'Kilter Holds'!$P$36:$AB$370,11,0),0)</f>
        <v>0</v>
      </c>
      <c r="J2366" s="2">
        <f t="shared" si="144"/>
        <v>0</v>
      </c>
      <c r="K2366" s="2">
        <f t="shared" si="145"/>
        <v>0</v>
      </c>
    </row>
    <row r="2367" spans="1:11">
      <c r="A2367" s="3"/>
      <c r="E2367" s="3" t="s">
        <v>2606</v>
      </c>
      <c r="F2367" s="3" t="s">
        <v>2607</v>
      </c>
      <c r="G2367" s="13" t="str">
        <f t="shared" si="146"/>
        <v>18-01</v>
      </c>
      <c r="H2367" s="1">
        <f>_xlfn.IFNA(VLOOKUP(Aragon!E2367,'Kilter Holds'!$P$36:$AB$370,12,0),0)+_xlfn.IFNA(VLOOKUP(A2367,'Kilter Holds'!$P$36:$AB$370,12,0),0)</f>
        <v>0</v>
      </c>
      <c r="J2367" s="2">
        <f t="shared" si="144"/>
        <v>0</v>
      </c>
      <c r="K2367" s="2">
        <f t="shared" si="145"/>
        <v>0</v>
      </c>
    </row>
    <row r="2368" spans="1:11">
      <c r="A2368" s="3"/>
      <c r="E2368" s="3" t="s">
        <v>2606</v>
      </c>
      <c r="F2368" s="3" t="s">
        <v>2607</v>
      </c>
      <c r="G2368" s="12" t="str">
        <f t="shared" si="146"/>
        <v>12-01</v>
      </c>
      <c r="H2368" s="1">
        <f>_xlfn.IFNA(VLOOKUP(Aragon!E2368,'Kilter Holds'!$P$36:$AB$370,13,0),0)+_xlfn.IFNA(VLOOKUP(A2368,'Kilter Holds'!$P$36:$AB$370,13,0),0)</f>
        <v>0</v>
      </c>
      <c r="J2368" s="2">
        <f t="shared" si="144"/>
        <v>0</v>
      </c>
      <c r="K2368" s="2">
        <f t="shared" si="145"/>
        <v>0</v>
      </c>
    </row>
    <row r="2369" spans="1:11">
      <c r="A2369" s="3"/>
      <c r="E2369" s="3" t="s">
        <v>2608</v>
      </c>
      <c r="F2369" s="3" t="s">
        <v>2609</v>
      </c>
      <c r="G2369" s="5" t="str">
        <f t="shared" si="146"/>
        <v>11-12</v>
      </c>
      <c r="H2369" s="1">
        <f>_xlfn.IFNA(VLOOKUP(Aragon!E2369,'Kilter Holds'!$P$36:$AB$370,5,0),0)+_xlfn.IFNA(VLOOKUP(A2369,'Kilter Holds'!$P$36:$AB$370,5,0),0)</f>
        <v>0</v>
      </c>
      <c r="J2369" s="2">
        <f t="shared" si="144"/>
        <v>0</v>
      </c>
      <c r="K2369" s="2">
        <f t="shared" si="145"/>
        <v>0</v>
      </c>
    </row>
    <row r="2370" spans="1:11">
      <c r="A2370" s="3"/>
      <c r="E2370" s="3" t="s">
        <v>2608</v>
      </c>
      <c r="F2370" s="3" t="s">
        <v>2609</v>
      </c>
      <c r="G2370" s="6" t="str">
        <f t="shared" si="146"/>
        <v>14-01</v>
      </c>
      <c r="H2370" s="1">
        <f>_xlfn.IFNA(VLOOKUP(Aragon!E2370,'Kilter Holds'!$P$36:$AB$370,6,0),0)+_xlfn.IFNA(VLOOKUP(A2370,'Kilter Holds'!$P$36:$AB$370,6,0),0)</f>
        <v>0</v>
      </c>
      <c r="J2370" s="2">
        <f t="shared" si="144"/>
        <v>0</v>
      </c>
      <c r="K2370" s="2">
        <f t="shared" si="145"/>
        <v>0</v>
      </c>
    </row>
    <row r="2371" spans="1:11">
      <c r="A2371" s="3"/>
      <c r="E2371" s="3" t="s">
        <v>2608</v>
      </c>
      <c r="F2371" s="3" t="s">
        <v>2609</v>
      </c>
      <c r="G2371" s="7" t="str">
        <f t="shared" si="146"/>
        <v>15-12</v>
      </c>
      <c r="H2371" s="1">
        <f>_xlfn.IFNA(VLOOKUP(Aragon!E2371,'Kilter Holds'!$P$36:$AB$370,7,0),0)+_xlfn.IFNA(VLOOKUP(A2371,'Kilter Holds'!$P$36:$AB$370,7,0),0)</f>
        <v>0</v>
      </c>
      <c r="J2371" s="2">
        <f t="shared" si="144"/>
        <v>0</v>
      </c>
      <c r="K2371" s="2">
        <f t="shared" si="145"/>
        <v>0</v>
      </c>
    </row>
    <row r="2372" spans="1:11">
      <c r="A2372" s="3"/>
      <c r="E2372" s="3" t="s">
        <v>2608</v>
      </c>
      <c r="F2372" s="3" t="s">
        <v>2609</v>
      </c>
      <c r="G2372" s="8" t="str">
        <f t="shared" si="146"/>
        <v>16-16</v>
      </c>
      <c r="H2372" s="1">
        <f>_xlfn.IFNA(VLOOKUP(Aragon!E2372,'Kilter Holds'!$P$36:$AB$370,8,0),0)+_xlfn.IFNA(VLOOKUP(A2372,'Kilter Holds'!$P$36:$AB$370,8,0),0)</f>
        <v>0</v>
      </c>
      <c r="J2372" s="2">
        <f t="shared" si="144"/>
        <v>0</v>
      </c>
      <c r="K2372" s="2">
        <f t="shared" si="145"/>
        <v>0</v>
      </c>
    </row>
    <row r="2373" spans="1:11">
      <c r="A2373" s="3"/>
      <c r="E2373" s="3" t="s">
        <v>2608</v>
      </c>
      <c r="F2373" s="3" t="s">
        <v>2609</v>
      </c>
      <c r="G2373" s="9" t="str">
        <f t="shared" si="146"/>
        <v>13-01</v>
      </c>
      <c r="H2373" s="1">
        <f>_xlfn.IFNA(VLOOKUP(Aragon!E2373,'Kilter Holds'!$P$36:$AB$370,9,0),0)+_xlfn.IFNA(VLOOKUP(A2373,'Kilter Holds'!$P$36:$AB$370,9,0),0)</f>
        <v>0</v>
      </c>
      <c r="J2373" s="2">
        <f t="shared" si="144"/>
        <v>0</v>
      </c>
      <c r="K2373" s="2">
        <f t="shared" si="145"/>
        <v>0</v>
      </c>
    </row>
    <row r="2374" spans="1:11">
      <c r="A2374" s="3"/>
      <c r="E2374" s="3" t="s">
        <v>2608</v>
      </c>
      <c r="F2374" s="3" t="s">
        <v>2609</v>
      </c>
      <c r="G2374" s="10" t="str">
        <f t="shared" si="146"/>
        <v>07-13</v>
      </c>
      <c r="H2374" s="1">
        <f>_xlfn.IFNA(VLOOKUP(Aragon!E2374,'Kilter Holds'!$P$36:$AB$370,10,0),0)+_xlfn.IFNA(VLOOKUP(A2374,'Kilter Holds'!$P$36:$AB$370,10,0),0)</f>
        <v>0</v>
      </c>
      <c r="J2374" s="2">
        <f t="shared" si="144"/>
        <v>0</v>
      </c>
      <c r="K2374" s="2">
        <f t="shared" si="145"/>
        <v>0</v>
      </c>
    </row>
    <row r="2375" spans="1:11">
      <c r="A2375" s="3"/>
      <c r="E2375" s="3" t="s">
        <v>2608</v>
      </c>
      <c r="F2375" s="3" t="s">
        <v>2609</v>
      </c>
      <c r="G2375" s="11" t="str">
        <f t="shared" si="146"/>
        <v>11-25</v>
      </c>
      <c r="H2375" s="1">
        <f>_xlfn.IFNA(VLOOKUP(Aragon!E2375,'Kilter Holds'!$P$36:$AB$370,11,0),0)+_xlfn.IFNA(VLOOKUP(A2375,'Kilter Holds'!$P$36:$AB$370,11,0),0)</f>
        <v>0</v>
      </c>
      <c r="J2375" s="2">
        <f t="shared" si="144"/>
        <v>0</v>
      </c>
      <c r="K2375" s="2">
        <f t="shared" si="145"/>
        <v>0</v>
      </c>
    </row>
    <row r="2376" spans="1:11">
      <c r="A2376" s="3"/>
      <c r="E2376" s="3" t="s">
        <v>2608</v>
      </c>
      <c r="F2376" s="3" t="s">
        <v>2609</v>
      </c>
      <c r="G2376" s="13" t="str">
        <f t="shared" si="146"/>
        <v>18-01</v>
      </c>
      <c r="H2376" s="1">
        <f>_xlfn.IFNA(VLOOKUP(Aragon!E2376,'Kilter Holds'!$P$36:$AB$370,12,0),0)+_xlfn.IFNA(VLOOKUP(A2376,'Kilter Holds'!$P$36:$AB$370,12,0),0)</f>
        <v>0</v>
      </c>
      <c r="J2376" s="2">
        <f t="shared" si="144"/>
        <v>0</v>
      </c>
      <c r="K2376" s="2">
        <f t="shared" si="145"/>
        <v>0</v>
      </c>
    </row>
    <row r="2377" spans="1:11">
      <c r="A2377" s="3"/>
      <c r="E2377" s="3" t="s">
        <v>2608</v>
      </c>
      <c r="F2377" s="3" t="s">
        <v>2609</v>
      </c>
      <c r="G2377" s="12" t="str">
        <f t="shared" si="146"/>
        <v>12-01</v>
      </c>
      <c r="H2377" s="1">
        <f>_xlfn.IFNA(VLOOKUP(Aragon!E2377,'Kilter Holds'!$P$36:$AB$370,13,0),0)+_xlfn.IFNA(VLOOKUP(A2377,'Kilter Holds'!$P$36:$AB$370,13,0),0)</f>
        <v>0</v>
      </c>
      <c r="J2377" s="2">
        <f t="shared" si="144"/>
        <v>0</v>
      </c>
      <c r="K2377" s="2">
        <f t="shared" si="145"/>
        <v>0</v>
      </c>
    </row>
    <row r="2378" spans="1:11">
      <c r="A2378" s="3"/>
      <c r="E2378" s="3" t="s">
        <v>2610</v>
      </c>
      <c r="F2378" s="3" t="s">
        <v>2611</v>
      </c>
      <c r="G2378" s="5" t="str">
        <f t="shared" si="146"/>
        <v>11-12</v>
      </c>
      <c r="H2378" s="1">
        <f>_xlfn.IFNA(VLOOKUP(Aragon!E2378,'Kilter Holds'!$P$36:$AB$370,5,0),0)+_xlfn.IFNA(VLOOKUP(A2378,'Kilter Holds'!$P$36:$AB$370,5,0),0)</f>
        <v>0</v>
      </c>
      <c r="J2378" s="2">
        <f t="shared" si="144"/>
        <v>0</v>
      </c>
      <c r="K2378" s="2">
        <f t="shared" si="145"/>
        <v>0</v>
      </c>
    </row>
    <row r="2379" spans="1:11">
      <c r="A2379" s="3"/>
      <c r="E2379" s="3" t="s">
        <v>2610</v>
      </c>
      <c r="F2379" s="3" t="s">
        <v>2611</v>
      </c>
      <c r="G2379" s="6" t="str">
        <f t="shared" si="146"/>
        <v>14-01</v>
      </c>
      <c r="H2379" s="1">
        <f>_xlfn.IFNA(VLOOKUP(Aragon!E2379,'Kilter Holds'!$P$36:$AB$370,6,0),0)+_xlfn.IFNA(VLOOKUP(A2379,'Kilter Holds'!$P$36:$AB$370,6,0),0)</f>
        <v>0</v>
      </c>
      <c r="J2379" s="2">
        <f t="shared" si="144"/>
        <v>0</v>
      </c>
      <c r="K2379" s="2">
        <f t="shared" si="145"/>
        <v>0</v>
      </c>
    </row>
    <row r="2380" spans="1:11">
      <c r="A2380" s="3"/>
      <c r="E2380" s="3" t="s">
        <v>2610</v>
      </c>
      <c r="F2380" s="3" t="s">
        <v>2611</v>
      </c>
      <c r="G2380" s="7" t="str">
        <f t="shared" si="146"/>
        <v>15-12</v>
      </c>
      <c r="H2380" s="1">
        <f>_xlfn.IFNA(VLOOKUP(Aragon!E2380,'Kilter Holds'!$P$36:$AB$370,7,0),0)+_xlfn.IFNA(VLOOKUP(A2380,'Kilter Holds'!$P$36:$AB$370,7,0),0)</f>
        <v>0</v>
      </c>
      <c r="J2380" s="2">
        <f t="shared" si="144"/>
        <v>0</v>
      </c>
      <c r="K2380" s="2">
        <f t="shared" si="145"/>
        <v>0</v>
      </c>
    </row>
    <row r="2381" spans="1:11">
      <c r="A2381" s="3"/>
      <c r="E2381" s="3" t="s">
        <v>2610</v>
      </c>
      <c r="F2381" s="3" t="s">
        <v>2611</v>
      </c>
      <c r="G2381" s="8" t="str">
        <f t="shared" si="146"/>
        <v>16-16</v>
      </c>
      <c r="H2381" s="1">
        <f>_xlfn.IFNA(VLOOKUP(Aragon!E2381,'Kilter Holds'!$P$36:$AB$370,8,0),0)+_xlfn.IFNA(VLOOKUP(A2381,'Kilter Holds'!$P$36:$AB$370,8,0),0)</f>
        <v>0</v>
      </c>
      <c r="J2381" s="2">
        <f t="shared" si="144"/>
        <v>0</v>
      </c>
      <c r="K2381" s="2">
        <f t="shared" si="145"/>
        <v>0</v>
      </c>
    </row>
    <row r="2382" spans="1:11">
      <c r="A2382" s="3"/>
      <c r="E2382" s="3" t="s">
        <v>2610</v>
      </c>
      <c r="F2382" s="3" t="s">
        <v>2611</v>
      </c>
      <c r="G2382" s="9" t="str">
        <f t="shared" si="146"/>
        <v>13-01</v>
      </c>
      <c r="H2382" s="1">
        <f>_xlfn.IFNA(VLOOKUP(Aragon!E2382,'Kilter Holds'!$P$36:$AB$370,9,0),0)+_xlfn.IFNA(VLOOKUP(A2382,'Kilter Holds'!$P$36:$AB$370,9,0),0)</f>
        <v>0</v>
      </c>
      <c r="J2382" s="2">
        <f t="shared" si="144"/>
        <v>0</v>
      </c>
      <c r="K2382" s="2">
        <f t="shared" si="145"/>
        <v>0</v>
      </c>
    </row>
    <row r="2383" spans="1:11">
      <c r="A2383" s="3"/>
      <c r="E2383" s="3" t="s">
        <v>2610</v>
      </c>
      <c r="F2383" s="3" t="s">
        <v>2611</v>
      </c>
      <c r="G2383" s="10" t="str">
        <f t="shared" si="146"/>
        <v>07-13</v>
      </c>
      <c r="H2383" s="1">
        <f>_xlfn.IFNA(VLOOKUP(Aragon!E2383,'Kilter Holds'!$P$36:$AB$370,10,0),0)+_xlfn.IFNA(VLOOKUP(A2383,'Kilter Holds'!$P$36:$AB$370,10,0),0)</f>
        <v>0</v>
      </c>
      <c r="J2383" s="2">
        <f t="shared" si="144"/>
        <v>0</v>
      </c>
      <c r="K2383" s="2">
        <f t="shared" si="145"/>
        <v>0</v>
      </c>
    </row>
    <row r="2384" spans="1:11">
      <c r="A2384" s="3"/>
      <c r="E2384" s="3" t="s">
        <v>2610</v>
      </c>
      <c r="F2384" s="3" t="s">
        <v>2611</v>
      </c>
      <c r="G2384" s="11" t="str">
        <f t="shared" si="146"/>
        <v>11-25</v>
      </c>
      <c r="H2384" s="1">
        <f>_xlfn.IFNA(VLOOKUP(Aragon!E2384,'Kilter Holds'!$P$36:$AB$370,11,0),0)+_xlfn.IFNA(VLOOKUP(A2384,'Kilter Holds'!$P$36:$AB$370,11,0),0)</f>
        <v>0</v>
      </c>
      <c r="J2384" s="2">
        <f t="shared" si="144"/>
        <v>0</v>
      </c>
      <c r="K2384" s="2">
        <f t="shared" si="145"/>
        <v>0</v>
      </c>
    </row>
    <row r="2385" spans="1:11">
      <c r="A2385" s="3"/>
      <c r="E2385" s="3" t="s">
        <v>2610</v>
      </c>
      <c r="F2385" s="3" t="s">
        <v>2611</v>
      </c>
      <c r="G2385" s="13" t="str">
        <f t="shared" si="146"/>
        <v>18-01</v>
      </c>
      <c r="H2385" s="1">
        <f>_xlfn.IFNA(VLOOKUP(Aragon!E2385,'Kilter Holds'!$P$36:$AB$370,12,0),0)+_xlfn.IFNA(VLOOKUP(A2385,'Kilter Holds'!$P$36:$AB$370,12,0),0)</f>
        <v>0</v>
      </c>
      <c r="J2385" s="2">
        <f t="shared" si="144"/>
        <v>0</v>
      </c>
      <c r="K2385" s="2">
        <f t="shared" si="145"/>
        <v>0</v>
      </c>
    </row>
    <row r="2386" spans="1:11">
      <c r="A2386" s="3"/>
      <c r="E2386" s="3" t="s">
        <v>2610</v>
      </c>
      <c r="F2386" s="3" t="s">
        <v>2611</v>
      </c>
      <c r="G2386" s="12" t="str">
        <f t="shared" si="146"/>
        <v>12-01</v>
      </c>
      <c r="H2386" s="1">
        <f>_xlfn.IFNA(VLOOKUP(Aragon!E2386,'Kilter Holds'!$P$36:$AB$370,13,0),0)+_xlfn.IFNA(VLOOKUP(A2386,'Kilter Holds'!$P$36:$AB$370,13,0),0)</f>
        <v>0</v>
      </c>
      <c r="J2386" s="2">
        <f t="shared" si="144"/>
        <v>0</v>
      </c>
      <c r="K2386" s="2">
        <f t="shared" si="145"/>
        <v>0</v>
      </c>
    </row>
    <row r="2387" spans="1:11">
      <c r="A2387" s="3"/>
      <c r="E2387" s="3" t="s">
        <v>2652</v>
      </c>
      <c r="F2387" s="3" t="s">
        <v>2653</v>
      </c>
      <c r="G2387" s="5" t="str">
        <f t="shared" si="146"/>
        <v>11-12</v>
      </c>
      <c r="H2387" s="1">
        <f>_xlfn.IFNA(VLOOKUP(Aragon!E2387,'Kilter Holds'!$P$36:$AB$370,5,0),0)+_xlfn.IFNA(VLOOKUP(A2387,'Kilter Holds'!$P$36:$AB$370,5,0),0)</f>
        <v>0</v>
      </c>
      <c r="J2387" s="2">
        <f t="shared" ref="J2387:J2395" si="147">H2387*I2387</f>
        <v>0</v>
      </c>
      <c r="K2387" s="2">
        <f t="shared" ref="K2387:K2395" si="148">IF($V$11="Y",J2387*0.05,0)</f>
        <v>0</v>
      </c>
    </row>
    <row r="2388" spans="1:11">
      <c r="A2388" s="3"/>
      <c r="E2388" s="3" t="s">
        <v>2652</v>
      </c>
      <c r="F2388" s="3" t="s">
        <v>2653</v>
      </c>
      <c r="G2388" s="6" t="str">
        <f t="shared" si="146"/>
        <v>14-01</v>
      </c>
      <c r="H2388" s="1">
        <f>_xlfn.IFNA(VLOOKUP(Aragon!E2388,'Kilter Holds'!$P$36:$AB$370,6,0),0)+_xlfn.IFNA(VLOOKUP(A2388,'Kilter Holds'!$P$36:$AB$370,6,0),0)</f>
        <v>0</v>
      </c>
      <c r="J2388" s="2">
        <f t="shared" si="147"/>
        <v>0</v>
      </c>
      <c r="K2388" s="2">
        <f t="shared" si="148"/>
        <v>0</v>
      </c>
    </row>
    <row r="2389" spans="1:11">
      <c r="A2389" s="3"/>
      <c r="E2389" s="3" t="s">
        <v>2652</v>
      </c>
      <c r="F2389" s="3" t="s">
        <v>2653</v>
      </c>
      <c r="G2389" s="7" t="str">
        <f t="shared" si="146"/>
        <v>15-12</v>
      </c>
      <c r="H2389" s="1">
        <f>_xlfn.IFNA(VLOOKUP(Aragon!E2389,'Kilter Holds'!$P$36:$AB$370,7,0),0)+_xlfn.IFNA(VLOOKUP(A2389,'Kilter Holds'!$P$36:$AB$370,7,0),0)</f>
        <v>0</v>
      </c>
      <c r="J2389" s="2">
        <f t="shared" si="147"/>
        <v>0</v>
      </c>
      <c r="K2389" s="2">
        <f t="shared" si="148"/>
        <v>0</v>
      </c>
    </row>
    <row r="2390" spans="1:11">
      <c r="A2390" s="3"/>
      <c r="E2390" s="3" t="s">
        <v>2652</v>
      </c>
      <c r="F2390" s="3" t="s">
        <v>2653</v>
      </c>
      <c r="G2390" s="8" t="str">
        <f t="shared" si="146"/>
        <v>16-16</v>
      </c>
      <c r="H2390" s="1">
        <f>_xlfn.IFNA(VLOOKUP(Aragon!E2390,'Kilter Holds'!$P$36:$AB$370,8,0),0)+_xlfn.IFNA(VLOOKUP(A2390,'Kilter Holds'!$P$36:$AB$370,8,0),0)</f>
        <v>0</v>
      </c>
      <c r="J2390" s="2">
        <f t="shared" si="147"/>
        <v>0</v>
      </c>
      <c r="K2390" s="2">
        <f t="shared" si="148"/>
        <v>0</v>
      </c>
    </row>
    <row r="2391" spans="1:11">
      <c r="A2391" s="3"/>
      <c r="E2391" s="3" t="s">
        <v>2652</v>
      </c>
      <c r="F2391" s="3" t="s">
        <v>2653</v>
      </c>
      <c r="G2391" s="9" t="str">
        <f t="shared" si="146"/>
        <v>13-01</v>
      </c>
      <c r="H2391" s="1">
        <f>_xlfn.IFNA(VLOOKUP(Aragon!E2391,'Kilter Holds'!$P$36:$AB$370,9,0),0)+_xlfn.IFNA(VLOOKUP(A2391,'Kilter Holds'!$P$36:$AB$370,9,0),0)</f>
        <v>0</v>
      </c>
      <c r="J2391" s="2">
        <f t="shared" si="147"/>
        <v>0</v>
      </c>
      <c r="K2391" s="2">
        <f t="shared" si="148"/>
        <v>0</v>
      </c>
    </row>
    <row r="2392" spans="1:11">
      <c r="A2392" s="3"/>
      <c r="E2392" s="3" t="s">
        <v>2652</v>
      </c>
      <c r="F2392" s="3" t="s">
        <v>2653</v>
      </c>
      <c r="G2392" s="10" t="str">
        <f t="shared" si="146"/>
        <v>07-13</v>
      </c>
      <c r="H2392" s="1">
        <f>_xlfn.IFNA(VLOOKUP(Aragon!E2392,'Kilter Holds'!$P$36:$AB$370,10,0),0)+_xlfn.IFNA(VLOOKUP(A2392,'Kilter Holds'!$P$36:$AB$370,10,0),0)</f>
        <v>0</v>
      </c>
      <c r="J2392" s="2">
        <f t="shared" si="147"/>
        <v>0</v>
      </c>
      <c r="K2392" s="2">
        <f t="shared" si="148"/>
        <v>0</v>
      </c>
    </row>
    <row r="2393" spans="1:11">
      <c r="A2393" s="3"/>
      <c r="E2393" s="3" t="s">
        <v>2652</v>
      </c>
      <c r="F2393" s="3" t="s">
        <v>2653</v>
      </c>
      <c r="G2393" s="11" t="str">
        <f t="shared" si="146"/>
        <v>11-25</v>
      </c>
      <c r="H2393" s="1">
        <f>_xlfn.IFNA(VLOOKUP(Aragon!E2393,'Kilter Holds'!$P$36:$AB$370,11,0),0)+_xlfn.IFNA(VLOOKUP(A2393,'Kilter Holds'!$P$36:$AB$370,11,0),0)</f>
        <v>0</v>
      </c>
      <c r="J2393" s="2">
        <f t="shared" si="147"/>
        <v>0</v>
      </c>
      <c r="K2393" s="2">
        <f t="shared" si="148"/>
        <v>0</v>
      </c>
    </row>
    <row r="2394" spans="1:11">
      <c r="A2394" s="3"/>
      <c r="E2394" s="3" t="s">
        <v>2652</v>
      </c>
      <c r="F2394" s="3" t="s">
        <v>2653</v>
      </c>
      <c r="G2394" s="13" t="str">
        <f t="shared" si="146"/>
        <v>18-01</v>
      </c>
      <c r="H2394" s="1">
        <f>_xlfn.IFNA(VLOOKUP(Aragon!E2394,'Kilter Holds'!$P$36:$AB$370,12,0),0)+_xlfn.IFNA(VLOOKUP(A2394,'Kilter Holds'!$P$36:$AB$370,12,0),0)</f>
        <v>0</v>
      </c>
      <c r="J2394" s="2">
        <f t="shared" si="147"/>
        <v>0</v>
      </c>
      <c r="K2394" s="2">
        <f t="shared" si="148"/>
        <v>0</v>
      </c>
    </row>
    <row r="2395" spans="1:11">
      <c r="A2395" s="3"/>
      <c r="E2395" s="3" t="s">
        <v>2652</v>
      </c>
      <c r="F2395" s="3" t="s">
        <v>2653</v>
      </c>
      <c r="G2395" s="12" t="str">
        <f t="shared" si="146"/>
        <v>12-01</v>
      </c>
      <c r="H2395" s="1">
        <f>_xlfn.IFNA(VLOOKUP(Aragon!E2395,'Kilter Holds'!$P$36:$AB$370,13,0),0)+_xlfn.IFNA(VLOOKUP(A2395,'Kilter Holds'!$P$36:$AB$370,13,0),0)</f>
        <v>0</v>
      </c>
      <c r="J2395" s="2">
        <f t="shared" si="147"/>
        <v>0</v>
      </c>
      <c r="K2395" s="2">
        <f t="shared" si="148"/>
        <v>0</v>
      </c>
    </row>
    <row r="2396" spans="1:11">
      <c r="A2396" s="3"/>
      <c r="E2396" s="3" t="s">
        <v>2673</v>
      </c>
      <c r="F2396" s="3" t="s">
        <v>2678</v>
      </c>
      <c r="G2396" s="5" t="str">
        <f t="shared" si="146"/>
        <v>11-12</v>
      </c>
      <c r="H2396" s="1">
        <f>_xlfn.IFNA(VLOOKUP(Aragon!E2396,'Kilter Holds'!$P$36:$AB$370,5,0),0)+_xlfn.IFNA(VLOOKUP(A2396,'Kilter Holds'!$P$36:$AB$370,5,0),0)</f>
        <v>0</v>
      </c>
      <c r="J2396" s="2">
        <f t="shared" ref="J2396:J2413" si="149">H2396*I2396</f>
        <v>0</v>
      </c>
      <c r="K2396" s="2">
        <f t="shared" ref="K2396:K2413" si="150">IF($V$11="Y",J2396*0.05,0)</f>
        <v>0</v>
      </c>
    </row>
    <row r="2397" spans="1:11">
      <c r="A2397" s="3"/>
      <c r="E2397" s="3" t="s">
        <v>2673</v>
      </c>
      <c r="F2397" s="3" t="s">
        <v>2678</v>
      </c>
      <c r="G2397" s="6" t="str">
        <f t="shared" si="146"/>
        <v>14-01</v>
      </c>
      <c r="H2397" s="1">
        <f>_xlfn.IFNA(VLOOKUP(Aragon!E2397,'Kilter Holds'!$P$36:$AB$370,6,0),0)+_xlfn.IFNA(VLOOKUP(A2397,'Kilter Holds'!$P$36:$AB$370,6,0),0)</f>
        <v>0</v>
      </c>
      <c r="J2397" s="2">
        <f t="shared" si="149"/>
        <v>0</v>
      </c>
      <c r="K2397" s="2">
        <f t="shared" si="150"/>
        <v>0</v>
      </c>
    </row>
    <row r="2398" spans="1:11">
      <c r="A2398" s="3"/>
      <c r="E2398" s="3" t="s">
        <v>2673</v>
      </c>
      <c r="F2398" s="3" t="s">
        <v>2678</v>
      </c>
      <c r="G2398" s="7" t="str">
        <f t="shared" si="146"/>
        <v>15-12</v>
      </c>
      <c r="H2398" s="1">
        <f>_xlfn.IFNA(VLOOKUP(Aragon!E2398,'Kilter Holds'!$P$36:$AB$370,7,0),0)+_xlfn.IFNA(VLOOKUP(A2398,'Kilter Holds'!$P$36:$AB$370,7,0),0)</f>
        <v>0</v>
      </c>
      <c r="J2398" s="2">
        <f t="shared" si="149"/>
        <v>0</v>
      </c>
      <c r="K2398" s="2">
        <f t="shared" si="150"/>
        <v>0</v>
      </c>
    </row>
    <row r="2399" spans="1:11">
      <c r="A2399" s="3"/>
      <c r="E2399" s="3" t="s">
        <v>2673</v>
      </c>
      <c r="F2399" s="3" t="s">
        <v>2678</v>
      </c>
      <c r="G2399" s="8" t="str">
        <f t="shared" si="146"/>
        <v>16-16</v>
      </c>
      <c r="H2399" s="1">
        <f>_xlfn.IFNA(VLOOKUP(Aragon!E2399,'Kilter Holds'!$P$36:$AB$370,8,0),0)+_xlfn.IFNA(VLOOKUP(A2399,'Kilter Holds'!$P$36:$AB$370,8,0),0)</f>
        <v>0</v>
      </c>
      <c r="J2399" s="2">
        <f t="shared" si="149"/>
        <v>0</v>
      </c>
      <c r="K2399" s="2">
        <f t="shared" si="150"/>
        <v>0</v>
      </c>
    </row>
    <row r="2400" spans="1:11">
      <c r="A2400" s="3"/>
      <c r="E2400" s="3" t="s">
        <v>2673</v>
      </c>
      <c r="F2400" s="3" t="s">
        <v>2678</v>
      </c>
      <c r="G2400" s="9" t="str">
        <f t="shared" si="146"/>
        <v>13-01</v>
      </c>
      <c r="H2400" s="1">
        <f>_xlfn.IFNA(VLOOKUP(Aragon!E2400,'Kilter Holds'!$P$36:$AB$370,9,0),0)+_xlfn.IFNA(VLOOKUP(A2400,'Kilter Holds'!$P$36:$AB$370,9,0),0)</f>
        <v>0</v>
      </c>
      <c r="J2400" s="2">
        <f t="shared" si="149"/>
        <v>0</v>
      </c>
      <c r="K2400" s="2">
        <f t="shared" si="150"/>
        <v>0</v>
      </c>
    </row>
    <row r="2401" spans="1:11">
      <c r="A2401" s="3"/>
      <c r="E2401" s="3" t="s">
        <v>2673</v>
      </c>
      <c r="F2401" s="3" t="s">
        <v>2678</v>
      </c>
      <c r="G2401" s="10" t="str">
        <f t="shared" si="146"/>
        <v>07-13</v>
      </c>
      <c r="H2401" s="1">
        <f>_xlfn.IFNA(VLOOKUP(Aragon!E2401,'Kilter Holds'!$P$36:$AB$370,10,0),0)+_xlfn.IFNA(VLOOKUP(A2401,'Kilter Holds'!$P$36:$AB$370,10,0),0)</f>
        <v>0</v>
      </c>
      <c r="J2401" s="2">
        <f t="shared" si="149"/>
        <v>0</v>
      </c>
      <c r="K2401" s="2">
        <f t="shared" si="150"/>
        <v>0</v>
      </c>
    </row>
    <row r="2402" spans="1:11">
      <c r="A2402" s="3"/>
      <c r="E2402" s="3" t="s">
        <v>2673</v>
      </c>
      <c r="F2402" s="3" t="s">
        <v>2678</v>
      </c>
      <c r="G2402" s="11" t="str">
        <f t="shared" si="146"/>
        <v>11-25</v>
      </c>
      <c r="H2402" s="1">
        <f>_xlfn.IFNA(VLOOKUP(Aragon!E2402,'Kilter Holds'!$P$36:$AB$370,11,0),0)+_xlfn.IFNA(VLOOKUP(A2402,'Kilter Holds'!$P$36:$AB$370,11,0),0)</f>
        <v>0</v>
      </c>
      <c r="J2402" s="2">
        <f t="shared" si="149"/>
        <v>0</v>
      </c>
      <c r="K2402" s="2">
        <f t="shared" si="150"/>
        <v>0</v>
      </c>
    </row>
    <row r="2403" spans="1:11">
      <c r="A2403" s="3"/>
      <c r="E2403" s="3" t="s">
        <v>2673</v>
      </c>
      <c r="F2403" s="3" t="s">
        <v>2678</v>
      </c>
      <c r="G2403" s="13" t="str">
        <f t="shared" si="146"/>
        <v>18-01</v>
      </c>
      <c r="H2403" s="1">
        <f>_xlfn.IFNA(VLOOKUP(Aragon!E2403,'Kilter Holds'!$P$36:$AB$370,12,0),0)+_xlfn.IFNA(VLOOKUP(A2403,'Kilter Holds'!$P$36:$AB$370,12,0),0)</f>
        <v>0</v>
      </c>
      <c r="J2403" s="2">
        <f t="shared" si="149"/>
        <v>0</v>
      </c>
      <c r="K2403" s="2">
        <f t="shared" si="150"/>
        <v>0</v>
      </c>
    </row>
    <row r="2404" spans="1:11">
      <c r="A2404" s="3"/>
      <c r="E2404" s="3" t="s">
        <v>2673</v>
      </c>
      <c r="F2404" s="3" t="s">
        <v>2678</v>
      </c>
      <c r="G2404" s="12" t="str">
        <f t="shared" si="146"/>
        <v>12-01</v>
      </c>
      <c r="H2404" s="1">
        <f>_xlfn.IFNA(VLOOKUP(Aragon!E2404,'Kilter Holds'!$P$36:$AB$370,13,0),0)+_xlfn.IFNA(VLOOKUP(A2404,'Kilter Holds'!$P$36:$AB$370,13,0),0)</f>
        <v>0</v>
      </c>
      <c r="J2404" s="2">
        <f t="shared" si="149"/>
        <v>0</v>
      </c>
      <c r="K2404" s="2">
        <f t="shared" si="150"/>
        <v>0</v>
      </c>
    </row>
    <row r="2405" spans="1:11">
      <c r="A2405" s="3"/>
      <c r="E2405" s="3" t="s">
        <v>2674</v>
      </c>
      <c r="F2405" s="3" t="s">
        <v>2679</v>
      </c>
      <c r="G2405" s="5" t="str">
        <f t="shared" si="146"/>
        <v>11-12</v>
      </c>
      <c r="H2405" s="1">
        <f>_xlfn.IFNA(VLOOKUP(Aragon!E2405,'Kilter Holds'!$P$36:$AB$370,5,0),0)+_xlfn.IFNA(VLOOKUP(A2405,'Kilter Holds'!$P$36:$AB$370,5,0),0)</f>
        <v>0</v>
      </c>
      <c r="J2405" s="2">
        <f t="shared" si="149"/>
        <v>0</v>
      </c>
      <c r="K2405" s="2">
        <f t="shared" si="150"/>
        <v>0</v>
      </c>
    </row>
    <row r="2406" spans="1:11">
      <c r="A2406" s="3"/>
      <c r="E2406" s="3" t="s">
        <v>2674</v>
      </c>
      <c r="F2406" s="3" t="s">
        <v>2679</v>
      </c>
      <c r="G2406" s="6" t="str">
        <f t="shared" si="146"/>
        <v>14-01</v>
      </c>
      <c r="H2406" s="1">
        <f>_xlfn.IFNA(VLOOKUP(Aragon!E2406,'Kilter Holds'!$P$36:$AB$370,6,0),0)+_xlfn.IFNA(VLOOKUP(A2406,'Kilter Holds'!$P$36:$AB$370,6,0),0)</f>
        <v>0</v>
      </c>
      <c r="J2406" s="2">
        <f t="shared" si="149"/>
        <v>0</v>
      </c>
      <c r="K2406" s="2">
        <f t="shared" si="150"/>
        <v>0</v>
      </c>
    </row>
    <row r="2407" spans="1:11">
      <c r="A2407" s="3"/>
      <c r="E2407" s="3" t="s">
        <v>2674</v>
      </c>
      <c r="F2407" s="3" t="s">
        <v>2679</v>
      </c>
      <c r="G2407" s="7" t="str">
        <f t="shared" si="146"/>
        <v>15-12</v>
      </c>
      <c r="H2407" s="1">
        <f>_xlfn.IFNA(VLOOKUP(Aragon!E2407,'Kilter Holds'!$P$36:$AB$370,7,0),0)+_xlfn.IFNA(VLOOKUP(A2407,'Kilter Holds'!$P$36:$AB$370,7,0),0)</f>
        <v>0</v>
      </c>
      <c r="J2407" s="2">
        <f t="shared" si="149"/>
        <v>0</v>
      </c>
      <c r="K2407" s="2">
        <f t="shared" si="150"/>
        <v>0</v>
      </c>
    </row>
    <row r="2408" spans="1:11">
      <c r="A2408" s="3"/>
      <c r="E2408" s="3" t="s">
        <v>2674</v>
      </c>
      <c r="F2408" s="3" t="s">
        <v>2679</v>
      </c>
      <c r="G2408" s="8" t="str">
        <f t="shared" si="146"/>
        <v>16-16</v>
      </c>
      <c r="H2408" s="1">
        <f>_xlfn.IFNA(VLOOKUP(Aragon!E2408,'Kilter Holds'!$P$36:$AB$370,8,0),0)+_xlfn.IFNA(VLOOKUP(A2408,'Kilter Holds'!$P$36:$AB$370,8,0),0)</f>
        <v>0</v>
      </c>
      <c r="J2408" s="2">
        <f t="shared" si="149"/>
        <v>0</v>
      </c>
      <c r="K2408" s="2">
        <f t="shared" si="150"/>
        <v>0</v>
      </c>
    </row>
    <row r="2409" spans="1:11">
      <c r="A2409" s="3"/>
      <c r="E2409" s="3" t="s">
        <v>2674</v>
      </c>
      <c r="F2409" s="3" t="s">
        <v>2679</v>
      </c>
      <c r="G2409" s="9" t="str">
        <f t="shared" si="146"/>
        <v>13-01</v>
      </c>
      <c r="H2409" s="1">
        <f>_xlfn.IFNA(VLOOKUP(Aragon!E2409,'Kilter Holds'!$P$36:$AB$370,9,0),0)+_xlfn.IFNA(VLOOKUP(A2409,'Kilter Holds'!$P$36:$AB$370,9,0),0)</f>
        <v>0</v>
      </c>
      <c r="J2409" s="2">
        <f t="shared" si="149"/>
        <v>0</v>
      </c>
      <c r="K2409" s="2">
        <f t="shared" si="150"/>
        <v>0</v>
      </c>
    </row>
    <row r="2410" spans="1:11">
      <c r="A2410" s="3"/>
      <c r="E2410" s="3" t="s">
        <v>2674</v>
      </c>
      <c r="F2410" s="3" t="s">
        <v>2679</v>
      </c>
      <c r="G2410" s="10" t="str">
        <f t="shared" ref="G2410:G2473" si="151">G2401</f>
        <v>07-13</v>
      </c>
      <c r="H2410" s="1">
        <f>_xlfn.IFNA(VLOOKUP(Aragon!E2410,'Kilter Holds'!$P$36:$AB$370,10,0),0)+_xlfn.IFNA(VLOOKUP(A2410,'Kilter Holds'!$P$36:$AB$370,10,0),0)</f>
        <v>0</v>
      </c>
      <c r="J2410" s="2">
        <f t="shared" si="149"/>
        <v>0</v>
      </c>
      <c r="K2410" s="2">
        <f t="shared" si="150"/>
        <v>0</v>
      </c>
    </row>
    <row r="2411" spans="1:11">
      <c r="A2411" s="3"/>
      <c r="E2411" s="3" t="s">
        <v>2674</v>
      </c>
      <c r="F2411" s="3" t="s">
        <v>2679</v>
      </c>
      <c r="G2411" s="11" t="str">
        <f t="shared" si="151"/>
        <v>11-25</v>
      </c>
      <c r="H2411" s="1">
        <f>_xlfn.IFNA(VLOOKUP(Aragon!E2411,'Kilter Holds'!$P$36:$AB$370,11,0),0)+_xlfn.IFNA(VLOOKUP(A2411,'Kilter Holds'!$P$36:$AB$370,11,0),0)</f>
        <v>0</v>
      </c>
      <c r="J2411" s="2">
        <f t="shared" si="149"/>
        <v>0</v>
      </c>
      <c r="K2411" s="2">
        <f t="shared" si="150"/>
        <v>0</v>
      </c>
    </row>
    <row r="2412" spans="1:11">
      <c r="A2412" s="3"/>
      <c r="E2412" s="3" t="s">
        <v>2674</v>
      </c>
      <c r="F2412" s="3" t="s">
        <v>2679</v>
      </c>
      <c r="G2412" s="13" t="str">
        <f t="shared" si="151"/>
        <v>18-01</v>
      </c>
      <c r="H2412" s="1">
        <f>_xlfn.IFNA(VLOOKUP(Aragon!E2412,'Kilter Holds'!$P$36:$AB$370,12,0),0)+_xlfn.IFNA(VLOOKUP(A2412,'Kilter Holds'!$P$36:$AB$370,12,0),0)</f>
        <v>0</v>
      </c>
      <c r="J2412" s="2">
        <f t="shared" si="149"/>
        <v>0</v>
      </c>
      <c r="K2412" s="2">
        <f t="shared" si="150"/>
        <v>0</v>
      </c>
    </row>
    <row r="2413" spans="1:11">
      <c r="A2413" s="3"/>
      <c r="E2413" s="3" t="s">
        <v>2674</v>
      </c>
      <c r="F2413" s="3" t="s">
        <v>2679</v>
      </c>
      <c r="G2413" s="12" t="str">
        <f t="shared" si="151"/>
        <v>12-01</v>
      </c>
      <c r="H2413" s="1">
        <f>_xlfn.IFNA(VLOOKUP(Aragon!E2413,'Kilter Holds'!$P$36:$AB$370,13,0),0)+_xlfn.IFNA(VLOOKUP(A2413,'Kilter Holds'!$P$36:$AB$370,13,0),0)</f>
        <v>0</v>
      </c>
      <c r="J2413" s="2">
        <f t="shared" si="149"/>
        <v>0</v>
      </c>
      <c r="K2413" s="2">
        <f t="shared" si="150"/>
        <v>0</v>
      </c>
    </row>
    <row r="2414" spans="1:11">
      <c r="A2414" s="3"/>
      <c r="E2414" s="3" t="s">
        <v>2704</v>
      </c>
      <c r="F2414" s="3" t="s">
        <v>2705</v>
      </c>
      <c r="G2414" s="5" t="str">
        <f t="shared" si="151"/>
        <v>11-12</v>
      </c>
      <c r="H2414" s="1">
        <f>_xlfn.IFNA(VLOOKUP(Aragon!E2414,'Kilter Holds'!$P$36:$AB$370,5,0),0)+_xlfn.IFNA(VLOOKUP(A2414,'Kilter Holds'!$P$36:$AB$370,5,0),0)</f>
        <v>0</v>
      </c>
      <c r="J2414" s="2">
        <f t="shared" ref="J2414:J2431" si="152">H2414*I2414</f>
        <v>0</v>
      </c>
      <c r="K2414" s="2">
        <f t="shared" ref="K2414:K2431" si="153">IF($V$11="Y",J2414*0.05,0)</f>
        <v>0</v>
      </c>
    </row>
    <row r="2415" spans="1:11">
      <c r="A2415" s="3"/>
      <c r="E2415" s="3" t="s">
        <v>2704</v>
      </c>
      <c r="F2415" s="3" t="s">
        <v>2705</v>
      </c>
      <c r="G2415" s="6" t="str">
        <f t="shared" si="151"/>
        <v>14-01</v>
      </c>
      <c r="H2415" s="1">
        <f>_xlfn.IFNA(VLOOKUP(Aragon!E2415,'Kilter Holds'!$P$36:$AB$370,6,0),0)+_xlfn.IFNA(VLOOKUP(A2415,'Kilter Holds'!$P$36:$AB$370,6,0),0)</f>
        <v>0</v>
      </c>
      <c r="J2415" s="2">
        <f t="shared" si="152"/>
        <v>0</v>
      </c>
      <c r="K2415" s="2">
        <f t="shared" si="153"/>
        <v>0</v>
      </c>
    </row>
    <row r="2416" spans="1:11">
      <c r="A2416" s="3"/>
      <c r="E2416" s="3" t="s">
        <v>2704</v>
      </c>
      <c r="F2416" s="3" t="s">
        <v>2705</v>
      </c>
      <c r="G2416" s="7" t="str">
        <f t="shared" si="151"/>
        <v>15-12</v>
      </c>
      <c r="H2416" s="1">
        <f>_xlfn.IFNA(VLOOKUP(Aragon!E2416,'Kilter Holds'!$P$36:$AB$370,7,0),0)+_xlfn.IFNA(VLOOKUP(A2416,'Kilter Holds'!$P$36:$AB$370,7,0),0)</f>
        <v>0</v>
      </c>
      <c r="J2416" s="2">
        <f t="shared" si="152"/>
        <v>0</v>
      </c>
      <c r="K2416" s="2">
        <f t="shared" si="153"/>
        <v>0</v>
      </c>
    </row>
    <row r="2417" spans="1:11">
      <c r="A2417" s="3"/>
      <c r="E2417" s="3" t="s">
        <v>2704</v>
      </c>
      <c r="F2417" s="3" t="s">
        <v>2705</v>
      </c>
      <c r="G2417" s="8" t="str">
        <f t="shared" si="151"/>
        <v>16-16</v>
      </c>
      <c r="H2417" s="1">
        <f>_xlfn.IFNA(VLOOKUP(Aragon!E2417,'Kilter Holds'!$P$36:$AB$370,8,0),0)+_xlfn.IFNA(VLOOKUP(A2417,'Kilter Holds'!$P$36:$AB$370,8,0),0)</f>
        <v>0</v>
      </c>
      <c r="J2417" s="2">
        <f t="shared" si="152"/>
        <v>0</v>
      </c>
      <c r="K2417" s="2">
        <f t="shared" si="153"/>
        <v>0</v>
      </c>
    </row>
    <row r="2418" spans="1:11">
      <c r="A2418" s="3"/>
      <c r="E2418" s="3" t="s">
        <v>2704</v>
      </c>
      <c r="F2418" s="3" t="s">
        <v>2705</v>
      </c>
      <c r="G2418" s="9" t="str">
        <f t="shared" si="151"/>
        <v>13-01</v>
      </c>
      <c r="H2418" s="1">
        <f>_xlfn.IFNA(VLOOKUP(Aragon!E2418,'Kilter Holds'!$P$36:$AB$370,9,0),0)+_xlfn.IFNA(VLOOKUP(A2418,'Kilter Holds'!$P$36:$AB$370,9,0),0)</f>
        <v>0</v>
      </c>
      <c r="J2418" s="2">
        <f t="shared" si="152"/>
        <v>0</v>
      </c>
      <c r="K2418" s="2">
        <f t="shared" si="153"/>
        <v>0</v>
      </c>
    </row>
    <row r="2419" spans="1:11">
      <c r="A2419" s="3"/>
      <c r="E2419" s="3" t="s">
        <v>2704</v>
      </c>
      <c r="F2419" s="3" t="s">
        <v>2705</v>
      </c>
      <c r="G2419" s="10" t="str">
        <f t="shared" si="151"/>
        <v>07-13</v>
      </c>
      <c r="H2419" s="1">
        <f>_xlfn.IFNA(VLOOKUP(Aragon!E2419,'Kilter Holds'!$P$36:$AB$370,10,0),0)+_xlfn.IFNA(VLOOKUP(A2419,'Kilter Holds'!$P$36:$AB$370,10,0),0)</f>
        <v>0</v>
      </c>
      <c r="J2419" s="2">
        <f t="shared" si="152"/>
        <v>0</v>
      </c>
      <c r="K2419" s="2">
        <f t="shared" si="153"/>
        <v>0</v>
      </c>
    </row>
    <row r="2420" spans="1:11">
      <c r="A2420" s="3"/>
      <c r="E2420" s="3" t="s">
        <v>2704</v>
      </c>
      <c r="F2420" s="3" t="s">
        <v>2705</v>
      </c>
      <c r="G2420" s="11" t="str">
        <f t="shared" si="151"/>
        <v>11-25</v>
      </c>
      <c r="H2420" s="1">
        <f>_xlfn.IFNA(VLOOKUP(Aragon!E2420,'Kilter Holds'!$P$36:$AB$370,11,0),0)+_xlfn.IFNA(VLOOKUP(A2420,'Kilter Holds'!$P$36:$AB$370,11,0),0)</f>
        <v>0</v>
      </c>
      <c r="J2420" s="2">
        <f t="shared" si="152"/>
        <v>0</v>
      </c>
      <c r="K2420" s="2">
        <f t="shared" si="153"/>
        <v>0</v>
      </c>
    </row>
    <row r="2421" spans="1:11">
      <c r="A2421" s="3"/>
      <c r="E2421" s="3" t="s">
        <v>2704</v>
      </c>
      <c r="F2421" s="3" t="s">
        <v>2705</v>
      </c>
      <c r="G2421" s="13" t="str">
        <f t="shared" si="151"/>
        <v>18-01</v>
      </c>
      <c r="H2421" s="1">
        <f>_xlfn.IFNA(VLOOKUP(Aragon!E2421,'Kilter Holds'!$P$36:$AB$370,12,0),0)+_xlfn.IFNA(VLOOKUP(A2421,'Kilter Holds'!$P$36:$AB$370,12,0),0)</f>
        <v>0</v>
      </c>
      <c r="J2421" s="2">
        <f t="shared" si="152"/>
        <v>0</v>
      </c>
      <c r="K2421" s="2">
        <f t="shared" si="153"/>
        <v>0</v>
      </c>
    </row>
    <row r="2422" spans="1:11">
      <c r="A2422" s="3"/>
      <c r="E2422" s="3" t="s">
        <v>2704</v>
      </c>
      <c r="F2422" s="3" t="s">
        <v>2705</v>
      </c>
      <c r="G2422" s="12" t="str">
        <f t="shared" si="151"/>
        <v>12-01</v>
      </c>
      <c r="H2422" s="1">
        <f>_xlfn.IFNA(VLOOKUP(Aragon!E2422,'Kilter Holds'!$P$36:$AB$370,13,0),0)+_xlfn.IFNA(VLOOKUP(A2422,'Kilter Holds'!$P$36:$AB$370,13,0),0)</f>
        <v>0</v>
      </c>
      <c r="J2422" s="2">
        <f t="shared" si="152"/>
        <v>0</v>
      </c>
      <c r="K2422" s="2">
        <f t="shared" si="153"/>
        <v>0</v>
      </c>
    </row>
    <row r="2423" spans="1:11">
      <c r="A2423" s="3"/>
      <c r="E2423" s="3" t="s">
        <v>2703</v>
      </c>
      <c r="F2423" s="3" t="s">
        <v>2706</v>
      </c>
      <c r="G2423" s="5" t="str">
        <f t="shared" si="151"/>
        <v>11-12</v>
      </c>
      <c r="H2423" s="1">
        <f>_xlfn.IFNA(VLOOKUP(Aragon!E2423,'Kilter Holds'!$P$36:$AB$370,5,0),0)+_xlfn.IFNA(VLOOKUP(A2423,'Kilter Holds'!$P$36:$AB$370,5,0),0)</f>
        <v>0</v>
      </c>
      <c r="J2423" s="2">
        <f t="shared" si="152"/>
        <v>0</v>
      </c>
      <c r="K2423" s="2">
        <f t="shared" si="153"/>
        <v>0</v>
      </c>
    </row>
    <row r="2424" spans="1:11">
      <c r="A2424" s="3"/>
      <c r="E2424" s="3" t="s">
        <v>2703</v>
      </c>
      <c r="F2424" s="3" t="s">
        <v>2706</v>
      </c>
      <c r="G2424" s="6" t="str">
        <f t="shared" si="151"/>
        <v>14-01</v>
      </c>
      <c r="H2424" s="1">
        <f>_xlfn.IFNA(VLOOKUP(Aragon!E2424,'Kilter Holds'!$P$36:$AB$370,6,0),0)+_xlfn.IFNA(VLOOKUP(A2424,'Kilter Holds'!$P$36:$AB$370,6,0),0)</f>
        <v>0</v>
      </c>
      <c r="J2424" s="2">
        <f t="shared" si="152"/>
        <v>0</v>
      </c>
      <c r="K2424" s="2">
        <f t="shared" si="153"/>
        <v>0</v>
      </c>
    </row>
    <row r="2425" spans="1:11">
      <c r="A2425" s="3"/>
      <c r="E2425" s="3" t="s">
        <v>2703</v>
      </c>
      <c r="F2425" s="3" t="s">
        <v>2706</v>
      </c>
      <c r="G2425" s="7" t="str">
        <f t="shared" si="151"/>
        <v>15-12</v>
      </c>
      <c r="H2425" s="1">
        <f>_xlfn.IFNA(VLOOKUP(Aragon!E2425,'Kilter Holds'!$P$36:$AB$370,7,0),0)+_xlfn.IFNA(VLOOKUP(A2425,'Kilter Holds'!$P$36:$AB$370,7,0),0)</f>
        <v>0</v>
      </c>
      <c r="J2425" s="2">
        <f t="shared" si="152"/>
        <v>0</v>
      </c>
      <c r="K2425" s="2">
        <f t="shared" si="153"/>
        <v>0</v>
      </c>
    </row>
    <row r="2426" spans="1:11">
      <c r="A2426" s="3"/>
      <c r="E2426" s="3" t="s">
        <v>2703</v>
      </c>
      <c r="F2426" s="3" t="s">
        <v>2706</v>
      </c>
      <c r="G2426" s="8" t="str">
        <f t="shared" si="151"/>
        <v>16-16</v>
      </c>
      <c r="H2426" s="1">
        <f>_xlfn.IFNA(VLOOKUP(Aragon!E2426,'Kilter Holds'!$P$36:$AB$370,8,0),0)+_xlfn.IFNA(VLOOKUP(A2426,'Kilter Holds'!$P$36:$AB$370,8,0),0)</f>
        <v>0</v>
      </c>
      <c r="J2426" s="2">
        <f t="shared" si="152"/>
        <v>0</v>
      </c>
      <c r="K2426" s="2">
        <f t="shared" si="153"/>
        <v>0</v>
      </c>
    </row>
    <row r="2427" spans="1:11">
      <c r="A2427" s="3"/>
      <c r="E2427" s="3" t="s">
        <v>2703</v>
      </c>
      <c r="F2427" s="3" t="s">
        <v>2706</v>
      </c>
      <c r="G2427" s="9" t="str">
        <f t="shared" si="151"/>
        <v>13-01</v>
      </c>
      <c r="H2427" s="1">
        <f>_xlfn.IFNA(VLOOKUP(Aragon!E2427,'Kilter Holds'!$P$36:$AB$370,9,0),0)+_xlfn.IFNA(VLOOKUP(A2427,'Kilter Holds'!$P$36:$AB$370,9,0),0)</f>
        <v>0</v>
      </c>
      <c r="J2427" s="2">
        <f t="shared" si="152"/>
        <v>0</v>
      </c>
      <c r="K2427" s="2">
        <f t="shared" si="153"/>
        <v>0</v>
      </c>
    </row>
    <row r="2428" spans="1:11">
      <c r="A2428" s="3"/>
      <c r="E2428" s="3" t="s">
        <v>2703</v>
      </c>
      <c r="F2428" s="3" t="s">
        <v>2706</v>
      </c>
      <c r="G2428" s="10" t="str">
        <f t="shared" si="151"/>
        <v>07-13</v>
      </c>
      <c r="H2428" s="1">
        <f>_xlfn.IFNA(VLOOKUP(Aragon!E2428,'Kilter Holds'!$P$36:$AB$370,10,0),0)+_xlfn.IFNA(VLOOKUP(A2428,'Kilter Holds'!$P$36:$AB$370,10,0),0)</f>
        <v>0</v>
      </c>
      <c r="J2428" s="2">
        <f t="shared" si="152"/>
        <v>0</v>
      </c>
      <c r="K2428" s="2">
        <f t="shared" si="153"/>
        <v>0</v>
      </c>
    </row>
    <row r="2429" spans="1:11">
      <c r="A2429" s="3"/>
      <c r="E2429" s="3" t="s">
        <v>2703</v>
      </c>
      <c r="F2429" s="3" t="s">
        <v>2706</v>
      </c>
      <c r="G2429" s="11" t="str">
        <f t="shared" si="151"/>
        <v>11-25</v>
      </c>
      <c r="H2429" s="1">
        <f>_xlfn.IFNA(VLOOKUP(Aragon!E2429,'Kilter Holds'!$P$36:$AB$370,11,0),0)+_xlfn.IFNA(VLOOKUP(A2429,'Kilter Holds'!$P$36:$AB$370,11,0),0)</f>
        <v>0</v>
      </c>
      <c r="J2429" s="2">
        <f t="shared" si="152"/>
        <v>0</v>
      </c>
      <c r="K2429" s="2">
        <f t="shared" si="153"/>
        <v>0</v>
      </c>
    </row>
    <row r="2430" spans="1:11">
      <c r="A2430" s="3"/>
      <c r="E2430" s="3" t="s">
        <v>2703</v>
      </c>
      <c r="F2430" s="3" t="s">
        <v>2706</v>
      </c>
      <c r="G2430" s="13" t="str">
        <f t="shared" si="151"/>
        <v>18-01</v>
      </c>
      <c r="H2430" s="1">
        <f>_xlfn.IFNA(VLOOKUP(Aragon!E2430,'Kilter Holds'!$P$36:$AB$370,12,0),0)+_xlfn.IFNA(VLOOKUP(A2430,'Kilter Holds'!$P$36:$AB$370,12,0),0)</f>
        <v>0</v>
      </c>
      <c r="J2430" s="2">
        <f t="shared" si="152"/>
        <v>0</v>
      </c>
      <c r="K2430" s="2">
        <f t="shared" si="153"/>
        <v>0</v>
      </c>
    </row>
    <row r="2431" spans="1:11">
      <c r="A2431" s="3"/>
      <c r="E2431" s="3" t="s">
        <v>2703</v>
      </c>
      <c r="F2431" s="3" t="s">
        <v>2706</v>
      </c>
      <c r="G2431" s="12" t="str">
        <f t="shared" si="151"/>
        <v>12-01</v>
      </c>
      <c r="H2431" s="1">
        <f>_xlfn.IFNA(VLOOKUP(Aragon!E2431,'Kilter Holds'!$P$36:$AB$370,13,0),0)+_xlfn.IFNA(VLOOKUP(A2431,'Kilter Holds'!$P$36:$AB$370,13,0),0)</f>
        <v>0</v>
      </c>
      <c r="J2431" s="2">
        <f t="shared" si="152"/>
        <v>0</v>
      </c>
      <c r="K2431" s="2">
        <f t="shared" si="153"/>
        <v>0</v>
      </c>
    </row>
    <row r="2432" spans="1:11">
      <c r="A2432" s="3"/>
      <c r="E2432" s="3" t="s">
        <v>2721</v>
      </c>
      <c r="F2432" s="3" t="s">
        <v>2722</v>
      </c>
      <c r="G2432" s="5" t="str">
        <f t="shared" si="151"/>
        <v>11-12</v>
      </c>
      <c r="H2432" s="1">
        <f>_xlfn.IFNA(VLOOKUP(Aragon!E2432,'Kilter Holds'!$P$36:$AB$370,5,0),0)+_xlfn.IFNA(VLOOKUP(A2432,'Kilter Holds'!$P$36:$AB$370,5,0),0)</f>
        <v>0</v>
      </c>
      <c r="J2432" s="2">
        <f t="shared" ref="J2432:J2495" si="154">H2432*I2432</f>
        <v>0</v>
      </c>
      <c r="K2432" s="2">
        <f t="shared" ref="K2432:K2495" si="155">IF($V$11="Y",J2432*0.05,0)</f>
        <v>0</v>
      </c>
    </row>
    <row r="2433" spans="1:11">
      <c r="A2433" s="3"/>
      <c r="E2433" s="3" t="s">
        <v>2721</v>
      </c>
      <c r="F2433" s="3" t="s">
        <v>2722</v>
      </c>
      <c r="G2433" s="6" t="str">
        <f t="shared" si="151"/>
        <v>14-01</v>
      </c>
      <c r="H2433" s="1">
        <f>_xlfn.IFNA(VLOOKUP(Aragon!E2433,'Kilter Holds'!$P$36:$AB$370,6,0),0)+_xlfn.IFNA(VLOOKUP(A2433,'Kilter Holds'!$P$36:$AB$370,6,0),0)</f>
        <v>0</v>
      </c>
      <c r="J2433" s="2">
        <f t="shared" si="154"/>
        <v>0</v>
      </c>
      <c r="K2433" s="2">
        <f t="shared" si="155"/>
        <v>0</v>
      </c>
    </row>
    <row r="2434" spans="1:11">
      <c r="A2434" s="3"/>
      <c r="E2434" s="3" t="s">
        <v>2721</v>
      </c>
      <c r="F2434" s="3" t="s">
        <v>2722</v>
      </c>
      <c r="G2434" s="7" t="str">
        <f t="shared" si="151"/>
        <v>15-12</v>
      </c>
      <c r="H2434" s="1">
        <f>_xlfn.IFNA(VLOOKUP(Aragon!E2434,'Kilter Holds'!$P$36:$AB$370,7,0),0)+_xlfn.IFNA(VLOOKUP(A2434,'Kilter Holds'!$P$36:$AB$370,7,0),0)</f>
        <v>0</v>
      </c>
      <c r="J2434" s="2">
        <f t="shared" si="154"/>
        <v>0</v>
      </c>
      <c r="K2434" s="2">
        <f t="shared" si="155"/>
        <v>0</v>
      </c>
    </row>
    <row r="2435" spans="1:11">
      <c r="A2435" s="3"/>
      <c r="E2435" s="3" t="s">
        <v>2721</v>
      </c>
      <c r="F2435" s="3" t="s">
        <v>2722</v>
      </c>
      <c r="G2435" s="8" t="str">
        <f t="shared" si="151"/>
        <v>16-16</v>
      </c>
      <c r="H2435" s="1">
        <f>_xlfn.IFNA(VLOOKUP(Aragon!E2435,'Kilter Holds'!$P$36:$AB$370,8,0),0)+_xlfn.IFNA(VLOOKUP(A2435,'Kilter Holds'!$P$36:$AB$370,8,0),0)</f>
        <v>0</v>
      </c>
      <c r="J2435" s="2">
        <f t="shared" si="154"/>
        <v>0</v>
      </c>
      <c r="K2435" s="2">
        <f t="shared" si="155"/>
        <v>0</v>
      </c>
    </row>
    <row r="2436" spans="1:11">
      <c r="A2436" s="3"/>
      <c r="E2436" s="3" t="s">
        <v>2721</v>
      </c>
      <c r="F2436" s="3" t="s">
        <v>2722</v>
      </c>
      <c r="G2436" s="9" t="str">
        <f t="shared" si="151"/>
        <v>13-01</v>
      </c>
      <c r="H2436" s="1">
        <f>_xlfn.IFNA(VLOOKUP(Aragon!E2436,'Kilter Holds'!$P$36:$AB$370,9,0),0)+_xlfn.IFNA(VLOOKUP(A2436,'Kilter Holds'!$P$36:$AB$370,9,0),0)</f>
        <v>0</v>
      </c>
      <c r="J2436" s="2">
        <f t="shared" si="154"/>
        <v>0</v>
      </c>
      <c r="K2436" s="2">
        <f t="shared" si="155"/>
        <v>0</v>
      </c>
    </row>
    <row r="2437" spans="1:11">
      <c r="A2437" s="3"/>
      <c r="E2437" s="3" t="s">
        <v>2721</v>
      </c>
      <c r="F2437" s="3" t="s">
        <v>2722</v>
      </c>
      <c r="G2437" s="10" t="str">
        <f t="shared" si="151"/>
        <v>07-13</v>
      </c>
      <c r="H2437" s="1">
        <f>_xlfn.IFNA(VLOOKUP(Aragon!E2437,'Kilter Holds'!$P$36:$AB$370,10,0),0)+_xlfn.IFNA(VLOOKUP(A2437,'Kilter Holds'!$P$36:$AB$370,10,0),0)</f>
        <v>0</v>
      </c>
      <c r="J2437" s="2">
        <f t="shared" si="154"/>
        <v>0</v>
      </c>
      <c r="K2437" s="2">
        <f t="shared" si="155"/>
        <v>0</v>
      </c>
    </row>
    <row r="2438" spans="1:11">
      <c r="A2438" s="3"/>
      <c r="E2438" s="3" t="s">
        <v>2721</v>
      </c>
      <c r="F2438" s="3" t="s">
        <v>2722</v>
      </c>
      <c r="G2438" s="11" t="str">
        <f t="shared" si="151"/>
        <v>11-25</v>
      </c>
      <c r="H2438" s="1">
        <f>_xlfn.IFNA(VLOOKUP(Aragon!E2438,'Kilter Holds'!$P$36:$AB$370,11,0),0)+_xlfn.IFNA(VLOOKUP(A2438,'Kilter Holds'!$P$36:$AB$370,11,0),0)</f>
        <v>0</v>
      </c>
      <c r="J2438" s="2">
        <f t="shared" si="154"/>
        <v>0</v>
      </c>
      <c r="K2438" s="2">
        <f t="shared" si="155"/>
        <v>0</v>
      </c>
    </row>
    <row r="2439" spans="1:11">
      <c r="A2439" s="3"/>
      <c r="E2439" s="3" t="s">
        <v>2721</v>
      </c>
      <c r="F2439" s="3" t="s">
        <v>2722</v>
      </c>
      <c r="G2439" s="13" t="str">
        <f t="shared" si="151"/>
        <v>18-01</v>
      </c>
      <c r="H2439" s="1">
        <f>_xlfn.IFNA(VLOOKUP(Aragon!E2439,'Kilter Holds'!$P$36:$AB$370,12,0),0)+_xlfn.IFNA(VLOOKUP(A2439,'Kilter Holds'!$P$36:$AB$370,12,0),0)</f>
        <v>0</v>
      </c>
      <c r="J2439" s="2">
        <f t="shared" si="154"/>
        <v>0</v>
      </c>
      <c r="K2439" s="2">
        <f t="shared" si="155"/>
        <v>0</v>
      </c>
    </row>
    <row r="2440" spans="1:11">
      <c r="A2440" s="3"/>
      <c r="E2440" s="3" t="s">
        <v>2721</v>
      </c>
      <c r="F2440" s="3" t="s">
        <v>2722</v>
      </c>
      <c r="G2440" s="12" t="str">
        <f t="shared" si="151"/>
        <v>12-01</v>
      </c>
      <c r="H2440" s="1">
        <f>_xlfn.IFNA(VLOOKUP(Aragon!E2440,'Kilter Holds'!$P$36:$AB$370,13,0),0)+_xlfn.IFNA(VLOOKUP(A2440,'Kilter Holds'!$P$36:$AB$370,13,0),0)</f>
        <v>0</v>
      </c>
      <c r="J2440" s="2">
        <f t="shared" si="154"/>
        <v>0</v>
      </c>
      <c r="K2440" s="2">
        <f t="shared" si="155"/>
        <v>0</v>
      </c>
    </row>
    <row r="2441" spans="1:11">
      <c r="A2441" s="3"/>
      <c r="E2441" s="3" t="s">
        <v>2723</v>
      </c>
      <c r="F2441" s="3" t="s">
        <v>2724</v>
      </c>
      <c r="G2441" s="5" t="str">
        <f t="shared" si="151"/>
        <v>11-12</v>
      </c>
      <c r="H2441" s="1">
        <f>_xlfn.IFNA(VLOOKUP(Aragon!E2441,'Kilter Holds'!$P$36:$AB$370,5,0),0)+_xlfn.IFNA(VLOOKUP(A2441,'Kilter Holds'!$P$36:$AB$370,5,0),0)</f>
        <v>0</v>
      </c>
      <c r="J2441" s="2">
        <f t="shared" si="154"/>
        <v>0</v>
      </c>
      <c r="K2441" s="2">
        <f t="shared" si="155"/>
        <v>0</v>
      </c>
    </row>
    <row r="2442" spans="1:11">
      <c r="A2442" s="3"/>
      <c r="E2442" s="3" t="s">
        <v>2723</v>
      </c>
      <c r="F2442" s="3" t="s">
        <v>2724</v>
      </c>
      <c r="G2442" s="6" t="str">
        <f t="shared" si="151"/>
        <v>14-01</v>
      </c>
      <c r="H2442" s="1">
        <f>_xlfn.IFNA(VLOOKUP(Aragon!E2442,'Kilter Holds'!$P$36:$AB$370,6,0),0)+_xlfn.IFNA(VLOOKUP(A2442,'Kilter Holds'!$P$36:$AB$370,6,0),0)</f>
        <v>0</v>
      </c>
      <c r="J2442" s="2">
        <f t="shared" si="154"/>
        <v>0</v>
      </c>
      <c r="K2442" s="2">
        <f t="shared" si="155"/>
        <v>0</v>
      </c>
    </row>
    <row r="2443" spans="1:11">
      <c r="A2443" s="3"/>
      <c r="E2443" s="3" t="s">
        <v>2723</v>
      </c>
      <c r="F2443" s="3" t="s">
        <v>2724</v>
      </c>
      <c r="G2443" s="7" t="str">
        <f t="shared" si="151"/>
        <v>15-12</v>
      </c>
      <c r="H2443" s="1">
        <f>_xlfn.IFNA(VLOOKUP(Aragon!E2443,'Kilter Holds'!$P$36:$AB$370,7,0),0)+_xlfn.IFNA(VLOOKUP(A2443,'Kilter Holds'!$P$36:$AB$370,7,0),0)</f>
        <v>0</v>
      </c>
      <c r="J2443" s="2">
        <f t="shared" si="154"/>
        <v>0</v>
      </c>
      <c r="K2443" s="2">
        <f t="shared" si="155"/>
        <v>0</v>
      </c>
    </row>
    <row r="2444" spans="1:11">
      <c r="A2444" s="3"/>
      <c r="E2444" s="3" t="s">
        <v>2723</v>
      </c>
      <c r="F2444" s="3" t="s">
        <v>2724</v>
      </c>
      <c r="G2444" s="8" t="str">
        <f t="shared" si="151"/>
        <v>16-16</v>
      </c>
      <c r="H2444" s="1">
        <f>_xlfn.IFNA(VLOOKUP(Aragon!E2444,'Kilter Holds'!$P$36:$AB$370,8,0),0)+_xlfn.IFNA(VLOOKUP(A2444,'Kilter Holds'!$P$36:$AB$370,8,0),0)</f>
        <v>0</v>
      </c>
      <c r="J2444" s="2">
        <f t="shared" si="154"/>
        <v>0</v>
      </c>
      <c r="K2444" s="2">
        <f t="shared" si="155"/>
        <v>0</v>
      </c>
    </row>
    <row r="2445" spans="1:11">
      <c r="A2445" s="3"/>
      <c r="E2445" s="3" t="s">
        <v>2723</v>
      </c>
      <c r="F2445" s="3" t="s">
        <v>2724</v>
      </c>
      <c r="G2445" s="9" t="str">
        <f t="shared" si="151"/>
        <v>13-01</v>
      </c>
      <c r="H2445" s="1">
        <f>_xlfn.IFNA(VLOOKUP(Aragon!E2445,'Kilter Holds'!$P$36:$AB$370,9,0),0)+_xlfn.IFNA(VLOOKUP(A2445,'Kilter Holds'!$P$36:$AB$370,9,0),0)</f>
        <v>0</v>
      </c>
      <c r="J2445" s="2">
        <f t="shared" si="154"/>
        <v>0</v>
      </c>
      <c r="K2445" s="2">
        <f t="shared" si="155"/>
        <v>0</v>
      </c>
    </row>
    <row r="2446" spans="1:11">
      <c r="A2446" s="3"/>
      <c r="E2446" s="3" t="s">
        <v>2723</v>
      </c>
      <c r="F2446" s="3" t="s">
        <v>2724</v>
      </c>
      <c r="G2446" s="10" t="str">
        <f t="shared" si="151"/>
        <v>07-13</v>
      </c>
      <c r="H2446" s="1">
        <f>_xlfn.IFNA(VLOOKUP(Aragon!E2446,'Kilter Holds'!$P$36:$AB$370,10,0),0)+_xlfn.IFNA(VLOOKUP(A2446,'Kilter Holds'!$P$36:$AB$370,10,0),0)</f>
        <v>0</v>
      </c>
      <c r="J2446" s="2">
        <f t="shared" si="154"/>
        <v>0</v>
      </c>
      <c r="K2446" s="2">
        <f t="shared" si="155"/>
        <v>0</v>
      </c>
    </row>
    <row r="2447" spans="1:11">
      <c r="A2447" s="3"/>
      <c r="E2447" s="3" t="s">
        <v>2723</v>
      </c>
      <c r="F2447" s="3" t="s">
        <v>2724</v>
      </c>
      <c r="G2447" s="11" t="str">
        <f t="shared" si="151"/>
        <v>11-25</v>
      </c>
      <c r="H2447" s="1">
        <f>_xlfn.IFNA(VLOOKUP(Aragon!E2447,'Kilter Holds'!$P$36:$AB$370,11,0),0)+_xlfn.IFNA(VLOOKUP(A2447,'Kilter Holds'!$P$36:$AB$370,11,0),0)</f>
        <v>0</v>
      </c>
      <c r="J2447" s="2">
        <f t="shared" si="154"/>
        <v>0</v>
      </c>
      <c r="K2447" s="2">
        <f t="shared" si="155"/>
        <v>0</v>
      </c>
    </row>
    <row r="2448" spans="1:11">
      <c r="A2448" s="3"/>
      <c r="E2448" s="3" t="s">
        <v>2723</v>
      </c>
      <c r="F2448" s="3" t="s">
        <v>2724</v>
      </c>
      <c r="G2448" s="13" t="str">
        <f t="shared" si="151"/>
        <v>18-01</v>
      </c>
      <c r="H2448" s="1">
        <f>_xlfn.IFNA(VLOOKUP(Aragon!E2448,'Kilter Holds'!$P$36:$AB$370,12,0),0)+_xlfn.IFNA(VLOOKUP(A2448,'Kilter Holds'!$P$36:$AB$370,12,0),0)</f>
        <v>0</v>
      </c>
      <c r="J2448" s="2">
        <f t="shared" si="154"/>
        <v>0</v>
      </c>
      <c r="K2448" s="2">
        <f t="shared" si="155"/>
        <v>0</v>
      </c>
    </row>
    <row r="2449" spans="1:11">
      <c r="A2449" s="3"/>
      <c r="E2449" s="3" t="s">
        <v>2723</v>
      </c>
      <c r="F2449" s="3" t="s">
        <v>2724</v>
      </c>
      <c r="G2449" s="12" t="str">
        <f t="shared" si="151"/>
        <v>12-01</v>
      </c>
      <c r="H2449" s="1">
        <f>_xlfn.IFNA(VLOOKUP(Aragon!E2449,'Kilter Holds'!$P$36:$AB$370,13,0),0)+_xlfn.IFNA(VLOOKUP(A2449,'Kilter Holds'!$P$36:$AB$370,13,0),0)</f>
        <v>0</v>
      </c>
      <c r="J2449" s="2">
        <f t="shared" si="154"/>
        <v>0</v>
      </c>
      <c r="K2449" s="2">
        <f t="shared" si="155"/>
        <v>0</v>
      </c>
    </row>
    <row r="2450" spans="1:11">
      <c r="A2450" s="3"/>
      <c r="E2450" s="3" t="s">
        <v>2725</v>
      </c>
      <c r="F2450" s="3" t="s">
        <v>2726</v>
      </c>
      <c r="G2450" s="5" t="str">
        <f t="shared" si="151"/>
        <v>11-12</v>
      </c>
      <c r="H2450" s="1">
        <f>_xlfn.IFNA(VLOOKUP(Aragon!E2450,'Kilter Holds'!$P$36:$AB$370,5,0),0)+_xlfn.IFNA(VLOOKUP(A2450,'Kilter Holds'!$P$36:$AB$370,5,0),0)</f>
        <v>0</v>
      </c>
      <c r="J2450" s="2">
        <f t="shared" si="154"/>
        <v>0</v>
      </c>
      <c r="K2450" s="2">
        <f t="shared" si="155"/>
        <v>0</v>
      </c>
    </row>
    <row r="2451" spans="1:11">
      <c r="A2451" s="3"/>
      <c r="E2451" s="3" t="s">
        <v>2725</v>
      </c>
      <c r="F2451" s="3" t="s">
        <v>2726</v>
      </c>
      <c r="G2451" s="6" t="str">
        <f t="shared" si="151"/>
        <v>14-01</v>
      </c>
      <c r="H2451" s="1">
        <f>_xlfn.IFNA(VLOOKUP(Aragon!E2451,'Kilter Holds'!$P$36:$AB$370,6,0),0)+_xlfn.IFNA(VLOOKUP(A2451,'Kilter Holds'!$P$36:$AB$370,6,0),0)</f>
        <v>0</v>
      </c>
      <c r="J2451" s="2">
        <f t="shared" si="154"/>
        <v>0</v>
      </c>
      <c r="K2451" s="2">
        <f t="shared" si="155"/>
        <v>0</v>
      </c>
    </row>
    <row r="2452" spans="1:11">
      <c r="A2452" s="3"/>
      <c r="E2452" s="3" t="s">
        <v>2725</v>
      </c>
      <c r="F2452" s="3" t="s">
        <v>2726</v>
      </c>
      <c r="G2452" s="7" t="str">
        <f t="shared" si="151"/>
        <v>15-12</v>
      </c>
      <c r="H2452" s="1">
        <f>_xlfn.IFNA(VLOOKUP(Aragon!E2452,'Kilter Holds'!$P$36:$AB$370,7,0),0)+_xlfn.IFNA(VLOOKUP(A2452,'Kilter Holds'!$P$36:$AB$370,7,0),0)</f>
        <v>0</v>
      </c>
      <c r="J2452" s="2">
        <f t="shared" si="154"/>
        <v>0</v>
      </c>
      <c r="K2452" s="2">
        <f t="shared" si="155"/>
        <v>0</v>
      </c>
    </row>
    <row r="2453" spans="1:11">
      <c r="A2453" s="3"/>
      <c r="E2453" s="3" t="s">
        <v>2725</v>
      </c>
      <c r="F2453" s="3" t="s">
        <v>2726</v>
      </c>
      <c r="G2453" s="8" t="str">
        <f t="shared" si="151"/>
        <v>16-16</v>
      </c>
      <c r="H2453" s="1">
        <f>_xlfn.IFNA(VLOOKUP(Aragon!E2453,'Kilter Holds'!$P$36:$AB$370,8,0),0)+_xlfn.IFNA(VLOOKUP(A2453,'Kilter Holds'!$P$36:$AB$370,8,0),0)</f>
        <v>0</v>
      </c>
      <c r="J2453" s="2">
        <f t="shared" si="154"/>
        <v>0</v>
      </c>
      <c r="K2453" s="2">
        <f t="shared" si="155"/>
        <v>0</v>
      </c>
    </row>
    <row r="2454" spans="1:11">
      <c r="A2454" s="3"/>
      <c r="E2454" s="3" t="s">
        <v>2725</v>
      </c>
      <c r="F2454" s="3" t="s">
        <v>2726</v>
      </c>
      <c r="G2454" s="9" t="str">
        <f t="shared" si="151"/>
        <v>13-01</v>
      </c>
      <c r="H2454" s="1">
        <f>_xlfn.IFNA(VLOOKUP(Aragon!E2454,'Kilter Holds'!$P$36:$AB$370,9,0),0)+_xlfn.IFNA(VLOOKUP(A2454,'Kilter Holds'!$P$36:$AB$370,9,0),0)</f>
        <v>0</v>
      </c>
      <c r="J2454" s="2">
        <f t="shared" si="154"/>
        <v>0</v>
      </c>
      <c r="K2454" s="2">
        <f t="shared" si="155"/>
        <v>0</v>
      </c>
    </row>
    <row r="2455" spans="1:11">
      <c r="A2455" s="3"/>
      <c r="E2455" s="3" t="s">
        <v>2725</v>
      </c>
      <c r="F2455" s="3" t="s">
        <v>2726</v>
      </c>
      <c r="G2455" s="10" t="str">
        <f t="shared" si="151"/>
        <v>07-13</v>
      </c>
      <c r="H2455" s="1">
        <f>_xlfn.IFNA(VLOOKUP(Aragon!E2455,'Kilter Holds'!$P$36:$AB$370,10,0),0)+_xlfn.IFNA(VLOOKUP(A2455,'Kilter Holds'!$P$36:$AB$370,10,0),0)</f>
        <v>0</v>
      </c>
      <c r="J2455" s="2">
        <f t="shared" si="154"/>
        <v>0</v>
      </c>
      <c r="K2455" s="2">
        <f t="shared" si="155"/>
        <v>0</v>
      </c>
    </row>
    <row r="2456" spans="1:11">
      <c r="A2456" s="3"/>
      <c r="E2456" s="3" t="s">
        <v>2725</v>
      </c>
      <c r="F2456" s="3" t="s">
        <v>2726</v>
      </c>
      <c r="G2456" s="11" t="str">
        <f t="shared" si="151"/>
        <v>11-25</v>
      </c>
      <c r="H2456" s="1">
        <f>_xlfn.IFNA(VLOOKUP(Aragon!E2456,'Kilter Holds'!$P$36:$AB$370,11,0),0)+_xlfn.IFNA(VLOOKUP(A2456,'Kilter Holds'!$P$36:$AB$370,11,0),0)</f>
        <v>0</v>
      </c>
      <c r="J2456" s="2">
        <f t="shared" si="154"/>
        <v>0</v>
      </c>
      <c r="K2456" s="2">
        <f t="shared" si="155"/>
        <v>0</v>
      </c>
    </row>
    <row r="2457" spans="1:11">
      <c r="A2457" s="3"/>
      <c r="E2457" s="3" t="s">
        <v>2725</v>
      </c>
      <c r="F2457" s="3" t="s">
        <v>2726</v>
      </c>
      <c r="G2457" s="13" t="str">
        <f t="shared" si="151"/>
        <v>18-01</v>
      </c>
      <c r="H2457" s="1">
        <f>_xlfn.IFNA(VLOOKUP(Aragon!E2457,'Kilter Holds'!$P$36:$AB$370,12,0),0)+_xlfn.IFNA(VLOOKUP(A2457,'Kilter Holds'!$P$36:$AB$370,12,0),0)</f>
        <v>0</v>
      </c>
      <c r="J2457" s="2">
        <f t="shared" si="154"/>
        <v>0</v>
      </c>
      <c r="K2457" s="2">
        <f t="shared" si="155"/>
        <v>0</v>
      </c>
    </row>
    <row r="2458" spans="1:11">
      <c r="A2458" s="3"/>
      <c r="E2458" s="3" t="s">
        <v>2725</v>
      </c>
      <c r="F2458" s="3" t="s">
        <v>2726</v>
      </c>
      <c r="G2458" s="12" t="str">
        <f t="shared" si="151"/>
        <v>12-01</v>
      </c>
      <c r="H2458" s="1">
        <f>_xlfn.IFNA(VLOOKUP(Aragon!E2458,'Kilter Holds'!$P$36:$AB$370,13,0),0)+_xlfn.IFNA(VLOOKUP(A2458,'Kilter Holds'!$P$36:$AB$370,13,0),0)</f>
        <v>0</v>
      </c>
      <c r="J2458" s="2">
        <f t="shared" si="154"/>
        <v>0</v>
      </c>
      <c r="K2458" s="2">
        <f t="shared" si="155"/>
        <v>0</v>
      </c>
    </row>
    <row r="2459" spans="1:11">
      <c r="A2459" s="3"/>
      <c r="E2459" s="3" t="s">
        <v>2727</v>
      </c>
      <c r="F2459" s="3" t="s">
        <v>2728</v>
      </c>
      <c r="G2459" s="5" t="str">
        <f t="shared" si="151"/>
        <v>11-12</v>
      </c>
      <c r="H2459" s="1">
        <f>_xlfn.IFNA(VLOOKUP(Aragon!E2459,'Kilter Holds'!$P$36:$AB$370,5,0),0)+_xlfn.IFNA(VLOOKUP(A2459,'Kilter Holds'!$P$36:$AB$370,5,0),0)</f>
        <v>0</v>
      </c>
      <c r="J2459" s="2">
        <f t="shared" si="154"/>
        <v>0</v>
      </c>
      <c r="K2459" s="2">
        <f t="shared" si="155"/>
        <v>0</v>
      </c>
    </row>
    <row r="2460" spans="1:11">
      <c r="A2460" s="3"/>
      <c r="E2460" s="3" t="s">
        <v>2727</v>
      </c>
      <c r="F2460" s="3" t="s">
        <v>2728</v>
      </c>
      <c r="G2460" s="6" t="str">
        <f t="shared" si="151"/>
        <v>14-01</v>
      </c>
      <c r="H2460" s="1">
        <f>_xlfn.IFNA(VLOOKUP(Aragon!E2460,'Kilter Holds'!$P$36:$AB$370,6,0),0)+_xlfn.IFNA(VLOOKUP(A2460,'Kilter Holds'!$P$36:$AB$370,6,0),0)</f>
        <v>0</v>
      </c>
      <c r="J2460" s="2">
        <f t="shared" si="154"/>
        <v>0</v>
      </c>
      <c r="K2460" s="2">
        <f t="shared" si="155"/>
        <v>0</v>
      </c>
    </row>
    <row r="2461" spans="1:11">
      <c r="A2461" s="3"/>
      <c r="E2461" s="3" t="s">
        <v>2727</v>
      </c>
      <c r="F2461" s="3" t="s">
        <v>2728</v>
      </c>
      <c r="G2461" s="7" t="str">
        <f t="shared" si="151"/>
        <v>15-12</v>
      </c>
      <c r="H2461" s="1">
        <f>_xlfn.IFNA(VLOOKUP(Aragon!E2461,'Kilter Holds'!$P$36:$AB$370,7,0),0)+_xlfn.IFNA(VLOOKUP(A2461,'Kilter Holds'!$P$36:$AB$370,7,0),0)</f>
        <v>0</v>
      </c>
      <c r="J2461" s="2">
        <f t="shared" si="154"/>
        <v>0</v>
      </c>
      <c r="K2461" s="2">
        <f t="shared" si="155"/>
        <v>0</v>
      </c>
    </row>
    <row r="2462" spans="1:11">
      <c r="A2462" s="3"/>
      <c r="E2462" s="3" t="s">
        <v>2727</v>
      </c>
      <c r="F2462" s="3" t="s">
        <v>2728</v>
      </c>
      <c r="G2462" s="8" t="str">
        <f t="shared" si="151"/>
        <v>16-16</v>
      </c>
      <c r="H2462" s="1">
        <f>_xlfn.IFNA(VLOOKUP(Aragon!E2462,'Kilter Holds'!$P$36:$AB$370,8,0),0)+_xlfn.IFNA(VLOOKUP(A2462,'Kilter Holds'!$P$36:$AB$370,8,0),0)</f>
        <v>0</v>
      </c>
      <c r="J2462" s="2">
        <f t="shared" si="154"/>
        <v>0</v>
      </c>
      <c r="K2462" s="2">
        <f t="shared" si="155"/>
        <v>0</v>
      </c>
    </row>
    <row r="2463" spans="1:11">
      <c r="A2463" s="3"/>
      <c r="E2463" s="3" t="s">
        <v>2727</v>
      </c>
      <c r="F2463" s="3" t="s">
        <v>2728</v>
      </c>
      <c r="G2463" s="9" t="str">
        <f t="shared" si="151"/>
        <v>13-01</v>
      </c>
      <c r="H2463" s="1">
        <f>_xlfn.IFNA(VLOOKUP(Aragon!E2463,'Kilter Holds'!$P$36:$AB$370,9,0),0)+_xlfn.IFNA(VLOOKUP(A2463,'Kilter Holds'!$P$36:$AB$370,9,0),0)</f>
        <v>0</v>
      </c>
      <c r="J2463" s="2">
        <f t="shared" si="154"/>
        <v>0</v>
      </c>
      <c r="K2463" s="2">
        <f t="shared" si="155"/>
        <v>0</v>
      </c>
    </row>
    <row r="2464" spans="1:11">
      <c r="A2464" s="3"/>
      <c r="E2464" s="3" t="s">
        <v>2727</v>
      </c>
      <c r="F2464" s="3" t="s">
        <v>2728</v>
      </c>
      <c r="G2464" s="10" t="str">
        <f t="shared" si="151"/>
        <v>07-13</v>
      </c>
      <c r="H2464" s="1">
        <f>_xlfn.IFNA(VLOOKUP(Aragon!E2464,'Kilter Holds'!$P$36:$AB$370,10,0),0)+_xlfn.IFNA(VLOOKUP(A2464,'Kilter Holds'!$P$36:$AB$370,10,0),0)</f>
        <v>0</v>
      </c>
      <c r="J2464" s="2">
        <f t="shared" si="154"/>
        <v>0</v>
      </c>
      <c r="K2464" s="2">
        <f t="shared" si="155"/>
        <v>0</v>
      </c>
    </row>
    <row r="2465" spans="1:11">
      <c r="A2465" s="3"/>
      <c r="E2465" s="3" t="s">
        <v>2727</v>
      </c>
      <c r="F2465" s="3" t="s">
        <v>2728</v>
      </c>
      <c r="G2465" s="11" t="str">
        <f t="shared" si="151"/>
        <v>11-25</v>
      </c>
      <c r="H2465" s="1">
        <f>_xlfn.IFNA(VLOOKUP(Aragon!E2465,'Kilter Holds'!$P$36:$AB$370,11,0),0)+_xlfn.IFNA(VLOOKUP(A2465,'Kilter Holds'!$P$36:$AB$370,11,0),0)</f>
        <v>0</v>
      </c>
      <c r="J2465" s="2">
        <f t="shared" si="154"/>
        <v>0</v>
      </c>
      <c r="K2465" s="2">
        <f t="shared" si="155"/>
        <v>0</v>
      </c>
    </row>
    <row r="2466" spans="1:11">
      <c r="A2466" s="3"/>
      <c r="E2466" s="3" t="s">
        <v>2727</v>
      </c>
      <c r="F2466" s="3" t="s">
        <v>2728</v>
      </c>
      <c r="G2466" s="13" t="str">
        <f t="shared" si="151"/>
        <v>18-01</v>
      </c>
      <c r="H2466" s="1">
        <f>_xlfn.IFNA(VLOOKUP(Aragon!E2466,'Kilter Holds'!$P$36:$AB$370,12,0),0)+_xlfn.IFNA(VLOOKUP(A2466,'Kilter Holds'!$P$36:$AB$370,12,0),0)</f>
        <v>0</v>
      </c>
      <c r="J2466" s="2">
        <f t="shared" si="154"/>
        <v>0</v>
      </c>
      <c r="K2466" s="2">
        <f t="shared" si="155"/>
        <v>0</v>
      </c>
    </row>
    <row r="2467" spans="1:11">
      <c r="A2467" s="3"/>
      <c r="E2467" s="3" t="s">
        <v>2727</v>
      </c>
      <c r="F2467" s="3" t="s">
        <v>2728</v>
      </c>
      <c r="G2467" s="12" t="str">
        <f t="shared" si="151"/>
        <v>12-01</v>
      </c>
      <c r="H2467" s="1">
        <f>_xlfn.IFNA(VLOOKUP(Aragon!E2467,'Kilter Holds'!$P$36:$AB$370,13,0),0)+_xlfn.IFNA(VLOOKUP(A2467,'Kilter Holds'!$P$36:$AB$370,13,0),0)</f>
        <v>0</v>
      </c>
      <c r="J2467" s="2">
        <f t="shared" si="154"/>
        <v>0</v>
      </c>
      <c r="K2467" s="2">
        <f t="shared" si="155"/>
        <v>0</v>
      </c>
    </row>
    <row r="2468" spans="1:11">
      <c r="A2468" s="3"/>
      <c r="E2468" s="3" t="s">
        <v>2729</v>
      </c>
      <c r="F2468" s="3" t="s">
        <v>2730</v>
      </c>
      <c r="G2468" s="5" t="str">
        <f t="shared" si="151"/>
        <v>11-12</v>
      </c>
      <c r="H2468" s="1">
        <f>_xlfn.IFNA(VLOOKUP(Aragon!E2468,'Kilter Holds'!$P$36:$AB$370,5,0),0)+_xlfn.IFNA(VLOOKUP(A2468,'Kilter Holds'!$P$36:$AB$370,5,0),0)</f>
        <v>0</v>
      </c>
      <c r="J2468" s="2">
        <f t="shared" si="154"/>
        <v>0</v>
      </c>
      <c r="K2468" s="2">
        <f t="shared" si="155"/>
        <v>0</v>
      </c>
    </row>
    <row r="2469" spans="1:11">
      <c r="A2469" s="3"/>
      <c r="E2469" s="3" t="s">
        <v>2729</v>
      </c>
      <c r="F2469" s="3" t="s">
        <v>2730</v>
      </c>
      <c r="G2469" s="6" t="str">
        <f t="shared" si="151"/>
        <v>14-01</v>
      </c>
      <c r="H2469" s="1">
        <f>_xlfn.IFNA(VLOOKUP(Aragon!E2469,'Kilter Holds'!$P$36:$AB$370,6,0),0)+_xlfn.IFNA(VLOOKUP(A2469,'Kilter Holds'!$P$36:$AB$370,6,0),0)</f>
        <v>0</v>
      </c>
      <c r="J2469" s="2">
        <f t="shared" si="154"/>
        <v>0</v>
      </c>
      <c r="K2469" s="2">
        <f t="shared" si="155"/>
        <v>0</v>
      </c>
    </row>
    <row r="2470" spans="1:11">
      <c r="A2470" s="3"/>
      <c r="E2470" s="3" t="s">
        <v>2729</v>
      </c>
      <c r="F2470" s="3" t="s">
        <v>2730</v>
      </c>
      <c r="G2470" s="7" t="str">
        <f t="shared" si="151"/>
        <v>15-12</v>
      </c>
      <c r="H2470" s="1">
        <f>_xlfn.IFNA(VLOOKUP(Aragon!E2470,'Kilter Holds'!$P$36:$AB$370,7,0),0)+_xlfn.IFNA(VLOOKUP(A2470,'Kilter Holds'!$P$36:$AB$370,7,0),0)</f>
        <v>0</v>
      </c>
      <c r="J2470" s="2">
        <f t="shared" si="154"/>
        <v>0</v>
      </c>
      <c r="K2470" s="2">
        <f t="shared" si="155"/>
        <v>0</v>
      </c>
    </row>
    <row r="2471" spans="1:11">
      <c r="A2471" s="3"/>
      <c r="E2471" s="3" t="s">
        <v>2729</v>
      </c>
      <c r="F2471" s="3" t="s">
        <v>2730</v>
      </c>
      <c r="G2471" s="8" t="str">
        <f t="shared" si="151"/>
        <v>16-16</v>
      </c>
      <c r="H2471" s="1">
        <f>_xlfn.IFNA(VLOOKUP(Aragon!E2471,'Kilter Holds'!$P$36:$AB$370,8,0),0)+_xlfn.IFNA(VLOOKUP(A2471,'Kilter Holds'!$P$36:$AB$370,8,0),0)</f>
        <v>0</v>
      </c>
      <c r="J2471" s="2">
        <f t="shared" si="154"/>
        <v>0</v>
      </c>
      <c r="K2471" s="2">
        <f t="shared" si="155"/>
        <v>0</v>
      </c>
    </row>
    <row r="2472" spans="1:11">
      <c r="A2472" s="3"/>
      <c r="E2472" s="3" t="s">
        <v>2729</v>
      </c>
      <c r="F2472" s="3" t="s">
        <v>2730</v>
      </c>
      <c r="G2472" s="9" t="str">
        <f t="shared" si="151"/>
        <v>13-01</v>
      </c>
      <c r="H2472" s="1">
        <f>_xlfn.IFNA(VLOOKUP(Aragon!E2472,'Kilter Holds'!$P$36:$AB$370,9,0),0)+_xlfn.IFNA(VLOOKUP(A2472,'Kilter Holds'!$P$36:$AB$370,9,0),0)</f>
        <v>0</v>
      </c>
      <c r="J2472" s="2">
        <f t="shared" si="154"/>
        <v>0</v>
      </c>
      <c r="K2472" s="2">
        <f t="shared" si="155"/>
        <v>0</v>
      </c>
    </row>
    <row r="2473" spans="1:11">
      <c r="A2473" s="3"/>
      <c r="E2473" s="3" t="s">
        <v>2729</v>
      </c>
      <c r="F2473" s="3" t="s">
        <v>2730</v>
      </c>
      <c r="G2473" s="10" t="str">
        <f t="shared" si="151"/>
        <v>07-13</v>
      </c>
      <c r="H2473" s="1">
        <f>_xlfn.IFNA(VLOOKUP(Aragon!E2473,'Kilter Holds'!$P$36:$AB$370,10,0),0)+_xlfn.IFNA(VLOOKUP(A2473,'Kilter Holds'!$P$36:$AB$370,10,0),0)</f>
        <v>0</v>
      </c>
      <c r="J2473" s="2">
        <f t="shared" si="154"/>
        <v>0</v>
      </c>
      <c r="K2473" s="2">
        <f t="shared" si="155"/>
        <v>0</v>
      </c>
    </row>
    <row r="2474" spans="1:11">
      <c r="A2474" s="3"/>
      <c r="E2474" s="3" t="s">
        <v>2729</v>
      </c>
      <c r="F2474" s="3" t="s">
        <v>2730</v>
      </c>
      <c r="G2474" s="11" t="str">
        <f t="shared" ref="G2474:G2537" si="156">G2465</f>
        <v>11-25</v>
      </c>
      <c r="H2474" s="1">
        <f>_xlfn.IFNA(VLOOKUP(Aragon!E2474,'Kilter Holds'!$P$36:$AB$370,11,0),0)+_xlfn.IFNA(VLOOKUP(A2474,'Kilter Holds'!$P$36:$AB$370,11,0),0)</f>
        <v>0</v>
      </c>
      <c r="J2474" s="2">
        <f t="shared" si="154"/>
        <v>0</v>
      </c>
      <c r="K2474" s="2">
        <f t="shared" si="155"/>
        <v>0</v>
      </c>
    </row>
    <row r="2475" spans="1:11">
      <c r="A2475" s="3"/>
      <c r="E2475" s="3" t="s">
        <v>2729</v>
      </c>
      <c r="F2475" s="3" t="s">
        <v>2730</v>
      </c>
      <c r="G2475" s="13" t="str">
        <f t="shared" si="156"/>
        <v>18-01</v>
      </c>
      <c r="H2475" s="1">
        <f>_xlfn.IFNA(VLOOKUP(Aragon!E2475,'Kilter Holds'!$P$36:$AB$370,12,0),0)+_xlfn.IFNA(VLOOKUP(A2475,'Kilter Holds'!$P$36:$AB$370,12,0),0)</f>
        <v>0</v>
      </c>
      <c r="J2475" s="2">
        <f t="shared" si="154"/>
        <v>0</v>
      </c>
      <c r="K2475" s="2">
        <f t="shared" si="155"/>
        <v>0</v>
      </c>
    </row>
    <row r="2476" spans="1:11">
      <c r="A2476" s="3"/>
      <c r="E2476" s="3" t="s">
        <v>2729</v>
      </c>
      <c r="F2476" s="3" t="s">
        <v>2730</v>
      </c>
      <c r="G2476" s="12" t="str">
        <f t="shared" si="156"/>
        <v>12-01</v>
      </c>
      <c r="H2476" s="1">
        <f>_xlfn.IFNA(VLOOKUP(Aragon!E2476,'Kilter Holds'!$P$36:$AB$370,13,0),0)+_xlfn.IFNA(VLOOKUP(A2476,'Kilter Holds'!$P$36:$AB$370,13,0),0)</f>
        <v>0</v>
      </c>
      <c r="J2476" s="2">
        <f t="shared" si="154"/>
        <v>0</v>
      </c>
      <c r="K2476" s="2">
        <f t="shared" si="155"/>
        <v>0</v>
      </c>
    </row>
    <row r="2477" spans="1:11">
      <c r="A2477" s="3"/>
      <c r="E2477" s="3" t="s">
        <v>2731</v>
      </c>
      <c r="F2477" s="3" t="s">
        <v>2732</v>
      </c>
      <c r="G2477" s="5" t="str">
        <f t="shared" si="156"/>
        <v>11-12</v>
      </c>
      <c r="H2477" s="1">
        <f>_xlfn.IFNA(VLOOKUP(Aragon!E2477,'Kilter Holds'!$P$36:$AB$370,5,0),0)+_xlfn.IFNA(VLOOKUP(A2477,'Kilter Holds'!$P$36:$AB$370,5,0),0)</f>
        <v>0</v>
      </c>
      <c r="J2477" s="2">
        <f t="shared" si="154"/>
        <v>0</v>
      </c>
      <c r="K2477" s="2">
        <f t="shared" si="155"/>
        <v>0</v>
      </c>
    </row>
    <row r="2478" spans="1:11">
      <c r="A2478" s="3"/>
      <c r="E2478" s="3" t="s">
        <v>2731</v>
      </c>
      <c r="F2478" s="3" t="s">
        <v>2732</v>
      </c>
      <c r="G2478" s="6" t="str">
        <f t="shared" si="156"/>
        <v>14-01</v>
      </c>
      <c r="H2478" s="1">
        <f>_xlfn.IFNA(VLOOKUP(Aragon!E2478,'Kilter Holds'!$P$36:$AB$370,6,0),0)+_xlfn.IFNA(VLOOKUP(A2478,'Kilter Holds'!$P$36:$AB$370,6,0),0)</f>
        <v>0</v>
      </c>
      <c r="J2478" s="2">
        <f t="shared" si="154"/>
        <v>0</v>
      </c>
      <c r="K2478" s="2">
        <f t="shared" si="155"/>
        <v>0</v>
      </c>
    </row>
    <row r="2479" spans="1:11">
      <c r="A2479" s="3"/>
      <c r="E2479" s="3" t="s">
        <v>2731</v>
      </c>
      <c r="F2479" s="3" t="s">
        <v>2732</v>
      </c>
      <c r="G2479" s="7" t="str">
        <f t="shared" si="156"/>
        <v>15-12</v>
      </c>
      <c r="H2479" s="1">
        <f>_xlfn.IFNA(VLOOKUP(Aragon!E2479,'Kilter Holds'!$P$36:$AB$370,7,0),0)+_xlfn.IFNA(VLOOKUP(A2479,'Kilter Holds'!$P$36:$AB$370,7,0),0)</f>
        <v>0</v>
      </c>
      <c r="J2479" s="2">
        <f t="shared" si="154"/>
        <v>0</v>
      </c>
      <c r="K2479" s="2">
        <f t="shared" si="155"/>
        <v>0</v>
      </c>
    </row>
    <row r="2480" spans="1:11">
      <c r="A2480" s="3"/>
      <c r="E2480" s="3" t="s">
        <v>2731</v>
      </c>
      <c r="F2480" s="3" t="s">
        <v>2732</v>
      </c>
      <c r="G2480" s="8" t="str">
        <f t="shared" si="156"/>
        <v>16-16</v>
      </c>
      <c r="H2480" s="1">
        <f>_xlfn.IFNA(VLOOKUP(Aragon!E2480,'Kilter Holds'!$P$36:$AB$370,8,0),0)+_xlfn.IFNA(VLOOKUP(A2480,'Kilter Holds'!$P$36:$AB$370,8,0),0)</f>
        <v>0</v>
      </c>
      <c r="J2480" s="2">
        <f t="shared" si="154"/>
        <v>0</v>
      </c>
      <c r="K2480" s="2">
        <f t="shared" si="155"/>
        <v>0</v>
      </c>
    </row>
    <row r="2481" spans="1:11">
      <c r="A2481" s="3"/>
      <c r="E2481" s="3" t="s">
        <v>2731</v>
      </c>
      <c r="F2481" s="3" t="s">
        <v>2732</v>
      </c>
      <c r="G2481" s="9" t="str">
        <f t="shared" si="156"/>
        <v>13-01</v>
      </c>
      <c r="H2481" s="1">
        <f>_xlfn.IFNA(VLOOKUP(Aragon!E2481,'Kilter Holds'!$P$36:$AB$370,9,0),0)+_xlfn.IFNA(VLOOKUP(A2481,'Kilter Holds'!$P$36:$AB$370,9,0),0)</f>
        <v>0</v>
      </c>
      <c r="J2481" s="2">
        <f t="shared" si="154"/>
        <v>0</v>
      </c>
      <c r="K2481" s="2">
        <f t="shared" si="155"/>
        <v>0</v>
      </c>
    </row>
    <row r="2482" spans="1:11">
      <c r="A2482" s="3"/>
      <c r="E2482" s="3" t="s">
        <v>2731</v>
      </c>
      <c r="F2482" s="3" t="s">
        <v>2732</v>
      </c>
      <c r="G2482" s="10" t="str">
        <f t="shared" si="156"/>
        <v>07-13</v>
      </c>
      <c r="H2482" s="1">
        <f>_xlfn.IFNA(VLOOKUP(Aragon!E2482,'Kilter Holds'!$P$36:$AB$370,10,0),0)+_xlfn.IFNA(VLOOKUP(A2482,'Kilter Holds'!$P$36:$AB$370,10,0),0)</f>
        <v>0</v>
      </c>
      <c r="J2482" s="2">
        <f t="shared" si="154"/>
        <v>0</v>
      </c>
      <c r="K2482" s="2">
        <f t="shared" si="155"/>
        <v>0</v>
      </c>
    </row>
    <row r="2483" spans="1:11">
      <c r="A2483" s="3"/>
      <c r="E2483" s="3" t="s">
        <v>2731</v>
      </c>
      <c r="F2483" s="3" t="s">
        <v>2732</v>
      </c>
      <c r="G2483" s="11" t="str">
        <f t="shared" si="156"/>
        <v>11-25</v>
      </c>
      <c r="H2483" s="1">
        <f>_xlfn.IFNA(VLOOKUP(Aragon!E2483,'Kilter Holds'!$P$36:$AB$370,11,0),0)+_xlfn.IFNA(VLOOKUP(A2483,'Kilter Holds'!$P$36:$AB$370,11,0),0)</f>
        <v>0</v>
      </c>
      <c r="J2483" s="2">
        <f t="shared" si="154"/>
        <v>0</v>
      </c>
      <c r="K2483" s="2">
        <f t="shared" si="155"/>
        <v>0</v>
      </c>
    </row>
    <row r="2484" spans="1:11">
      <c r="A2484" s="3"/>
      <c r="E2484" s="3" t="s">
        <v>2731</v>
      </c>
      <c r="F2484" s="3" t="s">
        <v>2732</v>
      </c>
      <c r="G2484" s="13" t="str">
        <f t="shared" si="156"/>
        <v>18-01</v>
      </c>
      <c r="H2484" s="1">
        <f>_xlfn.IFNA(VLOOKUP(Aragon!E2484,'Kilter Holds'!$P$36:$AB$370,12,0),0)+_xlfn.IFNA(VLOOKUP(A2484,'Kilter Holds'!$P$36:$AB$370,12,0),0)</f>
        <v>0</v>
      </c>
      <c r="J2484" s="2">
        <f t="shared" si="154"/>
        <v>0</v>
      </c>
      <c r="K2484" s="2">
        <f t="shared" si="155"/>
        <v>0</v>
      </c>
    </row>
    <row r="2485" spans="1:11">
      <c r="A2485" s="3"/>
      <c r="E2485" s="3" t="s">
        <v>2731</v>
      </c>
      <c r="F2485" s="3" t="s">
        <v>2732</v>
      </c>
      <c r="G2485" s="12" t="str">
        <f t="shared" si="156"/>
        <v>12-01</v>
      </c>
      <c r="H2485" s="1">
        <f>_xlfn.IFNA(VLOOKUP(Aragon!E2485,'Kilter Holds'!$P$36:$AB$370,13,0),0)+_xlfn.IFNA(VLOOKUP(A2485,'Kilter Holds'!$P$36:$AB$370,13,0),0)</f>
        <v>0</v>
      </c>
      <c r="J2485" s="2">
        <f t="shared" si="154"/>
        <v>0</v>
      </c>
      <c r="K2485" s="2">
        <f t="shared" si="155"/>
        <v>0</v>
      </c>
    </row>
    <row r="2486" spans="1:11">
      <c r="A2486" s="3"/>
      <c r="E2486" s="3" t="s">
        <v>2733</v>
      </c>
      <c r="F2486" s="3" t="s">
        <v>2734</v>
      </c>
      <c r="G2486" s="5" t="str">
        <f t="shared" si="156"/>
        <v>11-12</v>
      </c>
      <c r="H2486" s="1">
        <f>_xlfn.IFNA(VLOOKUP(Aragon!E2486,'Kilter Holds'!$P$36:$AB$370,5,0),0)+_xlfn.IFNA(VLOOKUP(A2486,'Kilter Holds'!$P$36:$AB$370,5,0),0)</f>
        <v>0</v>
      </c>
      <c r="J2486" s="2">
        <f t="shared" si="154"/>
        <v>0</v>
      </c>
      <c r="K2486" s="2">
        <f t="shared" si="155"/>
        <v>0</v>
      </c>
    </row>
    <row r="2487" spans="1:11">
      <c r="A2487" s="3"/>
      <c r="E2487" s="3" t="s">
        <v>2733</v>
      </c>
      <c r="F2487" s="3" t="s">
        <v>2734</v>
      </c>
      <c r="G2487" s="6" t="str">
        <f t="shared" si="156"/>
        <v>14-01</v>
      </c>
      <c r="H2487" s="1">
        <f>_xlfn.IFNA(VLOOKUP(Aragon!E2487,'Kilter Holds'!$P$36:$AB$370,6,0),0)+_xlfn.IFNA(VLOOKUP(A2487,'Kilter Holds'!$P$36:$AB$370,6,0),0)</f>
        <v>0</v>
      </c>
      <c r="J2487" s="2">
        <f t="shared" si="154"/>
        <v>0</v>
      </c>
      <c r="K2487" s="2">
        <f t="shared" si="155"/>
        <v>0</v>
      </c>
    </row>
    <row r="2488" spans="1:11">
      <c r="A2488" s="3"/>
      <c r="E2488" s="3" t="s">
        <v>2733</v>
      </c>
      <c r="F2488" s="3" t="s">
        <v>2734</v>
      </c>
      <c r="G2488" s="7" t="str">
        <f t="shared" si="156"/>
        <v>15-12</v>
      </c>
      <c r="H2488" s="1">
        <f>_xlfn.IFNA(VLOOKUP(Aragon!E2488,'Kilter Holds'!$P$36:$AB$370,7,0),0)+_xlfn.IFNA(VLOOKUP(A2488,'Kilter Holds'!$P$36:$AB$370,7,0),0)</f>
        <v>0</v>
      </c>
      <c r="J2488" s="2">
        <f t="shared" si="154"/>
        <v>0</v>
      </c>
      <c r="K2488" s="2">
        <f t="shared" si="155"/>
        <v>0</v>
      </c>
    </row>
    <row r="2489" spans="1:11">
      <c r="A2489" s="3"/>
      <c r="E2489" s="3" t="s">
        <v>2733</v>
      </c>
      <c r="F2489" s="3" t="s">
        <v>2734</v>
      </c>
      <c r="G2489" s="8" t="str">
        <f t="shared" si="156"/>
        <v>16-16</v>
      </c>
      <c r="H2489" s="1">
        <f>_xlfn.IFNA(VLOOKUP(Aragon!E2489,'Kilter Holds'!$P$36:$AB$370,8,0),0)+_xlfn.IFNA(VLOOKUP(A2489,'Kilter Holds'!$P$36:$AB$370,8,0),0)</f>
        <v>0</v>
      </c>
      <c r="J2489" s="2">
        <f t="shared" si="154"/>
        <v>0</v>
      </c>
      <c r="K2489" s="2">
        <f t="shared" si="155"/>
        <v>0</v>
      </c>
    </row>
    <row r="2490" spans="1:11">
      <c r="A2490" s="3"/>
      <c r="E2490" s="3" t="s">
        <v>2733</v>
      </c>
      <c r="F2490" s="3" t="s">
        <v>2734</v>
      </c>
      <c r="G2490" s="9" t="str">
        <f t="shared" si="156"/>
        <v>13-01</v>
      </c>
      <c r="H2490" s="1">
        <f>_xlfn.IFNA(VLOOKUP(Aragon!E2490,'Kilter Holds'!$P$36:$AB$370,9,0),0)+_xlfn.IFNA(VLOOKUP(A2490,'Kilter Holds'!$P$36:$AB$370,9,0),0)</f>
        <v>0</v>
      </c>
      <c r="J2490" s="2">
        <f t="shared" si="154"/>
        <v>0</v>
      </c>
      <c r="K2490" s="2">
        <f t="shared" si="155"/>
        <v>0</v>
      </c>
    </row>
    <row r="2491" spans="1:11">
      <c r="A2491" s="3"/>
      <c r="E2491" s="3" t="s">
        <v>2733</v>
      </c>
      <c r="F2491" s="3" t="s">
        <v>2734</v>
      </c>
      <c r="G2491" s="10" t="str">
        <f t="shared" si="156"/>
        <v>07-13</v>
      </c>
      <c r="H2491" s="1">
        <f>_xlfn.IFNA(VLOOKUP(Aragon!E2491,'Kilter Holds'!$P$36:$AB$370,10,0),0)+_xlfn.IFNA(VLOOKUP(A2491,'Kilter Holds'!$P$36:$AB$370,10,0),0)</f>
        <v>0</v>
      </c>
      <c r="J2491" s="2">
        <f t="shared" si="154"/>
        <v>0</v>
      </c>
      <c r="K2491" s="2">
        <f t="shared" si="155"/>
        <v>0</v>
      </c>
    </row>
    <row r="2492" spans="1:11">
      <c r="A2492" s="3"/>
      <c r="E2492" s="3" t="s">
        <v>2733</v>
      </c>
      <c r="F2492" s="3" t="s">
        <v>2734</v>
      </c>
      <c r="G2492" s="11" t="str">
        <f t="shared" si="156"/>
        <v>11-25</v>
      </c>
      <c r="H2492" s="1">
        <f>_xlfn.IFNA(VLOOKUP(Aragon!E2492,'Kilter Holds'!$P$36:$AB$370,11,0),0)+_xlfn.IFNA(VLOOKUP(A2492,'Kilter Holds'!$P$36:$AB$370,11,0),0)</f>
        <v>0</v>
      </c>
      <c r="J2492" s="2">
        <f t="shared" si="154"/>
        <v>0</v>
      </c>
      <c r="K2492" s="2">
        <f t="shared" si="155"/>
        <v>0</v>
      </c>
    </row>
    <row r="2493" spans="1:11">
      <c r="A2493" s="3"/>
      <c r="E2493" s="3" t="s">
        <v>2733</v>
      </c>
      <c r="F2493" s="3" t="s">
        <v>2734</v>
      </c>
      <c r="G2493" s="13" t="str">
        <f t="shared" si="156"/>
        <v>18-01</v>
      </c>
      <c r="H2493" s="1">
        <f>_xlfn.IFNA(VLOOKUP(Aragon!E2493,'Kilter Holds'!$P$36:$AB$370,12,0),0)+_xlfn.IFNA(VLOOKUP(A2493,'Kilter Holds'!$P$36:$AB$370,12,0),0)</f>
        <v>0</v>
      </c>
      <c r="J2493" s="2">
        <f t="shared" si="154"/>
        <v>0</v>
      </c>
      <c r="K2493" s="2">
        <f t="shared" si="155"/>
        <v>0</v>
      </c>
    </row>
    <row r="2494" spans="1:11">
      <c r="A2494" s="3"/>
      <c r="E2494" s="3" t="s">
        <v>2733</v>
      </c>
      <c r="F2494" s="3" t="s">
        <v>2734</v>
      </c>
      <c r="G2494" s="12" t="str">
        <f t="shared" si="156"/>
        <v>12-01</v>
      </c>
      <c r="H2494" s="1">
        <f>_xlfn.IFNA(VLOOKUP(Aragon!E2494,'Kilter Holds'!$P$36:$AB$370,13,0),0)+_xlfn.IFNA(VLOOKUP(A2494,'Kilter Holds'!$P$36:$AB$370,13,0),0)</f>
        <v>0</v>
      </c>
      <c r="J2494" s="2">
        <f t="shared" si="154"/>
        <v>0</v>
      </c>
      <c r="K2494" s="2">
        <f t="shared" si="155"/>
        <v>0</v>
      </c>
    </row>
    <row r="2495" spans="1:11">
      <c r="A2495" s="3"/>
      <c r="E2495" s="3" t="s">
        <v>2735</v>
      </c>
      <c r="F2495" s="3" t="s">
        <v>2736</v>
      </c>
      <c r="G2495" s="5" t="str">
        <f t="shared" si="156"/>
        <v>11-12</v>
      </c>
      <c r="H2495" s="1">
        <f>_xlfn.IFNA(VLOOKUP(Aragon!E2495,'Kilter Holds'!$P$36:$AB$370,5,0),0)+_xlfn.IFNA(VLOOKUP(A2495,'Kilter Holds'!$P$36:$AB$370,5,0),0)</f>
        <v>0</v>
      </c>
      <c r="J2495" s="2">
        <f t="shared" si="154"/>
        <v>0</v>
      </c>
      <c r="K2495" s="2">
        <f t="shared" si="155"/>
        <v>0</v>
      </c>
    </row>
    <row r="2496" spans="1:11">
      <c r="A2496" s="3"/>
      <c r="E2496" s="3" t="s">
        <v>2735</v>
      </c>
      <c r="F2496" s="3" t="s">
        <v>2736</v>
      </c>
      <c r="G2496" s="6" t="str">
        <f t="shared" si="156"/>
        <v>14-01</v>
      </c>
      <c r="H2496" s="1">
        <f>_xlfn.IFNA(VLOOKUP(Aragon!E2496,'Kilter Holds'!$P$36:$AB$370,6,0),0)+_xlfn.IFNA(VLOOKUP(A2496,'Kilter Holds'!$P$36:$AB$370,6,0),0)</f>
        <v>0</v>
      </c>
      <c r="J2496" s="2">
        <f t="shared" ref="J2496:J2521" si="157">H2496*I2496</f>
        <v>0</v>
      </c>
      <c r="K2496" s="2">
        <f t="shared" ref="K2496:K2521" si="158">IF($V$11="Y",J2496*0.05,0)</f>
        <v>0</v>
      </c>
    </row>
    <row r="2497" spans="1:11">
      <c r="A2497" s="3"/>
      <c r="E2497" s="3" t="s">
        <v>2735</v>
      </c>
      <c r="F2497" s="3" t="s">
        <v>2736</v>
      </c>
      <c r="G2497" s="7" t="str">
        <f t="shared" si="156"/>
        <v>15-12</v>
      </c>
      <c r="H2497" s="1">
        <f>_xlfn.IFNA(VLOOKUP(Aragon!E2497,'Kilter Holds'!$P$36:$AB$370,7,0),0)+_xlfn.IFNA(VLOOKUP(A2497,'Kilter Holds'!$P$36:$AB$370,7,0),0)</f>
        <v>0</v>
      </c>
      <c r="J2497" s="2">
        <f t="shared" si="157"/>
        <v>0</v>
      </c>
      <c r="K2497" s="2">
        <f t="shared" si="158"/>
        <v>0</v>
      </c>
    </row>
    <row r="2498" spans="1:11">
      <c r="A2498" s="3"/>
      <c r="E2498" s="3" t="s">
        <v>2735</v>
      </c>
      <c r="F2498" s="3" t="s">
        <v>2736</v>
      </c>
      <c r="G2498" s="8" t="str">
        <f t="shared" si="156"/>
        <v>16-16</v>
      </c>
      <c r="H2498" s="1">
        <f>_xlfn.IFNA(VLOOKUP(Aragon!E2498,'Kilter Holds'!$P$36:$AB$370,8,0),0)+_xlfn.IFNA(VLOOKUP(A2498,'Kilter Holds'!$P$36:$AB$370,8,0),0)</f>
        <v>0</v>
      </c>
      <c r="J2498" s="2">
        <f t="shared" si="157"/>
        <v>0</v>
      </c>
      <c r="K2498" s="2">
        <f t="shared" si="158"/>
        <v>0</v>
      </c>
    </row>
    <row r="2499" spans="1:11">
      <c r="A2499" s="3"/>
      <c r="E2499" s="3" t="s">
        <v>2735</v>
      </c>
      <c r="F2499" s="3" t="s">
        <v>2736</v>
      </c>
      <c r="G2499" s="9" t="str">
        <f t="shared" si="156"/>
        <v>13-01</v>
      </c>
      <c r="H2499" s="1">
        <f>_xlfn.IFNA(VLOOKUP(Aragon!E2499,'Kilter Holds'!$P$36:$AB$370,9,0),0)+_xlfn.IFNA(VLOOKUP(A2499,'Kilter Holds'!$P$36:$AB$370,9,0),0)</f>
        <v>0</v>
      </c>
      <c r="J2499" s="2">
        <f t="shared" si="157"/>
        <v>0</v>
      </c>
      <c r="K2499" s="2">
        <f t="shared" si="158"/>
        <v>0</v>
      </c>
    </row>
    <row r="2500" spans="1:11">
      <c r="A2500" s="3"/>
      <c r="E2500" s="3" t="s">
        <v>2735</v>
      </c>
      <c r="F2500" s="3" t="s">
        <v>2736</v>
      </c>
      <c r="G2500" s="10" t="str">
        <f t="shared" si="156"/>
        <v>07-13</v>
      </c>
      <c r="H2500" s="1">
        <f>_xlfn.IFNA(VLOOKUP(Aragon!E2500,'Kilter Holds'!$P$36:$AB$370,10,0),0)+_xlfn.IFNA(VLOOKUP(A2500,'Kilter Holds'!$P$36:$AB$370,10,0),0)</f>
        <v>0</v>
      </c>
      <c r="J2500" s="2">
        <f t="shared" si="157"/>
        <v>0</v>
      </c>
      <c r="K2500" s="2">
        <f t="shared" si="158"/>
        <v>0</v>
      </c>
    </row>
    <row r="2501" spans="1:11">
      <c r="A2501" s="3"/>
      <c r="E2501" s="3" t="s">
        <v>2735</v>
      </c>
      <c r="F2501" s="3" t="s">
        <v>2736</v>
      </c>
      <c r="G2501" s="11" t="str">
        <f t="shared" si="156"/>
        <v>11-25</v>
      </c>
      <c r="H2501" s="1">
        <f>_xlfn.IFNA(VLOOKUP(Aragon!E2501,'Kilter Holds'!$P$36:$AB$370,11,0),0)+_xlfn.IFNA(VLOOKUP(A2501,'Kilter Holds'!$P$36:$AB$370,11,0),0)</f>
        <v>0</v>
      </c>
      <c r="J2501" s="2">
        <f t="shared" si="157"/>
        <v>0</v>
      </c>
      <c r="K2501" s="2">
        <f t="shared" si="158"/>
        <v>0</v>
      </c>
    </row>
    <row r="2502" spans="1:11">
      <c r="A2502" s="3"/>
      <c r="E2502" s="3" t="s">
        <v>2735</v>
      </c>
      <c r="F2502" s="3" t="s">
        <v>2736</v>
      </c>
      <c r="G2502" s="13" t="str">
        <f t="shared" si="156"/>
        <v>18-01</v>
      </c>
      <c r="H2502" s="1">
        <f>_xlfn.IFNA(VLOOKUP(Aragon!E2502,'Kilter Holds'!$P$36:$AB$370,12,0),0)+_xlfn.IFNA(VLOOKUP(A2502,'Kilter Holds'!$P$36:$AB$370,12,0),0)</f>
        <v>0</v>
      </c>
      <c r="J2502" s="2">
        <f t="shared" si="157"/>
        <v>0</v>
      </c>
      <c r="K2502" s="2">
        <f t="shared" si="158"/>
        <v>0</v>
      </c>
    </row>
    <row r="2503" spans="1:11">
      <c r="A2503" s="3"/>
      <c r="E2503" s="3" t="s">
        <v>2735</v>
      </c>
      <c r="F2503" s="3" t="s">
        <v>2736</v>
      </c>
      <c r="G2503" s="12" t="str">
        <f t="shared" si="156"/>
        <v>12-01</v>
      </c>
      <c r="H2503" s="1">
        <f>_xlfn.IFNA(VLOOKUP(Aragon!E2503,'Kilter Holds'!$P$36:$AB$370,13,0),0)+_xlfn.IFNA(VLOOKUP(A2503,'Kilter Holds'!$P$36:$AB$370,13,0),0)</f>
        <v>0</v>
      </c>
      <c r="J2503" s="2">
        <f t="shared" si="157"/>
        <v>0</v>
      </c>
      <c r="K2503" s="2">
        <f t="shared" si="158"/>
        <v>0</v>
      </c>
    </row>
    <row r="2504" spans="1:11">
      <c r="A2504" s="3"/>
      <c r="E2504" s="3" t="s">
        <v>2737</v>
      </c>
      <c r="F2504" s="3" t="s">
        <v>2738</v>
      </c>
      <c r="G2504" s="5" t="str">
        <f t="shared" si="156"/>
        <v>11-12</v>
      </c>
      <c r="H2504" s="1">
        <f>_xlfn.IFNA(VLOOKUP(Aragon!E2504,'Kilter Holds'!$P$36:$AB$370,5,0),0)+_xlfn.IFNA(VLOOKUP(A2504,'Kilter Holds'!$P$36:$AB$370,5,0),0)</f>
        <v>0</v>
      </c>
      <c r="J2504" s="2">
        <f t="shared" si="157"/>
        <v>0</v>
      </c>
      <c r="K2504" s="2">
        <f t="shared" si="158"/>
        <v>0</v>
      </c>
    </row>
    <row r="2505" spans="1:11">
      <c r="A2505" s="3"/>
      <c r="E2505" s="3" t="s">
        <v>2737</v>
      </c>
      <c r="F2505" s="3" t="s">
        <v>2738</v>
      </c>
      <c r="G2505" s="6" t="str">
        <f t="shared" si="156"/>
        <v>14-01</v>
      </c>
      <c r="H2505" s="1">
        <f>_xlfn.IFNA(VLOOKUP(Aragon!E2505,'Kilter Holds'!$P$36:$AB$370,6,0),0)+_xlfn.IFNA(VLOOKUP(A2505,'Kilter Holds'!$P$36:$AB$370,6,0),0)</f>
        <v>0</v>
      </c>
      <c r="J2505" s="2">
        <f t="shared" si="157"/>
        <v>0</v>
      </c>
      <c r="K2505" s="2">
        <f t="shared" si="158"/>
        <v>0</v>
      </c>
    </row>
    <row r="2506" spans="1:11">
      <c r="A2506" s="3"/>
      <c r="E2506" s="3" t="s">
        <v>2737</v>
      </c>
      <c r="F2506" s="3" t="s">
        <v>2738</v>
      </c>
      <c r="G2506" s="7" t="str">
        <f t="shared" si="156"/>
        <v>15-12</v>
      </c>
      <c r="H2506" s="1">
        <f>_xlfn.IFNA(VLOOKUP(Aragon!E2506,'Kilter Holds'!$P$36:$AB$370,7,0),0)+_xlfn.IFNA(VLOOKUP(A2506,'Kilter Holds'!$P$36:$AB$370,7,0),0)</f>
        <v>0</v>
      </c>
      <c r="J2506" s="2">
        <f t="shared" si="157"/>
        <v>0</v>
      </c>
      <c r="K2506" s="2">
        <f t="shared" si="158"/>
        <v>0</v>
      </c>
    </row>
    <row r="2507" spans="1:11">
      <c r="A2507" s="3"/>
      <c r="E2507" s="3" t="s">
        <v>2737</v>
      </c>
      <c r="F2507" s="3" t="s">
        <v>2738</v>
      </c>
      <c r="G2507" s="8" t="str">
        <f t="shared" si="156"/>
        <v>16-16</v>
      </c>
      <c r="H2507" s="1">
        <f>_xlfn.IFNA(VLOOKUP(Aragon!E2507,'Kilter Holds'!$P$36:$AB$370,8,0),0)+_xlfn.IFNA(VLOOKUP(A2507,'Kilter Holds'!$P$36:$AB$370,8,0),0)</f>
        <v>0</v>
      </c>
      <c r="J2507" s="2">
        <f t="shared" si="157"/>
        <v>0</v>
      </c>
      <c r="K2507" s="2">
        <f t="shared" si="158"/>
        <v>0</v>
      </c>
    </row>
    <row r="2508" spans="1:11">
      <c r="A2508" s="3"/>
      <c r="E2508" s="3" t="s">
        <v>2737</v>
      </c>
      <c r="F2508" s="3" t="s">
        <v>2738</v>
      </c>
      <c r="G2508" s="9" t="str">
        <f t="shared" si="156"/>
        <v>13-01</v>
      </c>
      <c r="H2508" s="1">
        <f>_xlfn.IFNA(VLOOKUP(Aragon!E2508,'Kilter Holds'!$P$36:$AB$370,9,0),0)+_xlfn.IFNA(VLOOKUP(A2508,'Kilter Holds'!$P$36:$AB$370,9,0),0)</f>
        <v>0</v>
      </c>
      <c r="J2508" s="2">
        <f t="shared" si="157"/>
        <v>0</v>
      </c>
      <c r="K2508" s="2">
        <f t="shared" si="158"/>
        <v>0</v>
      </c>
    </row>
    <row r="2509" spans="1:11">
      <c r="A2509" s="3"/>
      <c r="E2509" s="3" t="s">
        <v>2737</v>
      </c>
      <c r="F2509" s="3" t="s">
        <v>2738</v>
      </c>
      <c r="G2509" s="10" t="str">
        <f t="shared" si="156"/>
        <v>07-13</v>
      </c>
      <c r="H2509" s="1">
        <f>_xlfn.IFNA(VLOOKUP(Aragon!E2509,'Kilter Holds'!$P$36:$AB$370,10,0),0)+_xlfn.IFNA(VLOOKUP(A2509,'Kilter Holds'!$P$36:$AB$370,10,0),0)</f>
        <v>0</v>
      </c>
      <c r="J2509" s="2">
        <f t="shared" si="157"/>
        <v>0</v>
      </c>
      <c r="K2509" s="2">
        <f t="shared" si="158"/>
        <v>0</v>
      </c>
    </row>
    <row r="2510" spans="1:11">
      <c r="A2510" s="3"/>
      <c r="E2510" s="3" t="s">
        <v>2737</v>
      </c>
      <c r="F2510" s="3" t="s">
        <v>2738</v>
      </c>
      <c r="G2510" s="11" t="str">
        <f t="shared" si="156"/>
        <v>11-25</v>
      </c>
      <c r="H2510" s="1">
        <f>_xlfn.IFNA(VLOOKUP(Aragon!E2510,'Kilter Holds'!$P$36:$AB$370,11,0),0)+_xlfn.IFNA(VLOOKUP(A2510,'Kilter Holds'!$P$36:$AB$370,11,0),0)</f>
        <v>0</v>
      </c>
      <c r="J2510" s="2">
        <f t="shared" si="157"/>
        <v>0</v>
      </c>
      <c r="K2510" s="2">
        <f t="shared" si="158"/>
        <v>0</v>
      </c>
    </row>
    <row r="2511" spans="1:11">
      <c r="A2511" s="3"/>
      <c r="E2511" s="3" t="s">
        <v>2737</v>
      </c>
      <c r="F2511" s="3" t="s">
        <v>2738</v>
      </c>
      <c r="G2511" s="13" t="str">
        <f t="shared" si="156"/>
        <v>18-01</v>
      </c>
      <c r="H2511" s="1">
        <f>_xlfn.IFNA(VLOOKUP(Aragon!E2511,'Kilter Holds'!$P$36:$AB$370,12,0),0)+_xlfn.IFNA(VLOOKUP(A2511,'Kilter Holds'!$P$36:$AB$370,12,0),0)</f>
        <v>0</v>
      </c>
      <c r="J2511" s="2">
        <f t="shared" si="157"/>
        <v>0</v>
      </c>
      <c r="K2511" s="2">
        <f t="shared" si="158"/>
        <v>0</v>
      </c>
    </row>
    <row r="2512" spans="1:11">
      <c r="A2512" s="3"/>
      <c r="E2512" s="3" t="s">
        <v>2737</v>
      </c>
      <c r="F2512" s="3" t="s">
        <v>2738</v>
      </c>
      <c r="G2512" s="12" t="str">
        <f t="shared" si="156"/>
        <v>12-01</v>
      </c>
      <c r="H2512" s="1">
        <f>_xlfn.IFNA(VLOOKUP(Aragon!E2512,'Kilter Holds'!$P$36:$AB$370,13,0),0)+_xlfn.IFNA(VLOOKUP(A2512,'Kilter Holds'!$P$36:$AB$370,13,0),0)</f>
        <v>0</v>
      </c>
      <c r="J2512" s="2">
        <f t="shared" si="157"/>
        <v>0</v>
      </c>
      <c r="K2512" s="2">
        <f t="shared" si="158"/>
        <v>0</v>
      </c>
    </row>
    <row r="2513" spans="1:11">
      <c r="A2513" s="3"/>
      <c r="E2513" s="3" t="s">
        <v>2739</v>
      </c>
      <c r="F2513" s="3" t="s">
        <v>2740</v>
      </c>
      <c r="G2513" s="5" t="str">
        <f t="shared" si="156"/>
        <v>11-12</v>
      </c>
      <c r="H2513" s="1">
        <f>_xlfn.IFNA(VLOOKUP(Aragon!E2513,'Kilter Holds'!$P$36:$AB$370,5,0),0)+_xlfn.IFNA(VLOOKUP(A2513,'Kilter Holds'!$P$36:$AB$370,5,0),0)</f>
        <v>0</v>
      </c>
      <c r="J2513" s="2">
        <f t="shared" si="157"/>
        <v>0</v>
      </c>
      <c r="K2513" s="2">
        <f t="shared" si="158"/>
        <v>0</v>
      </c>
    </row>
    <row r="2514" spans="1:11">
      <c r="A2514" s="3"/>
      <c r="E2514" s="3" t="s">
        <v>2739</v>
      </c>
      <c r="F2514" s="3" t="s">
        <v>2740</v>
      </c>
      <c r="G2514" s="6" t="str">
        <f t="shared" si="156"/>
        <v>14-01</v>
      </c>
      <c r="H2514" s="1">
        <f>_xlfn.IFNA(VLOOKUP(Aragon!E2514,'Kilter Holds'!$P$36:$AB$370,6,0),0)+_xlfn.IFNA(VLOOKUP(A2514,'Kilter Holds'!$P$36:$AB$370,6,0),0)</f>
        <v>0</v>
      </c>
      <c r="J2514" s="2">
        <f t="shared" si="157"/>
        <v>0</v>
      </c>
      <c r="K2514" s="2">
        <f t="shared" si="158"/>
        <v>0</v>
      </c>
    </row>
    <row r="2515" spans="1:11">
      <c r="A2515" s="3"/>
      <c r="E2515" s="3" t="s">
        <v>2739</v>
      </c>
      <c r="F2515" s="3" t="s">
        <v>2740</v>
      </c>
      <c r="G2515" s="7" t="str">
        <f t="shared" si="156"/>
        <v>15-12</v>
      </c>
      <c r="H2515" s="1">
        <f>_xlfn.IFNA(VLOOKUP(Aragon!E2515,'Kilter Holds'!$P$36:$AB$370,7,0),0)+_xlfn.IFNA(VLOOKUP(A2515,'Kilter Holds'!$P$36:$AB$370,7,0),0)</f>
        <v>0</v>
      </c>
      <c r="J2515" s="2">
        <f t="shared" si="157"/>
        <v>0</v>
      </c>
      <c r="K2515" s="2">
        <f t="shared" si="158"/>
        <v>0</v>
      </c>
    </row>
    <row r="2516" spans="1:11">
      <c r="A2516" s="3"/>
      <c r="E2516" s="3" t="s">
        <v>2739</v>
      </c>
      <c r="F2516" s="3" t="s">
        <v>2740</v>
      </c>
      <c r="G2516" s="8" t="str">
        <f t="shared" si="156"/>
        <v>16-16</v>
      </c>
      <c r="H2516" s="1">
        <f>_xlfn.IFNA(VLOOKUP(Aragon!E2516,'Kilter Holds'!$P$36:$AB$370,8,0),0)+_xlfn.IFNA(VLOOKUP(A2516,'Kilter Holds'!$P$36:$AB$370,8,0),0)</f>
        <v>0</v>
      </c>
      <c r="J2516" s="2">
        <f t="shared" si="157"/>
        <v>0</v>
      </c>
      <c r="K2516" s="2">
        <f t="shared" si="158"/>
        <v>0</v>
      </c>
    </row>
    <row r="2517" spans="1:11">
      <c r="A2517" s="3"/>
      <c r="E2517" s="3" t="s">
        <v>2739</v>
      </c>
      <c r="F2517" s="3" t="s">
        <v>2740</v>
      </c>
      <c r="G2517" s="9" t="str">
        <f t="shared" si="156"/>
        <v>13-01</v>
      </c>
      <c r="H2517" s="1">
        <f>_xlfn.IFNA(VLOOKUP(Aragon!E2517,'Kilter Holds'!$P$36:$AB$370,9,0),0)+_xlfn.IFNA(VLOOKUP(A2517,'Kilter Holds'!$P$36:$AB$370,9,0),0)</f>
        <v>0</v>
      </c>
      <c r="J2517" s="2">
        <f t="shared" si="157"/>
        <v>0</v>
      </c>
      <c r="K2517" s="2">
        <f t="shared" si="158"/>
        <v>0</v>
      </c>
    </row>
    <row r="2518" spans="1:11">
      <c r="A2518" s="3"/>
      <c r="E2518" s="3" t="s">
        <v>2739</v>
      </c>
      <c r="F2518" s="3" t="s">
        <v>2740</v>
      </c>
      <c r="G2518" s="10" t="str">
        <f t="shared" si="156"/>
        <v>07-13</v>
      </c>
      <c r="H2518" s="1">
        <f>_xlfn.IFNA(VLOOKUP(Aragon!E2518,'Kilter Holds'!$P$36:$AB$370,10,0),0)+_xlfn.IFNA(VLOOKUP(A2518,'Kilter Holds'!$P$36:$AB$370,10,0),0)</f>
        <v>0</v>
      </c>
      <c r="J2518" s="2">
        <f t="shared" si="157"/>
        <v>0</v>
      </c>
      <c r="K2518" s="2">
        <f t="shared" si="158"/>
        <v>0</v>
      </c>
    </row>
    <row r="2519" spans="1:11">
      <c r="A2519" s="3"/>
      <c r="E2519" s="3" t="s">
        <v>2739</v>
      </c>
      <c r="F2519" s="3" t="s">
        <v>2740</v>
      </c>
      <c r="G2519" s="11" t="str">
        <f t="shared" si="156"/>
        <v>11-25</v>
      </c>
      <c r="H2519" s="1">
        <f>_xlfn.IFNA(VLOOKUP(Aragon!E2519,'Kilter Holds'!$P$36:$AB$370,11,0),0)+_xlfn.IFNA(VLOOKUP(A2519,'Kilter Holds'!$P$36:$AB$370,11,0),0)</f>
        <v>0</v>
      </c>
      <c r="J2519" s="2">
        <f t="shared" si="157"/>
        <v>0</v>
      </c>
      <c r="K2519" s="2">
        <f t="shared" si="158"/>
        <v>0</v>
      </c>
    </row>
    <row r="2520" spans="1:11">
      <c r="A2520" s="3"/>
      <c r="E2520" s="3" t="s">
        <v>2739</v>
      </c>
      <c r="F2520" s="3" t="s">
        <v>2740</v>
      </c>
      <c r="G2520" s="13" t="str">
        <f t="shared" si="156"/>
        <v>18-01</v>
      </c>
      <c r="H2520" s="1">
        <f>_xlfn.IFNA(VLOOKUP(Aragon!E2520,'Kilter Holds'!$P$36:$AB$370,12,0),0)+_xlfn.IFNA(VLOOKUP(A2520,'Kilter Holds'!$P$36:$AB$370,12,0),0)</f>
        <v>0</v>
      </c>
      <c r="J2520" s="2">
        <f t="shared" si="157"/>
        <v>0</v>
      </c>
      <c r="K2520" s="2">
        <f t="shared" si="158"/>
        <v>0</v>
      </c>
    </row>
    <row r="2521" spans="1:11">
      <c r="A2521" s="3"/>
      <c r="E2521" s="3" t="s">
        <v>2739</v>
      </c>
      <c r="F2521" s="3" t="s">
        <v>2740</v>
      </c>
      <c r="G2521" s="12" t="str">
        <f t="shared" si="156"/>
        <v>12-01</v>
      </c>
      <c r="H2521" s="1">
        <f>_xlfn.IFNA(VLOOKUP(Aragon!E2521,'Kilter Holds'!$P$36:$AB$370,13,0),0)+_xlfn.IFNA(VLOOKUP(A2521,'Kilter Holds'!$P$36:$AB$370,13,0),0)</f>
        <v>0</v>
      </c>
      <c r="J2521" s="2">
        <f t="shared" si="157"/>
        <v>0</v>
      </c>
      <c r="K2521" s="2">
        <f t="shared" si="158"/>
        <v>0</v>
      </c>
    </row>
    <row r="2522" spans="1:11">
      <c r="A2522" s="3"/>
      <c r="E2522" s="3" t="s">
        <v>2763</v>
      </c>
      <c r="F2522" s="3" t="s">
        <v>2767</v>
      </c>
      <c r="G2522" s="5" t="str">
        <f t="shared" si="156"/>
        <v>11-12</v>
      </c>
      <c r="H2522" s="1">
        <f>_xlfn.IFNA(VLOOKUP(Aragon!E2522,'Kilter Holds'!$P$36:$AB$370,5,0),0)+_xlfn.IFNA(VLOOKUP(A2522,'Kilter Holds'!$P$36:$AB$370,5,0),0)</f>
        <v>0</v>
      </c>
      <c r="J2522" s="2">
        <f t="shared" ref="J2522:J2557" si="159">H2522*I2522</f>
        <v>0</v>
      </c>
      <c r="K2522" s="2">
        <f t="shared" ref="K2522:K2557" si="160">IF($V$11="Y",J2522*0.05,0)</f>
        <v>0</v>
      </c>
    </row>
    <row r="2523" spans="1:11">
      <c r="A2523" s="3"/>
      <c r="E2523" s="3" t="s">
        <v>2763</v>
      </c>
      <c r="F2523" s="3" t="s">
        <v>2767</v>
      </c>
      <c r="G2523" s="6" t="str">
        <f t="shared" si="156"/>
        <v>14-01</v>
      </c>
      <c r="H2523" s="1">
        <f>_xlfn.IFNA(VLOOKUP(Aragon!E2523,'Kilter Holds'!$P$36:$AB$370,6,0),0)+_xlfn.IFNA(VLOOKUP(A2523,'Kilter Holds'!$P$36:$AB$370,6,0),0)</f>
        <v>0</v>
      </c>
      <c r="J2523" s="2">
        <f t="shared" si="159"/>
        <v>0</v>
      </c>
      <c r="K2523" s="2">
        <f t="shared" si="160"/>
        <v>0</v>
      </c>
    </row>
    <row r="2524" spans="1:11">
      <c r="A2524" s="3"/>
      <c r="E2524" s="3" t="s">
        <v>2763</v>
      </c>
      <c r="F2524" s="3" t="s">
        <v>2767</v>
      </c>
      <c r="G2524" s="7" t="str">
        <f t="shared" si="156"/>
        <v>15-12</v>
      </c>
      <c r="H2524" s="1">
        <f>_xlfn.IFNA(VLOOKUP(Aragon!E2524,'Kilter Holds'!$P$36:$AB$370,7,0),0)+_xlfn.IFNA(VLOOKUP(A2524,'Kilter Holds'!$P$36:$AB$370,7,0),0)</f>
        <v>0</v>
      </c>
      <c r="J2524" s="2">
        <f t="shared" si="159"/>
        <v>0</v>
      </c>
      <c r="K2524" s="2">
        <f t="shared" si="160"/>
        <v>0</v>
      </c>
    </row>
    <row r="2525" spans="1:11">
      <c r="A2525" s="3"/>
      <c r="E2525" s="3" t="s">
        <v>2763</v>
      </c>
      <c r="F2525" s="3" t="s">
        <v>2767</v>
      </c>
      <c r="G2525" s="8" t="str">
        <f t="shared" si="156"/>
        <v>16-16</v>
      </c>
      <c r="H2525" s="1">
        <f>_xlfn.IFNA(VLOOKUP(Aragon!E2525,'Kilter Holds'!$P$36:$AB$370,8,0),0)+_xlfn.IFNA(VLOOKUP(A2525,'Kilter Holds'!$P$36:$AB$370,8,0),0)</f>
        <v>0</v>
      </c>
      <c r="J2525" s="2">
        <f t="shared" si="159"/>
        <v>0</v>
      </c>
      <c r="K2525" s="2">
        <f t="shared" si="160"/>
        <v>0</v>
      </c>
    </row>
    <row r="2526" spans="1:11">
      <c r="A2526" s="3"/>
      <c r="E2526" s="3" t="s">
        <v>2763</v>
      </c>
      <c r="F2526" s="3" t="s">
        <v>2767</v>
      </c>
      <c r="G2526" s="9" t="str">
        <f t="shared" si="156"/>
        <v>13-01</v>
      </c>
      <c r="H2526" s="1">
        <f>_xlfn.IFNA(VLOOKUP(Aragon!E2526,'Kilter Holds'!$P$36:$AB$370,9,0),0)+_xlfn.IFNA(VLOOKUP(A2526,'Kilter Holds'!$P$36:$AB$370,9,0),0)</f>
        <v>0</v>
      </c>
      <c r="J2526" s="2">
        <f t="shared" si="159"/>
        <v>0</v>
      </c>
      <c r="K2526" s="2">
        <f t="shared" si="160"/>
        <v>0</v>
      </c>
    </row>
    <row r="2527" spans="1:11">
      <c r="A2527" s="3"/>
      <c r="E2527" s="3" t="s">
        <v>2763</v>
      </c>
      <c r="F2527" s="3" t="s">
        <v>2767</v>
      </c>
      <c r="G2527" s="10" t="str">
        <f t="shared" si="156"/>
        <v>07-13</v>
      </c>
      <c r="H2527" s="1">
        <f>_xlfn.IFNA(VLOOKUP(Aragon!E2527,'Kilter Holds'!$P$36:$AB$370,10,0),0)+_xlfn.IFNA(VLOOKUP(A2527,'Kilter Holds'!$P$36:$AB$370,10,0),0)</f>
        <v>0</v>
      </c>
      <c r="J2527" s="2">
        <f t="shared" si="159"/>
        <v>0</v>
      </c>
      <c r="K2527" s="2">
        <f t="shared" si="160"/>
        <v>0</v>
      </c>
    </row>
    <row r="2528" spans="1:11">
      <c r="A2528" s="3"/>
      <c r="E2528" s="3" t="s">
        <v>2763</v>
      </c>
      <c r="F2528" s="3" t="s">
        <v>2767</v>
      </c>
      <c r="G2528" s="11" t="str">
        <f t="shared" si="156"/>
        <v>11-25</v>
      </c>
      <c r="H2528" s="1">
        <f>_xlfn.IFNA(VLOOKUP(Aragon!E2528,'Kilter Holds'!$P$36:$AB$370,11,0),0)+_xlfn.IFNA(VLOOKUP(A2528,'Kilter Holds'!$P$36:$AB$370,11,0),0)</f>
        <v>0</v>
      </c>
      <c r="J2528" s="2">
        <f t="shared" si="159"/>
        <v>0</v>
      </c>
      <c r="K2528" s="2">
        <f t="shared" si="160"/>
        <v>0</v>
      </c>
    </row>
    <row r="2529" spans="1:11">
      <c r="A2529" s="3"/>
      <c r="E2529" s="3" t="s">
        <v>2763</v>
      </c>
      <c r="F2529" s="3" t="s">
        <v>2767</v>
      </c>
      <c r="G2529" s="13" t="str">
        <f t="shared" si="156"/>
        <v>18-01</v>
      </c>
      <c r="H2529" s="1">
        <f>_xlfn.IFNA(VLOOKUP(Aragon!E2529,'Kilter Holds'!$P$36:$AB$370,12,0),0)+_xlfn.IFNA(VLOOKUP(A2529,'Kilter Holds'!$P$36:$AB$370,12,0),0)</f>
        <v>0</v>
      </c>
      <c r="J2529" s="2">
        <f t="shared" si="159"/>
        <v>0</v>
      </c>
      <c r="K2529" s="2">
        <f t="shared" si="160"/>
        <v>0</v>
      </c>
    </row>
    <row r="2530" spans="1:11">
      <c r="A2530" s="3"/>
      <c r="E2530" s="3" t="s">
        <v>2763</v>
      </c>
      <c r="F2530" s="3" t="s">
        <v>2767</v>
      </c>
      <c r="G2530" s="12" t="str">
        <f t="shared" si="156"/>
        <v>12-01</v>
      </c>
      <c r="H2530" s="1">
        <f>_xlfn.IFNA(VLOOKUP(Aragon!E2530,'Kilter Holds'!$P$36:$AB$370,13,0),0)+_xlfn.IFNA(VLOOKUP(A2530,'Kilter Holds'!$P$36:$AB$370,13,0),0)</f>
        <v>0</v>
      </c>
      <c r="J2530" s="2">
        <f t="shared" si="159"/>
        <v>0</v>
      </c>
      <c r="K2530" s="2">
        <f t="shared" si="160"/>
        <v>0</v>
      </c>
    </row>
    <row r="2531" spans="1:11">
      <c r="A2531" s="3"/>
      <c r="E2531" s="3" t="s">
        <v>2764</v>
      </c>
      <c r="F2531" s="3" t="s">
        <v>2768</v>
      </c>
      <c r="G2531" s="5" t="str">
        <f t="shared" si="156"/>
        <v>11-12</v>
      </c>
      <c r="H2531" s="1">
        <f>_xlfn.IFNA(VLOOKUP(Aragon!E2531,'Kilter Holds'!$P$36:$AB$370,5,0),0)+_xlfn.IFNA(VLOOKUP(A2531,'Kilter Holds'!$P$36:$AB$370,5,0),0)</f>
        <v>0</v>
      </c>
      <c r="J2531" s="2">
        <f t="shared" si="159"/>
        <v>0</v>
      </c>
      <c r="K2531" s="2">
        <f t="shared" si="160"/>
        <v>0</v>
      </c>
    </row>
    <row r="2532" spans="1:11">
      <c r="A2532" s="3"/>
      <c r="E2532" s="3" t="s">
        <v>2764</v>
      </c>
      <c r="F2532" s="3" t="s">
        <v>2768</v>
      </c>
      <c r="G2532" s="6" t="str">
        <f t="shared" si="156"/>
        <v>14-01</v>
      </c>
      <c r="H2532" s="1">
        <f>_xlfn.IFNA(VLOOKUP(Aragon!E2532,'Kilter Holds'!$P$36:$AB$370,6,0),0)+_xlfn.IFNA(VLOOKUP(A2532,'Kilter Holds'!$P$36:$AB$370,6,0),0)</f>
        <v>0</v>
      </c>
      <c r="J2532" s="2">
        <f t="shared" si="159"/>
        <v>0</v>
      </c>
      <c r="K2532" s="2">
        <f t="shared" si="160"/>
        <v>0</v>
      </c>
    </row>
    <row r="2533" spans="1:11">
      <c r="A2533" s="3"/>
      <c r="E2533" s="3" t="s">
        <v>2764</v>
      </c>
      <c r="F2533" s="3" t="s">
        <v>2768</v>
      </c>
      <c r="G2533" s="7" t="str">
        <f t="shared" si="156"/>
        <v>15-12</v>
      </c>
      <c r="H2533" s="1">
        <f>_xlfn.IFNA(VLOOKUP(Aragon!E2533,'Kilter Holds'!$P$36:$AB$370,7,0),0)+_xlfn.IFNA(VLOOKUP(A2533,'Kilter Holds'!$P$36:$AB$370,7,0),0)</f>
        <v>0</v>
      </c>
      <c r="J2533" s="2">
        <f t="shared" si="159"/>
        <v>0</v>
      </c>
      <c r="K2533" s="2">
        <f t="shared" si="160"/>
        <v>0</v>
      </c>
    </row>
    <row r="2534" spans="1:11">
      <c r="A2534" s="3"/>
      <c r="E2534" s="3" t="s">
        <v>2764</v>
      </c>
      <c r="F2534" s="3" t="s">
        <v>2768</v>
      </c>
      <c r="G2534" s="8" t="str">
        <f t="shared" si="156"/>
        <v>16-16</v>
      </c>
      <c r="H2534" s="1">
        <f>_xlfn.IFNA(VLOOKUP(Aragon!E2534,'Kilter Holds'!$P$36:$AB$370,8,0),0)+_xlfn.IFNA(VLOOKUP(A2534,'Kilter Holds'!$P$36:$AB$370,8,0),0)</f>
        <v>0</v>
      </c>
      <c r="J2534" s="2">
        <f t="shared" si="159"/>
        <v>0</v>
      </c>
      <c r="K2534" s="2">
        <f t="shared" si="160"/>
        <v>0</v>
      </c>
    </row>
    <row r="2535" spans="1:11">
      <c r="A2535" s="3"/>
      <c r="E2535" s="3" t="s">
        <v>2764</v>
      </c>
      <c r="F2535" s="3" t="s">
        <v>2768</v>
      </c>
      <c r="G2535" s="9" t="str">
        <f t="shared" si="156"/>
        <v>13-01</v>
      </c>
      <c r="H2535" s="1">
        <f>_xlfn.IFNA(VLOOKUP(Aragon!E2535,'Kilter Holds'!$P$36:$AB$370,9,0),0)+_xlfn.IFNA(VLOOKUP(A2535,'Kilter Holds'!$P$36:$AB$370,9,0),0)</f>
        <v>0</v>
      </c>
      <c r="J2535" s="2">
        <f t="shared" si="159"/>
        <v>0</v>
      </c>
      <c r="K2535" s="2">
        <f t="shared" si="160"/>
        <v>0</v>
      </c>
    </row>
    <row r="2536" spans="1:11">
      <c r="A2536" s="3"/>
      <c r="E2536" s="3" t="s">
        <v>2764</v>
      </c>
      <c r="F2536" s="3" t="s">
        <v>2768</v>
      </c>
      <c r="G2536" s="10" t="str">
        <f t="shared" si="156"/>
        <v>07-13</v>
      </c>
      <c r="H2536" s="1">
        <f>_xlfn.IFNA(VLOOKUP(Aragon!E2536,'Kilter Holds'!$P$36:$AB$370,10,0),0)+_xlfn.IFNA(VLOOKUP(A2536,'Kilter Holds'!$P$36:$AB$370,10,0),0)</f>
        <v>0</v>
      </c>
      <c r="J2536" s="2">
        <f t="shared" si="159"/>
        <v>0</v>
      </c>
      <c r="K2536" s="2">
        <f t="shared" si="160"/>
        <v>0</v>
      </c>
    </row>
    <row r="2537" spans="1:11">
      <c r="A2537" s="3"/>
      <c r="E2537" s="3" t="s">
        <v>2764</v>
      </c>
      <c r="F2537" s="3" t="s">
        <v>2768</v>
      </c>
      <c r="G2537" s="11" t="str">
        <f t="shared" si="156"/>
        <v>11-25</v>
      </c>
      <c r="H2537" s="1">
        <f>_xlfn.IFNA(VLOOKUP(Aragon!E2537,'Kilter Holds'!$P$36:$AB$370,11,0),0)+_xlfn.IFNA(VLOOKUP(A2537,'Kilter Holds'!$P$36:$AB$370,11,0),0)</f>
        <v>0</v>
      </c>
      <c r="J2537" s="2">
        <f t="shared" si="159"/>
        <v>0</v>
      </c>
      <c r="K2537" s="2">
        <f t="shared" si="160"/>
        <v>0</v>
      </c>
    </row>
    <row r="2538" spans="1:11">
      <c r="A2538" s="3"/>
      <c r="E2538" s="3" t="s">
        <v>2764</v>
      </c>
      <c r="F2538" s="3" t="s">
        <v>2768</v>
      </c>
      <c r="G2538" s="13" t="str">
        <f t="shared" ref="G2538:G2593" si="161">G2529</f>
        <v>18-01</v>
      </c>
      <c r="H2538" s="1">
        <f>_xlfn.IFNA(VLOOKUP(Aragon!E2538,'Kilter Holds'!$P$36:$AB$370,12,0),0)+_xlfn.IFNA(VLOOKUP(A2538,'Kilter Holds'!$P$36:$AB$370,12,0),0)</f>
        <v>0</v>
      </c>
      <c r="J2538" s="2">
        <f t="shared" si="159"/>
        <v>0</v>
      </c>
      <c r="K2538" s="2">
        <f t="shared" si="160"/>
        <v>0</v>
      </c>
    </row>
    <row r="2539" spans="1:11">
      <c r="A2539" s="3"/>
      <c r="E2539" s="3" t="s">
        <v>2764</v>
      </c>
      <c r="F2539" s="3" t="s">
        <v>2768</v>
      </c>
      <c r="G2539" s="12" t="str">
        <f t="shared" si="161"/>
        <v>12-01</v>
      </c>
      <c r="H2539" s="1">
        <f>_xlfn.IFNA(VLOOKUP(Aragon!E2539,'Kilter Holds'!$P$36:$AB$370,13,0),0)+_xlfn.IFNA(VLOOKUP(A2539,'Kilter Holds'!$P$36:$AB$370,13,0),0)</f>
        <v>0</v>
      </c>
      <c r="J2539" s="2">
        <f t="shared" si="159"/>
        <v>0</v>
      </c>
      <c r="K2539" s="2">
        <f t="shared" si="160"/>
        <v>0</v>
      </c>
    </row>
    <row r="2540" spans="1:11">
      <c r="A2540" s="3"/>
      <c r="E2540" s="3" t="s">
        <v>2766</v>
      </c>
      <c r="F2540" s="3" t="s">
        <v>2769</v>
      </c>
      <c r="G2540" s="5" t="str">
        <f t="shared" si="161"/>
        <v>11-12</v>
      </c>
      <c r="H2540" s="1">
        <f>_xlfn.IFNA(VLOOKUP(Aragon!E2540,'Kilter Holds'!$P$36:$AB$370,5,0),0)+_xlfn.IFNA(VLOOKUP(A2540,'Kilter Holds'!$P$36:$AB$370,5,0),0)</f>
        <v>0</v>
      </c>
      <c r="J2540" s="2">
        <f t="shared" si="159"/>
        <v>0</v>
      </c>
      <c r="K2540" s="2">
        <f t="shared" si="160"/>
        <v>0</v>
      </c>
    </row>
    <row r="2541" spans="1:11">
      <c r="A2541" s="3"/>
      <c r="E2541" s="3" t="s">
        <v>2766</v>
      </c>
      <c r="F2541" s="3" t="s">
        <v>2769</v>
      </c>
      <c r="G2541" s="6" t="str">
        <f t="shared" si="161"/>
        <v>14-01</v>
      </c>
      <c r="H2541" s="1">
        <f>_xlfn.IFNA(VLOOKUP(Aragon!E2541,'Kilter Holds'!$P$36:$AB$370,6,0),0)+_xlfn.IFNA(VLOOKUP(A2541,'Kilter Holds'!$P$36:$AB$370,6,0),0)</f>
        <v>0</v>
      </c>
      <c r="J2541" s="2">
        <f t="shared" si="159"/>
        <v>0</v>
      </c>
      <c r="K2541" s="2">
        <f t="shared" si="160"/>
        <v>0</v>
      </c>
    </row>
    <row r="2542" spans="1:11">
      <c r="A2542" s="3"/>
      <c r="E2542" s="3" t="s">
        <v>2766</v>
      </c>
      <c r="F2542" s="3" t="s">
        <v>2769</v>
      </c>
      <c r="G2542" s="7" t="str">
        <f t="shared" si="161"/>
        <v>15-12</v>
      </c>
      <c r="H2542" s="1">
        <f>_xlfn.IFNA(VLOOKUP(Aragon!E2542,'Kilter Holds'!$P$36:$AB$370,7,0),0)+_xlfn.IFNA(VLOOKUP(A2542,'Kilter Holds'!$P$36:$AB$370,7,0),0)</f>
        <v>0</v>
      </c>
      <c r="J2542" s="2">
        <f t="shared" si="159"/>
        <v>0</v>
      </c>
      <c r="K2542" s="2">
        <f t="shared" si="160"/>
        <v>0</v>
      </c>
    </row>
    <row r="2543" spans="1:11">
      <c r="A2543" s="3"/>
      <c r="E2543" s="3" t="s">
        <v>2766</v>
      </c>
      <c r="F2543" s="3" t="s">
        <v>2769</v>
      </c>
      <c r="G2543" s="8" t="str">
        <f t="shared" si="161"/>
        <v>16-16</v>
      </c>
      <c r="H2543" s="1">
        <f>_xlfn.IFNA(VLOOKUP(Aragon!E2543,'Kilter Holds'!$P$36:$AB$370,8,0),0)+_xlfn.IFNA(VLOOKUP(A2543,'Kilter Holds'!$P$36:$AB$370,8,0),0)</f>
        <v>0</v>
      </c>
      <c r="J2543" s="2">
        <f t="shared" si="159"/>
        <v>0</v>
      </c>
      <c r="K2543" s="2">
        <f t="shared" si="160"/>
        <v>0</v>
      </c>
    </row>
    <row r="2544" spans="1:11">
      <c r="A2544" s="3"/>
      <c r="E2544" s="3" t="s">
        <v>2766</v>
      </c>
      <c r="F2544" s="3" t="s">
        <v>2769</v>
      </c>
      <c r="G2544" s="9" t="str">
        <f t="shared" si="161"/>
        <v>13-01</v>
      </c>
      <c r="H2544" s="1">
        <f>_xlfn.IFNA(VLOOKUP(Aragon!E2544,'Kilter Holds'!$P$36:$AB$370,9,0),0)+_xlfn.IFNA(VLOOKUP(A2544,'Kilter Holds'!$P$36:$AB$370,9,0),0)</f>
        <v>0</v>
      </c>
      <c r="J2544" s="2">
        <f t="shared" si="159"/>
        <v>0</v>
      </c>
      <c r="K2544" s="2">
        <f t="shared" si="160"/>
        <v>0</v>
      </c>
    </row>
    <row r="2545" spans="1:11">
      <c r="A2545" s="3"/>
      <c r="E2545" s="3" t="s">
        <v>2766</v>
      </c>
      <c r="F2545" s="3" t="s">
        <v>2769</v>
      </c>
      <c r="G2545" s="10" t="str">
        <f t="shared" si="161"/>
        <v>07-13</v>
      </c>
      <c r="H2545" s="1">
        <f>_xlfn.IFNA(VLOOKUP(Aragon!E2545,'Kilter Holds'!$P$36:$AB$370,10,0),0)+_xlfn.IFNA(VLOOKUP(A2545,'Kilter Holds'!$P$36:$AB$370,10,0),0)</f>
        <v>0</v>
      </c>
      <c r="J2545" s="2">
        <f t="shared" si="159"/>
        <v>0</v>
      </c>
      <c r="K2545" s="2">
        <f t="shared" si="160"/>
        <v>0</v>
      </c>
    </row>
    <row r="2546" spans="1:11">
      <c r="A2546" s="3"/>
      <c r="E2546" s="3" t="s">
        <v>2766</v>
      </c>
      <c r="F2546" s="3" t="s">
        <v>2769</v>
      </c>
      <c r="G2546" s="11" t="str">
        <f t="shared" si="161"/>
        <v>11-25</v>
      </c>
      <c r="H2546" s="1">
        <f>_xlfn.IFNA(VLOOKUP(Aragon!E2546,'Kilter Holds'!$P$36:$AB$370,11,0),0)+_xlfn.IFNA(VLOOKUP(A2546,'Kilter Holds'!$P$36:$AB$370,11,0),0)</f>
        <v>0</v>
      </c>
      <c r="J2546" s="2">
        <f t="shared" si="159"/>
        <v>0</v>
      </c>
      <c r="K2546" s="2">
        <f t="shared" si="160"/>
        <v>0</v>
      </c>
    </row>
    <row r="2547" spans="1:11">
      <c r="A2547" s="3"/>
      <c r="E2547" s="3" t="s">
        <v>2766</v>
      </c>
      <c r="F2547" s="3" t="s">
        <v>2769</v>
      </c>
      <c r="G2547" s="13" t="str">
        <f t="shared" si="161"/>
        <v>18-01</v>
      </c>
      <c r="H2547" s="1">
        <f>_xlfn.IFNA(VLOOKUP(Aragon!E2547,'Kilter Holds'!$P$36:$AB$370,12,0),0)+_xlfn.IFNA(VLOOKUP(A2547,'Kilter Holds'!$P$36:$AB$370,12,0),0)</f>
        <v>0</v>
      </c>
      <c r="J2547" s="2">
        <f t="shared" si="159"/>
        <v>0</v>
      </c>
      <c r="K2547" s="2">
        <f t="shared" si="160"/>
        <v>0</v>
      </c>
    </row>
    <row r="2548" spans="1:11">
      <c r="A2548" s="3"/>
      <c r="E2548" s="3" t="s">
        <v>2766</v>
      </c>
      <c r="F2548" s="3" t="s">
        <v>2769</v>
      </c>
      <c r="G2548" s="12" t="str">
        <f t="shared" si="161"/>
        <v>12-01</v>
      </c>
      <c r="H2548" s="1">
        <f>_xlfn.IFNA(VLOOKUP(Aragon!E2548,'Kilter Holds'!$P$36:$AB$370,13,0),0)+_xlfn.IFNA(VLOOKUP(A2548,'Kilter Holds'!$P$36:$AB$370,13,0),0)</f>
        <v>0</v>
      </c>
      <c r="J2548" s="2">
        <f t="shared" si="159"/>
        <v>0</v>
      </c>
      <c r="K2548" s="2">
        <f t="shared" si="160"/>
        <v>0</v>
      </c>
    </row>
    <row r="2549" spans="1:11">
      <c r="A2549" s="3"/>
      <c r="E2549" s="3" t="s">
        <v>2765</v>
      </c>
      <c r="F2549" s="3" t="s">
        <v>2770</v>
      </c>
      <c r="G2549" s="5" t="str">
        <f t="shared" si="161"/>
        <v>11-12</v>
      </c>
      <c r="H2549" s="1">
        <f>_xlfn.IFNA(VLOOKUP(Aragon!E2549,'Kilter Holds'!$P$36:$AB$370,5,0),0)+_xlfn.IFNA(VLOOKUP(A2549,'Kilter Holds'!$P$36:$AB$370,5,0),0)</f>
        <v>0</v>
      </c>
      <c r="J2549" s="2">
        <f t="shared" si="159"/>
        <v>0</v>
      </c>
      <c r="K2549" s="2">
        <f t="shared" si="160"/>
        <v>0</v>
      </c>
    </row>
    <row r="2550" spans="1:11">
      <c r="A2550" s="3"/>
      <c r="E2550" s="3" t="s">
        <v>2765</v>
      </c>
      <c r="F2550" s="3" t="s">
        <v>2770</v>
      </c>
      <c r="G2550" s="6" t="str">
        <f t="shared" si="161"/>
        <v>14-01</v>
      </c>
      <c r="H2550" s="1">
        <f>_xlfn.IFNA(VLOOKUP(Aragon!E2550,'Kilter Holds'!$P$36:$AB$370,6,0),0)+_xlfn.IFNA(VLOOKUP(A2550,'Kilter Holds'!$P$36:$AB$370,6,0),0)</f>
        <v>0</v>
      </c>
      <c r="J2550" s="2">
        <f t="shared" si="159"/>
        <v>0</v>
      </c>
      <c r="K2550" s="2">
        <f t="shared" si="160"/>
        <v>0</v>
      </c>
    </row>
    <row r="2551" spans="1:11">
      <c r="A2551" s="3"/>
      <c r="E2551" s="3" t="s">
        <v>2765</v>
      </c>
      <c r="F2551" s="3" t="s">
        <v>2770</v>
      </c>
      <c r="G2551" s="7" t="str">
        <f t="shared" si="161"/>
        <v>15-12</v>
      </c>
      <c r="H2551" s="1">
        <f>_xlfn.IFNA(VLOOKUP(Aragon!E2551,'Kilter Holds'!$P$36:$AB$370,7,0),0)+_xlfn.IFNA(VLOOKUP(A2551,'Kilter Holds'!$P$36:$AB$370,7,0),0)</f>
        <v>0</v>
      </c>
      <c r="J2551" s="2">
        <f t="shared" si="159"/>
        <v>0</v>
      </c>
      <c r="K2551" s="2">
        <f t="shared" si="160"/>
        <v>0</v>
      </c>
    </row>
    <row r="2552" spans="1:11">
      <c r="A2552" s="3"/>
      <c r="E2552" s="3" t="s">
        <v>2765</v>
      </c>
      <c r="F2552" s="3" t="s">
        <v>2770</v>
      </c>
      <c r="G2552" s="8" t="str">
        <f t="shared" si="161"/>
        <v>16-16</v>
      </c>
      <c r="H2552" s="1">
        <f>_xlfn.IFNA(VLOOKUP(Aragon!E2552,'Kilter Holds'!$P$36:$AB$370,8,0),0)+_xlfn.IFNA(VLOOKUP(A2552,'Kilter Holds'!$P$36:$AB$370,8,0),0)</f>
        <v>0</v>
      </c>
      <c r="J2552" s="2">
        <f t="shared" si="159"/>
        <v>0</v>
      </c>
      <c r="K2552" s="2">
        <f t="shared" si="160"/>
        <v>0</v>
      </c>
    </row>
    <row r="2553" spans="1:11">
      <c r="A2553" s="3"/>
      <c r="E2553" s="3" t="s">
        <v>2765</v>
      </c>
      <c r="F2553" s="3" t="s">
        <v>2770</v>
      </c>
      <c r="G2553" s="9" t="str">
        <f t="shared" si="161"/>
        <v>13-01</v>
      </c>
      <c r="H2553" s="1">
        <f>_xlfn.IFNA(VLOOKUP(Aragon!E2553,'Kilter Holds'!$P$36:$AB$370,9,0),0)+_xlfn.IFNA(VLOOKUP(A2553,'Kilter Holds'!$P$36:$AB$370,9,0),0)</f>
        <v>0</v>
      </c>
      <c r="J2553" s="2">
        <f t="shared" si="159"/>
        <v>0</v>
      </c>
      <c r="K2553" s="2">
        <f t="shared" si="160"/>
        <v>0</v>
      </c>
    </row>
    <row r="2554" spans="1:11">
      <c r="A2554" s="3"/>
      <c r="E2554" s="3" t="s">
        <v>2765</v>
      </c>
      <c r="F2554" s="3" t="s">
        <v>2770</v>
      </c>
      <c r="G2554" s="10" t="str">
        <f t="shared" si="161"/>
        <v>07-13</v>
      </c>
      <c r="H2554" s="1">
        <f>_xlfn.IFNA(VLOOKUP(Aragon!E2554,'Kilter Holds'!$P$36:$AB$370,10,0),0)+_xlfn.IFNA(VLOOKUP(A2554,'Kilter Holds'!$P$36:$AB$370,10,0),0)</f>
        <v>0</v>
      </c>
      <c r="J2554" s="2">
        <f t="shared" si="159"/>
        <v>0</v>
      </c>
      <c r="K2554" s="2">
        <f t="shared" si="160"/>
        <v>0</v>
      </c>
    </row>
    <row r="2555" spans="1:11">
      <c r="A2555" s="3"/>
      <c r="E2555" s="3" t="s">
        <v>2765</v>
      </c>
      <c r="F2555" s="3" t="s">
        <v>2770</v>
      </c>
      <c r="G2555" s="11" t="str">
        <f t="shared" si="161"/>
        <v>11-25</v>
      </c>
      <c r="H2555" s="1">
        <f>_xlfn.IFNA(VLOOKUP(Aragon!E2555,'Kilter Holds'!$P$36:$AB$370,11,0),0)+_xlfn.IFNA(VLOOKUP(A2555,'Kilter Holds'!$P$36:$AB$370,11,0),0)</f>
        <v>0</v>
      </c>
      <c r="J2555" s="2">
        <f t="shared" si="159"/>
        <v>0</v>
      </c>
      <c r="K2555" s="2">
        <f t="shared" si="160"/>
        <v>0</v>
      </c>
    </row>
    <row r="2556" spans="1:11">
      <c r="A2556" s="3"/>
      <c r="E2556" s="3" t="s">
        <v>2765</v>
      </c>
      <c r="F2556" s="3" t="s">
        <v>2770</v>
      </c>
      <c r="G2556" s="13" t="str">
        <f t="shared" si="161"/>
        <v>18-01</v>
      </c>
      <c r="H2556" s="1">
        <f>_xlfn.IFNA(VLOOKUP(Aragon!E2556,'Kilter Holds'!$P$36:$AB$370,12,0),0)+_xlfn.IFNA(VLOOKUP(A2556,'Kilter Holds'!$P$36:$AB$370,12,0),0)</f>
        <v>0</v>
      </c>
      <c r="J2556" s="2">
        <f t="shared" si="159"/>
        <v>0</v>
      </c>
      <c r="K2556" s="2">
        <f t="shared" si="160"/>
        <v>0</v>
      </c>
    </row>
    <row r="2557" spans="1:11">
      <c r="A2557" s="3"/>
      <c r="E2557" s="3" t="s">
        <v>2765</v>
      </c>
      <c r="F2557" s="3" t="s">
        <v>2770</v>
      </c>
      <c r="G2557" s="12" t="str">
        <f t="shared" si="161"/>
        <v>12-01</v>
      </c>
      <c r="H2557" s="1">
        <f>_xlfn.IFNA(VLOOKUP(Aragon!E2557,'Kilter Holds'!$P$36:$AB$370,13,0),0)+_xlfn.IFNA(VLOOKUP(A2557,'Kilter Holds'!$P$36:$AB$370,13,0),0)</f>
        <v>0</v>
      </c>
      <c r="J2557" s="2">
        <f t="shared" si="159"/>
        <v>0</v>
      </c>
      <c r="K2557" s="2">
        <f t="shared" si="160"/>
        <v>0</v>
      </c>
    </row>
    <row r="2558" spans="1:11">
      <c r="A2558" s="3"/>
      <c r="E2558" s="3" t="s">
        <v>2827</v>
      </c>
      <c r="F2558" s="3" t="s">
        <v>2828</v>
      </c>
      <c r="G2558" s="5" t="str">
        <f t="shared" si="161"/>
        <v>11-12</v>
      </c>
      <c r="H2558" s="1">
        <f>_xlfn.IFNA(VLOOKUP(Aragon!E2558,'Kilter Holds'!$P$36:$AB$370,5,0),0)+_xlfn.IFNA(VLOOKUP(A2558,'Kilter Holds'!$P$36:$AB$370,5,0),0)</f>
        <v>0</v>
      </c>
      <c r="J2558" s="2">
        <f t="shared" ref="J2558:J2584" si="162">H2558*I2558</f>
        <v>0</v>
      </c>
      <c r="K2558" s="2">
        <f t="shared" ref="K2558:K2584" si="163">IF($V$11="Y",J2558*0.05,0)</f>
        <v>0</v>
      </c>
    </row>
    <row r="2559" spans="1:11">
      <c r="A2559" s="3"/>
      <c r="E2559" s="3" t="s">
        <v>2827</v>
      </c>
      <c r="F2559" s="3" t="s">
        <v>2828</v>
      </c>
      <c r="G2559" s="6" t="str">
        <f t="shared" si="161"/>
        <v>14-01</v>
      </c>
      <c r="H2559" s="1">
        <f>_xlfn.IFNA(VLOOKUP(Aragon!E2559,'Kilter Holds'!$P$36:$AB$370,6,0),0)+_xlfn.IFNA(VLOOKUP(A2559,'Kilter Holds'!$P$36:$AB$370,6,0),0)</f>
        <v>0</v>
      </c>
      <c r="J2559" s="2">
        <f t="shared" si="162"/>
        <v>0</v>
      </c>
      <c r="K2559" s="2">
        <f t="shared" si="163"/>
        <v>0</v>
      </c>
    </row>
    <row r="2560" spans="1:11">
      <c r="A2560" s="3"/>
      <c r="E2560" s="3" t="s">
        <v>2827</v>
      </c>
      <c r="F2560" s="3" t="s">
        <v>2828</v>
      </c>
      <c r="G2560" s="7" t="str">
        <f t="shared" si="161"/>
        <v>15-12</v>
      </c>
      <c r="H2560" s="1">
        <f>_xlfn.IFNA(VLOOKUP(Aragon!E2560,'Kilter Holds'!$P$36:$AB$370,7,0),0)+_xlfn.IFNA(VLOOKUP(A2560,'Kilter Holds'!$P$36:$AB$370,7,0),0)</f>
        <v>0</v>
      </c>
      <c r="J2560" s="2">
        <f t="shared" si="162"/>
        <v>0</v>
      </c>
      <c r="K2560" s="2">
        <f t="shared" si="163"/>
        <v>0</v>
      </c>
    </row>
    <row r="2561" spans="1:11">
      <c r="A2561" s="3"/>
      <c r="E2561" s="3" t="s">
        <v>2827</v>
      </c>
      <c r="F2561" s="3" t="s">
        <v>2828</v>
      </c>
      <c r="G2561" s="8" t="str">
        <f t="shared" si="161"/>
        <v>16-16</v>
      </c>
      <c r="H2561" s="1">
        <f>_xlfn.IFNA(VLOOKUP(Aragon!E2561,'Kilter Holds'!$P$36:$AB$370,8,0),0)+_xlfn.IFNA(VLOOKUP(A2561,'Kilter Holds'!$P$36:$AB$370,8,0),0)</f>
        <v>0</v>
      </c>
      <c r="J2561" s="2">
        <f t="shared" si="162"/>
        <v>0</v>
      </c>
      <c r="K2561" s="2">
        <f t="shared" si="163"/>
        <v>0</v>
      </c>
    </row>
    <row r="2562" spans="1:11">
      <c r="A2562" s="3"/>
      <c r="E2562" s="3" t="s">
        <v>2827</v>
      </c>
      <c r="F2562" s="3" t="s">
        <v>2828</v>
      </c>
      <c r="G2562" s="9" t="str">
        <f t="shared" si="161"/>
        <v>13-01</v>
      </c>
      <c r="H2562" s="1">
        <f>_xlfn.IFNA(VLOOKUP(Aragon!E2562,'Kilter Holds'!$P$36:$AB$370,9,0),0)+_xlfn.IFNA(VLOOKUP(A2562,'Kilter Holds'!$P$36:$AB$370,9,0),0)</f>
        <v>0</v>
      </c>
      <c r="J2562" s="2">
        <f t="shared" si="162"/>
        <v>0</v>
      </c>
      <c r="K2562" s="2">
        <f t="shared" si="163"/>
        <v>0</v>
      </c>
    </row>
    <row r="2563" spans="1:11">
      <c r="A2563" s="3"/>
      <c r="E2563" s="3" t="s">
        <v>2827</v>
      </c>
      <c r="F2563" s="3" t="s">
        <v>2828</v>
      </c>
      <c r="G2563" s="10" t="str">
        <f t="shared" si="161"/>
        <v>07-13</v>
      </c>
      <c r="H2563" s="1">
        <f>_xlfn.IFNA(VLOOKUP(Aragon!E2563,'Kilter Holds'!$P$36:$AB$370,10,0),0)+_xlfn.IFNA(VLOOKUP(A2563,'Kilter Holds'!$P$36:$AB$370,10,0),0)</f>
        <v>0</v>
      </c>
      <c r="J2563" s="2">
        <f t="shared" si="162"/>
        <v>0</v>
      </c>
      <c r="K2563" s="2">
        <f t="shared" si="163"/>
        <v>0</v>
      </c>
    </row>
    <row r="2564" spans="1:11">
      <c r="A2564" s="3"/>
      <c r="E2564" s="3" t="s">
        <v>2827</v>
      </c>
      <c r="F2564" s="3" t="s">
        <v>2828</v>
      </c>
      <c r="G2564" s="11" t="str">
        <f t="shared" si="161"/>
        <v>11-25</v>
      </c>
      <c r="H2564" s="1">
        <f>_xlfn.IFNA(VLOOKUP(Aragon!E2564,'Kilter Holds'!$P$36:$AB$370,11,0),0)+_xlfn.IFNA(VLOOKUP(A2564,'Kilter Holds'!$P$36:$AB$370,11,0),0)</f>
        <v>0</v>
      </c>
      <c r="J2564" s="2">
        <f t="shared" si="162"/>
        <v>0</v>
      </c>
      <c r="K2564" s="2">
        <f t="shared" si="163"/>
        <v>0</v>
      </c>
    </row>
    <row r="2565" spans="1:11">
      <c r="A2565" s="3"/>
      <c r="E2565" s="3" t="s">
        <v>2827</v>
      </c>
      <c r="F2565" s="3" t="s">
        <v>2828</v>
      </c>
      <c r="G2565" s="13" t="str">
        <f t="shared" si="161"/>
        <v>18-01</v>
      </c>
      <c r="H2565" s="1">
        <f>_xlfn.IFNA(VLOOKUP(Aragon!E2565,'Kilter Holds'!$P$36:$AB$370,12,0),0)+_xlfn.IFNA(VLOOKUP(A2565,'Kilter Holds'!$P$36:$AB$370,12,0),0)</f>
        <v>0</v>
      </c>
      <c r="J2565" s="2">
        <f t="shared" si="162"/>
        <v>0</v>
      </c>
      <c r="K2565" s="2">
        <f t="shared" si="163"/>
        <v>0</v>
      </c>
    </row>
    <row r="2566" spans="1:11">
      <c r="A2566" s="3"/>
      <c r="E2566" s="3" t="s">
        <v>2827</v>
      </c>
      <c r="F2566" s="3" t="s">
        <v>2828</v>
      </c>
      <c r="G2566" s="12" t="str">
        <f t="shared" si="161"/>
        <v>12-01</v>
      </c>
      <c r="H2566" s="1">
        <f>_xlfn.IFNA(VLOOKUP(Aragon!E2566,'Kilter Holds'!$P$36:$AB$370,13,0),0)+_xlfn.IFNA(VLOOKUP(A2566,'Kilter Holds'!$P$36:$AB$370,13,0),0)</f>
        <v>0</v>
      </c>
      <c r="J2566" s="2">
        <f t="shared" si="162"/>
        <v>0</v>
      </c>
      <c r="K2566" s="2">
        <f t="shared" si="163"/>
        <v>0</v>
      </c>
    </row>
    <row r="2567" spans="1:11">
      <c r="A2567" s="3"/>
      <c r="E2567" s="3" t="s">
        <v>2829</v>
      </c>
      <c r="F2567" s="3" t="s">
        <v>2830</v>
      </c>
      <c r="G2567" s="5" t="str">
        <f t="shared" si="161"/>
        <v>11-12</v>
      </c>
      <c r="H2567" s="1">
        <f>_xlfn.IFNA(VLOOKUP(Aragon!E2567,'Kilter Holds'!$P$36:$AB$370,5,0),0)+_xlfn.IFNA(VLOOKUP(A2567,'Kilter Holds'!$P$36:$AB$370,5,0),0)</f>
        <v>0</v>
      </c>
      <c r="J2567" s="2">
        <f t="shared" si="162"/>
        <v>0</v>
      </c>
      <c r="K2567" s="2">
        <f t="shared" si="163"/>
        <v>0</v>
      </c>
    </row>
    <row r="2568" spans="1:11">
      <c r="A2568" s="3"/>
      <c r="E2568" s="3" t="s">
        <v>2829</v>
      </c>
      <c r="F2568" s="3" t="s">
        <v>2830</v>
      </c>
      <c r="G2568" s="6" t="str">
        <f t="shared" si="161"/>
        <v>14-01</v>
      </c>
      <c r="H2568" s="1">
        <f>_xlfn.IFNA(VLOOKUP(Aragon!E2568,'Kilter Holds'!$P$36:$AB$370,6,0),0)+_xlfn.IFNA(VLOOKUP(A2568,'Kilter Holds'!$P$36:$AB$370,6,0),0)</f>
        <v>0</v>
      </c>
      <c r="J2568" s="2">
        <f t="shared" si="162"/>
        <v>0</v>
      </c>
      <c r="K2568" s="2">
        <f t="shared" si="163"/>
        <v>0</v>
      </c>
    </row>
    <row r="2569" spans="1:11">
      <c r="A2569" s="3"/>
      <c r="E2569" s="3" t="s">
        <v>2829</v>
      </c>
      <c r="F2569" s="3" t="s">
        <v>2830</v>
      </c>
      <c r="G2569" s="7" t="str">
        <f t="shared" si="161"/>
        <v>15-12</v>
      </c>
      <c r="H2569" s="1">
        <f>_xlfn.IFNA(VLOOKUP(Aragon!E2569,'Kilter Holds'!$P$36:$AB$370,7,0),0)+_xlfn.IFNA(VLOOKUP(A2569,'Kilter Holds'!$P$36:$AB$370,7,0),0)</f>
        <v>0</v>
      </c>
      <c r="J2569" s="2">
        <f t="shared" si="162"/>
        <v>0</v>
      </c>
      <c r="K2569" s="2">
        <f t="shared" si="163"/>
        <v>0</v>
      </c>
    </row>
    <row r="2570" spans="1:11">
      <c r="A2570" s="3"/>
      <c r="E2570" s="3" t="s">
        <v>2829</v>
      </c>
      <c r="F2570" s="3" t="s">
        <v>2830</v>
      </c>
      <c r="G2570" s="8" t="str">
        <f t="shared" si="161"/>
        <v>16-16</v>
      </c>
      <c r="H2570" s="1">
        <f>_xlfn.IFNA(VLOOKUP(Aragon!E2570,'Kilter Holds'!$P$36:$AB$370,8,0),0)+_xlfn.IFNA(VLOOKUP(A2570,'Kilter Holds'!$P$36:$AB$370,8,0),0)</f>
        <v>0</v>
      </c>
      <c r="J2570" s="2">
        <f t="shared" si="162"/>
        <v>0</v>
      </c>
      <c r="K2570" s="2">
        <f t="shared" si="163"/>
        <v>0</v>
      </c>
    </row>
    <row r="2571" spans="1:11">
      <c r="A2571" s="3"/>
      <c r="E2571" s="3" t="s">
        <v>2829</v>
      </c>
      <c r="F2571" s="3" t="s">
        <v>2830</v>
      </c>
      <c r="G2571" s="9" t="str">
        <f t="shared" si="161"/>
        <v>13-01</v>
      </c>
      <c r="H2571" s="1">
        <f>_xlfn.IFNA(VLOOKUP(Aragon!E2571,'Kilter Holds'!$P$36:$AB$370,9,0),0)+_xlfn.IFNA(VLOOKUP(A2571,'Kilter Holds'!$P$36:$AB$370,9,0),0)</f>
        <v>0</v>
      </c>
      <c r="J2571" s="2">
        <f t="shared" si="162"/>
        <v>0</v>
      </c>
      <c r="K2571" s="2">
        <f t="shared" si="163"/>
        <v>0</v>
      </c>
    </row>
    <row r="2572" spans="1:11">
      <c r="A2572" s="3"/>
      <c r="E2572" s="3" t="s">
        <v>2829</v>
      </c>
      <c r="F2572" s="3" t="s">
        <v>2830</v>
      </c>
      <c r="G2572" s="10" t="str">
        <f t="shared" si="161"/>
        <v>07-13</v>
      </c>
      <c r="H2572" s="1">
        <f>_xlfn.IFNA(VLOOKUP(Aragon!E2572,'Kilter Holds'!$P$36:$AB$370,10,0),0)+_xlfn.IFNA(VLOOKUP(A2572,'Kilter Holds'!$P$36:$AB$370,10,0),0)</f>
        <v>0</v>
      </c>
      <c r="J2572" s="2">
        <f t="shared" si="162"/>
        <v>0</v>
      </c>
      <c r="K2572" s="2">
        <f t="shared" si="163"/>
        <v>0</v>
      </c>
    </row>
    <row r="2573" spans="1:11">
      <c r="A2573" s="3"/>
      <c r="E2573" s="3" t="s">
        <v>2829</v>
      </c>
      <c r="F2573" s="3" t="s">
        <v>2830</v>
      </c>
      <c r="G2573" s="11" t="str">
        <f t="shared" si="161"/>
        <v>11-25</v>
      </c>
      <c r="H2573" s="1">
        <f>_xlfn.IFNA(VLOOKUP(Aragon!E2573,'Kilter Holds'!$P$36:$AB$370,11,0),0)+_xlfn.IFNA(VLOOKUP(A2573,'Kilter Holds'!$P$36:$AB$370,11,0),0)</f>
        <v>0</v>
      </c>
      <c r="J2573" s="2">
        <f t="shared" si="162"/>
        <v>0</v>
      </c>
      <c r="K2573" s="2">
        <f t="shared" si="163"/>
        <v>0</v>
      </c>
    </row>
    <row r="2574" spans="1:11">
      <c r="A2574" s="3"/>
      <c r="E2574" s="3" t="s">
        <v>2829</v>
      </c>
      <c r="F2574" s="3" t="s">
        <v>2830</v>
      </c>
      <c r="G2574" s="13" t="str">
        <f t="shared" si="161"/>
        <v>18-01</v>
      </c>
      <c r="H2574" s="1">
        <f>_xlfn.IFNA(VLOOKUP(Aragon!E2574,'Kilter Holds'!$P$36:$AB$370,12,0),0)+_xlfn.IFNA(VLOOKUP(A2574,'Kilter Holds'!$P$36:$AB$370,12,0),0)</f>
        <v>0</v>
      </c>
      <c r="J2574" s="2">
        <f t="shared" si="162"/>
        <v>0</v>
      </c>
      <c r="K2574" s="2">
        <f t="shared" si="163"/>
        <v>0</v>
      </c>
    </row>
    <row r="2575" spans="1:11">
      <c r="A2575" s="3"/>
      <c r="E2575" s="3" t="s">
        <v>2829</v>
      </c>
      <c r="F2575" s="3" t="s">
        <v>2830</v>
      </c>
      <c r="G2575" s="12" t="str">
        <f t="shared" si="161"/>
        <v>12-01</v>
      </c>
      <c r="H2575" s="1">
        <f>_xlfn.IFNA(VLOOKUP(Aragon!E2575,'Kilter Holds'!$P$36:$AB$370,13,0),0)+_xlfn.IFNA(VLOOKUP(A2575,'Kilter Holds'!$P$36:$AB$370,13,0),0)</f>
        <v>0</v>
      </c>
      <c r="J2575" s="2">
        <f t="shared" si="162"/>
        <v>0</v>
      </c>
      <c r="K2575" s="2">
        <f t="shared" si="163"/>
        <v>0</v>
      </c>
    </row>
    <row r="2576" spans="1:11">
      <c r="A2576" s="3"/>
      <c r="E2576" s="3" t="s">
        <v>2831</v>
      </c>
      <c r="F2576" s="3" t="s">
        <v>2832</v>
      </c>
      <c r="G2576" s="5" t="str">
        <f t="shared" si="161"/>
        <v>11-12</v>
      </c>
      <c r="H2576" s="1">
        <f>_xlfn.IFNA(VLOOKUP(Aragon!E2576,'Kilter Holds'!$P$36:$AB$370,5,0),0)+_xlfn.IFNA(VLOOKUP(A2576,'Kilter Holds'!$P$36:$AB$370,5,0),0)</f>
        <v>0</v>
      </c>
      <c r="J2576" s="2">
        <f t="shared" si="162"/>
        <v>0</v>
      </c>
      <c r="K2576" s="2">
        <f t="shared" si="163"/>
        <v>0</v>
      </c>
    </row>
    <row r="2577" spans="1:11">
      <c r="A2577" s="3"/>
      <c r="E2577" s="3" t="s">
        <v>2831</v>
      </c>
      <c r="F2577" s="3" t="s">
        <v>2832</v>
      </c>
      <c r="G2577" s="6" t="str">
        <f t="shared" si="161"/>
        <v>14-01</v>
      </c>
      <c r="H2577" s="1">
        <f>_xlfn.IFNA(VLOOKUP(Aragon!E2577,'Kilter Holds'!$P$36:$AB$370,6,0),0)+_xlfn.IFNA(VLOOKUP(A2577,'Kilter Holds'!$P$36:$AB$370,6,0),0)</f>
        <v>0</v>
      </c>
      <c r="J2577" s="2">
        <f t="shared" si="162"/>
        <v>0</v>
      </c>
      <c r="K2577" s="2">
        <f t="shared" si="163"/>
        <v>0</v>
      </c>
    </row>
    <row r="2578" spans="1:11">
      <c r="A2578" s="3"/>
      <c r="E2578" s="3" t="s">
        <v>2831</v>
      </c>
      <c r="F2578" s="3" t="s">
        <v>2832</v>
      </c>
      <c r="G2578" s="7" t="str">
        <f t="shared" si="161"/>
        <v>15-12</v>
      </c>
      <c r="H2578" s="1">
        <f>_xlfn.IFNA(VLOOKUP(Aragon!E2578,'Kilter Holds'!$P$36:$AB$370,7,0),0)+_xlfn.IFNA(VLOOKUP(A2578,'Kilter Holds'!$P$36:$AB$370,7,0),0)</f>
        <v>0</v>
      </c>
      <c r="J2578" s="2">
        <f t="shared" si="162"/>
        <v>0</v>
      </c>
      <c r="K2578" s="2">
        <f t="shared" si="163"/>
        <v>0</v>
      </c>
    </row>
    <row r="2579" spans="1:11">
      <c r="A2579" s="3"/>
      <c r="E2579" s="3" t="s">
        <v>2831</v>
      </c>
      <c r="F2579" s="3" t="s">
        <v>2832</v>
      </c>
      <c r="G2579" s="8" t="str">
        <f t="shared" si="161"/>
        <v>16-16</v>
      </c>
      <c r="H2579" s="1">
        <f>_xlfn.IFNA(VLOOKUP(Aragon!E2579,'Kilter Holds'!$P$36:$AB$370,8,0),0)+_xlfn.IFNA(VLOOKUP(A2579,'Kilter Holds'!$P$36:$AB$370,8,0),0)</f>
        <v>0</v>
      </c>
      <c r="J2579" s="2">
        <f t="shared" si="162"/>
        <v>0</v>
      </c>
      <c r="K2579" s="2">
        <f t="shared" si="163"/>
        <v>0</v>
      </c>
    </row>
    <row r="2580" spans="1:11">
      <c r="A2580" s="3"/>
      <c r="E2580" s="3" t="s">
        <v>2831</v>
      </c>
      <c r="F2580" s="3" t="s">
        <v>2832</v>
      </c>
      <c r="G2580" s="9" t="str">
        <f t="shared" si="161"/>
        <v>13-01</v>
      </c>
      <c r="H2580" s="1">
        <f>_xlfn.IFNA(VLOOKUP(Aragon!E2580,'Kilter Holds'!$P$36:$AB$370,9,0),0)+_xlfn.IFNA(VLOOKUP(A2580,'Kilter Holds'!$P$36:$AB$370,9,0),0)</f>
        <v>0</v>
      </c>
      <c r="J2580" s="2">
        <f t="shared" si="162"/>
        <v>0</v>
      </c>
      <c r="K2580" s="2">
        <f t="shared" si="163"/>
        <v>0</v>
      </c>
    </row>
    <row r="2581" spans="1:11">
      <c r="A2581" s="3"/>
      <c r="E2581" s="3" t="s">
        <v>2831</v>
      </c>
      <c r="F2581" s="3" t="s">
        <v>2832</v>
      </c>
      <c r="G2581" s="10" t="str">
        <f t="shared" si="161"/>
        <v>07-13</v>
      </c>
      <c r="H2581" s="1">
        <f>_xlfn.IFNA(VLOOKUP(Aragon!E2581,'Kilter Holds'!$P$36:$AB$370,10,0),0)+_xlfn.IFNA(VLOOKUP(A2581,'Kilter Holds'!$P$36:$AB$370,10,0),0)</f>
        <v>0</v>
      </c>
      <c r="J2581" s="2">
        <f t="shared" si="162"/>
        <v>0</v>
      </c>
      <c r="K2581" s="2">
        <f t="shared" si="163"/>
        <v>0</v>
      </c>
    </row>
    <row r="2582" spans="1:11">
      <c r="A2582" s="3"/>
      <c r="E2582" s="3" t="s">
        <v>2831</v>
      </c>
      <c r="F2582" s="3" t="s">
        <v>2832</v>
      </c>
      <c r="G2582" s="11" t="str">
        <f t="shared" si="161"/>
        <v>11-25</v>
      </c>
      <c r="H2582" s="1">
        <f>_xlfn.IFNA(VLOOKUP(Aragon!E2582,'Kilter Holds'!$P$36:$AB$370,11,0),0)+_xlfn.IFNA(VLOOKUP(A2582,'Kilter Holds'!$P$36:$AB$370,11,0),0)</f>
        <v>0</v>
      </c>
      <c r="J2582" s="2">
        <f t="shared" si="162"/>
        <v>0</v>
      </c>
      <c r="K2582" s="2">
        <f t="shared" si="163"/>
        <v>0</v>
      </c>
    </row>
    <row r="2583" spans="1:11">
      <c r="A2583" s="3"/>
      <c r="E2583" s="3" t="s">
        <v>2831</v>
      </c>
      <c r="F2583" s="3" t="s">
        <v>2832</v>
      </c>
      <c r="G2583" s="13" t="str">
        <f t="shared" si="161"/>
        <v>18-01</v>
      </c>
      <c r="H2583" s="1">
        <f>_xlfn.IFNA(VLOOKUP(Aragon!E2583,'Kilter Holds'!$P$36:$AB$370,12,0),0)+_xlfn.IFNA(VLOOKUP(A2583,'Kilter Holds'!$P$36:$AB$370,12,0),0)</f>
        <v>0</v>
      </c>
      <c r="J2583" s="2">
        <f t="shared" si="162"/>
        <v>0</v>
      </c>
      <c r="K2583" s="2">
        <f t="shared" si="163"/>
        <v>0</v>
      </c>
    </row>
    <row r="2584" spans="1:11">
      <c r="A2584" s="3"/>
      <c r="E2584" s="3" t="s">
        <v>2831</v>
      </c>
      <c r="F2584" s="3" t="s">
        <v>2832</v>
      </c>
      <c r="G2584" s="12" t="str">
        <f t="shared" si="161"/>
        <v>12-01</v>
      </c>
      <c r="H2584" s="1">
        <f>_xlfn.IFNA(VLOOKUP(Aragon!E2584,'Kilter Holds'!$P$36:$AB$370,13,0),0)+_xlfn.IFNA(VLOOKUP(A2584,'Kilter Holds'!$P$36:$AB$370,13,0),0)</f>
        <v>0</v>
      </c>
      <c r="J2584" s="2">
        <f t="shared" si="162"/>
        <v>0</v>
      </c>
      <c r="K2584" s="2">
        <f t="shared" si="163"/>
        <v>0</v>
      </c>
    </row>
    <row r="2585" spans="1:11">
      <c r="A2585" s="3"/>
      <c r="E2585" s="3" t="s">
        <v>2997</v>
      </c>
      <c r="F2585" s="3" t="s">
        <v>2998</v>
      </c>
      <c r="G2585" s="5" t="str">
        <f t="shared" si="161"/>
        <v>11-12</v>
      </c>
      <c r="H2585" s="1">
        <f>_xlfn.IFNA(VLOOKUP(Aragon!E2585,'Kilter Holds'!$P$36:$AB$370,5,0),0)+_xlfn.IFNA(VLOOKUP(A2585,'Kilter Holds'!$P$36:$AB$370,5,0),0)</f>
        <v>0</v>
      </c>
      <c r="J2585" s="2">
        <f t="shared" ref="J2585:J2593" si="164">H2585*I2585</f>
        <v>0</v>
      </c>
      <c r="K2585" s="2">
        <f t="shared" ref="K2585:K2593" si="165">IF($V$11="Y",J2585*0.05,0)</f>
        <v>0</v>
      </c>
    </row>
    <row r="2586" spans="1:11">
      <c r="A2586" s="3"/>
      <c r="E2586" s="3" t="s">
        <v>2997</v>
      </c>
      <c r="F2586" s="3" t="s">
        <v>2998</v>
      </c>
      <c r="G2586" s="6" t="str">
        <f t="shared" si="161"/>
        <v>14-01</v>
      </c>
      <c r="H2586" s="1">
        <f>_xlfn.IFNA(VLOOKUP(Aragon!E2586,'Kilter Holds'!$P$36:$AB$370,6,0),0)+_xlfn.IFNA(VLOOKUP(A2586,'Kilter Holds'!$P$36:$AB$370,6,0),0)</f>
        <v>0</v>
      </c>
      <c r="J2586" s="2">
        <f t="shared" si="164"/>
        <v>0</v>
      </c>
      <c r="K2586" s="2">
        <f t="shared" si="165"/>
        <v>0</v>
      </c>
    </row>
    <row r="2587" spans="1:11">
      <c r="A2587" s="3"/>
      <c r="E2587" s="3" t="s">
        <v>2997</v>
      </c>
      <c r="F2587" s="3" t="s">
        <v>2998</v>
      </c>
      <c r="G2587" s="7" t="str">
        <f t="shared" si="161"/>
        <v>15-12</v>
      </c>
      <c r="H2587" s="1">
        <f>_xlfn.IFNA(VLOOKUP(Aragon!E2587,'Kilter Holds'!$P$36:$AB$370,7,0),0)+_xlfn.IFNA(VLOOKUP(A2587,'Kilter Holds'!$P$36:$AB$370,7,0),0)</f>
        <v>0</v>
      </c>
      <c r="J2587" s="2">
        <f t="shared" si="164"/>
        <v>0</v>
      </c>
      <c r="K2587" s="2">
        <f t="shared" si="165"/>
        <v>0</v>
      </c>
    </row>
    <row r="2588" spans="1:11">
      <c r="A2588" s="3"/>
      <c r="E2588" s="3" t="s">
        <v>2997</v>
      </c>
      <c r="F2588" s="3" t="s">
        <v>2998</v>
      </c>
      <c r="G2588" s="8" t="str">
        <f t="shared" si="161"/>
        <v>16-16</v>
      </c>
      <c r="H2588" s="1">
        <f>_xlfn.IFNA(VLOOKUP(Aragon!E2588,'Kilter Holds'!$P$36:$AB$370,8,0),0)+_xlfn.IFNA(VLOOKUP(A2588,'Kilter Holds'!$P$36:$AB$370,8,0),0)</f>
        <v>0</v>
      </c>
      <c r="J2588" s="2">
        <f t="shared" si="164"/>
        <v>0</v>
      </c>
      <c r="K2588" s="2">
        <f t="shared" si="165"/>
        <v>0</v>
      </c>
    </row>
    <row r="2589" spans="1:11">
      <c r="A2589" s="3"/>
      <c r="E2589" s="3" t="s">
        <v>2997</v>
      </c>
      <c r="F2589" s="3" t="s">
        <v>2998</v>
      </c>
      <c r="G2589" s="9" t="str">
        <f t="shared" si="161"/>
        <v>13-01</v>
      </c>
      <c r="H2589" s="1">
        <f>_xlfn.IFNA(VLOOKUP(Aragon!E2589,'Kilter Holds'!$P$36:$AB$370,9,0),0)+_xlfn.IFNA(VLOOKUP(A2589,'Kilter Holds'!$P$36:$AB$370,9,0),0)</f>
        <v>0</v>
      </c>
      <c r="J2589" s="2">
        <f t="shared" si="164"/>
        <v>0</v>
      </c>
      <c r="K2589" s="2">
        <f t="shared" si="165"/>
        <v>0</v>
      </c>
    </row>
    <row r="2590" spans="1:11">
      <c r="A2590" s="3"/>
      <c r="E2590" s="3" t="s">
        <v>2997</v>
      </c>
      <c r="F2590" s="3" t="s">
        <v>2998</v>
      </c>
      <c r="G2590" s="10" t="str">
        <f t="shared" si="161"/>
        <v>07-13</v>
      </c>
      <c r="H2590" s="1">
        <f>_xlfn.IFNA(VLOOKUP(Aragon!E2590,'Kilter Holds'!$P$36:$AB$370,10,0),0)+_xlfn.IFNA(VLOOKUP(A2590,'Kilter Holds'!$P$36:$AB$370,10,0),0)</f>
        <v>0</v>
      </c>
      <c r="J2590" s="2">
        <f t="shared" si="164"/>
        <v>0</v>
      </c>
      <c r="K2590" s="2">
        <f t="shared" si="165"/>
        <v>0</v>
      </c>
    </row>
    <row r="2591" spans="1:11">
      <c r="A2591" s="3"/>
      <c r="E2591" s="3" t="s">
        <v>2997</v>
      </c>
      <c r="F2591" s="3" t="s">
        <v>2998</v>
      </c>
      <c r="G2591" s="11" t="str">
        <f t="shared" si="161"/>
        <v>11-25</v>
      </c>
      <c r="H2591" s="1">
        <f>_xlfn.IFNA(VLOOKUP(Aragon!E2591,'Kilter Holds'!$P$36:$AB$370,11,0),0)+_xlfn.IFNA(VLOOKUP(A2591,'Kilter Holds'!$P$36:$AB$370,11,0),0)</f>
        <v>0</v>
      </c>
      <c r="J2591" s="2">
        <f t="shared" si="164"/>
        <v>0</v>
      </c>
      <c r="K2591" s="2">
        <f t="shared" si="165"/>
        <v>0</v>
      </c>
    </row>
    <row r="2592" spans="1:11">
      <c r="A2592" s="3"/>
      <c r="E2592" s="3" t="s">
        <v>2997</v>
      </c>
      <c r="F2592" s="3" t="s">
        <v>2998</v>
      </c>
      <c r="G2592" s="13" t="str">
        <f t="shared" si="161"/>
        <v>18-01</v>
      </c>
      <c r="H2592" s="1">
        <f>_xlfn.IFNA(VLOOKUP(Aragon!E2592,'Kilter Holds'!$P$36:$AB$370,12,0),0)+_xlfn.IFNA(VLOOKUP(A2592,'Kilter Holds'!$P$36:$AB$370,12,0),0)</f>
        <v>0</v>
      </c>
      <c r="J2592" s="2">
        <f t="shared" si="164"/>
        <v>0</v>
      </c>
      <c r="K2592" s="2">
        <f t="shared" si="165"/>
        <v>0</v>
      </c>
    </row>
    <row r="2593" spans="1:11">
      <c r="A2593" s="3"/>
      <c r="E2593" s="3" t="s">
        <v>2997</v>
      </c>
      <c r="F2593" s="3" t="s">
        <v>2998</v>
      </c>
      <c r="G2593" s="12" t="str">
        <f t="shared" si="161"/>
        <v>12-01</v>
      </c>
      <c r="H2593" s="1">
        <f>_xlfn.IFNA(VLOOKUP(Aragon!E2593,'Kilter Holds'!$P$36:$AB$370,13,0),0)+_xlfn.IFNA(VLOOKUP(A2593,'Kilter Holds'!$P$36:$AB$370,13,0),0)</f>
        <v>0</v>
      </c>
      <c r="J2593" s="2">
        <f t="shared" si="164"/>
        <v>0</v>
      </c>
      <c r="K2593" s="2">
        <f t="shared" si="165"/>
        <v>0</v>
      </c>
    </row>
    <row r="2594" spans="1:11">
      <c r="E2594" t="s">
        <v>50</v>
      </c>
      <c r="F2594" t="s">
        <v>1749</v>
      </c>
      <c r="G2594" s="5" t="str">
        <f t="shared" ref="G2594:G2602" si="166">G1973</f>
        <v>11-12</v>
      </c>
      <c r="H2594" s="1">
        <f>_xlfn.IFNA(VLOOKUP(Aragon!E2594,'Kilter Holds'!$P$36:$AB$370,5,0),0)</f>
        <v>0</v>
      </c>
      <c r="J2594" s="2">
        <f t="shared" si="92"/>
        <v>0</v>
      </c>
      <c r="K2594" s="2">
        <f t="shared" si="96"/>
        <v>0</v>
      </c>
    </row>
    <row r="2595" spans="1:11">
      <c r="E2595" t="s">
        <v>50</v>
      </c>
      <c r="F2595" t="s">
        <v>1749</v>
      </c>
      <c r="G2595" s="6" t="str">
        <f t="shared" si="166"/>
        <v>14-01</v>
      </c>
      <c r="H2595" s="1">
        <f>_xlfn.IFNA(VLOOKUP(Aragon!E2595,'Kilter Holds'!$P$36:$AB$370,6,0),0)</f>
        <v>0</v>
      </c>
      <c r="J2595" s="2">
        <f t="shared" si="92"/>
        <v>0</v>
      </c>
      <c r="K2595" s="2">
        <f t="shared" si="96"/>
        <v>0</v>
      </c>
    </row>
    <row r="2596" spans="1:11">
      <c r="E2596" t="s">
        <v>50</v>
      </c>
      <c r="F2596" t="s">
        <v>1749</v>
      </c>
      <c r="G2596" s="7" t="str">
        <f t="shared" si="166"/>
        <v>15-12</v>
      </c>
      <c r="H2596" s="1">
        <f>_xlfn.IFNA(VLOOKUP(Aragon!E2596,'Kilter Holds'!$P$36:$AB$370,7,0),0)</f>
        <v>0</v>
      </c>
      <c r="J2596" s="2">
        <f t="shared" si="92"/>
        <v>0</v>
      </c>
      <c r="K2596" s="2">
        <f t="shared" si="96"/>
        <v>0</v>
      </c>
    </row>
    <row r="2597" spans="1:11">
      <c r="E2597" t="s">
        <v>50</v>
      </c>
      <c r="F2597" t="s">
        <v>1749</v>
      </c>
      <c r="G2597" s="8" t="str">
        <f t="shared" si="166"/>
        <v>16-16</v>
      </c>
      <c r="H2597" s="1">
        <f>_xlfn.IFNA(VLOOKUP(Aragon!E2597,'Kilter Holds'!$P$36:$AB$370,8,0),0)</f>
        <v>0</v>
      </c>
      <c r="J2597" s="2">
        <f t="shared" si="92"/>
        <v>0</v>
      </c>
      <c r="K2597" s="2">
        <f t="shared" si="96"/>
        <v>0</v>
      </c>
    </row>
    <row r="2598" spans="1:11">
      <c r="E2598" t="s">
        <v>50</v>
      </c>
      <c r="F2598" t="s">
        <v>1749</v>
      </c>
      <c r="G2598" s="9" t="str">
        <f t="shared" si="166"/>
        <v>13-01</v>
      </c>
      <c r="H2598" s="1">
        <f>_xlfn.IFNA(VLOOKUP(Aragon!E2598,'Kilter Holds'!$P$36:$AB$370,9,0),0)</f>
        <v>0</v>
      </c>
      <c r="J2598" s="2">
        <f t="shared" si="92"/>
        <v>0</v>
      </c>
      <c r="K2598" s="2">
        <f t="shared" si="96"/>
        <v>0</v>
      </c>
    </row>
    <row r="2599" spans="1:11">
      <c r="E2599" t="s">
        <v>50</v>
      </c>
      <c r="F2599" t="s">
        <v>1749</v>
      </c>
      <c r="G2599" s="10" t="str">
        <f t="shared" si="166"/>
        <v>07-13</v>
      </c>
      <c r="H2599" s="1">
        <f>_xlfn.IFNA(VLOOKUP(Aragon!E2599,'Kilter Holds'!$P$36:$AB$370,10,0),0)</f>
        <v>0</v>
      </c>
      <c r="J2599" s="2">
        <f t="shared" si="92"/>
        <v>0</v>
      </c>
      <c r="K2599" s="2">
        <f t="shared" si="96"/>
        <v>0</v>
      </c>
    </row>
    <row r="2600" spans="1:11">
      <c r="E2600" t="s">
        <v>50</v>
      </c>
      <c r="F2600" t="s">
        <v>1749</v>
      </c>
      <c r="G2600" s="11" t="str">
        <f t="shared" si="166"/>
        <v>11-25</v>
      </c>
      <c r="H2600" s="1">
        <f>_xlfn.IFNA(VLOOKUP(Aragon!E2600,'Kilter Holds'!$P$36:$AB$370,11,0),0)</f>
        <v>0</v>
      </c>
      <c r="J2600" s="2">
        <f t="shared" si="92"/>
        <v>0</v>
      </c>
      <c r="K2600" s="2">
        <f t="shared" si="96"/>
        <v>0</v>
      </c>
    </row>
    <row r="2601" spans="1:11">
      <c r="E2601" t="s">
        <v>50</v>
      </c>
      <c r="F2601" t="s">
        <v>1749</v>
      </c>
      <c r="G2601" s="13" t="str">
        <f t="shared" si="166"/>
        <v>18-01</v>
      </c>
      <c r="H2601" s="1">
        <f>_xlfn.IFNA(VLOOKUP(Aragon!E2601,'Kilter Holds'!$P$36:$AB$370,12,0),0)</f>
        <v>0</v>
      </c>
      <c r="J2601" s="2">
        <f t="shared" si="92"/>
        <v>0</v>
      </c>
      <c r="K2601" s="2">
        <f t="shared" si="96"/>
        <v>0</v>
      </c>
    </row>
    <row r="2602" spans="1:11">
      <c r="E2602" t="s">
        <v>50</v>
      </c>
      <c r="F2602" t="s">
        <v>1749</v>
      </c>
      <c r="G2602" s="12" t="str">
        <f t="shared" si="166"/>
        <v>12-01</v>
      </c>
      <c r="H2602" s="1">
        <f>_xlfn.IFNA(VLOOKUP(Aragon!E2602,'Kilter Holds'!$P$36:$AB$370,13,0),0)</f>
        <v>0</v>
      </c>
      <c r="J2602" s="2">
        <f t="shared" si="92"/>
        <v>0</v>
      </c>
      <c r="K2602" s="2">
        <f t="shared" si="96"/>
        <v>0</v>
      </c>
    </row>
    <row r="2603" spans="1:11">
      <c r="E2603" t="s">
        <v>47</v>
      </c>
      <c r="F2603" t="s">
        <v>1750</v>
      </c>
      <c r="G2603" s="5" t="str">
        <f t="shared" si="97"/>
        <v>11-12</v>
      </c>
      <c r="H2603" s="1">
        <f>_xlfn.IFNA(VLOOKUP(Aragon!E2603,'Kilter Holds'!$P$36:$AB$370,5,0),0)</f>
        <v>0</v>
      </c>
      <c r="J2603" s="2">
        <f t="shared" si="92"/>
        <v>0</v>
      </c>
      <c r="K2603" s="2">
        <f t="shared" si="96"/>
        <v>0</v>
      </c>
    </row>
    <row r="2604" spans="1:11">
      <c r="E2604" t="s">
        <v>47</v>
      </c>
      <c r="F2604" t="s">
        <v>1750</v>
      </c>
      <c r="G2604" s="6" t="str">
        <f t="shared" si="97"/>
        <v>14-01</v>
      </c>
      <c r="H2604" s="1">
        <f>_xlfn.IFNA(VLOOKUP(Aragon!E2604,'Kilter Holds'!$P$36:$AB$370,6,0),0)</f>
        <v>0</v>
      </c>
      <c r="J2604" s="2">
        <f t="shared" si="92"/>
        <v>0</v>
      </c>
      <c r="K2604" s="2">
        <f t="shared" si="96"/>
        <v>0</v>
      </c>
    </row>
    <row r="2605" spans="1:11">
      <c r="E2605" t="s">
        <v>47</v>
      </c>
      <c r="F2605" t="s">
        <v>1750</v>
      </c>
      <c r="G2605" s="7" t="str">
        <f t="shared" si="97"/>
        <v>15-12</v>
      </c>
      <c r="H2605" s="1">
        <f>_xlfn.IFNA(VLOOKUP(Aragon!E2605,'Kilter Holds'!$P$36:$AB$370,7,0),0)</f>
        <v>0</v>
      </c>
      <c r="J2605" s="2">
        <f t="shared" si="92"/>
        <v>0</v>
      </c>
      <c r="K2605" s="2">
        <f t="shared" si="96"/>
        <v>0</v>
      </c>
    </row>
    <row r="2606" spans="1:11">
      <c r="E2606" t="s">
        <v>47</v>
      </c>
      <c r="F2606" t="s">
        <v>1750</v>
      </c>
      <c r="G2606" s="8" t="str">
        <f t="shared" si="97"/>
        <v>16-16</v>
      </c>
      <c r="H2606" s="1">
        <f>_xlfn.IFNA(VLOOKUP(Aragon!E2606,'Kilter Holds'!$P$36:$AB$370,8,0),0)</f>
        <v>0</v>
      </c>
      <c r="J2606" s="2">
        <f t="shared" si="92"/>
        <v>0</v>
      </c>
      <c r="K2606" s="2">
        <f t="shared" si="96"/>
        <v>0</v>
      </c>
    </row>
    <row r="2607" spans="1:11">
      <c r="E2607" t="s">
        <v>47</v>
      </c>
      <c r="F2607" t="s">
        <v>1750</v>
      </c>
      <c r="G2607" s="9" t="str">
        <f t="shared" si="97"/>
        <v>13-01</v>
      </c>
      <c r="H2607" s="1">
        <f>_xlfn.IFNA(VLOOKUP(Aragon!E2607,'Kilter Holds'!$P$36:$AB$370,9,0),0)</f>
        <v>0</v>
      </c>
      <c r="J2607" s="2">
        <f t="shared" ref="J2607:J2670" si="167">H2607*I2607</f>
        <v>0</v>
      </c>
      <c r="K2607" s="2">
        <f t="shared" si="96"/>
        <v>0</v>
      </c>
    </row>
    <row r="2608" spans="1:11">
      <c r="E2608" t="s">
        <v>47</v>
      </c>
      <c r="F2608" t="s">
        <v>1750</v>
      </c>
      <c r="G2608" s="10" t="str">
        <f t="shared" si="97"/>
        <v>07-13</v>
      </c>
      <c r="H2608" s="1">
        <f>_xlfn.IFNA(VLOOKUP(Aragon!E2608,'Kilter Holds'!$P$36:$AB$370,10,0),0)</f>
        <v>0</v>
      </c>
      <c r="J2608" s="2">
        <f t="shared" si="167"/>
        <v>0</v>
      </c>
      <c r="K2608" s="2">
        <f t="shared" ref="K2608:K2671" si="168">IF($V$11="Y",J2608*0.05,0)</f>
        <v>0</v>
      </c>
    </row>
    <row r="2609" spans="5:11">
      <c r="E2609" t="s">
        <v>47</v>
      </c>
      <c r="F2609" t="s">
        <v>1750</v>
      </c>
      <c r="G2609" s="11" t="str">
        <f t="shared" ref="G2609:G2672" si="169">G2600</f>
        <v>11-25</v>
      </c>
      <c r="H2609" s="1">
        <f>_xlfn.IFNA(VLOOKUP(Aragon!E2609,'Kilter Holds'!$P$36:$AB$370,11,0),0)</f>
        <v>0</v>
      </c>
      <c r="J2609" s="2">
        <f t="shared" si="167"/>
        <v>0</v>
      </c>
      <c r="K2609" s="2">
        <f t="shared" si="168"/>
        <v>0</v>
      </c>
    </row>
    <row r="2610" spans="5:11">
      <c r="E2610" t="s">
        <v>47</v>
      </c>
      <c r="F2610" t="s">
        <v>1750</v>
      </c>
      <c r="G2610" s="13" t="str">
        <f t="shared" si="169"/>
        <v>18-01</v>
      </c>
      <c r="H2610" s="1">
        <f>_xlfn.IFNA(VLOOKUP(Aragon!E2610,'Kilter Holds'!$P$36:$AB$370,12,0),0)</f>
        <v>0</v>
      </c>
      <c r="J2610" s="2">
        <f t="shared" si="167"/>
        <v>0</v>
      </c>
      <c r="K2610" s="2">
        <f t="shared" si="168"/>
        <v>0</v>
      </c>
    </row>
    <row r="2611" spans="5:11">
      <c r="E2611" t="s">
        <v>47</v>
      </c>
      <c r="F2611" t="s">
        <v>1750</v>
      </c>
      <c r="G2611" s="12" t="str">
        <f t="shared" si="169"/>
        <v>12-01</v>
      </c>
      <c r="H2611" s="1">
        <f>_xlfn.IFNA(VLOOKUP(Aragon!E2611,'Kilter Holds'!$P$36:$AB$370,13,0),0)</f>
        <v>0</v>
      </c>
      <c r="J2611" s="2">
        <f t="shared" si="167"/>
        <v>0</v>
      </c>
      <c r="K2611" s="2">
        <f t="shared" si="168"/>
        <v>0</v>
      </c>
    </row>
    <row r="2612" spans="5:11">
      <c r="E2612" t="s">
        <v>48</v>
      </c>
      <c r="F2612" t="s">
        <v>1751</v>
      </c>
      <c r="G2612" s="5" t="str">
        <f t="shared" si="169"/>
        <v>11-12</v>
      </c>
      <c r="H2612" s="1">
        <f>_xlfn.IFNA(VLOOKUP(Aragon!E2612,'Kilter Holds'!$P$36:$AB$370,5,0),0)</f>
        <v>0</v>
      </c>
      <c r="J2612" s="2">
        <f t="shared" si="167"/>
        <v>0</v>
      </c>
      <c r="K2612" s="2">
        <f t="shared" si="168"/>
        <v>0</v>
      </c>
    </row>
    <row r="2613" spans="5:11">
      <c r="E2613" t="s">
        <v>48</v>
      </c>
      <c r="F2613" t="s">
        <v>1751</v>
      </c>
      <c r="G2613" s="6" t="str">
        <f t="shared" si="169"/>
        <v>14-01</v>
      </c>
      <c r="H2613" s="1">
        <f>_xlfn.IFNA(VLOOKUP(Aragon!E2613,'Kilter Holds'!$P$36:$AB$370,6,0),0)</f>
        <v>0</v>
      </c>
      <c r="J2613" s="2">
        <f t="shared" si="167"/>
        <v>0</v>
      </c>
      <c r="K2613" s="2">
        <f t="shared" si="168"/>
        <v>0</v>
      </c>
    </row>
    <row r="2614" spans="5:11">
      <c r="E2614" t="s">
        <v>48</v>
      </c>
      <c r="F2614" t="s">
        <v>1751</v>
      </c>
      <c r="G2614" s="7" t="str">
        <f t="shared" si="169"/>
        <v>15-12</v>
      </c>
      <c r="H2614" s="1">
        <f>_xlfn.IFNA(VLOOKUP(Aragon!E2614,'Kilter Holds'!$P$36:$AB$370,7,0),0)</f>
        <v>0</v>
      </c>
      <c r="J2614" s="2">
        <f t="shared" si="167"/>
        <v>0</v>
      </c>
      <c r="K2614" s="2">
        <f t="shared" si="168"/>
        <v>0</v>
      </c>
    </row>
    <row r="2615" spans="5:11">
      <c r="E2615" t="s">
        <v>48</v>
      </c>
      <c r="F2615" t="s">
        <v>1751</v>
      </c>
      <c r="G2615" s="8" t="str">
        <f t="shared" si="169"/>
        <v>16-16</v>
      </c>
      <c r="H2615" s="1">
        <f>_xlfn.IFNA(VLOOKUP(Aragon!E2615,'Kilter Holds'!$P$36:$AB$370,8,0),0)</f>
        <v>0</v>
      </c>
      <c r="J2615" s="2">
        <f t="shared" si="167"/>
        <v>0</v>
      </c>
      <c r="K2615" s="2">
        <f t="shared" si="168"/>
        <v>0</v>
      </c>
    </row>
    <row r="2616" spans="5:11">
      <c r="E2616" t="s">
        <v>48</v>
      </c>
      <c r="F2616" t="s">
        <v>1751</v>
      </c>
      <c r="G2616" s="9" t="str">
        <f t="shared" si="169"/>
        <v>13-01</v>
      </c>
      <c r="H2616" s="1">
        <f>_xlfn.IFNA(VLOOKUP(Aragon!E2616,'Kilter Holds'!$P$36:$AB$370,9,0),0)</f>
        <v>0</v>
      </c>
      <c r="J2616" s="2">
        <f t="shared" si="167"/>
        <v>0</v>
      </c>
      <c r="K2616" s="2">
        <f t="shared" si="168"/>
        <v>0</v>
      </c>
    </row>
    <row r="2617" spans="5:11">
      <c r="E2617" t="s">
        <v>48</v>
      </c>
      <c r="F2617" t="s">
        <v>1751</v>
      </c>
      <c r="G2617" s="10" t="str">
        <f t="shared" si="169"/>
        <v>07-13</v>
      </c>
      <c r="H2617" s="1">
        <f>_xlfn.IFNA(VLOOKUP(Aragon!E2617,'Kilter Holds'!$P$36:$AB$370,10,0),0)</f>
        <v>0</v>
      </c>
      <c r="J2617" s="2">
        <f t="shared" si="167"/>
        <v>0</v>
      </c>
      <c r="K2617" s="2">
        <f t="shared" si="168"/>
        <v>0</v>
      </c>
    </row>
    <row r="2618" spans="5:11">
      <c r="E2618" t="s">
        <v>48</v>
      </c>
      <c r="F2618" t="s">
        <v>1751</v>
      </c>
      <c r="G2618" s="11" t="str">
        <f t="shared" si="169"/>
        <v>11-25</v>
      </c>
      <c r="H2618" s="1">
        <f>_xlfn.IFNA(VLOOKUP(Aragon!E2618,'Kilter Holds'!$P$36:$AB$370,11,0),0)</f>
        <v>0</v>
      </c>
      <c r="J2618" s="2">
        <f t="shared" si="167"/>
        <v>0</v>
      </c>
      <c r="K2618" s="2">
        <f t="shared" si="168"/>
        <v>0</v>
      </c>
    </row>
    <row r="2619" spans="5:11">
      <c r="E2619" t="s">
        <v>48</v>
      </c>
      <c r="F2619" t="s">
        <v>1751</v>
      </c>
      <c r="G2619" s="13" t="str">
        <f t="shared" si="169"/>
        <v>18-01</v>
      </c>
      <c r="H2619" s="1">
        <f>_xlfn.IFNA(VLOOKUP(Aragon!E2619,'Kilter Holds'!$P$36:$AB$370,12,0),0)</f>
        <v>0</v>
      </c>
      <c r="J2619" s="2">
        <f t="shared" si="167"/>
        <v>0</v>
      </c>
      <c r="K2619" s="2">
        <f t="shared" si="168"/>
        <v>0</v>
      </c>
    </row>
    <row r="2620" spans="5:11">
      <c r="E2620" t="s">
        <v>48</v>
      </c>
      <c r="F2620" t="s">
        <v>1751</v>
      </c>
      <c r="G2620" s="12" t="str">
        <f t="shared" si="169"/>
        <v>12-01</v>
      </c>
      <c r="H2620" s="1">
        <f>_xlfn.IFNA(VLOOKUP(Aragon!E2620,'Kilter Holds'!$P$36:$AB$370,13,0),0)</f>
        <v>0</v>
      </c>
      <c r="J2620" s="2">
        <f t="shared" si="167"/>
        <v>0</v>
      </c>
      <c r="K2620" s="2">
        <f t="shared" si="168"/>
        <v>0</v>
      </c>
    </row>
    <row r="2621" spans="5:11">
      <c r="E2621" t="s">
        <v>54</v>
      </c>
      <c r="F2621" t="s">
        <v>1752</v>
      </c>
      <c r="G2621" s="5" t="str">
        <f t="shared" si="169"/>
        <v>11-12</v>
      </c>
      <c r="H2621" s="1">
        <f>_xlfn.IFNA(VLOOKUP(Aragon!E2621,'Kilter Holds'!$P$36:$AB$370,5,0),0)</f>
        <v>0</v>
      </c>
      <c r="J2621" s="2">
        <f t="shared" si="167"/>
        <v>0</v>
      </c>
      <c r="K2621" s="2">
        <f t="shared" si="168"/>
        <v>0</v>
      </c>
    </row>
    <row r="2622" spans="5:11">
      <c r="E2622" t="s">
        <v>54</v>
      </c>
      <c r="F2622" t="s">
        <v>1752</v>
      </c>
      <c r="G2622" s="6" t="str">
        <f t="shared" si="169"/>
        <v>14-01</v>
      </c>
      <c r="H2622" s="1">
        <f>_xlfn.IFNA(VLOOKUP(Aragon!E2622,'Kilter Holds'!$P$36:$AB$370,6,0),0)</f>
        <v>0</v>
      </c>
      <c r="J2622" s="2">
        <f t="shared" si="167"/>
        <v>0</v>
      </c>
      <c r="K2622" s="2">
        <f t="shared" si="168"/>
        <v>0</v>
      </c>
    </row>
    <row r="2623" spans="5:11">
      <c r="E2623" t="s">
        <v>54</v>
      </c>
      <c r="F2623" t="s">
        <v>1752</v>
      </c>
      <c r="G2623" s="7" t="str">
        <f t="shared" si="169"/>
        <v>15-12</v>
      </c>
      <c r="H2623" s="1">
        <f>_xlfn.IFNA(VLOOKUP(Aragon!E2623,'Kilter Holds'!$P$36:$AB$370,7,0),0)</f>
        <v>0</v>
      </c>
      <c r="J2623" s="2">
        <f t="shared" si="167"/>
        <v>0</v>
      </c>
      <c r="K2623" s="2">
        <f t="shared" si="168"/>
        <v>0</v>
      </c>
    </row>
    <row r="2624" spans="5:11">
      <c r="E2624" t="s">
        <v>54</v>
      </c>
      <c r="F2624" t="s">
        <v>1752</v>
      </c>
      <c r="G2624" s="8" t="str">
        <f t="shared" si="169"/>
        <v>16-16</v>
      </c>
      <c r="H2624" s="1">
        <f>_xlfn.IFNA(VLOOKUP(Aragon!E2624,'Kilter Holds'!$P$36:$AB$370,8,0),0)</f>
        <v>0</v>
      </c>
      <c r="J2624" s="2">
        <f t="shared" si="167"/>
        <v>0</v>
      </c>
      <c r="K2624" s="2">
        <f t="shared" si="168"/>
        <v>0</v>
      </c>
    </row>
    <row r="2625" spans="5:11">
      <c r="E2625" t="s">
        <v>54</v>
      </c>
      <c r="F2625" t="s">
        <v>1752</v>
      </c>
      <c r="G2625" s="9" t="str">
        <f t="shared" si="169"/>
        <v>13-01</v>
      </c>
      <c r="H2625" s="1">
        <f>_xlfn.IFNA(VLOOKUP(Aragon!E2625,'Kilter Holds'!$P$36:$AB$370,9,0),0)</f>
        <v>0</v>
      </c>
      <c r="J2625" s="2">
        <f t="shared" si="167"/>
        <v>0</v>
      </c>
      <c r="K2625" s="2">
        <f t="shared" si="168"/>
        <v>0</v>
      </c>
    </row>
    <row r="2626" spans="5:11">
      <c r="E2626" t="s">
        <v>54</v>
      </c>
      <c r="F2626" t="s">
        <v>1752</v>
      </c>
      <c r="G2626" s="10" t="str">
        <f t="shared" si="169"/>
        <v>07-13</v>
      </c>
      <c r="H2626" s="1">
        <f>_xlfn.IFNA(VLOOKUP(Aragon!E2626,'Kilter Holds'!$P$36:$AB$370,10,0),0)</f>
        <v>0</v>
      </c>
      <c r="J2626" s="2">
        <f t="shared" si="167"/>
        <v>0</v>
      </c>
      <c r="K2626" s="2">
        <f t="shared" si="168"/>
        <v>0</v>
      </c>
    </row>
    <row r="2627" spans="5:11">
      <c r="E2627" t="s">
        <v>54</v>
      </c>
      <c r="F2627" t="s">
        <v>1752</v>
      </c>
      <c r="G2627" s="11" t="str">
        <f t="shared" si="169"/>
        <v>11-25</v>
      </c>
      <c r="H2627" s="1">
        <f>_xlfn.IFNA(VLOOKUP(Aragon!E2627,'Kilter Holds'!$P$36:$AB$370,11,0),0)</f>
        <v>0</v>
      </c>
      <c r="J2627" s="2">
        <f t="shared" si="167"/>
        <v>0</v>
      </c>
      <c r="K2627" s="2">
        <f t="shared" si="168"/>
        <v>0</v>
      </c>
    </row>
    <row r="2628" spans="5:11">
      <c r="E2628" t="s">
        <v>54</v>
      </c>
      <c r="F2628" t="s">
        <v>1752</v>
      </c>
      <c r="G2628" s="13" t="str">
        <f t="shared" si="169"/>
        <v>18-01</v>
      </c>
      <c r="H2628" s="1">
        <f>_xlfn.IFNA(VLOOKUP(Aragon!E2628,'Kilter Holds'!$P$36:$AB$370,12,0),0)</f>
        <v>0</v>
      </c>
      <c r="J2628" s="2">
        <f t="shared" si="167"/>
        <v>0</v>
      </c>
      <c r="K2628" s="2">
        <f t="shared" si="168"/>
        <v>0</v>
      </c>
    </row>
    <row r="2629" spans="5:11">
      <c r="E2629" t="s">
        <v>54</v>
      </c>
      <c r="F2629" t="s">
        <v>1752</v>
      </c>
      <c r="G2629" s="12" t="str">
        <f t="shared" si="169"/>
        <v>12-01</v>
      </c>
      <c r="H2629" s="1">
        <f>_xlfn.IFNA(VLOOKUP(Aragon!E2629,'Kilter Holds'!$P$36:$AB$370,13,0),0)</f>
        <v>0</v>
      </c>
      <c r="J2629" s="2">
        <f t="shared" si="167"/>
        <v>0</v>
      </c>
      <c r="K2629" s="2">
        <f t="shared" si="168"/>
        <v>0</v>
      </c>
    </row>
    <row r="2630" spans="5:11">
      <c r="E2630" t="s">
        <v>39</v>
      </c>
      <c r="F2630" t="s">
        <v>1753</v>
      </c>
      <c r="G2630" s="5" t="str">
        <f t="shared" si="169"/>
        <v>11-12</v>
      </c>
      <c r="H2630" s="1">
        <f>_xlfn.IFNA(VLOOKUP(Aragon!E2630,'Kilter Holds'!$P$36:$AB$370,5,0),0)</f>
        <v>0</v>
      </c>
      <c r="J2630" s="2">
        <f t="shared" si="167"/>
        <v>0</v>
      </c>
      <c r="K2630" s="2">
        <f t="shared" si="168"/>
        <v>0</v>
      </c>
    </row>
    <row r="2631" spans="5:11">
      <c r="E2631" t="s">
        <v>39</v>
      </c>
      <c r="F2631" t="s">
        <v>1753</v>
      </c>
      <c r="G2631" s="6" t="str">
        <f t="shared" si="169"/>
        <v>14-01</v>
      </c>
      <c r="H2631" s="1">
        <f>_xlfn.IFNA(VLOOKUP(Aragon!E2631,'Kilter Holds'!$P$36:$AB$370,6,0),0)</f>
        <v>0</v>
      </c>
      <c r="J2631" s="2">
        <f t="shared" si="167"/>
        <v>0</v>
      </c>
      <c r="K2631" s="2">
        <f t="shared" si="168"/>
        <v>0</v>
      </c>
    </row>
    <row r="2632" spans="5:11">
      <c r="E2632" t="s">
        <v>39</v>
      </c>
      <c r="F2632" t="s">
        <v>1753</v>
      </c>
      <c r="G2632" s="7" t="str">
        <f t="shared" si="169"/>
        <v>15-12</v>
      </c>
      <c r="H2632" s="1">
        <f>_xlfn.IFNA(VLOOKUP(Aragon!E2632,'Kilter Holds'!$P$36:$AB$370,7,0),0)</f>
        <v>0</v>
      </c>
      <c r="J2632" s="2">
        <f t="shared" si="167"/>
        <v>0</v>
      </c>
      <c r="K2632" s="2">
        <f t="shared" si="168"/>
        <v>0</v>
      </c>
    </row>
    <row r="2633" spans="5:11">
      <c r="E2633" t="s">
        <v>39</v>
      </c>
      <c r="F2633" t="s">
        <v>1753</v>
      </c>
      <c r="G2633" s="8" t="str">
        <f t="shared" si="169"/>
        <v>16-16</v>
      </c>
      <c r="H2633" s="1">
        <f>_xlfn.IFNA(VLOOKUP(Aragon!E2633,'Kilter Holds'!$P$36:$AB$370,8,0),0)</f>
        <v>0</v>
      </c>
      <c r="J2633" s="2">
        <f t="shared" si="167"/>
        <v>0</v>
      </c>
      <c r="K2633" s="2">
        <f t="shared" si="168"/>
        <v>0</v>
      </c>
    </row>
    <row r="2634" spans="5:11">
      <c r="E2634" t="s">
        <v>39</v>
      </c>
      <c r="F2634" t="s">
        <v>1753</v>
      </c>
      <c r="G2634" s="9" t="str">
        <f t="shared" si="169"/>
        <v>13-01</v>
      </c>
      <c r="H2634" s="1">
        <f>_xlfn.IFNA(VLOOKUP(Aragon!E2634,'Kilter Holds'!$P$36:$AB$370,9,0),0)</f>
        <v>0</v>
      </c>
      <c r="J2634" s="2">
        <f t="shared" si="167"/>
        <v>0</v>
      </c>
      <c r="K2634" s="2">
        <f t="shared" si="168"/>
        <v>0</v>
      </c>
    </row>
    <row r="2635" spans="5:11">
      <c r="E2635" t="s">
        <v>39</v>
      </c>
      <c r="F2635" t="s">
        <v>1753</v>
      </c>
      <c r="G2635" s="10" t="str">
        <f t="shared" si="169"/>
        <v>07-13</v>
      </c>
      <c r="H2635" s="1">
        <f>_xlfn.IFNA(VLOOKUP(Aragon!E2635,'Kilter Holds'!$P$36:$AB$370,10,0),0)</f>
        <v>0</v>
      </c>
      <c r="J2635" s="2">
        <f t="shared" si="167"/>
        <v>0</v>
      </c>
      <c r="K2635" s="2">
        <f t="shared" si="168"/>
        <v>0</v>
      </c>
    </row>
    <row r="2636" spans="5:11">
      <c r="E2636" t="s">
        <v>39</v>
      </c>
      <c r="F2636" t="s">
        <v>1753</v>
      </c>
      <c r="G2636" s="11" t="str">
        <f t="shared" si="169"/>
        <v>11-25</v>
      </c>
      <c r="H2636" s="1">
        <f>_xlfn.IFNA(VLOOKUP(Aragon!E2636,'Kilter Holds'!$P$36:$AB$370,11,0),0)</f>
        <v>0</v>
      </c>
      <c r="J2636" s="2">
        <f t="shared" si="167"/>
        <v>0</v>
      </c>
      <c r="K2636" s="2">
        <f t="shared" si="168"/>
        <v>0</v>
      </c>
    </row>
    <row r="2637" spans="5:11">
      <c r="E2637" t="s">
        <v>39</v>
      </c>
      <c r="F2637" t="s">
        <v>1753</v>
      </c>
      <c r="G2637" s="13" t="str">
        <f t="shared" si="169"/>
        <v>18-01</v>
      </c>
      <c r="H2637" s="1">
        <f>_xlfn.IFNA(VLOOKUP(Aragon!E2637,'Kilter Holds'!$P$36:$AB$370,12,0),0)</f>
        <v>0</v>
      </c>
      <c r="J2637" s="2">
        <f t="shared" si="167"/>
        <v>0</v>
      </c>
      <c r="K2637" s="2">
        <f t="shared" si="168"/>
        <v>0</v>
      </c>
    </row>
    <row r="2638" spans="5:11">
      <c r="E2638" t="s">
        <v>39</v>
      </c>
      <c r="F2638" t="s">
        <v>1753</v>
      </c>
      <c r="G2638" s="12" t="str">
        <f t="shared" si="169"/>
        <v>12-01</v>
      </c>
      <c r="H2638" s="1">
        <f>_xlfn.IFNA(VLOOKUP(Aragon!E2638,'Kilter Holds'!$P$36:$AB$370,13,0),0)</f>
        <v>0</v>
      </c>
      <c r="J2638" s="2">
        <f t="shared" si="167"/>
        <v>0</v>
      </c>
      <c r="K2638" s="2">
        <f t="shared" si="168"/>
        <v>0</v>
      </c>
    </row>
    <row r="2639" spans="5:11">
      <c r="E2639" t="s">
        <v>42</v>
      </c>
      <c r="F2639" t="s">
        <v>1754</v>
      </c>
      <c r="G2639" s="5" t="str">
        <f t="shared" si="169"/>
        <v>11-12</v>
      </c>
      <c r="H2639" s="1">
        <f>_xlfn.IFNA(VLOOKUP(Aragon!E2639,'Kilter Holds'!$P$36:$AB$370,5,0),0)</f>
        <v>0</v>
      </c>
      <c r="J2639" s="2">
        <f t="shared" si="167"/>
        <v>0</v>
      </c>
      <c r="K2639" s="2">
        <f t="shared" si="168"/>
        <v>0</v>
      </c>
    </row>
    <row r="2640" spans="5:11">
      <c r="E2640" t="s">
        <v>42</v>
      </c>
      <c r="F2640" t="s">
        <v>1754</v>
      </c>
      <c r="G2640" s="6" t="str">
        <f t="shared" si="169"/>
        <v>14-01</v>
      </c>
      <c r="H2640" s="1">
        <f>_xlfn.IFNA(VLOOKUP(Aragon!E2640,'Kilter Holds'!$P$36:$AB$370,6,0),0)</f>
        <v>0</v>
      </c>
      <c r="J2640" s="2">
        <f t="shared" si="167"/>
        <v>0</v>
      </c>
      <c r="K2640" s="2">
        <f t="shared" si="168"/>
        <v>0</v>
      </c>
    </row>
    <row r="2641" spans="5:11">
      <c r="E2641" t="s">
        <v>42</v>
      </c>
      <c r="F2641" t="s">
        <v>1754</v>
      </c>
      <c r="G2641" s="7" t="str">
        <f t="shared" si="169"/>
        <v>15-12</v>
      </c>
      <c r="H2641" s="1">
        <f>_xlfn.IFNA(VLOOKUP(Aragon!E2641,'Kilter Holds'!$P$36:$AB$370,7,0),0)</f>
        <v>0</v>
      </c>
      <c r="J2641" s="2">
        <f t="shared" si="167"/>
        <v>0</v>
      </c>
      <c r="K2641" s="2">
        <f t="shared" si="168"/>
        <v>0</v>
      </c>
    </row>
    <row r="2642" spans="5:11">
      <c r="E2642" t="s">
        <v>42</v>
      </c>
      <c r="F2642" t="s">
        <v>1754</v>
      </c>
      <c r="G2642" s="8" t="str">
        <f t="shared" si="169"/>
        <v>16-16</v>
      </c>
      <c r="H2642" s="1">
        <f>_xlfn.IFNA(VLOOKUP(Aragon!E2642,'Kilter Holds'!$P$36:$AB$370,8,0),0)</f>
        <v>0</v>
      </c>
      <c r="J2642" s="2">
        <f t="shared" si="167"/>
        <v>0</v>
      </c>
      <c r="K2642" s="2">
        <f t="shared" si="168"/>
        <v>0</v>
      </c>
    </row>
    <row r="2643" spans="5:11">
      <c r="E2643" t="s">
        <v>42</v>
      </c>
      <c r="F2643" t="s">
        <v>1754</v>
      </c>
      <c r="G2643" s="9" t="str">
        <f t="shared" si="169"/>
        <v>13-01</v>
      </c>
      <c r="H2643" s="1">
        <f>_xlfn.IFNA(VLOOKUP(Aragon!E2643,'Kilter Holds'!$P$36:$AB$370,9,0),0)</f>
        <v>0</v>
      </c>
      <c r="J2643" s="2">
        <f t="shared" si="167"/>
        <v>0</v>
      </c>
      <c r="K2643" s="2">
        <f t="shared" si="168"/>
        <v>0</v>
      </c>
    </row>
    <row r="2644" spans="5:11">
      <c r="E2644" t="s">
        <v>42</v>
      </c>
      <c r="F2644" t="s">
        <v>1754</v>
      </c>
      <c r="G2644" s="10" t="str">
        <f t="shared" si="169"/>
        <v>07-13</v>
      </c>
      <c r="H2644" s="1">
        <f>_xlfn.IFNA(VLOOKUP(Aragon!E2644,'Kilter Holds'!$P$36:$AB$370,10,0),0)</f>
        <v>0</v>
      </c>
      <c r="J2644" s="2">
        <f t="shared" si="167"/>
        <v>0</v>
      </c>
      <c r="K2644" s="2">
        <f t="shared" si="168"/>
        <v>0</v>
      </c>
    </row>
    <row r="2645" spans="5:11">
      <c r="E2645" t="s">
        <v>42</v>
      </c>
      <c r="F2645" t="s">
        <v>1754</v>
      </c>
      <c r="G2645" s="11" t="str">
        <f t="shared" si="169"/>
        <v>11-25</v>
      </c>
      <c r="H2645" s="1">
        <f>_xlfn.IFNA(VLOOKUP(Aragon!E2645,'Kilter Holds'!$P$36:$AB$370,11,0),0)</f>
        <v>0</v>
      </c>
      <c r="J2645" s="2">
        <f t="shared" si="167"/>
        <v>0</v>
      </c>
      <c r="K2645" s="2">
        <f t="shared" si="168"/>
        <v>0</v>
      </c>
    </row>
    <row r="2646" spans="5:11">
      <c r="E2646" t="s">
        <v>42</v>
      </c>
      <c r="F2646" t="s">
        <v>1754</v>
      </c>
      <c r="G2646" s="13" t="str">
        <f t="shared" si="169"/>
        <v>18-01</v>
      </c>
      <c r="H2646" s="1">
        <f>_xlfn.IFNA(VLOOKUP(Aragon!E2646,'Kilter Holds'!$P$36:$AB$370,12,0),0)</f>
        <v>0</v>
      </c>
      <c r="J2646" s="2">
        <f t="shared" si="167"/>
        <v>0</v>
      </c>
      <c r="K2646" s="2">
        <f t="shared" si="168"/>
        <v>0</v>
      </c>
    </row>
    <row r="2647" spans="5:11">
      <c r="E2647" t="s">
        <v>42</v>
      </c>
      <c r="F2647" t="s">
        <v>1754</v>
      </c>
      <c r="G2647" s="12" t="str">
        <f t="shared" si="169"/>
        <v>12-01</v>
      </c>
      <c r="H2647" s="1">
        <f>_xlfn.IFNA(VLOOKUP(Aragon!E2647,'Kilter Holds'!$P$36:$AB$370,13,0),0)</f>
        <v>0</v>
      </c>
      <c r="J2647" s="2">
        <f t="shared" si="167"/>
        <v>0</v>
      </c>
      <c r="K2647" s="2">
        <f t="shared" si="168"/>
        <v>0</v>
      </c>
    </row>
    <row r="2648" spans="5:11">
      <c r="E2648" t="s">
        <v>43</v>
      </c>
      <c r="F2648" t="s">
        <v>1755</v>
      </c>
      <c r="G2648" s="5" t="str">
        <f t="shared" si="169"/>
        <v>11-12</v>
      </c>
      <c r="H2648" s="1">
        <f>_xlfn.IFNA(VLOOKUP(Aragon!E2648,'Kilter Holds'!$P$36:$AB$370,5,0),0)</f>
        <v>0</v>
      </c>
      <c r="J2648" s="2">
        <f t="shared" si="167"/>
        <v>0</v>
      </c>
      <c r="K2648" s="2">
        <f t="shared" si="168"/>
        <v>0</v>
      </c>
    </row>
    <row r="2649" spans="5:11">
      <c r="E2649" t="s">
        <v>43</v>
      </c>
      <c r="F2649" t="s">
        <v>1755</v>
      </c>
      <c r="G2649" s="6" t="str">
        <f t="shared" si="169"/>
        <v>14-01</v>
      </c>
      <c r="H2649" s="1">
        <f>_xlfn.IFNA(VLOOKUP(Aragon!E2649,'Kilter Holds'!$P$36:$AB$370,6,0),0)</f>
        <v>0</v>
      </c>
      <c r="J2649" s="2">
        <f t="shared" si="167"/>
        <v>0</v>
      </c>
      <c r="K2649" s="2">
        <f t="shared" si="168"/>
        <v>0</v>
      </c>
    </row>
    <row r="2650" spans="5:11">
      <c r="E2650" t="s">
        <v>43</v>
      </c>
      <c r="F2650" t="s">
        <v>1755</v>
      </c>
      <c r="G2650" s="7" t="str">
        <f t="shared" si="169"/>
        <v>15-12</v>
      </c>
      <c r="H2650" s="1">
        <f>_xlfn.IFNA(VLOOKUP(Aragon!E2650,'Kilter Holds'!$P$36:$AB$370,7,0),0)</f>
        <v>0</v>
      </c>
      <c r="J2650" s="2">
        <f t="shared" si="167"/>
        <v>0</v>
      </c>
      <c r="K2650" s="2">
        <f t="shared" si="168"/>
        <v>0</v>
      </c>
    </row>
    <row r="2651" spans="5:11">
      <c r="E2651" t="s">
        <v>43</v>
      </c>
      <c r="F2651" t="s">
        <v>1755</v>
      </c>
      <c r="G2651" s="8" t="str">
        <f t="shared" si="169"/>
        <v>16-16</v>
      </c>
      <c r="H2651" s="1">
        <f>_xlfn.IFNA(VLOOKUP(Aragon!E2651,'Kilter Holds'!$P$36:$AB$370,8,0),0)</f>
        <v>0</v>
      </c>
      <c r="J2651" s="2">
        <f t="shared" si="167"/>
        <v>0</v>
      </c>
      <c r="K2651" s="2">
        <f t="shared" si="168"/>
        <v>0</v>
      </c>
    </row>
    <row r="2652" spans="5:11">
      <c r="E2652" t="s">
        <v>43</v>
      </c>
      <c r="F2652" t="s">
        <v>1755</v>
      </c>
      <c r="G2652" s="9" t="str">
        <f t="shared" si="169"/>
        <v>13-01</v>
      </c>
      <c r="H2652" s="1">
        <f>_xlfn.IFNA(VLOOKUP(Aragon!E2652,'Kilter Holds'!$P$36:$AB$370,9,0),0)</f>
        <v>0</v>
      </c>
      <c r="J2652" s="2">
        <f t="shared" si="167"/>
        <v>0</v>
      </c>
      <c r="K2652" s="2">
        <f t="shared" si="168"/>
        <v>0</v>
      </c>
    </row>
    <row r="2653" spans="5:11">
      <c r="E2653" t="s">
        <v>43</v>
      </c>
      <c r="F2653" t="s">
        <v>1755</v>
      </c>
      <c r="G2653" s="10" t="str">
        <f t="shared" si="169"/>
        <v>07-13</v>
      </c>
      <c r="H2653" s="1">
        <f>_xlfn.IFNA(VLOOKUP(Aragon!E2653,'Kilter Holds'!$P$36:$AB$370,10,0),0)</f>
        <v>0</v>
      </c>
      <c r="J2653" s="2">
        <f t="shared" si="167"/>
        <v>0</v>
      </c>
      <c r="K2653" s="2">
        <f t="shared" si="168"/>
        <v>0</v>
      </c>
    </row>
    <row r="2654" spans="5:11">
      <c r="E2654" t="s">
        <v>43</v>
      </c>
      <c r="F2654" t="s">
        <v>1755</v>
      </c>
      <c r="G2654" s="11" t="str">
        <f t="shared" si="169"/>
        <v>11-25</v>
      </c>
      <c r="H2654" s="1">
        <f>_xlfn.IFNA(VLOOKUP(Aragon!E2654,'Kilter Holds'!$P$36:$AB$370,11,0),0)</f>
        <v>0</v>
      </c>
      <c r="J2654" s="2">
        <f t="shared" si="167"/>
        <v>0</v>
      </c>
      <c r="K2654" s="2">
        <f t="shared" si="168"/>
        <v>0</v>
      </c>
    </row>
    <row r="2655" spans="5:11">
      <c r="E2655" t="s">
        <v>43</v>
      </c>
      <c r="F2655" t="s">
        <v>1755</v>
      </c>
      <c r="G2655" s="13" t="str">
        <f t="shared" si="169"/>
        <v>18-01</v>
      </c>
      <c r="H2655" s="1">
        <f>_xlfn.IFNA(VLOOKUP(Aragon!E2655,'Kilter Holds'!$P$36:$AB$370,12,0),0)</f>
        <v>0</v>
      </c>
      <c r="J2655" s="2">
        <f t="shared" si="167"/>
        <v>0</v>
      </c>
      <c r="K2655" s="2">
        <f t="shared" si="168"/>
        <v>0</v>
      </c>
    </row>
    <row r="2656" spans="5:11">
      <c r="E2656" t="s">
        <v>43</v>
      </c>
      <c r="F2656" t="s">
        <v>1755</v>
      </c>
      <c r="G2656" s="12" t="str">
        <f t="shared" si="169"/>
        <v>12-01</v>
      </c>
      <c r="H2656" s="1">
        <f>_xlfn.IFNA(VLOOKUP(Aragon!E2656,'Kilter Holds'!$P$36:$AB$370,13,0),0)</f>
        <v>0</v>
      </c>
      <c r="J2656" s="2">
        <f t="shared" si="167"/>
        <v>0</v>
      </c>
      <c r="K2656" s="2">
        <f t="shared" si="168"/>
        <v>0</v>
      </c>
    </row>
    <row r="2657" spans="5:11">
      <c r="E2657" t="s">
        <v>44</v>
      </c>
      <c r="F2657" t="s">
        <v>1756</v>
      </c>
      <c r="G2657" s="5" t="str">
        <f t="shared" si="169"/>
        <v>11-12</v>
      </c>
      <c r="H2657" s="1">
        <f>_xlfn.IFNA(VLOOKUP(Aragon!E2657,'Kilter Holds'!$P$36:$AB$370,5,0),0)</f>
        <v>0</v>
      </c>
      <c r="J2657" s="2">
        <f t="shared" si="167"/>
        <v>0</v>
      </c>
      <c r="K2657" s="2">
        <f t="shared" si="168"/>
        <v>0</v>
      </c>
    </row>
    <row r="2658" spans="5:11">
      <c r="E2658" t="s">
        <v>44</v>
      </c>
      <c r="F2658" t="s">
        <v>1756</v>
      </c>
      <c r="G2658" s="6" t="str">
        <f t="shared" si="169"/>
        <v>14-01</v>
      </c>
      <c r="H2658" s="1">
        <f>_xlfn.IFNA(VLOOKUP(Aragon!E2658,'Kilter Holds'!$P$36:$AB$370,6,0),0)</f>
        <v>0</v>
      </c>
      <c r="J2658" s="2">
        <f t="shared" si="167"/>
        <v>0</v>
      </c>
      <c r="K2658" s="2">
        <f t="shared" si="168"/>
        <v>0</v>
      </c>
    </row>
    <row r="2659" spans="5:11">
      <c r="E2659" t="s">
        <v>44</v>
      </c>
      <c r="F2659" t="s">
        <v>1756</v>
      </c>
      <c r="G2659" s="7" t="str">
        <f t="shared" si="169"/>
        <v>15-12</v>
      </c>
      <c r="H2659" s="1">
        <f>_xlfn.IFNA(VLOOKUP(Aragon!E2659,'Kilter Holds'!$P$36:$AB$370,7,0),0)</f>
        <v>0</v>
      </c>
      <c r="J2659" s="2">
        <f t="shared" si="167"/>
        <v>0</v>
      </c>
      <c r="K2659" s="2">
        <f t="shared" si="168"/>
        <v>0</v>
      </c>
    </row>
    <row r="2660" spans="5:11">
      <c r="E2660" t="s">
        <v>44</v>
      </c>
      <c r="F2660" t="s">
        <v>1756</v>
      </c>
      <c r="G2660" s="8" t="str">
        <f t="shared" si="169"/>
        <v>16-16</v>
      </c>
      <c r="H2660" s="1">
        <f>_xlfn.IFNA(VLOOKUP(Aragon!E2660,'Kilter Holds'!$P$36:$AB$370,8,0),0)</f>
        <v>0</v>
      </c>
      <c r="J2660" s="2">
        <f t="shared" si="167"/>
        <v>0</v>
      </c>
      <c r="K2660" s="2">
        <f t="shared" si="168"/>
        <v>0</v>
      </c>
    </row>
    <row r="2661" spans="5:11">
      <c r="E2661" t="s">
        <v>44</v>
      </c>
      <c r="F2661" t="s">
        <v>1756</v>
      </c>
      <c r="G2661" s="9" t="str">
        <f t="shared" si="169"/>
        <v>13-01</v>
      </c>
      <c r="H2661" s="1">
        <f>_xlfn.IFNA(VLOOKUP(Aragon!E2661,'Kilter Holds'!$P$36:$AB$370,9,0),0)</f>
        <v>0</v>
      </c>
      <c r="J2661" s="2">
        <f t="shared" si="167"/>
        <v>0</v>
      </c>
      <c r="K2661" s="2">
        <f t="shared" si="168"/>
        <v>0</v>
      </c>
    </row>
    <row r="2662" spans="5:11">
      <c r="E2662" t="s">
        <v>44</v>
      </c>
      <c r="F2662" t="s">
        <v>1756</v>
      </c>
      <c r="G2662" s="10" t="str">
        <f t="shared" si="169"/>
        <v>07-13</v>
      </c>
      <c r="H2662" s="1">
        <f>_xlfn.IFNA(VLOOKUP(Aragon!E2662,'Kilter Holds'!$P$36:$AB$370,10,0),0)</f>
        <v>0</v>
      </c>
      <c r="J2662" s="2">
        <f t="shared" si="167"/>
        <v>0</v>
      </c>
      <c r="K2662" s="2">
        <f t="shared" si="168"/>
        <v>0</v>
      </c>
    </row>
    <row r="2663" spans="5:11">
      <c r="E2663" t="s">
        <v>44</v>
      </c>
      <c r="F2663" t="s">
        <v>1756</v>
      </c>
      <c r="G2663" s="11" t="str">
        <f t="shared" si="169"/>
        <v>11-25</v>
      </c>
      <c r="H2663" s="1">
        <f>_xlfn.IFNA(VLOOKUP(Aragon!E2663,'Kilter Holds'!$P$36:$AB$370,11,0),0)</f>
        <v>0</v>
      </c>
      <c r="J2663" s="2">
        <f t="shared" si="167"/>
        <v>0</v>
      </c>
      <c r="K2663" s="2">
        <f t="shared" si="168"/>
        <v>0</v>
      </c>
    </row>
    <row r="2664" spans="5:11">
      <c r="E2664" t="s">
        <v>44</v>
      </c>
      <c r="F2664" t="s">
        <v>1756</v>
      </c>
      <c r="G2664" s="13" t="str">
        <f t="shared" si="169"/>
        <v>18-01</v>
      </c>
      <c r="H2664" s="1">
        <f>_xlfn.IFNA(VLOOKUP(Aragon!E2664,'Kilter Holds'!$P$36:$AB$370,12,0),0)</f>
        <v>0</v>
      </c>
      <c r="J2664" s="2">
        <f t="shared" si="167"/>
        <v>0</v>
      </c>
      <c r="K2664" s="2">
        <f t="shared" si="168"/>
        <v>0</v>
      </c>
    </row>
    <row r="2665" spans="5:11">
      <c r="E2665" t="s">
        <v>44</v>
      </c>
      <c r="F2665" t="s">
        <v>1756</v>
      </c>
      <c r="G2665" s="12" t="str">
        <f t="shared" si="169"/>
        <v>12-01</v>
      </c>
      <c r="H2665" s="1">
        <f>_xlfn.IFNA(VLOOKUP(Aragon!E2665,'Kilter Holds'!$P$36:$AB$370,13,0),0)</f>
        <v>0</v>
      </c>
      <c r="J2665" s="2">
        <f t="shared" si="167"/>
        <v>0</v>
      </c>
      <c r="K2665" s="2">
        <f t="shared" si="168"/>
        <v>0</v>
      </c>
    </row>
    <row r="2666" spans="5:11">
      <c r="E2666" t="s">
        <v>51</v>
      </c>
      <c r="F2666" t="s">
        <v>1757</v>
      </c>
      <c r="G2666" s="5" t="str">
        <f t="shared" si="169"/>
        <v>11-12</v>
      </c>
      <c r="H2666" s="1">
        <f>_xlfn.IFNA(VLOOKUP(Aragon!E2666,'Kilter Holds'!$P$36:$AB$370,5,0),0)</f>
        <v>0</v>
      </c>
      <c r="J2666" s="2">
        <f t="shared" si="167"/>
        <v>0</v>
      </c>
      <c r="K2666" s="2">
        <f t="shared" si="168"/>
        <v>0</v>
      </c>
    </row>
    <row r="2667" spans="5:11">
      <c r="E2667" t="s">
        <v>51</v>
      </c>
      <c r="F2667" t="s">
        <v>1757</v>
      </c>
      <c r="G2667" s="6" t="str">
        <f t="shared" si="169"/>
        <v>14-01</v>
      </c>
      <c r="H2667" s="1">
        <f>_xlfn.IFNA(VLOOKUP(Aragon!E2667,'Kilter Holds'!$P$36:$AB$370,6,0),0)</f>
        <v>0</v>
      </c>
      <c r="J2667" s="2">
        <f t="shared" si="167"/>
        <v>0</v>
      </c>
      <c r="K2667" s="2">
        <f t="shared" si="168"/>
        <v>0</v>
      </c>
    </row>
    <row r="2668" spans="5:11">
      <c r="E2668" t="s">
        <v>51</v>
      </c>
      <c r="F2668" t="s">
        <v>1757</v>
      </c>
      <c r="G2668" s="7" t="str">
        <f t="shared" si="169"/>
        <v>15-12</v>
      </c>
      <c r="H2668" s="1">
        <f>_xlfn.IFNA(VLOOKUP(Aragon!E2668,'Kilter Holds'!$P$36:$AB$370,7,0),0)</f>
        <v>0</v>
      </c>
      <c r="J2668" s="2">
        <f t="shared" si="167"/>
        <v>0</v>
      </c>
      <c r="K2668" s="2">
        <f t="shared" si="168"/>
        <v>0</v>
      </c>
    </row>
    <row r="2669" spans="5:11">
      <c r="E2669" t="s">
        <v>51</v>
      </c>
      <c r="F2669" t="s">
        <v>1757</v>
      </c>
      <c r="G2669" s="8" t="str">
        <f t="shared" si="169"/>
        <v>16-16</v>
      </c>
      <c r="H2669" s="1">
        <f>_xlfn.IFNA(VLOOKUP(Aragon!E2669,'Kilter Holds'!$P$36:$AB$370,8,0),0)</f>
        <v>0</v>
      </c>
      <c r="J2669" s="2">
        <f t="shared" si="167"/>
        <v>0</v>
      </c>
      <c r="K2669" s="2">
        <f t="shared" si="168"/>
        <v>0</v>
      </c>
    </row>
    <row r="2670" spans="5:11">
      <c r="E2670" t="s">
        <v>51</v>
      </c>
      <c r="F2670" t="s">
        <v>1757</v>
      </c>
      <c r="G2670" s="9" t="str">
        <f t="shared" si="169"/>
        <v>13-01</v>
      </c>
      <c r="H2670" s="1">
        <f>_xlfn.IFNA(VLOOKUP(Aragon!E2670,'Kilter Holds'!$P$36:$AB$370,9,0),0)</f>
        <v>0</v>
      </c>
      <c r="J2670" s="2">
        <f t="shared" si="167"/>
        <v>0</v>
      </c>
      <c r="K2670" s="2">
        <f t="shared" si="168"/>
        <v>0</v>
      </c>
    </row>
    <row r="2671" spans="5:11">
      <c r="E2671" t="s">
        <v>51</v>
      </c>
      <c r="F2671" t="s">
        <v>1757</v>
      </c>
      <c r="G2671" s="10" t="str">
        <f t="shared" si="169"/>
        <v>07-13</v>
      </c>
      <c r="H2671" s="1">
        <f>_xlfn.IFNA(VLOOKUP(Aragon!E2671,'Kilter Holds'!$P$36:$AB$370,10,0),0)</f>
        <v>0</v>
      </c>
      <c r="J2671" s="2">
        <f t="shared" ref="J2671:J2734" si="170">H2671*I2671</f>
        <v>0</v>
      </c>
      <c r="K2671" s="2">
        <f t="shared" si="168"/>
        <v>0</v>
      </c>
    </row>
    <row r="2672" spans="5:11">
      <c r="E2672" t="s">
        <v>51</v>
      </c>
      <c r="F2672" t="s">
        <v>1757</v>
      </c>
      <c r="G2672" s="11" t="str">
        <f t="shared" si="169"/>
        <v>11-25</v>
      </c>
      <c r="H2672" s="1">
        <f>_xlfn.IFNA(VLOOKUP(Aragon!E2672,'Kilter Holds'!$P$36:$AB$370,11,0),0)</f>
        <v>0</v>
      </c>
      <c r="J2672" s="2">
        <f t="shared" si="170"/>
        <v>0</v>
      </c>
      <c r="K2672" s="2">
        <f t="shared" ref="K2672:K2735" si="171">IF($V$11="Y",J2672*0.05,0)</f>
        <v>0</v>
      </c>
    </row>
    <row r="2673" spans="5:11">
      <c r="E2673" t="s">
        <v>51</v>
      </c>
      <c r="F2673" t="s">
        <v>1757</v>
      </c>
      <c r="G2673" s="13" t="str">
        <f t="shared" ref="G2673:G2736" si="172">G2664</f>
        <v>18-01</v>
      </c>
      <c r="H2673" s="1">
        <f>_xlfn.IFNA(VLOOKUP(Aragon!E2673,'Kilter Holds'!$P$36:$AB$370,12,0),0)</f>
        <v>0</v>
      </c>
      <c r="J2673" s="2">
        <f t="shared" si="170"/>
        <v>0</v>
      </c>
      <c r="K2673" s="2">
        <f t="shared" si="171"/>
        <v>0</v>
      </c>
    </row>
    <row r="2674" spans="5:11">
      <c r="E2674" t="s">
        <v>51</v>
      </c>
      <c r="F2674" t="s">
        <v>1757</v>
      </c>
      <c r="G2674" s="12" t="str">
        <f t="shared" si="172"/>
        <v>12-01</v>
      </c>
      <c r="H2674" s="1">
        <f>_xlfn.IFNA(VLOOKUP(Aragon!E2674,'Kilter Holds'!$P$36:$AB$370,13,0),0)</f>
        <v>0</v>
      </c>
      <c r="J2674" s="2">
        <f t="shared" si="170"/>
        <v>0</v>
      </c>
      <c r="K2674" s="2">
        <f t="shared" si="171"/>
        <v>0</v>
      </c>
    </row>
    <row r="2675" spans="5:11">
      <c r="E2675" t="s">
        <v>45</v>
      </c>
      <c r="F2675" t="s">
        <v>1758</v>
      </c>
      <c r="G2675" s="5" t="str">
        <f t="shared" si="172"/>
        <v>11-12</v>
      </c>
      <c r="H2675" s="1">
        <f>_xlfn.IFNA(VLOOKUP(Aragon!E2675,'Kilter Holds'!$P$36:$AB$370,5,0),0)</f>
        <v>0</v>
      </c>
      <c r="J2675" s="2">
        <f t="shared" si="170"/>
        <v>0</v>
      </c>
      <c r="K2675" s="2">
        <f t="shared" si="171"/>
        <v>0</v>
      </c>
    </row>
    <row r="2676" spans="5:11">
      <c r="E2676" t="s">
        <v>45</v>
      </c>
      <c r="F2676" t="s">
        <v>1758</v>
      </c>
      <c r="G2676" s="6" t="str">
        <f t="shared" si="172"/>
        <v>14-01</v>
      </c>
      <c r="H2676" s="1">
        <f>_xlfn.IFNA(VLOOKUP(Aragon!E2676,'Kilter Holds'!$P$36:$AB$370,6,0),0)</f>
        <v>0</v>
      </c>
      <c r="J2676" s="2">
        <f t="shared" si="170"/>
        <v>0</v>
      </c>
      <c r="K2676" s="2">
        <f t="shared" si="171"/>
        <v>0</v>
      </c>
    </row>
    <row r="2677" spans="5:11">
      <c r="E2677" t="s">
        <v>45</v>
      </c>
      <c r="F2677" t="s">
        <v>1758</v>
      </c>
      <c r="G2677" s="7" t="str">
        <f t="shared" si="172"/>
        <v>15-12</v>
      </c>
      <c r="H2677" s="1">
        <f>_xlfn.IFNA(VLOOKUP(Aragon!E2677,'Kilter Holds'!$P$36:$AB$370,7,0),0)</f>
        <v>0</v>
      </c>
      <c r="J2677" s="2">
        <f t="shared" si="170"/>
        <v>0</v>
      </c>
      <c r="K2677" s="2">
        <f t="shared" si="171"/>
        <v>0</v>
      </c>
    </row>
    <row r="2678" spans="5:11">
      <c r="E2678" t="s">
        <v>45</v>
      </c>
      <c r="F2678" t="s">
        <v>1758</v>
      </c>
      <c r="G2678" s="8" t="str">
        <f t="shared" si="172"/>
        <v>16-16</v>
      </c>
      <c r="H2678" s="1">
        <f>_xlfn.IFNA(VLOOKUP(Aragon!E2678,'Kilter Holds'!$P$36:$AB$370,8,0),0)</f>
        <v>0</v>
      </c>
      <c r="J2678" s="2">
        <f t="shared" si="170"/>
        <v>0</v>
      </c>
      <c r="K2678" s="2">
        <f t="shared" si="171"/>
        <v>0</v>
      </c>
    </row>
    <row r="2679" spans="5:11">
      <c r="E2679" t="s">
        <v>45</v>
      </c>
      <c r="F2679" t="s">
        <v>1758</v>
      </c>
      <c r="G2679" s="9" t="str">
        <f t="shared" si="172"/>
        <v>13-01</v>
      </c>
      <c r="H2679" s="1">
        <f>_xlfn.IFNA(VLOOKUP(Aragon!E2679,'Kilter Holds'!$P$36:$AB$370,9,0),0)</f>
        <v>0</v>
      </c>
      <c r="J2679" s="2">
        <f t="shared" si="170"/>
        <v>0</v>
      </c>
      <c r="K2679" s="2">
        <f t="shared" si="171"/>
        <v>0</v>
      </c>
    </row>
    <row r="2680" spans="5:11">
      <c r="E2680" t="s">
        <v>45</v>
      </c>
      <c r="F2680" t="s">
        <v>1758</v>
      </c>
      <c r="G2680" s="10" t="str">
        <f t="shared" si="172"/>
        <v>07-13</v>
      </c>
      <c r="H2680" s="1">
        <f>_xlfn.IFNA(VLOOKUP(Aragon!E2680,'Kilter Holds'!$P$36:$AB$370,10,0),0)</f>
        <v>0</v>
      </c>
      <c r="J2680" s="2">
        <f t="shared" si="170"/>
        <v>0</v>
      </c>
      <c r="K2680" s="2">
        <f t="shared" si="171"/>
        <v>0</v>
      </c>
    </row>
    <row r="2681" spans="5:11">
      <c r="E2681" t="s">
        <v>45</v>
      </c>
      <c r="F2681" t="s">
        <v>1758</v>
      </c>
      <c r="G2681" s="11" t="str">
        <f t="shared" si="172"/>
        <v>11-25</v>
      </c>
      <c r="H2681" s="1">
        <f>_xlfn.IFNA(VLOOKUP(Aragon!E2681,'Kilter Holds'!$P$36:$AB$370,11,0),0)</f>
        <v>0</v>
      </c>
      <c r="J2681" s="2">
        <f t="shared" si="170"/>
        <v>0</v>
      </c>
      <c r="K2681" s="2">
        <f t="shared" si="171"/>
        <v>0</v>
      </c>
    </row>
    <row r="2682" spans="5:11">
      <c r="E2682" t="s">
        <v>45</v>
      </c>
      <c r="F2682" t="s">
        <v>1758</v>
      </c>
      <c r="G2682" s="13" t="str">
        <f t="shared" si="172"/>
        <v>18-01</v>
      </c>
      <c r="H2682" s="1">
        <f>_xlfn.IFNA(VLOOKUP(Aragon!E2682,'Kilter Holds'!$P$36:$AB$370,12,0),0)</f>
        <v>0</v>
      </c>
      <c r="J2682" s="2">
        <f t="shared" si="170"/>
        <v>0</v>
      </c>
      <c r="K2682" s="2">
        <f t="shared" si="171"/>
        <v>0</v>
      </c>
    </row>
    <row r="2683" spans="5:11">
      <c r="E2683" t="s">
        <v>45</v>
      </c>
      <c r="F2683" t="s">
        <v>1758</v>
      </c>
      <c r="G2683" s="12" t="str">
        <f t="shared" si="172"/>
        <v>12-01</v>
      </c>
      <c r="H2683" s="1">
        <f>_xlfn.IFNA(VLOOKUP(Aragon!E2683,'Kilter Holds'!$P$36:$AB$370,13,0),0)</f>
        <v>0</v>
      </c>
      <c r="J2683" s="2">
        <f t="shared" si="170"/>
        <v>0</v>
      </c>
      <c r="K2683" s="2">
        <f t="shared" si="171"/>
        <v>0</v>
      </c>
    </row>
    <row r="2684" spans="5:11">
      <c r="E2684" t="s">
        <v>46</v>
      </c>
      <c r="F2684" t="s">
        <v>1759</v>
      </c>
      <c r="G2684" s="5" t="str">
        <f t="shared" si="172"/>
        <v>11-12</v>
      </c>
      <c r="H2684" s="1">
        <f>_xlfn.IFNA(VLOOKUP(Aragon!E2684,'Kilter Holds'!$P$36:$AB$370,5,0),0)</f>
        <v>0</v>
      </c>
      <c r="J2684" s="2">
        <f t="shared" si="170"/>
        <v>0</v>
      </c>
      <c r="K2684" s="2">
        <f t="shared" si="171"/>
        <v>0</v>
      </c>
    </row>
    <row r="2685" spans="5:11">
      <c r="E2685" t="s">
        <v>46</v>
      </c>
      <c r="F2685" t="s">
        <v>1759</v>
      </c>
      <c r="G2685" s="6" t="str">
        <f t="shared" si="172"/>
        <v>14-01</v>
      </c>
      <c r="H2685" s="1">
        <f>_xlfn.IFNA(VLOOKUP(Aragon!E2685,'Kilter Holds'!$P$36:$AB$370,6,0),0)</f>
        <v>0</v>
      </c>
      <c r="J2685" s="2">
        <f t="shared" si="170"/>
        <v>0</v>
      </c>
      <c r="K2685" s="2">
        <f t="shared" si="171"/>
        <v>0</v>
      </c>
    </row>
    <row r="2686" spans="5:11">
      <c r="E2686" t="s">
        <v>46</v>
      </c>
      <c r="F2686" t="s">
        <v>1759</v>
      </c>
      <c r="G2686" s="7" t="str">
        <f t="shared" si="172"/>
        <v>15-12</v>
      </c>
      <c r="H2686" s="1">
        <f>_xlfn.IFNA(VLOOKUP(Aragon!E2686,'Kilter Holds'!$P$36:$AB$370,7,0),0)</f>
        <v>0</v>
      </c>
      <c r="J2686" s="2">
        <f t="shared" si="170"/>
        <v>0</v>
      </c>
      <c r="K2686" s="2">
        <f t="shared" si="171"/>
        <v>0</v>
      </c>
    </row>
    <row r="2687" spans="5:11">
      <c r="E2687" t="s">
        <v>46</v>
      </c>
      <c r="F2687" t="s">
        <v>1759</v>
      </c>
      <c r="G2687" s="8" t="str">
        <f t="shared" si="172"/>
        <v>16-16</v>
      </c>
      <c r="H2687" s="1">
        <f>_xlfn.IFNA(VLOOKUP(Aragon!E2687,'Kilter Holds'!$P$36:$AB$370,8,0),0)</f>
        <v>0</v>
      </c>
      <c r="J2687" s="2">
        <f t="shared" si="170"/>
        <v>0</v>
      </c>
      <c r="K2687" s="2">
        <f t="shared" si="171"/>
        <v>0</v>
      </c>
    </row>
    <row r="2688" spans="5:11">
      <c r="E2688" t="s">
        <v>46</v>
      </c>
      <c r="F2688" t="s">
        <v>1759</v>
      </c>
      <c r="G2688" s="9" t="str">
        <f t="shared" si="172"/>
        <v>13-01</v>
      </c>
      <c r="H2688" s="1">
        <f>_xlfn.IFNA(VLOOKUP(Aragon!E2688,'Kilter Holds'!$P$36:$AB$370,9,0),0)</f>
        <v>0</v>
      </c>
      <c r="J2688" s="2">
        <f t="shared" si="170"/>
        <v>0</v>
      </c>
      <c r="K2688" s="2">
        <f t="shared" si="171"/>
        <v>0</v>
      </c>
    </row>
    <row r="2689" spans="5:11">
      <c r="E2689" t="s">
        <v>46</v>
      </c>
      <c r="F2689" t="s">
        <v>1759</v>
      </c>
      <c r="G2689" s="10" t="str">
        <f t="shared" si="172"/>
        <v>07-13</v>
      </c>
      <c r="H2689" s="1">
        <f>_xlfn.IFNA(VLOOKUP(Aragon!E2689,'Kilter Holds'!$P$36:$AB$370,10,0),0)</f>
        <v>0</v>
      </c>
      <c r="J2689" s="2">
        <f t="shared" si="170"/>
        <v>0</v>
      </c>
      <c r="K2689" s="2">
        <f t="shared" si="171"/>
        <v>0</v>
      </c>
    </row>
    <row r="2690" spans="5:11">
      <c r="E2690" t="s">
        <v>46</v>
      </c>
      <c r="F2690" t="s">
        <v>1759</v>
      </c>
      <c r="G2690" s="11" t="str">
        <f t="shared" si="172"/>
        <v>11-25</v>
      </c>
      <c r="H2690" s="1">
        <f>_xlfn.IFNA(VLOOKUP(Aragon!E2690,'Kilter Holds'!$P$36:$AB$370,11,0),0)</f>
        <v>0</v>
      </c>
      <c r="J2690" s="2">
        <f t="shared" si="170"/>
        <v>0</v>
      </c>
      <c r="K2690" s="2">
        <f t="shared" si="171"/>
        <v>0</v>
      </c>
    </row>
    <row r="2691" spans="5:11">
      <c r="E2691" t="s">
        <v>46</v>
      </c>
      <c r="F2691" t="s">
        <v>1759</v>
      </c>
      <c r="G2691" s="13" t="str">
        <f t="shared" si="172"/>
        <v>18-01</v>
      </c>
      <c r="H2691" s="1">
        <f>_xlfn.IFNA(VLOOKUP(Aragon!E2691,'Kilter Holds'!$P$36:$AB$370,12,0),0)</f>
        <v>0</v>
      </c>
      <c r="J2691" s="2">
        <f t="shared" si="170"/>
        <v>0</v>
      </c>
      <c r="K2691" s="2">
        <f t="shared" si="171"/>
        <v>0</v>
      </c>
    </row>
    <row r="2692" spans="5:11">
      <c r="E2692" t="s">
        <v>46</v>
      </c>
      <c r="F2692" t="s">
        <v>1759</v>
      </c>
      <c r="G2692" s="12" t="str">
        <f t="shared" si="172"/>
        <v>12-01</v>
      </c>
      <c r="H2692" s="1">
        <f>_xlfn.IFNA(VLOOKUP(Aragon!E2692,'Kilter Holds'!$P$36:$AB$370,13,0),0)</f>
        <v>0</v>
      </c>
      <c r="J2692" s="2">
        <f t="shared" si="170"/>
        <v>0</v>
      </c>
      <c r="K2692" s="2">
        <f t="shared" si="171"/>
        <v>0</v>
      </c>
    </row>
    <row r="2693" spans="5:11">
      <c r="E2693" t="s">
        <v>52</v>
      </c>
      <c r="F2693" t="s">
        <v>1760</v>
      </c>
      <c r="G2693" s="5" t="str">
        <f t="shared" si="172"/>
        <v>11-12</v>
      </c>
      <c r="H2693" s="1">
        <f>_xlfn.IFNA(VLOOKUP(Aragon!E2693,'Kilter Holds'!$P$36:$AB$370,5,0),0)</f>
        <v>0</v>
      </c>
      <c r="J2693" s="2">
        <f t="shared" si="170"/>
        <v>0</v>
      </c>
      <c r="K2693" s="2">
        <f t="shared" si="171"/>
        <v>0</v>
      </c>
    </row>
    <row r="2694" spans="5:11">
      <c r="E2694" t="s">
        <v>52</v>
      </c>
      <c r="F2694" t="s">
        <v>1760</v>
      </c>
      <c r="G2694" s="6" t="str">
        <f t="shared" si="172"/>
        <v>14-01</v>
      </c>
      <c r="H2694" s="1">
        <f>_xlfn.IFNA(VLOOKUP(Aragon!E2694,'Kilter Holds'!$P$36:$AB$370,6,0),0)</f>
        <v>0</v>
      </c>
      <c r="J2694" s="2">
        <f t="shared" si="170"/>
        <v>0</v>
      </c>
      <c r="K2694" s="2">
        <f t="shared" si="171"/>
        <v>0</v>
      </c>
    </row>
    <row r="2695" spans="5:11">
      <c r="E2695" t="s">
        <v>52</v>
      </c>
      <c r="F2695" t="s">
        <v>1760</v>
      </c>
      <c r="G2695" s="7" t="str">
        <f t="shared" si="172"/>
        <v>15-12</v>
      </c>
      <c r="H2695" s="1">
        <f>_xlfn.IFNA(VLOOKUP(Aragon!E2695,'Kilter Holds'!$P$36:$AB$370,7,0),0)</f>
        <v>0</v>
      </c>
      <c r="J2695" s="2">
        <f t="shared" si="170"/>
        <v>0</v>
      </c>
      <c r="K2695" s="2">
        <f t="shared" si="171"/>
        <v>0</v>
      </c>
    </row>
    <row r="2696" spans="5:11">
      <c r="E2696" t="s">
        <v>52</v>
      </c>
      <c r="F2696" t="s">
        <v>1760</v>
      </c>
      <c r="G2696" s="8" t="str">
        <f t="shared" si="172"/>
        <v>16-16</v>
      </c>
      <c r="H2696" s="1">
        <f>_xlfn.IFNA(VLOOKUP(Aragon!E2696,'Kilter Holds'!$P$36:$AB$370,8,0),0)</f>
        <v>0</v>
      </c>
      <c r="J2696" s="2">
        <f t="shared" si="170"/>
        <v>0</v>
      </c>
      <c r="K2696" s="2">
        <f t="shared" si="171"/>
        <v>0</v>
      </c>
    </row>
    <row r="2697" spans="5:11">
      <c r="E2697" t="s">
        <v>52</v>
      </c>
      <c r="F2697" t="s">
        <v>1760</v>
      </c>
      <c r="G2697" s="9" t="str">
        <f t="shared" si="172"/>
        <v>13-01</v>
      </c>
      <c r="H2697" s="1">
        <f>_xlfn.IFNA(VLOOKUP(Aragon!E2697,'Kilter Holds'!$P$36:$AB$370,9,0),0)</f>
        <v>0</v>
      </c>
      <c r="J2697" s="2">
        <f t="shared" si="170"/>
        <v>0</v>
      </c>
      <c r="K2697" s="2">
        <f t="shared" si="171"/>
        <v>0</v>
      </c>
    </row>
    <row r="2698" spans="5:11">
      <c r="E2698" t="s">
        <v>52</v>
      </c>
      <c r="F2698" t="s">
        <v>1760</v>
      </c>
      <c r="G2698" s="10" t="str">
        <f t="shared" si="172"/>
        <v>07-13</v>
      </c>
      <c r="H2698" s="1">
        <f>_xlfn.IFNA(VLOOKUP(Aragon!E2698,'Kilter Holds'!$P$36:$AB$370,10,0),0)</f>
        <v>0</v>
      </c>
      <c r="J2698" s="2">
        <f t="shared" si="170"/>
        <v>0</v>
      </c>
      <c r="K2698" s="2">
        <f t="shared" si="171"/>
        <v>0</v>
      </c>
    </row>
    <row r="2699" spans="5:11">
      <c r="E2699" t="s">
        <v>52</v>
      </c>
      <c r="F2699" t="s">
        <v>1760</v>
      </c>
      <c r="G2699" s="11" t="str">
        <f t="shared" si="172"/>
        <v>11-25</v>
      </c>
      <c r="H2699" s="1">
        <f>_xlfn.IFNA(VLOOKUP(Aragon!E2699,'Kilter Holds'!$P$36:$AB$370,11,0),0)</f>
        <v>0</v>
      </c>
      <c r="J2699" s="2">
        <f t="shared" si="170"/>
        <v>0</v>
      </c>
      <c r="K2699" s="2">
        <f t="shared" si="171"/>
        <v>0</v>
      </c>
    </row>
    <row r="2700" spans="5:11">
      <c r="E2700" t="s">
        <v>52</v>
      </c>
      <c r="F2700" t="s">
        <v>1760</v>
      </c>
      <c r="G2700" s="13" t="str">
        <f t="shared" si="172"/>
        <v>18-01</v>
      </c>
      <c r="H2700" s="1">
        <f>_xlfn.IFNA(VLOOKUP(Aragon!E2700,'Kilter Holds'!$P$36:$AB$370,12,0),0)</f>
        <v>0</v>
      </c>
      <c r="J2700" s="2">
        <f t="shared" si="170"/>
        <v>0</v>
      </c>
      <c r="K2700" s="2">
        <f t="shared" si="171"/>
        <v>0</v>
      </c>
    </row>
    <row r="2701" spans="5:11">
      <c r="E2701" t="s">
        <v>52</v>
      </c>
      <c r="F2701" t="s">
        <v>1760</v>
      </c>
      <c r="G2701" s="12" t="str">
        <f t="shared" si="172"/>
        <v>12-01</v>
      </c>
      <c r="H2701" s="1">
        <f>_xlfn.IFNA(VLOOKUP(Aragon!E2701,'Kilter Holds'!$P$36:$AB$370,13,0),0)</f>
        <v>0</v>
      </c>
      <c r="J2701" s="2">
        <f t="shared" si="170"/>
        <v>0</v>
      </c>
      <c r="K2701" s="2">
        <f t="shared" si="171"/>
        <v>0</v>
      </c>
    </row>
    <row r="2702" spans="5:11">
      <c r="E2702" t="s">
        <v>53</v>
      </c>
      <c r="F2702" t="s">
        <v>1761</v>
      </c>
      <c r="G2702" s="5" t="str">
        <f t="shared" si="172"/>
        <v>11-12</v>
      </c>
      <c r="H2702" s="1">
        <f>_xlfn.IFNA(VLOOKUP(Aragon!E2702,'Kilter Holds'!$P$36:$AB$370,5,0),0)</f>
        <v>0</v>
      </c>
      <c r="J2702" s="2">
        <f t="shared" si="170"/>
        <v>0</v>
      </c>
      <c r="K2702" s="2">
        <f t="shared" si="171"/>
        <v>0</v>
      </c>
    </row>
    <row r="2703" spans="5:11">
      <c r="E2703" t="s">
        <v>53</v>
      </c>
      <c r="F2703" t="s">
        <v>1761</v>
      </c>
      <c r="G2703" s="6" t="str">
        <f t="shared" si="172"/>
        <v>14-01</v>
      </c>
      <c r="H2703" s="1">
        <f>_xlfn.IFNA(VLOOKUP(Aragon!E2703,'Kilter Holds'!$P$36:$AB$370,6,0),0)</f>
        <v>0</v>
      </c>
      <c r="J2703" s="2">
        <f t="shared" si="170"/>
        <v>0</v>
      </c>
      <c r="K2703" s="2">
        <f t="shared" si="171"/>
        <v>0</v>
      </c>
    </row>
    <row r="2704" spans="5:11">
      <c r="E2704" t="s">
        <v>53</v>
      </c>
      <c r="F2704" t="s">
        <v>1761</v>
      </c>
      <c r="G2704" s="7" t="str">
        <f t="shared" si="172"/>
        <v>15-12</v>
      </c>
      <c r="H2704" s="1">
        <f>_xlfn.IFNA(VLOOKUP(Aragon!E2704,'Kilter Holds'!$P$36:$AB$370,7,0),0)</f>
        <v>0</v>
      </c>
      <c r="J2704" s="2">
        <f t="shared" si="170"/>
        <v>0</v>
      </c>
      <c r="K2704" s="2">
        <f t="shared" si="171"/>
        <v>0</v>
      </c>
    </row>
    <row r="2705" spans="5:11">
      <c r="E2705" t="s">
        <v>53</v>
      </c>
      <c r="F2705" t="s">
        <v>1761</v>
      </c>
      <c r="G2705" s="8" t="str">
        <f t="shared" si="172"/>
        <v>16-16</v>
      </c>
      <c r="H2705" s="1">
        <f>_xlfn.IFNA(VLOOKUP(Aragon!E2705,'Kilter Holds'!$P$36:$AB$370,8,0),0)</f>
        <v>0</v>
      </c>
      <c r="J2705" s="2">
        <f t="shared" si="170"/>
        <v>0</v>
      </c>
      <c r="K2705" s="2">
        <f t="shared" si="171"/>
        <v>0</v>
      </c>
    </row>
    <row r="2706" spans="5:11">
      <c r="E2706" t="s">
        <v>53</v>
      </c>
      <c r="F2706" t="s">
        <v>1761</v>
      </c>
      <c r="G2706" s="9" t="str">
        <f t="shared" si="172"/>
        <v>13-01</v>
      </c>
      <c r="H2706" s="1">
        <f>_xlfn.IFNA(VLOOKUP(Aragon!E2706,'Kilter Holds'!$P$36:$AB$370,9,0),0)</f>
        <v>0</v>
      </c>
      <c r="J2706" s="2">
        <f t="shared" si="170"/>
        <v>0</v>
      </c>
      <c r="K2706" s="2">
        <f t="shared" si="171"/>
        <v>0</v>
      </c>
    </row>
    <row r="2707" spans="5:11">
      <c r="E2707" t="s">
        <v>53</v>
      </c>
      <c r="F2707" t="s">
        <v>1761</v>
      </c>
      <c r="G2707" s="10" t="str">
        <f t="shared" si="172"/>
        <v>07-13</v>
      </c>
      <c r="H2707" s="1">
        <f>_xlfn.IFNA(VLOOKUP(Aragon!E2707,'Kilter Holds'!$P$36:$AB$370,10,0),0)</f>
        <v>0</v>
      </c>
      <c r="J2707" s="2">
        <f t="shared" si="170"/>
        <v>0</v>
      </c>
      <c r="K2707" s="2">
        <f t="shared" si="171"/>
        <v>0</v>
      </c>
    </row>
    <row r="2708" spans="5:11">
      <c r="E2708" t="s">
        <v>53</v>
      </c>
      <c r="F2708" t="s">
        <v>1761</v>
      </c>
      <c r="G2708" s="11" t="str">
        <f t="shared" si="172"/>
        <v>11-25</v>
      </c>
      <c r="H2708" s="1">
        <f>_xlfn.IFNA(VLOOKUP(Aragon!E2708,'Kilter Holds'!$P$36:$AB$370,11,0),0)</f>
        <v>0</v>
      </c>
      <c r="J2708" s="2">
        <f t="shared" si="170"/>
        <v>0</v>
      </c>
      <c r="K2708" s="2">
        <f t="shared" si="171"/>
        <v>0</v>
      </c>
    </row>
    <row r="2709" spans="5:11">
      <c r="E2709" t="s">
        <v>53</v>
      </c>
      <c r="F2709" t="s">
        <v>1761</v>
      </c>
      <c r="G2709" s="13" t="str">
        <f t="shared" si="172"/>
        <v>18-01</v>
      </c>
      <c r="H2709" s="1">
        <f>_xlfn.IFNA(VLOOKUP(Aragon!E2709,'Kilter Holds'!$P$36:$AB$370,12,0),0)</f>
        <v>0</v>
      </c>
      <c r="J2709" s="2">
        <f t="shared" si="170"/>
        <v>0</v>
      </c>
      <c r="K2709" s="2">
        <f t="shared" si="171"/>
        <v>0</v>
      </c>
    </row>
    <row r="2710" spans="5:11">
      <c r="E2710" t="s">
        <v>53</v>
      </c>
      <c r="F2710" t="s">
        <v>1761</v>
      </c>
      <c r="G2710" s="12" t="str">
        <f t="shared" si="172"/>
        <v>12-01</v>
      </c>
      <c r="H2710" s="1">
        <f>_xlfn.IFNA(VLOOKUP(Aragon!E2710,'Kilter Holds'!$P$36:$AB$370,13,0),0)</f>
        <v>0</v>
      </c>
      <c r="J2710" s="2">
        <f t="shared" si="170"/>
        <v>0</v>
      </c>
      <c r="K2710" s="2">
        <f t="shared" si="171"/>
        <v>0</v>
      </c>
    </row>
    <row r="2711" spans="5:11">
      <c r="E2711" t="s">
        <v>49</v>
      </c>
      <c r="F2711" t="s">
        <v>1762</v>
      </c>
      <c r="G2711" s="5" t="str">
        <f t="shared" si="172"/>
        <v>11-12</v>
      </c>
      <c r="H2711" s="1">
        <f>_xlfn.IFNA(VLOOKUP(Aragon!E2711,'Kilter Holds'!$P$36:$AB$370,5,0),0)</f>
        <v>0</v>
      </c>
      <c r="J2711" s="2">
        <f t="shared" si="170"/>
        <v>0</v>
      </c>
      <c r="K2711" s="2">
        <f t="shared" si="171"/>
        <v>0</v>
      </c>
    </row>
    <row r="2712" spans="5:11">
      <c r="E2712" t="s">
        <v>49</v>
      </c>
      <c r="F2712" t="s">
        <v>1762</v>
      </c>
      <c r="G2712" s="6" t="str">
        <f t="shared" si="172"/>
        <v>14-01</v>
      </c>
      <c r="H2712" s="1">
        <f>_xlfn.IFNA(VLOOKUP(Aragon!E2712,'Kilter Holds'!$P$36:$AB$370,6,0),0)</f>
        <v>0</v>
      </c>
      <c r="J2712" s="2">
        <f t="shared" si="170"/>
        <v>0</v>
      </c>
      <c r="K2712" s="2">
        <f t="shared" si="171"/>
        <v>0</v>
      </c>
    </row>
    <row r="2713" spans="5:11">
      <c r="E2713" t="s">
        <v>49</v>
      </c>
      <c r="F2713" t="s">
        <v>1762</v>
      </c>
      <c r="G2713" s="7" t="str">
        <f t="shared" si="172"/>
        <v>15-12</v>
      </c>
      <c r="H2713" s="1">
        <f>_xlfn.IFNA(VLOOKUP(Aragon!E2713,'Kilter Holds'!$P$36:$AB$370,7,0),0)</f>
        <v>0</v>
      </c>
      <c r="J2713" s="2">
        <f t="shared" si="170"/>
        <v>0</v>
      </c>
      <c r="K2713" s="2">
        <f t="shared" si="171"/>
        <v>0</v>
      </c>
    </row>
    <row r="2714" spans="5:11">
      <c r="E2714" t="s">
        <v>49</v>
      </c>
      <c r="F2714" t="s">
        <v>1762</v>
      </c>
      <c r="G2714" s="8" t="str">
        <f t="shared" si="172"/>
        <v>16-16</v>
      </c>
      <c r="H2714" s="1">
        <f>_xlfn.IFNA(VLOOKUP(Aragon!E2714,'Kilter Holds'!$P$36:$AB$370,8,0),0)</f>
        <v>0</v>
      </c>
      <c r="J2714" s="2">
        <f t="shared" si="170"/>
        <v>0</v>
      </c>
      <c r="K2714" s="2">
        <f t="shared" si="171"/>
        <v>0</v>
      </c>
    </row>
    <row r="2715" spans="5:11">
      <c r="E2715" t="s">
        <v>49</v>
      </c>
      <c r="F2715" t="s">
        <v>1762</v>
      </c>
      <c r="G2715" s="9" t="str">
        <f t="shared" si="172"/>
        <v>13-01</v>
      </c>
      <c r="H2715" s="1">
        <f>_xlfn.IFNA(VLOOKUP(Aragon!E2715,'Kilter Holds'!$P$36:$AB$370,9,0),0)</f>
        <v>0</v>
      </c>
      <c r="J2715" s="2">
        <f t="shared" si="170"/>
        <v>0</v>
      </c>
      <c r="K2715" s="2">
        <f t="shared" si="171"/>
        <v>0</v>
      </c>
    </row>
    <row r="2716" spans="5:11">
      <c r="E2716" t="s">
        <v>49</v>
      </c>
      <c r="F2716" t="s">
        <v>1762</v>
      </c>
      <c r="G2716" s="10" t="str">
        <f t="shared" si="172"/>
        <v>07-13</v>
      </c>
      <c r="H2716" s="1">
        <f>_xlfn.IFNA(VLOOKUP(Aragon!E2716,'Kilter Holds'!$P$36:$AB$370,10,0),0)</f>
        <v>0</v>
      </c>
      <c r="J2716" s="2">
        <f t="shared" si="170"/>
        <v>0</v>
      </c>
      <c r="K2716" s="2">
        <f t="shared" si="171"/>
        <v>0</v>
      </c>
    </row>
    <row r="2717" spans="5:11">
      <c r="E2717" t="s">
        <v>49</v>
      </c>
      <c r="F2717" t="s">
        <v>1762</v>
      </c>
      <c r="G2717" s="11" t="str">
        <f t="shared" si="172"/>
        <v>11-25</v>
      </c>
      <c r="H2717" s="1">
        <f>_xlfn.IFNA(VLOOKUP(Aragon!E2717,'Kilter Holds'!$P$36:$AB$370,11,0),0)</f>
        <v>0</v>
      </c>
      <c r="J2717" s="2">
        <f t="shared" si="170"/>
        <v>0</v>
      </c>
      <c r="K2717" s="2">
        <f t="shared" si="171"/>
        <v>0</v>
      </c>
    </row>
    <row r="2718" spans="5:11">
      <c r="E2718" t="s">
        <v>49</v>
      </c>
      <c r="F2718" t="s">
        <v>1762</v>
      </c>
      <c r="G2718" s="13" t="str">
        <f t="shared" si="172"/>
        <v>18-01</v>
      </c>
      <c r="H2718" s="1">
        <f>_xlfn.IFNA(VLOOKUP(Aragon!E2718,'Kilter Holds'!$P$36:$AB$370,12,0),0)</f>
        <v>0</v>
      </c>
      <c r="J2718" s="2">
        <f t="shared" si="170"/>
        <v>0</v>
      </c>
      <c r="K2718" s="2">
        <f t="shared" si="171"/>
        <v>0</v>
      </c>
    </row>
    <row r="2719" spans="5:11">
      <c r="E2719" t="s">
        <v>49</v>
      </c>
      <c r="F2719" t="s">
        <v>1762</v>
      </c>
      <c r="G2719" s="12" t="str">
        <f t="shared" si="172"/>
        <v>12-01</v>
      </c>
      <c r="H2719" s="1">
        <f>_xlfn.IFNA(VLOOKUP(Aragon!E2719,'Kilter Holds'!$P$36:$AB$370,13,0),0)</f>
        <v>0</v>
      </c>
      <c r="J2719" s="2">
        <f t="shared" si="170"/>
        <v>0</v>
      </c>
      <c r="K2719" s="2">
        <f t="shared" si="171"/>
        <v>0</v>
      </c>
    </row>
    <row r="2720" spans="5:11">
      <c r="E2720" t="s">
        <v>494</v>
      </c>
      <c r="F2720" t="s">
        <v>1763</v>
      </c>
      <c r="G2720" s="5" t="str">
        <f t="shared" si="172"/>
        <v>11-12</v>
      </c>
      <c r="H2720" s="1">
        <f>_xlfn.IFNA(VLOOKUP(Aragon!E2720,'Kilter Holds'!$P$36:$AB$370,5,0),0)</f>
        <v>0</v>
      </c>
      <c r="J2720" s="2">
        <f t="shared" si="170"/>
        <v>0</v>
      </c>
      <c r="K2720" s="2">
        <f t="shared" si="171"/>
        <v>0</v>
      </c>
    </row>
    <row r="2721" spans="5:11">
      <c r="E2721" t="s">
        <v>494</v>
      </c>
      <c r="F2721" t="s">
        <v>1763</v>
      </c>
      <c r="G2721" s="6" t="str">
        <f t="shared" si="172"/>
        <v>14-01</v>
      </c>
      <c r="H2721" s="1">
        <f>_xlfn.IFNA(VLOOKUP(Aragon!E2721,'Kilter Holds'!$P$36:$AB$370,6,0),0)</f>
        <v>0</v>
      </c>
      <c r="J2721" s="2">
        <f t="shared" si="170"/>
        <v>0</v>
      </c>
      <c r="K2721" s="2">
        <f t="shared" si="171"/>
        <v>0</v>
      </c>
    </row>
    <row r="2722" spans="5:11">
      <c r="E2722" t="s">
        <v>494</v>
      </c>
      <c r="F2722" t="s">
        <v>1763</v>
      </c>
      <c r="G2722" s="7" t="str">
        <f t="shared" si="172"/>
        <v>15-12</v>
      </c>
      <c r="H2722" s="1">
        <f>_xlfn.IFNA(VLOOKUP(Aragon!E2722,'Kilter Holds'!$P$36:$AB$370,7,0),0)</f>
        <v>0</v>
      </c>
      <c r="J2722" s="2">
        <f t="shared" si="170"/>
        <v>0</v>
      </c>
      <c r="K2722" s="2">
        <f t="shared" si="171"/>
        <v>0</v>
      </c>
    </row>
    <row r="2723" spans="5:11">
      <c r="E2723" t="s">
        <v>494</v>
      </c>
      <c r="F2723" t="s">
        <v>1763</v>
      </c>
      <c r="G2723" s="8" t="str">
        <f t="shared" si="172"/>
        <v>16-16</v>
      </c>
      <c r="H2723" s="1">
        <f>_xlfn.IFNA(VLOOKUP(Aragon!E2723,'Kilter Holds'!$P$36:$AB$370,8,0),0)</f>
        <v>0</v>
      </c>
      <c r="J2723" s="2">
        <f t="shared" si="170"/>
        <v>0</v>
      </c>
      <c r="K2723" s="2">
        <f t="shared" si="171"/>
        <v>0</v>
      </c>
    </row>
    <row r="2724" spans="5:11">
      <c r="E2724" t="s">
        <v>494</v>
      </c>
      <c r="F2724" t="s">
        <v>1763</v>
      </c>
      <c r="G2724" s="9" t="str">
        <f t="shared" si="172"/>
        <v>13-01</v>
      </c>
      <c r="H2724" s="1">
        <f>_xlfn.IFNA(VLOOKUP(Aragon!E2724,'Kilter Holds'!$P$36:$AB$370,9,0),0)</f>
        <v>0</v>
      </c>
      <c r="J2724" s="2">
        <f t="shared" si="170"/>
        <v>0</v>
      </c>
      <c r="K2724" s="2">
        <f t="shared" si="171"/>
        <v>0</v>
      </c>
    </row>
    <row r="2725" spans="5:11">
      <c r="E2725" t="s">
        <v>494</v>
      </c>
      <c r="F2725" t="s">
        <v>1763</v>
      </c>
      <c r="G2725" s="10" t="str">
        <f t="shared" si="172"/>
        <v>07-13</v>
      </c>
      <c r="H2725" s="1">
        <f>_xlfn.IFNA(VLOOKUP(Aragon!E2725,'Kilter Holds'!$P$36:$AB$370,10,0),0)</f>
        <v>0</v>
      </c>
      <c r="J2725" s="2">
        <f t="shared" si="170"/>
        <v>0</v>
      </c>
      <c r="K2725" s="2">
        <f t="shared" si="171"/>
        <v>0</v>
      </c>
    </row>
    <row r="2726" spans="5:11">
      <c r="E2726" t="s">
        <v>494</v>
      </c>
      <c r="F2726" t="s">
        <v>1763</v>
      </c>
      <c r="G2726" s="11" t="str">
        <f t="shared" si="172"/>
        <v>11-25</v>
      </c>
      <c r="H2726" s="1">
        <f>_xlfn.IFNA(VLOOKUP(Aragon!E2726,'Kilter Holds'!$P$36:$AB$370,11,0),0)</f>
        <v>0</v>
      </c>
      <c r="J2726" s="2">
        <f t="shared" si="170"/>
        <v>0</v>
      </c>
      <c r="K2726" s="2">
        <f t="shared" si="171"/>
        <v>0</v>
      </c>
    </row>
    <row r="2727" spans="5:11">
      <c r="E2727" t="s">
        <v>494</v>
      </c>
      <c r="F2727" t="s">
        <v>1763</v>
      </c>
      <c r="G2727" s="13" t="str">
        <f t="shared" si="172"/>
        <v>18-01</v>
      </c>
      <c r="H2727" s="1">
        <f>_xlfn.IFNA(VLOOKUP(Aragon!E2727,'Kilter Holds'!$P$36:$AB$370,12,0),0)</f>
        <v>0</v>
      </c>
      <c r="J2727" s="2">
        <f t="shared" si="170"/>
        <v>0</v>
      </c>
      <c r="K2727" s="2">
        <f t="shared" si="171"/>
        <v>0</v>
      </c>
    </row>
    <row r="2728" spans="5:11">
      <c r="E2728" t="s">
        <v>494</v>
      </c>
      <c r="F2728" t="s">
        <v>1763</v>
      </c>
      <c r="G2728" s="12" t="str">
        <f t="shared" si="172"/>
        <v>12-01</v>
      </c>
      <c r="H2728" s="1">
        <f>_xlfn.IFNA(VLOOKUP(Aragon!E2728,'Kilter Holds'!$P$36:$AB$370,13,0),0)</f>
        <v>0</v>
      </c>
      <c r="J2728" s="2">
        <f t="shared" si="170"/>
        <v>0</v>
      </c>
      <c r="K2728" s="2">
        <f t="shared" si="171"/>
        <v>0</v>
      </c>
    </row>
    <row r="2729" spans="5:11">
      <c r="E2729" t="s">
        <v>495</v>
      </c>
      <c r="F2729" t="s">
        <v>1764</v>
      </c>
      <c r="G2729" s="5" t="str">
        <f t="shared" si="172"/>
        <v>11-12</v>
      </c>
      <c r="H2729" s="1">
        <f>_xlfn.IFNA(VLOOKUP(Aragon!E2729,'Kilter Holds'!$P$36:$AB$370,5,0),0)</f>
        <v>0</v>
      </c>
      <c r="J2729" s="2">
        <f t="shared" si="170"/>
        <v>0</v>
      </c>
      <c r="K2729" s="2">
        <f t="shared" si="171"/>
        <v>0</v>
      </c>
    </row>
    <row r="2730" spans="5:11">
      <c r="E2730" t="s">
        <v>495</v>
      </c>
      <c r="F2730" t="s">
        <v>1764</v>
      </c>
      <c r="G2730" s="6" t="str">
        <f t="shared" si="172"/>
        <v>14-01</v>
      </c>
      <c r="H2730" s="1">
        <f>_xlfn.IFNA(VLOOKUP(Aragon!E2730,'Kilter Holds'!$P$36:$AB$370,6,0),0)</f>
        <v>0</v>
      </c>
      <c r="J2730" s="2">
        <f t="shared" si="170"/>
        <v>0</v>
      </c>
      <c r="K2730" s="2">
        <f t="shared" si="171"/>
        <v>0</v>
      </c>
    </row>
    <row r="2731" spans="5:11">
      <c r="E2731" t="s">
        <v>495</v>
      </c>
      <c r="F2731" t="s">
        <v>1764</v>
      </c>
      <c r="G2731" s="7" t="str">
        <f t="shared" si="172"/>
        <v>15-12</v>
      </c>
      <c r="H2731" s="1">
        <f>_xlfn.IFNA(VLOOKUP(Aragon!E2731,'Kilter Holds'!$P$36:$AB$370,7,0),0)</f>
        <v>0</v>
      </c>
      <c r="J2731" s="2">
        <f t="shared" si="170"/>
        <v>0</v>
      </c>
      <c r="K2731" s="2">
        <f t="shared" si="171"/>
        <v>0</v>
      </c>
    </row>
    <row r="2732" spans="5:11">
      <c r="E2732" t="s">
        <v>495</v>
      </c>
      <c r="F2732" t="s">
        <v>1764</v>
      </c>
      <c r="G2732" s="8" t="str">
        <f t="shared" si="172"/>
        <v>16-16</v>
      </c>
      <c r="H2732" s="1">
        <f>_xlfn.IFNA(VLOOKUP(Aragon!E2732,'Kilter Holds'!$P$36:$AB$370,8,0),0)</f>
        <v>0</v>
      </c>
      <c r="J2732" s="2">
        <f t="shared" si="170"/>
        <v>0</v>
      </c>
      <c r="K2732" s="2">
        <f t="shared" si="171"/>
        <v>0</v>
      </c>
    </row>
    <row r="2733" spans="5:11">
      <c r="E2733" t="s">
        <v>495</v>
      </c>
      <c r="F2733" t="s">
        <v>1764</v>
      </c>
      <c r="G2733" s="9" t="str">
        <f t="shared" si="172"/>
        <v>13-01</v>
      </c>
      <c r="H2733" s="1">
        <f>_xlfn.IFNA(VLOOKUP(Aragon!E2733,'Kilter Holds'!$P$36:$AB$370,9,0),0)</f>
        <v>0</v>
      </c>
      <c r="J2733" s="2">
        <f t="shared" si="170"/>
        <v>0</v>
      </c>
      <c r="K2733" s="2">
        <f t="shared" si="171"/>
        <v>0</v>
      </c>
    </row>
    <row r="2734" spans="5:11">
      <c r="E2734" t="s">
        <v>495</v>
      </c>
      <c r="F2734" t="s">
        <v>1764</v>
      </c>
      <c r="G2734" s="10" t="str">
        <f t="shared" si="172"/>
        <v>07-13</v>
      </c>
      <c r="H2734" s="1">
        <f>_xlfn.IFNA(VLOOKUP(Aragon!E2734,'Kilter Holds'!$P$36:$AB$370,10,0),0)</f>
        <v>0</v>
      </c>
      <c r="J2734" s="2">
        <f t="shared" si="170"/>
        <v>0</v>
      </c>
      <c r="K2734" s="2">
        <f t="shared" si="171"/>
        <v>0</v>
      </c>
    </row>
    <row r="2735" spans="5:11">
      <c r="E2735" t="s">
        <v>495</v>
      </c>
      <c r="F2735" t="s">
        <v>1764</v>
      </c>
      <c r="G2735" s="11" t="str">
        <f t="shared" si="172"/>
        <v>11-25</v>
      </c>
      <c r="H2735" s="1">
        <f>_xlfn.IFNA(VLOOKUP(Aragon!E2735,'Kilter Holds'!$P$36:$AB$370,11,0),0)</f>
        <v>0</v>
      </c>
      <c r="J2735" s="2">
        <f t="shared" ref="J2735:J2798" si="173">H2735*I2735</f>
        <v>0</v>
      </c>
      <c r="K2735" s="2">
        <f t="shared" si="171"/>
        <v>0</v>
      </c>
    </row>
    <row r="2736" spans="5:11">
      <c r="E2736" t="s">
        <v>495</v>
      </c>
      <c r="F2736" t="s">
        <v>1764</v>
      </c>
      <c r="G2736" s="13" t="str">
        <f t="shared" si="172"/>
        <v>18-01</v>
      </c>
      <c r="H2736" s="1">
        <f>_xlfn.IFNA(VLOOKUP(Aragon!E2736,'Kilter Holds'!$P$36:$AB$370,12,0),0)</f>
        <v>0</v>
      </c>
      <c r="J2736" s="2">
        <f t="shared" si="173"/>
        <v>0</v>
      </c>
      <c r="K2736" s="2">
        <f t="shared" ref="K2736:K2799" si="174">IF($V$11="Y",J2736*0.05,0)</f>
        <v>0</v>
      </c>
    </row>
    <row r="2737" spans="5:11">
      <c r="E2737" t="s">
        <v>495</v>
      </c>
      <c r="F2737" t="s">
        <v>1764</v>
      </c>
      <c r="G2737" s="12" t="str">
        <f t="shared" ref="G2737:G2800" si="175">G2728</f>
        <v>12-01</v>
      </c>
      <c r="H2737" s="1">
        <f>_xlfn.IFNA(VLOOKUP(Aragon!E2737,'Kilter Holds'!$P$36:$AB$370,13,0),0)</f>
        <v>0</v>
      </c>
      <c r="J2737" s="2">
        <f t="shared" si="173"/>
        <v>0</v>
      </c>
      <c r="K2737" s="2">
        <f t="shared" si="174"/>
        <v>0</v>
      </c>
    </row>
    <row r="2738" spans="5:11">
      <c r="E2738" t="s">
        <v>496</v>
      </c>
      <c r="F2738" t="s">
        <v>1765</v>
      </c>
      <c r="G2738" s="5" t="str">
        <f t="shared" si="175"/>
        <v>11-12</v>
      </c>
      <c r="H2738" s="1">
        <f>_xlfn.IFNA(VLOOKUP(Aragon!E2738,'Kilter Holds'!$P$36:$AB$370,5,0),0)</f>
        <v>0</v>
      </c>
      <c r="J2738" s="2">
        <f t="shared" si="173"/>
        <v>0</v>
      </c>
      <c r="K2738" s="2">
        <f t="shared" si="174"/>
        <v>0</v>
      </c>
    </row>
    <row r="2739" spans="5:11">
      <c r="E2739" t="s">
        <v>496</v>
      </c>
      <c r="F2739" t="s">
        <v>1765</v>
      </c>
      <c r="G2739" s="6" t="str">
        <f t="shared" si="175"/>
        <v>14-01</v>
      </c>
      <c r="H2739" s="1">
        <f>_xlfn.IFNA(VLOOKUP(Aragon!E2739,'Kilter Holds'!$P$36:$AB$370,6,0),0)</f>
        <v>0</v>
      </c>
      <c r="J2739" s="2">
        <f t="shared" si="173"/>
        <v>0</v>
      </c>
      <c r="K2739" s="2">
        <f t="shared" si="174"/>
        <v>0</v>
      </c>
    </row>
    <row r="2740" spans="5:11">
      <c r="E2740" t="s">
        <v>496</v>
      </c>
      <c r="F2740" t="s">
        <v>1765</v>
      </c>
      <c r="G2740" s="7" t="str">
        <f t="shared" si="175"/>
        <v>15-12</v>
      </c>
      <c r="H2740" s="1">
        <f>_xlfn.IFNA(VLOOKUP(Aragon!E2740,'Kilter Holds'!$P$36:$AB$370,7,0),0)</f>
        <v>0</v>
      </c>
      <c r="J2740" s="2">
        <f t="shared" si="173"/>
        <v>0</v>
      </c>
      <c r="K2740" s="2">
        <f t="shared" si="174"/>
        <v>0</v>
      </c>
    </row>
    <row r="2741" spans="5:11">
      <c r="E2741" t="s">
        <v>496</v>
      </c>
      <c r="F2741" t="s">
        <v>1765</v>
      </c>
      <c r="G2741" s="8" t="str">
        <f t="shared" si="175"/>
        <v>16-16</v>
      </c>
      <c r="H2741" s="1">
        <f>_xlfn.IFNA(VLOOKUP(Aragon!E2741,'Kilter Holds'!$P$36:$AB$370,8,0),0)</f>
        <v>0</v>
      </c>
      <c r="J2741" s="2">
        <f t="shared" si="173"/>
        <v>0</v>
      </c>
      <c r="K2741" s="2">
        <f t="shared" si="174"/>
        <v>0</v>
      </c>
    </row>
    <row r="2742" spans="5:11">
      <c r="E2742" t="s">
        <v>496</v>
      </c>
      <c r="F2742" t="s">
        <v>1765</v>
      </c>
      <c r="G2742" s="9" t="str">
        <f t="shared" si="175"/>
        <v>13-01</v>
      </c>
      <c r="H2742" s="1">
        <f>_xlfn.IFNA(VLOOKUP(Aragon!E2742,'Kilter Holds'!$P$36:$AB$370,9,0),0)</f>
        <v>0</v>
      </c>
      <c r="J2742" s="2">
        <f t="shared" si="173"/>
        <v>0</v>
      </c>
      <c r="K2742" s="2">
        <f t="shared" si="174"/>
        <v>0</v>
      </c>
    </row>
    <row r="2743" spans="5:11">
      <c r="E2743" t="s">
        <v>496</v>
      </c>
      <c r="F2743" t="s">
        <v>1765</v>
      </c>
      <c r="G2743" s="10" t="str">
        <f t="shared" si="175"/>
        <v>07-13</v>
      </c>
      <c r="H2743" s="1">
        <f>_xlfn.IFNA(VLOOKUP(Aragon!E2743,'Kilter Holds'!$P$36:$AB$370,10,0),0)</f>
        <v>0</v>
      </c>
      <c r="J2743" s="2">
        <f t="shared" si="173"/>
        <v>0</v>
      </c>
      <c r="K2743" s="2">
        <f t="shared" si="174"/>
        <v>0</v>
      </c>
    </row>
    <row r="2744" spans="5:11">
      <c r="E2744" t="s">
        <v>496</v>
      </c>
      <c r="F2744" t="s">
        <v>1765</v>
      </c>
      <c r="G2744" s="11" t="str">
        <f t="shared" si="175"/>
        <v>11-25</v>
      </c>
      <c r="H2744" s="1">
        <f>_xlfn.IFNA(VLOOKUP(Aragon!E2744,'Kilter Holds'!$P$36:$AB$370,11,0),0)</f>
        <v>0</v>
      </c>
      <c r="J2744" s="2">
        <f t="shared" si="173"/>
        <v>0</v>
      </c>
      <c r="K2744" s="2">
        <f t="shared" si="174"/>
        <v>0</v>
      </c>
    </row>
    <row r="2745" spans="5:11">
      <c r="E2745" t="s">
        <v>496</v>
      </c>
      <c r="F2745" t="s">
        <v>1765</v>
      </c>
      <c r="G2745" s="13" t="str">
        <f t="shared" si="175"/>
        <v>18-01</v>
      </c>
      <c r="H2745" s="1">
        <f>_xlfn.IFNA(VLOOKUP(Aragon!E2745,'Kilter Holds'!$P$36:$AB$370,12,0),0)</f>
        <v>0</v>
      </c>
      <c r="J2745" s="2">
        <f t="shared" si="173"/>
        <v>0</v>
      </c>
      <c r="K2745" s="2">
        <f t="shared" si="174"/>
        <v>0</v>
      </c>
    </row>
    <row r="2746" spans="5:11">
      <c r="E2746" t="s">
        <v>496</v>
      </c>
      <c r="F2746" t="s">
        <v>1765</v>
      </c>
      <c r="G2746" s="12" t="str">
        <f t="shared" si="175"/>
        <v>12-01</v>
      </c>
      <c r="H2746" s="1">
        <f>_xlfn.IFNA(VLOOKUP(Aragon!E2746,'Kilter Holds'!$P$36:$AB$370,13,0),0)</f>
        <v>0</v>
      </c>
      <c r="J2746" s="2">
        <f t="shared" si="173"/>
        <v>0</v>
      </c>
      <c r="K2746" s="2">
        <f t="shared" si="174"/>
        <v>0</v>
      </c>
    </row>
    <row r="2747" spans="5:11">
      <c r="E2747" t="s">
        <v>497</v>
      </c>
      <c r="F2747" t="s">
        <v>1766</v>
      </c>
      <c r="G2747" s="5" t="str">
        <f t="shared" si="175"/>
        <v>11-12</v>
      </c>
      <c r="H2747" s="1">
        <f>_xlfn.IFNA(VLOOKUP(Aragon!E2747,'Kilter Holds'!$P$36:$AB$370,5,0),0)</f>
        <v>0</v>
      </c>
      <c r="J2747" s="2">
        <f t="shared" si="173"/>
        <v>0</v>
      </c>
      <c r="K2747" s="2">
        <f t="shared" si="174"/>
        <v>0</v>
      </c>
    </row>
    <row r="2748" spans="5:11">
      <c r="E2748" t="s">
        <v>497</v>
      </c>
      <c r="F2748" t="s">
        <v>1766</v>
      </c>
      <c r="G2748" s="6" t="str">
        <f t="shared" si="175"/>
        <v>14-01</v>
      </c>
      <c r="H2748" s="1">
        <f>_xlfn.IFNA(VLOOKUP(Aragon!E2748,'Kilter Holds'!$P$36:$AB$370,6,0),0)</f>
        <v>0</v>
      </c>
      <c r="J2748" s="2">
        <f t="shared" si="173"/>
        <v>0</v>
      </c>
      <c r="K2748" s="2">
        <f t="shared" si="174"/>
        <v>0</v>
      </c>
    </row>
    <row r="2749" spans="5:11">
      <c r="E2749" t="s">
        <v>497</v>
      </c>
      <c r="F2749" t="s">
        <v>1766</v>
      </c>
      <c r="G2749" s="7" t="str">
        <f t="shared" si="175"/>
        <v>15-12</v>
      </c>
      <c r="H2749" s="1">
        <f>_xlfn.IFNA(VLOOKUP(Aragon!E2749,'Kilter Holds'!$P$36:$AB$370,7,0),0)</f>
        <v>0</v>
      </c>
      <c r="J2749" s="2">
        <f t="shared" si="173"/>
        <v>0</v>
      </c>
      <c r="K2749" s="2">
        <f t="shared" si="174"/>
        <v>0</v>
      </c>
    </row>
    <row r="2750" spans="5:11">
      <c r="E2750" t="s">
        <v>497</v>
      </c>
      <c r="F2750" t="s">
        <v>1766</v>
      </c>
      <c r="G2750" s="8" t="str">
        <f t="shared" si="175"/>
        <v>16-16</v>
      </c>
      <c r="H2750" s="1">
        <f>_xlfn.IFNA(VLOOKUP(Aragon!E2750,'Kilter Holds'!$P$36:$AB$370,8,0),0)</f>
        <v>0</v>
      </c>
      <c r="J2750" s="2">
        <f t="shared" si="173"/>
        <v>0</v>
      </c>
      <c r="K2750" s="2">
        <f t="shared" si="174"/>
        <v>0</v>
      </c>
    </row>
    <row r="2751" spans="5:11">
      <c r="E2751" t="s">
        <v>497</v>
      </c>
      <c r="F2751" t="s">
        <v>1766</v>
      </c>
      <c r="G2751" s="9" t="str">
        <f t="shared" si="175"/>
        <v>13-01</v>
      </c>
      <c r="H2751" s="1">
        <f>_xlfn.IFNA(VLOOKUP(Aragon!E2751,'Kilter Holds'!$P$36:$AB$370,9,0),0)</f>
        <v>0</v>
      </c>
      <c r="J2751" s="2">
        <f t="shared" si="173"/>
        <v>0</v>
      </c>
      <c r="K2751" s="2">
        <f t="shared" si="174"/>
        <v>0</v>
      </c>
    </row>
    <row r="2752" spans="5:11">
      <c r="E2752" t="s">
        <v>497</v>
      </c>
      <c r="F2752" t="s">
        <v>1766</v>
      </c>
      <c r="G2752" s="10" t="str">
        <f t="shared" si="175"/>
        <v>07-13</v>
      </c>
      <c r="H2752" s="1">
        <f>_xlfn.IFNA(VLOOKUP(Aragon!E2752,'Kilter Holds'!$P$36:$AB$370,10,0),0)</f>
        <v>0</v>
      </c>
      <c r="J2752" s="2">
        <f t="shared" si="173"/>
        <v>0</v>
      </c>
      <c r="K2752" s="2">
        <f t="shared" si="174"/>
        <v>0</v>
      </c>
    </row>
    <row r="2753" spans="5:11">
      <c r="E2753" t="s">
        <v>497</v>
      </c>
      <c r="F2753" t="s">
        <v>1766</v>
      </c>
      <c r="G2753" s="11" t="str">
        <f t="shared" si="175"/>
        <v>11-25</v>
      </c>
      <c r="H2753" s="1">
        <f>_xlfn.IFNA(VLOOKUP(Aragon!E2753,'Kilter Holds'!$P$36:$AB$370,11,0),0)</f>
        <v>0</v>
      </c>
      <c r="J2753" s="2">
        <f t="shared" si="173"/>
        <v>0</v>
      </c>
      <c r="K2753" s="2">
        <f t="shared" si="174"/>
        <v>0</v>
      </c>
    </row>
    <row r="2754" spans="5:11">
      <c r="E2754" t="s">
        <v>497</v>
      </c>
      <c r="F2754" t="s">
        <v>1766</v>
      </c>
      <c r="G2754" s="13" t="str">
        <f t="shared" si="175"/>
        <v>18-01</v>
      </c>
      <c r="H2754" s="1">
        <f>_xlfn.IFNA(VLOOKUP(Aragon!E2754,'Kilter Holds'!$P$36:$AB$370,12,0),0)</f>
        <v>0</v>
      </c>
      <c r="J2754" s="2">
        <f t="shared" si="173"/>
        <v>0</v>
      </c>
      <c r="K2754" s="2">
        <f t="shared" si="174"/>
        <v>0</v>
      </c>
    </row>
    <row r="2755" spans="5:11">
      <c r="E2755" t="s">
        <v>497</v>
      </c>
      <c r="F2755" t="s">
        <v>1766</v>
      </c>
      <c r="G2755" s="12" t="str">
        <f t="shared" si="175"/>
        <v>12-01</v>
      </c>
      <c r="H2755" s="1">
        <f>_xlfn.IFNA(VLOOKUP(Aragon!E2755,'Kilter Holds'!$P$36:$AB$370,13,0),0)</f>
        <v>0</v>
      </c>
      <c r="J2755" s="2">
        <f t="shared" si="173"/>
        <v>0</v>
      </c>
      <c r="K2755" s="2">
        <f t="shared" si="174"/>
        <v>0</v>
      </c>
    </row>
    <row r="2756" spans="5:11">
      <c r="E2756" t="s">
        <v>444</v>
      </c>
      <c r="F2756" t="s">
        <v>1767</v>
      </c>
      <c r="G2756" s="5" t="str">
        <f t="shared" si="175"/>
        <v>11-12</v>
      </c>
      <c r="H2756" s="1">
        <f>_xlfn.IFNA(VLOOKUP(Aragon!E2756,'Kilter Holds'!$P$36:$AB$370,5,0),0)</f>
        <v>0</v>
      </c>
      <c r="J2756" s="2">
        <f t="shared" si="173"/>
        <v>0</v>
      </c>
      <c r="K2756" s="2">
        <f t="shared" si="174"/>
        <v>0</v>
      </c>
    </row>
    <row r="2757" spans="5:11">
      <c r="E2757" t="s">
        <v>444</v>
      </c>
      <c r="F2757" t="s">
        <v>1767</v>
      </c>
      <c r="G2757" s="6" t="str">
        <f t="shared" si="175"/>
        <v>14-01</v>
      </c>
      <c r="H2757" s="1">
        <f>_xlfn.IFNA(VLOOKUP(Aragon!E2757,'Kilter Holds'!$P$36:$AB$370,6,0),0)</f>
        <v>0</v>
      </c>
      <c r="J2757" s="2">
        <f t="shared" si="173"/>
        <v>0</v>
      </c>
      <c r="K2757" s="2">
        <f t="shared" si="174"/>
        <v>0</v>
      </c>
    </row>
    <row r="2758" spans="5:11">
      <c r="E2758" t="s">
        <v>444</v>
      </c>
      <c r="F2758" t="s">
        <v>1767</v>
      </c>
      <c r="G2758" s="7" t="str">
        <f t="shared" si="175"/>
        <v>15-12</v>
      </c>
      <c r="H2758" s="1">
        <f>_xlfn.IFNA(VLOOKUP(Aragon!E2758,'Kilter Holds'!$P$36:$AB$370,7,0),0)</f>
        <v>0</v>
      </c>
      <c r="J2758" s="2">
        <f t="shared" si="173"/>
        <v>0</v>
      </c>
      <c r="K2758" s="2">
        <f t="shared" si="174"/>
        <v>0</v>
      </c>
    </row>
    <row r="2759" spans="5:11">
      <c r="E2759" t="s">
        <v>444</v>
      </c>
      <c r="F2759" t="s">
        <v>1767</v>
      </c>
      <c r="G2759" s="8" t="str">
        <f t="shared" si="175"/>
        <v>16-16</v>
      </c>
      <c r="H2759" s="1">
        <f>_xlfn.IFNA(VLOOKUP(Aragon!E2759,'Kilter Holds'!$P$36:$AB$370,8,0),0)</f>
        <v>0</v>
      </c>
      <c r="J2759" s="2">
        <f t="shared" si="173"/>
        <v>0</v>
      </c>
      <c r="K2759" s="2">
        <f t="shared" si="174"/>
        <v>0</v>
      </c>
    </row>
    <row r="2760" spans="5:11">
      <c r="E2760" t="s">
        <v>444</v>
      </c>
      <c r="F2760" t="s">
        <v>1767</v>
      </c>
      <c r="G2760" s="9" t="str">
        <f t="shared" si="175"/>
        <v>13-01</v>
      </c>
      <c r="H2760" s="1">
        <f>_xlfn.IFNA(VLOOKUP(Aragon!E2760,'Kilter Holds'!$P$36:$AB$370,9,0),0)</f>
        <v>0</v>
      </c>
      <c r="J2760" s="2">
        <f t="shared" si="173"/>
        <v>0</v>
      </c>
      <c r="K2760" s="2">
        <f t="shared" si="174"/>
        <v>0</v>
      </c>
    </row>
    <row r="2761" spans="5:11">
      <c r="E2761" t="s">
        <v>444</v>
      </c>
      <c r="F2761" t="s">
        <v>1767</v>
      </c>
      <c r="G2761" s="10" t="str">
        <f t="shared" si="175"/>
        <v>07-13</v>
      </c>
      <c r="H2761" s="1">
        <f>_xlfn.IFNA(VLOOKUP(Aragon!E2761,'Kilter Holds'!$P$36:$AB$370,10,0),0)</f>
        <v>0</v>
      </c>
      <c r="J2761" s="2">
        <f t="shared" si="173"/>
        <v>0</v>
      </c>
      <c r="K2761" s="2">
        <f t="shared" si="174"/>
        <v>0</v>
      </c>
    </row>
    <row r="2762" spans="5:11">
      <c r="E2762" t="s">
        <v>444</v>
      </c>
      <c r="F2762" t="s">
        <v>1767</v>
      </c>
      <c r="G2762" s="11" t="str">
        <f t="shared" si="175"/>
        <v>11-25</v>
      </c>
      <c r="H2762" s="1">
        <f>_xlfn.IFNA(VLOOKUP(Aragon!E2762,'Kilter Holds'!$P$36:$AB$370,11,0),0)</f>
        <v>0</v>
      </c>
      <c r="J2762" s="2">
        <f t="shared" si="173"/>
        <v>0</v>
      </c>
      <c r="K2762" s="2">
        <f t="shared" si="174"/>
        <v>0</v>
      </c>
    </row>
    <row r="2763" spans="5:11">
      <c r="E2763" t="s">
        <v>444</v>
      </c>
      <c r="F2763" t="s">
        <v>1767</v>
      </c>
      <c r="G2763" s="13" t="str">
        <f t="shared" si="175"/>
        <v>18-01</v>
      </c>
      <c r="H2763" s="1">
        <f>_xlfn.IFNA(VLOOKUP(Aragon!E2763,'Kilter Holds'!$P$36:$AB$370,12,0),0)</f>
        <v>0</v>
      </c>
      <c r="J2763" s="2">
        <f t="shared" si="173"/>
        <v>0</v>
      </c>
      <c r="K2763" s="2">
        <f t="shared" si="174"/>
        <v>0</v>
      </c>
    </row>
    <row r="2764" spans="5:11">
      <c r="E2764" t="s">
        <v>444</v>
      </c>
      <c r="F2764" t="s">
        <v>1767</v>
      </c>
      <c r="G2764" s="12" t="str">
        <f t="shared" si="175"/>
        <v>12-01</v>
      </c>
      <c r="H2764" s="1">
        <f>_xlfn.IFNA(VLOOKUP(Aragon!E2764,'Kilter Holds'!$P$36:$AB$370,13,0),0)</f>
        <v>0</v>
      </c>
      <c r="J2764" s="2">
        <f t="shared" si="173"/>
        <v>0</v>
      </c>
      <c r="K2764" s="2">
        <f t="shared" si="174"/>
        <v>0</v>
      </c>
    </row>
    <row r="2765" spans="5:11">
      <c r="E2765" t="s">
        <v>498</v>
      </c>
      <c r="F2765" t="s">
        <v>1768</v>
      </c>
      <c r="G2765" s="5" t="str">
        <f t="shared" si="175"/>
        <v>11-12</v>
      </c>
      <c r="H2765" s="1">
        <f>_xlfn.IFNA(VLOOKUP(Aragon!E2765,'Kilter Holds'!$P$36:$AB$370,5,0),0)</f>
        <v>0</v>
      </c>
      <c r="J2765" s="2">
        <f t="shared" si="173"/>
        <v>0</v>
      </c>
      <c r="K2765" s="2">
        <f t="shared" si="174"/>
        <v>0</v>
      </c>
    </row>
    <row r="2766" spans="5:11">
      <c r="E2766" t="s">
        <v>498</v>
      </c>
      <c r="F2766" t="s">
        <v>1768</v>
      </c>
      <c r="G2766" s="6" t="str">
        <f t="shared" si="175"/>
        <v>14-01</v>
      </c>
      <c r="H2766" s="1">
        <f>_xlfn.IFNA(VLOOKUP(Aragon!E2766,'Kilter Holds'!$P$36:$AB$370,6,0),0)</f>
        <v>0</v>
      </c>
      <c r="J2766" s="2">
        <f t="shared" si="173"/>
        <v>0</v>
      </c>
      <c r="K2766" s="2">
        <f t="shared" si="174"/>
        <v>0</v>
      </c>
    </row>
    <row r="2767" spans="5:11">
      <c r="E2767" t="s">
        <v>498</v>
      </c>
      <c r="F2767" t="s">
        <v>1768</v>
      </c>
      <c r="G2767" s="7" t="str">
        <f t="shared" si="175"/>
        <v>15-12</v>
      </c>
      <c r="H2767" s="1">
        <f>_xlfn.IFNA(VLOOKUP(Aragon!E2767,'Kilter Holds'!$P$36:$AB$370,7,0),0)</f>
        <v>0</v>
      </c>
      <c r="J2767" s="2">
        <f t="shared" si="173"/>
        <v>0</v>
      </c>
      <c r="K2767" s="2">
        <f t="shared" si="174"/>
        <v>0</v>
      </c>
    </row>
    <row r="2768" spans="5:11">
      <c r="E2768" t="s">
        <v>498</v>
      </c>
      <c r="F2768" t="s">
        <v>1768</v>
      </c>
      <c r="G2768" s="8" t="str">
        <f t="shared" si="175"/>
        <v>16-16</v>
      </c>
      <c r="H2768" s="1">
        <f>_xlfn.IFNA(VLOOKUP(Aragon!E2768,'Kilter Holds'!$P$36:$AB$370,8,0),0)</f>
        <v>0</v>
      </c>
      <c r="J2768" s="2">
        <f t="shared" si="173"/>
        <v>0</v>
      </c>
      <c r="K2768" s="2">
        <f t="shared" si="174"/>
        <v>0</v>
      </c>
    </row>
    <row r="2769" spans="5:11">
      <c r="E2769" t="s">
        <v>498</v>
      </c>
      <c r="F2769" t="s">
        <v>1768</v>
      </c>
      <c r="G2769" s="9" t="str">
        <f t="shared" si="175"/>
        <v>13-01</v>
      </c>
      <c r="H2769" s="1">
        <f>_xlfn.IFNA(VLOOKUP(Aragon!E2769,'Kilter Holds'!$P$36:$AB$370,9,0),0)</f>
        <v>0</v>
      </c>
      <c r="J2769" s="2">
        <f t="shared" si="173"/>
        <v>0</v>
      </c>
      <c r="K2769" s="2">
        <f t="shared" si="174"/>
        <v>0</v>
      </c>
    </row>
    <row r="2770" spans="5:11">
      <c r="E2770" t="s">
        <v>498</v>
      </c>
      <c r="F2770" t="s">
        <v>1768</v>
      </c>
      <c r="G2770" s="10" t="str">
        <f t="shared" si="175"/>
        <v>07-13</v>
      </c>
      <c r="H2770" s="1">
        <f>_xlfn.IFNA(VLOOKUP(Aragon!E2770,'Kilter Holds'!$P$36:$AB$370,10,0),0)</f>
        <v>0</v>
      </c>
      <c r="J2770" s="2">
        <f t="shared" si="173"/>
        <v>0</v>
      </c>
      <c r="K2770" s="2">
        <f t="shared" si="174"/>
        <v>0</v>
      </c>
    </row>
    <row r="2771" spans="5:11">
      <c r="E2771" t="s">
        <v>498</v>
      </c>
      <c r="F2771" t="s">
        <v>1768</v>
      </c>
      <c r="G2771" s="11" t="str">
        <f t="shared" si="175"/>
        <v>11-25</v>
      </c>
      <c r="H2771" s="1">
        <f>_xlfn.IFNA(VLOOKUP(Aragon!E2771,'Kilter Holds'!$P$36:$AB$370,11,0),0)</f>
        <v>0</v>
      </c>
      <c r="J2771" s="2">
        <f t="shared" si="173"/>
        <v>0</v>
      </c>
      <c r="K2771" s="2">
        <f t="shared" si="174"/>
        <v>0</v>
      </c>
    </row>
    <row r="2772" spans="5:11">
      <c r="E2772" t="s">
        <v>498</v>
      </c>
      <c r="F2772" t="s">
        <v>1768</v>
      </c>
      <c r="G2772" s="13" t="str">
        <f t="shared" si="175"/>
        <v>18-01</v>
      </c>
      <c r="H2772" s="1">
        <f>_xlfn.IFNA(VLOOKUP(Aragon!E2772,'Kilter Holds'!$P$36:$AB$370,12,0),0)</f>
        <v>0</v>
      </c>
      <c r="J2772" s="2">
        <f t="shared" si="173"/>
        <v>0</v>
      </c>
      <c r="K2772" s="2">
        <f t="shared" si="174"/>
        <v>0</v>
      </c>
    </row>
    <row r="2773" spans="5:11">
      <c r="E2773" t="s">
        <v>498</v>
      </c>
      <c r="F2773" t="s">
        <v>1768</v>
      </c>
      <c r="G2773" s="12" t="str">
        <f t="shared" si="175"/>
        <v>12-01</v>
      </c>
      <c r="H2773" s="1">
        <f>_xlfn.IFNA(VLOOKUP(Aragon!E2773,'Kilter Holds'!$P$36:$AB$370,13,0),0)</f>
        <v>0</v>
      </c>
      <c r="J2773" s="2">
        <f t="shared" si="173"/>
        <v>0</v>
      </c>
      <c r="K2773" s="2">
        <f t="shared" si="174"/>
        <v>0</v>
      </c>
    </row>
    <row r="2774" spans="5:11">
      <c r="E2774" t="s">
        <v>499</v>
      </c>
      <c r="F2774" t="s">
        <v>1769</v>
      </c>
      <c r="G2774" s="5" t="str">
        <f t="shared" si="175"/>
        <v>11-12</v>
      </c>
      <c r="H2774" s="1">
        <f>_xlfn.IFNA(VLOOKUP(Aragon!E2774,'Kilter Holds'!$P$36:$AB$370,5,0),0)</f>
        <v>0</v>
      </c>
      <c r="J2774" s="2">
        <f t="shared" si="173"/>
        <v>0</v>
      </c>
      <c r="K2774" s="2">
        <f t="shared" si="174"/>
        <v>0</v>
      </c>
    </row>
    <row r="2775" spans="5:11">
      <c r="E2775" t="s">
        <v>499</v>
      </c>
      <c r="F2775" t="s">
        <v>1769</v>
      </c>
      <c r="G2775" s="6" t="str">
        <f t="shared" si="175"/>
        <v>14-01</v>
      </c>
      <c r="H2775" s="1">
        <f>_xlfn.IFNA(VLOOKUP(Aragon!E2775,'Kilter Holds'!$P$36:$AB$370,6,0),0)</f>
        <v>0</v>
      </c>
      <c r="J2775" s="2">
        <f t="shared" si="173"/>
        <v>0</v>
      </c>
      <c r="K2775" s="2">
        <f t="shared" si="174"/>
        <v>0</v>
      </c>
    </row>
    <row r="2776" spans="5:11">
      <c r="E2776" t="s">
        <v>499</v>
      </c>
      <c r="F2776" t="s">
        <v>1769</v>
      </c>
      <c r="G2776" s="7" t="str">
        <f t="shared" si="175"/>
        <v>15-12</v>
      </c>
      <c r="H2776" s="1">
        <f>_xlfn.IFNA(VLOOKUP(Aragon!E2776,'Kilter Holds'!$P$36:$AB$370,7,0),0)</f>
        <v>0</v>
      </c>
      <c r="J2776" s="2">
        <f t="shared" si="173"/>
        <v>0</v>
      </c>
      <c r="K2776" s="2">
        <f t="shared" si="174"/>
        <v>0</v>
      </c>
    </row>
    <row r="2777" spans="5:11">
      <c r="E2777" t="s">
        <v>499</v>
      </c>
      <c r="F2777" t="s">
        <v>1769</v>
      </c>
      <c r="G2777" s="8" t="str">
        <f t="shared" si="175"/>
        <v>16-16</v>
      </c>
      <c r="H2777" s="1">
        <f>_xlfn.IFNA(VLOOKUP(Aragon!E2777,'Kilter Holds'!$P$36:$AB$370,8,0),0)</f>
        <v>0</v>
      </c>
      <c r="J2777" s="2">
        <f t="shared" si="173"/>
        <v>0</v>
      </c>
      <c r="K2777" s="2">
        <f t="shared" si="174"/>
        <v>0</v>
      </c>
    </row>
    <row r="2778" spans="5:11">
      <c r="E2778" t="s">
        <v>499</v>
      </c>
      <c r="F2778" t="s">
        <v>1769</v>
      </c>
      <c r="G2778" s="9" t="str">
        <f t="shared" si="175"/>
        <v>13-01</v>
      </c>
      <c r="H2778" s="1">
        <f>_xlfn.IFNA(VLOOKUP(Aragon!E2778,'Kilter Holds'!$P$36:$AB$370,9,0),0)</f>
        <v>0</v>
      </c>
      <c r="J2778" s="2">
        <f t="shared" si="173"/>
        <v>0</v>
      </c>
      <c r="K2778" s="2">
        <f t="shared" si="174"/>
        <v>0</v>
      </c>
    </row>
    <row r="2779" spans="5:11">
      <c r="E2779" t="s">
        <v>499</v>
      </c>
      <c r="F2779" t="s">
        <v>1769</v>
      </c>
      <c r="G2779" s="10" t="str">
        <f t="shared" si="175"/>
        <v>07-13</v>
      </c>
      <c r="H2779" s="1">
        <f>_xlfn.IFNA(VLOOKUP(Aragon!E2779,'Kilter Holds'!$P$36:$AB$370,10,0),0)</f>
        <v>0</v>
      </c>
      <c r="J2779" s="2">
        <f t="shared" si="173"/>
        <v>0</v>
      </c>
      <c r="K2779" s="2">
        <f t="shared" si="174"/>
        <v>0</v>
      </c>
    </row>
    <row r="2780" spans="5:11">
      <c r="E2780" t="s">
        <v>499</v>
      </c>
      <c r="F2780" t="s">
        <v>1769</v>
      </c>
      <c r="G2780" s="11" t="str">
        <f t="shared" si="175"/>
        <v>11-25</v>
      </c>
      <c r="H2780" s="1">
        <f>_xlfn.IFNA(VLOOKUP(Aragon!E2780,'Kilter Holds'!$P$36:$AB$370,11,0),0)</f>
        <v>0</v>
      </c>
      <c r="J2780" s="2">
        <f t="shared" si="173"/>
        <v>0</v>
      </c>
      <c r="K2780" s="2">
        <f t="shared" si="174"/>
        <v>0</v>
      </c>
    </row>
    <row r="2781" spans="5:11">
      <c r="E2781" t="s">
        <v>499</v>
      </c>
      <c r="F2781" t="s">
        <v>1769</v>
      </c>
      <c r="G2781" s="13" t="str">
        <f t="shared" si="175"/>
        <v>18-01</v>
      </c>
      <c r="H2781" s="1">
        <f>_xlfn.IFNA(VLOOKUP(Aragon!E2781,'Kilter Holds'!$P$36:$AB$370,12,0),0)</f>
        <v>0</v>
      </c>
      <c r="J2781" s="2">
        <f t="shared" si="173"/>
        <v>0</v>
      </c>
      <c r="K2781" s="2">
        <f t="shared" si="174"/>
        <v>0</v>
      </c>
    </row>
    <row r="2782" spans="5:11">
      <c r="E2782" t="s">
        <v>499</v>
      </c>
      <c r="F2782" t="s">
        <v>1769</v>
      </c>
      <c r="G2782" s="12" t="str">
        <f t="shared" si="175"/>
        <v>12-01</v>
      </c>
      <c r="H2782" s="1">
        <f>_xlfn.IFNA(VLOOKUP(Aragon!E2782,'Kilter Holds'!$P$36:$AB$370,13,0),0)</f>
        <v>0</v>
      </c>
      <c r="J2782" s="2">
        <f t="shared" si="173"/>
        <v>0</v>
      </c>
      <c r="K2782" s="2">
        <f t="shared" si="174"/>
        <v>0</v>
      </c>
    </row>
    <row r="2783" spans="5:11">
      <c r="E2783" t="s">
        <v>500</v>
      </c>
      <c r="F2783" t="s">
        <v>1770</v>
      </c>
      <c r="G2783" s="5" t="str">
        <f t="shared" si="175"/>
        <v>11-12</v>
      </c>
      <c r="H2783" s="1">
        <f>_xlfn.IFNA(VLOOKUP(Aragon!E2783,'Kilter Holds'!$P$36:$AB$370,5,0),0)</f>
        <v>0</v>
      </c>
      <c r="J2783" s="2">
        <f t="shared" si="173"/>
        <v>0</v>
      </c>
      <c r="K2783" s="2">
        <f t="shared" si="174"/>
        <v>0</v>
      </c>
    </row>
    <row r="2784" spans="5:11">
      <c r="E2784" t="s">
        <v>500</v>
      </c>
      <c r="F2784" t="s">
        <v>1770</v>
      </c>
      <c r="G2784" s="6" t="str">
        <f t="shared" si="175"/>
        <v>14-01</v>
      </c>
      <c r="H2784" s="1">
        <f>_xlfn.IFNA(VLOOKUP(Aragon!E2784,'Kilter Holds'!$P$36:$AB$370,6,0),0)</f>
        <v>0</v>
      </c>
      <c r="J2784" s="2">
        <f t="shared" si="173"/>
        <v>0</v>
      </c>
      <c r="K2784" s="2">
        <f t="shared" si="174"/>
        <v>0</v>
      </c>
    </row>
    <row r="2785" spans="5:11">
      <c r="E2785" t="s">
        <v>500</v>
      </c>
      <c r="F2785" t="s">
        <v>1770</v>
      </c>
      <c r="G2785" s="7" t="str">
        <f t="shared" si="175"/>
        <v>15-12</v>
      </c>
      <c r="H2785" s="1">
        <f>_xlfn.IFNA(VLOOKUP(Aragon!E2785,'Kilter Holds'!$P$36:$AB$370,7,0),0)</f>
        <v>0</v>
      </c>
      <c r="J2785" s="2">
        <f t="shared" si="173"/>
        <v>0</v>
      </c>
      <c r="K2785" s="2">
        <f t="shared" si="174"/>
        <v>0</v>
      </c>
    </row>
    <row r="2786" spans="5:11">
      <c r="E2786" t="s">
        <v>500</v>
      </c>
      <c r="F2786" t="s">
        <v>1770</v>
      </c>
      <c r="G2786" s="8" t="str">
        <f t="shared" si="175"/>
        <v>16-16</v>
      </c>
      <c r="H2786" s="1">
        <f>_xlfn.IFNA(VLOOKUP(Aragon!E2786,'Kilter Holds'!$P$36:$AB$370,8,0),0)</f>
        <v>0</v>
      </c>
      <c r="J2786" s="2">
        <f t="shared" si="173"/>
        <v>0</v>
      </c>
      <c r="K2786" s="2">
        <f t="shared" si="174"/>
        <v>0</v>
      </c>
    </row>
    <row r="2787" spans="5:11">
      <c r="E2787" t="s">
        <v>500</v>
      </c>
      <c r="F2787" t="s">
        <v>1770</v>
      </c>
      <c r="G2787" s="9" t="str">
        <f t="shared" si="175"/>
        <v>13-01</v>
      </c>
      <c r="H2787" s="1">
        <f>_xlfn.IFNA(VLOOKUP(Aragon!E2787,'Kilter Holds'!$P$36:$AB$370,9,0),0)</f>
        <v>0</v>
      </c>
      <c r="J2787" s="2">
        <f t="shared" si="173"/>
        <v>0</v>
      </c>
      <c r="K2787" s="2">
        <f t="shared" si="174"/>
        <v>0</v>
      </c>
    </row>
    <row r="2788" spans="5:11">
      <c r="E2788" t="s">
        <v>500</v>
      </c>
      <c r="F2788" t="s">
        <v>1770</v>
      </c>
      <c r="G2788" s="10" t="str">
        <f t="shared" si="175"/>
        <v>07-13</v>
      </c>
      <c r="H2788" s="1">
        <f>_xlfn.IFNA(VLOOKUP(Aragon!E2788,'Kilter Holds'!$P$36:$AB$370,10,0),0)</f>
        <v>0</v>
      </c>
      <c r="J2788" s="2">
        <f t="shared" si="173"/>
        <v>0</v>
      </c>
      <c r="K2788" s="2">
        <f t="shared" si="174"/>
        <v>0</v>
      </c>
    </row>
    <row r="2789" spans="5:11">
      <c r="E2789" t="s">
        <v>500</v>
      </c>
      <c r="F2789" t="s">
        <v>1770</v>
      </c>
      <c r="G2789" s="11" t="str">
        <f t="shared" si="175"/>
        <v>11-25</v>
      </c>
      <c r="H2789" s="1">
        <f>_xlfn.IFNA(VLOOKUP(Aragon!E2789,'Kilter Holds'!$P$36:$AB$370,11,0),0)</f>
        <v>0</v>
      </c>
      <c r="J2789" s="2">
        <f t="shared" si="173"/>
        <v>0</v>
      </c>
      <c r="K2789" s="2">
        <f t="shared" si="174"/>
        <v>0</v>
      </c>
    </row>
    <row r="2790" spans="5:11">
      <c r="E2790" t="s">
        <v>500</v>
      </c>
      <c r="F2790" t="s">
        <v>1770</v>
      </c>
      <c r="G2790" s="13" t="str">
        <f t="shared" si="175"/>
        <v>18-01</v>
      </c>
      <c r="H2790" s="1">
        <f>_xlfn.IFNA(VLOOKUP(Aragon!E2790,'Kilter Holds'!$P$36:$AB$370,12,0),0)</f>
        <v>0</v>
      </c>
      <c r="J2790" s="2">
        <f t="shared" si="173"/>
        <v>0</v>
      </c>
      <c r="K2790" s="2">
        <f t="shared" si="174"/>
        <v>0</v>
      </c>
    </row>
    <row r="2791" spans="5:11">
      <c r="E2791" t="s">
        <v>500</v>
      </c>
      <c r="F2791" t="s">
        <v>1770</v>
      </c>
      <c r="G2791" s="12" t="str">
        <f t="shared" si="175"/>
        <v>12-01</v>
      </c>
      <c r="H2791" s="1">
        <f>_xlfn.IFNA(VLOOKUP(Aragon!E2791,'Kilter Holds'!$P$36:$AB$370,13,0),0)</f>
        <v>0</v>
      </c>
      <c r="J2791" s="2">
        <f t="shared" si="173"/>
        <v>0</v>
      </c>
      <c r="K2791" s="2">
        <f t="shared" si="174"/>
        <v>0</v>
      </c>
    </row>
    <row r="2792" spans="5:11">
      <c r="E2792" t="s">
        <v>501</v>
      </c>
      <c r="F2792" t="s">
        <v>1771</v>
      </c>
      <c r="G2792" s="5" t="str">
        <f t="shared" si="175"/>
        <v>11-12</v>
      </c>
      <c r="H2792" s="1">
        <f>_xlfn.IFNA(VLOOKUP(Aragon!E2792,'Kilter Holds'!$P$36:$AB$370,5,0),0)</f>
        <v>0</v>
      </c>
      <c r="J2792" s="2">
        <f t="shared" si="173"/>
        <v>0</v>
      </c>
      <c r="K2792" s="2">
        <f t="shared" si="174"/>
        <v>0</v>
      </c>
    </row>
    <row r="2793" spans="5:11">
      <c r="E2793" t="s">
        <v>501</v>
      </c>
      <c r="F2793" t="s">
        <v>1771</v>
      </c>
      <c r="G2793" s="6" t="str">
        <f t="shared" si="175"/>
        <v>14-01</v>
      </c>
      <c r="H2793" s="1">
        <f>_xlfn.IFNA(VLOOKUP(Aragon!E2793,'Kilter Holds'!$P$36:$AB$370,6,0),0)</f>
        <v>0</v>
      </c>
      <c r="J2793" s="2">
        <f t="shared" si="173"/>
        <v>0</v>
      </c>
      <c r="K2793" s="2">
        <f t="shared" si="174"/>
        <v>0</v>
      </c>
    </row>
    <row r="2794" spans="5:11">
      <c r="E2794" t="s">
        <v>501</v>
      </c>
      <c r="F2794" t="s">
        <v>1771</v>
      </c>
      <c r="G2794" s="7" t="str">
        <f t="shared" si="175"/>
        <v>15-12</v>
      </c>
      <c r="H2794" s="1">
        <f>_xlfn.IFNA(VLOOKUP(Aragon!E2794,'Kilter Holds'!$P$36:$AB$370,7,0),0)</f>
        <v>0</v>
      </c>
      <c r="J2794" s="2">
        <f t="shared" si="173"/>
        <v>0</v>
      </c>
      <c r="K2794" s="2">
        <f t="shared" si="174"/>
        <v>0</v>
      </c>
    </row>
    <row r="2795" spans="5:11">
      <c r="E2795" t="s">
        <v>501</v>
      </c>
      <c r="F2795" t="s">
        <v>1771</v>
      </c>
      <c r="G2795" s="8" t="str">
        <f t="shared" si="175"/>
        <v>16-16</v>
      </c>
      <c r="H2795" s="1">
        <f>_xlfn.IFNA(VLOOKUP(Aragon!E2795,'Kilter Holds'!$P$36:$AB$370,8,0),0)</f>
        <v>0</v>
      </c>
      <c r="J2795" s="2">
        <f t="shared" si="173"/>
        <v>0</v>
      </c>
      <c r="K2795" s="2">
        <f t="shared" si="174"/>
        <v>0</v>
      </c>
    </row>
    <row r="2796" spans="5:11">
      <c r="E2796" t="s">
        <v>501</v>
      </c>
      <c r="F2796" t="s">
        <v>1771</v>
      </c>
      <c r="G2796" s="9" t="str">
        <f t="shared" si="175"/>
        <v>13-01</v>
      </c>
      <c r="H2796" s="1">
        <f>_xlfn.IFNA(VLOOKUP(Aragon!E2796,'Kilter Holds'!$P$36:$AB$370,9,0),0)</f>
        <v>0</v>
      </c>
      <c r="J2796" s="2">
        <f t="shared" si="173"/>
        <v>0</v>
      </c>
      <c r="K2796" s="2">
        <f t="shared" si="174"/>
        <v>0</v>
      </c>
    </row>
    <row r="2797" spans="5:11">
      <c r="E2797" t="s">
        <v>501</v>
      </c>
      <c r="F2797" t="s">
        <v>1771</v>
      </c>
      <c r="G2797" s="10" t="str">
        <f t="shared" si="175"/>
        <v>07-13</v>
      </c>
      <c r="H2797" s="1">
        <f>_xlfn.IFNA(VLOOKUP(Aragon!E2797,'Kilter Holds'!$P$36:$AB$370,10,0),0)</f>
        <v>0</v>
      </c>
      <c r="J2797" s="2">
        <f t="shared" si="173"/>
        <v>0</v>
      </c>
      <c r="K2797" s="2">
        <f t="shared" si="174"/>
        <v>0</v>
      </c>
    </row>
    <row r="2798" spans="5:11">
      <c r="E2798" t="s">
        <v>501</v>
      </c>
      <c r="F2798" t="s">
        <v>1771</v>
      </c>
      <c r="G2798" s="11" t="str">
        <f t="shared" si="175"/>
        <v>11-25</v>
      </c>
      <c r="H2798" s="1">
        <f>_xlfn.IFNA(VLOOKUP(Aragon!E2798,'Kilter Holds'!$P$36:$AB$370,11,0),0)</f>
        <v>0</v>
      </c>
      <c r="J2798" s="2">
        <f t="shared" si="173"/>
        <v>0</v>
      </c>
      <c r="K2798" s="2">
        <f t="shared" si="174"/>
        <v>0</v>
      </c>
    </row>
    <row r="2799" spans="5:11">
      <c r="E2799" t="s">
        <v>501</v>
      </c>
      <c r="F2799" t="s">
        <v>1771</v>
      </c>
      <c r="G2799" s="13" t="str">
        <f t="shared" si="175"/>
        <v>18-01</v>
      </c>
      <c r="H2799" s="1">
        <f>_xlfn.IFNA(VLOOKUP(Aragon!E2799,'Kilter Holds'!$P$36:$AB$370,12,0),0)</f>
        <v>0</v>
      </c>
      <c r="J2799" s="2">
        <f t="shared" ref="J2799:J2862" si="176">H2799*I2799</f>
        <v>0</v>
      </c>
      <c r="K2799" s="2">
        <f t="shared" si="174"/>
        <v>0</v>
      </c>
    </row>
    <row r="2800" spans="5:11">
      <c r="E2800" t="s">
        <v>501</v>
      </c>
      <c r="F2800" t="s">
        <v>1771</v>
      </c>
      <c r="G2800" s="12" t="str">
        <f t="shared" si="175"/>
        <v>12-01</v>
      </c>
      <c r="H2800" s="1">
        <f>_xlfn.IFNA(VLOOKUP(Aragon!E2800,'Kilter Holds'!$P$36:$AB$370,13,0),0)</f>
        <v>0</v>
      </c>
      <c r="J2800" s="2">
        <f t="shared" si="176"/>
        <v>0</v>
      </c>
      <c r="K2800" s="2">
        <f t="shared" ref="K2800:K2863" si="177">IF($V$11="Y",J2800*0.05,0)</f>
        <v>0</v>
      </c>
    </row>
    <row r="2801" spans="5:11">
      <c r="E2801" t="s">
        <v>502</v>
      </c>
      <c r="F2801" t="s">
        <v>1772</v>
      </c>
      <c r="G2801" s="5" t="str">
        <f t="shared" ref="G2801:G2864" si="178">G2792</f>
        <v>11-12</v>
      </c>
      <c r="H2801" s="1">
        <f>_xlfn.IFNA(VLOOKUP(Aragon!E2801,'Kilter Holds'!$P$36:$AB$370,5,0),0)</f>
        <v>0</v>
      </c>
      <c r="J2801" s="2">
        <f t="shared" si="176"/>
        <v>0</v>
      </c>
      <c r="K2801" s="2">
        <f t="shared" si="177"/>
        <v>0</v>
      </c>
    </row>
    <row r="2802" spans="5:11">
      <c r="E2802" t="s">
        <v>502</v>
      </c>
      <c r="F2802" t="s">
        <v>1772</v>
      </c>
      <c r="G2802" s="6" t="str">
        <f t="shared" si="178"/>
        <v>14-01</v>
      </c>
      <c r="H2802" s="1">
        <f>_xlfn.IFNA(VLOOKUP(Aragon!E2802,'Kilter Holds'!$P$36:$AB$370,6,0),0)</f>
        <v>0</v>
      </c>
      <c r="J2802" s="2">
        <f t="shared" si="176"/>
        <v>0</v>
      </c>
      <c r="K2802" s="2">
        <f t="shared" si="177"/>
        <v>0</v>
      </c>
    </row>
    <row r="2803" spans="5:11">
      <c r="E2803" t="s">
        <v>502</v>
      </c>
      <c r="F2803" t="s">
        <v>1772</v>
      </c>
      <c r="G2803" s="7" t="str">
        <f t="shared" si="178"/>
        <v>15-12</v>
      </c>
      <c r="H2803" s="1">
        <f>_xlfn.IFNA(VLOOKUP(Aragon!E2803,'Kilter Holds'!$P$36:$AB$370,7,0),0)</f>
        <v>0</v>
      </c>
      <c r="J2803" s="2">
        <f t="shared" si="176"/>
        <v>0</v>
      </c>
      <c r="K2803" s="2">
        <f t="shared" si="177"/>
        <v>0</v>
      </c>
    </row>
    <row r="2804" spans="5:11">
      <c r="E2804" t="s">
        <v>502</v>
      </c>
      <c r="F2804" t="s">
        <v>1772</v>
      </c>
      <c r="G2804" s="8" t="str">
        <f t="shared" si="178"/>
        <v>16-16</v>
      </c>
      <c r="H2804" s="1">
        <f>_xlfn.IFNA(VLOOKUP(Aragon!E2804,'Kilter Holds'!$P$36:$AB$370,8,0),0)</f>
        <v>0</v>
      </c>
      <c r="J2804" s="2">
        <f t="shared" si="176"/>
        <v>0</v>
      </c>
      <c r="K2804" s="2">
        <f t="shared" si="177"/>
        <v>0</v>
      </c>
    </row>
    <row r="2805" spans="5:11">
      <c r="E2805" t="s">
        <v>502</v>
      </c>
      <c r="F2805" t="s">
        <v>1772</v>
      </c>
      <c r="G2805" s="9" t="str">
        <f t="shared" si="178"/>
        <v>13-01</v>
      </c>
      <c r="H2805" s="1">
        <f>_xlfn.IFNA(VLOOKUP(Aragon!E2805,'Kilter Holds'!$P$36:$AB$370,9,0),0)</f>
        <v>0</v>
      </c>
      <c r="J2805" s="2">
        <f t="shared" si="176"/>
        <v>0</v>
      </c>
      <c r="K2805" s="2">
        <f t="shared" si="177"/>
        <v>0</v>
      </c>
    </row>
    <row r="2806" spans="5:11">
      <c r="E2806" t="s">
        <v>502</v>
      </c>
      <c r="F2806" t="s">
        <v>1772</v>
      </c>
      <c r="G2806" s="10" t="str">
        <f t="shared" si="178"/>
        <v>07-13</v>
      </c>
      <c r="H2806" s="1">
        <f>_xlfn.IFNA(VLOOKUP(Aragon!E2806,'Kilter Holds'!$P$36:$AB$370,10,0),0)</f>
        <v>0</v>
      </c>
      <c r="J2806" s="2">
        <f t="shared" si="176"/>
        <v>0</v>
      </c>
      <c r="K2806" s="2">
        <f t="shared" si="177"/>
        <v>0</v>
      </c>
    </row>
    <row r="2807" spans="5:11">
      <c r="E2807" t="s">
        <v>502</v>
      </c>
      <c r="F2807" t="s">
        <v>1772</v>
      </c>
      <c r="G2807" s="11" t="str">
        <f t="shared" si="178"/>
        <v>11-25</v>
      </c>
      <c r="H2807" s="1">
        <f>_xlfn.IFNA(VLOOKUP(Aragon!E2807,'Kilter Holds'!$P$36:$AB$370,11,0),0)</f>
        <v>0</v>
      </c>
      <c r="J2807" s="2">
        <f t="shared" si="176"/>
        <v>0</v>
      </c>
      <c r="K2807" s="2">
        <f t="shared" si="177"/>
        <v>0</v>
      </c>
    </row>
    <row r="2808" spans="5:11">
      <c r="E2808" t="s">
        <v>502</v>
      </c>
      <c r="F2808" t="s">
        <v>1772</v>
      </c>
      <c r="G2808" s="13" t="str">
        <f t="shared" si="178"/>
        <v>18-01</v>
      </c>
      <c r="H2808" s="1">
        <f>_xlfn.IFNA(VLOOKUP(Aragon!E2808,'Kilter Holds'!$P$36:$AB$370,12,0),0)</f>
        <v>0</v>
      </c>
      <c r="J2808" s="2">
        <f t="shared" si="176"/>
        <v>0</v>
      </c>
      <c r="K2808" s="2">
        <f t="shared" si="177"/>
        <v>0</v>
      </c>
    </row>
    <row r="2809" spans="5:11">
      <c r="E2809" t="s">
        <v>502</v>
      </c>
      <c r="F2809" t="s">
        <v>1772</v>
      </c>
      <c r="G2809" s="12" t="str">
        <f t="shared" si="178"/>
        <v>12-01</v>
      </c>
      <c r="H2809" s="1">
        <f>_xlfn.IFNA(VLOOKUP(Aragon!E2809,'Kilter Holds'!$P$36:$AB$370,13,0),0)</f>
        <v>0</v>
      </c>
      <c r="J2809" s="2">
        <f t="shared" si="176"/>
        <v>0</v>
      </c>
      <c r="K2809" s="2">
        <f t="shared" si="177"/>
        <v>0</v>
      </c>
    </row>
    <row r="2810" spans="5:11">
      <c r="E2810" t="s">
        <v>101</v>
      </c>
      <c r="F2810" t="s">
        <v>769</v>
      </c>
      <c r="G2810" s="5" t="str">
        <f t="shared" si="178"/>
        <v>11-12</v>
      </c>
      <c r="H2810" s="1">
        <f>_xlfn.IFNA(VLOOKUP(Aragon!E2810,'Kilter Holds'!$P$36:$AB$370,5,0),0)</f>
        <v>0</v>
      </c>
      <c r="J2810" s="2">
        <f t="shared" si="176"/>
        <v>0</v>
      </c>
      <c r="K2810" s="2">
        <f t="shared" si="177"/>
        <v>0</v>
      </c>
    </row>
    <row r="2811" spans="5:11">
      <c r="E2811" t="s">
        <v>101</v>
      </c>
      <c r="F2811" t="s">
        <v>769</v>
      </c>
      <c r="G2811" s="6" t="str">
        <f t="shared" si="178"/>
        <v>14-01</v>
      </c>
      <c r="H2811" s="1">
        <f>_xlfn.IFNA(VLOOKUP(Aragon!E2811,'Kilter Holds'!$P$36:$AB$370,6,0),0)</f>
        <v>0</v>
      </c>
      <c r="J2811" s="2">
        <f t="shared" si="176"/>
        <v>0</v>
      </c>
      <c r="K2811" s="2">
        <f t="shared" si="177"/>
        <v>0</v>
      </c>
    </row>
    <row r="2812" spans="5:11">
      <c r="E2812" t="s">
        <v>101</v>
      </c>
      <c r="F2812" t="s">
        <v>769</v>
      </c>
      <c r="G2812" s="7" t="str">
        <f t="shared" si="178"/>
        <v>15-12</v>
      </c>
      <c r="H2812" s="1">
        <f>_xlfn.IFNA(VLOOKUP(Aragon!E2812,'Kilter Holds'!$P$36:$AB$370,7,0),0)</f>
        <v>0</v>
      </c>
      <c r="J2812" s="2">
        <f t="shared" si="176"/>
        <v>0</v>
      </c>
      <c r="K2812" s="2">
        <f t="shared" si="177"/>
        <v>0</v>
      </c>
    </row>
    <row r="2813" spans="5:11">
      <c r="E2813" t="s">
        <v>101</v>
      </c>
      <c r="F2813" t="s">
        <v>769</v>
      </c>
      <c r="G2813" s="8" t="str">
        <f t="shared" si="178"/>
        <v>16-16</v>
      </c>
      <c r="H2813" s="1">
        <f>_xlfn.IFNA(VLOOKUP(Aragon!E2813,'Kilter Holds'!$P$36:$AB$370,8,0),0)</f>
        <v>0</v>
      </c>
      <c r="J2813" s="2">
        <f t="shared" si="176"/>
        <v>0</v>
      </c>
      <c r="K2813" s="2">
        <f t="shared" si="177"/>
        <v>0</v>
      </c>
    </row>
    <row r="2814" spans="5:11">
      <c r="E2814" t="s">
        <v>101</v>
      </c>
      <c r="F2814" t="s">
        <v>769</v>
      </c>
      <c r="G2814" s="9" t="str">
        <f t="shared" si="178"/>
        <v>13-01</v>
      </c>
      <c r="H2814" s="1">
        <f>_xlfn.IFNA(VLOOKUP(Aragon!E2814,'Kilter Holds'!$P$36:$AB$370,9,0),0)</f>
        <v>0</v>
      </c>
      <c r="J2814" s="2">
        <f t="shared" si="176"/>
        <v>0</v>
      </c>
      <c r="K2814" s="2">
        <f t="shared" si="177"/>
        <v>0</v>
      </c>
    </row>
    <row r="2815" spans="5:11">
      <c r="E2815" t="s">
        <v>101</v>
      </c>
      <c r="F2815" t="s">
        <v>769</v>
      </c>
      <c r="G2815" s="10" t="str">
        <f t="shared" si="178"/>
        <v>07-13</v>
      </c>
      <c r="H2815" s="1">
        <f>_xlfn.IFNA(VLOOKUP(Aragon!E2815,'Kilter Holds'!$P$36:$AB$370,10,0),0)</f>
        <v>0</v>
      </c>
      <c r="J2815" s="2">
        <f t="shared" si="176"/>
        <v>0</v>
      </c>
      <c r="K2815" s="2">
        <f t="shared" si="177"/>
        <v>0</v>
      </c>
    </row>
    <row r="2816" spans="5:11">
      <c r="E2816" t="s">
        <v>101</v>
      </c>
      <c r="F2816" t="s">
        <v>769</v>
      </c>
      <c r="G2816" s="11" t="str">
        <f t="shared" si="178"/>
        <v>11-25</v>
      </c>
      <c r="H2816" s="1">
        <f>_xlfn.IFNA(VLOOKUP(Aragon!E2816,'Kilter Holds'!$P$36:$AB$370,11,0),0)</f>
        <v>0</v>
      </c>
      <c r="J2816" s="2">
        <f t="shared" si="176"/>
        <v>0</v>
      </c>
      <c r="K2816" s="2">
        <f t="shared" si="177"/>
        <v>0</v>
      </c>
    </row>
    <row r="2817" spans="5:11">
      <c r="E2817" t="s">
        <v>101</v>
      </c>
      <c r="F2817" t="s">
        <v>769</v>
      </c>
      <c r="G2817" s="13" t="str">
        <f t="shared" si="178"/>
        <v>18-01</v>
      </c>
      <c r="H2817" s="1">
        <f>_xlfn.IFNA(VLOOKUP(Aragon!E2817,'Kilter Holds'!$P$36:$AB$370,12,0),0)</f>
        <v>0</v>
      </c>
      <c r="J2817" s="2">
        <f t="shared" si="176"/>
        <v>0</v>
      </c>
      <c r="K2817" s="2">
        <f t="shared" si="177"/>
        <v>0</v>
      </c>
    </row>
    <row r="2818" spans="5:11">
      <c r="E2818" t="s">
        <v>101</v>
      </c>
      <c r="F2818" t="s">
        <v>769</v>
      </c>
      <c r="G2818" s="12" t="str">
        <f t="shared" si="178"/>
        <v>12-01</v>
      </c>
      <c r="H2818" s="1">
        <f>_xlfn.IFNA(VLOOKUP(Aragon!E2818,'Kilter Holds'!$P$36:$AB$370,13,0),0)</f>
        <v>0</v>
      </c>
      <c r="J2818" s="2">
        <f t="shared" si="176"/>
        <v>0</v>
      </c>
      <c r="K2818" s="2">
        <f t="shared" si="177"/>
        <v>0</v>
      </c>
    </row>
    <row r="2819" spans="5:11">
      <c r="E2819" t="s">
        <v>102</v>
      </c>
      <c r="F2819" t="s">
        <v>770</v>
      </c>
      <c r="G2819" s="5" t="str">
        <f t="shared" si="178"/>
        <v>11-12</v>
      </c>
      <c r="H2819" s="1">
        <f>_xlfn.IFNA(VLOOKUP(Aragon!E2819,'Kilter Holds'!$P$36:$AB$370,5,0),0)</f>
        <v>0</v>
      </c>
      <c r="J2819" s="2">
        <f t="shared" si="176"/>
        <v>0</v>
      </c>
      <c r="K2819" s="2">
        <f t="shared" si="177"/>
        <v>0</v>
      </c>
    </row>
    <row r="2820" spans="5:11">
      <c r="E2820" t="s">
        <v>102</v>
      </c>
      <c r="F2820" t="s">
        <v>770</v>
      </c>
      <c r="G2820" s="6" t="str">
        <f t="shared" si="178"/>
        <v>14-01</v>
      </c>
      <c r="H2820" s="1">
        <f>_xlfn.IFNA(VLOOKUP(Aragon!E2820,'Kilter Holds'!$P$36:$AB$370,6,0),0)</f>
        <v>0</v>
      </c>
      <c r="J2820" s="2">
        <f t="shared" si="176"/>
        <v>0</v>
      </c>
      <c r="K2820" s="2">
        <f t="shared" si="177"/>
        <v>0</v>
      </c>
    </row>
    <row r="2821" spans="5:11">
      <c r="E2821" t="s">
        <v>102</v>
      </c>
      <c r="F2821" t="s">
        <v>770</v>
      </c>
      <c r="G2821" s="7" t="str">
        <f t="shared" si="178"/>
        <v>15-12</v>
      </c>
      <c r="H2821" s="1">
        <f>_xlfn.IFNA(VLOOKUP(Aragon!E2821,'Kilter Holds'!$P$36:$AB$370,7,0),0)</f>
        <v>0</v>
      </c>
      <c r="J2821" s="2">
        <f t="shared" si="176"/>
        <v>0</v>
      </c>
      <c r="K2821" s="2">
        <f t="shared" si="177"/>
        <v>0</v>
      </c>
    </row>
    <row r="2822" spans="5:11">
      <c r="E2822" t="s">
        <v>102</v>
      </c>
      <c r="F2822" t="s">
        <v>770</v>
      </c>
      <c r="G2822" s="8" t="str">
        <f t="shared" si="178"/>
        <v>16-16</v>
      </c>
      <c r="H2822" s="1">
        <f>_xlfn.IFNA(VLOOKUP(Aragon!E2822,'Kilter Holds'!$P$36:$AB$370,8,0),0)</f>
        <v>0</v>
      </c>
      <c r="J2822" s="2">
        <f t="shared" si="176"/>
        <v>0</v>
      </c>
      <c r="K2822" s="2">
        <f t="shared" si="177"/>
        <v>0</v>
      </c>
    </row>
    <row r="2823" spans="5:11">
      <c r="E2823" t="s">
        <v>102</v>
      </c>
      <c r="F2823" t="s">
        <v>770</v>
      </c>
      <c r="G2823" s="9" t="str">
        <f t="shared" si="178"/>
        <v>13-01</v>
      </c>
      <c r="H2823" s="1">
        <f>_xlfn.IFNA(VLOOKUP(Aragon!E2823,'Kilter Holds'!$P$36:$AB$370,9,0),0)</f>
        <v>0</v>
      </c>
      <c r="J2823" s="2">
        <f t="shared" si="176"/>
        <v>0</v>
      </c>
      <c r="K2823" s="2">
        <f t="shared" si="177"/>
        <v>0</v>
      </c>
    </row>
    <row r="2824" spans="5:11">
      <c r="E2824" t="s">
        <v>102</v>
      </c>
      <c r="F2824" t="s">
        <v>770</v>
      </c>
      <c r="G2824" s="10" t="str">
        <f t="shared" si="178"/>
        <v>07-13</v>
      </c>
      <c r="H2824" s="1">
        <f>_xlfn.IFNA(VLOOKUP(Aragon!E2824,'Kilter Holds'!$P$36:$AB$370,10,0),0)</f>
        <v>0</v>
      </c>
      <c r="J2824" s="2">
        <f t="shared" si="176"/>
        <v>0</v>
      </c>
      <c r="K2824" s="2">
        <f t="shared" si="177"/>
        <v>0</v>
      </c>
    </row>
    <row r="2825" spans="5:11">
      <c r="E2825" t="s">
        <v>102</v>
      </c>
      <c r="F2825" t="s">
        <v>770</v>
      </c>
      <c r="G2825" s="11" t="str">
        <f t="shared" si="178"/>
        <v>11-25</v>
      </c>
      <c r="H2825" s="1">
        <f>_xlfn.IFNA(VLOOKUP(Aragon!E2825,'Kilter Holds'!$P$36:$AB$370,11,0),0)</f>
        <v>0</v>
      </c>
      <c r="J2825" s="2">
        <f t="shared" si="176"/>
        <v>0</v>
      </c>
      <c r="K2825" s="2">
        <f t="shared" si="177"/>
        <v>0</v>
      </c>
    </row>
    <row r="2826" spans="5:11">
      <c r="E2826" t="s">
        <v>102</v>
      </c>
      <c r="F2826" t="s">
        <v>770</v>
      </c>
      <c r="G2826" s="13" t="str">
        <f t="shared" si="178"/>
        <v>18-01</v>
      </c>
      <c r="H2826" s="1">
        <f>_xlfn.IFNA(VLOOKUP(Aragon!E2826,'Kilter Holds'!$P$36:$AB$370,12,0),0)</f>
        <v>0</v>
      </c>
      <c r="J2826" s="2">
        <f t="shared" si="176"/>
        <v>0</v>
      </c>
      <c r="K2826" s="2">
        <f t="shared" si="177"/>
        <v>0</v>
      </c>
    </row>
    <row r="2827" spans="5:11">
      <c r="E2827" t="s">
        <v>102</v>
      </c>
      <c r="F2827" t="s">
        <v>770</v>
      </c>
      <c r="G2827" s="12" t="str">
        <f t="shared" si="178"/>
        <v>12-01</v>
      </c>
      <c r="H2827" s="1">
        <f>_xlfn.IFNA(VLOOKUP(Aragon!E2827,'Kilter Holds'!$P$36:$AB$370,13,0),0)</f>
        <v>0</v>
      </c>
      <c r="J2827" s="2">
        <f t="shared" si="176"/>
        <v>0</v>
      </c>
      <c r="K2827" s="2">
        <f t="shared" si="177"/>
        <v>0</v>
      </c>
    </row>
    <row r="2828" spans="5:11">
      <c r="E2828" t="s">
        <v>60</v>
      </c>
      <c r="F2828" t="s">
        <v>771</v>
      </c>
      <c r="G2828" s="5" t="str">
        <f t="shared" si="178"/>
        <v>11-12</v>
      </c>
      <c r="H2828" s="1">
        <f>_xlfn.IFNA(VLOOKUP(Aragon!E2828,'Kilter Holds'!$P$36:$AB$370,5,0),0)</f>
        <v>0</v>
      </c>
      <c r="J2828" s="2">
        <f t="shared" si="176"/>
        <v>0</v>
      </c>
      <c r="K2828" s="2">
        <f t="shared" si="177"/>
        <v>0</v>
      </c>
    </row>
    <row r="2829" spans="5:11">
      <c r="E2829" t="s">
        <v>60</v>
      </c>
      <c r="F2829" t="s">
        <v>771</v>
      </c>
      <c r="G2829" s="6" t="str">
        <f t="shared" si="178"/>
        <v>14-01</v>
      </c>
      <c r="H2829" s="1">
        <f>_xlfn.IFNA(VLOOKUP(Aragon!E2829,'Kilter Holds'!$P$36:$AB$370,6,0),0)</f>
        <v>0</v>
      </c>
      <c r="J2829" s="2">
        <f t="shared" si="176"/>
        <v>0</v>
      </c>
      <c r="K2829" s="2">
        <f t="shared" si="177"/>
        <v>0</v>
      </c>
    </row>
    <row r="2830" spans="5:11">
      <c r="E2830" t="s">
        <v>60</v>
      </c>
      <c r="F2830" t="s">
        <v>771</v>
      </c>
      <c r="G2830" s="7" t="str">
        <f t="shared" si="178"/>
        <v>15-12</v>
      </c>
      <c r="H2830" s="1">
        <f>_xlfn.IFNA(VLOOKUP(Aragon!E2830,'Kilter Holds'!$P$36:$AB$370,7,0),0)</f>
        <v>0</v>
      </c>
      <c r="J2830" s="2">
        <f t="shared" si="176"/>
        <v>0</v>
      </c>
      <c r="K2830" s="2">
        <f t="shared" si="177"/>
        <v>0</v>
      </c>
    </row>
    <row r="2831" spans="5:11">
      <c r="E2831" t="s">
        <v>60</v>
      </c>
      <c r="F2831" t="s">
        <v>771</v>
      </c>
      <c r="G2831" s="8" t="str">
        <f t="shared" si="178"/>
        <v>16-16</v>
      </c>
      <c r="H2831" s="1">
        <f>_xlfn.IFNA(VLOOKUP(Aragon!E2831,'Kilter Holds'!$P$36:$AB$370,8,0),0)</f>
        <v>0</v>
      </c>
      <c r="J2831" s="2">
        <f t="shared" si="176"/>
        <v>0</v>
      </c>
      <c r="K2831" s="2">
        <f t="shared" si="177"/>
        <v>0</v>
      </c>
    </row>
    <row r="2832" spans="5:11">
      <c r="E2832" t="s">
        <v>60</v>
      </c>
      <c r="F2832" t="s">
        <v>771</v>
      </c>
      <c r="G2832" s="9" t="str">
        <f t="shared" si="178"/>
        <v>13-01</v>
      </c>
      <c r="H2832" s="1">
        <f>_xlfn.IFNA(VLOOKUP(Aragon!E2832,'Kilter Holds'!$P$36:$AB$370,9,0),0)</f>
        <v>0</v>
      </c>
      <c r="J2832" s="2">
        <f t="shared" si="176"/>
        <v>0</v>
      </c>
      <c r="K2832" s="2">
        <f t="shared" si="177"/>
        <v>0</v>
      </c>
    </row>
    <row r="2833" spans="5:11">
      <c r="E2833" t="s">
        <v>60</v>
      </c>
      <c r="F2833" t="s">
        <v>771</v>
      </c>
      <c r="G2833" s="10" t="str">
        <f t="shared" si="178"/>
        <v>07-13</v>
      </c>
      <c r="H2833" s="1">
        <f>_xlfn.IFNA(VLOOKUP(Aragon!E2833,'Kilter Holds'!$P$36:$AB$370,10,0),0)</f>
        <v>0</v>
      </c>
      <c r="J2833" s="2">
        <f t="shared" si="176"/>
        <v>0</v>
      </c>
      <c r="K2833" s="2">
        <f t="shared" si="177"/>
        <v>0</v>
      </c>
    </row>
    <row r="2834" spans="5:11">
      <c r="E2834" t="s">
        <v>60</v>
      </c>
      <c r="F2834" t="s">
        <v>771</v>
      </c>
      <c r="G2834" s="11" t="str">
        <f t="shared" si="178"/>
        <v>11-25</v>
      </c>
      <c r="H2834" s="1">
        <f>_xlfn.IFNA(VLOOKUP(Aragon!E2834,'Kilter Holds'!$P$36:$AB$370,11,0),0)</f>
        <v>0</v>
      </c>
      <c r="J2834" s="2">
        <f t="shared" si="176"/>
        <v>0</v>
      </c>
      <c r="K2834" s="2">
        <f t="shared" si="177"/>
        <v>0</v>
      </c>
    </row>
    <row r="2835" spans="5:11">
      <c r="E2835" t="s">
        <v>60</v>
      </c>
      <c r="F2835" t="s">
        <v>771</v>
      </c>
      <c r="G2835" s="13" t="str">
        <f t="shared" si="178"/>
        <v>18-01</v>
      </c>
      <c r="H2835" s="1">
        <f>_xlfn.IFNA(VLOOKUP(Aragon!E2835,'Kilter Holds'!$P$36:$AB$370,12,0),0)</f>
        <v>0</v>
      </c>
      <c r="J2835" s="2">
        <f t="shared" si="176"/>
        <v>0</v>
      </c>
      <c r="K2835" s="2">
        <f t="shared" si="177"/>
        <v>0</v>
      </c>
    </row>
    <row r="2836" spans="5:11">
      <c r="E2836" t="s">
        <v>60</v>
      </c>
      <c r="F2836" t="s">
        <v>771</v>
      </c>
      <c r="G2836" s="12" t="str">
        <f t="shared" si="178"/>
        <v>12-01</v>
      </c>
      <c r="H2836" s="1">
        <f>_xlfn.IFNA(VLOOKUP(Aragon!E2836,'Kilter Holds'!$P$36:$AB$370,13,0),0)</f>
        <v>0</v>
      </c>
      <c r="J2836" s="2">
        <f t="shared" si="176"/>
        <v>0</v>
      </c>
      <c r="K2836" s="2">
        <f t="shared" si="177"/>
        <v>0</v>
      </c>
    </row>
    <row r="2837" spans="5:11">
      <c r="E2837" t="s">
        <v>58</v>
      </c>
      <c r="F2837" t="s">
        <v>772</v>
      </c>
      <c r="G2837" s="5" t="str">
        <f t="shared" si="178"/>
        <v>11-12</v>
      </c>
      <c r="H2837" s="1">
        <f>_xlfn.IFNA(VLOOKUP(Aragon!E2837,'Kilter Holds'!$P$36:$AB$370,5,0),0)</f>
        <v>0</v>
      </c>
      <c r="J2837" s="2">
        <f t="shared" si="176"/>
        <v>0</v>
      </c>
      <c r="K2837" s="2">
        <f t="shared" si="177"/>
        <v>0</v>
      </c>
    </row>
    <row r="2838" spans="5:11">
      <c r="E2838" t="s">
        <v>58</v>
      </c>
      <c r="F2838" t="s">
        <v>772</v>
      </c>
      <c r="G2838" s="6" t="str">
        <f t="shared" si="178"/>
        <v>14-01</v>
      </c>
      <c r="H2838" s="1">
        <f>_xlfn.IFNA(VLOOKUP(Aragon!E2838,'Kilter Holds'!$P$36:$AB$370,6,0),0)</f>
        <v>0</v>
      </c>
      <c r="J2838" s="2">
        <f t="shared" si="176"/>
        <v>0</v>
      </c>
      <c r="K2838" s="2">
        <f t="shared" si="177"/>
        <v>0</v>
      </c>
    </row>
    <row r="2839" spans="5:11">
      <c r="E2839" t="s">
        <v>58</v>
      </c>
      <c r="F2839" t="s">
        <v>772</v>
      </c>
      <c r="G2839" s="7" t="str">
        <f t="shared" si="178"/>
        <v>15-12</v>
      </c>
      <c r="H2839" s="1">
        <f>_xlfn.IFNA(VLOOKUP(Aragon!E2839,'Kilter Holds'!$P$36:$AB$370,7,0),0)</f>
        <v>0</v>
      </c>
      <c r="J2839" s="2">
        <f t="shared" si="176"/>
        <v>0</v>
      </c>
      <c r="K2839" s="2">
        <f t="shared" si="177"/>
        <v>0</v>
      </c>
    </row>
    <row r="2840" spans="5:11">
      <c r="E2840" t="s">
        <v>58</v>
      </c>
      <c r="F2840" t="s">
        <v>772</v>
      </c>
      <c r="G2840" s="8" t="str">
        <f t="shared" si="178"/>
        <v>16-16</v>
      </c>
      <c r="H2840" s="1">
        <f>_xlfn.IFNA(VLOOKUP(Aragon!E2840,'Kilter Holds'!$P$36:$AB$370,8,0),0)</f>
        <v>0</v>
      </c>
      <c r="J2840" s="2">
        <f t="shared" si="176"/>
        <v>0</v>
      </c>
      <c r="K2840" s="2">
        <f t="shared" si="177"/>
        <v>0</v>
      </c>
    </row>
    <row r="2841" spans="5:11">
      <c r="E2841" t="s">
        <v>58</v>
      </c>
      <c r="F2841" t="s">
        <v>772</v>
      </c>
      <c r="G2841" s="9" t="str">
        <f t="shared" si="178"/>
        <v>13-01</v>
      </c>
      <c r="H2841" s="1">
        <f>_xlfn.IFNA(VLOOKUP(Aragon!E2841,'Kilter Holds'!$P$36:$AB$370,9,0),0)</f>
        <v>0</v>
      </c>
      <c r="J2841" s="2">
        <f t="shared" si="176"/>
        <v>0</v>
      </c>
      <c r="K2841" s="2">
        <f t="shared" si="177"/>
        <v>0</v>
      </c>
    </row>
    <row r="2842" spans="5:11">
      <c r="E2842" t="s">
        <v>58</v>
      </c>
      <c r="F2842" t="s">
        <v>772</v>
      </c>
      <c r="G2842" s="10" t="str">
        <f t="shared" si="178"/>
        <v>07-13</v>
      </c>
      <c r="H2842" s="1">
        <f>_xlfn.IFNA(VLOOKUP(Aragon!E2842,'Kilter Holds'!$P$36:$AB$370,10,0),0)</f>
        <v>0</v>
      </c>
      <c r="J2842" s="2">
        <f t="shared" si="176"/>
        <v>0</v>
      </c>
      <c r="K2842" s="2">
        <f t="shared" si="177"/>
        <v>0</v>
      </c>
    </row>
    <row r="2843" spans="5:11">
      <c r="E2843" t="s">
        <v>58</v>
      </c>
      <c r="F2843" t="s">
        <v>772</v>
      </c>
      <c r="G2843" s="11" t="str">
        <f t="shared" si="178"/>
        <v>11-25</v>
      </c>
      <c r="H2843" s="1">
        <f>_xlfn.IFNA(VLOOKUP(Aragon!E2843,'Kilter Holds'!$P$36:$AB$370,11,0),0)</f>
        <v>0</v>
      </c>
      <c r="J2843" s="2">
        <f t="shared" si="176"/>
        <v>0</v>
      </c>
      <c r="K2843" s="2">
        <f t="shared" si="177"/>
        <v>0</v>
      </c>
    </row>
    <row r="2844" spans="5:11">
      <c r="E2844" t="s">
        <v>58</v>
      </c>
      <c r="F2844" t="s">
        <v>772</v>
      </c>
      <c r="G2844" s="13" t="str">
        <f t="shared" si="178"/>
        <v>18-01</v>
      </c>
      <c r="H2844" s="1">
        <f>_xlfn.IFNA(VLOOKUP(Aragon!E2844,'Kilter Holds'!$P$36:$AB$370,12,0),0)</f>
        <v>0</v>
      </c>
      <c r="J2844" s="2">
        <f t="shared" si="176"/>
        <v>0</v>
      </c>
      <c r="K2844" s="2">
        <f t="shared" si="177"/>
        <v>0</v>
      </c>
    </row>
    <row r="2845" spans="5:11">
      <c r="E2845" t="s">
        <v>58</v>
      </c>
      <c r="F2845" t="s">
        <v>772</v>
      </c>
      <c r="G2845" s="12" t="str">
        <f t="shared" si="178"/>
        <v>12-01</v>
      </c>
      <c r="H2845" s="1">
        <f>_xlfn.IFNA(VLOOKUP(Aragon!E2845,'Kilter Holds'!$P$36:$AB$370,13,0),0)</f>
        <v>0</v>
      </c>
      <c r="J2845" s="2">
        <f t="shared" si="176"/>
        <v>0</v>
      </c>
      <c r="K2845" s="2">
        <f t="shared" si="177"/>
        <v>0</v>
      </c>
    </row>
    <row r="2846" spans="5:11">
      <c r="E2846" t="s">
        <v>59</v>
      </c>
      <c r="F2846" t="s">
        <v>773</v>
      </c>
      <c r="G2846" s="5" t="str">
        <f t="shared" si="178"/>
        <v>11-12</v>
      </c>
      <c r="H2846" s="1">
        <f>_xlfn.IFNA(VLOOKUP(Aragon!E2846,'Kilter Holds'!$P$36:$AB$370,5,0),0)</f>
        <v>0</v>
      </c>
      <c r="J2846" s="2">
        <f t="shared" si="176"/>
        <v>0</v>
      </c>
      <c r="K2846" s="2">
        <f t="shared" si="177"/>
        <v>0</v>
      </c>
    </row>
    <row r="2847" spans="5:11">
      <c r="E2847" t="s">
        <v>59</v>
      </c>
      <c r="F2847" t="s">
        <v>773</v>
      </c>
      <c r="G2847" s="6" t="str">
        <f t="shared" si="178"/>
        <v>14-01</v>
      </c>
      <c r="H2847" s="1">
        <f>_xlfn.IFNA(VLOOKUP(Aragon!E2847,'Kilter Holds'!$P$36:$AB$370,6,0),0)</f>
        <v>0</v>
      </c>
      <c r="J2847" s="2">
        <f t="shared" si="176"/>
        <v>0</v>
      </c>
      <c r="K2847" s="2">
        <f t="shared" si="177"/>
        <v>0</v>
      </c>
    </row>
    <row r="2848" spans="5:11">
      <c r="E2848" t="s">
        <v>59</v>
      </c>
      <c r="F2848" t="s">
        <v>773</v>
      </c>
      <c r="G2848" s="7" t="str">
        <f t="shared" si="178"/>
        <v>15-12</v>
      </c>
      <c r="H2848" s="1">
        <f>_xlfn.IFNA(VLOOKUP(Aragon!E2848,'Kilter Holds'!$P$36:$AB$370,7,0),0)</f>
        <v>0</v>
      </c>
      <c r="J2848" s="2">
        <f t="shared" si="176"/>
        <v>0</v>
      </c>
      <c r="K2848" s="2">
        <f t="shared" si="177"/>
        <v>0</v>
      </c>
    </row>
    <row r="2849" spans="5:11">
      <c r="E2849" t="s">
        <v>59</v>
      </c>
      <c r="F2849" t="s">
        <v>773</v>
      </c>
      <c r="G2849" s="8" t="str">
        <f t="shared" si="178"/>
        <v>16-16</v>
      </c>
      <c r="H2849" s="1">
        <f>_xlfn.IFNA(VLOOKUP(Aragon!E2849,'Kilter Holds'!$P$36:$AB$370,8,0),0)</f>
        <v>0</v>
      </c>
      <c r="J2849" s="2">
        <f t="shared" si="176"/>
        <v>0</v>
      </c>
      <c r="K2849" s="2">
        <f t="shared" si="177"/>
        <v>0</v>
      </c>
    </row>
    <row r="2850" spans="5:11">
      <c r="E2850" t="s">
        <v>59</v>
      </c>
      <c r="F2850" t="s">
        <v>773</v>
      </c>
      <c r="G2850" s="9" t="str">
        <f t="shared" si="178"/>
        <v>13-01</v>
      </c>
      <c r="H2850" s="1">
        <f>_xlfn.IFNA(VLOOKUP(Aragon!E2850,'Kilter Holds'!$P$36:$AB$370,9,0),0)</f>
        <v>0</v>
      </c>
      <c r="J2850" s="2">
        <f t="shared" si="176"/>
        <v>0</v>
      </c>
      <c r="K2850" s="2">
        <f t="shared" si="177"/>
        <v>0</v>
      </c>
    </row>
    <row r="2851" spans="5:11">
      <c r="E2851" t="s">
        <v>59</v>
      </c>
      <c r="F2851" t="s">
        <v>773</v>
      </c>
      <c r="G2851" s="10" t="str">
        <f t="shared" si="178"/>
        <v>07-13</v>
      </c>
      <c r="H2851" s="1">
        <f>_xlfn.IFNA(VLOOKUP(Aragon!E2851,'Kilter Holds'!$P$36:$AB$370,10,0),0)</f>
        <v>0</v>
      </c>
      <c r="J2851" s="2">
        <f t="shared" si="176"/>
        <v>0</v>
      </c>
      <c r="K2851" s="2">
        <f t="shared" si="177"/>
        <v>0</v>
      </c>
    </row>
    <row r="2852" spans="5:11">
      <c r="E2852" t="s">
        <v>59</v>
      </c>
      <c r="F2852" t="s">
        <v>773</v>
      </c>
      <c r="G2852" s="11" t="str">
        <f t="shared" si="178"/>
        <v>11-25</v>
      </c>
      <c r="H2852" s="1">
        <f>_xlfn.IFNA(VLOOKUP(Aragon!E2852,'Kilter Holds'!$P$36:$AB$370,11,0),0)</f>
        <v>0</v>
      </c>
      <c r="J2852" s="2">
        <f t="shared" si="176"/>
        <v>0</v>
      </c>
      <c r="K2852" s="2">
        <f t="shared" si="177"/>
        <v>0</v>
      </c>
    </row>
    <row r="2853" spans="5:11">
      <c r="E2853" t="s">
        <v>59</v>
      </c>
      <c r="F2853" t="s">
        <v>773</v>
      </c>
      <c r="G2853" s="13" t="str">
        <f t="shared" si="178"/>
        <v>18-01</v>
      </c>
      <c r="H2853" s="1">
        <f>_xlfn.IFNA(VLOOKUP(Aragon!E2853,'Kilter Holds'!$P$36:$AB$370,12,0),0)</f>
        <v>0</v>
      </c>
      <c r="J2853" s="2">
        <f t="shared" si="176"/>
        <v>0</v>
      </c>
      <c r="K2853" s="2">
        <f t="shared" si="177"/>
        <v>0</v>
      </c>
    </row>
    <row r="2854" spans="5:11">
      <c r="E2854" t="s">
        <v>59</v>
      </c>
      <c r="F2854" t="s">
        <v>773</v>
      </c>
      <c r="G2854" s="12" t="str">
        <f t="shared" si="178"/>
        <v>12-01</v>
      </c>
      <c r="H2854" s="1">
        <f>_xlfn.IFNA(VLOOKUP(Aragon!E2854,'Kilter Holds'!$P$36:$AB$370,13,0),0)</f>
        <v>0</v>
      </c>
      <c r="J2854" s="2">
        <f t="shared" si="176"/>
        <v>0</v>
      </c>
      <c r="K2854" s="2">
        <f t="shared" si="177"/>
        <v>0</v>
      </c>
    </row>
    <row r="2855" spans="5:11">
      <c r="E2855" t="s">
        <v>57</v>
      </c>
      <c r="F2855" t="s">
        <v>774</v>
      </c>
      <c r="G2855" s="5" t="str">
        <f t="shared" si="178"/>
        <v>11-12</v>
      </c>
      <c r="H2855" s="1">
        <f>_xlfn.IFNA(VLOOKUP(Aragon!E2855,'Kilter Holds'!$P$36:$AB$370,5,0),0)</f>
        <v>0</v>
      </c>
      <c r="J2855" s="2">
        <f t="shared" si="176"/>
        <v>0</v>
      </c>
      <c r="K2855" s="2">
        <f t="shared" si="177"/>
        <v>0</v>
      </c>
    </row>
    <row r="2856" spans="5:11">
      <c r="E2856" t="s">
        <v>57</v>
      </c>
      <c r="F2856" t="s">
        <v>774</v>
      </c>
      <c r="G2856" s="6" t="str">
        <f t="shared" si="178"/>
        <v>14-01</v>
      </c>
      <c r="H2856" s="1">
        <f>_xlfn.IFNA(VLOOKUP(Aragon!E2856,'Kilter Holds'!$P$36:$AB$370,6,0),0)</f>
        <v>0</v>
      </c>
      <c r="J2856" s="2">
        <f t="shared" si="176"/>
        <v>0</v>
      </c>
      <c r="K2856" s="2">
        <f t="shared" si="177"/>
        <v>0</v>
      </c>
    </row>
    <row r="2857" spans="5:11">
      <c r="E2857" t="s">
        <v>57</v>
      </c>
      <c r="F2857" t="s">
        <v>774</v>
      </c>
      <c r="G2857" s="7" t="str">
        <f t="shared" si="178"/>
        <v>15-12</v>
      </c>
      <c r="H2857" s="1">
        <f>_xlfn.IFNA(VLOOKUP(Aragon!E2857,'Kilter Holds'!$P$36:$AB$370,7,0),0)</f>
        <v>0</v>
      </c>
      <c r="J2857" s="2">
        <f t="shared" si="176"/>
        <v>0</v>
      </c>
      <c r="K2857" s="2">
        <f t="shared" si="177"/>
        <v>0</v>
      </c>
    </row>
    <row r="2858" spans="5:11">
      <c r="E2858" t="s">
        <v>57</v>
      </c>
      <c r="F2858" t="s">
        <v>774</v>
      </c>
      <c r="G2858" s="8" t="str">
        <f t="shared" si="178"/>
        <v>16-16</v>
      </c>
      <c r="H2858" s="1">
        <f>_xlfn.IFNA(VLOOKUP(Aragon!E2858,'Kilter Holds'!$P$36:$AB$370,8,0),0)</f>
        <v>0</v>
      </c>
      <c r="J2858" s="2">
        <f t="shared" si="176"/>
        <v>0</v>
      </c>
      <c r="K2858" s="2">
        <f t="shared" si="177"/>
        <v>0</v>
      </c>
    </row>
    <row r="2859" spans="5:11">
      <c r="E2859" t="s">
        <v>57</v>
      </c>
      <c r="F2859" t="s">
        <v>774</v>
      </c>
      <c r="G2859" s="9" t="str">
        <f t="shared" si="178"/>
        <v>13-01</v>
      </c>
      <c r="H2859" s="1">
        <f>_xlfn.IFNA(VLOOKUP(Aragon!E2859,'Kilter Holds'!$P$36:$AB$370,9,0),0)</f>
        <v>0</v>
      </c>
      <c r="J2859" s="2">
        <f t="shared" si="176"/>
        <v>0</v>
      </c>
      <c r="K2859" s="2">
        <f t="shared" si="177"/>
        <v>0</v>
      </c>
    </row>
    <row r="2860" spans="5:11">
      <c r="E2860" t="s">
        <v>57</v>
      </c>
      <c r="F2860" t="s">
        <v>774</v>
      </c>
      <c r="G2860" s="10" t="str">
        <f t="shared" si="178"/>
        <v>07-13</v>
      </c>
      <c r="H2860" s="1">
        <f>_xlfn.IFNA(VLOOKUP(Aragon!E2860,'Kilter Holds'!$P$36:$AB$370,10,0),0)</f>
        <v>0</v>
      </c>
      <c r="J2860" s="2">
        <f t="shared" si="176"/>
        <v>0</v>
      </c>
      <c r="K2860" s="2">
        <f t="shared" si="177"/>
        <v>0</v>
      </c>
    </row>
    <row r="2861" spans="5:11">
      <c r="E2861" t="s">
        <v>57</v>
      </c>
      <c r="F2861" t="s">
        <v>774</v>
      </c>
      <c r="G2861" s="11" t="str">
        <f t="shared" si="178"/>
        <v>11-25</v>
      </c>
      <c r="H2861" s="1">
        <f>_xlfn.IFNA(VLOOKUP(Aragon!E2861,'Kilter Holds'!$P$36:$AB$370,11,0),0)</f>
        <v>0</v>
      </c>
      <c r="J2861" s="2">
        <f t="shared" si="176"/>
        <v>0</v>
      </c>
      <c r="K2861" s="2">
        <f t="shared" si="177"/>
        <v>0</v>
      </c>
    </row>
    <row r="2862" spans="5:11">
      <c r="E2862" t="s">
        <v>57</v>
      </c>
      <c r="F2862" t="s">
        <v>774</v>
      </c>
      <c r="G2862" s="13" t="str">
        <f t="shared" si="178"/>
        <v>18-01</v>
      </c>
      <c r="H2862" s="1">
        <f>_xlfn.IFNA(VLOOKUP(Aragon!E2862,'Kilter Holds'!$P$36:$AB$370,12,0),0)</f>
        <v>0</v>
      </c>
      <c r="J2862" s="2">
        <f t="shared" si="176"/>
        <v>0</v>
      </c>
      <c r="K2862" s="2">
        <f t="shared" si="177"/>
        <v>0</v>
      </c>
    </row>
    <row r="2863" spans="5:11">
      <c r="E2863" t="s">
        <v>57</v>
      </c>
      <c r="F2863" t="s">
        <v>774</v>
      </c>
      <c r="G2863" s="12" t="str">
        <f t="shared" si="178"/>
        <v>12-01</v>
      </c>
      <c r="H2863" s="1">
        <f>_xlfn.IFNA(VLOOKUP(Aragon!E2863,'Kilter Holds'!$P$36:$AB$370,13,0),0)</f>
        <v>0</v>
      </c>
      <c r="J2863" s="2">
        <f t="shared" ref="J2863:J2944" si="179">H2863*I2863</f>
        <v>0</v>
      </c>
      <c r="K2863" s="2">
        <f t="shared" si="177"/>
        <v>0</v>
      </c>
    </row>
    <row r="2864" spans="5:11">
      <c r="E2864" t="s">
        <v>55</v>
      </c>
      <c r="F2864" t="s">
        <v>775</v>
      </c>
      <c r="G2864" s="5" t="str">
        <f t="shared" si="178"/>
        <v>11-12</v>
      </c>
      <c r="H2864" s="1">
        <f>_xlfn.IFNA(VLOOKUP(Aragon!E2864,'Kilter Holds'!$P$36:$AB$370,5,0),0)</f>
        <v>0</v>
      </c>
      <c r="J2864" s="2">
        <f t="shared" si="179"/>
        <v>0</v>
      </c>
      <c r="K2864" s="2">
        <f t="shared" ref="K2864:K2927" si="180">IF($V$11="Y",J2864*0.05,0)</f>
        <v>0</v>
      </c>
    </row>
    <row r="2865" spans="5:11">
      <c r="E2865" t="s">
        <v>55</v>
      </c>
      <c r="F2865" t="s">
        <v>775</v>
      </c>
      <c r="G2865" s="6" t="str">
        <f t="shared" ref="G2865:G2928" si="181">G2856</f>
        <v>14-01</v>
      </c>
      <c r="H2865" s="1">
        <f>_xlfn.IFNA(VLOOKUP(Aragon!E2865,'Kilter Holds'!$P$36:$AB$370,6,0),0)</f>
        <v>0</v>
      </c>
      <c r="J2865" s="2">
        <f t="shared" si="179"/>
        <v>0</v>
      </c>
      <c r="K2865" s="2">
        <f t="shared" si="180"/>
        <v>0</v>
      </c>
    </row>
    <row r="2866" spans="5:11">
      <c r="E2866" t="s">
        <v>55</v>
      </c>
      <c r="F2866" t="s">
        <v>775</v>
      </c>
      <c r="G2866" s="7" t="str">
        <f t="shared" si="181"/>
        <v>15-12</v>
      </c>
      <c r="H2866" s="1">
        <f>_xlfn.IFNA(VLOOKUP(Aragon!E2866,'Kilter Holds'!$P$36:$AB$370,7,0),0)</f>
        <v>0</v>
      </c>
      <c r="J2866" s="2">
        <f t="shared" si="179"/>
        <v>0</v>
      </c>
      <c r="K2866" s="2">
        <f t="shared" si="180"/>
        <v>0</v>
      </c>
    </row>
    <row r="2867" spans="5:11">
      <c r="E2867" t="s">
        <v>55</v>
      </c>
      <c r="F2867" t="s">
        <v>775</v>
      </c>
      <c r="G2867" s="8" t="str">
        <f t="shared" si="181"/>
        <v>16-16</v>
      </c>
      <c r="H2867" s="1">
        <f>_xlfn.IFNA(VLOOKUP(Aragon!E2867,'Kilter Holds'!$P$36:$AB$370,8,0),0)</f>
        <v>0</v>
      </c>
      <c r="J2867" s="2">
        <f t="shared" si="179"/>
        <v>0</v>
      </c>
      <c r="K2867" s="2">
        <f t="shared" si="180"/>
        <v>0</v>
      </c>
    </row>
    <row r="2868" spans="5:11">
      <c r="E2868" t="s">
        <v>55</v>
      </c>
      <c r="F2868" t="s">
        <v>775</v>
      </c>
      <c r="G2868" s="9" t="str">
        <f t="shared" si="181"/>
        <v>13-01</v>
      </c>
      <c r="H2868" s="1">
        <f>_xlfn.IFNA(VLOOKUP(Aragon!E2868,'Kilter Holds'!$P$36:$AB$370,9,0),0)</f>
        <v>0</v>
      </c>
      <c r="J2868" s="2">
        <f t="shared" si="179"/>
        <v>0</v>
      </c>
      <c r="K2868" s="2">
        <f t="shared" si="180"/>
        <v>0</v>
      </c>
    </row>
    <row r="2869" spans="5:11">
      <c r="E2869" t="s">
        <v>55</v>
      </c>
      <c r="F2869" t="s">
        <v>775</v>
      </c>
      <c r="G2869" s="10" t="str">
        <f t="shared" si="181"/>
        <v>07-13</v>
      </c>
      <c r="H2869" s="1">
        <f>_xlfn.IFNA(VLOOKUP(Aragon!E2869,'Kilter Holds'!$P$36:$AB$370,10,0),0)</f>
        <v>0</v>
      </c>
      <c r="J2869" s="2">
        <f t="shared" si="179"/>
        <v>0</v>
      </c>
      <c r="K2869" s="2">
        <f t="shared" si="180"/>
        <v>0</v>
      </c>
    </row>
    <row r="2870" spans="5:11">
      <c r="E2870" t="s">
        <v>55</v>
      </c>
      <c r="F2870" t="s">
        <v>775</v>
      </c>
      <c r="G2870" s="11" t="str">
        <f t="shared" si="181"/>
        <v>11-25</v>
      </c>
      <c r="H2870" s="1">
        <f>_xlfn.IFNA(VLOOKUP(Aragon!E2870,'Kilter Holds'!$P$36:$AB$370,11,0),0)</f>
        <v>0</v>
      </c>
      <c r="J2870" s="2">
        <f t="shared" si="179"/>
        <v>0</v>
      </c>
      <c r="K2870" s="2">
        <f t="shared" si="180"/>
        <v>0</v>
      </c>
    </row>
    <row r="2871" spans="5:11">
      <c r="E2871" t="s">
        <v>55</v>
      </c>
      <c r="F2871" t="s">
        <v>775</v>
      </c>
      <c r="G2871" s="13" t="str">
        <f t="shared" si="181"/>
        <v>18-01</v>
      </c>
      <c r="H2871" s="1">
        <f>_xlfn.IFNA(VLOOKUP(Aragon!E2871,'Kilter Holds'!$P$36:$AB$370,12,0),0)</f>
        <v>0</v>
      </c>
      <c r="J2871" s="2">
        <f t="shared" si="179"/>
        <v>0</v>
      </c>
      <c r="K2871" s="2">
        <f t="shared" si="180"/>
        <v>0</v>
      </c>
    </row>
    <row r="2872" spans="5:11">
      <c r="E2872" t="s">
        <v>55</v>
      </c>
      <c r="F2872" t="s">
        <v>775</v>
      </c>
      <c r="G2872" s="12" t="str">
        <f t="shared" si="181"/>
        <v>12-01</v>
      </c>
      <c r="H2872" s="1">
        <f>_xlfn.IFNA(VLOOKUP(Aragon!E2872,'Kilter Holds'!$P$36:$AB$370,13,0),0)</f>
        <v>0</v>
      </c>
      <c r="J2872" s="2">
        <f t="shared" si="179"/>
        <v>0</v>
      </c>
      <c r="K2872" s="2">
        <f t="shared" si="180"/>
        <v>0</v>
      </c>
    </row>
    <row r="2873" spans="5:11">
      <c r="E2873" t="s">
        <v>270</v>
      </c>
      <c r="F2873" t="s">
        <v>776</v>
      </c>
      <c r="G2873" s="5" t="str">
        <f t="shared" si="181"/>
        <v>11-12</v>
      </c>
      <c r="H2873" s="1">
        <f>_xlfn.IFNA(VLOOKUP(Aragon!E2873,'Kilter Holds'!$P$36:$AB$370,5,0),0)</f>
        <v>0</v>
      </c>
      <c r="J2873" s="2">
        <f t="shared" si="179"/>
        <v>0</v>
      </c>
      <c r="K2873" s="2">
        <f t="shared" si="180"/>
        <v>0</v>
      </c>
    </row>
    <row r="2874" spans="5:11">
      <c r="E2874" t="s">
        <v>270</v>
      </c>
      <c r="F2874" t="s">
        <v>776</v>
      </c>
      <c r="G2874" s="6" t="str">
        <f t="shared" si="181"/>
        <v>14-01</v>
      </c>
      <c r="H2874" s="1">
        <f>_xlfn.IFNA(VLOOKUP(Aragon!E2874,'Kilter Holds'!$P$36:$AB$370,6,0),0)</f>
        <v>0</v>
      </c>
      <c r="J2874" s="2">
        <f t="shared" si="179"/>
        <v>0</v>
      </c>
      <c r="K2874" s="2">
        <f t="shared" si="180"/>
        <v>0</v>
      </c>
    </row>
    <row r="2875" spans="5:11">
      <c r="E2875" t="s">
        <v>270</v>
      </c>
      <c r="F2875" t="s">
        <v>776</v>
      </c>
      <c r="G2875" s="7" t="str">
        <f t="shared" si="181"/>
        <v>15-12</v>
      </c>
      <c r="H2875" s="1">
        <f>_xlfn.IFNA(VLOOKUP(Aragon!E2875,'Kilter Holds'!$P$36:$AB$370,7,0),0)</f>
        <v>0</v>
      </c>
      <c r="J2875" s="2">
        <f t="shared" si="179"/>
        <v>0</v>
      </c>
      <c r="K2875" s="2">
        <f t="shared" si="180"/>
        <v>0</v>
      </c>
    </row>
    <row r="2876" spans="5:11">
      <c r="E2876" t="s">
        <v>270</v>
      </c>
      <c r="F2876" t="s">
        <v>776</v>
      </c>
      <c r="G2876" s="8" t="str">
        <f t="shared" si="181"/>
        <v>16-16</v>
      </c>
      <c r="H2876" s="1">
        <f>_xlfn.IFNA(VLOOKUP(Aragon!E2876,'Kilter Holds'!$P$36:$AB$370,8,0),0)</f>
        <v>0</v>
      </c>
      <c r="J2876" s="2">
        <f t="shared" si="179"/>
        <v>0</v>
      </c>
      <c r="K2876" s="2">
        <f t="shared" si="180"/>
        <v>0</v>
      </c>
    </row>
    <row r="2877" spans="5:11">
      <c r="E2877" t="s">
        <v>270</v>
      </c>
      <c r="F2877" t="s">
        <v>776</v>
      </c>
      <c r="G2877" s="9" t="str">
        <f t="shared" si="181"/>
        <v>13-01</v>
      </c>
      <c r="H2877" s="1">
        <f>_xlfn.IFNA(VLOOKUP(Aragon!E2877,'Kilter Holds'!$P$36:$AB$370,9,0),0)</f>
        <v>0</v>
      </c>
      <c r="J2877" s="2">
        <f t="shared" si="179"/>
        <v>0</v>
      </c>
      <c r="K2877" s="2">
        <f t="shared" si="180"/>
        <v>0</v>
      </c>
    </row>
    <row r="2878" spans="5:11">
      <c r="E2878" t="s">
        <v>270</v>
      </c>
      <c r="F2878" t="s">
        <v>776</v>
      </c>
      <c r="G2878" s="10" t="str">
        <f t="shared" si="181"/>
        <v>07-13</v>
      </c>
      <c r="H2878" s="1">
        <f>_xlfn.IFNA(VLOOKUP(Aragon!E2878,'Kilter Holds'!$P$36:$AB$370,10,0),0)</f>
        <v>0</v>
      </c>
      <c r="J2878" s="2">
        <f t="shared" si="179"/>
        <v>0</v>
      </c>
      <c r="K2878" s="2">
        <f t="shared" si="180"/>
        <v>0</v>
      </c>
    </row>
    <row r="2879" spans="5:11">
      <c r="E2879" t="s">
        <v>270</v>
      </c>
      <c r="F2879" t="s">
        <v>776</v>
      </c>
      <c r="G2879" s="11" t="str">
        <f t="shared" si="181"/>
        <v>11-25</v>
      </c>
      <c r="H2879" s="1">
        <f>_xlfn.IFNA(VLOOKUP(Aragon!E2879,'Kilter Holds'!$P$36:$AB$370,11,0),0)</f>
        <v>0</v>
      </c>
      <c r="J2879" s="2">
        <f t="shared" si="179"/>
        <v>0</v>
      </c>
      <c r="K2879" s="2">
        <f t="shared" si="180"/>
        <v>0</v>
      </c>
    </row>
    <row r="2880" spans="5:11">
      <c r="E2880" t="s">
        <v>270</v>
      </c>
      <c r="F2880" t="s">
        <v>776</v>
      </c>
      <c r="G2880" s="13" t="str">
        <f t="shared" si="181"/>
        <v>18-01</v>
      </c>
      <c r="H2880" s="1">
        <f>_xlfn.IFNA(VLOOKUP(Aragon!E2880,'Kilter Holds'!$P$36:$AB$370,12,0),0)</f>
        <v>0</v>
      </c>
      <c r="J2880" s="2">
        <f t="shared" si="179"/>
        <v>0</v>
      </c>
      <c r="K2880" s="2">
        <f t="shared" si="180"/>
        <v>0</v>
      </c>
    </row>
    <row r="2881" spans="5:11">
      <c r="E2881" t="s">
        <v>270</v>
      </c>
      <c r="F2881" t="s">
        <v>776</v>
      </c>
      <c r="G2881" s="12" t="str">
        <f t="shared" si="181"/>
        <v>12-01</v>
      </c>
      <c r="H2881" s="1">
        <f>_xlfn.IFNA(VLOOKUP(Aragon!E2881,'Kilter Holds'!$P$36:$AB$370,13,0),0)</f>
        <v>0</v>
      </c>
      <c r="J2881" s="2">
        <f t="shared" si="179"/>
        <v>0</v>
      </c>
      <c r="K2881" s="2">
        <f t="shared" si="180"/>
        <v>0</v>
      </c>
    </row>
    <row r="2882" spans="5:11">
      <c r="E2882" t="s">
        <v>95</v>
      </c>
      <c r="F2882" t="s">
        <v>777</v>
      </c>
      <c r="G2882" s="5" t="str">
        <f t="shared" si="181"/>
        <v>11-12</v>
      </c>
      <c r="H2882" s="1">
        <f>_xlfn.IFNA(VLOOKUP(Aragon!E2882,'Kilter Holds'!$P$36:$AB$370,5,0),0)</f>
        <v>0</v>
      </c>
      <c r="J2882" s="2">
        <f t="shared" si="179"/>
        <v>0</v>
      </c>
      <c r="K2882" s="2">
        <f t="shared" si="180"/>
        <v>0</v>
      </c>
    </row>
    <row r="2883" spans="5:11">
      <c r="E2883" t="s">
        <v>95</v>
      </c>
      <c r="F2883" t="s">
        <v>777</v>
      </c>
      <c r="G2883" s="6" t="str">
        <f t="shared" si="181"/>
        <v>14-01</v>
      </c>
      <c r="H2883" s="1">
        <f>_xlfn.IFNA(VLOOKUP(Aragon!E2883,'Kilter Holds'!$P$36:$AB$370,6,0),0)</f>
        <v>0</v>
      </c>
      <c r="J2883" s="2">
        <f t="shared" si="179"/>
        <v>0</v>
      </c>
      <c r="K2883" s="2">
        <f t="shared" si="180"/>
        <v>0</v>
      </c>
    </row>
    <row r="2884" spans="5:11">
      <c r="E2884" t="s">
        <v>95</v>
      </c>
      <c r="F2884" t="s">
        <v>777</v>
      </c>
      <c r="G2884" s="7" t="str">
        <f t="shared" si="181"/>
        <v>15-12</v>
      </c>
      <c r="H2884" s="1">
        <f>_xlfn.IFNA(VLOOKUP(Aragon!E2884,'Kilter Holds'!$P$36:$AB$370,7,0),0)</f>
        <v>0</v>
      </c>
      <c r="J2884" s="2">
        <f t="shared" si="179"/>
        <v>0</v>
      </c>
      <c r="K2884" s="2">
        <f t="shared" si="180"/>
        <v>0</v>
      </c>
    </row>
    <row r="2885" spans="5:11">
      <c r="E2885" t="s">
        <v>95</v>
      </c>
      <c r="F2885" t="s">
        <v>777</v>
      </c>
      <c r="G2885" s="8" t="str">
        <f t="shared" si="181"/>
        <v>16-16</v>
      </c>
      <c r="H2885" s="1">
        <f>_xlfn.IFNA(VLOOKUP(Aragon!E2885,'Kilter Holds'!$P$36:$AB$370,8,0),0)</f>
        <v>0</v>
      </c>
      <c r="J2885" s="2">
        <f t="shared" si="179"/>
        <v>0</v>
      </c>
      <c r="K2885" s="2">
        <f t="shared" si="180"/>
        <v>0</v>
      </c>
    </row>
    <row r="2886" spans="5:11">
      <c r="E2886" t="s">
        <v>95</v>
      </c>
      <c r="F2886" t="s">
        <v>777</v>
      </c>
      <c r="G2886" s="9" t="str">
        <f t="shared" si="181"/>
        <v>13-01</v>
      </c>
      <c r="H2886" s="1">
        <f>_xlfn.IFNA(VLOOKUP(Aragon!E2886,'Kilter Holds'!$P$36:$AB$370,9,0),0)</f>
        <v>0</v>
      </c>
      <c r="J2886" s="2">
        <f t="shared" si="179"/>
        <v>0</v>
      </c>
      <c r="K2886" s="2">
        <f t="shared" si="180"/>
        <v>0</v>
      </c>
    </row>
    <row r="2887" spans="5:11">
      <c r="E2887" t="s">
        <v>95</v>
      </c>
      <c r="F2887" t="s">
        <v>777</v>
      </c>
      <c r="G2887" s="10" t="str">
        <f t="shared" si="181"/>
        <v>07-13</v>
      </c>
      <c r="H2887" s="1">
        <f>_xlfn.IFNA(VLOOKUP(Aragon!E2887,'Kilter Holds'!$P$36:$AB$370,10,0),0)</f>
        <v>0</v>
      </c>
      <c r="J2887" s="2">
        <f t="shared" si="179"/>
        <v>0</v>
      </c>
      <c r="K2887" s="2">
        <f t="shared" si="180"/>
        <v>0</v>
      </c>
    </row>
    <row r="2888" spans="5:11">
      <c r="E2888" t="s">
        <v>95</v>
      </c>
      <c r="F2888" t="s">
        <v>777</v>
      </c>
      <c r="G2888" s="11" t="str">
        <f t="shared" si="181"/>
        <v>11-25</v>
      </c>
      <c r="H2888" s="1">
        <f>_xlfn.IFNA(VLOOKUP(Aragon!E2888,'Kilter Holds'!$P$36:$AB$370,11,0),0)</f>
        <v>0</v>
      </c>
      <c r="J2888" s="2">
        <f t="shared" si="179"/>
        <v>0</v>
      </c>
      <c r="K2888" s="2">
        <f t="shared" si="180"/>
        <v>0</v>
      </c>
    </row>
    <row r="2889" spans="5:11">
      <c r="E2889" t="s">
        <v>95</v>
      </c>
      <c r="F2889" t="s">
        <v>777</v>
      </c>
      <c r="G2889" s="13" t="str">
        <f t="shared" si="181"/>
        <v>18-01</v>
      </c>
      <c r="H2889" s="1">
        <f>_xlfn.IFNA(VLOOKUP(Aragon!E2889,'Kilter Holds'!$P$36:$AB$370,12,0),0)</f>
        <v>0</v>
      </c>
      <c r="J2889" s="2">
        <f t="shared" si="179"/>
        <v>0</v>
      </c>
      <c r="K2889" s="2">
        <f t="shared" si="180"/>
        <v>0</v>
      </c>
    </row>
    <row r="2890" spans="5:11">
      <c r="E2890" t="s">
        <v>95</v>
      </c>
      <c r="F2890" t="s">
        <v>777</v>
      </c>
      <c r="G2890" s="12" t="str">
        <f t="shared" si="181"/>
        <v>12-01</v>
      </c>
      <c r="H2890" s="1">
        <f>_xlfn.IFNA(VLOOKUP(Aragon!E2890,'Kilter Holds'!$P$36:$AB$370,13,0),0)</f>
        <v>0</v>
      </c>
      <c r="J2890" s="2">
        <f t="shared" si="179"/>
        <v>0</v>
      </c>
      <c r="K2890" s="2">
        <f t="shared" si="180"/>
        <v>0</v>
      </c>
    </row>
    <row r="2891" spans="5:11">
      <c r="E2891" t="s">
        <v>271</v>
      </c>
      <c r="F2891" t="s">
        <v>778</v>
      </c>
      <c r="G2891" s="5" t="str">
        <f t="shared" si="181"/>
        <v>11-12</v>
      </c>
      <c r="H2891" s="1">
        <f>_xlfn.IFNA(VLOOKUP(Aragon!E2891,'Kilter Holds'!$P$36:$AB$370,5,0),0)</f>
        <v>0</v>
      </c>
      <c r="J2891" s="2">
        <f t="shared" si="179"/>
        <v>0</v>
      </c>
      <c r="K2891" s="2">
        <f t="shared" si="180"/>
        <v>0</v>
      </c>
    </row>
    <row r="2892" spans="5:11">
      <c r="E2892" t="s">
        <v>271</v>
      </c>
      <c r="F2892" t="s">
        <v>778</v>
      </c>
      <c r="G2892" s="6" t="str">
        <f t="shared" si="181"/>
        <v>14-01</v>
      </c>
      <c r="H2892" s="1">
        <f>_xlfn.IFNA(VLOOKUP(Aragon!E2892,'Kilter Holds'!$P$36:$AB$370,6,0),0)</f>
        <v>0</v>
      </c>
      <c r="J2892" s="2">
        <f t="shared" si="179"/>
        <v>0</v>
      </c>
      <c r="K2892" s="2">
        <f t="shared" si="180"/>
        <v>0</v>
      </c>
    </row>
    <row r="2893" spans="5:11">
      <c r="E2893" t="s">
        <v>271</v>
      </c>
      <c r="F2893" t="s">
        <v>778</v>
      </c>
      <c r="G2893" s="7" t="str">
        <f t="shared" si="181"/>
        <v>15-12</v>
      </c>
      <c r="H2893" s="1">
        <f>_xlfn.IFNA(VLOOKUP(Aragon!E2893,'Kilter Holds'!$P$36:$AB$370,7,0),0)</f>
        <v>0</v>
      </c>
      <c r="J2893" s="2">
        <f t="shared" si="179"/>
        <v>0</v>
      </c>
      <c r="K2893" s="2">
        <f t="shared" si="180"/>
        <v>0</v>
      </c>
    </row>
    <row r="2894" spans="5:11">
      <c r="E2894" t="s">
        <v>271</v>
      </c>
      <c r="F2894" t="s">
        <v>778</v>
      </c>
      <c r="G2894" s="8" t="str">
        <f t="shared" si="181"/>
        <v>16-16</v>
      </c>
      <c r="H2894" s="1">
        <f>_xlfn.IFNA(VLOOKUP(Aragon!E2894,'Kilter Holds'!$P$36:$AB$370,8,0),0)</f>
        <v>0</v>
      </c>
      <c r="J2894" s="2">
        <f t="shared" si="179"/>
        <v>0</v>
      </c>
      <c r="K2894" s="2">
        <f t="shared" si="180"/>
        <v>0</v>
      </c>
    </row>
    <row r="2895" spans="5:11">
      <c r="E2895" t="s">
        <v>271</v>
      </c>
      <c r="F2895" t="s">
        <v>778</v>
      </c>
      <c r="G2895" s="9" t="str">
        <f t="shared" si="181"/>
        <v>13-01</v>
      </c>
      <c r="H2895" s="1">
        <f>_xlfn.IFNA(VLOOKUP(Aragon!E2895,'Kilter Holds'!$P$36:$AB$370,9,0),0)</f>
        <v>0</v>
      </c>
      <c r="J2895" s="2">
        <f t="shared" si="179"/>
        <v>0</v>
      </c>
      <c r="K2895" s="2">
        <f t="shared" si="180"/>
        <v>0</v>
      </c>
    </row>
    <row r="2896" spans="5:11">
      <c r="E2896" t="s">
        <v>271</v>
      </c>
      <c r="F2896" t="s">
        <v>778</v>
      </c>
      <c r="G2896" s="10" t="str">
        <f t="shared" si="181"/>
        <v>07-13</v>
      </c>
      <c r="H2896" s="1">
        <f>_xlfn.IFNA(VLOOKUP(Aragon!E2896,'Kilter Holds'!$P$36:$AB$370,10,0),0)</f>
        <v>0</v>
      </c>
      <c r="J2896" s="2">
        <f t="shared" si="179"/>
        <v>0</v>
      </c>
      <c r="K2896" s="2">
        <f t="shared" si="180"/>
        <v>0</v>
      </c>
    </row>
    <row r="2897" spans="5:11">
      <c r="E2897" t="s">
        <v>271</v>
      </c>
      <c r="F2897" t="s">
        <v>778</v>
      </c>
      <c r="G2897" s="11" t="str">
        <f t="shared" si="181"/>
        <v>11-25</v>
      </c>
      <c r="H2897" s="1">
        <f>_xlfn.IFNA(VLOOKUP(Aragon!E2897,'Kilter Holds'!$P$36:$AB$370,11,0),0)</f>
        <v>0</v>
      </c>
      <c r="J2897" s="2">
        <f t="shared" si="179"/>
        <v>0</v>
      </c>
      <c r="K2897" s="2">
        <f t="shared" si="180"/>
        <v>0</v>
      </c>
    </row>
    <row r="2898" spans="5:11">
      <c r="E2898" t="s">
        <v>271</v>
      </c>
      <c r="F2898" t="s">
        <v>778</v>
      </c>
      <c r="G2898" s="13" t="str">
        <f t="shared" si="181"/>
        <v>18-01</v>
      </c>
      <c r="H2898" s="1">
        <f>_xlfn.IFNA(VLOOKUP(Aragon!E2898,'Kilter Holds'!$P$36:$AB$370,12,0),0)</f>
        <v>0</v>
      </c>
      <c r="J2898" s="2">
        <f t="shared" si="179"/>
        <v>0</v>
      </c>
      <c r="K2898" s="2">
        <f t="shared" si="180"/>
        <v>0</v>
      </c>
    </row>
    <row r="2899" spans="5:11">
      <c r="E2899" t="s">
        <v>271</v>
      </c>
      <c r="F2899" t="s">
        <v>778</v>
      </c>
      <c r="G2899" s="12" t="str">
        <f t="shared" si="181"/>
        <v>12-01</v>
      </c>
      <c r="H2899" s="1">
        <f>_xlfn.IFNA(VLOOKUP(Aragon!E2899,'Kilter Holds'!$P$36:$AB$370,13,0),0)</f>
        <v>0</v>
      </c>
      <c r="J2899" s="2">
        <f t="shared" si="179"/>
        <v>0</v>
      </c>
      <c r="K2899" s="2">
        <f t="shared" si="180"/>
        <v>0</v>
      </c>
    </row>
    <row r="2900" spans="5:11">
      <c r="E2900" t="s">
        <v>96</v>
      </c>
      <c r="F2900" t="s">
        <v>779</v>
      </c>
      <c r="G2900" s="5" t="str">
        <f t="shared" si="181"/>
        <v>11-12</v>
      </c>
      <c r="H2900" s="1">
        <f>_xlfn.IFNA(VLOOKUP(Aragon!E2900,'Kilter Holds'!$P$36:$AB$370,5,0),0)</f>
        <v>0</v>
      </c>
      <c r="J2900" s="2">
        <f t="shared" si="179"/>
        <v>0</v>
      </c>
      <c r="K2900" s="2">
        <f t="shared" si="180"/>
        <v>0</v>
      </c>
    </row>
    <row r="2901" spans="5:11">
      <c r="E2901" t="s">
        <v>96</v>
      </c>
      <c r="F2901" t="s">
        <v>779</v>
      </c>
      <c r="G2901" s="6" t="str">
        <f t="shared" si="181"/>
        <v>14-01</v>
      </c>
      <c r="H2901" s="1">
        <f>_xlfn.IFNA(VLOOKUP(Aragon!E2901,'Kilter Holds'!$P$36:$AB$370,6,0),0)</f>
        <v>0</v>
      </c>
      <c r="J2901" s="2">
        <f t="shared" si="179"/>
        <v>0</v>
      </c>
      <c r="K2901" s="2">
        <f t="shared" si="180"/>
        <v>0</v>
      </c>
    </row>
    <row r="2902" spans="5:11">
      <c r="E2902" t="s">
        <v>96</v>
      </c>
      <c r="F2902" t="s">
        <v>779</v>
      </c>
      <c r="G2902" s="7" t="str">
        <f t="shared" si="181"/>
        <v>15-12</v>
      </c>
      <c r="H2902" s="1">
        <f>_xlfn.IFNA(VLOOKUP(Aragon!E2902,'Kilter Holds'!$P$36:$AB$370,7,0),0)</f>
        <v>0</v>
      </c>
      <c r="J2902" s="2">
        <f t="shared" si="179"/>
        <v>0</v>
      </c>
      <c r="K2902" s="2">
        <f t="shared" si="180"/>
        <v>0</v>
      </c>
    </row>
    <row r="2903" spans="5:11">
      <c r="E2903" t="s">
        <v>96</v>
      </c>
      <c r="F2903" t="s">
        <v>779</v>
      </c>
      <c r="G2903" s="8" t="str">
        <f t="shared" si="181"/>
        <v>16-16</v>
      </c>
      <c r="H2903" s="1">
        <f>_xlfn.IFNA(VLOOKUP(Aragon!E2903,'Kilter Holds'!$P$36:$AB$370,8,0),0)</f>
        <v>0</v>
      </c>
      <c r="J2903" s="2">
        <f t="shared" si="179"/>
        <v>0</v>
      </c>
      <c r="K2903" s="2">
        <f t="shared" si="180"/>
        <v>0</v>
      </c>
    </row>
    <row r="2904" spans="5:11">
      <c r="E2904" t="s">
        <v>96</v>
      </c>
      <c r="F2904" t="s">
        <v>779</v>
      </c>
      <c r="G2904" s="9" t="str">
        <f t="shared" si="181"/>
        <v>13-01</v>
      </c>
      <c r="H2904" s="1">
        <f>_xlfn.IFNA(VLOOKUP(Aragon!E2904,'Kilter Holds'!$P$36:$AB$370,9,0),0)</f>
        <v>0</v>
      </c>
      <c r="J2904" s="2">
        <f t="shared" si="179"/>
        <v>0</v>
      </c>
      <c r="K2904" s="2">
        <f t="shared" si="180"/>
        <v>0</v>
      </c>
    </row>
    <row r="2905" spans="5:11">
      <c r="E2905" t="s">
        <v>96</v>
      </c>
      <c r="F2905" t="s">
        <v>779</v>
      </c>
      <c r="G2905" s="10" t="str">
        <f t="shared" si="181"/>
        <v>07-13</v>
      </c>
      <c r="H2905" s="1">
        <f>_xlfn.IFNA(VLOOKUP(Aragon!E2905,'Kilter Holds'!$P$36:$AB$370,10,0),0)</f>
        <v>0</v>
      </c>
      <c r="J2905" s="2">
        <f t="shared" si="179"/>
        <v>0</v>
      </c>
      <c r="K2905" s="2">
        <f t="shared" si="180"/>
        <v>0</v>
      </c>
    </row>
    <row r="2906" spans="5:11">
      <c r="E2906" t="s">
        <v>96</v>
      </c>
      <c r="F2906" t="s">
        <v>779</v>
      </c>
      <c r="G2906" s="11" t="str">
        <f t="shared" si="181"/>
        <v>11-25</v>
      </c>
      <c r="H2906" s="1">
        <f>_xlfn.IFNA(VLOOKUP(Aragon!E2906,'Kilter Holds'!$P$36:$AB$370,11,0),0)</f>
        <v>0</v>
      </c>
      <c r="J2906" s="2">
        <f t="shared" si="179"/>
        <v>0</v>
      </c>
      <c r="K2906" s="2">
        <f t="shared" si="180"/>
        <v>0</v>
      </c>
    </row>
    <row r="2907" spans="5:11">
      <c r="E2907" t="s">
        <v>96</v>
      </c>
      <c r="F2907" t="s">
        <v>779</v>
      </c>
      <c r="G2907" s="13" t="str">
        <f t="shared" si="181"/>
        <v>18-01</v>
      </c>
      <c r="H2907" s="1">
        <f>_xlfn.IFNA(VLOOKUP(Aragon!E2907,'Kilter Holds'!$P$36:$AB$370,12,0),0)</f>
        <v>0</v>
      </c>
      <c r="J2907" s="2">
        <f t="shared" si="179"/>
        <v>0</v>
      </c>
      <c r="K2907" s="2">
        <f t="shared" si="180"/>
        <v>0</v>
      </c>
    </row>
    <row r="2908" spans="5:11">
      <c r="E2908" t="s">
        <v>96</v>
      </c>
      <c r="F2908" t="s">
        <v>779</v>
      </c>
      <c r="G2908" s="12" t="str">
        <f t="shared" si="181"/>
        <v>12-01</v>
      </c>
      <c r="H2908" s="1">
        <f>_xlfn.IFNA(VLOOKUP(Aragon!E2908,'Kilter Holds'!$P$36:$AB$370,13,0),0)</f>
        <v>0</v>
      </c>
      <c r="J2908" s="2">
        <f t="shared" si="179"/>
        <v>0</v>
      </c>
      <c r="K2908" s="2">
        <f t="shared" si="180"/>
        <v>0</v>
      </c>
    </row>
    <row r="2909" spans="5:11">
      <c r="E2909" t="s">
        <v>56</v>
      </c>
      <c r="F2909" t="s">
        <v>780</v>
      </c>
      <c r="G2909" s="5" t="str">
        <f t="shared" si="181"/>
        <v>11-12</v>
      </c>
      <c r="H2909" s="1">
        <f>_xlfn.IFNA(VLOOKUP(Aragon!E2909,'Kilter Holds'!$P$36:$AB$370,5,0),0)</f>
        <v>0</v>
      </c>
      <c r="J2909" s="2">
        <f t="shared" si="179"/>
        <v>0</v>
      </c>
      <c r="K2909" s="2">
        <f t="shared" si="180"/>
        <v>0</v>
      </c>
    </row>
    <row r="2910" spans="5:11">
      <c r="E2910" t="s">
        <v>56</v>
      </c>
      <c r="F2910" t="s">
        <v>780</v>
      </c>
      <c r="G2910" s="6" t="str">
        <f t="shared" si="181"/>
        <v>14-01</v>
      </c>
      <c r="H2910" s="1">
        <f>_xlfn.IFNA(VLOOKUP(Aragon!E2910,'Kilter Holds'!$P$36:$AB$370,6,0),0)</f>
        <v>0</v>
      </c>
      <c r="J2910" s="2">
        <f t="shared" si="179"/>
        <v>0</v>
      </c>
      <c r="K2910" s="2">
        <f t="shared" si="180"/>
        <v>0</v>
      </c>
    </row>
    <row r="2911" spans="5:11">
      <c r="E2911" t="s">
        <v>56</v>
      </c>
      <c r="F2911" t="s">
        <v>780</v>
      </c>
      <c r="G2911" s="7" t="str">
        <f t="shared" si="181"/>
        <v>15-12</v>
      </c>
      <c r="H2911" s="1">
        <f>_xlfn.IFNA(VLOOKUP(Aragon!E2911,'Kilter Holds'!$P$36:$AB$370,7,0),0)</f>
        <v>0</v>
      </c>
      <c r="J2911" s="2">
        <f t="shared" si="179"/>
        <v>0</v>
      </c>
      <c r="K2911" s="2">
        <f t="shared" si="180"/>
        <v>0</v>
      </c>
    </row>
    <row r="2912" spans="5:11">
      <c r="E2912" t="s">
        <v>56</v>
      </c>
      <c r="F2912" t="s">
        <v>780</v>
      </c>
      <c r="G2912" s="8" t="str">
        <f t="shared" si="181"/>
        <v>16-16</v>
      </c>
      <c r="H2912" s="1">
        <f>_xlfn.IFNA(VLOOKUP(Aragon!E2912,'Kilter Holds'!$P$36:$AB$370,8,0),0)</f>
        <v>0</v>
      </c>
      <c r="J2912" s="2">
        <f t="shared" si="179"/>
        <v>0</v>
      </c>
      <c r="K2912" s="2">
        <f t="shared" si="180"/>
        <v>0</v>
      </c>
    </row>
    <row r="2913" spans="5:11">
      <c r="E2913" t="s">
        <v>56</v>
      </c>
      <c r="F2913" t="s">
        <v>780</v>
      </c>
      <c r="G2913" s="9" t="str">
        <f t="shared" si="181"/>
        <v>13-01</v>
      </c>
      <c r="H2913" s="1">
        <f>_xlfn.IFNA(VLOOKUP(Aragon!E2913,'Kilter Holds'!$P$36:$AB$370,9,0),0)</f>
        <v>0</v>
      </c>
      <c r="J2913" s="2">
        <f t="shared" si="179"/>
        <v>0</v>
      </c>
      <c r="K2913" s="2">
        <f t="shared" si="180"/>
        <v>0</v>
      </c>
    </row>
    <row r="2914" spans="5:11">
      <c r="E2914" t="s">
        <v>56</v>
      </c>
      <c r="F2914" t="s">
        <v>780</v>
      </c>
      <c r="G2914" s="10" t="str">
        <f t="shared" si="181"/>
        <v>07-13</v>
      </c>
      <c r="H2914" s="1">
        <f>_xlfn.IFNA(VLOOKUP(Aragon!E2914,'Kilter Holds'!$P$36:$AB$370,10,0),0)</f>
        <v>0</v>
      </c>
      <c r="J2914" s="2">
        <f t="shared" si="179"/>
        <v>0</v>
      </c>
      <c r="K2914" s="2">
        <f t="shared" si="180"/>
        <v>0</v>
      </c>
    </row>
    <row r="2915" spans="5:11">
      <c r="E2915" t="s">
        <v>56</v>
      </c>
      <c r="F2915" t="s">
        <v>780</v>
      </c>
      <c r="G2915" s="11" t="str">
        <f t="shared" si="181"/>
        <v>11-25</v>
      </c>
      <c r="H2915" s="1">
        <f>_xlfn.IFNA(VLOOKUP(Aragon!E2915,'Kilter Holds'!$P$36:$AB$370,11,0),0)</f>
        <v>0</v>
      </c>
      <c r="J2915" s="2">
        <f t="shared" si="179"/>
        <v>0</v>
      </c>
      <c r="K2915" s="2">
        <f t="shared" si="180"/>
        <v>0</v>
      </c>
    </row>
    <row r="2916" spans="5:11">
      <c r="E2916" t="s">
        <v>56</v>
      </c>
      <c r="F2916" t="s">
        <v>780</v>
      </c>
      <c r="G2916" s="13" t="str">
        <f t="shared" si="181"/>
        <v>18-01</v>
      </c>
      <c r="H2916" s="1">
        <f>_xlfn.IFNA(VLOOKUP(Aragon!E2916,'Kilter Holds'!$P$36:$AB$370,12,0),0)</f>
        <v>0</v>
      </c>
      <c r="J2916" s="2">
        <f t="shared" si="179"/>
        <v>0</v>
      </c>
      <c r="K2916" s="2">
        <f t="shared" si="180"/>
        <v>0</v>
      </c>
    </row>
    <row r="2917" spans="5:11">
      <c r="E2917" t="s">
        <v>56</v>
      </c>
      <c r="F2917" t="s">
        <v>780</v>
      </c>
      <c r="G2917" s="12" t="str">
        <f t="shared" si="181"/>
        <v>12-01</v>
      </c>
      <c r="H2917" s="1">
        <f>_xlfn.IFNA(VLOOKUP(Aragon!E2917,'Kilter Holds'!$P$36:$AB$370,13,0),0)</f>
        <v>0</v>
      </c>
      <c r="J2917" s="2">
        <f t="shared" si="179"/>
        <v>0</v>
      </c>
      <c r="K2917" s="2">
        <f t="shared" si="180"/>
        <v>0</v>
      </c>
    </row>
    <row r="2918" spans="5:11">
      <c r="E2918" t="s">
        <v>930</v>
      </c>
      <c r="F2918" t="s">
        <v>931</v>
      </c>
      <c r="G2918" s="5" t="str">
        <f t="shared" si="181"/>
        <v>11-12</v>
      </c>
      <c r="H2918" s="1">
        <f>_xlfn.IFNA(VLOOKUP(Aragon!E2918,'Kilter Holds'!$P$36:$AB$370,5,0),0)</f>
        <v>0</v>
      </c>
      <c r="J2918" s="2">
        <f t="shared" si="179"/>
        <v>0</v>
      </c>
      <c r="K2918" s="2">
        <f t="shared" si="180"/>
        <v>0</v>
      </c>
    </row>
    <row r="2919" spans="5:11">
      <c r="E2919" t="s">
        <v>930</v>
      </c>
      <c r="F2919" t="s">
        <v>931</v>
      </c>
      <c r="G2919" s="6" t="str">
        <f t="shared" si="181"/>
        <v>14-01</v>
      </c>
      <c r="H2919" s="1">
        <f>_xlfn.IFNA(VLOOKUP(Aragon!E2919,'Kilter Holds'!$P$36:$AB$370,6,0),0)</f>
        <v>0</v>
      </c>
      <c r="J2919" s="2">
        <f t="shared" si="179"/>
        <v>0</v>
      </c>
      <c r="K2919" s="2">
        <f t="shared" si="180"/>
        <v>0</v>
      </c>
    </row>
    <row r="2920" spans="5:11">
      <c r="E2920" t="s">
        <v>930</v>
      </c>
      <c r="F2920" t="s">
        <v>931</v>
      </c>
      <c r="G2920" s="7" t="str">
        <f t="shared" si="181"/>
        <v>15-12</v>
      </c>
      <c r="H2920" s="1">
        <f>_xlfn.IFNA(VLOOKUP(Aragon!E2920,'Kilter Holds'!$P$36:$AB$370,7,0),0)</f>
        <v>0</v>
      </c>
      <c r="J2920" s="2">
        <f t="shared" si="179"/>
        <v>0</v>
      </c>
      <c r="K2920" s="2">
        <f t="shared" si="180"/>
        <v>0</v>
      </c>
    </row>
    <row r="2921" spans="5:11">
      <c r="E2921" t="s">
        <v>930</v>
      </c>
      <c r="F2921" t="s">
        <v>931</v>
      </c>
      <c r="G2921" s="8" t="str">
        <f t="shared" si="181"/>
        <v>16-16</v>
      </c>
      <c r="H2921" s="1">
        <f>_xlfn.IFNA(VLOOKUP(Aragon!E2921,'Kilter Holds'!$P$36:$AB$370,8,0),0)</f>
        <v>0</v>
      </c>
      <c r="J2921" s="2">
        <f t="shared" si="179"/>
        <v>0</v>
      </c>
      <c r="K2921" s="2">
        <f t="shared" si="180"/>
        <v>0</v>
      </c>
    </row>
    <row r="2922" spans="5:11">
      <c r="E2922" t="s">
        <v>930</v>
      </c>
      <c r="F2922" t="s">
        <v>931</v>
      </c>
      <c r="G2922" s="9" t="str">
        <f t="shared" si="181"/>
        <v>13-01</v>
      </c>
      <c r="H2922" s="1">
        <f>_xlfn.IFNA(VLOOKUP(Aragon!E2922,'Kilter Holds'!$P$36:$AB$370,9,0),0)</f>
        <v>0</v>
      </c>
      <c r="J2922" s="2">
        <f t="shared" si="179"/>
        <v>0</v>
      </c>
      <c r="K2922" s="2">
        <f t="shared" si="180"/>
        <v>0</v>
      </c>
    </row>
    <row r="2923" spans="5:11">
      <c r="E2923" t="s">
        <v>930</v>
      </c>
      <c r="F2923" t="s">
        <v>931</v>
      </c>
      <c r="G2923" s="10" t="str">
        <f t="shared" si="181"/>
        <v>07-13</v>
      </c>
      <c r="H2923" s="1">
        <f>_xlfn.IFNA(VLOOKUP(Aragon!E2923,'Kilter Holds'!$P$36:$AB$370,10,0),0)</f>
        <v>0</v>
      </c>
      <c r="J2923" s="2">
        <f t="shared" si="179"/>
        <v>0</v>
      </c>
      <c r="K2923" s="2">
        <f t="shared" si="180"/>
        <v>0</v>
      </c>
    </row>
    <row r="2924" spans="5:11">
      <c r="E2924" t="s">
        <v>930</v>
      </c>
      <c r="F2924" t="s">
        <v>931</v>
      </c>
      <c r="G2924" s="11" t="str">
        <f t="shared" si="181"/>
        <v>11-25</v>
      </c>
      <c r="H2924" s="1">
        <f>_xlfn.IFNA(VLOOKUP(Aragon!E2924,'Kilter Holds'!$P$36:$AB$370,11,0),0)</f>
        <v>0</v>
      </c>
      <c r="J2924" s="2">
        <f t="shared" si="179"/>
        <v>0</v>
      </c>
      <c r="K2924" s="2">
        <f t="shared" si="180"/>
        <v>0</v>
      </c>
    </row>
    <row r="2925" spans="5:11">
      <c r="E2925" t="s">
        <v>930</v>
      </c>
      <c r="F2925" t="s">
        <v>931</v>
      </c>
      <c r="G2925" s="13" t="str">
        <f t="shared" si="181"/>
        <v>18-01</v>
      </c>
      <c r="H2925" s="1">
        <f>_xlfn.IFNA(VLOOKUP(Aragon!E2925,'Kilter Holds'!$P$36:$AB$370,12,0),0)</f>
        <v>0</v>
      </c>
      <c r="J2925" s="2">
        <f t="shared" si="179"/>
        <v>0</v>
      </c>
      <c r="K2925" s="2">
        <f t="shared" si="180"/>
        <v>0</v>
      </c>
    </row>
    <row r="2926" spans="5:11">
      <c r="E2926" t="s">
        <v>930</v>
      </c>
      <c r="F2926" t="s">
        <v>931</v>
      </c>
      <c r="G2926" s="12" t="str">
        <f t="shared" si="181"/>
        <v>12-01</v>
      </c>
      <c r="H2926" s="1">
        <f>_xlfn.IFNA(VLOOKUP(Aragon!E2926,'Kilter Holds'!$P$36:$AB$370,13,0),0)</f>
        <v>0</v>
      </c>
      <c r="J2926" s="2">
        <f t="shared" si="179"/>
        <v>0</v>
      </c>
      <c r="K2926" s="2">
        <f t="shared" si="180"/>
        <v>0</v>
      </c>
    </row>
    <row r="2927" spans="5:11">
      <c r="E2927" t="s">
        <v>889</v>
      </c>
      <c r="F2927" t="s">
        <v>909</v>
      </c>
      <c r="G2927" s="5" t="str">
        <f t="shared" si="181"/>
        <v>11-12</v>
      </c>
      <c r="H2927" s="1">
        <f>_xlfn.IFNA(VLOOKUP(Aragon!E2927,'Kilter Holds'!$P$36:$AB$370,5,0),0)</f>
        <v>0</v>
      </c>
      <c r="J2927" s="2">
        <f t="shared" si="179"/>
        <v>0</v>
      </c>
      <c r="K2927" s="2">
        <f t="shared" si="180"/>
        <v>0</v>
      </c>
    </row>
    <row r="2928" spans="5:11">
      <c r="E2928" t="s">
        <v>889</v>
      </c>
      <c r="F2928" t="s">
        <v>909</v>
      </c>
      <c r="G2928" s="6" t="str">
        <f t="shared" si="181"/>
        <v>14-01</v>
      </c>
      <c r="H2928" s="1">
        <f>_xlfn.IFNA(VLOOKUP(Aragon!E2928,'Kilter Holds'!$P$36:$AB$370,6,0),0)</f>
        <v>0</v>
      </c>
      <c r="J2928" s="2">
        <f t="shared" si="179"/>
        <v>0</v>
      </c>
      <c r="K2928" s="2">
        <f t="shared" ref="K2928:K2991" si="182">IF($V$11="Y",J2928*0.05,0)</f>
        <v>0</v>
      </c>
    </row>
    <row r="2929" spans="5:11">
      <c r="E2929" t="s">
        <v>889</v>
      </c>
      <c r="F2929" t="s">
        <v>909</v>
      </c>
      <c r="G2929" s="7" t="str">
        <f t="shared" ref="G2929:G2992" si="183">G2920</f>
        <v>15-12</v>
      </c>
      <c r="H2929" s="1">
        <f>_xlfn.IFNA(VLOOKUP(Aragon!E2929,'Kilter Holds'!$P$36:$AB$370,7,0),0)</f>
        <v>0</v>
      </c>
      <c r="J2929" s="2">
        <f t="shared" si="179"/>
        <v>0</v>
      </c>
      <c r="K2929" s="2">
        <f t="shared" si="182"/>
        <v>0</v>
      </c>
    </row>
    <row r="2930" spans="5:11">
      <c r="E2930" t="s">
        <v>889</v>
      </c>
      <c r="F2930" t="s">
        <v>909</v>
      </c>
      <c r="G2930" s="8" t="str">
        <f t="shared" si="183"/>
        <v>16-16</v>
      </c>
      <c r="H2930" s="1">
        <f>_xlfn.IFNA(VLOOKUP(Aragon!E2930,'Kilter Holds'!$P$36:$AB$370,8,0),0)</f>
        <v>0</v>
      </c>
      <c r="J2930" s="2">
        <f t="shared" si="179"/>
        <v>0</v>
      </c>
      <c r="K2930" s="2">
        <f t="shared" si="182"/>
        <v>0</v>
      </c>
    </row>
    <row r="2931" spans="5:11">
      <c r="E2931" t="s">
        <v>889</v>
      </c>
      <c r="F2931" t="s">
        <v>909</v>
      </c>
      <c r="G2931" s="9" t="str">
        <f t="shared" si="183"/>
        <v>13-01</v>
      </c>
      <c r="H2931" s="1">
        <f>_xlfn.IFNA(VLOOKUP(Aragon!E2931,'Kilter Holds'!$P$36:$AB$370,9,0),0)</f>
        <v>0</v>
      </c>
      <c r="J2931" s="2">
        <f t="shared" si="179"/>
        <v>0</v>
      </c>
      <c r="K2931" s="2">
        <f t="shared" si="182"/>
        <v>0</v>
      </c>
    </row>
    <row r="2932" spans="5:11">
      <c r="E2932" t="s">
        <v>889</v>
      </c>
      <c r="F2932" t="s">
        <v>909</v>
      </c>
      <c r="G2932" s="10" t="str">
        <f t="shared" si="183"/>
        <v>07-13</v>
      </c>
      <c r="H2932" s="1">
        <f>_xlfn.IFNA(VLOOKUP(Aragon!E2932,'Kilter Holds'!$P$36:$AB$370,10,0),0)</f>
        <v>0</v>
      </c>
      <c r="J2932" s="2">
        <f t="shared" si="179"/>
        <v>0</v>
      </c>
      <c r="K2932" s="2">
        <f t="shared" si="182"/>
        <v>0</v>
      </c>
    </row>
    <row r="2933" spans="5:11">
      <c r="E2933" t="s">
        <v>889</v>
      </c>
      <c r="F2933" t="s">
        <v>909</v>
      </c>
      <c r="G2933" s="11" t="str">
        <f t="shared" si="183"/>
        <v>11-25</v>
      </c>
      <c r="H2933" s="1">
        <f>_xlfn.IFNA(VLOOKUP(Aragon!E2933,'Kilter Holds'!$P$36:$AB$370,11,0),0)</f>
        <v>0</v>
      </c>
      <c r="J2933" s="2">
        <f t="shared" si="179"/>
        <v>0</v>
      </c>
      <c r="K2933" s="2">
        <f t="shared" si="182"/>
        <v>0</v>
      </c>
    </row>
    <row r="2934" spans="5:11">
      <c r="E2934" t="s">
        <v>889</v>
      </c>
      <c r="F2934" t="s">
        <v>909</v>
      </c>
      <c r="G2934" s="13" t="str">
        <f t="shared" si="183"/>
        <v>18-01</v>
      </c>
      <c r="H2934" s="1">
        <f>_xlfn.IFNA(VLOOKUP(Aragon!E2934,'Kilter Holds'!$P$36:$AB$370,12,0),0)</f>
        <v>0</v>
      </c>
      <c r="J2934" s="2">
        <f t="shared" si="179"/>
        <v>0</v>
      </c>
      <c r="K2934" s="2">
        <f t="shared" si="182"/>
        <v>0</v>
      </c>
    </row>
    <row r="2935" spans="5:11">
      <c r="E2935" t="s">
        <v>889</v>
      </c>
      <c r="F2935" t="s">
        <v>909</v>
      </c>
      <c r="G2935" s="12" t="str">
        <f t="shared" si="183"/>
        <v>12-01</v>
      </c>
      <c r="H2935" s="1">
        <f>_xlfn.IFNA(VLOOKUP(Aragon!E2935,'Kilter Holds'!$P$36:$AB$370,13,0),0)</f>
        <v>0</v>
      </c>
      <c r="J2935" s="2">
        <f t="shared" si="179"/>
        <v>0</v>
      </c>
      <c r="K2935" s="2">
        <f t="shared" si="182"/>
        <v>0</v>
      </c>
    </row>
    <row r="2936" spans="5:11">
      <c r="E2936" t="s">
        <v>64</v>
      </c>
      <c r="F2936" t="s">
        <v>781</v>
      </c>
      <c r="G2936" s="5" t="str">
        <f t="shared" si="183"/>
        <v>11-12</v>
      </c>
      <c r="H2936" s="1">
        <f>_xlfn.IFNA(VLOOKUP(Aragon!E2936,'Kilter Holds'!$P$36:$AB$370,5,0),0)</f>
        <v>0</v>
      </c>
      <c r="J2936" s="2">
        <f t="shared" si="179"/>
        <v>0</v>
      </c>
      <c r="K2936" s="2">
        <f t="shared" si="182"/>
        <v>0</v>
      </c>
    </row>
    <row r="2937" spans="5:11">
      <c r="E2937" t="s">
        <v>64</v>
      </c>
      <c r="F2937" t="s">
        <v>781</v>
      </c>
      <c r="G2937" s="6" t="str">
        <f t="shared" si="183"/>
        <v>14-01</v>
      </c>
      <c r="H2937" s="1">
        <f>_xlfn.IFNA(VLOOKUP(Aragon!E2937,'Kilter Holds'!$P$36:$AB$370,6,0),0)</f>
        <v>0</v>
      </c>
      <c r="J2937" s="2">
        <f t="shared" si="179"/>
        <v>0</v>
      </c>
      <c r="K2937" s="2">
        <f t="shared" si="182"/>
        <v>0</v>
      </c>
    </row>
    <row r="2938" spans="5:11">
      <c r="E2938" t="s">
        <v>64</v>
      </c>
      <c r="F2938" t="s">
        <v>781</v>
      </c>
      <c r="G2938" s="7" t="str">
        <f t="shared" si="183"/>
        <v>15-12</v>
      </c>
      <c r="H2938" s="1">
        <f>_xlfn.IFNA(VLOOKUP(Aragon!E2938,'Kilter Holds'!$P$36:$AB$370,7,0),0)</f>
        <v>0</v>
      </c>
      <c r="J2938" s="2">
        <f t="shared" si="179"/>
        <v>0</v>
      </c>
      <c r="K2938" s="2">
        <f t="shared" si="182"/>
        <v>0</v>
      </c>
    </row>
    <row r="2939" spans="5:11">
      <c r="E2939" t="s">
        <v>64</v>
      </c>
      <c r="F2939" t="s">
        <v>781</v>
      </c>
      <c r="G2939" s="8" t="str">
        <f t="shared" si="183"/>
        <v>16-16</v>
      </c>
      <c r="H2939" s="1">
        <f>_xlfn.IFNA(VLOOKUP(Aragon!E2939,'Kilter Holds'!$P$36:$AB$370,8,0),0)</f>
        <v>0</v>
      </c>
      <c r="J2939" s="2">
        <f t="shared" si="179"/>
        <v>0</v>
      </c>
      <c r="K2939" s="2">
        <f t="shared" si="182"/>
        <v>0</v>
      </c>
    </row>
    <row r="2940" spans="5:11">
      <c r="E2940" t="s">
        <v>64</v>
      </c>
      <c r="F2940" t="s">
        <v>781</v>
      </c>
      <c r="G2940" s="9" t="str">
        <f t="shared" si="183"/>
        <v>13-01</v>
      </c>
      <c r="H2940" s="1">
        <f>_xlfn.IFNA(VLOOKUP(Aragon!E2940,'Kilter Holds'!$P$36:$AB$370,9,0),0)</f>
        <v>0</v>
      </c>
      <c r="J2940" s="2">
        <f t="shared" si="179"/>
        <v>0</v>
      </c>
      <c r="K2940" s="2">
        <f t="shared" si="182"/>
        <v>0</v>
      </c>
    </row>
    <row r="2941" spans="5:11">
      <c r="E2941" t="s">
        <v>64</v>
      </c>
      <c r="F2941" t="s">
        <v>781</v>
      </c>
      <c r="G2941" s="10" t="str">
        <f t="shared" si="183"/>
        <v>07-13</v>
      </c>
      <c r="H2941" s="1">
        <f>_xlfn.IFNA(VLOOKUP(Aragon!E2941,'Kilter Holds'!$P$36:$AB$370,10,0),0)</f>
        <v>0</v>
      </c>
      <c r="J2941" s="2">
        <f t="shared" si="179"/>
        <v>0</v>
      </c>
      <c r="K2941" s="2">
        <f t="shared" si="182"/>
        <v>0</v>
      </c>
    </row>
    <row r="2942" spans="5:11">
      <c r="E2942" t="s">
        <v>64</v>
      </c>
      <c r="F2942" t="s">
        <v>781</v>
      </c>
      <c r="G2942" s="11" t="str">
        <f t="shared" si="183"/>
        <v>11-25</v>
      </c>
      <c r="H2942" s="1">
        <f>_xlfn.IFNA(VLOOKUP(Aragon!E2942,'Kilter Holds'!$P$36:$AB$370,11,0),0)</f>
        <v>0</v>
      </c>
      <c r="J2942" s="2">
        <f t="shared" si="179"/>
        <v>0</v>
      </c>
      <c r="K2942" s="2">
        <f t="shared" si="182"/>
        <v>0</v>
      </c>
    </row>
    <row r="2943" spans="5:11">
      <c r="E2943" t="s">
        <v>64</v>
      </c>
      <c r="F2943" t="s">
        <v>781</v>
      </c>
      <c r="G2943" s="13" t="str">
        <f t="shared" si="183"/>
        <v>18-01</v>
      </c>
      <c r="H2943" s="1">
        <f>_xlfn.IFNA(VLOOKUP(Aragon!E2943,'Kilter Holds'!$P$36:$AB$370,12,0),0)</f>
        <v>0</v>
      </c>
      <c r="J2943" s="2">
        <f t="shared" si="179"/>
        <v>0</v>
      </c>
      <c r="K2943" s="2">
        <f t="shared" si="182"/>
        <v>0</v>
      </c>
    </row>
    <row r="2944" spans="5:11">
      <c r="E2944" t="s">
        <v>64</v>
      </c>
      <c r="F2944" t="s">
        <v>781</v>
      </c>
      <c r="G2944" s="12" t="str">
        <f t="shared" si="183"/>
        <v>12-01</v>
      </c>
      <c r="H2944" s="1">
        <f>_xlfn.IFNA(VLOOKUP(Aragon!E2944,'Kilter Holds'!$P$36:$AB$370,13,0),0)</f>
        <v>0</v>
      </c>
      <c r="J2944" s="2">
        <f t="shared" si="179"/>
        <v>0</v>
      </c>
      <c r="K2944" s="2">
        <f t="shared" si="182"/>
        <v>0</v>
      </c>
    </row>
    <row r="2945" spans="5:11">
      <c r="E2945" t="s">
        <v>65</v>
      </c>
      <c r="F2945" t="s">
        <v>782</v>
      </c>
      <c r="G2945" s="5" t="str">
        <f t="shared" si="183"/>
        <v>11-12</v>
      </c>
      <c r="H2945" s="1">
        <f>_xlfn.IFNA(VLOOKUP(Aragon!E2945,'Kilter Holds'!$P$36:$AB$370,5,0),0)</f>
        <v>0</v>
      </c>
      <c r="J2945" s="2">
        <f t="shared" ref="J2945:J3008" si="184">H2945*I2945</f>
        <v>0</v>
      </c>
      <c r="K2945" s="2">
        <f t="shared" si="182"/>
        <v>0</v>
      </c>
    </row>
    <row r="2946" spans="5:11">
      <c r="E2946" t="s">
        <v>65</v>
      </c>
      <c r="F2946" t="s">
        <v>782</v>
      </c>
      <c r="G2946" s="6" t="str">
        <f t="shared" si="183"/>
        <v>14-01</v>
      </c>
      <c r="H2946" s="1">
        <f>_xlfn.IFNA(VLOOKUP(Aragon!E2946,'Kilter Holds'!$P$36:$AB$370,6,0),0)</f>
        <v>0</v>
      </c>
      <c r="J2946" s="2">
        <f t="shared" si="184"/>
        <v>0</v>
      </c>
      <c r="K2946" s="2">
        <f t="shared" si="182"/>
        <v>0</v>
      </c>
    </row>
    <row r="2947" spans="5:11">
      <c r="E2947" t="s">
        <v>65</v>
      </c>
      <c r="F2947" t="s">
        <v>782</v>
      </c>
      <c r="G2947" s="7" t="str">
        <f t="shared" si="183"/>
        <v>15-12</v>
      </c>
      <c r="H2947" s="1">
        <f>_xlfn.IFNA(VLOOKUP(Aragon!E2947,'Kilter Holds'!$P$36:$AB$370,7,0),0)</f>
        <v>0</v>
      </c>
      <c r="J2947" s="2">
        <f t="shared" si="184"/>
        <v>0</v>
      </c>
      <c r="K2947" s="2">
        <f t="shared" si="182"/>
        <v>0</v>
      </c>
    </row>
    <row r="2948" spans="5:11">
      <c r="E2948" t="s">
        <v>65</v>
      </c>
      <c r="F2948" t="s">
        <v>782</v>
      </c>
      <c r="G2948" s="8" t="str">
        <f t="shared" si="183"/>
        <v>16-16</v>
      </c>
      <c r="H2948" s="1">
        <f>_xlfn.IFNA(VLOOKUP(Aragon!E2948,'Kilter Holds'!$P$36:$AB$370,8,0),0)</f>
        <v>0</v>
      </c>
      <c r="J2948" s="2">
        <f t="shared" si="184"/>
        <v>0</v>
      </c>
      <c r="K2948" s="2">
        <f t="shared" si="182"/>
        <v>0</v>
      </c>
    </row>
    <row r="2949" spans="5:11">
      <c r="E2949" t="s">
        <v>65</v>
      </c>
      <c r="F2949" t="s">
        <v>782</v>
      </c>
      <c r="G2949" s="9" t="str">
        <f t="shared" si="183"/>
        <v>13-01</v>
      </c>
      <c r="H2949" s="1">
        <f>_xlfn.IFNA(VLOOKUP(Aragon!E2949,'Kilter Holds'!$P$36:$AB$370,9,0),0)</f>
        <v>0</v>
      </c>
      <c r="J2949" s="2">
        <f t="shared" si="184"/>
        <v>0</v>
      </c>
      <c r="K2949" s="2">
        <f t="shared" si="182"/>
        <v>0</v>
      </c>
    </row>
    <row r="2950" spans="5:11">
      <c r="E2950" t="s">
        <v>65</v>
      </c>
      <c r="F2950" t="s">
        <v>782</v>
      </c>
      <c r="G2950" s="10" t="str">
        <f t="shared" si="183"/>
        <v>07-13</v>
      </c>
      <c r="H2950" s="1">
        <f>_xlfn.IFNA(VLOOKUP(Aragon!E2950,'Kilter Holds'!$P$36:$AB$370,10,0),0)</f>
        <v>0</v>
      </c>
      <c r="J2950" s="2">
        <f t="shared" si="184"/>
        <v>0</v>
      </c>
      <c r="K2950" s="2">
        <f t="shared" si="182"/>
        <v>0</v>
      </c>
    </row>
    <row r="2951" spans="5:11">
      <c r="E2951" t="s">
        <v>65</v>
      </c>
      <c r="F2951" t="s">
        <v>782</v>
      </c>
      <c r="G2951" s="11" t="str">
        <f t="shared" si="183"/>
        <v>11-25</v>
      </c>
      <c r="H2951" s="1">
        <f>_xlfn.IFNA(VLOOKUP(Aragon!E2951,'Kilter Holds'!$P$36:$AB$370,11,0),0)</f>
        <v>0</v>
      </c>
      <c r="J2951" s="2">
        <f t="shared" si="184"/>
        <v>0</v>
      </c>
      <c r="K2951" s="2">
        <f t="shared" si="182"/>
        <v>0</v>
      </c>
    </row>
    <row r="2952" spans="5:11">
      <c r="E2952" t="s">
        <v>65</v>
      </c>
      <c r="F2952" t="s">
        <v>782</v>
      </c>
      <c r="G2952" s="13" t="str">
        <f t="shared" si="183"/>
        <v>18-01</v>
      </c>
      <c r="H2952" s="1">
        <f>_xlfn.IFNA(VLOOKUP(Aragon!E2952,'Kilter Holds'!$P$36:$AB$370,12,0),0)</f>
        <v>0</v>
      </c>
      <c r="J2952" s="2">
        <f t="shared" si="184"/>
        <v>0</v>
      </c>
      <c r="K2952" s="2">
        <f t="shared" si="182"/>
        <v>0</v>
      </c>
    </row>
    <row r="2953" spans="5:11">
      <c r="E2953" t="s">
        <v>65</v>
      </c>
      <c r="F2953" t="s">
        <v>782</v>
      </c>
      <c r="G2953" s="12" t="str">
        <f t="shared" si="183"/>
        <v>12-01</v>
      </c>
      <c r="H2953" s="1">
        <f>_xlfn.IFNA(VLOOKUP(Aragon!E2953,'Kilter Holds'!$P$36:$AB$370,13,0),0)</f>
        <v>0</v>
      </c>
      <c r="J2953" s="2">
        <f t="shared" si="184"/>
        <v>0</v>
      </c>
      <c r="K2953" s="2">
        <f t="shared" si="182"/>
        <v>0</v>
      </c>
    </row>
    <row r="2954" spans="5:11">
      <c r="E2954" t="s">
        <v>92</v>
      </c>
      <c r="F2954" t="s">
        <v>783</v>
      </c>
      <c r="G2954" s="5" t="str">
        <f t="shared" si="183"/>
        <v>11-12</v>
      </c>
      <c r="H2954" s="1">
        <f>_xlfn.IFNA(VLOOKUP(Aragon!E2954,'Kilter Holds'!$P$36:$AB$370,5,0),0)</f>
        <v>0</v>
      </c>
      <c r="J2954" s="2">
        <f t="shared" si="184"/>
        <v>0</v>
      </c>
      <c r="K2954" s="2">
        <f t="shared" si="182"/>
        <v>0</v>
      </c>
    </row>
    <row r="2955" spans="5:11">
      <c r="E2955" t="s">
        <v>92</v>
      </c>
      <c r="F2955" t="s">
        <v>783</v>
      </c>
      <c r="G2955" s="6" t="str">
        <f t="shared" si="183"/>
        <v>14-01</v>
      </c>
      <c r="H2955" s="1">
        <f>_xlfn.IFNA(VLOOKUP(Aragon!E2955,'Kilter Holds'!$P$36:$AB$370,6,0),0)</f>
        <v>0</v>
      </c>
      <c r="J2955" s="2">
        <f t="shared" si="184"/>
        <v>0</v>
      </c>
      <c r="K2955" s="2">
        <f t="shared" si="182"/>
        <v>0</v>
      </c>
    </row>
    <row r="2956" spans="5:11">
      <c r="E2956" t="s">
        <v>92</v>
      </c>
      <c r="F2956" t="s">
        <v>783</v>
      </c>
      <c r="G2956" s="7" t="str">
        <f t="shared" si="183"/>
        <v>15-12</v>
      </c>
      <c r="H2956" s="1">
        <f>_xlfn.IFNA(VLOOKUP(Aragon!E2956,'Kilter Holds'!$P$36:$AB$370,7,0),0)</f>
        <v>0</v>
      </c>
      <c r="J2956" s="2">
        <f t="shared" si="184"/>
        <v>0</v>
      </c>
      <c r="K2956" s="2">
        <f t="shared" si="182"/>
        <v>0</v>
      </c>
    </row>
    <row r="2957" spans="5:11">
      <c r="E2957" t="s">
        <v>92</v>
      </c>
      <c r="F2957" t="s">
        <v>783</v>
      </c>
      <c r="G2957" s="8" t="str">
        <f t="shared" si="183"/>
        <v>16-16</v>
      </c>
      <c r="H2957" s="1">
        <f>_xlfn.IFNA(VLOOKUP(Aragon!E2957,'Kilter Holds'!$P$36:$AB$370,8,0),0)</f>
        <v>0</v>
      </c>
      <c r="J2957" s="2">
        <f t="shared" si="184"/>
        <v>0</v>
      </c>
      <c r="K2957" s="2">
        <f t="shared" si="182"/>
        <v>0</v>
      </c>
    </row>
    <row r="2958" spans="5:11">
      <c r="E2958" t="s">
        <v>92</v>
      </c>
      <c r="F2958" t="s">
        <v>783</v>
      </c>
      <c r="G2958" s="9" t="str">
        <f t="shared" si="183"/>
        <v>13-01</v>
      </c>
      <c r="H2958" s="1">
        <f>_xlfn.IFNA(VLOOKUP(Aragon!E2958,'Kilter Holds'!$P$36:$AB$370,9,0),0)</f>
        <v>0</v>
      </c>
      <c r="J2958" s="2">
        <f t="shared" si="184"/>
        <v>0</v>
      </c>
      <c r="K2958" s="2">
        <f t="shared" si="182"/>
        <v>0</v>
      </c>
    </row>
    <row r="2959" spans="5:11">
      <c r="E2959" t="s">
        <v>92</v>
      </c>
      <c r="F2959" t="s">
        <v>783</v>
      </c>
      <c r="G2959" s="10" t="str">
        <f t="shared" si="183"/>
        <v>07-13</v>
      </c>
      <c r="H2959" s="1">
        <f>_xlfn.IFNA(VLOOKUP(Aragon!E2959,'Kilter Holds'!$P$36:$AB$370,10,0),0)</f>
        <v>0</v>
      </c>
      <c r="J2959" s="2">
        <f t="shared" si="184"/>
        <v>0</v>
      </c>
      <c r="K2959" s="2">
        <f t="shared" si="182"/>
        <v>0</v>
      </c>
    </row>
    <row r="2960" spans="5:11">
      <c r="E2960" t="s">
        <v>92</v>
      </c>
      <c r="F2960" t="s">
        <v>783</v>
      </c>
      <c r="G2960" s="11" t="str">
        <f t="shared" si="183"/>
        <v>11-25</v>
      </c>
      <c r="H2960" s="1">
        <f>_xlfn.IFNA(VLOOKUP(Aragon!E2960,'Kilter Holds'!$P$36:$AB$370,11,0),0)</f>
        <v>0</v>
      </c>
      <c r="J2960" s="2">
        <f t="shared" si="184"/>
        <v>0</v>
      </c>
      <c r="K2960" s="2">
        <f t="shared" si="182"/>
        <v>0</v>
      </c>
    </row>
    <row r="2961" spans="5:11">
      <c r="E2961" t="s">
        <v>92</v>
      </c>
      <c r="F2961" t="s">
        <v>783</v>
      </c>
      <c r="G2961" s="13" t="str">
        <f t="shared" si="183"/>
        <v>18-01</v>
      </c>
      <c r="H2961" s="1">
        <f>_xlfn.IFNA(VLOOKUP(Aragon!E2961,'Kilter Holds'!$P$36:$AB$370,12,0),0)</f>
        <v>0</v>
      </c>
      <c r="J2961" s="2">
        <f t="shared" si="184"/>
        <v>0</v>
      </c>
      <c r="K2961" s="2">
        <f t="shared" si="182"/>
        <v>0</v>
      </c>
    </row>
    <row r="2962" spans="5:11">
      <c r="E2962" t="s">
        <v>92</v>
      </c>
      <c r="F2962" t="s">
        <v>783</v>
      </c>
      <c r="G2962" s="12" t="str">
        <f t="shared" si="183"/>
        <v>12-01</v>
      </c>
      <c r="H2962" s="1">
        <f>_xlfn.IFNA(VLOOKUP(Aragon!E2962,'Kilter Holds'!$P$36:$AB$370,13,0),0)</f>
        <v>0</v>
      </c>
      <c r="J2962" s="2">
        <f t="shared" si="184"/>
        <v>0</v>
      </c>
      <c r="K2962" s="2">
        <f t="shared" si="182"/>
        <v>0</v>
      </c>
    </row>
    <row r="2963" spans="5:11">
      <c r="E2963" t="s">
        <v>518</v>
      </c>
      <c r="F2963" t="s">
        <v>784</v>
      </c>
      <c r="G2963" s="5" t="str">
        <f t="shared" si="183"/>
        <v>11-12</v>
      </c>
      <c r="H2963" s="1">
        <f>_xlfn.IFNA(VLOOKUP(Aragon!E2963,'Kilter Holds'!$P$36:$AB$370,5,0),0)</f>
        <v>0</v>
      </c>
      <c r="J2963" s="2">
        <f t="shared" si="184"/>
        <v>0</v>
      </c>
      <c r="K2963" s="2">
        <f t="shared" si="182"/>
        <v>0</v>
      </c>
    </row>
    <row r="2964" spans="5:11">
      <c r="E2964" t="s">
        <v>518</v>
      </c>
      <c r="F2964" t="s">
        <v>784</v>
      </c>
      <c r="G2964" s="6" t="str">
        <f t="shared" si="183"/>
        <v>14-01</v>
      </c>
      <c r="H2964" s="1">
        <f>_xlfn.IFNA(VLOOKUP(Aragon!E2964,'Kilter Holds'!$P$36:$AB$370,6,0),0)</f>
        <v>0</v>
      </c>
      <c r="J2964" s="2">
        <f t="shared" si="184"/>
        <v>0</v>
      </c>
      <c r="K2964" s="2">
        <f t="shared" si="182"/>
        <v>0</v>
      </c>
    </row>
    <row r="2965" spans="5:11">
      <c r="E2965" t="s">
        <v>518</v>
      </c>
      <c r="F2965" t="s">
        <v>784</v>
      </c>
      <c r="G2965" s="7" t="str">
        <f t="shared" si="183"/>
        <v>15-12</v>
      </c>
      <c r="H2965" s="1">
        <f>_xlfn.IFNA(VLOOKUP(Aragon!E2965,'Kilter Holds'!$P$36:$AB$370,7,0),0)</f>
        <v>0</v>
      </c>
      <c r="J2965" s="2">
        <f t="shared" si="184"/>
        <v>0</v>
      </c>
      <c r="K2965" s="2">
        <f t="shared" si="182"/>
        <v>0</v>
      </c>
    </row>
    <row r="2966" spans="5:11">
      <c r="E2966" t="s">
        <v>518</v>
      </c>
      <c r="F2966" t="s">
        <v>784</v>
      </c>
      <c r="G2966" s="8" t="str">
        <f t="shared" si="183"/>
        <v>16-16</v>
      </c>
      <c r="H2966" s="1">
        <f>_xlfn.IFNA(VLOOKUP(Aragon!E2966,'Kilter Holds'!$P$36:$AB$370,8,0),0)</f>
        <v>0</v>
      </c>
      <c r="J2966" s="2">
        <f t="shared" si="184"/>
        <v>0</v>
      </c>
      <c r="K2966" s="2">
        <f t="shared" si="182"/>
        <v>0</v>
      </c>
    </row>
    <row r="2967" spans="5:11">
      <c r="E2967" t="s">
        <v>518</v>
      </c>
      <c r="F2967" t="s">
        <v>784</v>
      </c>
      <c r="G2967" s="9" t="str">
        <f t="shared" si="183"/>
        <v>13-01</v>
      </c>
      <c r="H2967" s="1">
        <f>_xlfn.IFNA(VLOOKUP(Aragon!E2967,'Kilter Holds'!$P$36:$AB$370,9,0),0)</f>
        <v>0</v>
      </c>
      <c r="J2967" s="2">
        <f t="shared" si="184"/>
        <v>0</v>
      </c>
      <c r="K2967" s="2">
        <f t="shared" si="182"/>
        <v>0</v>
      </c>
    </row>
    <row r="2968" spans="5:11">
      <c r="E2968" t="s">
        <v>518</v>
      </c>
      <c r="F2968" t="s">
        <v>784</v>
      </c>
      <c r="G2968" s="10" t="str">
        <f t="shared" si="183"/>
        <v>07-13</v>
      </c>
      <c r="H2968" s="1">
        <f>_xlfn.IFNA(VLOOKUP(Aragon!E2968,'Kilter Holds'!$P$36:$AB$370,10,0),0)</f>
        <v>0</v>
      </c>
      <c r="J2968" s="2">
        <f t="shared" si="184"/>
        <v>0</v>
      </c>
      <c r="K2968" s="2">
        <f t="shared" si="182"/>
        <v>0</v>
      </c>
    </row>
    <row r="2969" spans="5:11">
      <c r="E2969" t="s">
        <v>518</v>
      </c>
      <c r="F2969" t="s">
        <v>784</v>
      </c>
      <c r="G2969" s="11" t="str">
        <f t="shared" si="183"/>
        <v>11-25</v>
      </c>
      <c r="H2969" s="1">
        <f>_xlfn.IFNA(VLOOKUP(Aragon!E2969,'Kilter Holds'!$P$36:$AB$370,11,0),0)</f>
        <v>0</v>
      </c>
      <c r="J2969" s="2">
        <f t="shared" si="184"/>
        <v>0</v>
      </c>
      <c r="K2969" s="2">
        <f t="shared" si="182"/>
        <v>0</v>
      </c>
    </row>
    <row r="2970" spans="5:11">
      <c r="E2970" t="s">
        <v>518</v>
      </c>
      <c r="F2970" t="s">
        <v>784</v>
      </c>
      <c r="G2970" s="13" t="str">
        <f t="shared" si="183"/>
        <v>18-01</v>
      </c>
      <c r="H2970" s="1">
        <f>_xlfn.IFNA(VLOOKUP(Aragon!E2970,'Kilter Holds'!$P$36:$AB$370,12,0),0)</f>
        <v>0</v>
      </c>
      <c r="J2970" s="2">
        <f t="shared" si="184"/>
        <v>0</v>
      </c>
      <c r="K2970" s="2">
        <f t="shared" si="182"/>
        <v>0</v>
      </c>
    </row>
    <row r="2971" spans="5:11">
      <c r="E2971" t="s">
        <v>518</v>
      </c>
      <c r="F2971" t="s">
        <v>784</v>
      </c>
      <c r="G2971" s="12" t="str">
        <f t="shared" si="183"/>
        <v>12-01</v>
      </c>
      <c r="H2971" s="1">
        <f>_xlfn.IFNA(VLOOKUP(Aragon!E2971,'Kilter Holds'!$P$36:$AB$370,13,0),0)</f>
        <v>0</v>
      </c>
      <c r="J2971" s="2">
        <f t="shared" si="184"/>
        <v>0</v>
      </c>
      <c r="K2971" s="2">
        <f t="shared" si="182"/>
        <v>0</v>
      </c>
    </row>
    <row r="2972" spans="5:11">
      <c r="E2972" t="s">
        <v>93</v>
      </c>
      <c r="F2972" t="s">
        <v>785</v>
      </c>
      <c r="G2972" s="5" t="str">
        <f t="shared" si="183"/>
        <v>11-12</v>
      </c>
      <c r="H2972" s="1">
        <f>_xlfn.IFNA(VLOOKUP(Aragon!E2972,'Kilter Holds'!$P$36:$AB$370,5,0),0)</f>
        <v>0</v>
      </c>
      <c r="J2972" s="2">
        <f t="shared" si="184"/>
        <v>0</v>
      </c>
      <c r="K2972" s="2">
        <f t="shared" si="182"/>
        <v>0</v>
      </c>
    </row>
    <row r="2973" spans="5:11">
      <c r="E2973" t="s">
        <v>93</v>
      </c>
      <c r="F2973" t="s">
        <v>785</v>
      </c>
      <c r="G2973" s="6" t="str">
        <f t="shared" si="183"/>
        <v>14-01</v>
      </c>
      <c r="H2973" s="1">
        <f>_xlfn.IFNA(VLOOKUP(Aragon!E2973,'Kilter Holds'!$P$36:$AB$370,6,0),0)</f>
        <v>0</v>
      </c>
      <c r="J2973" s="2">
        <f t="shared" si="184"/>
        <v>0</v>
      </c>
      <c r="K2973" s="2">
        <f t="shared" si="182"/>
        <v>0</v>
      </c>
    </row>
    <row r="2974" spans="5:11">
      <c r="E2974" t="s">
        <v>93</v>
      </c>
      <c r="F2974" t="s">
        <v>785</v>
      </c>
      <c r="G2974" s="7" t="str">
        <f t="shared" si="183"/>
        <v>15-12</v>
      </c>
      <c r="H2974" s="1">
        <f>_xlfn.IFNA(VLOOKUP(Aragon!E2974,'Kilter Holds'!$P$36:$AB$370,7,0),0)</f>
        <v>0</v>
      </c>
      <c r="J2974" s="2">
        <f t="shared" si="184"/>
        <v>0</v>
      </c>
      <c r="K2974" s="2">
        <f t="shared" si="182"/>
        <v>0</v>
      </c>
    </row>
    <row r="2975" spans="5:11">
      <c r="E2975" t="s">
        <v>93</v>
      </c>
      <c r="F2975" t="s">
        <v>785</v>
      </c>
      <c r="G2975" s="8" t="str">
        <f t="shared" si="183"/>
        <v>16-16</v>
      </c>
      <c r="H2975" s="1">
        <f>_xlfn.IFNA(VLOOKUP(Aragon!E2975,'Kilter Holds'!$P$36:$AB$370,8,0),0)</f>
        <v>0</v>
      </c>
      <c r="J2975" s="2">
        <f t="shared" si="184"/>
        <v>0</v>
      </c>
      <c r="K2975" s="2">
        <f t="shared" si="182"/>
        <v>0</v>
      </c>
    </row>
    <row r="2976" spans="5:11">
      <c r="E2976" t="s">
        <v>93</v>
      </c>
      <c r="F2976" t="s">
        <v>785</v>
      </c>
      <c r="G2976" s="9" t="str">
        <f t="shared" si="183"/>
        <v>13-01</v>
      </c>
      <c r="H2976" s="1">
        <f>_xlfn.IFNA(VLOOKUP(Aragon!E2976,'Kilter Holds'!$P$36:$AB$370,9,0),0)</f>
        <v>0</v>
      </c>
      <c r="J2976" s="2">
        <f t="shared" si="184"/>
        <v>0</v>
      </c>
      <c r="K2976" s="2">
        <f t="shared" si="182"/>
        <v>0</v>
      </c>
    </row>
    <row r="2977" spans="5:11">
      <c r="E2977" t="s">
        <v>93</v>
      </c>
      <c r="F2977" t="s">
        <v>785</v>
      </c>
      <c r="G2977" s="10" t="str">
        <f t="shared" si="183"/>
        <v>07-13</v>
      </c>
      <c r="H2977" s="1">
        <f>_xlfn.IFNA(VLOOKUP(Aragon!E2977,'Kilter Holds'!$P$36:$AB$370,10,0),0)</f>
        <v>0</v>
      </c>
      <c r="J2977" s="2">
        <f t="shared" si="184"/>
        <v>0</v>
      </c>
      <c r="K2977" s="2">
        <f t="shared" si="182"/>
        <v>0</v>
      </c>
    </row>
    <row r="2978" spans="5:11">
      <c r="E2978" t="s">
        <v>93</v>
      </c>
      <c r="F2978" t="s">
        <v>785</v>
      </c>
      <c r="G2978" s="11" t="str">
        <f t="shared" si="183"/>
        <v>11-25</v>
      </c>
      <c r="H2978" s="1">
        <f>_xlfn.IFNA(VLOOKUP(Aragon!E2978,'Kilter Holds'!$P$36:$AB$370,11,0),0)</f>
        <v>0</v>
      </c>
      <c r="J2978" s="2">
        <f t="shared" si="184"/>
        <v>0</v>
      </c>
      <c r="K2978" s="2">
        <f t="shared" si="182"/>
        <v>0</v>
      </c>
    </row>
    <row r="2979" spans="5:11">
      <c r="E2979" t="s">
        <v>93</v>
      </c>
      <c r="F2979" t="s">
        <v>785</v>
      </c>
      <c r="G2979" s="13" t="str">
        <f t="shared" si="183"/>
        <v>18-01</v>
      </c>
      <c r="H2979" s="1">
        <f>_xlfn.IFNA(VLOOKUP(Aragon!E2979,'Kilter Holds'!$P$36:$AB$370,12,0),0)</f>
        <v>0</v>
      </c>
      <c r="J2979" s="2">
        <f t="shared" si="184"/>
        <v>0</v>
      </c>
      <c r="K2979" s="2">
        <f t="shared" si="182"/>
        <v>0</v>
      </c>
    </row>
    <row r="2980" spans="5:11">
      <c r="E2980" t="s">
        <v>93</v>
      </c>
      <c r="F2980" t="s">
        <v>785</v>
      </c>
      <c r="G2980" s="12" t="str">
        <f t="shared" si="183"/>
        <v>12-01</v>
      </c>
      <c r="H2980" s="1">
        <f>_xlfn.IFNA(VLOOKUP(Aragon!E2980,'Kilter Holds'!$P$36:$AB$370,13,0),0)</f>
        <v>0</v>
      </c>
      <c r="J2980" s="2">
        <f t="shared" si="184"/>
        <v>0</v>
      </c>
      <c r="K2980" s="2">
        <f t="shared" si="182"/>
        <v>0</v>
      </c>
    </row>
    <row r="2981" spans="5:11">
      <c r="E2981" t="s">
        <v>94</v>
      </c>
      <c r="F2981" t="s">
        <v>786</v>
      </c>
      <c r="G2981" s="5" t="str">
        <f t="shared" si="183"/>
        <v>11-12</v>
      </c>
      <c r="H2981" s="1">
        <f>_xlfn.IFNA(VLOOKUP(Aragon!E2981,'Kilter Holds'!$P$36:$AB$370,5,0),0)</f>
        <v>0</v>
      </c>
      <c r="J2981" s="2">
        <f t="shared" si="184"/>
        <v>0</v>
      </c>
      <c r="K2981" s="2">
        <f t="shared" si="182"/>
        <v>0</v>
      </c>
    </row>
    <row r="2982" spans="5:11">
      <c r="E2982" t="s">
        <v>94</v>
      </c>
      <c r="F2982" t="s">
        <v>786</v>
      </c>
      <c r="G2982" s="6" t="str">
        <f t="shared" si="183"/>
        <v>14-01</v>
      </c>
      <c r="H2982" s="1">
        <f>_xlfn.IFNA(VLOOKUP(Aragon!E2982,'Kilter Holds'!$P$36:$AB$370,6,0),0)</f>
        <v>0</v>
      </c>
      <c r="J2982" s="2">
        <f t="shared" si="184"/>
        <v>0</v>
      </c>
      <c r="K2982" s="2">
        <f t="shared" si="182"/>
        <v>0</v>
      </c>
    </row>
    <row r="2983" spans="5:11">
      <c r="E2983" t="s">
        <v>94</v>
      </c>
      <c r="F2983" t="s">
        <v>786</v>
      </c>
      <c r="G2983" s="7" t="str">
        <f t="shared" si="183"/>
        <v>15-12</v>
      </c>
      <c r="H2983" s="1">
        <f>_xlfn.IFNA(VLOOKUP(Aragon!E2983,'Kilter Holds'!$P$36:$AB$370,7,0),0)</f>
        <v>0</v>
      </c>
      <c r="J2983" s="2">
        <f t="shared" si="184"/>
        <v>0</v>
      </c>
      <c r="K2983" s="2">
        <f t="shared" si="182"/>
        <v>0</v>
      </c>
    </row>
    <row r="2984" spans="5:11">
      <c r="E2984" t="s">
        <v>94</v>
      </c>
      <c r="F2984" t="s">
        <v>786</v>
      </c>
      <c r="G2984" s="8" t="str">
        <f t="shared" si="183"/>
        <v>16-16</v>
      </c>
      <c r="H2984" s="1">
        <f>_xlfn.IFNA(VLOOKUP(Aragon!E2984,'Kilter Holds'!$P$36:$AB$370,8,0),0)</f>
        <v>0</v>
      </c>
      <c r="J2984" s="2">
        <f t="shared" si="184"/>
        <v>0</v>
      </c>
      <c r="K2984" s="2">
        <f t="shared" si="182"/>
        <v>0</v>
      </c>
    </row>
    <row r="2985" spans="5:11">
      <c r="E2985" t="s">
        <v>94</v>
      </c>
      <c r="F2985" t="s">
        <v>786</v>
      </c>
      <c r="G2985" s="9" t="str">
        <f t="shared" si="183"/>
        <v>13-01</v>
      </c>
      <c r="H2985" s="1">
        <f>_xlfn.IFNA(VLOOKUP(Aragon!E2985,'Kilter Holds'!$P$36:$AB$370,9,0),0)</f>
        <v>0</v>
      </c>
      <c r="J2985" s="2">
        <f t="shared" si="184"/>
        <v>0</v>
      </c>
      <c r="K2985" s="2">
        <f t="shared" si="182"/>
        <v>0</v>
      </c>
    </row>
    <row r="2986" spans="5:11">
      <c r="E2986" t="s">
        <v>94</v>
      </c>
      <c r="F2986" t="s">
        <v>786</v>
      </c>
      <c r="G2986" s="10" t="str">
        <f t="shared" si="183"/>
        <v>07-13</v>
      </c>
      <c r="H2986" s="1">
        <f>_xlfn.IFNA(VLOOKUP(Aragon!E2986,'Kilter Holds'!$P$36:$AB$370,10,0),0)</f>
        <v>0</v>
      </c>
      <c r="J2986" s="2">
        <f t="shared" si="184"/>
        <v>0</v>
      </c>
      <c r="K2986" s="2">
        <f t="shared" si="182"/>
        <v>0</v>
      </c>
    </row>
    <row r="2987" spans="5:11">
      <c r="E2987" t="s">
        <v>94</v>
      </c>
      <c r="F2987" t="s">
        <v>786</v>
      </c>
      <c r="G2987" s="11" t="str">
        <f t="shared" si="183"/>
        <v>11-25</v>
      </c>
      <c r="H2987" s="1">
        <f>_xlfn.IFNA(VLOOKUP(Aragon!E2987,'Kilter Holds'!$P$36:$AB$370,11,0),0)</f>
        <v>0</v>
      </c>
      <c r="J2987" s="2">
        <f t="shared" si="184"/>
        <v>0</v>
      </c>
      <c r="K2987" s="2">
        <f t="shared" si="182"/>
        <v>0</v>
      </c>
    </row>
    <row r="2988" spans="5:11">
      <c r="E2988" t="s">
        <v>94</v>
      </c>
      <c r="F2988" t="s">
        <v>786</v>
      </c>
      <c r="G2988" s="13" t="str">
        <f t="shared" si="183"/>
        <v>18-01</v>
      </c>
      <c r="H2988" s="1">
        <f>_xlfn.IFNA(VLOOKUP(Aragon!E2988,'Kilter Holds'!$P$36:$AB$370,12,0),0)</f>
        <v>0</v>
      </c>
      <c r="J2988" s="2">
        <f t="shared" si="184"/>
        <v>0</v>
      </c>
      <c r="K2988" s="2">
        <f t="shared" si="182"/>
        <v>0</v>
      </c>
    </row>
    <row r="2989" spans="5:11">
      <c r="E2989" t="s">
        <v>94</v>
      </c>
      <c r="F2989" t="s">
        <v>786</v>
      </c>
      <c r="G2989" s="12" t="str">
        <f t="shared" si="183"/>
        <v>12-01</v>
      </c>
      <c r="H2989" s="1">
        <f>_xlfn.IFNA(VLOOKUP(Aragon!E2989,'Kilter Holds'!$P$36:$AB$370,13,0),0)</f>
        <v>0</v>
      </c>
      <c r="J2989" s="2">
        <f t="shared" si="184"/>
        <v>0</v>
      </c>
      <c r="K2989" s="2">
        <f t="shared" si="182"/>
        <v>0</v>
      </c>
    </row>
    <row r="2990" spans="5:11">
      <c r="E2990" t="s">
        <v>97</v>
      </c>
      <c r="F2990" t="s">
        <v>787</v>
      </c>
      <c r="G2990" s="5" t="str">
        <f t="shared" si="183"/>
        <v>11-12</v>
      </c>
      <c r="H2990" s="1">
        <f>_xlfn.IFNA(VLOOKUP(Aragon!E2990,'Kilter Holds'!$P$36:$AB$370,5,0),0)</f>
        <v>0</v>
      </c>
      <c r="J2990" s="2">
        <f t="shared" si="184"/>
        <v>0</v>
      </c>
      <c r="K2990" s="2">
        <f t="shared" si="182"/>
        <v>0</v>
      </c>
    </row>
    <row r="2991" spans="5:11">
      <c r="E2991" t="s">
        <v>97</v>
      </c>
      <c r="F2991" t="s">
        <v>787</v>
      </c>
      <c r="G2991" s="6" t="str">
        <f t="shared" si="183"/>
        <v>14-01</v>
      </c>
      <c r="H2991" s="1">
        <f>_xlfn.IFNA(VLOOKUP(Aragon!E2991,'Kilter Holds'!$P$36:$AB$370,6,0),0)</f>
        <v>0</v>
      </c>
      <c r="J2991" s="2">
        <f t="shared" si="184"/>
        <v>0</v>
      </c>
      <c r="K2991" s="2">
        <f t="shared" si="182"/>
        <v>0</v>
      </c>
    </row>
    <row r="2992" spans="5:11">
      <c r="E2992" t="s">
        <v>97</v>
      </c>
      <c r="F2992" t="s">
        <v>787</v>
      </c>
      <c r="G2992" s="7" t="str">
        <f t="shared" si="183"/>
        <v>15-12</v>
      </c>
      <c r="H2992" s="1">
        <f>_xlfn.IFNA(VLOOKUP(Aragon!E2992,'Kilter Holds'!$P$36:$AB$370,7,0),0)</f>
        <v>0</v>
      </c>
      <c r="J2992" s="2">
        <f t="shared" si="184"/>
        <v>0</v>
      </c>
      <c r="K2992" s="2">
        <f t="shared" ref="K2992:K3613" si="185">IF($V$11="Y",J2992*0.05,0)</f>
        <v>0</v>
      </c>
    </row>
    <row r="2993" spans="5:11">
      <c r="E2993" t="s">
        <v>97</v>
      </c>
      <c r="F2993" t="s">
        <v>787</v>
      </c>
      <c r="G2993" s="8" t="str">
        <f t="shared" ref="G2993:G3614" si="186">G2984</f>
        <v>16-16</v>
      </c>
      <c r="H2993" s="1">
        <f>_xlfn.IFNA(VLOOKUP(Aragon!E2993,'Kilter Holds'!$P$36:$AB$370,8,0),0)</f>
        <v>0</v>
      </c>
      <c r="J2993" s="2">
        <f t="shared" si="184"/>
        <v>0</v>
      </c>
      <c r="K2993" s="2">
        <f t="shared" si="185"/>
        <v>0</v>
      </c>
    </row>
    <row r="2994" spans="5:11">
      <c r="E2994" t="s">
        <v>97</v>
      </c>
      <c r="F2994" t="s">
        <v>787</v>
      </c>
      <c r="G2994" s="9" t="str">
        <f t="shared" si="186"/>
        <v>13-01</v>
      </c>
      <c r="H2994" s="1">
        <f>_xlfn.IFNA(VLOOKUP(Aragon!E2994,'Kilter Holds'!$P$36:$AB$370,9,0),0)</f>
        <v>0</v>
      </c>
      <c r="J2994" s="2">
        <f t="shared" si="184"/>
        <v>0</v>
      </c>
      <c r="K2994" s="2">
        <f t="shared" si="185"/>
        <v>0</v>
      </c>
    </row>
    <row r="2995" spans="5:11">
      <c r="E2995" t="s">
        <v>97</v>
      </c>
      <c r="F2995" t="s">
        <v>787</v>
      </c>
      <c r="G2995" s="10" t="str">
        <f t="shared" si="186"/>
        <v>07-13</v>
      </c>
      <c r="H2995" s="1">
        <f>_xlfn.IFNA(VLOOKUP(Aragon!E2995,'Kilter Holds'!$P$36:$AB$370,10,0),0)</f>
        <v>0</v>
      </c>
      <c r="J2995" s="2">
        <f t="shared" si="184"/>
        <v>0</v>
      </c>
      <c r="K2995" s="2">
        <f t="shared" si="185"/>
        <v>0</v>
      </c>
    </row>
    <row r="2996" spans="5:11">
      <c r="E2996" t="s">
        <v>97</v>
      </c>
      <c r="F2996" t="s">
        <v>787</v>
      </c>
      <c r="G2996" s="11" t="str">
        <f t="shared" si="186"/>
        <v>11-25</v>
      </c>
      <c r="H2996" s="1">
        <f>_xlfn.IFNA(VLOOKUP(Aragon!E2996,'Kilter Holds'!$P$36:$AB$370,11,0),0)</f>
        <v>0</v>
      </c>
      <c r="J2996" s="2">
        <f t="shared" si="184"/>
        <v>0</v>
      </c>
      <c r="K2996" s="2">
        <f t="shared" si="185"/>
        <v>0</v>
      </c>
    </row>
    <row r="2997" spans="5:11">
      <c r="E2997" t="s">
        <v>97</v>
      </c>
      <c r="F2997" t="s">
        <v>787</v>
      </c>
      <c r="G2997" s="13" t="str">
        <f t="shared" si="186"/>
        <v>18-01</v>
      </c>
      <c r="H2997" s="1">
        <f>_xlfn.IFNA(VLOOKUP(Aragon!E2997,'Kilter Holds'!$P$36:$AB$370,12,0),0)</f>
        <v>0</v>
      </c>
      <c r="J2997" s="2">
        <f t="shared" si="184"/>
        <v>0</v>
      </c>
      <c r="K2997" s="2">
        <f t="shared" si="185"/>
        <v>0</v>
      </c>
    </row>
    <row r="2998" spans="5:11">
      <c r="E2998" t="s">
        <v>97</v>
      </c>
      <c r="F2998" t="s">
        <v>787</v>
      </c>
      <c r="G2998" s="12" t="str">
        <f t="shared" si="186"/>
        <v>12-01</v>
      </c>
      <c r="H2998" s="1">
        <f>_xlfn.IFNA(VLOOKUP(Aragon!E2998,'Kilter Holds'!$P$36:$AB$370,13,0),0)</f>
        <v>0</v>
      </c>
      <c r="J2998" s="2">
        <f t="shared" si="184"/>
        <v>0</v>
      </c>
      <c r="K2998" s="2">
        <f t="shared" si="185"/>
        <v>0</v>
      </c>
    </row>
    <row r="2999" spans="5:11">
      <c r="E2999" t="s">
        <v>87</v>
      </c>
      <c r="F2999" t="s">
        <v>788</v>
      </c>
      <c r="G2999" s="5" t="str">
        <f t="shared" si="186"/>
        <v>11-12</v>
      </c>
      <c r="H2999" s="1">
        <f>_xlfn.IFNA(VLOOKUP(Aragon!E2999,'Kilter Holds'!$P$36:$AB$370,5,0),0)</f>
        <v>0</v>
      </c>
      <c r="J2999" s="2">
        <f t="shared" si="184"/>
        <v>0</v>
      </c>
      <c r="K2999" s="2">
        <f t="shared" si="185"/>
        <v>0</v>
      </c>
    </row>
    <row r="3000" spans="5:11">
      <c r="E3000" t="s">
        <v>87</v>
      </c>
      <c r="F3000" t="s">
        <v>788</v>
      </c>
      <c r="G3000" s="6" t="str">
        <f t="shared" si="186"/>
        <v>14-01</v>
      </c>
      <c r="H3000" s="1">
        <f>_xlfn.IFNA(VLOOKUP(Aragon!E3000,'Kilter Holds'!$P$36:$AB$370,6,0),0)</f>
        <v>0</v>
      </c>
      <c r="J3000" s="2">
        <f t="shared" si="184"/>
        <v>0</v>
      </c>
      <c r="K3000" s="2">
        <f t="shared" si="185"/>
        <v>0</v>
      </c>
    </row>
    <row r="3001" spans="5:11">
      <c r="E3001" t="s">
        <v>87</v>
      </c>
      <c r="F3001" t="s">
        <v>788</v>
      </c>
      <c r="G3001" s="7" t="str">
        <f t="shared" si="186"/>
        <v>15-12</v>
      </c>
      <c r="H3001" s="1">
        <f>_xlfn.IFNA(VLOOKUP(Aragon!E3001,'Kilter Holds'!$P$36:$AB$370,7,0),0)</f>
        <v>0</v>
      </c>
      <c r="J3001" s="2">
        <f t="shared" si="184"/>
        <v>0</v>
      </c>
      <c r="K3001" s="2">
        <f t="shared" si="185"/>
        <v>0</v>
      </c>
    </row>
    <row r="3002" spans="5:11">
      <c r="E3002" t="s">
        <v>87</v>
      </c>
      <c r="F3002" t="s">
        <v>788</v>
      </c>
      <c r="G3002" s="8" t="str">
        <f t="shared" si="186"/>
        <v>16-16</v>
      </c>
      <c r="H3002" s="1">
        <f>_xlfn.IFNA(VLOOKUP(Aragon!E3002,'Kilter Holds'!$P$36:$AB$370,8,0),0)</f>
        <v>0</v>
      </c>
      <c r="J3002" s="2">
        <f t="shared" si="184"/>
        <v>0</v>
      </c>
      <c r="K3002" s="2">
        <f t="shared" si="185"/>
        <v>0</v>
      </c>
    </row>
    <row r="3003" spans="5:11">
      <c r="E3003" t="s">
        <v>87</v>
      </c>
      <c r="F3003" t="s">
        <v>788</v>
      </c>
      <c r="G3003" s="9" t="str">
        <f t="shared" si="186"/>
        <v>13-01</v>
      </c>
      <c r="H3003" s="1">
        <f>_xlfn.IFNA(VLOOKUP(Aragon!E3003,'Kilter Holds'!$P$36:$AB$370,9,0),0)</f>
        <v>0</v>
      </c>
      <c r="J3003" s="2">
        <f t="shared" si="184"/>
        <v>0</v>
      </c>
      <c r="K3003" s="2">
        <f t="shared" si="185"/>
        <v>0</v>
      </c>
    </row>
    <row r="3004" spans="5:11">
      <c r="E3004" t="s">
        <v>87</v>
      </c>
      <c r="F3004" t="s">
        <v>788</v>
      </c>
      <c r="G3004" s="10" t="str">
        <f t="shared" si="186"/>
        <v>07-13</v>
      </c>
      <c r="H3004" s="1">
        <f>_xlfn.IFNA(VLOOKUP(Aragon!E3004,'Kilter Holds'!$P$36:$AB$370,10,0),0)</f>
        <v>0</v>
      </c>
      <c r="J3004" s="2">
        <f t="shared" si="184"/>
        <v>0</v>
      </c>
      <c r="K3004" s="2">
        <f t="shared" si="185"/>
        <v>0</v>
      </c>
    </row>
    <row r="3005" spans="5:11">
      <c r="E3005" t="s">
        <v>87</v>
      </c>
      <c r="F3005" t="s">
        <v>788</v>
      </c>
      <c r="G3005" s="11" t="str">
        <f t="shared" si="186"/>
        <v>11-25</v>
      </c>
      <c r="H3005" s="1">
        <f>_xlfn.IFNA(VLOOKUP(Aragon!E3005,'Kilter Holds'!$P$36:$AB$370,11,0),0)</f>
        <v>0</v>
      </c>
      <c r="J3005" s="2">
        <f t="shared" si="184"/>
        <v>0</v>
      </c>
      <c r="K3005" s="2">
        <f t="shared" si="185"/>
        <v>0</v>
      </c>
    </row>
    <row r="3006" spans="5:11">
      <c r="E3006" t="s">
        <v>87</v>
      </c>
      <c r="F3006" t="s">
        <v>788</v>
      </c>
      <c r="G3006" s="13" t="str">
        <f t="shared" si="186"/>
        <v>18-01</v>
      </c>
      <c r="H3006" s="1">
        <f>_xlfn.IFNA(VLOOKUP(Aragon!E3006,'Kilter Holds'!$P$36:$AB$370,12,0),0)</f>
        <v>0</v>
      </c>
      <c r="J3006" s="2">
        <f t="shared" si="184"/>
        <v>0</v>
      </c>
      <c r="K3006" s="2">
        <f t="shared" si="185"/>
        <v>0</v>
      </c>
    </row>
    <row r="3007" spans="5:11">
      <c r="E3007" t="s">
        <v>87</v>
      </c>
      <c r="F3007" t="s">
        <v>788</v>
      </c>
      <c r="G3007" s="12" t="str">
        <f t="shared" si="186"/>
        <v>12-01</v>
      </c>
      <c r="H3007" s="1">
        <f>_xlfn.IFNA(VLOOKUP(Aragon!E3007,'Kilter Holds'!$P$36:$AB$370,13,0),0)</f>
        <v>0</v>
      </c>
      <c r="J3007" s="2">
        <f t="shared" si="184"/>
        <v>0</v>
      </c>
      <c r="K3007" s="2">
        <f t="shared" si="185"/>
        <v>0</v>
      </c>
    </row>
    <row r="3008" spans="5:11">
      <c r="E3008" t="s">
        <v>81</v>
      </c>
      <c r="F3008" t="s">
        <v>789</v>
      </c>
      <c r="G3008" s="5" t="str">
        <f t="shared" si="186"/>
        <v>11-12</v>
      </c>
      <c r="H3008" s="1">
        <f>_xlfn.IFNA(VLOOKUP(Aragon!E3008,'Kilter Holds'!$P$36:$AB$370,5,0),0)</f>
        <v>0</v>
      </c>
      <c r="J3008" s="2">
        <f t="shared" si="184"/>
        <v>0</v>
      </c>
      <c r="K3008" s="2">
        <f t="shared" si="185"/>
        <v>0</v>
      </c>
    </row>
    <row r="3009" spans="5:11">
      <c r="E3009" t="s">
        <v>81</v>
      </c>
      <c r="F3009" t="s">
        <v>789</v>
      </c>
      <c r="G3009" s="6" t="str">
        <f t="shared" si="186"/>
        <v>14-01</v>
      </c>
      <c r="H3009" s="1">
        <f>_xlfn.IFNA(VLOOKUP(Aragon!E3009,'Kilter Holds'!$P$36:$AB$370,6,0),0)</f>
        <v>0</v>
      </c>
      <c r="J3009" s="2">
        <f t="shared" ref="J3009:J3774" si="187">H3009*I3009</f>
        <v>0</v>
      </c>
      <c r="K3009" s="2">
        <f t="shared" si="185"/>
        <v>0</v>
      </c>
    </row>
    <row r="3010" spans="5:11">
      <c r="E3010" t="s">
        <v>81</v>
      </c>
      <c r="F3010" t="s">
        <v>789</v>
      </c>
      <c r="G3010" s="7" t="str">
        <f t="shared" si="186"/>
        <v>15-12</v>
      </c>
      <c r="H3010" s="1">
        <f>_xlfn.IFNA(VLOOKUP(Aragon!E3010,'Kilter Holds'!$P$36:$AB$370,7,0),0)</f>
        <v>0</v>
      </c>
      <c r="J3010" s="2">
        <f t="shared" si="187"/>
        <v>0</v>
      </c>
      <c r="K3010" s="2">
        <f t="shared" si="185"/>
        <v>0</v>
      </c>
    </row>
    <row r="3011" spans="5:11">
      <c r="E3011" t="s">
        <v>81</v>
      </c>
      <c r="F3011" t="s">
        <v>789</v>
      </c>
      <c r="G3011" s="8" t="str">
        <f t="shared" si="186"/>
        <v>16-16</v>
      </c>
      <c r="H3011" s="1">
        <f>_xlfn.IFNA(VLOOKUP(Aragon!E3011,'Kilter Holds'!$P$36:$AB$370,8,0),0)</f>
        <v>0</v>
      </c>
      <c r="J3011" s="2">
        <f t="shared" si="187"/>
        <v>0</v>
      </c>
      <c r="K3011" s="2">
        <f t="shared" si="185"/>
        <v>0</v>
      </c>
    </row>
    <row r="3012" spans="5:11">
      <c r="E3012" t="s">
        <v>81</v>
      </c>
      <c r="F3012" t="s">
        <v>789</v>
      </c>
      <c r="G3012" s="9" t="str">
        <f t="shared" si="186"/>
        <v>13-01</v>
      </c>
      <c r="H3012" s="1">
        <f>_xlfn.IFNA(VLOOKUP(Aragon!E3012,'Kilter Holds'!$P$36:$AB$370,9,0),0)</f>
        <v>0</v>
      </c>
      <c r="J3012" s="2">
        <f t="shared" si="187"/>
        <v>0</v>
      </c>
      <c r="K3012" s="2">
        <f t="shared" si="185"/>
        <v>0</v>
      </c>
    </row>
    <row r="3013" spans="5:11">
      <c r="E3013" t="s">
        <v>81</v>
      </c>
      <c r="F3013" t="s">
        <v>789</v>
      </c>
      <c r="G3013" s="10" t="str">
        <f t="shared" si="186"/>
        <v>07-13</v>
      </c>
      <c r="H3013" s="1">
        <f>_xlfn.IFNA(VLOOKUP(Aragon!E3013,'Kilter Holds'!$P$36:$AB$370,10,0),0)</f>
        <v>0</v>
      </c>
      <c r="J3013" s="2">
        <f t="shared" si="187"/>
        <v>0</v>
      </c>
      <c r="K3013" s="2">
        <f t="shared" si="185"/>
        <v>0</v>
      </c>
    </row>
    <row r="3014" spans="5:11">
      <c r="E3014" t="s">
        <v>81</v>
      </c>
      <c r="F3014" t="s">
        <v>789</v>
      </c>
      <c r="G3014" s="11" t="str">
        <f t="shared" si="186"/>
        <v>11-25</v>
      </c>
      <c r="H3014" s="1">
        <f>_xlfn.IFNA(VLOOKUP(Aragon!E3014,'Kilter Holds'!$P$36:$AB$370,11,0),0)</f>
        <v>0</v>
      </c>
      <c r="J3014" s="2">
        <f t="shared" si="187"/>
        <v>0</v>
      </c>
      <c r="K3014" s="2">
        <f t="shared" si="185"/>
        <v>0</v>
      </c>
    </row>
    <row r="3015" spans="5:11">
      <c r="E3015" t="s">
        <v>81</v>
      </c>
      <c r="F3015" t="s">
        <v>789</v>
      </c>
      <c r="G3015" s="13" t="str">
        <f t="shared" si="186"/>
        <v>18-01</v>
      </c>
      <c r="H3015" s="1">
        <f>_xlfn.IFNA(VLOOKUP(Aragon!E3015,'Kilter Holds'!$P$36:$AB$370,12,0),0)</f>
        <v>0</v>
      </c>
      <c r="J3015" s="2">
        <f t="shared" si="187"/>
        <v>0</v>
      </c>
      <c r="K3015" s="2">
        <f t="shared" si="185"/>
        <v>0</v>
      </c>
    </row>
    <row r="3016" spans="5:11">
      <c r="E3016" t="s">
        <v>81</v>
      </c>
      <c r="F3016" t="s">
        <v>789</v>
      </c>
      <c r="G3016" s="12" t="str">
        <f t="shared" si="186"/>
        <v>12-01</v>
      </c>
      <c r="H3016" s="1">
        <f>_xlfn.IFNA(VLOOKUP(Aragon!E3016,'Kilter Holds'!$P$36:$AB$370,13,0),0)</f>
        <v>0</v>
      </c>
      <c r="J3016" s="2">
        <f t="shared" si="187"/>
        <v>0</v>
      </c>
      <c r="K3016" s="2">
        <f t="shared" si="185"/>
        <v>0</v>
      </c>
    </row>
    <row r="3017" spans="5:11">
      <c r="E3017" t="s">
        <v>82</v>
      </c>
      <c r="F3017" t="s">
        <v>790</v>
      </c>
      <c r="G3017" s="5" t="str">
        <f t="shared" si="186"/>
        <v>11-12</v>
      </c>
      <c r="H3017" s="1">
        <f>_xlfn.IFNA(VLOOKUP(Aragon!E3017,'Kilter Holds'!$P$36:$AB$370,5,0),0)</f>
        <v>0</v>
      </c>
      <c r="J3017" s="2">
        <f t="shared" si="187"/>
        <v>0</v>
      </c>
      <c r="K3017" s="2">
        <f t="shared" si="185"/>
        <v>0</v>
      </c>
    </row>
    <row r="3018" spans="5:11">
      <c r="E3018" t="s">
        <v>82</v>
      </c>
      <c r="F3018" t="s">
        <v>790</v>
      </c>
      <c r="G3018" s="6" t="str">
        <f t="shared" si="186"/>
        <v>14-01</v>
      </c>
      <c r="H3018" s="1">
        <f>_xlfn.IFNA(VLOOKUP(Aragon!E3018,'Kilter Holds'!$P$36:$AB$370,6,0),0)</f>
        <v>0</v>
      </c>
      <c r="J3018" s="2">
        <f t="shared" si="187"/>
        <v>0</v>
      </c>
      <c r="K3018" s="2">
        <f t="shared" si="185"/>
        <v>0</v>
      </c>
    </row>
    <row r="3019" spans="5:11">
      <c r="E3019" t="s">
        <v>82</v>
      </c>
      <c r="F3019" t="s">
        <v>790</v>
      </c>
      <c r="G3019" s="7" t="str">
        <f t="shared" si="186"/>
        <v>15-12</v>
      </c>
      <c r="H3019" s="1">
        <f>_xlfn.IFNA(VLOOKUP(Aragon!E3019,'Kilter Holds'!$P$36:$AB$370,7,0),0)</f>
        <v>0</v>
      </c>
      <c r="J3019" s="2">
        <f t="shared" si="187"/>
        <v>0</v>
      </c>
      <c r="K3019" s="2">
        <f t="shared" si="185"/>
        <v>0</v>
      </c>
    </row>
    <row r="3020" spans="5:11">
      <c r="E3020" t="s">
        <v>82</v>
      </c>
      <c r="F3020" t="s">
        <v>790</v>
      </c>
      <c r="G3020" s="8" t="str">
        <f t="shared" si="186"/>
        <v>16-16</v>
      </c>
      <c r="H3020" s="1">
        <f>_xlfn.IFNA(VLOOKUP(Aragon!E3020,'Kilter Holds'!$P$36:$AB$370,8,0),0)</f>
        <v>0</v>
      </c>
      <c r="J3020" s="2">
        <f t="shared" si="187"/>
        <v>0</v>
      </c>
      <c r="K3020" s="2">
        <f t="shared" si="185"/>
        <v>0</v>
      </c>
    </row>
    <row r="3021" spans="5:11">
      <c r="E3021" t="s">
        <v>82</v>
      </c>
      <c r="F3021" t="s">
        <v>790</v>
      </c>
      <c r="G3021" s="9" t="str">
        <f t="shared" si="186"/>
        <v>13-01</v>
      </c>
      <c r="H3021" s="1">
        <f>_xlfn.IFNA(VLOOKUP(Aragon!E3021,'Kilter Holds'!$P$36:$AB$370,9,0),0)</f>
        <v>0</v>
      </c>
      <c r="J3021" s="2">
        <f t="shared" si="187"/>
        <v>0</v>
      </c>
      <c r="K3021" s="2">
        <f t="shared" si="185"/>
        <v>0</v>
      </c>
    </row>
    <row r="3022" spans="5:11">
      <c r="E3022" t="s">
        <v>82</v>
      </c>
      <c r="F3022" t="s">
        <v>790</v>
      </c>
      <c r="G3022" s="10" t="str">
        <f t="shared" si="186"/>
        <v>07-13</v>
      </c>
      <c r="H3022" s="1">
        <f>_xlfn.IFNA(VLOOKUP(Aragon!E3022,'Kilter Holds'!$P$36:$AB$370,10,0),0)</f>
        <v>0</v>
      </c>
      <c r="J3022" s="2">
        <f t="shared" si="187"/>
        <v>0</v>
      </c>
      <c r="K3022" s="2">
        <f t="shared" si="185"/>
        <v>0</v>
      </c>
    </row>
    <row r="3023" spans="5:11">
      <c r="E3023" t="s">
        <v>82</v>
      </c>
      <c r="F3023" t="s">
        <v>790</v>
      </c>
      <c r="G3023" s="11" t="str">
        <f t="shared" si="186"/>
        <v>11-25</v>
      </c>
      <c r="H3023" s="1">
        <f>_xlfn.IFNA(VLOOKUP(Aragon!E3023,'Kilter Holds'!$P$36:$AB$370,11,0),0)</f>
        <v>0</v>
      </c>
      <c r="J3023" s="2">
        <f t="shared" si="187"/>
        <v>0</v>
      </c>
      <c r="K3023" s="2">
        <f t="shared" si="185"/>
        <v>0</v>
      </c>
    </row>
    <row r="3024" spans="5:11">
      <c r="E3024" t="s">
        <v>82</v>
      </c>
      <c r="F3024" t="s">
        <v>790</v>
      </c>
      <c r="G3024" s="13" t="str">
        <f t="shared" si="186"/>
        <v>18-01</v>
      </c>
      <c r="H3024" s="1">
        <f>_xlfn.IFNA(VLOOKUP(Aragon!E3024,'Kilter Holds'!$P$36:$AB$370,12,0),0)</f>
        <v>0</v>
      </c>
      <c r="J3024" s="2">
        <f t="shared" si="187"/>
        <v>0</v>
      </c>
      <c r="K3024" s="2">
        <f t="shared" si="185"/>
        <v>0</v>
      </c>
    </row>
    <row r="3025" spans="5:11">
      <c r="E3025" t="s">
        <v>82</v>
      </c>
      <c r="F3025" t="s">
        <v>790</v>
      </c>
      <c r="G3025" s="12" t="str">
        <f t="shared" si="186"/>
        <v>12-01</v>
      </c>
      <c r="H3025" s="1">
        <f>_xlfn.IFNA(VLOOKUP(Aragon!E3025,'Kilter Holds'!$P$36:$AB$370,13,0),0)</f>
        <v>0</v>
      </c>
      <c r="J3025" s="2">
        <f t="shared" si="187"/>
        <v>0</v>
      </c>
      <c r="K3025" s="2">
        <f t="shared" si="185"/>
        <v>0</v>
      </c>
    </row>
    <row r="3026" spans="5:11">
      <c r="E3026" t="s">
        <v>88</v>
      </c>
      <c r="F3026" t="s">
        <v>791</v>
      </c>
      <c r="G3026" s="5" t="str">
        <f t="shared" si="186"/>
        <v>11-12</v>
      </c>
      <c r="H3026" s="1">
        <f>_xlfn.IFNA(VLOOKUP(Aragon!E3026,'Kilter Holds'!$P$36:$AB$370,5,0),0)</f>
        <v>0</v>
      </c>
      <c r="J3026" s="2">
        <f t="shared" si="187"/>
        <v>0</v>
      </c>
      <c r="K3026" s="2">
        <f t="shared" si="185"/>
        <v>0</v>
      </c>
    </row>
    <row r="3027" spans="5:11">
      <c r="E3027" t="s">
        <v>88</v>
      </c>
      <c r="F3027" t="s">
        <v>791</v>
      </c>
      <c r="G3027" s="6" t="str">
        <f t="shared" si="186"/>
        <v>14-01</v>
      </c>
      <c r="H3027" s="1">
        <f>_xlfn.IFNA(VLOOKUP(Aragon!E3027,'Kilter Holds'!$P$36:$AB$370,6,0),0)</f>
        <v>0</v>
      </c>
      <c r="J3027" s="2">
        <f t="shared" si="187"/>
        <v>0</v>
      </c>
      <c r="K3027" s="2">
        <f t="shared" si="185"/>
        <v>0</v>
      </c>
    </row>
    <row r="3028" spans="5:11">
      <c r="E3028" t="s">
        <v>88</v>
      </c>
      <c r="F3028" t="s">
        <v>791</v>
      </c>
      <c r="G3028" s="7" t="str">
        <f t="shared" si="186"/>
        <v>15-12</v>
      </c>
      <c r="H3028" s="1">
        <f>_xlfn.IFNA(VLOOKUP(Aragon!E3028,'Kilter Holds'!$P$36:$AB$370,7,0),0)</f>
        <v>0</v>
      </c>
      <c r="J3028" s="2">
        <f t="shared" si="187"/>
        <v>0</v>
      </c>
      <c r="K3028" s="2">
        <f t="shared" si="185"/>
        <v>0</v>
      </c>
    </row>
    <row r="3029" spans="5:11">
      <c r="E3029" t="s">
        <v>88</v>
      </c>
      <c r="F3029" t="s">
        <v>791</v>
      </c>
      <c r="G3029" s="8" t="str">
        <f t="shared" si="186"/>
        <v>16-16</v>
      </c>
      <c r="H3029" s="1">
        <f>_xlfn.IFNA(VLOOKUP(Aragon!E3029,'Kilter Holds'!$P$36:$AB$370,8,0),0)</f>
        <v>0</v>
      </c>
      <c r="J3029" s="2">
        <f t="shared" si="187"/>
        <v>0</v>
      </c>
      <c r="K3029" s="2">
        <f t="shared" si="185"/>
        <v>0</v>
      </c>
    </row>
    <row r="3030" spans="5:11">
      <c r="E3030" t="s">
        <v>88</v>
      </c>
      <c r="F3030" t="s">
        <v>791</v>
      </c>
      <c r="G3030" s="9" t="str">
        <f t="shared" si="186"/>
        <v>13-01</v>
      </c>
      <c r="H3030" s="1">
        <f>_xlfn.IFNA(VLOOKUP(Aragon!E3030,'Kilter Holds'!$P$36:$AB$370,9,0),0)</f>
        <v>0</v>
      </c>
      <c r="J3030" s="2">
        <f t="shared" si="187"/>
        <v>0</v>
      </c>
      <c r="K3030" s="2">
        <f t="shared" si="185"/>
        <v>0</v>
      </c>
    </row>
    <row r="3031" spans="5:11">
      <c r="E3031" t="s">
        <v>88</v>
      </c>
      <c r="F3031" t="s">
        <v>791</v>
      </c>
      <c r="G3031" s="10" t="str">
        <f t="shared" si="186"/>
        <v>07-13</v>
      </c>
      <c r="H3031" s="1">
        <f>_xlfn.IFNA(VLOOKUP(Aragon!E3031,'Kilter Holds'!$P$36:$AB$370,10,0),0)</f>
        <v>0</v>
      </c>
      <c r="J3031" s="2">
        <f t="shared" si="187"/>
        <v>0</v>
      </c>
      <c r="K3031" s="2">
        <f t="shared" si="185"/>
        <v>0</v>
      </c>
    </row>
    <row r="3032" spans="5:11">
      <c r="E3032" t="s">
        <v>88</v>
      </c>
      <c r="F3032" t="s">
        <v>791</v>
      </c>
      <c r="G3032" s="11" t="str">
        <f t="shared" si="186"/>
        <v>11-25</v>
      </c>
      <c r="H3032" s="1">
        <f>_xlfn.IFNA(VLOOKUP(Aragon!E3032,'Kilter Holds'!$P$36:$AB$370,11,0),0)</f>
        <v>0</v>
      </c>
      <c r="J3032" s="2">
        <f t="shared" si="187"/>
        <v>0</v>
      </c>
      <c r="K3032" s="2">
        <f t="shared" si="185"/>
        <v>0</v>
      </c>
    </row>
    <row r="3033" spans="5:11">
      <c r="E3033" t="s">
        <v>88</v>
      </c>
      <c r="F3033" t="s">
        <v>791</v>
      </c>
      <c r="G3033" s="13" t="str">
        <f t="shared" si="186"/>
        <v>18-01</v>
      </c>
      <c r="H3033" s="1">
        <f>_xlfn.IFNA(VLOOKUP(Aragon!E3033,'Kilter Holds'!$P$36:$AB$370,12,0),0)</f>
        <v>0</v>
      </c>
      <c r="J3033" s="2">
        <f t="shared" si="187"/>
        <v>0</v>
      </c>
      <c r="K3033" s="2">
        <f t="shared" si="185"/>
        <v>0</v>
      </c>
    </row>
    <row r="3034" spans="5:11">
      <c r="E3034" t="s">
        <v>88</v>
      </c>
      <c r="F3034" t="s">
        <v>791</v>
      </c>
      <c r="G3034" s="12" t="str">
        <f t="shared" si="186"/>
        <v>12-01</v>
      </c>
      <c r="H3034" s="1">
        <f>_xlfn.IFNA(VLOOKUP(Aragon!E3034,'Kilter Holds'!$P$36:$AB$370,13,0),0)</f>
        <v>0</v>
      </c>
      <c r="J3034" s="2">
        <f t="shared" si="187"/>
        <v>0</v>
      </c>
      <c r="K3034" s="2">
        <f t="shared" si="185"/>
        <v>0</v>
      </c>
    </row>
    <row r="3035" spans="5:11">
      <c r="E3035" t="s">
        <v>1045</v>
      </c>
      <c r="F3035" t="s">
        <v>1046</v>
      </c>
      <c r="G3035" s="5" t="str">
        <f t="shared" si="186"/>
        <v>11-12</v>
      </c>
      <c r="H3035" s="1">
        <f>_xlfn.IFNA(VLOOKUP(Aragon!E3035,'Kilter Holds'!$P$36:$AB$370,5,0),0)</f>
        <v>0</v>
      </c>
      <c r="J3035" s="2">
        <f t="shared" si="187"/>
        <v>0</v>
      </c>
      <c r="K3035" s="2">
        <f t="shared" si="185"/>
        <v>0</v>
      </c>
    </row>
    <row r="3036" spans="5:11">
      <c r="E3036" t="s">
        <v>1045</v>
      </c>
      <c r="F3036" t="s">
        <v>1046</v>
      </c>
      <c r="G3036" s="6" t="str">
        <f t="shared" si="186"/>
        <v>14-01</v>
      </c>
      <c r="H3036" s="1">
        <f>_xlfn.IFNA(VLOOKUP(Aragon!E3036,'Kilter Holds'!$P$36:$AB$370,6,0),0)</f>
        <v>0</v>
      </c>
      <c r="J3036" s="2">
        <f t="shared" si="187"/>
        <v>0</v>
      </c>
      <c r="K3036" s="2">
        <f t="shared" si="185"/>
        <v>0</v>
      </c>
    </row>
    <row r="3037" spans="5:11">
      <c r="E3037" t="s">
        <v>1045</v>
      </c>
      <c r="F3037" t="s">
        <v>1046</v>
      </c>
      <c r="G3037" s="7" t="str">
        <f t="shared" si="186"/>
        <v>15-12</v>
      </c>
      <c r="H3037" s="1">
        <f>_xlfn.IFNA(VLOOKUP(Aragon!E3037,'Kilter Holds'!$P$36:$AB$370,7,0),0)</f>
        <v>0</v>
      </c>
      <c r="J3037" s="2">
        <f t="shared" si="187"/>
        <v>0</v>
      </c>
      <c r="K3037" s="2">
        <f t="shared" si="185"/>
        <v>0</v>
      </c>
    </row>
    <row r="3038" spans="5:11">
      <c r="E3038" t="s">
        <v>1045</v>
      </c>
      <c r="F3038" t="s">
        <v>1046</v>
      </c>
      <c r="G3038" s="8" t="str">
        <f t="shared" si="186"/>
        <v>16-16</v>
      </c>
      <c r="H3038" s="1">
        <f>_xlfn.IFNA(VLOOKUP(Aragon!E3038,'Kilter Holds'!$P$36:$AB$370,8,0),0)</f>
        <v>0</v>
      </c>
      <c r="J3038" s="2">
        <f t="shared" si="187"/>
        <v>0</v>
      </c>
      <c r="K3038" s="2">
        <f t="shared" si="185"/>
        <v>0</v>
      </c>
    </row>
    <row r="3039" spans="5:11">
      <c r="E3039" t="s">
        <v>1045</v>
      </c>
      <c r="F3039" t="s">
        <v>1046</v>
      </c>
      <c r="G3039" s="9" t="str">
        <f t="shared" si="186"/>
        <v>13-01</v>
      </c>
      <c r="H3039" s="1">
        <f>_xlfn.IFNA(VLOOKUP(Aragon!E3039,'Kilter Holds'!$P$36:$AB$370,9,0),0)</f>
        <v>0</v>
      </c>
      <c r="J3039" s="2">
        <f t="shared" si="187"/>
        <v>0</v>
      </c>
      <c r="K3039" s="2">
        <f t="shared" si="185"/>
        <v>0</v>
      </c>
    </row>
    <row r="3040" spans="5:11">
      <c r="E3040" t="s">
        <v>1045</v>
      </c>
      <c r="F3040" t="s">
        <v>1046</v>
      </c>
      <c r="G3040" s="10" t="str">
        <f t="shared" si="186"/>
        <v>07-13</v>
      </c>
      <c r="H3040" s="1">
        <f>_xlfn.IFNA(VLOOKUP(Aragon!E3040,'Kilter Holds'!$P$36:$AB$370,10,0),0)</f>
        <v>0</v>
      </c>
      <c r="J3040" s="2">
        <f t="shared" si="187"/>
        <v>0</v>
      </c>
      <c r="K3040" s="2">
        <f t="shared" si="185"/>
        <v>0</v>
      </c>
    </row>
    <row r="3041" spans="5:11">
      <c r="E3041" t="s">
        <v>1045</v>
      </c>
      <c r="F3041" t="s">
        <v>1046</v>
      </c>
      <c r="G3041" s="11" t="str">
        <f t="shared" si="186"/>
        <v>11-25</v>
      </c>
      <c r="H3041" s="1">
        <f>_xlfn.IFNA(VLOOKUP(Aragon!E3041,'Kilter Holds'!$P$36:$AB$370,11,0),0)</f>
        <v>0</v>
      </c>
      <c r="J3041" s="2">
        <f t="shared" si="187"/>
        <v>0</v>
      </c>
      <c r="K3041" s="2">
        <f t="shared" si="185"/>
        <v>0</v>
      </c>
    </row>
    <row r="3042" spans="5:11">
      <c r="E3042" t="s">
        <v>1045</v>
      </c>
      <c r="F3042" t="s">
        <v>1046</v>
      </c>
      <c r="G3042" s="13" t="str">
        <f t="shared" si="186"/>
        <v>18-01</v>
      </c>
      <c r="H3042" s="1">
        <f>_xlfn.IFNA(VLOOKUP(Aragon!E3042,'Kilter Holds'!$P$36:$AB$370,12,0),0)</f>
        <v>0</v>
      </c>
      <c r="J3042" s="2">
        <f t="shared" si="187"/>
        <v>0</v>
      </c>
      <c r="K3042" s="2">
        <f t="shared" si="185"/>
        <v>0</v>
      </c>
    </row>
    <row r="3043" spans="5:11">
      <c r="E3043" t="s">
        <v>1045</v>
      </c>
      <c r="F3043" t="s">
        <v>1046</v>
      </c>
      <c r="G3043" s="12" t="str">
        <f t="shared" si="186"/>
        <v>12-01</v>
      </c>
      <c r="H3043" s="1">
        <f>_xlfn.IFNA(VLOOKUP(Aragon!E3043,'Kilter Holds'!$P$36:$AB$370,13,0),0)</f>
        <v>0</v>
      </c>
      <c r="J3043" s="2">
        <f t="shared" si="187"/>
        <v>0</v>
      </c>
      <c r="K3043" s="2">
        <f t="shared" si="185"/>
        <v>0</v>
      </c>
    </row>
    <row r="3044" spans="5:11">
      <c r="E3044" t="s">
        <v>1066</v>
      </c>
      <c r="F3044" t="s">
        <v>1069</v>
      </c>
      <c r="G3044" s="5" t="str">
        <f t="shared" si="186"/>
        <v>11-12</v>
      </c>
      <c r="H3044" s="1">
        <f>_xlfn.IFNA(VLOOKUP(Aragon!E3044,'Kilter Holds'!$P$36:$AB$370,5,0),0)</f>
        <v>0</v>
      </c>
      <c r="J3044" s="2">
        <f t="shared" si="187"/>
        <v>0</v>
      </c>
      <c r="K3044" s="2">
        <f t="shared" ref="K3044:K3079" si="188">IF($V$11="Y",J3044*0.05,0)</f>
        <v>0</v>
      </c>
    </row>
    <row r="3045" spans="5:11">
      <c r="E3045" t="s">
        <v>1066</v>
      </c>
      <c r="F3045" t="s">
        <v>1069</v>
      </c>
      <c r="G3045" s="6" t="str">
        <f t="shared" si="186"/>
        <v>14-01</v>
      </c>
      <c r="H3045" s="1">
        <f>_xlfn.IFNA(VLOOKUP(Aragon!E3045,'Kilter Holds'!$P$36:$AB$370,6,0),0)</f>
        <v>0</v>
      </c>
      <c r="J3045" s="2">
        <f t="shared" si="187"/>
        <v>0</v>
      </c>
      <c r="K3045" s="2">
        <f t="shared" si="188"/>
        <v>0</v>
      </c>
    </row>
    <row r="3046" spans="5:11">
      <c r="E3046" t="s">
        <v>1066</v>
      </c>
      <c r="F3046" t="s">
        <v>1069</v>
      </c>
      <c r="G3046" s="7" t="str">
        <f t="shared" si="186"/>
        <v>15-12</v>
      </c>
      <c r="H3046" s="1">
        <f>_xlfn.IFNA(VLOOKUP(Aragon!E3046,'Kilter Holds'!$P$36:$AB$370,7,0),0)</f>
        <v>0</v>
      </c>
      <c r="J3046" s="2">
        <f t="shared" si="187"/>
        <v>0</v>
      </c>
      <c r="K3046" s="2">
        <f t="shared" si="188"/>
        <v>0</v>
      </c>
    </row>
    <row r="3047" spans="5:11">
      <c r="E3047" t="s">
        <v>1066</v>
      </c>
      <c r="F3047" t="s">
        <v>1069</v>
      </c>
      <c r="G3047" s="8" t="str">
        <f t="shared" si="186"/>
        <v>16-16</v>
      </c>
      <c r="H3047" s="1">
        <f>_xlfn.IFNA(VLOOKUP(Aragon!E3047,'Kilter Holds'!$P$36:$AB$370,8,0),0)</f>
        <v>0</v>
      </c>
      <c r="J3047" s="2">
        <f t="shared" si="187"/>
        <v>0</v>
      </c>
      <c r="K3047" s="2">
        <f t="shared" si="188"/>
        <v>0</v>
      </c>
    </row>
    <row r="3048" spans="5:11">
      <c r="E3048" t="s">
        <v>1066</v>
      </c>
      <c r="F3048" t="s">
        <v>1069</v>
      </c>
      <c r="G3048" s="9" t="str">
        <f t="shared" si="186"/>
        <v>13-01</v>
      </c>
      <c r="H3048" s="1">
        <f>_xlfn.IFNA(VLOOKUP(Aragon!E3048,'Kilter Holds'!$P$36:$AB$370,9,0),0)</f>
        <v>0</v>
      </c>
      <c r="J3048" s="2">
        <f t="shared" si="187"/>
        <v>0</v>
      </c>
      <c r="K3048" s="2">
        <f t="shared" si="188"/>
        <v>0</v>
      </c>
    </row>
    <row r="3049" spans="5:11">
      <c r="E3049" t="s">
        <v>1066</v>
      </c>
      <c r="F3049" t="s">
        <v>1069</v>
      </c>
      <c r="G3049" s="10" t="str">
        <f t="shared" si="186"/>
        <v>07-13</v>
      </c>
      <c r="H3049" s="1">
        <f>_xlfn.IFNA(VLOOKUP(Aragon!E3049,'Kilter Holds'!$P$36:$AB$370,10,0),0)</f>
        <v>0</v>
      </c>
      <c r="J3049" s="2">
        <f t="shared" si="187"/>
        <v>0</v>
      </c>
      <c r="K3049" s="2">
        <f t="shared" si="188"/>
        <v>0</v>
      </c>
    </row>
    <row r="3050" spans="5:11">
      <c r="E3050" t="s">
        <v>1066</v>
      </c>
      <c r="F3050" t="s">
        <v>1069</v>
      </c>
      <c r="G3050" s="11" t="str">
        <f t="shared" si="186"/>
        <v>11-25</v>
      </c>
      <c r="H3050" s="1">
        <f>_xlfn.IFNA(VLOOKUP(Aragon!E3050,'Kilter Holds'!$P$36:$AB$370,11,0),0)</f>
        <v>0</v>
      </c>
      <c r="J3050" s="2">
        <f t="shared" si="187"/>
        <v>0</v>
      </c>
      <c r="K3050" s="2">
        <f t="shared" si="188"/>
        <v>0</v>
      </c>
    </row>
    <row r="3051" spans="5:11">
      <c r="E3051" t="s">
        <v>1066</v>
      </c>
      <c r="F3051" t="s">
        <v>1069</v>
      </c>
      <c r="G3051" s="13" t="str">
        <f t="shared" si="186"/>
        <v>18-01</v>
      </c>
      <c r="H3051" s="1">
        <f>_xlfn.IFNA(VLOOKUP(Aragon!E3051,'Kilter Holds'!$P$36:$AB$370,12,0),0)</f>
        <v>0</v>
      </c>
      <c r="J3051" s="2">
        <f t="shared" si="187"/>
        <v>0</v>
      </c>
      <c r="K3051" s="2">
        <f t="shared" si="188"/>
        <v>0</v>
      </c>
    </row>
    <row r="3052" spans="5:11">
      <c r="E3052" t="s">
        <v>1066</v>
      </c>
      <c r="F3052" t="s">
        <v>1069</v>
      </c>
      <c r="G3052" s="12" t="str">
        <f t="shared" si="186"/>
        <v>12-01</v>
      </c>
      <c r="H3052" s="1">
        <f>_xlfn.IFNA(VLOOKUP(Aragon!E3052,'Kilter Holds'!$P$36:$AB$370,13,0),0)</f>
        <v>0</v>
      </c>
      <c r="J3052" s="2">
        <f t="shared" si="187"/>
        <v>0</v>
      </c>
      <c r="K3052" s="2">
        <f t="shared" si="188"/>
        <v>0</v>
      </c>
    </row>
    <row r="3053" spans="5:11">
      <c r="E3053" t="s">
        <v>1067</v>
      </c>
      <c r="F3053" t="s">
        <v>1070</v>
      </c>
      <c r="G3053" s="5" t="str">
        <f t="shared" si="186"/>
        <v>11-12</v>
      </c>
      <c r="H3053" s="1">
        <f>_xlfn.IFNA(VLOOKUP(Aragon!E3053,'Kilter Holds'!$P$36:$AB$370,5,0),0)</f>
        <v>0</v>
      </c>
      <c r="J3053" s="2">
        <f t="shared" si="187"/>
        <v>0</v>
      </c>
      <c r="K3053" s="2">
        <f t="shared" si="188"/>
        <v>0</v>
      </c>
    </row>
    <row r="3054" spans="5:11">
      <c r="E3054" t="s">
        <v>1067</v>
      </c>
      <c r="F3054" t="s">
        <v>1070</v>
      </c>
      <c r="G3054" s="6" t="str">
        <f t="shared" si="186"/>
        <v>14-01</v>
      </c>
      <c r="H3054" s="1">
        <f>_xlfn.IFNA(VLOOKUP(Aragon!E3054,'Kilter Holds'!$P$36:$AB$370,6,0),0)</f>
        <v>0</v>
      </c>
      <c r="J3054" s="2">
        <f t="shared" si="187"/>
        <v>0</v>
      </c>
      <c r="K3054" s="2">
        <f t="shared" si="188"/>
        <v>0</v>
      </c>
    </row>
    <row r="3055" spans="5:11">
      <c r="E3055" t="s">
        <v>1067</v>
      </c>
      <c r="F3055" t="s">
        <v>1070</v>
      </c>
      <c r="G3055" s="7" t="str">
        <f t="shared" si="186"/>
        <v>15-12</v>
      </c>
      <c r="H3055" s="1">
        <f>_xlfn.IFNA(VLOOKUP(Aragon!E3055,'Kilter Holds'!$P$36:$AB$370,7,0),0)</f>
        <v>0</v>
      </c>
      <c r="J3055" s="2">
        <f t="shared" si="187"/>
        <v>0</v>
      </c>
      <c r="K3055" s="2">
        <f t="shared" si="188"/>
        <v>0</v>
      </c>
    </row>
    <row r="3056" spans="5:11">
      <c r="E3056" t="s">
        <v>1067</v>
      </c>
      <c r="F3056" t="s">
        <v>1070</v>
      </c>
      <c r="G3056" s="8" t="str">
        <f t="shared" si="186"/>
        <v>16-16</v>
      </c>
      <c r="H3056" s="1">
        <f>_xlfn.IFNA(VLOOKUP(Aragon!E3056,'Kilter Holds'!$P$36:$AB$370,8,0),0)</f>
        <v>0</v>
      </c>
      <c r="J3056" s="2">
        <f t="shared" si="187"/>
        <v>0</v>
      </c>
      <c r="K3056" s="2">
        <f t="shared" si="188"/>
        <v>0</v>
      </c>
    </row>
    <row r="3057" spans="5:11">
      <c r="E3057" t="s">
        <v>1067</v>
      </c>
      <c r="F3057" t="s">
        <v>1070</v>
      </c>
      <c r="G3057" s="9" t="str">
        <f t="shared" si="186"/>
        <v>13-01</v>
      </c>
      <c r="H3057" s="1">
        <f>_xlfn.IFNA(VLOOKUP(Aragon!E3057,'Kilter Holds'!$P$36:$AB$370,9,0),0)</f>
        <v>0</v>
      </c>
      <c r="J3057" s="2">
        <f t="shared" si="187"/>
        <v>0</v>
      </c>
      <c r="K3057" s="2">
        <f t="shared" si="188"/>
        <v>0</v>
      </c>
    </row>
    <row r="3058" spans="5:11">
      <c r="E3058" t="s">
        <v>1067</v>
      </c>
      <c r="F3058" t="s">
        <v>1070</v>
      </c>
      <c r="G3058" s="10" t="str">
        <f t="shared" si="186"/>
        <v>07-13</v>
      </c>
      <c r="H3058" s="1">
        <f>_xlfn.IFNA(VLOOKUP(Aragon!E3058,'Kilter Holds'!$P$36:$AB$370,10,0),0)</f>
        <v>0</v>
      </c>
      <c r="J3058" s="2">
        <f t="shared" si="187"/>
        <v>0</v>
      </c>
      <c r="K3058" s="2">
        <f t="shared" si="188"/>
        <v>0</v>
      </c>
    </row>
    <row r="3059" spans="5:11">
      <c r="E3059" t="s">
        <v>1067</v>
      </c>
      <c r="F3059" t="s">
        <v>1070</v>
      </c>
      <c r="G3059" s="11" t="str">
        <f t="shared" si="186"/>
        <v>11-25</v>
      </c>
      <c r="H3059" s="1">
        <f>_xlfn.IFNA(VLOOKUP(Aragon!E3059,'Kilter Holds'!$P$36:$AB$370,11,0),0)</f>
        <v>0</v>
      </c>
      <c r="J3059" s="2">
        <f t="shared" si="187"/>
        <v>0</v>
      </c>
      <c r="K3059" s="2">
        <f t="shared" si="188"/>
        <v>0</v>
      </c>
    </row>
    <row r="3060" spans="5:11">
      <c r="E3060" t="s">
        <v>1067</v>
      </c>
      <c r="F3060" t="s">
        <v>1070</v>
      </c>
      <c r="G3060" s="13" t="str">
        <f t="shared" si="186"/>
        <v>18-01</v>
      </c>
      <c r="H3060" s="1">
        <f>_xlfn.IFNA(VLOOKUP(Aragon!E3060,'Kilter Holds'!$P$36:$AB$370,12,0),0)</f>
        <v>0</v>
      </c>
      <c r="J3060" s="2">
        <f t="shared" si="187"/>
        <v>0</v>
      </c>
      <c r="K3060" s="2">
        <f t="shared" si="188"/>
        <v>0</v>
      </c>
    </row>
    <row r="3061" spans="5:11">
      <c r="E3061" t="s">
        <v>1067</v>
      </c>
      <c r="F3061" t="s">
        <v>1070</v>
      </c>
      <c r="G3061" s="12" t="str">
        <f t="shared" si="186"/>
        <v>12-01</v>
      </c>
      <c r="H3061" s="1">
        <f>_xlfn.IFNA(VLOOKUP(Aragon!E3061,'Kilter Holds'!$P$36:$AB$370,13,0),0)</f>
        <v>0</v>
      </c>
      <c r="J3061" s="2">
        <f t="shared" si="187"/>
        <v>0</v>
      </c>
      <c r="K3061" s="2">
        <f t="shared" si="188"/>
        <v>0</v>
      </c>
    </row>
    <row r="3062" spans="5:11">
      <c r="E3062" t="s">
        <v>1206</v>
      </c>
      <c r="F3062" t="s">
        <v>1217</v>
      </c>
      <c r="G3062" s="5" t="str">
        <f t="shared" si="186"/>
        <v>11-12</v>
      </c>
      <c r="H3062" s="1">
        <f>_xlfn.IFNA(VLOOKUP(Aragon!E3062,'Kilter Holds'!$P$36:$AB$370,5,0),0)</f>
        <v>0</v>
      </c>
      <c r="J3062" s="2">
        <f t="shared" ref="J3062:J3070" si="189">H3062*I3062</f>
        <v>0</v>
      </c>
      <c r="K3062" s="2">
        <f t="shared" ref="K3062:K3070" si="190">IF($V$11="Y",J3062*0.05,0)</f>
        <v>0</v>
      </c>
    </row>
    <row r="3063" spans="5:11">
      <c r="E3063" t="s">
        <v>1206</v>
      </c>
      <c r="F3063" t="s">
        <v>1217</v>
      </c>
      <c r="G3063" s="6" t="str">
        <f t="shared" si="186"/>
        <v>14-01</v>
      </c>
      <c r="H3063" s="1">
        <f>_xlfn.IFNA(VLOOKUP(Aragon!E3063,'Kilter Holds'!$P$36:$AB$370,6,0),0)</f>
        <v>0</v>
      </c>
      <c r="J3063" s="2">
        <f t="shared" si="189"/>
        <v>0</v>
      </c>
      <c r="K3063" s="2">
        <f t="shared" si="190"/>
        <v>0</v>
      </c>
    </row>
    <row r="3064" spans="5:11">
      <c r="E3064" t="s">
        <v>1206</v>
      </c>
      <c r="F3064" t="s">
        <v>1217</v>
      </c>
      <c r="G3064" s="7" t="str">
        <f t="shared" si="186"/>
        <v>15-12</v>
      </c>
      <c r="H3064" s="1">
        <f>_xlfn.IFNA(VLOOKUP(Aragon!E3064,'Kilter Holds'!$P$36:$AB$370,7,0),0)</f>
        <v>0</v>
      </c>
      <c r="J3064" s="2">
        <f t="shared" si="189"/>
        <v>0</v>
      </c>
      <c r="K3064" s="2">
        <f t="shared" si="190"/>
        <v>0</v>
      </c>
    </row>
    <row r="3065" spans="5:11">
      <c r="E3065" t="s">
        <v>1206</v>
      </c>
      <c r="F3065" t="s">
        <v>1217</v>
      </c>
      <c r="G3065" s="8" t="str">
        <f t="shared" si="186"/>
        <v>16-16</v>
      </c>
      <c r="H3065" s="1">
        <f>_xlfn.IFNA(VLOOKUP(Aragon!E3065,'Kilter Holds'!$P$36:$AB$370,8,0),0)</f>
        <v>0</v>
      </c>
      <c r="J3065" s="2">
        <f t="shared" si="189"/>
        <v>0</v>
      </c>
      <c r="K3065" s="2">
        <f t="shared" si="190"/>
        <v>0</v>
      </c>
    </row>
    <row r="3066" spans="5:11">
      <c r="E3066" t="s">
        <v>1206</v>
      </c>
      <c r="F3066" t="s">
        <v>1217</v>
      </c>
      <c r="G3066" s="9" t="str">
        <f t="shared" si="186"/>
        <v>13-01</v>
      </c>
      <c r="H3066" s="1">
        <f>_xlfn.IFNA(VLOOKUP(Aragon!E3066,'Kilter Holds'!$P$36:$AB$370,9,0),0)</f>
        <v>0</v>
      </c>
      <c r="J3066" s="2">
        <f t="shared" si="189"/>
        <v>0</v>
      </c>
      <c r="K3066" s="2">
        <f t="shared" si="190"/>
        <v>0</v>
      </c>
    </row>
    <row r="3067" spans="5:11">
      <c r="E3067" t="s">
        <v>1206</v>
      </c>
      <c r="F3067" t="s">
        <v>1217</v>
      </c>
      <c r="G3067" s="10" t="str">
        <f t="shared" si="186"/>
        <v>07-13</v>
      </c>
      <c r="H3067" s="1">
        <f>_xlfn.IFNA(VLOOKUP(Aragon!E3067,'Kilter Holds'!$P$36:$AB$370,10,0),0)</f>
        <v>0</v>
      </c>
      <c r="J3067" s="2">
        <f t="shared" si="189"/>
        <v>0</v>
      </c>
      <c r="K3067" s="2">
        <f t="shared" si="190"/>
        <v>0</v>
      </c>
    </row>
    <row r="3068" spans="5:11">
      <c r="E3068" t="s">
        <v>1206</v>
      </c>
      <c r="F3068" t="s">
        <v>1217</v>
      </c>
      <c r="G3068" s="11" t="str">
        <f t="shared" si="186"/>
        <v>11-25</v>
      </c>
      <c r="H3068" s="1">
        <f>_xlfn.IFNA(VLOOKUP(Aragon!E3068,'Kilter Holds'!$P$36:$AB$370,11,0),0)</f>
        <v>0</v>
      </c>
      <c r="J3068" s="2">
        <f t="shared" si="189"/>
        <v>0</v>
      </c>
      <c r="K3068" s="2">
        <f t="shared" si="190"/>
        <v>0</v>
      </c>
    </row>
    <row r="3069" spans="5:11">
      <c r="E3069" t="s">
        <v>1206</v>
      </c>
      <c r="F3069" t="s">
        <v>1217</v>
      </c>
      <c r="G3069" s="13" t="str">
        <f t="shared" si="186"/>
        <v>18-01</v>
      </c>
      <c r="H3069" s="1">
        <f>_xlfn.IFNA(VLOOKUP(Aragon!E3069,'Kilter Holds'!$P$36:$AB$370,12,0),0)</f>
        <v>0</v>
      </c>
      <c r="J3069" s="2">
        <f t="shared" si="189"/>
        <v>0</v>
      </c>
      <c r="K3069" s="2">
        <f t="shared" si="190"/>
        <v>0</v>
      </c>
    </row>
    <row r="3070" spans="5:11">
      <c r="E3070" t="s">
        <v>1206</v>
      </c>
      <c r="F3070" t="s">
        <v>1217</v>
      </c>
      <c r="G3070" s="12" t="str">
        <f t="shared" si="186"/>
        <v>12-01</v>
      </c>
      <c r="H3070" s="1">
        <f>_xlfn.IFNA(VLOOKUP(Aragon!E3070,'Kilter Holds'!$P$36:$AB$370,13,0),0)</f>
        <v>0</v>
      </c>
      <c r="J3070" s="2">
        <f t="shared" si="189"/>
        <v>0</v>
      </c>
      <c r="K3070" s="2">
        <f t="shared" si="190"/>
        <v>0</v>
      </c>
    </row>
    <row r="3071" spans="5:11">
      <c r="E3071" t="s">
        <v>1068</v>
      </c>
      <c r="F3071" t="s">
        <v>1071</v>
      </c>
      <c r="G3071" s="5" t="str">
        <f t="shared" ref="G3071:G3115" si="191">G3053</f>
        <v>11-12</v>
      </c>
      <c r="H3071" s="1">
        <f>_xlfn.IFNA(VLOOKUP(Aragon!E3071,'Kilter Holds'!$P$36:$AB$370,5,0),0)</f>
        <v>0</v>
      </c>
      <c r="J3071" s="2">
        <f t="shared" si="187"/>
        <v>0</v>
      </c>
      <c r="K3071" s="2">
        <f t="shared" si="188"/>
        <v>0</v>
      </c>
    </row>
    <row r="3072" spans="5:11">
      <c r="E3072" t="s">
        <v>1068</v>
      </c>
      <c r="F3072" t="s">
        <v>1071</v>
      </c>
      <c r="G3072" s="6" t="str">
        <f t="shared" si="191"/>
        <v>14-01</v>
      </c>
      <c r="H3072" s="1">
        <f>_xlfn.IFNA(VLOOKUP(Aragon!E3072,'Kilter Holds'!$P$36:$AB$370,6,0),0)</f>
        <v>0</v>
      </c>
      <c r="J3072" s="2">
        <f t="shared" si="187"/>
        <v>0</v>
      </c>
      <c r="K3072" s="2">
        <f t="shared" si="188"/>
        <v>0</v>
      </c>
    </row>
    <row r="3073" spans="5:11">
      <c r="E3073" t="s">
        <v>1068</v>
      </c>
      <c r="F3073" t="s">
        <v>1071</v>
      </c>
      <c r="G3073" s="7" t="str">
        <f t="shared" si="191"/>
        <v>15-12</v>
      </c>
      <c r="H3073" s="1">
        <f>_xlfn.IFNA(VLOOKUP(Aragon!E3073,'Kilter Holds'!$P$36:$AB$370,7,0),0)</f>
        <v>0</v>
      </c>
      <c r="J3073" s="2">
        <f t="shared" si="187"/>
        <v>0</v>
      </c>
      <c r="K3073" s="2">
        <f t="shared" si="188"/>
        <v>0</v>
      </c>
    </row>
    <row r="3074" spans="5:11">
      <c r="E3074" t="s">
        <v>1068</v>
      </c>
      <c r="F3074" t="s">
        <v>1071</v>
      </c>
      <c r="G3074" s="8" t="str">
        <f t="shared" si="191"/>
        <v>16-16</v>
      </c>
      <c r="H3074" s="1">
        <f>_xlfn.IFNA(VLOOKUP(Aragon!E3074,'Kilter Holds'!$P$36:$AB$370,8,0),0)</f>
        <v>0</v>
      </c>
      <c r="J3074" s="2">
        <f t="shared" si="187"/>
        <v>0</v>
      </c>
      <c r="K3074" s="2">
        <f t="shared" si="188"/>
        <v>0</v>
      </c>
    </row>
    <row r="3075" spans="5:11">
      <c r="E3075" t="s">
        <v>1068</v>
      </c>
      <c r="F3075" t="s">
        <v>1071</v>
      </c>
      <c r="G3075" s="9" t="str">
        <f t="shared" si="191"/>
        <v>13-01</v>
      </c>
      <c r="H3075" s="1">
        <f>_xlfn.IFNA(VLOOKUP(Aragon!E3075,'Kilter Holds'!$P$36:$AB$370,9,0),0)</f>
        <v>0</v>
      </c>
      <c r="J3075" s="2">
        <f t="shared" si="187"/>
        <v>0</v>
      </c>
      <c r="K3075" s="2">
        <f t="shared" si="188"/>
        <v>0</v>
      </c>
    </row>
    <row r="3076" spans="5:11">
      <c r="E3076" t="s">
        <v>1068</v>
      </c>
      <c r="F3076" t="s">
        <v>1071</v>
      </c>
      <c r="G3076" s="10" t="str">
        <f t="shared" si="191"/>
        <v>07-13</v>
      </c>
      <c r="H3076" s="1">
        <f>_xlfn.IFNA(VLOOKUP(Aragon!E3076,'Kilter Holds'!$P$36:$AB$370,10,0),0)</f>
        <v>0</v>
      </c>
      <c r="J3076" s="2">
        <f t="shared" si="187"/>
        <v>0</v>
      </c>
      <c r="K3076" s="2">
        <f t="shared" si="188"/>
        <v>0</v>
      </c>
    </row>
    <row r="3077" spans="5:11">
      <c r="E3077" t="s">
        <v>1068</v>
      </c>
      <c r="F3077" t="s">
        <v>1071</v>
      </c>
      <c r="G3077" s="11" t="str">
        <f t="shared" si="191"/>
        <v>11-25</v>
      </c>
      <c r="H3077" s="1">
        <f>_xlfn.IFNA(VLOOKUP(Aragon!E3077,'Kilter Holds'!$P$36:$AB$370,11,0),0)</f>
        <v>0</v>
      </c>
      <c r="J3077" s="2">
        <f t="shared" si="187"/>
        <v>0</v>
      </c>
      <c r="K3077" s="2">
        <f t="shared" si="188"/>
        <v>0</v>
      </c>
    </row>
    <row r="3078" spans="5:11">
      <c r="E3078" t="s">
        <v>1068</v>
      </c>
      <c r="F3078" t="s">
        <v>1071</v>
      </c>
      <c r="G3078" s="13" t="str">
        <f t="shared" si="191"/>
        <v>18-01</v>
      </c>
      <c r="H3078" s="1">
        <f>_xlfn.IFNA(VLOOKUP(Aragon!E3078,'Kilter Holds'!$P$36:$AB$370,12,0),0)</f>
        <v>0</v>
      </c>
      <c r="J3078" s="2">
        <f t="shared" si="187"/>
        <v>0</v>
      </c>
      <c r="K3078" s="2">
        <f t="shared" si="188"/>
        <v>0</v>
      </c>
    </row>
    <row r="3079" spans="5:11">
      <c r="E3079" t="s">
        <v>1068</v>
      </c>
      <c r="F3079" t="s">
        <v>1071</v>
      </c>
      <c r="G3079" s="12" t="str">
        <f t="shared" si="191"/>
        <v>12-01</v>
      </c>
      <c r="H3079" s="1">
        <f>_xlfn.IFNA(VLOOKUP(Aragon!E3079,'Kilter Holds'!$P$36:$AB$370,13,0),0)</f>
        <v>0</v>
      </c>
      <c r="J3079" s="2">
        <f t="shared" si="187"/>
        <v>0</v>
      </c>
      <c r="K3079" s="2">
        <f t="shared" si="188"/>
        <v>0</v>
      </c>
    </row>
    <row r="3080" spans="5:11">
      <c r="E3080" s="3" t="s">
        <v>2001</v>
      </c>
      <c r="F3080" s="3" t="s">
        <v>2008</v>
      </c>
      <c r="G3080" s="5" t="str">
        <f t="shared" si="191"/>
        <v>11-12</v>
      </c>
      <c r="H3080" s="1">
        <f>_xlfn.IFNA(VLOOKUP(Aragon!E3080,'Kilter Holds'!$P$36:$AB$370,5,0),0)</f>
        <v>0</v>
      </c>
      <c r="J3080" s="2">
        <f t="shared" ref="J3080:J3088" si="192">H3080*I3080</f>
        <v>0</v>
      </c>
      <c r="K3080" s="2">
        <f t="shared" ref="K3080:K3088" si="193">IF($V$11="Y",J3080*0.05,0)</f>
        <v>0</v>
      </c>
    </row>
    <row r="3081" spans="5:11">
      <c r="E3081" s="3" t="s">
        <v>2001</v>
      </c>
      <c r="F3081" s="3" t="s">
        <v>2008</v>
      </c>
      <c r="G3081" s="6" t="str">
        <f t="shared" si="191"/>
        <v>14-01</v>
      </c>
      <c r="H3081" s="1">
        <f>_xlfn.IFNA(VLOOKUP(Aragon!E3081,'Kilter Holds'!$P$36:$AB$370,6,0),0)</f>
        <v>0</v>
      </c>
      <c r="J3081" s="2">
        <f t="shared" si="192"/>
        <v>0</v>
      </c>
      <c r="K3081" s="2">
        <f t="shared" si="193"/>
        <v>0</v>
      </c>
    </row>
    <row r="3082" spans="5:11">
      <c r="E3082" s="3" t="s">
        <v>2001</v>
      </c>
      <c r="F3082" s="3" t="s">
        <v>2008</v>
      </c>
      <c r="G3082" s="7" t="str">
        <f t="shared" si="191"/>
        <v>15-12</v>
      </c>
      <c r="H3082" s="1">
        <f>_xlfn.IFNA(VLOOKUP(Aragon!E3082,'Kilter Holds'!$P$36:$AB$370,7,0),0)</f>
        <v>0</v>
      </c>
      <c r="J3082" s="2">
        <f t="shared" si="192"/>
        <v>0</v>
      </c>
      <c r="K3082" s="2">
        <f t="shared" si="193"/>
        <v>0</v>
      </c>
    </row>
    <row r="3083" spans="5:11">
      <c r="E3083" s="3" t="s">
        <v>2001</v>
      </c>
      <c r="F3083" s="3" t="s">
        <v>2008</v>
      </c>
      <c r="G3083" s="8" t="str">
        <f t="shared" si="191"/>
        <v>16-16</v>
      </c>
      <c r="H3083" s="1">
        <f>_xlfn.IFNA(VLOOKUP(Aragon!E3083,'Kilter Holds'!$P$36:$AB$370,8,0),0)</f>
        <v>0</v>
      </c>
      <c r="J3083" s="2">
        <f t="shared" si="192"/>
        <v>0</v>
      </c>
      <c r="K3083" s="2">
        <f t="shared" si="193"/>
        <v>0</v>
      </c>
    </row>
    <row r="3084" spans="5:11">
      <c r="E3084" s="3" t="s">
        <v>2001</v>
      </c>
      <c r="F3084" s="3" t="s">
        <v>2008</v>
      </c>
      <c r="G3084" s="9" t="str">
        <f t="shared" si="191"/>
        <v>13-01</v>
      </c>
      <c r="H3084" s="1">
        <f>_xlfn.IFNA(VLOOKUP(Aragon!E3084,'Kilter Holds'!$P$36:$AB$370,9,0),0)</f>
        <v>0</v>
      </c>
      <c r="J3084" s="2">
        <f t="shared" si="192"/>
        <v>0</v>
      </c>
      <c r="K3084" s="2">
        <f t="shared" si="193"/>
        <v>0</v>
      </c>
    </row>
    <row r="3085" spans="5:11">
      <c r="E3085" s="3" t="s">
        <v>2001</v>
      </c>
      <c r="F3085" s="3" t="s">
        <v>2008</v>
      </c>
      <c r="G3085" s="10" t="str">
        <f t="shared" si="191"/>
        <v>07-13</v>
      </c>
      <c r="H3085" s="1">
        <f>_xlfn.IFNA(VLOOKUP(Aragon!E3085,'Kilter Holds'!$P$36:$AB$370,10,0),0)</f>
        <v>0</v>
      </c>
      <c r="J3085" s="2">
        <f t="shared" si="192"/>
        <v>0</v>
      </c>
      <c r="K3085" s="2">
        <f t="shared" si="193"/>
        <v>0</v>
      </c>
    </row>
    <row r="3086" spans="5:11">
      <c r="E3086" s="3" t="s">
        <v>2001</v>
      </c>
      <c r="F3086" s="3" t="s">
        <v>2008</v>
      </c>
      <c r="G3086" s="11" t="str">
        <f t="shared" si="191"/>
        <v>11-25</v>
      </c>
      <c r="H3086" s="1">
        <f>_xlfn.IFNA(VLOOKUP(Aragon!E3086,'Kilter Holds'!$P$36:$AB$370,11,0),0)</f>
        <v>0</v>
      </c>
      <c r="J3086" s="2">
        <f t="shared" si="192"/>
        <v>0</v>
      </c>
      <c r="K3086" s="2">
        <f t="shared" si="193"/>
        <v>0</v>
      </c>
    </row>
    <row r="3087" spans="5:11">
      <c r="E3087" s="3" t="s">
        <v>2001</v>
      </c>
      <c r="F3087" s="3" t="s">
        <v>2008</v>
      </c>
      <c r="G3087" s="13" t="str">
        <f t="shared" si="191"/>
        <v>18-01</v>
      </c>
      <c r="H3087" s="1">
        <f>_xlfn.IFNA(VLOOKUP(Aragon!E3087,'Kilter Holds'!$P$36:$AB$370,12,0),0)</f>
        <v>0</v>
      </c>
      <c r="J3087" s="2">
        <f t="shared" si="192"/>
        <v>0</v>
      </c>
      <c r="K3087" s="2">
        <f t="shared" si="193"/>
        <v>0</v>
      </c>
    </row>
    <row r="3088" spans="5:11">
      <c r="E3088" s="3" t="s">
        <v>2001</v>
      </c>
      <c r="F3088" s="3" t="s">
        <v>2008</v>
      </c>
      <c r="G3088" s="12" t="str">
        <f t="shared" si="191"/>
        <v>12-01</v>
      </c>
      <c r="H3088" s="1">
        <f>_xlfn.IFNA(VLOOKUP(Aragon!E3088,'Kilter Holds'!$P$36:$AB$370,13,0),0)</f>
        <v>0</v>
      </c>
      <c r="J3088" s="2">
        <f t="shared" si="192"/>
        <v>0</v>
      </c>
      <c r="K3088" s="2">
        <f t="shared" si="193"/>
        <v>0</v>
      </c>
    </row>
    <row r="3089" spans="5:11">
      <c r="E3089" s="3" t="s">
        <v>2051</v>
      </c>
      <c r="F3089" s="3" t="s">
        <v>2072</v>
      </c>
      <c r="G3089" s="5" t="str">
        <f t="shared" si="191"/>
        <v>11-12</v>
      </c>
      <c r="H3089" s="1">
        <f>_xlfn.IFNA(VLOOKUP(Aragon!E3089,'Kilter Holds'!$P$36:$AB$370,5,0),0)</f>
        <v>0</v>
      </c>
      <c r="J3089" s="2">
        <f t="shared" ref="J3089:J3133" si="194">H3089*I3089</f>
        <v>0</v>
      </c>
      <c r="K3089" s="2">
        <f t="shared" ref="K3089:K3133" si="195">IF($V$11="Y",J3089*0.05,0)</f>
        <v>0</v>
      </c>
    </row>
    <row r="3090" spans="5:11">
      <c r="E3090" s="3" t="s">
        <v>2051</v>
      </c>
      <c r="F3090" s="3" t="s">
        <v>2072</v>
      </c>
      <c r="G3090" s="6" t="str">
        <f t="shared" si="191"/>
        <v>14-01</v>
      </c>
      <c r="H3090" s="1">
        <f>_xlfn.IFNA(VLOOKUP(Aragon!E3090,'Kilter Holds'!$P$36:$AB$370,6,0),0)</f>
        <v>0</v>
      </c>
      <c r="J3090" s="2">
        <f t="shared" si="194"/>
        <v>0</v>
      </c>
      <c r="K3090" s="2">
        <f t="shared" si="195"/>
        <v>0</v>
      </c>
    </row>
    <row r="3091" spans="5:11">
      <c r="E3091" s="3" t="s">
        <v>2051</v>
      </c>
      <c r="F3091" s="3" t="s">
        <v>2072</v>
      </c>
      <c r="G3091" s="7" t="str">
        <f t="shared" si="191"/>
        <v>15-12</v>
      </c>
      <c r="H3091" s="1">
        <f>_xlfn.IFNA(VLOOKUP(Aragon!E3091,'Kilter Holds'!$P$36:$AB$370,7,0),0)</f>
        <v>0</v>
      </c>
      <c r="J3091" s="2">
        <f t="shared" si="194"/>
        <v>0</v>
      </c>
      <c r="K3091" s="2">
        <f t="shared" si="195"/>
        <v>0</v>
      </c>
    </row>
    <row r="3092" spans="5:11">
      <c r="E3092" s="3" t="s">
        <v>2051</v>
      </c>
      <c r="F3092" s="3" t="s">
        <v>2072</v>
      </c>
      <c r="G3092" s="8" t="str">
        <f t="shared" si="191"/>
        <v>16-16</v>
      </c>
      <c r="H3092" s="1">
        <f>_xlfn.IFNA(VLOOKUP(Aragon!E3092,'Kilter Holds'!$P$36:$AB$370,8,0),0)</f>
        <v>0</v>
      </c>
      <c r="J3092" s="2">
        <f t="shared" si="194"/>
        <v>0</v>
      </c>
      <c r="K3092" s="2">
        <f t="shared" si="195"/>
        <v>0</v>
      </c>
    </row>
    <row r="3093" spans="5:11">
      <c r="E3093" s="3" t="s">
        <v>2051</v>
      </c>
      <c r="F3093" s="3" t="s">
        <v>2072</v>
      </c>
      <c r="G3093" s="9" t="str">
        <f t="shared" si="191"/>
        <v>13-01</v>
      </c>
      <c r="H3093" s="1">
        <f>_xlfn.IFNA(VLOOKUP(Aragon!E3093,'Kilter Holds'!$P$36:$AB$370,9,0),0)</f>
        <v>0</v>
      </c>
      <c r="J3093" s="2">
        <f t="shared" si="194"/>
        <v>0</v>
      </c>
      <c r="K3093" s="2">
        <f t="shared" si="195"/>
        <v>0</v>
      </c>
    </row>
    <row r="3094" spans="5:11">
      <c r="E3094" s="3" t="s">
        <v>2051</v>
      </c>
      <c r="F3094" s="3" t="s">
        <v>2072</v>
      </c>
      <c r="G3094" s="10" t="str">
        <f t="shared" si="191"/>
        <v>07-13</v>
      </c>
      <c r="H3094" s="1">
        <f>_xlfn.IFNA(VLOOKUP(Aragon!E3094,'Kilter Holds'!$P$36:$AB$370,10,0),0)</f>
        <v>0</v>
      </c>
      <c r="J3094" s="2">
        <f t="shared" si="194"/>
        <v>0</v>
      </c>
      <c r="K3094" s="2">
        <f t="shared" si="195"/>
        <v>0</v>
      </c>
    </row>
    <row r="3095" spans="5:11">
      <c r="E3095" s="3" t="s">
        <v>2051</v>
      </c>
      <c r="F3095" s="3" t="s">
        <v>2072</v>
      </c>
      <c r="G3095" s="11" t="str">
        <f t="shared" si="191"/>
        <v>11-25</v>
      </c>
      <c r="H3095" s="1">
        <f>_xlfn.IFNA(VLOOKUP(Aragon!E3095,'Kilter Holds'!$P$36:$AB$370,11,0),0)</f>
        <v>0</v>
      </c>
      <c r="J3095" s="2">
        <f t="shared" si="194"/>
        <v>0</v>
      </c>
      <c r="K3095" s="2">
        <f t="shared" si="195"/>
        <v>0</v>
      </c>
    </row>
    <row r="3096" spans="5:11">
      <c r="E3096" s="3" t="s">
        <v>2051</v>
      </c>
      <c r="F3096" s="3" t="s">
        <v>2072</v>
      </c>
      <c r="G3096" s="13" t="str">
        <f t="shared" si="191"/>
        <v>18-01</v>
      </c>
      <c r="H3096" s="1">
        <f>_xlfn.IFNA(VLOOKUP(Aragon!E3096,'Kilter Holds'!$P$36:$AB$370,12,0),0)</f>
        <v>0</v>
      </c>
      <c r="J3096" s="2">
        <f t="shared" si="194"/>
        <v>0</v>
      </c>
      <c r="K3096" s="2">
        <f t="shared" si="195"/>
        <v>0</v>
      </c>
    </row>
    <row r="3097" spans="5:11">
      <c r="E3097" s="3" t="s">
        <v>2051</v>
      </c>
      <c r="F3097" s="3" t="s">
        <v>2072</v>
      </c>
      <c r="G3097" s="12" t="str">
        <f t="shared" si="191"/>
        <v>12-01</v>
      </c>
      <c r="H3097" s="1">
        <f>_xlfn.IFNA(VLOOKUP(Aragon!E3097,'Kilter Holds'!$P$36:$AB$370,13,0),0)</f>
        <v>0</v>
      </c>
      <c r="J3097" s="2">
        <f t="shared" si="194"/>
        <v>0</v>
      </c>
      <c r="K3097" s="2">
        <f t="shared" si="195"/>
        <v>0</v>
      </c>
    </row>
    <row r="3098" spans="5:11">
      <c r="E3098" s="3" t="s">
        <v>2052</v>
      </c>
      <c r="F3098" s="3" t="s">
        <v>2073</v>
      </c>
      <c r="G3098" s="5" t="str">
        <f t="shared" si="191"/>
        <v>11-12</v>
      </c>
      <c r="H3098" s="1">
        <f>_xlfn.IFNA(VLOOKUP(Aragon!E3098,'Kilter Holds'!$P$36:$AB$370,5,0),0)</f>
        <v>0</v>
      </c>
      <c r="J3098" s="2">
        <f t="shared" ref="J3098:J3106" si="196">H3098*I3098</f>
        <v>0</v>
      </c>
      <c r="K3098" s="2">
        <f t="shared" ref="K3098:K3106" si="197">IF($V$11="Y",J3098*0.05,0)</f>
        <v>0</v>
      </c>
    </row>
    <row r="3099" spans="5:11">
      <c r="E3099" s="3" t="s">
        <v>2052</v>
      </c>
      <c r="F3099" s="3" t="s">
        <v>2073</v>
      </c>
      <c r="G3099" s="6" t="str">
        <f t="shared" si="191"/>
        <v>14-01</v>
      </c>
      <c r="H3099" s="1">
        <f>_xlfn.IFNA(VLOOKUP(Aragon!E3099,'Kilter Holds'!$P$36:$AB$370,6,0),0)</f>
        <v>0</v>
      </c>
      <c r="J3099" s="2">
        <f t="shared" si="196"/>
        <v>0</v>
      </c>
      <c r="K3099" s="2">
        <f t="shared" si="197"/>
        <v>0</v>
      </c>
    </row>
    <row r="3100" spans="5:11">
      <c r="E3100" s="3" t="s">
        <v>2052</v>
      </c>
      <c r="F3100" s="3" t="s">
        <v>2073</v>
      </c>
      <c r="G3100" s="7" t="str">
        <f t="shared" si="191"/>
        <v>15-12</v>
      </c>
      <c r="H3100" s="1">
        <f>_xlfn.IFNA(VLOOKUP(Aragon!E3100,'Kilter Holds'!$P$36:$AB$370,7,0),0)</f>
        <v>0</v>
      </c>
      <c r="J3100" s="2">
        <f t="shared" si="196"/>
        <v>0</v>
      </c>
      <c r="K3100" s="2">
        <f t="shared" si="197"/>
        <v>0</v>
      </c>
    </row>
    <row r="3101" spans="5:11">
      <c r="E3101" s="3" t="s">
        <v>2052</v>
      </c>
      <c r="F3101" s="3" t="s">
        <v>2073</v>
      </c>
      <c r="G3101" s="8" t="str">
        <f t="shared" si="191"/>
        <v>16-16</v>
      </c>
      <c r="H3101" s="1">
        <f>_xlfn.IFNA(VLOOKUP(Aragon!E3101,'Kilter Holds'!$P$36:$AB$370,8,0),0)</f>
        <v>0</v>
      </c>
      <c r="J3101" s="2">
        <f t="shared" si="196"/>
        <v>0</v>
      </c>
      <c r="K3101" s="2">
        <f t="shared" si="197"/>
        <v>0</v>
      </c>
    </row>
    <row r="3102" spans="5:11">
      <c r="E3102" s="3" t="s">
        <v>2052</v>
      </c>
      <c r="F3102" s="3" t="s">
        <v>2073</v>
      </c>
      <c r="G3102" s="9" t="str">
        <f t="shared" si="191"/>
        <v>13-01</v>
      </c>
      <c r="H3102" s="1">
        <f>_xlfn.IFNA(VLOOKUP(Aragon!E3102,'Kilter Holds'!$P$36:$AB$370,9,0),0)</f>
        <v>0</v>
      </c>
      <c r="J3102" s="2">
        <f t="shared" si="196"/>
        <v>0</v>
      </c>
      <c r="K3102" s="2">
        <f t="shared" si="197"/>
        <v>0</v>
      </c>
    </row>
    <row r="3103" spans="5:11">
      <c r="E3103" s="3" t="s">
        <v>2052</v>
      </c>
      <c r="F3103" s="3" t="s">
        <v>2073</v>
      </c>
      <c r="G3103" s="10" t="str">
        <f t="shared" si="191"/>
        <v>07-13</v>
      </c>
      <c r="H3103" s="1">
        <f>_xlfn.IFNA(VLOOKUP(Aragon!E3103,'Kilter Holds'!$P$36:$AB$370,10,0),0)</f>
        <v>0</v>
      </c>
      <c r="J3103" s="2">
        <f t="shared" si="196"/>
        <v>0</v>
      </c>
      <c r="K3103" s="2">
        <f t="shared" si="197"/>
        <v>0</v>
      </c>
    </row>
    <row r="3104" spans="5:11">
      <c r="E3104" s="3" t="s">
        <v>2052</v>
      </c>
      <c r="F3104" s="3" t="s">
        <v>2073</v>
      </c>
      <c r="G3104" s="11" t="str">
        <f t="shared" si="191"/>
        <v>11-25</v>
      </c>
      <c r="H3104" s="1">
        <f>_xlfn.IFNA(VLOOKUP(Aragon!E3104,'Kilter Holds'!$P$36:$AB$370,11,0),0)</f>
        <v>0</v>
      </c>
      <c r="J3104" s="2">
        <f t="shared" si="196"/>
        <v>0</v>
      </c>
      <c r="K3104" s="2">
        <f t="shared" si="197"/>
        <v>0</v>
      </c>
    </row>
    <row r="3105" spans="5:11">
      <c r="E3105" s="3" t="s">
        <v>2052</v>
      </c>
      <c r="F3105" s="3" t="s">
        <v>2073</v>
      </c>
      <c r="G3105" s="13" t="str">
        <f t="shared" si="191"/>
        <v>18-01</v>
      </c>
      <c r="H3105" s="1">
        <f>_xlfn.IFNA(VLOOKUP(Aragon!E3105,'Kilter Holds'!$P$36:$AB$370,12,0),0)</f>
        <v>0</v>
      </c>
      <c r="J3105" s="2">
        <f t="shared" si="196"/>
        <v>0</v>
      </c>
      <c r="K3105" s="2">
        <f t="shared" si="197"/>
        <v>0</v>
      </c>
    </row>
    <row r="3106" spans="5:11">
      <c r="E3106" s="3" t="s">
        <v>2052</v>
      </c>
      <c r="F3106" s="3" t="s">
        <v>2073</v>
      </c>
      <c r="G3106" s="12" t="str">
        <f t="shared" si="191"/>
        <v>12-01</v>
      </c>
      <c r="H3106" s="1">
        <f>_xlfn.IFNA(VLOOKUP(Aragon!E3106,'Kilter Holds'!$P$36:$AB$370,13,0),0)</f>
        <v>0</v>
      </c>
      <c r="J3106" s="2">
        <f t="shared" si="196"/>
        <v>0</v>
      </c>
      <c r="K3106" s="2">
        <f t="shared" si="197"/>
        <v>0</v>
      </c>
    </row>
    <row r="3107" spans="5:11">
      <c r="E3107" s="3" t="s">
        <v>2053</v>
      </c>
      <c r="F3107" s="3" t="s">
        <v>2074</v>
      </c>
      <c r="G3107" s="5" t="str">
        <f t="shared" si="191"/>
        <v>11-12</v>
      </c>
      <c r="H3107" s="1">
        <f>_xlfn.IFNA(VLOOKUP(Aragon!E3107,'Kilter Holds'!$P$36:$AB$370,5,0),0)</f>
        <v>0</v>
      </c>
      <c r="J3107" s="2">
        <f t="shared" ref="J3107:J3115" si="198">H3107*I3107</f>
        <v>0</v>
      </c>
      <c r="K3107" s="2">
        <f t="shared" ref="K3107:K3115" si="199">IF($V$11="Y",J3107*0.05,0)</f>
        <v>0</v>
      </c>
    </row>
    <row r="3108" spans="5:11">
      <c r="E3108" s="3" t="s">
        <v>2053</v>
      </c>
      <c r="F3108" s="3" t="s">
        <v>2074</v>
      </c>
      <c r="G3108" s="6" t="str">
        <f t="shared" si="191"/>
        <v>14-01</v>
      </c>
      <c r="H3108" s="1">
        <f>_xlfn.IFNA(VLOOKUP(Aragon!E3108,'Kilter Holds'!$P$36:$AB$370,6,0),0)</f>
        <v>0</v>
      </c>
      <c r="J3108" s="2">
        <f t="shared" si="198"/>
        <v>0</v>
      </c>
      <c r="K3108" s="2">
        <f t="shared" si="199"/>
        <v>0</v>
      </c>
    </row>
    <row r="3109" spans="5:11">
      <c r="E3109" s="3" t="s">
        <v>2053</v>
      </c>
      <c r="F3109" s="3" t="s">
        <v>2074</v>
      </c>
      <c r="G3109" s="7" t="str">
        <f t="shared" si="191"/>
        <v>15-12</v>
      </c>
      <c r="H3109" s="1">
        <f>_xlfn.IFNA(VLOOKUP(Aragon!E3109,'Kilter Holds'!$P$36:$AB$370,7,0),0)</f>
        <v>0</v>
      </c>
      <c r="J3109" s="2">
        <f t="shared" si="198"/>
        <v>0</v>
      </c>
      <c r="K3109" s="2">
        <f t="shared" si="199"/>
        <v>0</v>
      </c>
    </row>
    <row r="3110" spans="5:11">
      <c r="E3110" s="3" t="s">
        <v>2053</v>
      </c>
      <c r="F3110" s="3" t="s">
        <v>2074</v>
      </c>
      <c r="G3110" s="8" t="str">
        <f t="shared" si="191"/>
        <v>16-16</v>
      </c>
      <c r="H3110" s="1">
        <f>_xlfn.IFNA(VLOOKUP(Aragon!E3110,'Kilter Holds'!$P$36:$AB$370,8,0),0)</f>
        <v>0</v>
      </c>
      <c r="J3110" s="2">
        <f t="shared" si="198"/>
        <v>0</v>
      </c>
      <c r="K3110" s="2">
        <f t="shared" si="199"/>
        <v>0</v>
      </c>
    </row>
    <row r="3111" spans="5:11">
      <c r="E3111" s="3" t="s">
        <v>2053</v>
      </c>
      <c r="F3111" s="3" t="s">
        <v>2074</v>
      </c>
      <c r="G3111" s="9" t="str">
        <f t="shared" si="191"/>
        <v>13-01</v>
      </c>
      <c r="H3111" s="1">
        <f>_xlfn.IFNA(VLOOKUP(Aragon!E3111,'Kilter Holds'!$P$36:$AB$370,9,0),0)</f>
        <v>0</v>
      </c>
      <c r="J3111" s="2">
        <f t="shared" si="198"/>
        <v>0</v>
      </c>
      <c r="K3111" s="2">
        <f t="shared" si="199"/>
        <v>0</v>
      </c>
    </row>
    <row r="3112" spans="5:11">
      <c r="E3112" s="3" t="s">
        <v>2053</v>
      </c>
      <c r="F3112" s="3" t="s">
        <v>2074</v>
      </c>
      <c r="G3112" s="10" t="str">
        <f t="shared" si="191"/>
        <v>07-13</v>
      </c>
      <c r="H3112" s="1">
        <f>_xlfn.IFNA(VLOOKUP(Aragon!E3112,'Kilter Holds'!$P$36:$AB$370,10,0),0)</f>
        <v>0</v>
      </c>
      <c r="J3112" s="2">
        <f t="shared" si="198"/>
        <v>0</v>
      </c>
      <c r="K3112" s="2">
        <f t="shared" si="199"/>
        <v>0</v>
      </c>
    </row>
    <row r="3113" spans="5:11">
      <c r="E3113" s="3" t="s">
        <v>2053</v>
      </c>
      <c r="F3113" s="3" t="s">
        <v>2074</v>
      </c>
      <c r="G3113" s="11" t="str">
        <f t="shared" si="191"/>
        <v>11-25</v>
      </c>
      <c r="H3113" s="1">
        <f>_xlfn.IFNA(VLOOKUP(Aragon!E3113,'Kilter Holds'!$P$36:$AB$370,11,0),0)</f>
        <v>0</v>
      </c>
      <c r="J3113" s="2">
        <f t="shared" si="198"/>
        <v>0</v>
      </c>
      <c r="K3113" s="2">
        <f t="shared" si="199"/>
        <v>0</v>
      </c>
    </row>
    <row r="3114" spans="5:11">
      <c r="E3114" s="3" t="s">
        <v>2053</v>
      </c>
      <c r="F3114" s="3" t="s">
        <v>2074</v>
      </c>
      <c r="G3114" s="13" t="str">
        <f t="shared" si="191"/>
        <v>18-01</v>
      </c>
      <c r="H3114" s="1">
        <f>_xlfn.IFNA(VLOOKUP(Aragon!E3114,'Kilter Holds'!$P$36:$AB$370,12,0),0)</f>
        <v>0</v>
      </c>
      <c r="J3114" s="2">
        <f t="shared" si="198"/>
        <v>0</v>
      </c>
      <c r="K3114" s="2">
        <f t="shared" si="199"/>
        <v>0</v>
      </c>
    </row>
    <row r="3115" spans="5:11">
      <c r="E3115" s="3" t="s">
        <v>2053</v>
      </c>
      <c r="F3115" s="3" t="s">
        <v>2074</v>
      </c>
      <c r="G3115" s="12" t="str">
        <f t="shared" si="191"/>
        <v>12-01</v>
      </c>
      <c r="H3115" s="1">
        <f>_xlfn.IFNA(VLOOKUP(Aragon!E3115,'Kilter Holds'!$P$36:$AB$370,13,0),0)</f>
        <v>0</v>
      </c>
      <c r="J3115" s="2">
        <f t="shared" si="198"/>
        <v>0</v>
      </c>
      <c r="K3115" s="2">
        <f t="shared" si="199"/>
        <v>0</v>
      </c>
    </row>
    <row r="3116" spans="5:11">
      <c r="E3116" s="3" t="s">
        <v>2054</v>
      </c>
      <c r="F3116" s="3" t="s">
        <v>2061</v>
      </c>
      <c r="G3116" s="5" t="str">
        <f t="shared" ref="G3116:G3179" si="200">G3080</f>
        <v>11-12</v>
      </c>
      <c r="H3116" s="1">
        <f>_xlfn.IFNA(VLOOKUP(Aragon!E3116,'Kilter Holds'!$P$36:$AB$370,5,0),0)</f>
        <v>0</v>
      </c>
      <c r="J3116" s="2">
        <f t="shared" si="194"/>
        <v>0</v>
      </c>
      <c r="K3116" s="2">
        <f t="shared" si="195"/>
        <v>0</v>
      </c>
    </row>
    <row r="3117" spans="5:11">
      <c r="E3117" s="3" t="s">
        <v>2054</v>
      </c>
      <c r="F3117" s="3" t="s">
        <v>2061</v>
      </c>
      <c r="G3117" s="6" t="str">
        <f t="shared" si="200"/>
        <v>14-01</v>
      </c>
      <c r="H3117" s="1">
        <f>_xlfn.IFNA(VLOOKUP(Aragon!E3117,'Kilter Holds'!$P$36:$AB$370,6,0),0)</f>
        <v>0</v>
      </c>
      <c r="J3117" s="2">
        <f t="shared" si="194"/>
        <v>0</v>
      </c>
      <c r="K3117" s="2">
        <f t="shared" si="195"/>
        <v>0</v>
      </c>
    </row>
    <row r="3118" spans="5:11">
      <c r="E3118" s="3" t="s">
        <v>2054</v>
      </c>
      <c r="F3118" s="3" t="s">
        <v>2061</v>
      </c>
      <c r="G3118" s="7" t="str">
        <f t="shared" si="200"/>
        <v>15-12</v>
      </c>
      <c r="H3118" s="1">
        <f>_xlfn.IFNA(VLOOKUP(Aragon!E3118,'Kilter Holds'!$P$36:$AB$370,7,0),0)</f>
        <v>0</v>
      </c>
      <c r="J3118" s="2">
        <f t="shared" si="194"/>
        <v>0</v>
      </c>
      <c r="K3118" s="2">
        <f t="shared" si="195"/>
        <v>0</v>
      </c>
    </row>
    <row r="3119" spans="5:11">
      <c r="E3119" s="3" t="s">
        <v>2054</v>
      </c>
      <c r="F3119" s="3" t="s">
        <v>2061</v>
      </c>
      <c r="G3119" s="8" t="str">
        <f t="shared" si="200"/>
        <v>16-16</v>
      </c>
      <c r="H3119" s="1">
        <f>_xlfn.IFNA(VLOOKUP(Aragon!E3119,'Kilter Holds'!$P$36:$AB$370,8,0),0)</f>
        <v>0</v>
      </c>
      <c r="J3119" s="2">
        <f t="shared" si="194"/>
        <v>0</v>
      </c>
      <c r="K3119" s="2">
        <f t="shared" si="195"/>
        <v>0</v>
      </c>
    </row>
    <row r="3120" spans="5:11">
      <c r="E3120" s="3" t="s">
        <v>2054</v>
      </c>
      <c r="F3120" s="3" t="s">
        <v>2061</v>
      </c>
      <c r="G3120" s="9" t="str">
        <f t="shared" si="200"/>
        <v>13-01</v>
      </c>
      <c r="H3120" s="1">
        <f>_xlfn.IFNA(VLOOKUP(Aragon!E3120,'Kilter Holds'!$P$36:$AB$370,9,0),0)</f>
        <v>0</v>
      </c>
      <c r="J3120" s="2">
        <f t="shared" si="194"/>
        <v>0</v>
      </c>
      <c r="K3120" s="2">
        <f t="shared" si="195"/>
        <v>0</v>
      </c>
    </row>
    <row r="3121" spans="5:11">
      <c r="E3121" s="3" t="s">
        <v>2054</v>
      </c>
      <c r="F3121" s="3" t="s">
        <v>2061</v>
      </c>
      <c r="G3121" s="10" t="str">
        <f t="shared" si="200"/>
        <v>07-13</v>
      </c>
      <c r="H3121" s="1">
        <f>_xlfn.IFNA(VLOOKUP(Aragon!E3121,'Kilter Holds'!$P$36:$AB$370,10,0),0)</f>
        <v>0</v>
      </c>
      <c r="J3121" s="2">
        <f t="shared" si="194"/>
        <v>0</v>
      </c>
      <c r="K3121" s="2">
        <f t="shared" si="195"/>
        <v>0</v>
      </c>
    </row>
    <row r="3122" spans="5:11">
      <c r="E3122" s="3" t="s">
        <v>2054</v>
      </c>
      <c r="F3122" s="3" t="s">
        <v>2061</v>
      </c>
      <c r="G3122" s="11" t="str">
        <f t="shared" si="200"/>
        <v>11-25</v>
      </c>
      <c r="H3122" s="1">
        <f>_xlfn.IFNA(VLOOKUP(Aragon!E3122,'Kilter Holds'!$P$36:$AB$370,11,0),0)</f>
        <v>0</v>
      </c>
      <c r="J3122" s="2">
        <f t="shared" si="194"/>
        <v>0</v>
      </c>
      <c r="K3122" s="2">
        <f t="shared" si="195"/>
        <v>0</v>
      </c>
    </row>
    <row r="3123" spans="5:11">
      <c r="E3123" s="3" t="s">
        <v>2054</v>
      </c>
      <c r="F3123" s="3" t="s">
        <v>2061</v>
      </c>
      <c r="G3123" s="13" t="str">
        <f t="shared" si="200"/>
        <v>18-01</v>
      </c>
      <c r="H3123" s="1">
        <f>_xlfn.IFNA(VLOOKUP(Aragon!E3123,'Kilter Holds'!$P$36:$AB$370,12,0),0)</f>
        <v>0</v>
      </c>
      <c r="J3123" s="2">
        <f t="shared" si="194"/>
        <v>0</v>
      </c>
      <c r="K3123" s="2">
        <f t="shared" si="195"/>
        <v>0</v>
      </c>
    </row>
    <row r="3124" spans="5:11">
      <c r="E3124" s="3" t="s">
        <v>2054</v>
      </c>
      <c r="F3124" s="3" t="s">
        <v>2061</v>
      </c>
      <c r="G3124" s="12" t="str">
        <f t="shared" si="200"/>
        <v>12-01</v>
      </c>
      <c r="H3124" s="1">
        <f>_xlfn.IFNA(VLOOKUP(Aragon!E3124,'Kilter Holds'!$P$36:$AB$370,13,0),0)</f>
        <v>0</v>
      </c>
      <c r="J3124" s="2">
        <f t="shared" si="194"/>
        <v>0</v>
      </c>
      <c r="K3124" s="2">
        <f t="shared" si="195"/>
        <v>0</v>
      </c>
    </row>
    <row r="3125" spans="5:11">
      <c r="E3125" s="3" t="s">
        <v>2055</v>
      </c>
      <c r="F3125" s="3" t="s">
        <v>2075</v>
      </c>
      <c r="G3125" s="5" t="str">
        <f t="shared" si="200"/>
        <v>11-12</v>
      </c>
      <c r="H3125" s="1">
        <f>_xlfn.IFNA(VLOOKUP(Aragon!E3125,'Kilter Holds'!$P$36:$AB$370,5,0),0)</f>
        <v>0</v>
      </c>
      <c r="J3125" s="2">
        <f t="shared" si="194"/>
        <v>0</v>
      </c>
      <c r="K3125" s="2">
        <f t="shared" si="195"/>
        <v>0</v>
      </c>
    </row>
    <row r="3126" spans="5:11">
      <c r="E3126" s="3" t="s">
        <v>2055</v>
      </c>
      <c r="F3126" s="3" t="s">
        <v>2075</v>
      </c>
      <c r="G3126" s="6" t="str">
        <f t="shared" si="200"/>
        <v>14-01</v>
      </c>
      <c r="H3126" s="1">
        <f>_xlfn.IFNA(VLOOKUP(Aragon!E3126,'Kilter Holds'!$P$36:$AB$370,6,0),0)</f>
        <v>0</v>
      </c>
      <c r="J3126" s="2">
        <f t="shared" si="194"/>
        <v>0</v>
      </c>
      <c r="K3126" s="2">
        <f t="shared" si="195"/>
        <v>0</v>
      </c>
    </row>
    <row r="3127" spans="5:11">
      <c r="E3127" s="3" t="s">
        <v>2055</v>
      </c>
      <c r="F3127" s="3" t="s">
        <v>2075</v>
      </c>
      <c r="G3127" s="7" t="str">
        <f t="shared" si="200"/>
        <v>15-12</v>
      </c>
      <c r="H3127" s="1">
        <f>_xlfn.IFNA(VLOOKUP(Aragon!E3127,'Kilter Holds'!$P$36:$AB$370,7,0),0)</f>
        <v>0</v>
      </c>
      <c r="J3127" s="2">
        <f t="shared" si="194"/>
        <v>0</v>
      </c>
      <c r="K3127" s="2">
        <f t="shared" si="195"/>
        <v>0</v>
      </c>
    </row>
    <row r="3128" spans="5:11">
      <c r="E3128" s="3" t="s">
        <v>2055</v>
      </c>
      <c r="F3128" s="3" t="s">
        <v>2075</v>
      </c>
      <c r="G3128" s="8" t="str">
        <f t="shared" si="200"/>
        <v>16-16</v>
      </c>
      <c r="H3128" s="1">
        <f>_xlfn.IFNA(VLOOKUP(Aragon!E3128,'Kilter Holds'!$P$36:$AB$370,8,0),0)</f>
        <v>0</v>
      </c>
      <c r="J3128" s="2">
        <f t="shared" si="194"/>
        <v>0</v>
      </c>
      <c r="K3128" s="2">
        <f t="shared" si="195"/>
        <v>0</v>
      </c>
    </row>
    <row r="3129" spans="5:11">
      <c r="E3129" s="3" t="s">
        <v>2055</v>
      </c>
      <c r="F3129" s="3" t="s">
        <v>2075</v>
      </c>
      <c r="G3129" s="9" t="str">
        <f t="shared" si="200"/>
        <v>13-01</v>
      </c>
      <c r="H3129" s="1">
        <f>_xlfn.IFNA(VLOOKUP(Aragon!E3129,'Kilter Holds'!$P$36:$AB$370,9,0),0)</f>
        <v>0</v>
      </c>
      <c r="J3129" s="2">
        <f t="shared" si="194"/>
        <v>0</v>
      </c>
      <c r="K3129" s="2">
        <f t="shared" si="195"/>
        <v>0</v>
      </c>
    </row>
    <row r="3130" spans="5:11">
      <c r="E3130" s="3" t="s">
        <v>2055</v>
      </c>
      <c r="F3130" s="3" t="s">
        <v>2075</v>
      </c>
      <c r="G3130" s="10" t="str">
        <f t="shared" si="200"/>
        <v>07-13</v>
      </c>
      <c r="H3130" s="1">
        <f>_xlfn.IFNA(VLOOKUP(Aragon!E3130,'Kilter Holds'!$P$36:$AB$370,10,0),0)</f>
        <v>0</v>
      </c>
      <c r="J3130" s="2">
        <f t="shared" si="194"/>
        <v>0</v>
      </c>
      <c r="K3130" s="2">
        <f t="shared" si="195"/>
        <v>0</v>
      </c>
    </row>
    <row r="3131" spans="5:11">
      <c r="E3131" s="3" t="s">
        <v>2055</v>
      </c>
      <c r="F3131" s="3" t="s">
        <v>2075</v>
      </c>
      <c r="G3131" s="11" t="str">
        <f t="shared" si="200"/>
        <v>11-25</v>
      </c>
      <c r="H3131" s="1">
        <f>_xlfn.IFNA(VLOOKUP(Aragon!E3131,'Kilter Holds'!$P$36:$AB$370,11,0),0)</f>
        <v>0</v>
      </c>
      <c r="J3131" s="2">
        <f t="shared" si="194"/>
        <v>0</v>
      </c>
      <c r="K3131" s="2">
        <f t="shared" si="195"/>
        <v>0</v>
      </c>
    </row>
    <row r="3132" spans="5:11">
      <c r="E3132" s="3" t="s">
        <v>2055</v>
      </c>
      <c r="F3132" s="3" t="s">
        <v>2075</v>
      </c>
      <c r="G3132" s="13" t="str">
        <f t="shared" si="200"/>
        <v>18-01</v>
      </c>
      <c r="H3132" s="1">
        <f>_xlfn.IFNA(VLOOKUP(Aragon!E3132,'Kilter Holds'!$P$36:$AB$370,12,0),0)</f>
        <v>0</v>
      </c>
      <c r="J3132" s="2">
        <f t="shared" si="194"/>
        <v>0</v>
      </c>
      <c r="K3132" s="2">
        <f t="shared" si="195"/>
        <v>0</v>
      </c>
    </row>
    <row r="3133" spans="5:11">
      <c r="E3133" s="3" t="s">
        <v>2055</v>
      </c>
      <c r="F3133" s="3" t="s">
        <v>2075</v>
      </c>
      <c r="G3133" s="12" t="str">
        <f t="shared" si="200"/>
        <v>12-01</v>
      </c>
      <c r="H3133" s="1">
        <f>_xlfn.IFNA(VLOOKUP(Aragon!E3133,'Kilter Holds'!$P$36:$AB$370,13,0),0)</f>
        <v>0</v>
      </c>
      <c r="J3133" s="2">
        <f t="shared" si="194"/>
        <v>0</v>
      </c>
      <c r="K3133" s="2">
        <f t="shared" si="195"/>
        <v>0</v>
      </c>
    </row>
    <row r="3134" spans="5:11">
      <c r="E3134" s="3" t="s">
        <v>2056</v>
      </c>
      <c r="F3134" s="3" t="s">
        <v>2076</v>
      </c>
      <c r="G3134" s="5" t="str">
        <f t="shared" si="200"/>
        <v>11-12</v>
      </c>
      <c r="H3134" s="1">
        <f>_xlfn.IFNA(VLOOKUP(Aragon!E3134,'Kilter Holds'!$P$36:$AB$370,5,0),0)</f>
        <v>0</v>
      </c>
      <c r="J3134" s="2">
        <f t="shared" ref="J3134:J3142" si="201">H3134*I3134</f>
        <v>0</v>
      </c>
      <c r="K3134" s="2">
        <f t="shared" ref="K3134:K3142" si="202">IF($V$11="Y",J3134*0.05,0)</f>
        <v>0</v>
      </c>
    </row>
    <row r="3135" spans="5:11">
      <c r="E3135" s="3" t="s">
        <v>2056</v>
      </c>
      <c r="F3135" s="3" t="s">
        <v>2076</v>
      </c>
      <c r="G3135" s="6" t="str">
        <f t="shared" si="200"/>
        <v>14-01</v>
      </c>
      <c r="H3135" s="1">
        <f>_xlfn.IFNA(VLOOKUP(Aragon!E3135,'Kilter Holds'!$P$36:$AB$370,6,0),0)</f>
        <v>0</v>
      </c>
      <c r="J3135" s="2">
        <f t="shared" si="201"/>
        <v>0</v>
      </c>
      <c r="K3135" s="2">
        <f t="shared" si="202"/>
        <v>0</v>
      </c>
    </row>
    <row r="3136" spans="5:11">
      <c r="E3136" s="3" t="s">
        <v>2056</v>
      </c>
      <c r="F3136" s="3" t="s">
        <v>2076</v>
      </c>
      <c r="G3136" s="7" t="str">
        <f t="shared" si="200"/>
        <v>15-12</v>
      </c>
      <c r="H3136" s="1">
        <f>_xlfn.IFNA(VLOOKUP(Aragon!E3136,'Kilter Holds'!$P$36:$AB$370,7,0),0)</f>
        <v>0</v>
      </c>
      <c r="J3136" s="2">
        <f t="shared" si="201"/>
        <v>0</v>
      </c>
      <c r="K3136" s="2">
        <f t="shared" si="202"/>
        <v>0</v>
      </c>
    </row>
    <row r="3137" spans="5:11">
      <c r="E3137" s="3" t="s">
        <v>2056</v>
      </c>
      <c r="F3137" s="3" t="s">
        <v>2076</v>
      </c>
      <c r="G3137" s="8" t="str">
        <f t="shared" si="200"/>
        <v>16-16</v>
      </c>
      <c r="H3137" s="1">
        <f>_xlfn.IFNA(VLOOKUP(Aragon!E3137,'Kilter Holds'!$P$36:$AB$370,8,0),0)</f>
        <v>0</v>
      </c>
      <c r="J3137" s="2">
        <f t="shared" si="201"/>
        <v>0</v>
      </c>
      <c r="K3137" s="2">
        <f t="shared" si="202"/>
        <v>0</v>
      </c>
    </row>
    <row r="3138" spans="5:11">
      <c r="E3138" s="3" t="s">
        <v>2056</v>
      </c>
      <c r="F3138" s="3" t="s">
        <v>2076</v>
      </c>
      <c r="G3138" s="9" t="str">
        <f t="shared" si="200"/>
        <v>13-01</v>
      </c>
      <c r="H3138" s="1">
        <f>_xlfn.IFNA(VLOOKUP(Aragon!E3138,'Kilter Holds'!$P$36:$AB$370,9,0),0)</f>
        <v>0</v>
      </c>
      <c r="J3138" s="2">
        <f t="shared" si="201"/>
        <v>0</v>
      </c>
      <c r="K3138" s="2">
        <f t="shared" si="202"/>
        <v>0</v>
      </c>
    </row>
    <row r="3139" spans="5:11">
      <c r="E3139" s="3" t="s">
        <v>2056</v>
      </c>
      <c r="F3139" s="3" t="s">
        <v>2076</v>
      </c>
      <c r="G3139" s="10" t="str">
        <f t="shared" si="200"/>
        <v>07-13</v>
      </c>
      <c r="H3139" s="1">
        <f>_xlfn.IFNA(VLOOKUP(Aragon!E3139,'Kilter Holds'!$P$36:$AB$370,10,0),0)</f>
        <v>0</v>
      </c>
      <c r="J3139" s="2">
        <f t="shared" si="201"/>
        <v>0</v>
      </c>
      <c r="K3139" s="2">
        <f t="shared" si="202"/>
        <v>0</v>
      </c>
    </row>
    <row r="3140" spans="5:11">
      <c r="E3140" s="3" t="s">
        <v>2056</v>
      </c>
      <c r="F3140" s="3" t="s">
        <v>2076</v>
      </c>
      <c r="G3140" s="11" t="str">
        <f t="shared" si="200"/>
        <v>11-25</v>
      </c>
      <c r="H3140" s="1">
        <f>_xlfn.IFNA(VLOOKUP(Aragon!E3140,'Kilter Holds'!$P$36:$AB$370,11,0),0)</f>
        <v>0</v>
      </c>
      <c r="J3140" s="2">
        <f t="shared" si="201"/>
        <v>0</v>
      </c>
      <c r="K3140" s="2">
        <f t="shared" si="202"/>
        <v>0</v>
      </c>
    </row>
    <row r="3141" spans="5:11">
      <c r="E3141" s="3" t="s">
        <v>2056</v>
      </c>
      <c r="F3141" s="3" t="s">
        <v>2076</v>
      </c>
      <c r="G3141" s="13" t="str">
        <f t="shared" si="200"/>
        <v>18-01</v>
      </c>
      <c r="H3141" s="1">
        <f>_xlfn.IFNA(VLOOKUP(Aragon!E3141,'Kilter Holds'!$P$36:$AB$370,12,0),0)</f>
        <v>0</v>
      </c>
      <c r="J3141" s="2">
        <f t="shared" si="201"/>
        <v>0</v>
      </c>
      <c r="K3141" s="2">
        <f t="shared" si="202"/>
        <v>0</v>
      </c>
    </row>
    <row r="3142" spans="5:11">
      <c r="E3142" s="3" t="s">
        <v>2056</v>
      </c>
      <c r="F3142" s="3" t="s">
        <v>2076</v>
      </c>
      <c r="G3142" s="12" t="str">
        <f t="shared" si="200"/>
        <v>12-01</v>
      </c>
      <c r="H3142" s="1">
        <f>_xlfn.IFNA(VLOOKUP(Aragon!E3142,'Kilter Holds'!$P$36:$AB$370,13,0),0)</f>
        <v>0</v>
      </c>
      <c r="J3142" s="2">
        <f t="shared" si="201"/>
        <v>0</v>
      </c>
      <c r="K3142" s="2">
        <f t="shared" si="202"/>
        <v>0</v>
      </c>
    </row>
    <row r="3143" spans="5:11">
      <c r="E3143" s="3" t="s">
        <v>2057</v>
      </c>
      <c r="F3143" s="3" t="s">
        <v>2077</v>
      </c>
      <c r="G3143" s="5" t="str">
        <f t="shared" si="200"/>
        <v>11-12</v>
      </c>
      <c r="H3143" s="1">
        <f>_xlfn.IFNA(VLOOKUP(Aragon!E3143,'Kilter Holds'!$P$36:$AB$370,5,0),0)</f>
        <v>0</v>
      </c>
      <c r="J3143" s="2">
        <f t="shared" ref="J3143:J3151" si="203">H3143*I3143</f>
        <v>0</v>
      </c>
      <c r="K3143" s="2">
        <f t="shared" ref="K3143:K3151" si="204">IF($V$11="Y",J3143*0.05,0)</f>
        <v>0</v>
      </c>
    </row>
    <row r="3144" spans="5:11">
      <c r="E3144" s="3" t="s">
        <v>2057</v>
      </c>
      <c r="F3144" s="3" t="s">
        <v>2077</v>
      </c>
      <c r="G3144" s="6" t="str">
        <f t="shared" si="200"/>
        <v>14-01</v>
      </c>
      <c r="H3144" s="1">
        <f>_xlfn.IFNA(VLOOKUP(Aragon!E3144,'Kilter Holds'!$P$36:$AB$370,6,0),0)</f>
        <v>0</v>
      </c>
      <c r="J3144" s="2">
        <f t="shared" si="203"/>
        <v>0</v>
      </c>
      <c r="K3144" s="2">
        <f t="shared" si="204"/>
        <v>0</v>
      </c>
    </row>
    <row r="3145" spans="5:11">
      <c r="E3145" s="3" t="s">
        <v>2057</v>
      </c>
      <c r="F3145" s="3" t="s">
        <v>2077</v>
      </c>
      <c r="G3145" s="7" t="str">
        <f t="shared" si="200"/>
        <v>15-12</v>
      </c>
      <c r="H3145" s="1">
        <f>_xlfn.IFNA(VLOOKUP(Aragon!E3145,'Kilter Holds'!$P$36:$AB$370,7,0),0)</f>
        <v>0</v>
      </c>
      <c r="J3145" s="2">
        <f t="shared" si="203"/>
        <v>0</v>
      </c>
      <c r="K3145" s="2">
        <f t="shared" si="204"/>
        <v>0</v>
      </c>
    </row>
    <row r="3146" spans="5:11">
      <c r="E3146" s="3" t="s">
        <v>2057</v>
      </c>
      <c r="F3146" s="3" t="s">
        <v>2077</v>
      </c>
      <c r="G3146" s="8" t="str">
        <f t="shared" si="200"/>
        <v>16-16</v>
      </c>
      <c r="H3146" s="1">
        <f>_xlfn.IFNA(VLOOKUP(Aragon!E3146,'Kilter Holds'!$P$36:$AB$370,8,0),0)</f>
        <v>0</v>
      </c>
      <c r="J3146" s="2">
        <f t="shared" si="203"/>
        <v>0</v>
      </c>
      <c r="K3146" s="2">
        <f t="shared" si="204"/>
        <v>0</v>
      </c>
    </row>
    <row r="3147" spans="5:11">
      <c r="E3147" s="3" t="s">
        <v>2057</v>
      </c>
      <c r="F3147" s="3" t="s">
        <v>2077</v>
      </c>
      <c r="G3147" s="9" t="str">
        <f t="shared" si="200"/>
        <v>13-01</v>
      </c>
      <c r="H3147" s="1">
        <f>_xlfn.IFNA(VLOOKUP(Aragon!E3147,'Kilter Holds'!$P$36:$AB$370,9,0),0)</f>
        <v>0</v>
      </c>
      <c r="J3147" s="2">
        <f t="shared" si="203"/>
        <v>0</v>
      </c>
      <c r="K3147" s="2">
        <f t="shared" si="204"/>
        <v>0</v>
      </c>
    </row>
    <row r="3148" spans="5:11">
      <c r="E3148" s="3" t="s">
        <v>2057</v>
      </c>
      <c r="F3148" s="3" t="s">
        <v>2077</v>
      </c>
      <c r="G3148" s="10" t="str">
        <f t="shared" si="200"/>
        <v>07-13</v>
      </c>
      <c r="H3148" s="1">
        <f>_xlfn.IFNA(VLOOKUP(Aragon!E3148,'Kilter Holds'!$P$36:$AB$370,10,0),0)</f>
        <v>0</v>
      </c>
      <c r="J3148" s="2">
        <f t="shared" si="203"/>
        <v>0</v>
      </c>
      <c r="K3148" s="2">
        <f t="shared" si="204"/>
        <v>0</v>
      </c>
    </row>
    <row r="3149" spans="5:11">
      <c r="E3149" s="3" t="s">
        <v>2057</v>
      </c>
      <c r="F3149" s="3" t="s">
        <v>2077</v>
      </c>
      <c r="G3149" s="11" t="str">
        <f t="shared" si="200"/>
        <v>11-25</v>
      </c>
      <c r="H3149" s="1">
        <f>_xlfn.IFNA(VLOOKUP(Aragon!E3149,'Kilter Holds'!$P$36:$AB$370,11,0),0)</f>
        <v>0</v>
      </c>
      <c r="J3149" s="2">
        <f t="shared" si="203"/>
        <v>0</v>
      </c>
      <c r="K3149" s="2">
        <f t="shared" si="204"/>
        <v>0</v>
      </c>
    </row>
    <row r="3150" spans="5:11">
      <c r="E3150" s="3" t="s">
        <v>2057</v>
      </c>
      <c r="F3150" s="3" t="s">
        <v>2077</v>
      </c>
      <c r="G3150" s="13" t="str">
        <f t="shared" si="200"/>
        <v>18-01</v>
      </c>
      <c r="H3150" s="1">
        <f>_xlfn.IFNA(VLOOKUP(Aragon!E3150,'Kilter Holds'!$P$36:$AB$370,12,0),0)</f>
        <v>0</v>
      </c>
      <c r="J3150" s="2">
        <f t="shared" si="203"/>
        <v>0</v>
      </c>
      <c r="K3150" s="2">
        <f t="shared" si="204"/>
        <v>0</v>
      </c>
    </row>
    <row r="3151" spans="5:11">
      <c r="E3151" s="3" t="s">
        <v>2057</v>
      </c>
      <c r="F3151" s="3" t="s">
        <v>2077</v>
      </c>
      <c r="G3151" s="12" t="str">
        <f t="shared" si="200"/>
        <v>12-01</v>
      </c>
      <c r="H3151" s="1">
        <f>_xlfn.IFNA(VLOOKUP(Aragon!E3151,'Kilter Holds'!$P$36:$AB$370,13,0),0)</f>
        <v>0</v>
      </c>
      <c r="J3151" s="2">
        <f t="shared" si="203"/>
        <v>0</v>
      </c>
      <c r="K3151" s="2">
        <f t="shared" si="204"/>
        <v>0</v>
      </c>
    </row>
    <row r="3152" spans="5:11">
      <c r="E3152" s="3" t="s">
        <v>2099</v>
      </c>
      <c r="F3152" s="3" t="s">
        <v>2101</v>
      </c>
      <c r="G3152" s="5" t="str">
        <f t="shared" si="200"/>
        <v>11-12</v>
      </c>
      <c r="H3152" s="1">
        <f>_xlfn.IFNA(VLOOKUP(Aragon!E3152,'Kilter Holds'!$P$36:$AB$370,5,0),0)</f>
        <v>0</v>
      </c>
      <c r="J3152" s="2">
        <f t="shared" ref="J3152:J3160" si="205">H3152*I3152</f>
        <v>0</v>
      </c>
      <c r="K3152" s="2">
        <f t="shared" ref="K3152:K3160" si="206">IF($V$11="Y",J3152*0.05,0)</f>
        <v>0</v>
      </c>
    </row>
    <row r="3153" spans="5:11">
      <c r="E3153" s="3" t="s">
        <v>2099</v>
      </c>
      <c r="F3153" s="3" t="s">
        <v>2101</v>
      </c>
      <c r="G3153" s="6" t="str">
        <f t="shared" si="200"/>
        <v>14-01</v>
      </c>
      <c r="H3153" s="1">
        <f>_xlfn.IFNA(VLOOKUP(Aragon!E3153,'Kilter Holds'!$P$36:$AB$370,6,0),0)</f>
        <v>0</v>
      </c>
      <c r="J3153" s="2">
        <f t="shared" si="205"/>
        <v>0</v>
      </c>
      <c r="K3153" s="2">
        <f t="shared" si="206"/>
        <v>0</v>
      </c>
    </row>
    <row r="3154" spans="5:11">
      <c r="E3154" s="3" t="s">
        <v>2099</v>
      </c>
      <c r="F3154" s="3" t="s">
        <v>2101</v>
      </c>
      <c r="G3154" s="7" t="str">
        <f t="shared" si="200"/>
        <v>15-12</v>
      </c>
      <c r="H3154" s="1">
        <f>_xlfn.IFNA(VLOOKUP(Aragon!E3154,'Kilter Holds'!$P$36:$AB$370,7,0),0)</f>
        <v>0</v>
      </c>
      <c r="J3154" s="2">
        <f t="shared" si="205"/>
        <v>0</v>
      </c>
      <c r="K3154" s="2">
        <f t="shared" si="206"/>
        <v>0</v>
      </c>
    </row>
    <row r="3155" spans="5:11">
      <c r="E3155" s="3" t="s">
        <v>2099</v>
      </c>
      <c r="F3155" s="3" t="s">
        <v>2101</v>
      </c>
      <c r="G3155" s="8" t="str">
        <f t="shared" si="200"/>
        <v>16-16</v>
      </c>
      <c r="H3155" s="1">
        <f>_xlfn.IFNA(VLOOKUP(Aragon!E3155,'Kilter Holds'!$P$36:$AB$370,8,0),0)</f>
        <v>0</v>
      </c>
      <c r="J3155" s="2">
        <f t="shared" si="205"/>
        <v>0</v>
      </c>
      <c r="K3155" s="2">
        <f t="shared" si="206"/>
        <v>0</v>
      </c>
    </row>
    <row r="3156" spans="5:11">
      <c r="E3156" s="3" t="s">
        <v>2099</v>
      </c>
      <c r="F3156" s="3" t="s">
        <v>2101</v>
      </c>
      <c r="G3156" s="9" t="str">
        <f t="shared" si="200"/>
        <v>13-01</v>
      </c>
      <c r="H3156" s="1">
        <f>_xlfn.IFNA(VLOOKUP(Aragon!E3156,'Kilter Holds'!$P$36:$AB$370,9,0),0)</f>
        <v>0</v>
      </c>
      <c r="J3156" s="2">
        <f t="shared" si="205"/>
        <v>0</v>
      </c>
      <c r="K3156" s="2">
        <f t="shared" si="206"/>
        <v>0</v>
      </c>
    </row>
    <row r="3157" spans="5:11">
      <c r="E3157" s="3" t="s">
        <v>2099</v>
      </c>
      <c r="F3157" s="3" t="s">
        <v>2101</v>
      </c>
      <c r="G3157" s="10" t="str">
        <f t="shared" si="200"/>
        <v>07-13</v>
      </c>
      <c r="H3157" s="1">
        <f>_xlfn.IFNA(VLOOKUP(Aragon!E3157,'Kilter Holds'!$P$36:$AB$370,10,0),0)</f>
        <v>0</v>
      </c>
      <c r="J3157" s="2">
        <f t="shared" si="205"/>
        <v>0</v>
      </c>
      <c r="K3157" s="2">
        <f t="shared" si="206"/>
        <v>0</v>
      </c>
    </row>
    <row r="3158" spans="5:11">
      <c r="E3158" s="3" t="s">
        <v>2099</v>
      </c>
      <c r="F3158" s="3" t="s">
        <v>2101</v>
      </c>
      <c r="G3158" s="11" t="str">
        <f t="shared" si="200"/>
        <v>11-25</v>
      </c>
      <c r="H3158" s="1">
        <f>_xlfn.IFNA(VLOOKUP(Aragon!E3158,'Kilter Holds'!$P$36:$AB$370,11,0),0)</f>
        <v>0</v>
      </c>
      <c r="J3158" s="2">
        <f t="shared" si="205"/>
        <v>0</v>
      </c>
      <c r="K3158" s="2">
        <f t="shared" si="206"/>
        <v>0</v>
      </c>
    </row>
    <row r="3159" spans="5:11">
      <c r="E3159" s="3" t="s">
        <v>2099</v>
      </c>
      <c r="F3159" s="3" t="s">
        <v>2101</v>
      </c>
      <c r="G3159" s="13" t="str">
        <f t="shared" si="200"/>
        <v>18-01</v>
      </c>
      <c r="H3159" s="1">
        <f>_xlfn.IFNA(VLOOKUP(Aragon!E3159,'Kilter Holds'!$P$36:$AB$370,12,0),0)</f>
        <v>0</v>
      </c>
      <c r="J3159" s="2">
        <f t="shared" si="205"/>
        <v>0</v>
      </c>
      <c r="K3159" s="2">
        <f t="shared" si="206"/>
        <v>0</v>
      </c>
    </row>
    <row r="3160" spans="5:11">
      <c r="E3160" s="3" t="s">
        <v>2099</v>
      </c>
      <c r="F3160" s="3" t="s">
        <v>2101</v>
      </c>
      <c r="G3160" s="12" t="str">
        <f t="shared" si="200"/>
        <v>12-01</v>
      </c>
      <c r="H3160" s="1">
        <f>_xlfn.IFNA(VLOOKUP(Aragon!E3160,'Kilter Holds'!$P$36:$AB$370,13,0),0)</f>
        <v>0</v>
      </c>
      <c r="J3160" s="2">
        <f t="shared" si="205"/>
        <v>0</v>
      </c>
      <c r="K3160" s="2">
        <f t="shared" si="206"/>
        <v>0</v>
      </c>
    </row>
    <row r="3161" spans="5:11">
      <c r="E3161" s="3" t="s">
        <v>2143</v>
      </c>
      <c r="F3161" s="3" t="s">
        <v>2146</v>
      </c>
      <c r="G3161" s="5" t="str">
        <f t="shared" si="200"/>
        <v>11-12</v>
      </c>
      <c r="H3161" s="1">
        <f>_xlfn.IFNA(VLOOKUP(Aragon!E3161,'Kilter Holds'!$P$36:$AB$370,5,0),0)</f>
        <v>0</v>
      </c>
      <c r="J3161" s="2">
        <f t="shared" ref="J3161:J3602" si="207">H3161*I3161</f>
        <v>0</v>
      </c>
      <c r="K3161" s="2">
        <f t="shared" ref="K3161:K3602" si="208">IF($V$11="Y",J3161*0.05,0)</f>
        <v>0</v>
      </c>
    </row>
    <row r="3162" spans="5:11">
      <c r="E3162" s="3" t="s">
        <v>2143</v>
      </c>
      <c r="F3162" s="3" t="s">
        <v>2146</v>
      </c>
      <c r="G3162" s="6" t="str">
        <f t="shared" si="200"/>
        <v>14-01</v>
      </c>
      <c r="H3162" s="1">
        <f>_xlfn.IFNA(VLOOKUP(Aragon!E3162,'Kilter Holds'!$P$36:$AB$370,6,0),0)</f>
        <v>0</v>
      </c>
      <c r="J3162" s="2">
        <f t="shared" si="207"/>
        <v>0</v>
      </c>
      <c r="K3162" s="2">
        <f t="shared" si="208"/>
        <v>0</v>
      </c>
    </row>
    <row r="3163" spans="5:11">
      <c r="E3163" s="3" t="s">
        <v>2143</v>
      </c>
      <c r="F3163" s="3" t="s">
        <v>2146</v>
      </c>
      <c r="G3163" s="7" t="str">
        <f t="shared" si="200"/>
        <v>15-12</v>
      </c>
      <c r="H3163" s="1">
        <f>_xlfn.IFNA(VLOOKUP(Aragon!E3163,'Kilter Holds'!$P$36:$AB$370,7,0),0)</f>
        <v>0</v>
      </c>
      <c r="J3163" s="2">
        <f t="shared" si="207"/>
        <v>0</v>
      </c>
      <c r="K3163" s="2">
        <f t="shared" si="208"/>
        <v>0</v>
      </c>
    </row>
    <row r="3164" spans="5:11">
      <c r="E3164" s="3" t="s">
        <v>2143</v>
      </c>
      <c r="F3164" s="3" t="s">
        <v>2146</v>
      </c>
      <c r="G3164" s="8" t="str">
        <f t="shared" si="200"/>
        <v>16-16</v>
      </c>
      <c r="H3164" s="1">
        <f>_xlfn.IFNA(VLOOKUP(Aragon!E3164,'Kilter Holds'!$P$36:$AB$370,8,0),0)</f>
        <v>0</v>
      </c>
      <c r="J3164" s="2">
        <f t="shared" si="207"/>
        <v>0</v>
      </c>
      <c r="K3164" s="2">
        <f t="shared" si="208"/>
        <v>0</v>
      </c>
    </row>
    <row r="3165" spans="5:11">
      <c r="E3165" s="3" t="s">
        <v>2143</v>
      </c>
      <c r="F3165" s="3" t="s">
        <v>2146</v>
      </c>
      <c r="G3165" s="9" t="str">
        <f t="shared" si="200"/>
        <v>13-01</v>
      </c>
      <c r="H3165" s="1">
        <f>_xlfn.IFNA(VLOOKUP(Aragon!E3165,'Kilter Holds'!$P$36:$AB$370,9,0),0)</f>
        <v>0</v>
      </c>
      <c r="J3165" s="2">
        <f t="shared" si="207"/>
        <v>0</v>
      </c>
      <c r="K3165" s="2">
        <f t="shared" si="208"/>
        <v>0</v>
      </c>
    </row>
    <row r="3166" spans="5:11">
      <c r="E3166" s="3" t="s">
        <v>2143</v>
      </c>
      <c r="F3166" s="3" t="s">
        <v>2146</v>
      </c>
      <c r="G3166" s="10" t="str">
        <f t="shared" si="200"/>
        <v>07-13</v>
      </c>
      <c r="H3166" s="1">
        <f>_xlfn.IFNA(VLOOKUP(Aragon!E3166,'Kilter Holds'!$P$36:$AB$370,10,0),0)</f>
        <v>0</v>
      </c>
      <c r="J3166" s="2">
        <f t="shared" si="207"/>
        <v>0</v>
      </c>
      <c r="K3166" s="2">
        <f t="shared" si="208"/>
        <v>0</v>
      </c>
    </row>
    <row r="3167" spans="5:11">
      <c r="E3167" s="3" t="s">
        <v>2143</v>
      </c>
      <c r="F3167" s="3" t="s">
        <v>2146</v>
      </c>
      <c r="G3167" s="11" t="str">
        <f t="shared" si="200"/>
        <v>11-25</v>
      </c>
      <c r="H3167" s="1">
        <f>_xlfn.IFNA(VLOOKUP(Aragon!E3167,'Kilter Holds'!$P$36:$AB$370,11,0),0)</f>
        <v>0</v>
      </c>
      <c r="J3167" s="2">
        <f t="shared" si="207"/>
        <v>0</v>
      </c>
      <c r="K3167" s="2">
        <f t="shared" si="208"/>
        <v>0</v>
      </c>
    </row>
    <row r="3168" spans="5:11">
      <c r="E3168" s="3" t="s">
        <v>2143</v>
      </c>
      <c r="F3168" s="3" t="s">
        <v>2146</v>
      </c>
      <c r="G3168" s="13" t="str">
        <f t="shared" si="200"/>
        <v>18-01</v>
      </c>
      <c r="H3168" s="1">
        <f>_xlfn.IFNA(VLOOKUP(Aragon!E3168,'Kilter Holds'!$P$36:$AB$370,12,0),0)</f>
        <v>0</v>
      </c>
      <c r="J3168" s="2">
        <f t="shared" si="207"/>
        <v>0</v>
      </c>
      <c r="K3168" s="2">
        <f t="shared" si="208"/>
        <v>0</v>
      </c>
    </row>
    <row r="3169" spans="5:11">
      <c r="E3169" s="3" t="s">
        <v>2143</v>
      </c>
      <c r="F3169" s="3" t="s">
        <v>2146</v>
      </c>
      <c r="G3169" s="12" t="str">
        <f t="shared" si="200"/>
        <v>12-01</v>
      </c>
      <c r="H3169" s="1">
        <f>_xlfn.IFNA(VLOOKUP(Aragon!E3169,'Kilter Holds'!$P$36:$AB$370,13,0),0)</f>
        <v>0</v>
      </c>
      <c r="J3169" s="2">
        <f t="shared" si="207"/>
        <v>0</v>
      </c>
      <c r="K3169" s="2">
        <f t="shared" si="208"/>
        <v>0</v>
      </c>
    </row>
    <row r="3170" spans="5:11">
      <c r="E3170" s="3" t="s">
        <v>2144</v>
      </c>
      <c r="F3170" s="3" t="s">
        <v>2147</v>
      </c>
      <c r="G3170" s="5" t="str">
        <f t="shared" si="200"/>
        <v>11-12</v>
      </c>
      <c r="H3170" s="1">
        <f>_xlfn.IFNA(VLOOKUP(Aragon!E3170,'Kilter Holds'!$P$36:$AB$370,5,0),0)</f>
        <v>0</v>
      </c>
      <c r="J3170" s="2">
        <f t="shared" si="207"/>
        <v>0</v>
      </c>
      <c r="K3170" s="2">
        <f t="shared" si="208"/>
        <v>0</v>
      </c>
    </row>
    <row r="3171" spans="5:11">
      <c r="E3171" s="3" t="s">
        <v>2144</v>
      </c>
      <c r="F3171" s="3" t="s">
        <v>2147</v>
      </c>
      <c r="G3171" s="6" t="str">
        <f t="shared" si="200"/>
        <v>14-01</v>
      </c>
      <c r="H3171" s="1">
        <f>_xlfn.IFNA(VLOOKUP(Aragon!E3171,'Kilter Holds'!$P$36:$AB$370,6,0),0)</f>
        <v>0</v>
      </c>
      <c r="J3171" s="2">
        <f t="shared" si="207"/>
        <v>0</v>
      </c>
      <c r="K3171" s="2">
        <f t="shared" si="208"/>
        <v>0</v>
      </c>
    </row>
    <row r="3172" spans="5:11">
      <c r="E3172" s="3" t="s">
        <v>2144</v>
      </c>
      <c r="F3172" s="3" t="s">
        <v>2147</v>
      </c>
      <c r="G3172" s="7" t="str">
        <f t="shared" si="200"/>
        <v>15-12</v>
      </c>
      <c r="H3172" s="1">
        <f>_xlfn.IFNA(VLOOKUP(Aragon!E3172,'Kilter Holds'!$P$36:$AB$370,7,0),0)</f>
        <v>0</v>
      </c>
      <c r="J3172" s="2">
        <f t="shared" si="207"/>
        <v>0</v>
      </c>
      <c r="K3172" s="2">
        <f t="shared" si="208"/>
        <v>0</v>
      </c>
    </row>
    <row r="3173" spans="5:11">
      <c r="E3173" s="3" t="s">
        <v>2144</v>
      </c>
      <c r="F3173" s="3" t="s">
        <v>2147</v>
      </c>
      <c r="G3173" s="8" t="str">
        <f t="shared" si="200"/>
        <v>16-16</v>
      </c>
      <c r="H3173" s="1">
        <f>_xlfn.IFNA(VLOOKUP(Aragon!E3173,'Kilter Holds'!$P$36:$AB$370,8,0),0)</f>
        <v>0</v>
      </c>
      <c r="J3173" s="2">
        <f t="shared" si="207"/>
        <v>0</v>
      </c>
      <c r="K3173" s="2">
        <f t="shared" si="208"/>
        <v>0</v>
      </c>
    </row>
    <row r="3174" spans="5:11">
      <c r="E3174" s="3" t="s">
        <v>2144</v>
      </c>
      <c r="F3174" s="3" t="s">
        <v>2147</v>
      </c>
      <c r="G3174" s="9" t="str">
        <f t="shared" si="200"/>
        <v>13-01</v>
      </c>
      <c r="H3174" s="1">
        <f>_xlfn.IFNA(VLOOKUP(Aragon!E3174,'Kilter Holds'!$P$36:$AB$370,9,0),0)</f>
        <v>0</v>
      </c>
      <c r="J3174" s="2">
        <f t="shared" si="207"/>
        <v>0</v>
      </c>
      <c r="K3174" s="2">
        <f t="shared" si="208"/>
        <v>0</v>
      </c>
    </row>
    <row r="3175" spans="5:11">
      <c r="E3175" s="3" t="s">
        <v>2144</v>
      </c>
      <c r="F3175" s="3" t="s">
        <v>2147</v>
      </c>
      <c r="G3175" s="10" t="str">
        <f t="shared" si="200"/>
        <v>07-13</v>
      </c>
      <c r="H3175" s="1">
        <f>_xlfn.IFNA(VLOOKUP(Aragon!E3175,'Kilter Holds'!$P$36:$AB$370,10,0),0)</f>
        <v>0</v>
      </c>
      <c r="J3175" s="2">
        <f t="shared" si="207"/>
        <v>0</v>
      </c>
      <c r="K3175" s="2">
        <f t="shared" si="208"/>
        <v>0</v>
      </c>
    </row>
    <row r="3176" spans="5:11">
      <c r="E3176" s="3" t="s">
        <v>2144</v>
      </c>
      <c r="F3176" s="3" t="s">
        <v>2147</v>
      </c>
      <c r="G3176" s="11" t="str">
        <f t="shared" si="200"/>
        <v>11-25</v>
      </c>
      <c r="H3176" s="1">
        <f>_xlfn.IFNA(VLOOKUP(Aragon!E3176,'Kilter Holds'!$P$36:$AB$370,11,0),0)</f>
        <v>0</v>
      </c>
      <c r="J3176" s="2">
        <f t="shared" si="207"/>
        <v>0</v>
      </c>
      <c r="K3176" s="2">
        <f t="shared" si="208"/>
        <v>0</v>
      </c>
    </row>
    <row r="3177" spans="5:11">
      <c r="E3177" s="3" t="s">
        <v>2144</v>
      </c>
      <c r="F3177" s="3" t="s">
        <v>2147</v>
      </c>
      <c r="G3177" s="13" t="str">
        <f t="shared" si="200"/>
        <v>18-01</v>
      </c>
      <c r="H3177" s="1">
        <f>_xlfn.IFNA(VLOOKUP(Aragon!E3177,'Kilter Holds'!$P$36:$AB$370,12,0),0)</f>
        <v>0</v>
      </c>
      <c r="J3177" s="2">
        <f t="shared" si="207"/>
        <v>0</v>
      </c>
      <c r="K3177" s="2">
        <f t="shared" si="208"/>
        <v>0</v>
      </c>
    </row>
    <row r="3178" spans="5:11">
      <c r="E3178" s="3" t="s">
        <v>2144</v>
      </c>
      <c r="F3178" s="3" t="s">
        <v>2147</v>
      </c>
      <c r="G3178" s="12" t="str">
        <f t="shared" si="200"/>
        <v>12-01</v>
      </c>
      <c r="H3178" s="1">
        <f>_xlfn.IFNA(VLOOKUP(Aragon!E3178,'Kilter Holds'!$P$36:$AB$370,13,0),0)</f>
        <v>0</v>
      </c>
      <c r="J3178" s="2">
        <f t="shared" si="207"/>
        <v>0</v>
      </c>
      <c r="K3178" s="2">
        <f t="shared" si="208"/>
        <v>0</v>
      </c>
    </row>
    <row r="3179" spans="5:11">
      <c r="E3179" s="3" t="s">
        <v>2145</v>
      </c>
      <c r="F3179" s="3" t="s">
        <v>2148</v>
      </c>
      <c r="G3179" s="5" t="str">
        <f t="shared" si="200"/>
        <v>11-12</v>
      </c>
      <c r="H3179" s="1">
        <f>_xlfn.IFNA(VLOOKUP(Aragon!E3179,'Kilter Holds'!$P$36:$AB$370,5,0),0)</f>
        <v>0</v>
      </c>
      <c r="J3179" s="2">
        <f t="shared" si="207"/>
        <v>0</v>
      </c>
      <c r="K3179" s="2">
        <f t="shared" si="208"/>
        <v>0</v>
      </c>
    </row>
    <row r="3180" spans="5:11">
      <c r="E3180" s="3" t="s">
        <v>2145</v>
      </c>
      <c r="F3180" s="3" t="s">
        <v>2148</v>
      </c>
      <c r="G3180" s="6" t="str">
        <f t="shared" ref="G3180:G3196" si="209">G3144</f>
        <v>14-01</v>
      </c>
      <c r="H3180" s="1">
        <f>_xlfn.IFNA(VLOOKUP(Aragon!E3180,'Kilter Holds'!$P$36:$AB$370,6,0),0)</f>
        <v>0</v>
      </c>
      <c r="J3180" s="2">
        <f t="shared" si="207"/>
        <v>0</v>
      </c>
      <c r="K3180" s="2">
        <f t="shared" si="208"/>
        <v>0</v>
      </c>
    </row>
    <row r="3181" spans="5:11">
      <c r="E3181" s="3" t="s">
        <v>2145</v>
      </c>
      <c r="F3181" s="3" t="s">
        <v>2148</v>
      </c>
      <c r="G3181" s="7" t="str">
        <f t="shared" si="209"/>
        <v>15-12</v>
      </c>
      <c r="H3181" s="1">
        <f>_xlfn.IFNA(VLOOKUP(Aragon!E3181,'Kilter Holds'!$P$36:$AB$370,7,0),0)</f>
        <v>0</v>
      </c>
      <c r="J3181" s="2">
        <f t="shared" si="207"/>
        <v>0</v>
      </c>
      <c r="K3181" s="2">
        <f t="shared" si="208"/>
        <v>0</v>
      </c>
    </row>
    <row r="3182" spans="5:11">
      <c r="E3182" s="3" t="s">
        <v>2145</v>
      </c>
      <c r="F3182" s="3" t="s">
        <v>2148</v>
      </c>
      <c r="G3182" s="8" t="str">
        <f t="shared" si="209"/>
        <v>16-16</v>
      </c>
      <c r="H3182" s="1">
        <f>_xlfn.IFNA(VLOOKUP(Aragon!E3182,'Kilter Holds'!$P$36:$AB$370,8,0),0)</f>
        <v>0</v>
      </c>
      <c r="J3182" s="2">
        <f t="shared" si="207"/>
        <v>0</v>
      </c>
      <c r="K3182" s="2">
        <f t="shared" si="208"/>
        <v>0</v>
      </c>
    </row>
    <row r="3183" spans="5:11">
      <c r="E3183" s="3" t="s">
        <v>2145</v>
      </c>
      <c r="F3183" s="3" t="s">
        <v>2148</v>
      </c>
      <c r="G3183" s="9" t="str">
        <f t="shared" si="209"/>
        <v>13-01</v>
      </c>
      <c r="H3183" s="1">
        <f>_xlfn.IFNA(VLOOKUP(Aragon!E3183,'Kilter Holds'!$P$36:$AB$370,9,0),0)</f>
        <v>0</v>
      </c>
      <c r="J3183" s="2">
        <f t="shared" si="207"/>
        <v>0</v>
      </c>
      <c r="K3183" s="2">
        <f t="shared" si="208"/>
        <v>0</v>
      </c>
    </row>
    <row r="3184" spans="5:11">
      <c r="E3184" s="3" t="s">
        <v>2145</v>
      </c>
      <c r="F3184" s="3" t="s">
        <v>2148</v>
      </c>
      <c r="G3184" s="10" t="str">
        <f t="shared" si="209"/>
        <v>07-13</v>
      </c>
      <c r="H3184" s="1">
        <f>_xlfn.IFNA(VLOOKUP(Aragon!E3184,'Kilter Holds'!$P$36:$AB$370,10,0),0)</f>
        <v>0</v>
      </c>
      <c r="J3184" s="2">
        <f t="shared" si="207"/>
        <v>0</v>
      </c>
      <c r="K3184" s="2">
        <f t="shared" si="208"/>
        <v>0</v>
      </c>
    </row>
    <row r="3185" spans="5:11">
      <c r="E3185" s="3" t="s">
        <v>2145</v>
      </c>
      <c r="F3185" s="3" t="s">
        <v>2148</v>
      </c>
      <c r="G3185" s="11" t="str">
        <f t="shared" si="209"/>
        <v>11-25</v>
      </c>
      <c r="H3185" s="1">
        <f>_xlfn.IFNA(VLOOKUP(Aragon!E3185,'Kilter Holds'!$P$36:$AB$370,11,0),0)</f>
        <v>0</v>
      </c>
      <c r="J3185" s="2">
        <f t="shared" si="207"/>
        <v>0</v>
      </c>
      <c r="K3185" s="2">
        <f t="shared" si="208"/>
        <v>0</v>
      </c>
    </row>
    <row r="3186" spans="5:11">
      <c r="E3186" s="3" t="s">
        <v>2145</v>
      </c>
      <c r="F3186" s="3" t="s">
        <v>2148</v>
      </c>
      <c r="G3186" s="13" t="str">
        <f t="shared" si="209"/>
        <v>18-01</v>
      </c>
      <c r="H3186" s="1">
        <f>_xlfn.IFNA(VLOOKUP(Aragon!E3186,'Kilter Holds'!$P$36:$AB$370,12,0),0)</f>
        <v>0</v>
      </c>
      <c r="J3186" s="2">
        <f t="shared" si="207"/>
        <v>0</v>
      </c>
      <c r="K3186" s="2">
        <f t="shared" si="208"/>
        <v>0</v>
      </c>
    </row>
    <row r="3187" spans="5:11">
      <c r="E3187" s="3" t="s">
        <v>2145</v>
      </c>
      <c r="F3187" s="3" t="s">
        <v>2148</v>
      </c>
      <c r="G3187" s="12" t="str">
        <f t="shared" si="209"/>
        <v>12-01</v>
      </c>
      <c r="H3187" s="1">
        <f>_xlfn.IFNA(VLOOKUP(Aragon!E3187,'Kilter Holds'!$P$36:$AB$370,13,0),0)</f>
        <v>0</v>
      </c>
      <c r="J3187" s="2">
        <f t="shared" si="207"/>
        <v>0</v>
      </c>
      <c r="K3187" s="2">
        <f t="shared" si="208"/>
        <v>0</v>
      </c>
    </row>
    <row r="3188" spans="5:11">
      <c r="E3188" s="3" t="s">
        <v>3031</v>
      </c>
      <c r="F3188" s="3" t="s">
        <v>3032</v>
      </c>
      <c r="G3188" s="5" t="str">
        <f t="shared" si="209"/>
        <v>11-12</v>
      </c>
      <c r="H3188" s="1">
        <f>_xlfn.IFNA(VLOOKUP(Aragon!E3188,'Kilter Holds'!$P$36:$AB$370,5,0),0)</f>
        <v>0</v>
      </c>
      <c r="J3188" s="2">
        <f t="shared" ref="J3188:J3196" si="210">H3188*I3188</f>
        <v>0</v>
      </c>
      <c r="K3188" s="2">
        <f t="shared" ref="K3188:K3196" si="211">IF($V$11="Y",J3188*0.05,0)</f>
        <v>0</v>
      </c>
    </row>
    <row r="3189" spans="5:11">
      <c r="E3189" s="3" t="s">
        <v>3031</v>
      </c>
      <c r="F3189" s="3" t="s">
        <v>3032</v>
      </c>
      <c r="G3189" s="6" t="str">
        <f t="shared" si="209"/>
        <v>14-01</v>
      </c>
      <c r="H3189" s="1">
        <f>_xlfn.IFNA(VLOOKUP(Aragon!E3189,'Kilter Holds'!$P$36:$AB$370,6,0),0)</f>
        <v>0</v>
      </c>
      <c r="J3189" s="2">
        <f t="shared" si="210"/>
        <v>0</v>
      </c>
      <c r="K3189" s="2">
        <f t="shared" si="211"/>
        <v>0</v>
      </c>
    </row>
    <row r="3190" spans="5:11">
      <c r="E3190" s="3" t="s">
        <v>3031</v>
      </c>
      <c r="F3190" s="3" t="s">
        <v>3032</v>
      </c>
      <c r="G3190" s="7" t="str">
        <f t="shared" si="209"/>
        <v>15-12</v>
      </c>
      <c r="H3190" s="1">
        <f>_xlfn.IFNA(VLOOKUP(Aragon!E3190,'Kilter Holds'!$P$36:$AB$370,7,0),0)</f>
        <v>0</v>
      </c>
      <c r="J3190" s="2">
        <f t="shared" si="210"/>
        <v>0</v>
      </c>
      <c r="K3190" s="2">
        <f t="shared" si="211"/>
        <v>0</v>
      </c>
    </row>
    <row r="3191" spans="5:11">
      <c r="E3191" s="3" t="s">
        <v>3031</v>
      </c>
      <c r="F3191" s="3" t="s">
        <v>3032</v>
      </c>
      <c r="G3191" s="8" t="str">
        <f t="shared" si="209"/>
        <v>16-16</v>
      </c>
      <c r="H3191" s="1">
        <f>_xlfn.IFNA(VLOOKUP(Aragon!E3191,'Kilter Holds'!$P$36:$AB$370,8,0),0)</f>
        <v>0</v>
      </c>
      <c r="J3191" s="2">
        <f t="shared" si="210"/>
        <v>0</v>
      </c>
      <c r="K3191" s="2">
        <f t="shared" si="211"/>
        <v>0</v>
      </c>
    </row>
    <row r="3192" spans="5:11">
      <c r="E3192" s="3" t="s">
        <v>3031</v>
      </c>
      <c r="F3192" s="3" t="s">
        <v>3032</v>
      </c>
      <c r="G3192" s="9" t="str">
        <f t="shared" si="209"/>
        <v>13-01</v>
      </c>
      <c r="H3192" s="1">
        <f>_xlfn.IFNA(VLOOKUP(Aragon!E3192,'Kilter Holds'!$P$36:$AB$370,9,0),0)</f>
        <v>0</v>
      </c>
      <c r="J3192" s="2">
        <f t="shared" si="210"/>
        <v>0</v>
      </c>
      <c r="K3192" s="2">
        <f t="shared" si="211"/>
        <v>0</v>
      </c>
    </row>
    <row r="3193" spans="5:11">
      <c r="E3193" s="3" t="s">
        <v>3031</v>
      </c>
      <c r="F3193" s="3" t="s">
        <v>3032</v>
      </c>
      <c r="G3193" s="10" t="str">
        <f t="shared" si="209"/>
        <v>07-13</v>
      </c>
      <c r="H3193" s="1">
        <f>_xlfn.IFNA(VLOOKUP(Aragon!E3193,'Kilter Holds'!$P$36:$AB$370,10,0),0)</f>
        <v>0</v>
      </c>
      <c r="J3193" s="2">
        <f t="shared" si="210"/>
        <v>0</v>
      </c>
      <c r="K3193" s="2">
        <f t="shared" si="211"/>
        <v>0</v>
      </c>
    </row>
    <row r="3194" spans="5:11">
      <c r="E3194" s="3" t="s">
        <v>3031</v>
      </c>
      <c r="F3194" s="3" t="s">
        <v>3032</v>
      </c>
      <c r="G3194" s="11" t="str">
        <f t="shared" si="209"/>
        <v>11-25</v>
      </c>
      <c r="H3194" s="1">
        <f>_xlfn.IFNA(VLOOKUP(Aragon!E3194,'Kilter Holds'!$P$36:$AB$370,11,0),0)</f>
        <v>0</v>
      </c>
      <c r="J3194" s="2">
        <f t="shared" si="210"/>
        <v>0</v>
      </c>
      <c r="K3194" s="2">
        <f t="shared" si="211"/>
        <v>0</v>
      </c>
    </row>
    <row r="3195" spans="5:11">
      <c r="E3195" s="3" t="s">
        <v>3031</v>
      </c>
      <c r="F3195" s="3" t="s">
        <v>3032</v>
      </c>
      <c r="G3195" s="13" t="str">
        <f t="shared" si="209"/>
        <v>18-01</v>
      </c>
      <c r="H3195" s="1">
        <f>_xlfn.IFNA(VLOOKUP(Aragon!E3195,'Kilter Holds'!$P$36:$AB$370,12,0),0)</f>
        <v>0</v>
      </c>
      <c r="J3195" s="2">
        <f t="shared" si="210"/>
        <v>0</v>
      </c>
      <c r="K3195" s="2">
        <f t="shared" si="211"/>
        <v>0</v>
      </c>
    </row>
    <row r="3196" spans="5:11">
      <c r="E3196" s="3" t="s">
        <v>3031</v>
      </c>
      <c r="F3196" s="3" t="s">
        <v>3032</v>
      </c>
      <c r="G3196" s="12" t="str">
        <f t="shared" si="209"/>
        <v>12-01</v>
      </c>
      <c r="H3196" s="1">
        <f>_xlfn.IFNA(VLOOKUP(Aragon!E3196,'Kilter Holds'!$P$36:$AB$370,13,0),0)</f>
        <v>0</v>
      </c>
      <c r="J3196" s="2">
        <f t="shared" si="210"/>
        <v>0</v>
      </c>
      <c r="K3196" s="2">
        <f t="shared" si="211"/>
        <v>0</v>
      </c>
    </row>
    <row r="3197" spans="5:11">
      <c r="E3197" s="3" t="s">
        <v>2208</v>
      </c>
      <c r="F3197" s="3" t="s">
        <v>2209</v>
      </c>
      <c r="G3197" s="5" t="str">
        <f t="shared" ref="G3197:G3205" si="212">G3152</f>
        <v>11-12</v>
      </c>
      <c r="H3197" s="1">
        <f>_xlfn.IFNA(VLOOKUP(Aragon!E3197,'Kilter Holds'!$P$36:$AB$370,5,0),0)</f>
        <v>0</v>
      </c>
      <c r="J3197" s="2">
        <f t="shared" ref="J3197:J3205" si="213">H3197*I3197</f>
        <v>0</v>
      </c>
      <c r="K3197" s="2">
        <f t="shared" ref="K3197:K3205" si="214">IF($V$11="Y",J3197*0.05,0)</f>
        <v>0</v>
      </c>
    </row>
    <row r="3198" spans="5:11">
      <c r="E3198" s="3" t="s">
        <v>2208</v>
      </c>
      <c r="F3198" s="3" t="s">
        <v>2209</v>
      </c>
      <c r="G3198" s="6" t="str">
        <f t="shared" si="212"/>
        <v>14-01</v>
      </c>
      <c r="H3198" s="1">
        <f>_xlfn.IFNA(VLOOKUP(Aragon!E3198,'Kilter Holds'!$P$36:$AB$370,6,0),0)</f>
        <v>0</v>
      </c>
      <c r="J3198" s="2">
        <f t="shared" si="213"/>
        <v>0</v>
      </c>
      <c r="K3198" s="2">
        <f t="shared" si="214"/>
        <v>0</v>
      </c>
    </row>
    <row r="3199" spans="5:11">
      <c r="E3199" s="3" t="s">
        <v>2208</v>
      </c>
      <c r="F3199" s="3" t="s">
        <v>2209</v>
      </c>
      <c r="G3199" s="7" t="str">
        <f t="shared" si="212"/>
        <v>15-12</v>
      </c>
      <c r="H3199" s="1">
        <f>_xlfn.IFNA(VLOOKUP(Aragon!E3199,'Kilter Holds'!$P$36:$AB$370,7,0),0)</f>
        <v>0</v>
      </c>
      <c r="J3199" s="2">
        <f t="shared" si="213"/>
        <v>0</v>
      </c>
      <c r="K3199" s="2">
        <f t="shared" si="214"/>
        <v>0</v>
      </c>
    </row>
    <row r="3200" spans="5:11">
      <c r="E3200" s="3" t="s">
        <v>2208</v>
      </c>
      <c r="F3200" s="3" t="s">
        <v>2209</v>
      </c>
      <c r="G3200" s="8" t="str">
        <f t="shared" si="212"/>
        <v>16-16</v>
      </c>
      <c r="H3200" s="1">
        <f>_xlfn.IFNA(VLOOKUP(Aragon!E3200,'Kilter Holds'!$P$36:$AB$370,8,0),0)</f>
        <v>0</v>
      </c>
      <c r="J3200" s="2">
        <f t="shared" si="213"/>
        <v>0</v>
      </c>
      <c r="K3200" s="2">
        <f t="shared" si="214"/>
        <v>0</v>
      </c>
    </row>
    <row r="3201" spans="5:11">
      <c r="E3201" s="3" t="s">
        <v>2208</v>
      </c>
      <c r="F3201" s="3" t="s">
        <v>2209</v>
      </c>
      <c r="G3201" s="9" t="str">
        <f t="shared" si="212"/>
        <v>13-01</v>
      </c>
      <c r="H3201" s="1">
        <f>_xlfn.IFNA(VLOOKUP(Aragon!E3201,'Kilter Holds'!$P$36:$AB$370,9,0),0)</f>
        <v>0</v>
      </c>
      <c r="J3201" s="2">
        <f t="shared" si="213"/>
        <v>0</v>
      </c>
      <c r="K3201" s="2">
        <f t="shared" si="214"/>
        <v>0</v>
      </c>
    </row>
    <row r="3202" spans="5:11">
      <c r="E3202" s="3" t="s">
        <v>2208</v>
      </c>
      <c r="F3202" s="3" t="s">
        <v>2209</v>
      </c>
      <c r="G3202" s="10" t="str">
        <f t="shared" si="212"/>
        <v>07-13</v>
      </c>
      <c r="H3202" s="1">
        <f>_xlfn.IFNA(VLOOKUP(Aragon!E3202,'Kilter Holds'!$P$36:$AB$370,10,0),0)</f>
        <v>0</v>
      </c>
      <c r="J3202" s="2">
        <f t="shared" si="213"/>
        <v>0</v>
      </c>
      <c r="K3202" s="2">
        <f t="shared" si="214"/>
        <v>0</v>
      </c>
    </row>
    <row r="3203" spans="5:11">
      <c r="E3203" s="3" t="s">
        <v>2208</v>
      </c>
      <c r="F3203" s="3" t="s">
        <v>2209</v>
      </c>
      <c r="G3203" s="11" t="str">
        <f t="shared" si="212"/>
        <v>11-25</v>
      </c>
      <c r="H3203" s="1">
        <f>_xlfn.IFNA(VLOOKUP(Aragon!E3203,'Kilter Holds'!$P$36:$AB$370,11,0),0)</f>
        <v>0</v>
      </c>
      <c r="J3203" s="2">
        <f t="shared" si="213"/>
        <v>0</v>
      </c>
      <c r="K3203" s="2">
        <f t="shared" si="214"/>
        <v>0</v>
      </c>
    </row>
    <row r="3204" spans="5:11">
      <c r="E3204" s="3" t="s">
        <v>2208</v>
      </c>
      <c r="F3204" s="3" t="s">
        <v>2209</v>
      </c>
      <c r="G3204" s="13" t="str">
        <f t="shared" si="212"/>
        <v>18-01</v>
      </c>
      <c r="H3204" s="1">
        <f>_xlfn.IFNA(VLOOKUP(Aragon!E3204,'Kilter Holds'!$P$36:$AB$370,12,0),0)</f>
        <v>0</v>
      </c>
      <c r="J3204" s="2">
        <f t="shared" si="213"/>
        <v>0</v>
      </c>
      <c r="K3204" s="2">
        <f t="shared" si="214"/>
        <v>0</v>
      </c>
    </row>
    <row r="3205" spans="5:11">
      <c r="E3205" s="3" t="s">
        <v>2208</v>
      </c>
      <c r="F3205" s="3" t="s">
        <v>2209</v>
      </c>
      <c r="G3205" s="12" t="str">
        <f t="shared" si="212"/>
        <v>12-01</v>
      </c>
      <c r="H3205" s="1">
        <f>_xlfn.IFNA(VLOOKUP(Aragon!E3205,'Kilter Holds'!$P$36:$AB$370,13,0),0)</f>
        <v>0</v>
      </c>
      <c r="J3205" s="2">
        <f t="shared" si="213"/>
        <v>0</v>
      </c>
      <c r="K3205" s="2">
        <f t="shared" si="214"/>
        <v>0</v>
      </c>
    </row>
    <row r="3206" spans="5:11">
      <c r="E3206" s="3" t="s">
        <v>2164</v>
      </c>
      <c r="F3206" s="3" t="s">
        <v>2165</v>
      </c>
      <c r="G3206" s="5" t="str">
        <f t="shared" ref="G3206:G3241" si="215">G3152</f>
        <v>11-12</v>
      </c>
      <c r="H3206" s="1">
        <f>_xlfn.IFNA(VLOOKUP(Aragon!E3206,'Kilter Holds'!$P$36:$AB$370,5,0),0)</f>
        <v>0</v>
      </c>
      <c r="J3206" s="2">
        <f t="shared" ref="J3206:J3214" si="216">H3206*I3206</f>
        <v>0</v>
      </c>
      <c r="K3206" s="2">
        <f t="shared" ref="K3206:K3214" si="217">IF($V$11="Y",J3206*0.05,0)</f>
        <v>0</v>
      </c>
    </row>
    <row r="3207" spans="5:11">
      <c r="E3207" s="3" t="s">
        <v>2164</v>
      </c>
      <c r="F3207" s="3" t="s">
        <v>2165</v>
      </c>
      <c r="G3207" s="6" t="str">
        <f t="shared" si="215"/>
        <v>14-01</v>
      </c>
      <c r="H3207" s="1">
        <f>_xlfn.IFNA(VLOOKUP(Aragon!E3207,'Kilter Holds'!$P$36:$AB$370,6,0),0)</f>
        <v>0</v>
      </c>
      <c r="J3207" s="2">
        <f t="shared" si="216"/>
        <v>0</v>
      </c>
      <c r="K3207" s="2">
        <f t="shared" si="217"/>
        <v>0</v>
      </c>
    </row>
    <row r="3208" spans="5:11">
      <c r="E3208" s="3" t="s">
        <v>2164</v>
      </c>
      <c r="F3208" s="3" t="s">
        <v>2165</v>
      </c>
      <c r="G3208" s="7" t="str">
        <f t="shared" si="215"/>
        <v>15-12</v>
      </c>
      <c r="H3208" s="1">
        <f>_xlfn.IFNA(VLOOKUP(Aragon!E3208,'Kilter Holds'!$P$36:$AB$370,7,0),0)</f>
        <v>0</v>
      </c>
      <c r="J3208" s="2">
        <f t="shared" si="216"/>
        <v>0</v>
      </c>
      <c r="K3208" s="2">
        <f t="shared" si="217"/>
        <v>0</v>
      </c>
    </row>
    <row r="3209" spans="5:11">
      <c r="E3209" s="3" t="s">
        <v>2164</v>
      </c>
      <c r="F3209" s="3" t="s">
        <v>2165</v>
      </c>
      <c r="G3209" s="8" t="str">
        <f t="shared" si="215"/>
        <v>16-16</v>
      </c>
      <c r="H3209" s="1">
        <f>_xlfn.IFNA(VLOOKUP(Aragon!E3209,'Kilter Holds'!$P$36:$AB$370,8,0),0)</f>
        <v>0</v>
      </c>
      <c r="J3209" s="2">
        <f t="shared" si="216"/>
        <v>0</v>
      </c>
      <c r="K3209" s="2">
        <f t="shared" si="217"/>
        <v>0</v>
      </c>
    </row>
    <row r="3210" spans="5:11">
      <c r="E3210" s="3" t="s">
        <v>2164</v>
      </c>
      <c r="F3210" s="3" t="s">
        <v>2165</v>
      </c>
      <c r="G3210" s="9" t="str">
        <f t="shared" si="215"/>
        <v>13-01</v>
      </c>
      <c r="H3210" s="1">
        <f>_xlfn.IFNA(VLOOKUP(Aragon!E3210,'Kilter Holds'!$P$36:$AB$370,9,0),0)</f>
        <v>0</v>
      </c>
      <c r="J3210" s="2">
        <f t="shared" si="216"/>
        <v>0</v>
      </c>
      <c r="K3210" s="2">
        <f t="shared" si="217"/>
        <v>0</v>
      </c>
    </row>
    <row r="3211" spans="5:11">
      <c r="E3211" s="3" t="s">
        <v>2164</v>
      </c>
      <c r="F3211" s="3" t="s">
        <v>2165</v>
      </c>
      <c r="G3211" s="10" t="str">
        <f t="shared" si="215"/>
        <v>07-13</v>
      </c>
      <c r="H3211" s="1">
        <f>_xlfn.IFNA(VLOOKUP(Aragon!E3211,'Kilter Holds'!$P$36:$AB$370,10,0),0)</f>
        <v>0</v>
      </c>
      <c r="J3211" s="2">
        <f t="shared" si="216"/>
        <v>0</v>
      </c>
      <c r="K3211" s="2">
        <f t="shared" si="217"/>
        <v>0</v>
      </c>
    </row>
    <row r="3212" spans="5:11">
      <c r="E3212" s="3" t="s">
        <v>2164</v>
      </c>
      <c r="F3212" s="3" t="s">
        <v>2165</v>
      </c>
      <c r="G3212" s="11" t="str">
        <f t="shared" si="215"/>
        <v>11-25</v>
      </c>
      <c r="H3212" s="1">
        <f>_xlfn.IFNA(VLOOKUP(Aragon!E3212,'Kilter Holds'!$P$36:$AB$370,11,0),0)</f>
        <v>0</v>
      </c>
      <c r="J3212" s="2">
        <f t="shared" si="216"/>
        <v>0</v>
      </c>
      <c r="K3212" s="2">
        <f t="shared" si="217"/>
        <v>0</v>
      </c>
    </row>
    <row r="3213" spans="5:11">
      <c r="E3213" s="3" t="s">
        <v>2164</v>
      </c>
      <c r="F3213" s="3" t="s">
        <v>2165</v>
      </c>
      <c r="G3213" s="13" t="str">
        <f t="shared" si="215"/>
        <v>18-01</v>
      </c>
      <c r="H3213" s="1">
        <f>_xlfn.IFNA(VLOOKUP(Aragon!E3213,'Kilter Holds'!$P$36:$AB$370,12,0),0)</f>
        <v>0</v>
      </c>
      <c r="J3213" s="2">
        <f t="shared" si="216"/>
        <v>0</v>
      </c>
      <c r="K3213" s="2">
        <f t="shared" si="217"/>
        <v>0</v>
      </c>
    </row>
    <row r="3214" spans="5:11">
      <c r="E3214" s="3" t="s">
        <v>2164</v>
      </c>
      <c r="F3214" s="3" t="s">
        <v>2165</v>
      </c>
      <c r="G3214" s="12" t="str">
        <f t="shared" si="215"/>
        <v>12-01</v>
      </c>
      <c r="H3214" s="1">
        <f>_xlfn.IFNA(VLOOKUP(Aragon!E3214,'Kilter Holds'!$P$36:$AB$370,13,0),0)</f>
        <v>0</v>
      </c>
      <c r="J3214" s="2">
        <f t="shared" si="216"/>
        <v>0</v>
      </c>
      <c r="K3214" s="2">
        <f t="shared" si="217"/>
        <v>0</v>
      </c>
    </row>
    <row r="3215" spans="5:11">
      <c r="E3215" s="3" t="s">
        <v>2174</v>
      </c>
      <c r="F3215" s="3" t="s">
        <v>2175</v>
      </c>
      <c r="G3215" s="5" t="str">
        <f t="shared" si="215"/>
        <v>11-12</v>
      </c>
      <c r="H3215" s="1">
        <f>_xlfn.IFNA(VLOOKUP(Aragon!E3215,'Kilter Holds'!$P$36:$AB$370,5,0),0)</f>
        <v>0</v>
      </c>
      <c r="J3215" s="2">
        <f t="shared" ref="J3215:J3223" si="218">H3215*I3215</f>
        <v>0</v>
      </c>
      <c r="K3215" s="2">
        <f t="shared" ref="K3215:K3223" si="219">IF($V$11="Y",J3215*0.05,0)</f>
        <v>0</v>
      </c>
    </row>
    <row r="3216" spans="5:11">
      <c r="E3216" s="3" t="s">
        <v>2174</v>
      </c>
      <c r="F3216" s="3" t="s">
        <v>2175</v>
      </c>
      <c r="G3216" s="6" t="str">
        <f t="shared" si="215"/>
        <v>14-01</v>
      </c>
      <c r="H3216" s="1">
        <f>_xlfn.IFNA(VLOOKUP(Aragon!E3216,'Kilter Holds'!$P$36:$AB$370,6,0),0)</f>
        <v>0</v>
      </c>
      <c r="J3216" s="2">
        <f t="shared" si="218"/>
        <v>0</v>
      </c>
      <c r="K3216" s="2">
        <f t="shared" si="219"/>
        <v>0</v>
      </c>
    </row>
    <row r="3217" spans="5:11">
      <c r="E3217" s="3" t="s">
        <v>2174</v>
      </c>
      <c r="F3217" s="3" t="s">
        <v>2175</v>
      </c>
      <c r="G3217" s="7" t="str">
        <f t="shared" si="215"/>
        <v>15-12</v>
      </c>
      <c r="H3217" s="1">
        <f>_xlfn.IFNA(VLOOKUP(Aragon!E3217,'Kilter Holds'!$P$36:$AB$370,7,0),0)</f>
        <v>0</v>
      </c>
      <c r="J3217" s="2">
        <f t="shared" si="218"/>
        <v>0</v>
      </c>
      <c r="K3217" s="2">
        <f t="shared" si="219"/>
        <v>0</v>
      </c>
    </row>
    <row r="3218" spans="5:11">
      <c r="E3218" s="3" t="s">
        <v>2174</v>
      </c>
      <c r="F3218" s="3" t="s">
        <v>2175</v>
      </c>
      <c r="G3218" s="8" t="str">
        <f t="shared" si="215"/>
        <v>16-16</v>
      </c>
      <c r="H3218" s="1">
        <f>_xlfn.IFNA(VLOOKUP(Aragon!E3218,'Kilter Holds'!$P$36:$AB$370,8,0),0)</f>
        <v>0</v>
      </c>
      <c r="J3218" s="2">
        <f t="shared" si="218"/>
        <v>0</v>
      </c>
      <c r="K3218" s="2">
        <f t="shared" si="219"/>
        <v>0</v>
      </c>
    </row>
    <row r="3219" spans="5:11">
      <c r="E3219" s="3" t="s">
        <v>2174</v>
      </c>
      <c r="F3219" s="3" t="s">
        <v>2175</v>
      </c>
      <c r="G3219" s="9" t="str">
        <f t="shared" si="215"/>
        <v>13-01</v>
      </c>
      <c r="H3219" s="1">
        <f>_xlfn.IFNA(VLOOKUP(Aragon!E3219,'Kilter Holds'!$P$36:$AB$370,9,0),0)</f>
        <v>0</v>
      </c>
      <c r="J3219" s="2">
        <f t="shared" si="218"/>
        <v>0</v>
      </c>
      <c r="K3219" s="2">
        <f t="shared" si="219"/>
        <v>0</v>
      </c>
    </row>
    <row r="3220" spans="5:11">
      <c r="E3220" s="3" t="s">
        <v>2174</v>
      </c>
      <c r="F3220" s="3" t="s">
        <v>2175</v>
      </c>
      <c r="G3220" s="10" t="str">
        <f t="shared" si="215"/>
        <v>07-13</v>
      </c>
      <c r="H3220" s="1">
        <f>_xlfn.IFNA(VLOOKUP(Aragon!E3220,'Kilter Holds'!$P$36:$AB$370,10,0),0)</f>
        <v>0</v>
      </c>
      <c r="J3220" s="2">
        <f t="shared" si="218"/>
        <v>0</v>
      </c>
      <c r="K3220" s="2">
        <f t="shared" si="219"/>
        <v>0</v>
      </c>
    </row>
    <row r="3221" spans="5:11">
      <c r="E3221" s="3" t="s">
        <v>2174</v>
      </c>
      <c r="F3221" s="3" t="s">
        <v>2175</v>
      </c>
      <c r="G3221" s="11" t="str">
        <f t="shared" si="215"/>
        <v>11-25</v>
      </c>
      <c r="H3221" s="1">
        <f>_xlfn.IFNA(VLOOKUP(Aragon!E3221,'Kilter Holds'!$P$36:$AB$370,11,0),0)</f>
        <v>0</v>
      </c>
      <c r="J3221" s="2">
        <f t="shared" si="218"/>
        <v>0</v>
      </c>
      <c r="K3221" s="2">
        <f t="shared" si="219"/>
        <v>0</v>
      </c>
    </row>
    <row r="3222" spans="5:11">
      <c r="E3222" s="3" t="s">
        <v>2174</v>
      </c>
      <c r="F3222" s="3" t="s">
        <v>2175</v>
      </c>
      <c r="G3222" s="13" t="str">
        <f t="shared" si="215"/>
        <v>18-01</v>
      </c>
      <c r="H3222" s="1">
        <f>_xlfn.IFNA(VLOOKUP(Aragon!E3222,'Kilter Holds'!$P$36:$AB$370,12,0),0)</f>
        <v>0</v>
      </c>
      <c r="J3222" s="2">
        <f t="shared" si="218"/>
        <v>0</v>
      </c>
      <c r="K3222" s="2">
        <f t="shared" si="219"/>
        <v>0</v>
      </c>
    </row>
    <row r="3223" spans="5:11">
      <c r="E3223" s="3" t="s">
        <v>2174</v>
      </c>
      <c r="F3223" s="3" t="s">
        <v>2175</v>
      </c>
      <c r="G3223" s="12" t="str">
        <f t="shared" si="215"/>
        <v>12-01</v>
      </c>
      <c r="H3223" s="1">
        <f>_xlfn.IFNA(VLOOKUP(Aragon!E3223,'Kilter Holds'!$P$36:$AB$370,13,0),0)</f>
        <v>0</v>
      </c>
      <c r="J3223" s="2">
        <f t="shared" si="218"/>
        <v>0</v>
      </c>
      <c r="K3223" s="2">
        <f t="shared" si="219"/>
        <v>0</v>
      </c>
    </row>
    <row r="3224" spans="5:11">
      <c r="E3224" s="3" t="s">
        <v>2221</v>
      </c>
      <c r="F3224" s="3" t="s">
        <v>2222</v>
      </c>
      <c r="G3224" s="5" t="str">
        <f t="shared" si="215"/>
        <v>11-12</v>
      </c>
      <c r="H3224" s="1">
        <f>_xlfn.IFNA(VLOOKUP(Aragon!E3224,'Kilter Holds'!$P$36:$AB$370,5,0),0)</f>
        <v>0</v>
      </c>
      <c r="J3224" s="2">
        <f t="shared" ref="J3224:J3241" si="220">H3224*I3224</f>
        <v>0</v>
      </c>
      <c r="K3224" s="2">
        <f t="shared" ref="K3224:K3241" si="221">IF($V$11="Y",J3224*0.05,0)</f>
        <v>0</v>
      </c>
    </row>
    <row r="3225" spans="5:11">
      <c r="E3225" s="3" t="s">
        <v>2221</v>
      </c>
      <c r="F3225" s="3" t="s">
        <v>2222</v>
      </c>
      <c r="G3225" s="6" t="str">
        <f t="shared" si="215"/>
        <v>14-01</v>
      </c>
      <c r="H3225" s="1">
        <f>_xlfn.IFNA(VLOOKUP(Aragon!E3225,'Kilter Holds'!$P$36:$AB$370,6,0),0)</f>
        <v>0</v>
      </c>
      <c r="J3225" s="2">
        <f t="shared" si="220"/>
        <v>0</v>
      </c>
      <c r="K3225" s="2">
        <f t="shared" si="221"/>
        <v>0</v>
      </c>
    </row>
    <row r="3226" spans="5:11">
      <c r="E3226" s="3" t="s">
        <v>2221</v>
      </c>
      <c r="F3226" s="3" t="s">
        <v>2222</v>
      </c>
      <c r="G3226" s="7" t="str">
        <f t="shared" si="215"/>
        <v>15-12</v>
      </c>
      <c r="H3226" s="1">
        <f>_xlfn.IFNA(VLOOKUP(Aragon!E3226,'Kilter Holds'!$P$36:$AB$370,7,0),0)</f>
        <v>0</v>
      </c>
      <c r="J3226" s="2">
        <f t="shared" si="220"/>
        <v>0</v>
      </c>
      <c r="K3226" s="2">
        <f t="shared" si="221"/>
        <v>0</v>
      </c>
    </row>
    <row r="3227" spans="5:11">
      <c r="E3227" s="3" t="s">
        <v>2221</v>
      </c>
      <c r="F3227" s="3" t="s">
        <v>2222</v>
      </c>
      <c r="G3227" s="8" t="str">
        <f t="shared" si="215"/>
        <v>16-16</v>
      </c>
      <c r="H3227" s="1">
        <f>_xlfn.IFNA(VLOOKUP(Aragon!E3227,'Kilter Holds'!$P$36:$AB$370,8,0),0)</f>
        <v>0</v>
      </c>
      <c r="J3227" s="2">
        <f t="shared" si="220"/>
        <v>0</v>
      </c>
      <c r="K3227" s="2">
        <f t="shared" si="221"/>
        <v>0</v>
      </c>
    </row>
    <row r="3228" spans="5:11">
      <c r="E3228" s="3" t="s">
        <v>2221</v>
      </c>
      <c r="F3228" s="3" t="s">
        <v>2222</v>
      </c>
      <c r="G3228" s="9" t="str">
        <f t="shared" si="215"/>
        <v>13-01</v>
      </c>
      <c r="H3228" s="1">
        <f>_xlfn.IFNA(VLOOKUP(Aragon!E3228,'Kilter Holds'!$P$36:$AB$370,9,0),0)</f>
        <v>0</v>
      </c>
      <c r="J3228" s="2">
        <f t="shared" si="220"/>
        <v>0</v>
      </c>
      <c r="K3228" s="2">
        <f t="shared" si="221"/>
        <v>0</v>
      </c>
    </row>
    <row r="3229" spans="5:11">
      <c r="E3229" s="3" t="s">
        <v>2221</v>
      </c>
      <c r="F3229" s="3" t="s">
        <v>2222</v>
      </c>
      <c r="G3229" s="10" t="str">
        <f t="shared" si="215"/>
        <v>07-13</v>
      </c>
      <c r="H3229" s="1">
        <f>_xlfn.IFNA(VLOOKUP(Aragon!E3229,'Kilter Holds'!$P$36:$AB$370,10,0),0)</f>
        <v>0</v>
      </c>
      <c r="J3229" s="2">
        <f t="shared" si="220"/>
        <v>0</v>
      </c>
      <c r="K3229" s="2">
        <f t="shared" si="221"/>
        <v>0</v>
      </c>
    </row>
    <row r="3230" spans="5:11">
      <c r="E3230" s="3" t="s">
        <v>2221</v>
      </c>
      <c r="F3230" s="3" t="s">
        <v>2222</v>
      </c>
      <c r="G3230" s="11" t="str">
        <f t="shared" si="215"/>
        <v>11-25</v>
      </c>
      <c r="H3230" s="1">
        <f>_xlfn.IFNA(VLOOKUP(Aragon!E3230,'Kilter Holds'!$P$36:$AB$370,11,0),0)</f>
        <v>0</v>
      </c>
      <c r="J3230" s="2">
        <f t="shared" si="220"/>
        <v>0</v>
      </c>
      <c r="K3230" s="2">
        <f t="shared" si="221"/>
        <v>0</v>
      </c>
    </row>
    <row r="3231" spans="5:11">
      <c r="E3231" s="3" t="s">
        <v>2221</v>
      </c>
      <c r="F3231" s="3" t="s">
        <v>2222</v>
      </c>
      <c r="G3231" s="13" t="str">
        <f t="shared" si="215"/>
        <v>18-01</v>
      </c>
      <c r="H3231" s="1">
        <f>_xlfn.IFNA(VLOOKUP(Aragon!E3231,'Kilter Holds'!$P$36:$AB$370,12,0),0)</f>
        <v>0</v>
      </c>
      <c r="J3231" s="2">
        <f t="shared" si="220"/>
        <v>0</v>
      </c>
      <c r="K3231" s="2">
        <f t="shared" si="221"/>
        <v>0</v>
      </c>
    </row>
    <row r="3232" spans="5:11">
      <c r="E3232" s="3" t="s">
        <v>2221</v>
      </c>
      <c r="F3232" s="3" t="s">
        <v>2222</v>
      </c>
      <c r="G3232" s="12" t="str">
        <f t="shared" si="215"/>
        <v>12-01</v>
      </c>
      <c r="H3232" s="1">
        <f>_xlfn.IFNA(VLOOKUP(Aragon!E3232,'Kilter Holds'!$P$36:$AB$370,13,0),0)</f>
        <v>0</v>
      </c>
      <c r="J3232" s="2">
        <f t="shared" si="220"/>
        <v>0</v>
      </c>
      <c r="K3232" s="2">
        <f t="shared" si="221"/>
        <v>0</v>
      </c>
    </row>
    <row r="3233" spans="5:11">
      <c r="E3233" s="3" t="s">
        <v>2223</v>
      </c>
      <c r="F3233" s="3" t="s">
        <v>2224</v>
      </c>
      <c r="G3233" s="5" t="str">
        <f t="shared" si="215"/>
        <v>11-12</v>
      </c>
      <c r="H3233" s="1">
        <f>_xlfn.IFNA(VLOOKUP(Aragon!E3233,'Kilter Holds'!$P$36:$AB$370,5,0),0)</f>
        <v>0</v>
      </c>
      <c r="J3233" s="2">
        <f t="shared" si="220"/>
        <v>0</v>
      </c>
      <c r="K3233" s="2">
        <f t="shared" si="221"/>
        <v>0</v>
      </c>
    </row>
    <row r="3234" spans="5:11">
      <c r="E3234" s="3" t="s">
        <v>2223</v>
      </c>
      <c r="F3234" s="3" t="s">
        <v>2224</v>
      </c>
      <c r="G3234" s="6" t="str">
        <f t="shared" si="215"/>
        <v>14-01</v>
      </c>
      <c r="H3234" s="1">
        <f>_xlfn.IFNA(VLOOKUP(Aragon!E3234,'Kilter Holds'!$P$36:$AB$370,6,0),0)</f>
        <v>0</v>
      </c>
      <c r="J3234" s="2">
        <f t="shared" si="220"/>
        <v>0</v>
      </c>
      <c r="K3234" s="2">
        <f t="shared" si="221"/>
        <v>0</v>
      </c>
    </row>
    <row r="3235" spans="5:11">
      <c r="E3235" s="3" t="s">
        <v>2223</v>
      </c>
      <c r="F3235" s="3" t="s">
        <v>2224</v>
      </c>
      <c r="G3235" s="7" t="str">
        <f t="shared" si="215"/>
        <v>15-12</v>
      </c>
      <c r="H3235" s="1">
        <f>_xlfn.IFNA(VLOOKUP(Aragon!E3235,'Kilter Holds'!$P$36:$AB$370,7,0),0)</f>
        <v>0</v>
      </c>
      <c r="J3235" s="2">
        <f t="shared" si="220"/>
        <v>0</v>
      </c>
      <c r="K3235" s="2">
        <f t="shared" si="221"/>
        <v>0</v>
      </c>
    </row>
    <row r="3236" spans="5:11">
      <c r="E3236" s="3" t="s">
        <v>2223</v>
      </c>
      <c r="F3236" s="3" t="s">
        <v>2224</v>
      </c>
      <c r="G3236" s="8" t="str">
        <f t="shared" si="215"/>
        <v>16-16</v>
      </c>
      <c r="H3236" s="1">
        <f>_xlfn.IFNA(VLOOKUP(Aragon!E3236,'Kilter Holds'!$P$36:$AB$370,8,0),0)</f>
        <v>0</v>
      </c>
      <c r="J3236" s="2">
        <f t="shared" si="220"/>
        <v>0</v>
      </c>
      <c r="K3236" s="2">
        <f t="shared" si="221"/>
        <v>0</v>
      </c>
    </row>
    <row r="3237" spans="5:11">
      <c r="E3237" s="3" t="s">
        <v>2223</v>
      </c>
      <c r="F3237" s="3" t="s">
        <v>2224</v>
      </c>
      <c r="G3237" s="9" t="str">
        <f t="shared" si="215"/>
        <v>13-01</v>
      </c>
      <c r="H3237" s="1">
        <f>_xlfn.IFNA(VLOOKUP(Aragon!E3237,'Kilter Holds'!$P$36:$AB$370,9,0),0)</f>
        <v>0</v>
      </c>
      <c r="J3237" s="2">
        <f t="shared" si="220"/>
        <v>0</v>
      </c>
      <c r="K3237" s="2">
        <f t="shared" si="221"/>
        <v>0</v>
      </c>
    </row>
    <row r="3238" spans="5:11">
      <c r="E3238" s="3" t="s">
        <v>2223</v>
      </c>
      <c r="F3238" s="3" t="s">
        <v>2224</v>
      </c>
      <c r="G3238" s="10" t="str">
        <f t="shared" si="215"/>
        <v>07-13</v>
      </c>
      <c r="H3238" s="1">
        <f>_xlfn.IFNA(VLOOKUP(Aragon!E3238,'Kilter Holds'!$P$36:$AB$370,10,0),0)</f>
        <v>0</v>
      </c>
      <c r="J3238" s="2">
        <f t="shared" si="220"/>
        <v>0</v>
      </c>
      <c r="K3238" s="2">
        <f t="shared" si="221"/>
        <v>0</v>
      </c>
    </row>
    <row r="3239" spans="5:11">
      <c r="E3239" s="3" t="s">
        <v>2223</v>
      </c>
      <c r="F3239" s="3" t="s">
        <v>2224</v>
      </c>
      <c r="G3239" s="11" t="str">
        <f t="shared" si="215"/>
        <v>11-25</v>
      </c>
      <c r="H3239" s="1">
        <f>_xlfn.IFNA(VLOOKUP(Aragon!E3239,'Kilter Holds'!$P$36:$AB$370,11,0),0)</f>
        <v>0</v>
      </c>
      <c r="J3239" s="2">
        <f t="shared" si="220"/>
        <v>0</v>
      </c>
      <c r="K3239" s="2">
        <f t="shared" si="221"/>
        <v>0</v>
      </c>
    </row>
    <row r="3240" spans="5:11">
      <c r="E3240" s="3" t="s">
        <v>2223</v>
      </c>
      <c r="F3240" s="3" t="s">
        <v>2224</v>
      </c>
      <c r="G3240" s="13" t="str">
        <f t="shared" si="215"/>
        <v>18-01</v>
      </c>
      <c r="H3240" s="1">
        <f>_xlfn.IFNA(VLOOKUP(Aragon!E3240,'Kilter Holds'!$P$36:$AB$370,12,0),0)</f>
        <v>0</v>
      </c>
      <c r="J3240" s="2">
        <f t="shared" si="220"/>
        <v>0</v>
      </c>
      <c r="K3240" s="2">
        <f t="shared" si="221"/>
        <v>0</v>
      </c>
    </row>
    <row r="3241" spans="5:11">
      <c r="E3241" s="3" t="s">
        <v>2223</v>
      </c>
      <c r="F3241" s="3" t="s">
        <v>2224</v>
      </c>
      <c r="G3241" s="12" t="str">
        <f t="shared" si="215"/>
        <v>12-01</v>
      </c>
      <c r="H3241" s="1">
        <f>_xlfn.IFNA(VLOOKUP(Aragon!E3241,'Kilter Holds'!$P$36:$AB$370,13,0),0)</f>
        <v>0</v>
      </c>
      <c r="J3241" s="2">
        <f t="shared" si="220"/>
        <v>0</v>
      </c>
      <c r="K3241" s="2">
        <f t="shared" si="221"/>
        <v>0</v>
      </c>
    </row>
    <row r="3242" spans="5:11">
      <c r="E3242" s="3" t="s">
        <v>2237</v>
      </c>
      <c r="F3242" s="3" t="s">
        <v>2238</v>
      </c>
      <c r="G3242" s="5" t="str">
        <f t="shared" ref="G3242:G3269" si="222">G3197</f>
        <v>11-12</v>
      </c>
      <c r="H3242" s="1">
        <f>_xlfn.IFNA(VLOOKUP(Aragon!E3242,'Kilter Holds'!$P$36:$AB$370,5,0),0)</f>
        <v>0</v>
      </c>
      <c r="J3242" s="2">
        <f t="shared" ref="J3242:J3250" si="223">H3242*I3242</f>
        <v>0</v>
      </c>
      <c r="K3242" s="2">
        <f t="shared" ref="K3242:K3250" si="224">IF($V$11="Y",J3242*0.05,0)</f>
        <v>0</v>
      </c>
    </row>
    <row r="3243" spans="5:11">
      <c r="E3243" s="3" t="s">
        <v>2237</v>
      </c>
      <c r="F3243" s="3" t="s">
        <v>2238</v>
      </c>
      <c r="G3243" s="6" t="str">
        <f t="shared" si="222"/>
        <v>14-01</v>
      </c>
      <c r="H3243" s="1">
        <f>_xlfn.IFNA(VLOOKUP(Aragon!E3243,'Kilter Holds'!$P$36:$AB$370,6,0),0)</f>
        <v>0</v>
      </c>
      <c r="J3243" s="2">
        <f t="shared" si="223"/>
        <v>0</v>
      </c>
      <c r="K3243" s="2">
        <f t="shared" si="224"/>
        <v>0</v>
      </c>
    </row>
    <row r="3244" spans="5:11">
      <c r="E3244" s="3" t="s">
        <v>2237</v>
      </c>
      <c r="F3244" s="3" t="s">
        <v>2238</v>
      </c>
      <c r="G3244" s="7" t="str">
        <f t="shared" si="222"/>
        <v>15-12</v>
      </c>
      <c r="H3244" s="1">
        <f>_xlfn.IFNA(VLOOKUP(Aragon!E3244,'Kilter Holds'!$P$36:$AB$370,7,0),0)</f>
        <v>0</v>
      </c>
      <c r="J3244" s="2">
        <f t="shared" si="223"/>
        <v>0</v>
      </c>
      <c r="K3244" s="2">
        <f t="shared" si="224"/>
        <v>0</v>
      </c>
    </row>
    <row r="3245" spans="5:11">
      <c r="E3245" s="3" t="s">
        <v>2237</v>
      </c>
      <c r="F3245" s="3" t="s">
        <v>2238</v>
      </c>
      <c r="G3245" s="8" t="str">
        <f t="shared" si="222"/>
        <v>16-16</v>
      </c>
      <c r="H3245" s="1">
        <f>_xlfn.IFNA(VLOOKUP(Aragon!E3245,'Kilter Holds'!$P$36:$AB$370,8,0),0)</f>
        <v>0</v>
      </c>
      <c r="J3245" s="2">
        <f t="shared" si="223"/>
        <v>0</v>
      </c>
      <c r="K3245" s="2">
        <f t="shared" si="224"/>
        <v>0</v>
      </c>
    </row>
    <row r="3246" spans="5:11">
      <c r="E3246" s="3" t="s">
        <v>2237</v>
      </c>
      <c r="F3246" s="3" t="s">
        <v>2238</v>
      </c>
      <c r="G3246" s="9" t="str">
        <f t="shared" si="222"/>
        <v>13-01</v>
      </c>
      <c r="H3246" s="1">
        <f>_xlfn.IFNA(VLOOKUP(Aragon!E3246,'Kilter Holds'!$P$36:$AB$370,9,0),0)</f>
        <v>0</v>
      </c>
      <c r="J3246" s="2">
        <f t="shared" si="223"/>
        <v>0</v>
      </c>
      <c r="K3246" s="2">
        <f t="shared" si="224"/>
        <v>0</v>
      </c>
    </row>
    <row r="3247" spans="5:11">
      <c r="E3247" s="3" t="s">
        <v>2237</v>
      </c>
      <c r="F3247" s="3" t="s">
        <v>2238</v>
      </c>
      <c r="G3247" s="10" t="str">
        <f t="shared" si="222"/>
        <v>07-13</v>
      </c>
      <c r="H3247" s="1">
        <f>_xlfn.IFNA(VLOOKUP(Aragon!E3247,'Kilter Holds'!$P$36:$AB$370,10,0),0)</f>
        <v>0</v>
      </c>
      <c r="J3247" s="2">
        <f t="shared" si="223"/>
        <v>0</v>
      </c>
      <c r="K3247" s="2">
        <f t="shared" si="224"/>
        <v>0</v>
      </c>
    </row>
    <row r="3248" spans="5:11">
      <c r="E3248" s="3" t="s">
        <v>2237</v>
      </c>
      <c r="F3248" s="3" t="s">
        <v>2238</v>
      </c>
      <c r="G3248" s="11" t="str">
        <f t="shared" si="222"/>
        <v>11-25</v>
      </c>
      <c r="H3248" s="1">
        <f>_xlfn.IFNA(VLOOKUP(Aragon!E3248,'Kilter Holds'!$P$36:$AB$370,11,0),0)</f>
        <v>0</v>
      </c>
      <c r="J3248" s="2">
        <f t="shared" si="223"/>
        <v>0</v>
      </c>
      <c r="K3248" s="2">
        <f t="shared" si="224"/>
        <v>0</v>
      </c>
    </row>
    <row r="3249" spans="5:11">
      <c r="E3249" s="3" t="s">
        <v>2237</v>
      </c>
      <c r="F3249" s="3" t="s">
        <v>2238</v>
      </c>
      <c r="G3249" s="13" t="str">
        <f t="shared" si="222"/>
        <v>18-01</v>
      </c>
      <c r="H3249" s="1">
        <f>_xlfn.IFNA(VLOOKUP(Aragon!E3249,'Kilter Holds'!$P$36:$AB$370,12,0),0)</f>
        <v>0</v>
      </c>
      <c r="J3249" s="2">
        <f t="shared" si="223"/>
        <v>0</v>
      </c>
      <c r="K3249" s="2">
        <f t="shared" si="224"/>
        <v>0</v>
      </c>
    </row>
    <row r="3250" spans="5:11">
      <c r="E3250" s="3" t="s">
        <v>2237</v>
      </c>
      <c r="F3250" s="3" t="s">
        <v>2238</v>
      </c>
      <c r="G3250" s="12" t="str">
        <f t="shared" si="222"/>
        <v>12-01</v>
      </c>
      <c r="H3250" s="1">
        <f>_xlfn.IFNA(VLOOKUP(Aragon!E3250,'Kilter Holds'!$P$36:$AB$370,13,0),0)</f>
        <v>0</v>
      </c>
      <c r="J3250" s="2">
        <f t="shared" si="223"/>
        <v>0</v>
      </c>
      <c r="K3250" s="2">
        <f t="shared" si="224"/>
        <v>0</v>
      </c>
    </row>
    <row r="3251" spans="5:11">
      <c r="E3251" s="3" t="s">
        <v>2417</v>
      </c>
      <c r="F3251" s="3" t="s">
        <v>2421</v>
      </c>
      <c r="G3251" s="5" t="str">
        <f t="shared" si="222"/>
        <v>11-12</v>
      </c>
      <c r="H3251" s="1">
        <f>_xlfn.IFNA(VLOOKUP(Aragon!E3251,'Kilter Holds'!$P$36:$AB$370,5,0),0)</f>
        <v>0</v>
      </c>
      <c r="J3251" s="2">
        <f t="shared" ref="J3251:J3259" si="225">H3251*I3251</f>
        <v>0</v>
      </c>
      <c r="K3251" s="2">
        <f t="shared" ref="K3251:K3259" si="226">IF($V$11="Y",J3251*0.05,0)</f>
        <v>0</v>
      </c>
    </row>
    <row r="3252" spans="5:11">
      <c r="E3252" s="3" t="s">
        <v>2417</v>
      </c>
      <c r="F3252" s="3" t="s">
        <v>2421</v>
      </c>
      <c r="G3252" s="6" t="str">
        <f t="shared" si="222"/>
        <v>14-01</v>
      </c>
      <c r="H3252" s="1">
        <f>_xlfn.IFNA(VLOOKUP(Aragon!E3252,'Kilter Holds'!$P$36:$AB$370,6,0),0)</f>
        <v>0</v>
      </c>
      <c r="J3252" s="2">
        <f t="shared" si="225"/>
        <v>0</v>
      </c>
      <c r="K3252" s="2">
        <f t="shared" si="226"/>
        <v>0</v>
      </c>
    </row>
    <row r="3253" spans="5:11">
      <c r="E3253" s="3" t="s">
        <v>2417</v>
      </c>
      <c r="F3253" s="3" t="s">
        <v>2421</v>
      </c>
      <c r="G3253" s="7" t="str">
        <f t="shared" si="222"/>
        <v>15-12</v>
      </c>
      <c r="H3253" s="1">
        <f>_xlfn.IFNA(VLOOKUP(Aragon!E3253,'Kilter Holds'!$P$36:$AB$370,7,0),0)</f>
        <v>0</v>
      </c>
      <c r="J3253" s="2">
        <f t="shared" si="225"/>
        <v>0</v>
      </c>
      <c r="K3253" s="2">
        <f t="shared" si="226"/>
        <v>0</v>
      </c>
    </row>
    <row r="3254" spans="5:11">
      <c r="E3254" s="3" t="s">
        <v>2417</v>
      </c>
      <c r="F3254" s="3" t="s">
        <v>2421</v>
      </c>
      <c r="G3254" s="8" t="str">
        <f t="shared" si="222"/>
        <v>16-16</v>
      </c>
      <c r="H3254" s="1">
        <f>_xlfn.IFNA(VLOOKUP(Aragon!E3254,'Kilter Holds'!$P$36:$AB$370,8,0),0)</f>
        <v>0</v>
      </c>
      <c r="J3254" s="2">
        <f t="shared" si="225"/>
        <v>0</v>
      </c>
      <c r="K3254" s="2">
        <f t="shared" si="226"/>
        <v>0</v>
      </c>
    </row>
    <row r="3255" spans="5:11">
      <c r="E3255" s="3" t="s">
        <v>2417</v>
      </c>
      <c r="F3255" s="3" t="s">
        <v>2421</v>
      </c>
      <c r="G3255" s="9" t="str">
        <f t="shared" si="222"/>
        <v>13-01</v>
      </c>
      <c r="H3255" s="1">
        <f>_xlfn.IFNA(VLOOKUP(Aragon!E3255,'Kilter Holds'!$P$36:$AB$370,9,0),0)</f>
        <v>0</v>
      </c>
      <c r="J3255" s="2">
        <f t="shared" si="225"/>
        <v>0</v>
      </c>
      <c r="K3255" s="2">
        <f t="shared" si="226"/>
        <v>0</v>
      </c>
    </row>
    <row r="3256" spans="5:11">
      <c r="E3256" s="3" t="s">
        <v>2417</v>
      </c>
      <c r="F3256" s="3" t="s">
        <v>2421</v>
      </c>
      <c r="G3256" s="10" t="str">
        <f t="shared" si="222"/>
        <v>07-13</v>
      </c>
      <c r="H3256" s="1">
        <f>_xlfn.IFNA(VLOOKUP(Aragon!E3256,'Kilter Holds'!$P$36:$AB$370,10,0),0)</f>
        <v>0</v>
      </c>
      <c r="J3256" s="2">
        <f t="shared" si="225"/>
        <v>0</v>
      </c>
      <c r="K3256" s="2">
        <f t="shared" si="226"/>
        <v>0</v>
      </c>
    </row>
    <row r="3257" spans="5:11">
      <c r="E3257" s="3" t="s">
        <v>2417</v>
      </c>
      <c r="F3257" s="3" t="s">
        <v>2421</v>
      </c>
      <c r="G3257" s="11" t="str">
        <f t="shared" si="222"/>
        <v>11-25</v>
      </c>
      <c r="H3257" s="1">
        <f>_xlfn.IFNA(VLOOKUP(Aragon!E3257,'Kilter Holds'!$P$36:$AB$370,11,0),0)</f>
        <v>0</v>
      </c>
      <c r="J3257" s="2">
        <f t="shared" si="225"/>
        <v>0</v>
      </c>
      <c r="K3257" s="2">
        <f t="shared" si="226"/>
        <v>0</v>
      </c>
    </row>
    <row r="3258" spans="5:11">
      <c r="E3258" s="3" t="s">
        <v>2417</v>
      </c>
      <c r="F3258" s="3" t="s">
        <v>2421</v>
      </c>
      <c r="G3258" s="13" t="str">
        <f t="shared" si="222"/>
        <v>18-01</v>
      </c>
      <c r="H3258" s="1">
        <f>_xlfn.IFNA(VLOOKUP(Aragon!E3258,'Kilter Holds'!$P$36:$AB$370,12,0),0)</f>
        <v>0</v>
      </c>
      <c r="J3258" s="2">
        <f t="shared" si="225"/>
        <v>0</v>
      </c>
      <c r="K3258" s="2">
        <f t="shared" si="226"/>
        <v>0</v>
      </c>
    </row>
    <row r="3259" spans="5:11">
      <c r="E3259" s="3" t="s">
        <v>2417</v>
      </c>
      <c r="F3259" s="3" t="s">
        <v>2421</v>
      </c>
      <c r="G3259" s="12" t="str">
        <f t="shared" si="222"/>
        <v>12-01</v>
      </c>
      <c r="H3259" s="1">
        <f>_xlfn.IFNA(VLOOKUP(Aragon!E3259,'Kilter Holds'!$P$36:$AB$370,13,0),0)</f>
        <v>0</v>
      </c>
      <c r="J3259" s="2">
        <f t="shared" si="225"/>
        <v>0</v>
      </c>
      <c r="K3259" s="2">
        <f t="shared" si="226"/>
        <v>0</v>
      </c>
    </row>
    <row r="3260" spans="5:11">
      <c r="E3260" s="3" t="s">
        <v>2418</v>
      </c>
      <c r="F3260" s="3" t="s">
        <v>2422</v>
      </c>
      <c r="G3260" s="5" t="str">
        <f t="shared" si="222"/>
        <v>11-12</v>
      </c>
      <c r="H3260" s="1">
        <f>_xlfn.IFNA(VLOOKUP(Aragon!E3260,'Kilter Holds'!$P$36:$AB$370,5,0),0)</f>
        <v>0</v>
      </c>
      <c r="J3260" s="2">
        <f t="shared" ref="J3260:J3286" si="227">H3260*I3260</f>
        <v>0</v>
      </c>
      <c r="K3260" s="2">
        <f t="shared" ref="K3260:K3286" si="228">IF($V$11="Y",J3260*0.05,0)</f>
        <v>0</v>
      </c>
    </row>
    <row r="3261" spans="5:11">
      <c r="E3261" s="3" t="s">
        <v>2418</v>
      </c>
      <c r="F3261" s="3" t="s">
        <v>2422</v>
      </c>
      <c r="G3261" s="6" t="str">
        <f t="shared" si="222"/>
        <v>14-01</v>
      </c>
      <c r="H3261" s="1">
        <f>_xlfn.IFNA(VLOOKUP(Aragon!E3261,'Kilter Holds'!$P$36:$AB$370,6,0),0)</f>
        <v>0</v>
      </c>
      <c r="J3261" s="2">
        <f t="shared" si="227"/>
        <v>0</v>
      </c>
      <c r="K3261" s="2">
        <f t="shared" si="228"/>
        <v>0</v>
      </c>
    </row>
    <row r="3262" spans="5:11">
      <c r="E3262" s="3" t="s">
        <v>2418</v>
      </c>
      <c r="F3262" s="3" t="s">
        <v>2422</v>
      </c>
      <c r="G3262" s="7" t="str">
        <f t="shared" si="222"/>
        <v>15-12</v>
      </c>
      <c r="H3262" s="1">
        <f>_xlfn.IFNA(VLOOKUP(Aragon!E3262,'Kilter Holds'!$P$36:$AB$370,7,0),0)</f>
        <v>0</v>
      </c>
      <c r="J3262" s="2">
        <f t="shared" si="227"/>
        <v>0</v>
      </c>
      <c r="K3262" s="2">
        <f t="shared" si="228"/>
        <v>0</v>
      </c>
    </row>
    <row r="3263" spans="5:11">
      <c r="E3263" s="3" t="s">
        <v>2418</v>
      </c>
      <c r="F3263" s="3" t="s">
        <v>2422</v>
      </c>
      <c r="G3263" s="8" t="str">
        <f t="shared" si="222"/>
        <v>16-16</v>
      </c>
      <c r="H3263" s="1">
        <f>_xlfn.IFNA(VLOOKUP(Aragon!E3263,'Kilter Holds'!$P$36:$AB$370,8,0),0)</f>
        <v>0</v>
      </c>
      <c r="J3263" s="2">
        <f t="shared" si="227"/>
        <v>0</v>
      </c>
      <c r="K3263" s="2">
        <f t="shared" si="228"/>
        <v>0</v>
      </c>
    </row>
    <row r="3264" spans="5:11">
      <c r="E3264" s="3" t="s">
        <v>2418</v>
      </c>
      <c r="F3264" s="3" t="s">
        <v>2422</v>
      </c>
      <c r="G3264" s="9" t="str">
        <f t="shared" si="222"/>
        <v>13-01</v>
      </c>
      <c r="H3264" s="1">
        <f>_xlfn.IFNA(VLOOKUP(Aragon!E3264,'Kilter Holds'!$P$36:$AB$370,9,0),0)</f>
        <v>0</v>
      </c>
      <c r="J3264" s="2">
        <f t="shared" si="227"/>
        <v>0</v>
      </c>
      <c r="K3264" s="2">
        <f t="shared" si="228"/>
        <v>0</v>
      </c>
    </row>
    <row r="3265" spans="5:11">
      <c r="E3265" s="3" t="s">
        <v>2418</v>
      </c>
      <c r="F3265" s="3" t="s">
        <v>2422</v>
      </c>
      <c r="G3265" s="10" t="str">
        <f t="shared" si="222"/>
        <v>07-13</v>
      </c>
      <c r="H3265" s="1">
        <f>_xlfn.IFNA(VLOOKUP(Aragon!E3265,'Kilter Holds'!$P$36:$AB$370,10,0),0)</f>
        <v>0</v>
      </c>
      <c r="J3265" s="2">
        <f t="shared" si="227"/>
        <v>0</v>
      </c>
      <c r="K3265" s="2">
        <f t="shared" si="228"/>
        <v>0</v>
      </c>
    </row>
    <row r="3266" spans="5:11">
      <c r="E3266" s="3" t="s">
        <v>2418</v>
      </c>
      <c r="F3266" s="3" t="s">
        <v>2422</v>
      </c>
      <c r="G3266" s="11" t="str">
        <f t="shared" si="222"/>
        <v>11-25</v>
      </c>
      <c r="H3266" s="1">
        <f>_xlfn.IFNA(VLOOKUP(Aragon!E3266,'Kilter Holds'!$P$36:$AB$370,11,0),0)</f>
        <v>0</v>
      </c>
      <c r="J3266" s="2">
        <f t="shared" si="227"/>
        <v>0</v>
      </c>
      <c r="K3266" s="2">
        <f t="shared" si="228"/>
        <v>0</v>
      </c>
    </row>
    <row r="3267" spans="5:11">
      <c r="E3267" s="3" t="s">
        <v>2418</v>
      </c>
      <c r="F3267" s="3" t="s">
        <v>2422</v>
      </c>
      <c r="G3267" s="13" t="str">
        <f t="shared" si="222"/>
        <v>18-01</v>
      </c>
      <c r="H3267" s="1">
        <f>_xlfn.IFNA(VLOOKUP(Aragon!E3267,'Kilter Holds'!$P$36:$AB$370,12,0),0)</f>
        <v>0</v>
      </c>
      <c r="J3267" s="2">
        <f t="shared" si="227"/>
        <v>0</v>
      </c>
      <c r="K3267" s="2">
        <f t="shared" si="228"/>
        <v>0</v>
      </c>
    </row>
    <row r="3268" spans="5:11">
      <c r="E3268" s="3" t="s">
        <v>2418</v>
      </c>
      <c r="F3268" s="3" t="s">
        <v>2422</v>
      </c>
      <c r="G3268" s="12" t="str">
        <f t="shared" si="222"/>
        <v>12-01</v>
      </c>
      <c r="H3268" s="1">
        <f>_xlfn.IFNA(VLOOKUP(Aragon!E3268,'Kilter Holds'!$P$36:$AB$370,13,0),0)</f>
        <v>0</v>
      </c>
      <c r="J3268" s="2">
        <f t="shared" si="227"/>
        <v>0</v>
      </c>
      <c r="K3268" s="2">
        <f t="shared" si="228"/>
        <v>0</v>
      </c>
    </row>
    <row r="3269" spans="5:11">
      <c r="E3269" s="3" t="s">
        <v>2419</v>
      </c>
      <c r="F3269" s="3" t="s">
        <v>2423</v>
      </c>
      <c r="G3269" s="5" t="str">
        <f t="shared" si="222"/>
        <v>11-12</v>
      </c>
      <c r="H3269" s="1">
        <f>_xlfn.IFNA(VLOOKUP(Aragon!E3269,'Kilter Holds'!$P$36:$AB$370,5,0),0)</f>
        <v>0</v>
      </c>
      <c r="J3269" s="2">
        <f t="shared" si="227"/>
        <v>0</v>
      </c>
      <c r="K3269" s="2">
        <f t="shared" si="228"/>
        <v>0</v>
      </c>
    </row>
    <row r="3270" spans="5:11">
      <c r="E3270" s="3" t="s">
        <v>2419</v>
      </c>
      <c r="F3270" s="3" t="s">
        <v>2423</v>
      </c>
      <c r="G3270" s="6" t="str">
        <f t="shared" ref="G3270:G3286" si="229">G3225</f>
        <v>14-01</v>
      </c>
      <c r="H3270" s="1">
        <f>_xlfn.IFNA(VLOOKUP(Aragon!E3270,'Kilter Holds'!$P$36:$AB$370,6,0),0)</f>
        <v>0</v>
      </c>
      <c r="J3270" s="2">
        <f t="shared" si="227"/>
        <v>0</v>
      </c>
      <c r="K3270" s="2">
        <f t="shared" si="228"/>
        <v>0</v>
      </c>
    </row>
    <row r="3271" spans="5:11">
      <c r="E3271" s="3" t="s">
        <v>2419</v>
      </c>
      <c r="F3271" s="3" t="s">
        <v>2423</v>
      </c>
      <c r="G3271" s="7" t="str">
        <f t="shared" si="229"/>
        <v>15-12</v>
      </c>
      <c r="H3271" s="1">
        <f>_xlfn.IFNA(VLOOKUP(Aragon!E3271,'Kilter Holds'!$P$36:$AB$370,7,0),0)</f>
        <v>0</v>
      </c>
      <c r="J3271" s="2">
        <f t="shared" si="227"/>
        <v>0</v>
      </c>
      <c r="K3271" s="2">
        <f t="shared" si="228"/>
        <v>0</v>
      </c>
    </row>
    <row r="3272" spans="5:11">
      <c r="E3272" s="3" t="s">
        <v>2419</v>
      </c>
      <c r="F3272" s="3" t="s">
        <v>2423</v>
      </c>
      <c r="G3272" s="8" t="str">
        <f t="shared" si="229"/>
        <v>16-16</v>
      </c>
      <c r="H3272" s="1">
        <f>_xlfn.IFNA(VLOOKUP(Aragon!E3272,'Kilter Holds'!$P$36:$AB$370,8,0),0)</f>
        <v>0</v>
      </c>
      <c r="J3272" s="2">
        <f t="shared" si="227"/>
        <v>0</v>
      </c>
      <c r="K3272" s="2">
        <f t="shared" si="228"/>
        <v>0</v>
      </c>
    </row>
    <row r="3273" spans="5:11">
      <c r="E3273" s="3" t="s">
        <v>2419</v>
      </c>
      <c r="F3273" s="3" t="s">
        <v>2423</v>
      </c>
      <c r="G3273" s="9" t="str">
        <f t="shared" si="229"/>
        <v>13-01</v>
      </c>
      <c r="H3273" s="1">
        <f>_xlfn.IFNA(VLOOKUP(Aragon!E3273,'Kilter Holds'!$P$36:$AB$370,9,0),0)</f>
        <v>0</v>
      </c>
      <c r="J3273" s="2">
        <f t="shared" si="227"/>
        <v>0</v>
      </c>
      <c r="K3273" s="2">
        <f t="shared" si="228"/>
        <v>0</v>
      </c>
    </row>
    <row r="3274" spans="5:11">
      <c r="E3274" s="3" t="s">
        <v>2419</v>
      </c>
      <c r="F3274" s="3" t="s">
        <v>2423</v>
      </c>
      <c r="G3274" s="10" t="str">
        <f t="shared" si="229"/>
        <v>07-13</v>
      </c>
      <c r="H3274" s="1">
        <f>_xlfn.IFNA(VLOOKUP(Aragon!E3274,'Kilter Holds'!$P$36:$AB$370,10,0),0)</f>
        <v>0</v>
      </c>
      <c r="J3274" s="2">
        <f t="shared" si="227"/>
        <v>0</v>
      </c>
      <c r="K3274" s="2">
        <f t="shared" si="228"/>
        <v>0</v>
      </c>
    </row>
    <row r="3275" spans="5:11">
      <c r="E3275" s="3" t="s">
        <v>2419</v>
      </c>
      <c r="F3275" s="3" t="s">
        <v>2423</v>
      </c>
      <c r="G3275" s="11" t="str">
        <f t="shared" si="229"/>
        <v>11-25</v>
      </c>
      <c r="H3275" s="1">
        <f>_xlfn.IFNA(VLOOKUP(Aragon!E3275,'Kilter Holds'!$P$36:$AB$370,11,0),0)</f>
        <v>0</v>
      </c>
      <c r="J3275" s="2">
        <f t="shared" si="227"/>
        <v>0</v>
      </c>
      <c r="K3275" s="2">
        <f t="shared" si="228"/>
        <v>0</v>
      </c>
    </row>
    <row r="3276" spans="5:11">
      <c r="E3276" s="3" t="s">
        <v>2419</v>
      </c>
      <c r="F3276" s="3" t="s">
        <v>2423</v>
      </c>
      <c r="G3276" s="13" t="str">
        <f t="shared" si="229"/>
        <v>18-01</v>
      </c>
      <c r="H3276" s="1">
        <f>_xlfn.IFNA(VLOOKUP(Aragon!E3276,'Kilter Holds'!$P$36:$AB$370,12,0),0)</f>
        <v>0</v>
      </c>
      <c r="J3276" s="2">
        <f t="shared" si="227"/>
        <v>0</v>
      </c>
      <c r="K3276" s="2">
        <f t="shared" si="228"/>
        <v>0</v>
      </c>
    </row>
    <row r="3277" spans="5:11">
      <c r="E3277" s="3" t="s">
        <v>2419</v>
      </c>
      <c r="F3277" s="3" t="s">
        <v>2423</v>
      </c>
      <c r="G3277" s="12" t="str">
        <f t="shared" si="229"/>
        <v>12-01</v>
      </c>
      <c r="H3277" s="1">
        <f>_xlfn.IFNA(VLOOKUP(Aragon!E3277,'Kilter Holds'!$P$36:$AB$370,13,0),0)</f>
        <v>0</v>
      </c>
      <c r="J3277" s="2">
        <f t="shared" si="227"/>
        <v>0</v>
      </c>
      <c r="K3277" s="2">
        <f t="shared" si="228"/>
        <v>0</v>
      </c>
    </row>
    <row r="3278" spans="5:11">
      <c r="E3278" s="3" t="s">
        <v>2420</v>
      </c>
      <c r="F3278" s="3" t="s">
        <v>2424</v>
      </c>
      <c r="G3278" s="5" t="str">
        <f t="shared" si="229"/>
        <v>11-12</v>
      </c>
      <c r="H3278" s="1">
        <f>_xlfn.IFNA(VLOOKUP(Aragon!E3278,'Kilter Holds'!$P$36:$AB$370,5,0),0)</f>
        <v>0</v>
      </c>
      <c r="J3278" s="2">
        <f t="shared" si="227"/>
        <v>0</v>
      </c>
      <c r="K3278" s="2">
        <f t="shared" si="228"/>
        <v>0</v>
      </c>
    </row>
    <row r="3279" spans="5:11">
      <c r="E3279" s="3" t="s">
        <v>2420</v>
      </c>
      <c r="F3279" s="3" t="s">
        <v>2424</v>
      </c>
      <c r="G3279" s="6" t="str">
        <f t="shared" si="229"/>
        <v>14-01</v>
      </c>
      <c r="H3279" s="1">
        <f>_xlfn.IFNA(VLOOKUP(Aragon!E3279,'Kilter Holds'!$P$36:$AB$370,6,0),0)</f>
        <v>0</v>
      </c>
      <c r="J3279" s="2">
        <f t="shared" si="227"/>
        <v>0</v>
      </c>
      <c r="K3279" s="2">
        <f t="shared" si="228"/>
        <v>0</v>
      </c>
    </row>
    <row r="3280" spans="5:11">
      <c r="E3280" s="3" t="s">
        <v>2420</v>
      </c>
      <c r="F3280" s="3" t="s">
        <v>2424</v>
      </c>
      <c r="G3280" s="7" t="str">
        <f t="shared" si="229"/>
        <v>15-12</v>
      </c>
      <c r="H3280" s="1">
        <f>_xlfn.IFNA(VLOOKUP(Aragon!E3280,'Kilter Holds'!$P$36:$AB$370,7,0),0)</f>
        <v>0</v>
      </c>
      <c r="J3280" s="2">
        <f t="shared" si="227"/>
        <v>0</v>
      </c>
      <c r="K3280" s="2">
        <f t="shared" si="228"/>
        <v>0</v>
      </c>
    </row>
    <row r="3281" spans="5:11">
      <c r="E3281" s="3" t="s">
        <v>2420</v>
      </c>
      <c r="F3281" s="3" t="s">
        <v>2424</v>
      </c>
      <c r="G3281" s="8" t="str">
        <f t="shared" si="229"/>
        <v>16-16</v>
      </c>
      <c r="H3281" s="1">
        <f>_xlfn.IFNA(VLOOKUP(Aragon!E3281,'Kilter Holds'!$P$36:$AB$370,8,0),0)</f>
        <v>0</v>
      </c>
      <c r="J3281" s="2">
        <f t="shared" si="227"/>
        <v>0</v>
      </c>
      <c r="K3281" s="2">
        <f t="shared" si="228"/>
        <v>0</v>
      </c>
    </row>
    <row r="3282" spans="5:11">
      <c r="E3282" s="3" t="s">
        <v>2420</v>
      </c>
      <c r="F3282" s="3" t="s">
        <v>2424</v>
      </c>
      <c r="G3282" s="9" t="str">
        <f t="shared" si="229"/>
        <v>13-01</v>
      </c>
      <c r="H3282" s="1">
        <f>_xlfn.IFNA(VLOOKUP(Aragon!E3282,'Kilter Holds'!$P$36:$AB$370,9,0),0)</f>
        <v>0</v>
      </c>
      <c r="J3282" s="2">
        <f t="shared" si="227"/>
        <v>0</v>
      </c>
      <c r="K3282" s="2">
        <f t="shared" si="228"/>
        <v>0</v>
      </c>
    </row>
    <row r="3283" spans="5:11">
      <c r="E3283" s="3" t="s">
        <v>2420</v>
      </c>
      <c r="F3283" s="3" t="s">
        <v>2424</v>
      </c>
      <c r="G3283" s="10" t="str">
        <f t="shared" si="229"/>
        <v>07-13</v>
      </c>
      <c r="H3283" s="1">
        <f>_xlfn.IFNA(VLOOKUP(Aragon!E3283,'Kilter Holds'!$P$36:$AB$370,10,0),0)</f>
        <v>0</v>
      </c>
      <c r="J3283" s="2">
        <f t="shared" si="227"/>
        <v>0</v>
      </c>
      <c r="K3283" s="2">
        <f t="shared" si="228"/>
        <v>0</v>
      </c>
    </row>
    <row r="3284" spans="5:11">
      <c r="E3284" s="3" t="s">
        <v>2420</v>
      </c>
      <c r="F3284" s="3" t="s">
        <v>2424</v>
      </c>
      <c r="G3284" s="11" t="str">
        <f t="shared" si="229"/>
        <v>11-25</v>
      </c>
      <c r="H3284" s="1">
        <f>_xlfn.IFNA(VLOOKUP(Aragon!E3284,'Kilter Holds'!$P$36:$AB$370,11,0),0)</f>
        <v>0</v>
      </c>
      <c r="J3284" s="2">
        <f t="shared" si="227"/>
        <v>0</v>
      </c>
      <c r="K3284" s="2">
        <f t="shared" si="228"/>
        <v>0</v>
      </c>
    </row>
    <row r="3285" spans="5:11">
      <c r="E3285" s="3" t="s">
        <v>2420</v>
      </c>
      <c r="F3285" s="3" t="s">
        <v>2424</v>
      </c>
      <c r="G3285" s="13" t="str">
        <f t="shared" si="229"/>
        <v>18-01</v>
      </c>
      <c r="H3285" s="1">
        <f>_xlfn.IFNA(VLOOKUP(Aragon!E3285,'Kilter Holds'!$P$36:$AB$370,12,0),0)</f>
        <v>0</v>
      </c>
      <c r="J3285" s="2">
        <f t="shared" si="227"/>
        <v>0</v>
      </c>
      <c r="K3285" s="2">
        <f t="shared" si="228"/>
        <v>0</v>
      </c>
    </row>
    <row r="3286" spans="5:11">
      <c r="E3286" s="3" t="s">
        <v>2420</v>
      </c>
      <c r="F3286" s="3" t="s">
        <v>2424</v>
      </c>
      <c r="G3286" s="12" t="str">
        <f t="shared" si="229"/>
        <v>12-01</v>
      </c>
      <c r="H3286" s="1">
        <f>_xlfn.IFNA(VLOOKUP(Aragon!E3286,'Kilter Holds'!$P$36:$AB$370,13,0),0)</f>
        <v>0</v>
      </c>
      <c r="J3286" s="2">
        <f t="shared" si="227"/>
        <v>0</v>
      </c>
      <c r="K3286" s="2">
        <f t="shared" si="228"/>
        <v>0</v>
      </c>
    </row>
    <row r="3287" spans="5:11">
      <c r="E3287" s="3" t="s">
        <v>2308</v>
      </c>
      <c r="F3287" s="3" t="s">
        <v>2309</v>
      </c>
      <c r="G3287" s="5" t="str">
        <f t="shared" ref="G3287:G3331" si="230">G3206</f>
        <v>11-12</v>
      </c>
      <c r="H3287" s="1">
        <f>_xlfn.IFNA(VLOOKUP(Aragon!E3287,'Kilter Holds'!$P$36:$AB$370,5,0),0)</f>
        <v>0</v>
      </c>
      <c r="J3287" s="2">
        <f t="shared" ref="J3287:J3304" si="231">H3287*I3287</f>
        <v>0</v>
      </c>
      <c r="K3287" s="2">
        <f t="shared" ref="K3287:K3304" si="232">IF($V$11="Y",J3287*0.05,0)</f>
        <v>0</v>
      </c>
    </row>
    <row r="3288" spans="5:11">
      <c r="E3288" s="3" t="s">
        <v>2308</v>
      </c>
      <c r="F3288" s="3" t="s">
        <v>2309</v>
      </c>
      <c r="G3288" s="6" t="str">
        <f t="shared" si="230"/>
        <v>14-01</v>
      </c>
      <c r="H3288" s="1">
        <f>_xlfn.IFNA(VLOOKUP(Aragon!E3288,'Kilter Holds'!$P$36:$AB$370,6,0),0)</f>
        <v>0</v>
      </c>
      <c r="J3288" s="2">
        <f t="shared" si="231"/>
        <v>0</v>
      </c>
      <c r="K3288" s="2">
        <f t="shared" si="232"/>
        <v>0</v>
      </c>
    </row>
    <row r="3289" spans="5:11">
      <c r="E3289" s="3" t="s">
        <v>2308</v>
      </c>
      <c r="F3289" s="3" t="s">
        <v>2309</v>
      </c>
      <c r="G3289" s="7" t="str">
        <f t="shared" si="230"/>
        <v>15-12</v>
      </c>
      <c r="H3289" s="1">
        <f>_xlfn.IFNA(VLOOKUP(Aragon!E3289,'Kilter Holds'!$P$36:$AB$370,7,0),0)</f>
        <v>0</v>
      </c>
      <c r="J3289" s="2">
        <f t="shared" si="231"/>
        <v>0</v>
      </c>
      <c r="K3289" s="2">
        <f t="shared" si="232"/>
        <v>0</v>
      </c>
    </row>
    <row r="3290" spans="5:11">
      <c r="E3290" s="3" t="s">
        <v>2308</v>
      </c>
      <c r="F3290" s="3" t="s">
        <v>2309</v>
      </c>
      <c r="G3290" s="8" t="str">
        <f t="shared" si="230"/>
        <v>16-16</v>
      </c>
      <c r="H3290" s="1">
        <f>_xlfn.IFNA(VLOOKUP(Aragon!E3290,'Kilter Holds'!$P$36:$AB$370,8,0),0)</f>
        <v>0</v>
      </c>
      <c r="J3290" s="2">
        <f t="shared" si="231"/>
        <v>0</v>
      </c>
      <c r="K3290" s="2">
        <f t="shared" si="232"/>
        <v>0</v>
      </c>
    </row>
    <row r="3291" spans="5:11">
      <c r="E3291" s="3" t="s">
        <v>2308</v>
      </c>
      <c r="F3291" s="3" t="s">
        <v>2309</v>
      </c>
      <c r="G3291" s="9" t="str">
        <f t="shared" si="230"/>
        <v>13-01</v>
      </c>
      <c r="H3291" s="1">
        <f>_xlfn.IFNA(VLOOKUP(Aragon!E3291,'Kilter Holds'!$P$36:$AB$370,9,0),0)</f>
        <v>0</v>
      </c>
      <c r="J3291" s="2">
        <f t="shared" si="231"/>
        <v>0</v>
      </c>
      <c r="K3291" s="2">
        <f t="shared" si="232"/>
        <v>0</v>
      </c>
    </row>
    <row r="3292" spans="5:11">
      <c r="E3292" s="3" t="s">
        <v>2308</v>
      </c>
      <c r="F3292" s="3" t="s">
        <v>2309</v>
      </c>
      <c r="G3292" s="10" t="str">
        <f t="shared" si="230"/>
        <v>07-13</v>
      </c>
      <c r="H3292" s="1">
        <f>_xlfn.IFNA(VLOOKUP(Aragon!E3292,'Kilter Holds'!$P$36:$AB$370,10,0),0)</f>
        <v>0</v>
      </c>
      <c r="J3292" s="2">
        <f t="shared" si="231"/>
        <v>0</v>
      </c>
      <c r="K3292" s="2">
        <f t="shared" si="232"/>
        <v>0</v>
      </c>
    </row>
    <row r="3293" spans="5:11">
      <c r="E3293" s="3" t="s">
        <v>2308</v>
      </c>
      <c r="F3293" s="3" t="s">
        <v>2309</v>
      </c>
      <c r="G3293" s="11" t="str">
        <f t="shared" si="230"/>
        <v>11-25</v>
      </c>
      <c r="H3293" s="1">
        <f>_xlfn.IFNA(VLOOKUP(Aragon!E3293,'Kilter Holds'!$P$36:$AB$370,11,0),0)</f>
        <v>0</v>
      </c>
      <c r="J3293" s="2">
        <f t="shared" si="231"/>
        <v>0</v>
      </c>
      <c r="K3293" s="2">
        <f t="shared" si="232"/>
        <v>0</v>
      </c>
    </row>
    <row r="3294" spans="5:11">
      <c r="E3294" s="3" t="s">
        <v>2308</v>
      </c>
      <c r="F3294" s="3" t="s">
        <v>2309</v>
      </c>
      <c r="G3294" s="13" t="str">
        <f t="shared" si="230"/>
        <v>18-01</v>
      </c>
      <c r="H3294" s="1">
        <f>_xlfn.IFNA(VLOOKUP(Aragon!E3294,'Kilter Holds'!$P$36:$AB$370,12,0),0)</f>
        <v>0</v>
      </c>
      <c r="J3294" s="2">
        <f t="shared" si="231"/>
        <v>0</v>
      </c>
      <c r="K3294" s="2">
        <f t="shared" si="232"/>
        <v>0</v>
      </c>
    </row>
    <row r="3295" spans="5:11">
      <c r="E3295" s="3" t="s">
        <v>2308</v>
      </c>
      <c r="F3295" s="3" t="s">
        <v>2309</v>
      </c>
      <c r="G3295" s="12" t="str">
        <f t="shared" si="230"/>
        <v>12-01</v>
      </c>
      <c r="H3295" s="1">
        <f>_xlfn.IFNA(VLOOKUP(Aragon!E3295,'Kilter Holds'!$P$36:$AB$370,13,0),0)</f>
        <v>0</v>
      </c>
      <c r="J3295" s="2">
        <f t="shared" si="231"/>
        <v>0</v>
      </c>
      <c r="K3295" s="2">
        <f t="shared" si="232"/>
        <v>0</v>
      </c>
    </row>
    <row r="3296" spans="5:11">
      <c r="E3296" s="3" t="s">
        <v>2310</v>
      </c>
      <c r="F3296" s="3" t="s">
        <v>2311</v>
      </c>
      <c r="G3296" s="5" t="str">
        <f t="shared" si="230"/>
        <v>11-12</v>
      </c>
      <c r="H3296" s="1">
        <f>_xlfn.IFNA(VLOOKUP(Aragon!E3296,'Kilter Holds'!$P$36:$AB$370,5,0),0)</f>
        <v>0</v>
      </c>
      <c r="J3296" s="2">
        <f t="shared" si="231"/>
        <v>0</v>
      </c>
      <c r="K3296" s="2">
        <f t="shared" si="232"/>
        <v>0</v>
      </c>
    </row>
    <row r="3297" spans="5:11">
      <c r="E3297" s="3" t="s">
        <v>2310</v>
      </c>
      <c r="F3297" s="3" t="s">
        <v>2311</v>
      </c>
      <c r="G3297" s="6" t="str">
        <f t="shared" si="230"/>
        <v>14-01</v>
      </c>
      <c r="H3297" s="1">
        <f>_xlfn.IFNA(VLOOKUP(Aragon!E3297,'Kilter Holds'!$P$36:$AB$370,6,0),0)</f>
        <v>0</v>
      </c>
      <c r="J3297" s="2">
        <f t="shared" si="231"/>
        <v>0</v>
      </c>
      <c r="K3297" s="2">
        <f t="shared" si="232"/>
        <v>0</v>
      </c>
    </row>
    <row r="3298" spans="5:11">
      <c r="E3298" s="3" t="s">
        <v>2310</v>
      </c>
      <c r="F3298" s="3" t="s">
        <v>2311</v>
      </c>
      <c r="G3298" s="7" t="str">
        <f t="shared" si="230"/>
        <v>15-12</v>
      </c>
      <c r="H3298" s="1">
        <f>_xlfn.IFNA(VLOOKUP(Aragon!E3298,'Kilter Holds'!$P$36:$AB$370,7,0),0)</f>
        <v>0</v>
      </c>
      <c r="J3298" s="2">
        <f t="shared" si="231"/>
        <v>0</v>
      </c>
      <c r="K3298" s="2">
        <f t="shared" si="232"/>
        <v>0</v>
      </c>
    </row>
    <row r="3299" spans="5:11">
      <c r="E3299" s="3" t="s">
        <v>2310</v>
      </c>
      <c r="F3299" s="3" t="s">
        <v>2311</v>
      </c>
      <c r="G3299" s="8" t="str">
        <f t="shared" si="230"/>
        <v>16-16</v>
      </c>
      <c r="H3299" s="1">
        <f>_xlfn.IFNA(VLOOKUP(Aragon!E3299,'Kilter Holds'!$P$36:$AB$370,8,0),0)</f>
        <v>0</v>
      </c>
      <c r="J3299" s="2">
        <f t="shared" si="231"/>
        <v>0</v>
      </c>
      <c r="K3299" s="2">
        <f t="shared" si="232"/>
        <v>0</v>
      </c>
    </row>
    <row r="3300" spans="5:11">
      <c r="E3300" s="3" t="s">
        <v>2310</v>
      </c>
      <c r="F3300" s="3" t="s">
        <v>2311</v>
      </c>
      <c r="G3300" s="9" t="str">
        <f t="shared" si="230"/>
        <v>13-01</v>
      </c>
      <c r="H3300" s="1">
        <f>_xlfn.IFNA(VLOOKUP(Aragon!E3300,'Kilter Holds'!$P$36:$AB$370,9,0),0)</f>
        <v>0</v>
      </c>
      <c r="J3300" s="2">
        <f t="shared" si="231"/>
        <v>0</v>
      </c>
      <c r="K3300" s="2">
        <f t="shared" si="232"/>
        <v>0</v>
      </c>
    </row>
    <row r="3301" spans="5:11">
      <c r="E3301" s="3" t="s">
        <v>2310</v>
      </c>
      <c r="F3301" s="3" t="s">
        <v>2311</v>
      </c>
      <c r="G3301" s="10" t="str">
        <f t="shared" si="230"/>
        <v>07-13</v>
      </c>
      <c r="H3301" s="1">
        <f>_xlfn.IFNA(VLOOKUP(Aragon!E3301,'Kilter Holds'!$P$36:$AB$370,10,0),0)</f>
        <v>0</v>
      </c>
      <c r="J3301" s="2">
        <f t="shared" si="231"/>
        <v>0</v>
      </c>
      <c r="K3301" s="2">
        <f t="shared" si="232"/>
        <v>0</v>
      </c>
    </row>
    <row r="3302" spans="5:11">
      <c r="E3302" s="3" t="s">
        <v>2310</v>
      </c>
      <c r="F3302" s="3" t="s">
        <v>2311</v>
      </c>
      <c r="G3302" s="11" t="str">
        <f t="shared" si="230"/>
        <v>11-25</v>
      </c>
      <c r="H3302" s="1">
        <f>_xlfn.IFNA(VLOOKUP(Aragon!E3302,'Kilter Holds'!$P$36:$AB$370,11,0),0)</f>
        <v>0</v>
      </c>
      <c r="J3302" s="2">
        <f t="shared" si="231"/>
        <v>0</v>
      </c>
      <c r="K3302" s="2">
        <f t="shared" si="232"/>
        <v>0</v>
      </c>
    </row>
    <row r="3303" spans="5:11">
      <c r="E3303" s="3" t="s">
        <v>2310</v>
      </c>
      <c r="F3303" s="3" t="s">
        <v>2311</v>
      </c>
      <c r="G3303" s="13" t="str">
        <f t="shared" si="230"/>
        <v>18-01</v>
      </c>
      <c r="H3303" s="1">
        <f>_xlfn.IFNA(VLOOKUP(Aragon!E3303,'Kilter Holds'!$P$36:$AB$370,12,0),0)</f>
        <v>0</v>
      </c>
      <c r="J3303" s="2">
        <f t="shared" si="231"/>
        <v>0</v>
      </c>
      <c r="K3303" s="2">
        <f t="shared" si="232"/>
        <v>0</v>
      </c>
    </row>
    <row r="3304" spans="5:11">
      <c r="E3304" s="3" t="s">
        <v>2310</v>
      </c>
      <c r="F3304" s="3" t="s">
        <v>2311</v>
      </c>
      <c r="G3304" s="12" t="str">
        <f t="shared" si="230"/>
        <v>12-01</v>
      </c>
      <c r="H3304" s="1">
        <f>_xlfn.IFNA(VLOOKUP(Aragon!E3304,'Kilter Holds'!$P$36:$AB$370,13,0),0)</f>
        <v>0</v>
      </c>
      <c r="J3304" s="2">
        <f t="shared" si="231"/>
        <v>0</v>
      </c>
      <c r="K3304" s="2">
        <f t="shared" si="232"/>
        <v>0</v>
      </c>
    </row>
    <row r="3305" spans="5:11">
      <c r="E3305" s="3" t="s">
        <v>2338</v>
      </c>
      <c r="F3305" s="3" t="s">
        <v>2339</v>
      </c>
      <c r="G3305" s="5" t="str">
        <f t="shared" si="230"/>
        <v>11-12</v>
      </c>
      <c r="H3305" s="1">
        <f>_xlfn.IFNA(VLOOKUP(Aragon!E3305,'Kilter Holds'!$P$36:$AB$370,5,0),0)</f>
        <v>0</v>
      </c>
      <c r="J3305" s="2">
        <f t="shared" ref="J3305:J3349" si="233">H3305*I3305</f>
        <v>0</v>
      </c>
      <c r="K3305" s="2">
        <f t="shared" ref="K3305:K3349" si="234">IF($V$11="Y",J3305*0.05,0)</f>
        <v>0</v>
      </c>
    </row>
    <row r="3306" spans="5:11">
      <c r="E3306" s="3" t="s">
        <v>2338</v>
      </c>
      <c r="F3306" s="3" t="s">
        <v>2339</v>
      </c>
      <c r="G3306" s="6" t="str">
        <f t="shared" si="230"/>
        <v>14-01</v>
      </c>
      <c r="H3306" s="1">
        <f>_xlfn.IFNA(VLOOKUP(Aragon!E3306,'Kilter Holds'!$P$36:$AB$370,6,0),0)</f>
        <v>0</v>
      </c>
      <c r="J3306" s="2">
        <f t="shared" si="233"/>
        <v>0</v>
      </c>
      <c r="K3306" s="2">
        <f t="shared" si="234"/>
        <v>0</v>
      </c>
    </row>
    <row r="3307" spans="5:11">
      <c r="E3307" s="3" t="s">
        <v>2338</v>
      </c>
      <c r="F3307" s="3" t="s">
        <v>2339</v>
      </c>
      <c r="G3307" s="7" t="str">
        <f t="shared" si="230"/>
        <v>15-12</v>
      </c>
      <c r="H3307" s="1">
        <f>_xlfn.IFNA(VLOOKUP(Aragon!E3307,'Kilter Holds'!$P$36:$AB$370,7,0),0)</f>
        <v>0</v>
      </c>
      <c r="J3307" s="2">
        <f t="shared" si="233"/>
        <v>0</v>
      </c>
      <c r="K3307" s="2">
        <f t="shared" si="234"/>
        <v>0</v>
      </c>
    </row>
    <row r="3308" spans="5:11">
      <c r="E3308" s="3" t="s">
        <v>2338</v>
      </c>
      <c r="F3308" s="3" t="s">
        <v>2339</v>
      </c>
      <c r="G3308" s="8" t="str">
        <f t="shared" si="230"/>
        <v>16-16</v>
      </c>
      <c r="H3308" s="1">
        <f>_xlfn.IFNA(VLOOKUP(Aragon!E3308,'Kilter Holds'!$P$36:$AB$370,8,0),0)</f>
        <v>0</v>
      </c>
      <c r="J3308" s="2">
        <f t="shared" si="233"/>
        <v>0</v>
      </c>
      <c r="K3308" s="2">
        <f t="shared" si="234"/>
        <v>0</v>
      </c>
    </row>
    <row r="3309" spans="5:11">
      <c r="E3309" s="3" t="s">
        <v>2338</v>
      </c>
      <c r="F3309" s="3" t="s">
        <v>2339</v>
      </c>
      <c r="G3309" s="9" t="str">
        <f t="shared" si="230"/>
        <v>13-01</v>
      </c>
      <c r="H3309" s="1">
        <f>_xlfn.IFNA(VLOOKUP(Aragon!E3309,'Kilter Holds'!$P$36:$AB$370,9,0),0)</f>
        <v>0</v>
      </c>
      <c r="J3309" s="2">
        <f t="shared" si="233"/>
        <v>0</v>
      </c>
      <c r="K3309" s="2">
        <f t="shared" si="234"/>
        <v>0</v>
      </c>
    </row>
    <row r="3310" spans="5:11">
      <c r="E3310" s="3" t="s">
        <v>2338</v>
      </c>
      <c r="F3310" s="3" t="s">
        <v>2339</v>
      </c>
      <c r="G3310" s="10" t="str">
        <f t="shared" si="230"/>
        <v>07-13</v>
      </c>
      <c r="H3310" s="1">
        <f>_xlfn.IFNA(VLOOKUP(Aragon!E3310,'Kilter Holds'!$P$36:$AB$370,10,0),0)</f>
        <v>0</v>
      </c>
      <c r="J3310" s="2">
        <f t="shared" si="233"/>
        <v>0</v>
      </c>
      <c r="K3310" s="2">
        <f t="shared" si="234"/>
        <v>0</v>
      </c>
    </row>
    <row r="3311" spans="5:11">
      <c r="E3311" s="3" t="s">
        <v>2338</v>
      </c>
      <c r="F3311" s="3" t="s">
        <v>2339</v>
      </c>
      <c r="G3311" s="11" t="str">
        <f t="shared" si="230"/>
        <v>11-25</v>
      </c>
      <c r="H3311" s="1">
        <f>_xlfn.IFNA(VLOOKUP(Aragon!E3311,'Kilter Holds'!$P$36:$AB$370,11,0),0)</f>
        <v>0</v>
      </c>
      <c r="J3311" s="2">
        <f t="shared" si="233"/>
        <v>0</v>
      </c>
      <c r="K3311" s="2">
        <f t="shared" si="234"/>
        <v>0</v>
      </c>
    </row>
    <row r="3312" spans="5:11">
      <c r="E3312" s="3" t="s">
        <v>2338</v>
      </c>
      <c r="F3312" s="3" t="s">
        <v>2339</v>
      </c>
      <c r="G3312" s="13" t="str">
        <f t="shared" si="230"/>
        <v>18-01</v>
      </c>
      <c r="H3312" s="1">
        <f>_xlfn.IFNA(VLOOKUP(Aragon!E3312,'Kilter Holds'!$P$36:$AB$370,12,0),0)</f>
        <v>0</v>
      </c>
      <c r="J3312" s="2">
        <f t="shared" si="233"/>
        <v>0</v>
      </c>
      <c r="K3312" s="2">
        <f t="shared" si="234"/>
        <v>0</v>
      </c>
    </row>
    <row r="3313" spans="5:11">
      <c r="E3313" s="3" t="s">
        <v>2338</v>
      </c>
      <c r="F3313" s="3" t="s">
        <v>2339</v>
      </c>
      <c r="G3313" s="12" t="str">
        <f t="shared" si="230"/>
        <v>12-01</v>
      </c>
      <c r="H3313" s="1">
        <f>_xlfn.IFNA(VLOOKUP(Aragon!E3313,'Kilter Holds'!$P$36:$AB$370,13,0),0)</f>
        <v>0</v>
      </c>
      <c r="J3313" s="2">
        <f t="shared" si="233"/>
        <v>0</v>
      </c>
      <c r="K3313" s="2">
        <f t="shared" si="234"/>
        <v>0</v>
      </c>
    </row>
    <row r="3314" spans="5:11">
      <c r="E3314" s="3" t="s">
        <v>2331</v>
      </c>
      <c r="F3314" s="3" t="s">
        <v>2340</v>
      </c>
      <c r="G3314" s="5" t="str">
        <f t="shared" si="230"/>
        <v>11-12</v>
      </c>
      <c r="H3314" s="1">
        <f>_xlfn.IFNA(VLOOKUP(Aragon!E3314,'Kilter Holds'!$P$36:$AB$370,5,0),0)</f>
        <v>0</v>
      </c>
      <c r="J3314" s="2">
        <f t="shared" si="233"/>
        <v>0</v>
      </c>
      <c r="K3314" s="2">
        <f t="shared" si="234"/>
        <v>0</v>
      </c>
    </row>
    <row r="3315" spans="5:11">
      <c r="E3315" s="3" t="s">
        <v>2331</v>
      </c>
      <c r="F3315" s="3" t="s">
        <v>2340</v>
      </c>
      <c r="G3315" s="6" t="str">
        <f t="shared" si="230"/>
        <v>14-01</v>
      </c>
      <c r="H3315" s="1">
        <f>_xlfn.IFNA(VLOOKUP(Aragon!E3315,'Kilter Holds'!$P$36:$AB$370,6,0),0)</f>
        <v>0</v>
      </c>
      <c r="J3315" s="2">
        <f t="shared" si="233"/>
        <v>0</v>
      </c>
      <c r="K3315" s="2">
        <f t="shared" si="234"/>
        <v>0</v>
      </c>
    </row>
    <row r="3316" spans="5:11">
      <c r="E3316" s="3" t="s">
        <v>2331</v>
      </c>
      <c r="F3316" s="3" t="s">
        <v>2340</v>
      </c>
      <c r="G3316" s="7" t="str">
        <f t="shared" si="230"/>
        <v>15-12</v>
      </c>
      <c r="H3316" s="1">
        <f>_xlfn.IFNA(VLOOKUP(Aragon!E3316,'Kilter Holds'!$P$36:$AB$370,7,0),0)</f>
        <v>0</v>
      </c>
      <c r="J3316" s="2">
        <f t="shared" si="233"/>
        <v>0</v>
      </c>
      <c r="K3316" s="2">
        <f t="shared" si="234"/>
        <v>0</v>
      </c>
    </row>
    <row r="3317" spans="5:11">
      <c r="E3317" s="3" t="s">
        <v>2331</v>
      </c>
      <c r="F3317" s="3" t="s">
        <v>2340</v>
      </c>
      <c r="G3317" s="8" t="str">
        <f t="shared" si="230"/>
        <v>16-16</v>
      </c>
      <c r="H3317" s="1">
        <f>_xlfn.IFNA(VLOOKUP(Aragon!E3317,'Kilter Holds'!$P$36:$AB$370,8,0),0)</f>
        <v>0</v>
      </c>
      <c r="J3317" s="2">
        <f t="shared" si="233"/>
        <v>0</v>
      </c>
      <c r="K3317" s="2">
        <f t="shared" si="234"/>
        <v>0</v>
      </c>
    </row>
    <row r="3318" spans="5:11">
      <c r="E3318" s="3" t="s">
        <v>2331</v>
      </c>
      <c r="F3318" s="3" t="s">
        <v>2340</v>
      </c>
      <c r="G3318" s="9" t="str">
        <f t="shared" si="230"/>
        <v>13-01</v>
      </c>
      <c r="H3318" s="1">
        <f>_xlfn.IFNA(VLOOKUP(Aragon!E3318,'Kilter Holds'!$P$36:$AB$370,9,0),0)</f>
        <v>0</v>
      </c>
      <c r="J3318" s="2">
        <f t="shared" si="233"/>
        <v>0</v>
      </c>
      <c r="K3318" s="2">
        <f t="shared" si="234"/>
        <v>0</v>
      </c>
    </row>
    <row r="3319" spans="5:11">
      <c r="E3319" s="3" t="s">
        <v>2331</v>
      </c>
      <c r="F3319" s="3" t="s">
        <v>2340</v>
      </c>
      <c r="G3319" s="10" t="str">
        <f t="shared" si="230"/>
        <v>07-13</v>
      </c>
      <c r="H3319" s="1">
        <f>_xlfn.IFNA(VLOOKUP(Aragon!E3319,'Kilter Holds'!$P$36:$AB$370,10,0),0)</f>
        <v>0</v>
      </c>
      <c r="J3319" s="2">
        <f t="shared" si="233"/>
        <v>0</v>
      </c>
      <c r="K3319" s="2">
        <f t="shared" si="234"/>
        <v>0</v>
      </c>
    </row>
    <row r="3320" spans="5:11">
      <c r="E3320" s="3" t="s">
        <v>2331</v>
      </c>
      <c r="F3320" s="3" t="s">
        <v>2340</v>
      </c>
      <c r="G3320" s="11" t="str">
        <f t="shared" si="230"/>
        <v>11-25</v>
      </c>
      <c r="H3320" s="1">
        <f>_xlfn.IFNA(VLOOKUP(Aragon!E3320,'Kilter Holds'!$P$36:$AB$370,11,0),0)</f>
        <v>0</v>
      </c>
      <c r="J3320" s="2">
        <f t="shared" si="233"/>
        <v>0</v>
      </c>
      <c r="K3320" s="2">
        <f t="shared" si="234"/>
        <v>0</v>
      </c>
    </row>
    <row r="3321" spans="5:11">
      <c r="E3321" s="3" t="s">
        <v>2331</v>
      </c>
      <c r="F3321" s="3" t="s">
        <v>2340</v>
      </c>
      <c r="G3321" s="13" t="str">
        <f t="shared" si="230"/>
        <v>18-01</v>
      </c>
      <c r="H3321" s="1">
        <f>_xlfn.IFNA(VLOOKUP(Aragon!E3321,'Kilter Holds'!$P$36:$AB$370,12,0),0)</f>
        <v>0</v>
      </c>
      <c r="J3321" s="2">
        <f t="shared" si="233"/>
        <v>0</v>
      </c>
      <c r="K3321" s="2">
        <f t="shared" si="234"/>
        <v>0</v>
      </c>
    </row>
    <row r="3322" spans="5:11">
      <c r="E3322" s="3" t="s">
        <v>2331</v>
      </c>
      <c r="F3322" s="3" t="s">
        <v>2340</v>
      </c>
      <c r="G3322" s="12" t="str">
        <f t="shared" si="230"/>
        <v>12-01</v>
      </c>
      <c r="H3322" s="1">
        <f>_xlfn.IFNA(VLOOKUP(Aragon!E3322,'Kilter Holds'!$P$36:$AB$370,13,0),0)</f>
        <v>0</v>
      </c>
      <c r="J3322" s="2">
        <f t="shared" si="233"/>
        <v>0</v>
      </c>
      <c r="K3322" s="2">
        <f t="shared" si="234"/>
        <v>0</v>
      </c>
    </row>
    <row r="3323" spans="5:11">
      <c r="E3323" s="3" t="s">
        <v>2341</v>
      </c>
      <c r="F3323" s="3" t="s">
        <v>2342</v>
      </c>
      <c r="G3323" s="5" t="str">
        <f t="shared" si="230"/>
        <v>11-12</v>
      </c>
      <c r="H3323" s="1">
        <f>_xlfn.IFNA(VLOOKUP(Aragon!E3323,'Kilter Holds'!$P$36:$AB$370,5,0),0)</f>
        <v>0</v>
      </c>
      <c r="J3323" s="2">
        <f t="shared" si="233"/>
        <v>0</v>
      </c>
      <c r="K3323" s="2">
        <f t="shared" si="234"/>
        <v>0</v>
      </c>
    </row>
    <row r="3324" spans="5:11">
      <c r="E3324" s="3" t="s">
        <v>2341</v>
      </c>
      <c r="F3324" s="3" t="s">
        <v>2342</v>
      </c>
      <c r="G3324" s="6" t="str">
        <f t="shared" si="230"/>
        <v>14-01</v>
      </c>
      <c r="H3324" s="1">
        <f>_xlfn.IFNA(VLOOKUP(Aragon!E3324,'Kilter Holds'!$P$36:$AB$370,6,0),0)</f>
        <v>0</v>
      </c>
      <c r="J3324" s="2">
        <f t="shared" si="233"/>
        <v>0</v>
      </c>
      <c r="K3324" s="2">
        <f t="shared" si="234"/>
        <v>0</v>
      </c>
    </row>
    <row r="3325" spans="5:11">
      <c r="E3325" s="3" t="s">
        <v>2341</v>
      </c>
      <c r="F3325" s="3" t="s">
        <v>2342</v>
      </c>
      <c r="G3325" s="7" t="str">
        <f t="shared" si="230"/>
        <v>15-12</v>
      </c>
      <c r="H3325" s="1">
        <f>_xlfn.IFNA(VLOOKUP(Aragon!E3325,'Kilter Holds'!$P$36:$AB$370,7,0),0)</f>
        <v>0</v>
      </c>
      <c r="J3325" s="2">
        <f t="shared" si="233"/>
        <v>0</v>
      </c>
      <c r="K3325" s="2">
        <f t="shared" si="234"/>
        <v>0</v>
      </c>
    </row>
    <row r="3326" spans="5:11">
      <c r="E3326" s="3" t="s">
        <v>2341</v>
      </c>
      <c r="F3326" s="3" t="s">
        <v>2342</v>
      </c>
      <c r="G3326" s="8" t="str">
        <f t="shared" si="230"/>
        <v>16-16</v>
      </c>
      <c r="H3326" s="1">
        <f>_xlfn.IFNA(VLOOKUP(Aragon!E3326,'Kilter Holds'!$P$36:$AB$370,8,0),0)</f>
        <v>0</v>
      </c>
      <c r="J3326" s="2">
        <f t="shared" si="233"/>
        <v>0</v>
      </c>
      <c r="K3326" s="2">
        <f t="shared" si="234"/>
        <v>0</v>
      </c>
    </row>
    <row r="3327" spans="5:11">
      <c r="E3327" s="3" t="s">
        <v>2341</v>
      </c>
      <c r="F3327" s="3" t="s">
        <v>2342</v>
      </c>
      <c r="G3327" s="9" t="str">
        <f t="shared" si="230"/>
        <v>13-01</v>
      </c>
      <c r="H3327" s="1">
        <f>_xlfn.IFNA(VLOOKUP(Aragon!E3327,'Kilter Holds'!$P$36:$AB$370,9,0),0)</f>
        <v>0</v>
      </c>
      <c r="J3327" s="2">
        <f t="shared" si="233"/>
        <v>0</v>
      </c>
      <c r="K3327" s="2">
        <f t="shared" si="234"/>
        <v>0</v>
      </c>
    </row>
    <row r="3328" spans="5:11">
      <c r="E3328" s="3" t="s">
        <v>2341</v>
      </c>
      <c r="F3328" s="3" t="s">
        <v>2342</v>
      </c>
      <c r="G3328" s="10" t="str">
        <f t="shared" si="230"/>
        <v>07-13</v>
      </c>
      <c r="H3328" s="1">
        <f>_xlfn.IFNA(VLOOKUP(Aragon!E3328,'Kilter Holds'!$P$36:$AB$370,10,0),0)</f>
        <v>0</v>
      </c>
      <c r="J3328" s="2">
        <f t="shared" si="233"/>
        <v>0</v>
      </c>
      <c r="K3328" s="2">
        <f t="shared" si="234"/>
        <v>0</v>
      </c>
    </row>
    <row r="3329" spans="5:11">
      <c r="E3329" s="3" t="s">
        <v>2341</v>
      </c>
      <c r="F3329" s="3" t="s">
        <v>2342</v>
      </c>
      <c r="G3329" s="11" t="str">
        <f t="shared" si="230"/>
        <v>11-25</v>
      </c>
      <c r="H3329" s="1">
        <f>_xlfn.IFNA(VLOOKUP(Aragon!E3329,'Kilter Holds'!$P$36:$AB$370,11,0),0)</f>
        <v>0</v>
      </c>
      <c r="J3329" s="2">
        <f t="shared" si="233"/>
        <v>0</v>
      </c>
      <c r="K3329" s="2">
        <f t="shared" si="234"/>
        <v>0</v>
      </c>
    </row>
    <row r="3330" spans="5:11">
      <c r="E3330" s="3" t="s">
        <v>2341</v>
      </c>
      <c r="F3330" s="3" t="s">
        <v>2342</v>
      </c>
      <c r="G3330" s="13" t="str">
        <f t="shared" si="230"/>
        <v>18-01</v>
      </c>
      <c r="H3330" s="1">
        <f>_xlfn.IFNA(VLOOKUP(Aragon!E3330,'Kilter Holds'!$P$36:$AB$370,12,0),0)</f>
        <v>0</v>
      </c>
      <c r="J3330" s="2">
        <f t="shared" si="233"/>
        <v>0</v>
      </c>
      <c r="K3330" s="2">
        <f t="shared" si="234"/>
        <v>0</v>
      </c>
    </row>
    <row r="3331" spans="5:11">
      <c r="E3331" s="3" t="s">
        <v>2341</v>
      </c>
      <c r="F3331" s="3" t="s">
        <v>2342</v>
      </c>
      <c r="G3331" s="12" t="str">
        <f t="shared" si="230"/>
        <v>12-01</v>
      </c>
      <c r="H3331" s="1">
        <f>_xlfn.IFNA(VLOOKUP(Aragon!E3331,'Kilter Holds'!$P$36:$AB$370,13,0),0)</f>
        <v>0</v>
      </c>
      <c r="J3331" s="2">
        <f t="shared" si="233"/>
        <v>0</v>
      </c>
      <c r="K3331" s="2">
        <f t="shared" si="234"/>
        <v>0</v>
      </c>
    </row>
    <row r="3332" spans="5:11">
      <c r="E3332" s="3" t="s">
        <v>2332</v>
      </c>
      <c r="F3332" s="3" t="s">
        <v>2343</v>
      </c>
      <c r="G3332" s="5" t="str">
        <f t="shared" ref="G3332:G3369" si="235">G3287</f>
        <v>11-12</v>
      </c>
      <c r="H3332" s="1">
        <f>_xlfn.IFNA(VLOOKUP(Aragon!E3332,'Kilter Holds'!$P$36:$AB$370,5,0),0)</f>
        <v>0</v>
      </c>
      <c r="J3332" s="2">
        <f t="shared" si="233"/>
        <v>0</v>
      </c>
      <c r="K3332" s="2">
        <f t="shared" si="234"/>
        <v>0</v>
      </c>
    </row>
    <row r="3333" spans="5:11">
      <c r="E3333" s="3" t="s">
        <v>2332</v>
      </c>
      <c r="F3333" s="3" t="s">
        <v>2343</v>
      </c>
      <c r="G3333" s="6" t="str">
        <f t="shared" si="235"/>
        <v>14-01</v>
      </c>
      <c r="H3333" s="1">
        <f>_xlfn.IFNA(VLOOKUP(Aragon!E3333,'Kilter Holds'!$P$36:$AB$370,6,0),0)</f>
        <v>0</v>
      </c>
      <c r="J3333" s="2">
        <f t="shared" si="233"/>
        <v>0</v>
      </c>
      <c r="K3333" s="2">
        <f t="shared" si="234"/>
        <v>0</v>
      </c>
    </row>
    <row r="3334" spans="5:11">
      <c r="E3334" s="3" t="s">
        <v>2332</v>
      </c>
      <c r="F3334" s="3" t="s">
        <v>2343</v>
      </c>
      <c r="G3334" s="7" t="str">
        <f t="shared" si="235"/>
        <v>15-12</v>
      </c>
      <c r="H3334" s="1">
        <f>_xlfn.IFNA(VLOOKUP(Aragon!E3334,'Kilter Holds'!$P$36:$AB$370,7,0),0)</f>
        <v>0</v>
      </c>
      <c r="J3334" s="2">
        <f t="shared" si="233"/>
        <v>0</v>
      </c>
      <c r="K3334" s="2">
        <f t="shared" si="234"/>
        <v>0</v>
      </c>
    </row>
    <row r="3335" spans="5:11">
      <c r="E3335" s="3" t="s">
        <v>2332</v>
      </c>
      <c r="F3335" s="3" t="s">
        <v>2343</v>
      </c>
      <c r="G3335" s="8" t="str">
        <f t="shared" si="235"/>
        <v>16-16</v>
      </c>
      <c r="H3335" s="1">
        <f>_xlfn.IFNA(VLOOKUP(Aragon!E3335,'Kilter Holds'!$P$36:$AB$370,8,0),0)</f>
        <v>0</v>
      </c>
      <c r="J3335" s="2">
        <f t="shared" si="233"/>
        <v>0</v>
      </c>
      <c r="K3335" s="2">
        <f t="shared" si="234"/>
        <v>0</v>
      </c>
    </row>
    <row r="3336" spans="5:11">
      <c r="E3336" s="3" t="s">
        <v>2332</v>
      </c>
      <c r="F3336" s="3" t="s">
        <v>2343</v>
      </c>
      <c r="G3336" s="9" t="str">
        <f t="shared" si="235"/>
        <v>13-01</v>
      </c>
      <c r="H3336" s="1">
        <f>_xlfn.IFNA(VLOOKUP(Aragon!E3336,'Kilter Holds'!$P$36:$AB$370,9,0),0)</f>
        <v>0</v>
      </c>
      <c r="J3336" s="2">
        <f t="shared" si="233"/>
        <v>0</v>
      </c>
      <c r="K3336" s="2">
        <f t="shared" si="234"/>
        <v>0</v>
      </c>
    </row>
    <row r="3337" spans="5:11">
      <c r="E3337" s="3" t="s">
        <v>2332</v>
      </c>
      <c r="F3337" s="3" t="s">
        <v>2343</v>
      </c>
      <c r="G3337" s="10" t="str">
        <f t="shared" si="235"/>
        <v>07-13</v>
      </c>
      <c r="H3337" s="1">
        <f>_xlfn.IFNA(VLOOKUP(Aragon!E3337,'Kilter Holds'!$P$36:$AB$370,10,0),0)</f>
        <v>0</v>
      </c>
      <c r="J3337" s="2">
        <f t="shared" si="233"/>
        <v>0</v>
      </c>
      <c r="K3337" s="2">
        <f t="shared" si="234"/>
        <v>0</v>
      </c>
    </row>
    <row r="3338" spans="5:11">
      <c r="E3338" s="3" t="s">
        <v>2332</v>
      </c>
      <c r="F3338" s="3" t="s">
        <v>2343</v>
      </c>
      <c r="G3338" s="11" t="str">
        <f t="shared" si="235"/>
        <v>11-25</v>
      </c>
      <c r="H3338" s="1">
        <f>_xlfn.IFNA(VLOOKUP(Aragon!E3338,'Kilter Holds'!$P$36:$AB$370,11,0),0)</f>
        <v>0</v>
      </c>
      <c r="J3338" s="2">
        <f t="shared" si="233"/>
        <v>0</v>
      </c>
      <c r="K3338" s="2">
        <f t="shared" si="234"/>
        <v>0</v>
      </c>
    </row>
    <row r="3339" spans="5:11">
      <c r="E3339" s="3" t="s">
        <v>2332</v>
      </c>
      <c r="F3339" s="3" t="s">
        <v>2343</v>
      </c>
      <c r="G3339" s="13" t="str">
        <f t="shared" si="235"/>
        <v>18-01</v>
      </c>
      <c r="H3339" s="1">
        <f>_xlfn.IFNA(VLOOKUP(Aragon!E3339,'Kilter Holds'!$P$36:$AB$370,12,0),0)</f>
        <v>0</v>
      </c>
      <c r="J3339" s="2">
        <f t="shared" si="233"/>
        <v>0</v>
      </c>
      <c r="K3339" s="2">
        <f t="shared" si="234"/>
        <v>0</v>
      </c>
    </row>
    <row r="3340" spans="5:11">
      <c r="E3340" s="3" t="s">
        <v>2332</v>
      </c>
      <c r="F3340" s="3" t="s">
        <v>2343</v>
      </c>
      <c r="G3340" s="12" t="str">
        <f t="shared" si="235"/>
        <v>12-01</v>
      </c>
      <c r="H3340" s="1">
        <f>_xlfn.IFNA(VLOOKUP(Aragon!E3340,'Kilter Holds'!$P$36:$AB$370,13,0),0)</f>
        <v>0</v>
      </c>
      <c r="J3340" s="2">
        <f t="shared" si="233"/>
        <v>0</v>
      </c>
      <c r="K3340" s="2">
        <f t="shared" si="234"/>
        <v>0</v>
      </c>
    </row>
    <row r="3341" spans="5:11">
      <c r="E3341" s="3" t="s">
        <v>2333</v>
      </c>
      <c r="F3341" s="3" t="s">
        <v>2344</v>
      </c>
      <c r="G3341" s="5" t="str">
        <f t="shared" si="235"/>
        <v>11-12</v>
      </c>
      <c r="H3341" s="1">
        <f>_xlfn.IFNA(VLOOKUP(Aragon!E3341,'Kilter Holds'!$P$36:$AB$370,5,0),0)</f>
        <v>0</v>
      </c>
      <c r="J3341" s="2">
        <f t="shared" si="233"/>
        <v>0</v>
      </c>
      <c r="K3341" s="2">
        <f t="shared" si="234"/>
        <v>0</v>
      </c>
    </row>
    <row r="3342" spans="5:11">
      <c r="E3342" s="3" t="s">
        <v>2333</v>
      </c>
      <c r="F3342" s="3" t="s">
        <v>2344</v>
      </c>
      <c r="G3342" s="6" t="str">
        <f t="shared" si="235"/>
        <v>14-01</v>
      </c>
      <c r="H3342" s="1">
        <f>_xlfn.IFNA(VLOOKUP(Aragon!E3342,'Kilter Holds'!$P$36:$AB$370,6,0),0)</f>
        <v>0</v>
      </c>
      <c r="J3342" s="2">
        <f t="shared" si="233"/>
        <v>0</v>
      </c>
      <c r="K3342" s="2">
        <f t="shared" si="234"/>
        <v>0</v>
      </c>
    </row>
    <row r="3343" spans="5:11">
      <c r="E3343" s="3" t="s">
        <v>2333</v>
      </c>
      <c r="F3343" s="3" t="s">
        <v>2344</v>
      </c>
      <c r="G3343" s="7" t="str">
        <f t="shared" si="235"/>
        <v>15-12</v>
      </c>
      <c r="H3343" s="1">
        <f>_xlfn.IFNA(VLOOKUP(Aragon!E3343,'Kilter Holds'!$P$36:$AB$370,7,0),0)</f>
        <v>0</v>
      </c>
      <c r="J3343" s="2">
        <f t="shared" si="233"/>
        <v>0</v>
      </c>
      <c r="K3343" s="2">
        <f t="shared" si="234"/>
        <v>0</v>
      </c>
    </row>
    <row r="3344" spans="5:11">
      <c r="E3344" s="3" t="s">
        <v>2333</v>
      </c>
      <c r="F3344" s="3" t="s">
        <v>2344</v>
      </c>
      <c r="G3344" s="8" t="str">
        <f t="shared" si="235"/>
        <v>16-16</v>
      </c>
      <c r="H3344" s="1">
        <f>_xlfn.IFNA(VLOOKUP(Aragon!E3344,'Kilter Holds'!$P$36:$AB$370,8,0),0)</f>
        <v>0</v>
      </c>
      <c r="J3344" s="2">
        <f t="shared" si="233"/>
        <v>0</v>
      </c>
      <c r="K3344" s="2">
        <f t="shared" si="234"/>
        <v>0</v>
      </c>
    </row>
    <row r="3345" spans="5:11">
      <c r="E3345" s="3" t="s">
        <v>2333</v>
      </c>
      <c r="F3345" s="3" t="s">
        <v>2344</v>
      </c>
      <c r="G3345" s="9" t="str">
        <f t="shared" si="235"/>
        <v>13-01</v>
      </c>
      <c r="H3345" s="1">
        <f>_xlfn.IFNA(VLOOKUP(Aragon!E3345,'Kilter Holds'!$P$36:$AB$370,9,0),0)</f>
        <v>0</v>
      </c>
      <c r="J3345" s="2">
        <f t="shared" si="233"/>
        <v>0</v>
      </c>
      <c r="K3345" s="2">
        <f t="shared" si="234"/>
        <v>0</v>
      </c>
    </row>
    <row r="3346" spans="5:11">
      <c r="E3346" s="3" t="s">
        <v>2333</v>
      </c>
      <c r="F3346" s="3" t="s">
        <v>2344</v>
      </c>
      <c r="G3346" s="10" t="str">
        <f t="shared" si="235"/>
        <v>07-13</v>
      </c>
      <c r="H3346" s="1">
        <f>_xlfn.IFNA(VLOOKUP(Aragon!E3346,'Kilter Holds'!$P$36:$AB$370,10,0),0)</f>
        <v>0</v>
      </c>
      <c r="J3346" s="2">
        <f t="shared" si="233"/>
        <v>0</v>
      </c>
      <c r="K3346" s="2">
        <f t="shared" si="234"/>
        <v>0</v>
      </c>
    </row>
    <row r="3347" spans="5:11">
      <c r="E3347" s="3" t="s">
        <v>2333</v>
      </c>
      <c r="F3347" s="3" t="s">
        <v>2344</v>
      </c>
      <c r="G3347" s="11" t="str">
        <f t="shared" si="235"/>
        <v>11-25</v>
      </c>
      <c r="H3347" s="1">
        <f>_xlfn.IFNA(VLOOKUP(Aragon!E3347,'Kilter Holds'!$P$36:$AB$370,11,0),0)</f>
        <v>0</v>
      </c>
      <c r="J3347" s="2">
        <f t="shared" si="233"/>
        <v>0</v>
      </c>
      <c r="K3347" s="2">
        <f t="shared" si="234"/>
        <v>0</v>
      </c>
    </row>
    <row r="3348" spans="5:11">
      <c r="E3348" s="3" t="s">
        <v>2333</v>
      </c>
      <c r="F3348" s="3" t="s">
        <v>2344</v>
      </c>
      <c r="G3348" s="13" t="str">
        <f t="shared" si="235"/>
        <v>18-01</v>
      </c>
      <c r="H3348" s="1">
        <f>_xlfn.IFNA(VLOOKUP(Aragon!E3348,'Kilter Holds'!$P$36:$AB$370,12,0),0)</f>
        <v>0</v>
      </c>
      <c r="J3348" s="2">
        <f t="shared" si="233"/>
        <v>0</v>
      </c>
      <c r="K3348" s="2">
        <f t="shared" si="234"/>
        <v>0</v>
      </c>
    </row>
    <row r="3349" spans="5:11">
      <c r="E3349" s="3" t="s">
        <v>2333</v>
      </c>
      <c r="F3349" s="3" t="s">
        <v>2344</v>
      </c>
      <c r="G3349" s="12" t="str">
        <f t="shared" si="235"/>
        <v>12-01</v>
      </c>
      <c r="H3349" s="1">
        <f>_xlfn.IFNA(VLOOKUP(Aragon!E3349,'Kilter Holds'!$P$36:$AB$370,13,0),0)</f>
        <v>0</v>
      </c>
      <c r="J3349" s="2">
        <f t="shared" si="233"/>
        <v>0</v>
      </c>
      <c r="K3349" s="2">
        <f t="shared" si="234"/>
        <v>0</v>
      </c>
    </row>
    <row r="3350" spans="5:11">
      <c r="E3350" s="3" t="s">
        <v>2334</v>
      </c>
      <c r="F3350" s="3" t="s">
        <v>2346</v>
      </c>
      <c r="G3350" s="5" t="str">
        <f t="shared" si="235"/>
        <v>11-12</v>
      </c>
      <c r="H3350" s="1">
        <f>_xlfn.IFNA(VLOOKUP(Aragon!E3350,'Kilter Holds'!$P$36:$AB$370,5,0),0)</f>
        <v>0</v>
      </c>
      <c r="J3350" s="2">
        <f t="shared" ref="J3350:J3358" si="236">H3350*I3350</f>
        <v>0</v>
      </c>
      <c r="K3350" s="2">
        <f t="shared" ref="K3350:K3358" si="237">IF($V$11="Y",J3350*0.05,0)</f>
        <v>0</v>
      </c>
    </row>
    <row r="3351" spans="5:11">
      <c r="E3351" s="3" t="s">
        <v>2334</v>
      </c>
      <c r="F3351" s="3" t="s">
        <v>2346</v>
      </c>
      <c r="G3351" s="6" t="str">
        <f t="shared" si="235"/>
        <v>14-01</v>
      </c>
      <c r="H3351" s="1">
        <f>_xlfn.IFNA(VLOOKUP(Aragon!E3351,'Kilter Holds'!$P$36:$AB$370,6,0),0)</f>
        <v>0</v>
      </c>
      <c r="J3351" s="2">
        <f t="shared" si="236"/>
        <v>0</v>
      </c>
      <c r="K3351" s="2">
        <f t="shared" si="237"/>
        <v>0</v>
      </c>
    </row>
    <row r="3352" spans="5:11">
      <c r="E3352" s="3" t="s">
        <v>2334</v>
      </c>
      <c r="F3352" s="3" t="s">
        <v>2346</v>
      </c>
      <c r="G3352" s="7" t="str">
        <f t="shared" si="235"/>
        <v>15-12</v>
      </c>
      <c r="H3352" s="1">
        <f>_xlfn.IFNA(VLOOKUP(Aragon!E3352,'Kilter Holds'!$P$36:$AB$370,7,0),0)</f>
        <v>0</v>
      </c>
      <c r="J3352" s="2">
        <f t="shared" si="236"/>
        <v>0</v>
      </c>
      <c r="K3352" s="2">
        <f t="shared" si="237"/>
        <v>0</v>
      </c>
    </row>
    <row r="3353" spans="5:11">
      <c r="E3353" s="3" t="s">
        <v>2334</v>
      </c>
      <c r="F3353" s="3" t="s">
        <v>2346</v>
      </c>
      <c r="G3353" s="8" t="str">
        <f t="shared" si="235"/>
        <v>16-16</v>
      </c>
      <c r="H3353" s="1">
        <f>_xlfn.IFNA(VLOOKUP(Aragon!E3353,'Kilter Holds'!$P$36:$AB$370,8,0),0)</f>
        <v>0</v>
      </c>
      <c r="J3353" s="2">
        <f t="shared" si="236"/>
        <v>0</v>
      </c>
      <c r="K3353" s="2">
        <f t="shared" si="237"/>
        <v>0</v>
      </c>
    </row>
    <row r="3354" spans="5:11">
      <c r="E3354" s="3" t="s">
        <v>2334</v>
      </c>
      <c r="F3354" s="3" t="s">
        <v>2346</v>
      </c>
      <c r="G3354" s="9" t="str">
        <f t="shared" si="235"/>
        <v>13-01</v>
      </c>
      <c r="H3354" s="1">
        <f>_xlfn.IFNA(VLOOKUP(Aragon!E3354,'Kilter Holds'!$P$36:$AB$370,9,0),0)</f>
        <v>0</v>
      </c>
      <c r="J3354" s="2">
        <f t="shared" si="236"/>
        <v>0</v>
      </c>
      <c r="K3354" s="2">
        <f t="shared" si="237"/>
        <v>0</v>
      </c>
    </row>
    <row r="3355" spans="5:11">
      <c r="E3355" s="3" t="s">
        <v>2334</v>
      </c>
      <c r="F3355" s="3" t="s">
        <v>2346</v>
      </c>
      <c r="G3355" s="10" t="str">
        <f t="shared" si="235"/>
        <v>07-13</v>
      </c>
      <c r="H3355" s="1">
        <f>_xlfn.IFNA(VLOOKUP(Aragon!E3355,'Kilter Holds'!$P$36:$AB$370,10,0),0)</f>
        <v>0</v>
      </c>
      <c r="J3355" s="2">
        <f t="shared" si="236"/>
        <v>0</v>
      </c>
      <c r="K3355" s="2">
        <f t="shared" si="237"/>
        <v>0</v>
      </c>
    </row>
    <row r="3356" spans="5:11">
      <c r="E3356" s="3" t="s">
        <v>2334</v>
      </c>
      <c r="F3356" s="3" t="s">
        <v>2346</v>
      </c>
      <c r="G3356" s="11" t="str">
        <f t="shared" si="235"/>
        <v>11-25</v>
      </c>
      <c r="H3356" s="1">
        <f>_xlfn.IFNA(VLOOKUP(Aragon!E3356,'Kilter Holds'!$P$36:$AB$370,11,0),0)</f>
        <v>0</v>
      </c>
      <c r="J3356" s="2">
        <f t="shared" si="236"/>
        <v>0</v>
      </c>
      <c r="K3356" s="2">
        <f t="shared" si="237"/>
        <v>0</v>
      </c>
    </row>
    <row r="3357" spans="5:11">
      <c r="E3357" s="3" t="s">
        <v>2334</v>
      </c>
      <c r="F3357" s="3" t="s">
        <v>2346</v>
      </c>
      <c r="G3357" s="13" t="str">
        <f t="shared" si="235"/>
        <v>18-01</v>
      </c>
      <c r="H3357" s="1">
        <f>_xlfn.IFNA(VLOOKUP(Aragon!E3357,'Kilter Holds'!$P$36:$AB$370,12,0),0)</f>
        <v>0</v>
      </c>
      <c r="J3357" s="2">
        <f t="shared" si="236"/>
        <v>0</v>
      </c>
      <c r="K3357" s="2">
        <f t="shared" si="237"/>
        <v>0</v>
      </c>
    </row>
    <row r="3358" spans="5:11">
      <c r="E3358" s="3" t="s">
        <v>2334</v>
      </c>
      <c r="F3358" s="3" t="s">
        <v>2346</v>
      </c>
      <c r="G3358" s="12" t="str">
        <f t="shared" si="235"/>
        <v>12-01</v>
      </c>
      <c r="H3358" s="1">
        <f>_xlfn.IFNA(VLOOKUP(Aragon!E3358,'Kilter Holds'!$P$36:$AB$370,13,0),0)</f>
        <v>0</v>
      </c>
      <c r="J3358" s="2">
        <f t="shared" si="236"/>
        <v>0</v>
      </c>
      <c r="K3358" s="2">
        <f t="shared" si="237"/>
        <v>0</v>
      </c>
    </row>
    <row r="3359" spans="5:11">
      <c r="E3359" s="3" t="s">
        <v>2335</v>
      </c>
      <c r="F3359" s="3" t="s">
        <v>2347</v>
      </c>
      <c r="G3359" s="5" t="str">
        <f t="shared" si="235"/>
        <v>11-12</v>
      </c>
      <c r="H3359" s="1">
        <f>_xlfn.IFNA(VLOOKUP(Aragon!E3359,'Kilter Holds'!$P$36:$AB$370,5,0),0)</f>
        <v>0</v>
      </c>
      <c r="J3359" s="2">
        <f t="shared" ref="J3359:J3376" si="238">H3359*I3359</f>
        <v>0</v>
      </c>
      <c r="K3359" s="2">
        <f t="shared" ref="K3359:K3376" si="239">IF($V$11="Y",J3359*0.05,0)</f>
        <v>0</v>
      </c>
    </row>
    <row r="3360" spans="5:11">
      <c r="E3360" s="3" t="s">
        <v>2335</v>
      </c>
      <c r="F3360" s="3" t="s">
        <v>2347</v>
      </c>
      <c r="G3360" s="6" t="str">
        <f t="shared" si="235"/>
        <v>14-01</v>
      </c>
      <c r="H3360" s="1">
        <f>_xlfn.IFNA(VLOOKUP(Aragon!E3360,'Kilter Holds'!$P$36:$AB$370,6,0),0)</f>
        <v>0</v>
      </c>
      <c r="J3360" s="2">
        <f t="shared" si="238"/>
        <v>0</v>
      </c>
      <c r="K3360" s="2">
        <f t="shared" si="239"/>
        <v>0</v>
      </c>
    </row>
    <row r="3361" spans="5:11">
      <c r="E3361" s="3" t="s">
        <v>2335</v>
      </c>
      <c r="F3361" s="3" t="s">
        <v>2347</v>
      </c>
      <c r="G3361" s="7" t="str">
        <f t="shared" si="235"/>
        <v>15-12</v>
      </c>
      <c r="H3361" s="1">
        <f>_xlfn.IFNA(VLOOKUP(Aragon!E3361,'Kilter Holds'!$P$36:$AB$370,7,0),0)</f>
        <v>0</v>
      </c>
      <c r="J3361" s="2">
        <f t="shared" si="238"/>
        <v>0</v>
      </c>
      <c r="K3361" s="2">
        <f t="shared" si="239"/>
        <v>0</v>
      </c>
    </row>
    <row r="3362" spans="5:11">
      <c r="E3362" s="3" t="s">
        <v>2335</v>
      </c>
      <c r="F3362" s="3" t="s">
        <v>2347</v>
      </c>
      <c r="G3362" s="8" t="str">
        <f t="shared" si="235"/>
        <v>16-16</v>
      </c>
      <c r="H3362" s="1">
        <f>_xlfn.IFNA(VLOOKUP(Aragon!E3362,'Kilter Holds'!$P$36:$AB$370,8,0),0)</f>
        <v>0</v>
      </c>
      <c r="J3362" s="2">
        <f t="shared" si="238"/>
        <v>0</v>
      </c>
      <c r="K3362" s="2">
        <f t="shared" si="239"/>
        <v>0</v>
      </c>
    </row>
    <row r="3363" spans="5:11">
      <c r="E3363" s="3" t="s">
        <v>2335</v>
      </c>
      <c r="F3363" s="3" t="s">
        <v>2347</v>
      </c>
      <c r="G3363" s="9" t="str">
        <f t="shared" si="235"/>
        <v>13-01</v>
      </c>
      <c r="H3363" s="1">
        <f>_xlfn.IFNA(VLOOKUP(Aragon!E3363,'Kilter Holds'!$P$36:$AB$370,9,0),0)</f>
        <v>0</v>
      </c>
      <c r="J3363" s="2">
        <f t="shared" si="238"/>
        <v>0</v>
      </c>
      <c r="K3363" s="2">
        <f t="shared" si="239"/>
        <v>0</v>
      </c>
    </row>
    <row r="3364" spans="5:11">
      <c r="E3364" s="3" t="s">
        <v>2335</v>
      </c>
      <c r="F3364" s="3" t="s">
        <v>2347</v>
      </c>
      <c r="G3364" s="10" t="str">
        <f t="shared" si="235"/>
        <v>07-13</v>
      </c>
      <c r="H3364" s="1">
        <f>_xlfn.IFNA(VLOOKUP(Aragon!E3364,'Kilter Holds'!$P$36:$AB$370,10,0),0)</f>
        <v>0</v>
      </c>
      <c r="J3364" s="2">
        <f t="shared" si="238"/>
        <v>0</v>
      </c>
      <c r="K3364" s="2">
        <f t="shared" si="239"/>
        <v>0</v>
      </c>
    </row>
    <row r="3365" spans="5:11">
      <c r="E3365" s="3" t="s">
        <v>2335</v>
      </c>
      <c r="F3365" s="3" t="s">
        <v>2347</v>
      </c>
      <c r="G3365" s="11" t="str">
        <f t="shared" si="235"/>
        <v>11-25</v>
      </c>
      <c r="H3365" s="1">
        <f>_xlfn.IFNA(VLOOKUP(Aragon!E3365,'Kilter Holds'!$P$36:$AB$370,11,0),0)</f>
        <v>0</v>
      </c>
      <c r="J3365" s="2">
        <f t="shared" si="238"/>
        <v>0</v>
      </c>
      <c r="K3365" s="2">
        <f t="shared" si="239"/>
        <v>0</v>
      </c>
    </row>
    <row r="3366" spans="5:11">
      <c r="E3366" s="3" t="s">
        <v>2335</v>
      </c>
      <c r="F3366" s="3" t="s">
        <v>2347</v>
      </c>
      <c r="G3366" s="13" t="str">
        <f t="shared" si="235"/>
        <v>18-01</v>
      </c>
      <c r="H3366" s="1">
        <f>_xlfn.IFNA(VLOOKUP(Aragon!E3366,'Kilter Holds'!$P$36:$AB$370,12,0),0)</f>
        <v>0</v>
      </c>
      <c r="J3366" s="2">
        <f t="shared" si="238"/>
        <v>0</v>
      </c>
      <c r="K3366" s="2">
        <f t="shared" si="239"/>
        <v>0</v>
      </c>
    </row>
    <row r="3367" spans="5:11">
      <c r="E3367" s="3" t="s">
        <v>2335</v>
      </c>
      <c r="F3367" s="3" t="s">
        <v>2347</v>
      </c>
      <c r="G3367" s="12" t="str">
        <f t="shared" si="235"/>
        <v>12-01</v>
      </c>
      <c r="H3367" s="1">
        <f>_xlfn.IFNA(VLOOKUP(Aragon!E3367,'Kilter Holds'!$P$36:$AB$370,13,0),0)</f>
        <v>0</v>
      </c>
      <c r="J3367" s="2">
        <f t="shared" si="238"/>
        <v>0</v>
      </c>
      <c r="K3367" s="2">
        <f t="shared" si="239"/>
        <v>0</v>
      </c>
    </row>
    <row r="3368" spans="5:11">
      <c r="E3368" s="3" t="s">
        <v>2336</v>
      </c>
      <c r="F3368" s="3" t="s">
        <v>2348</v>
      </c>
      <c r="G3368" s="5" t="str">
        <f t="shared" si="235"/>
        <v>11-12</v>
      </c>
      <c r="H3368" s="1">
        <f>_xlfn.IFNA(VLOOKUP(Aragon!E3368,'Kilter Holds'!$P$36:$AB$370,5,0),0)</f>
        <v>0</v>
      </c>
      <c r="J3368" s="2">
        <f t="shared" si="238"/>
        <v>0</v>
      </c>
      <c r="K3368" s="2">
        <f t="shared" si="239"/>
        <v>0</v>
      </c>
    </row>
    <row r="3369" spans="5:11">
      <c r="E3369" s="3" t="s">
        <v>2336</v>
      </c>
      <c r="F3369" s="3" t="s">
        <v>2348</v>
      </c>
      <c r="G3369" s="6" t="str">
        <f t="shared" si="235"/>
        <v>14-01</v>
      </c>
      <c r="H3369" s="1">
        <f>_xlfn.IFNA(VLOOKUP(Aragon!E3369,'Kilter Holds'!$P$36:$AB$370,6,0),0)</f>
        <v>0</v>
      </c>
      <c r="J3369" s="2">
        <f t="shared" si="238"/>
        <v>0</v>
      </c>
      <c r="K3369" s="2">
        <f t="shared" si="239"/>
        <v>0</v>
      </c>
    </row>
    <row r="3370" spans="5:11">
      <c r="E3370" s="3" t="s">
        <v>2336</v>
      </c>
      <c r="F3370" s="3" t="s">
        <v>2348</v>
      </c>
      <c r="G3370" s="7" t="str">
        <f t="shared" ref="G3370:G3433" si="240">G3325</f>
        <v>15-12</v>
      </c>
      <c r="H3370" s="1">
        <f>_xlfn.IFNA(VLOOKUP(Aragon!E3370,'Kilter Holds'!$P$36:$AB$370,7,0),0)</f>
        <v>0</v>
      </c>
      <c r="J3370" s="2">
        <f t="shared" si="238"/>
        <v>0</v>
      </c>
      <c r="K3370" s="2">
        <f t="shared" si="239"/>
        <v>0</v>
      </c>
    </row>
    <row r="3371" spans="5:11">
      <c r="E3371" s="3" t="s">
        <v>2336</v>
      </c>
      <c r="F3371" s="3" t="s">
        <v>2348</v>
      </c>
      <c r="G3371" s="8" t="str">
        <f t="shared" si="240"/>
        <v>16-16</v>
      </c>
      <c r="H3371" s="1">
        <f>_xlfn.IFNA(VLOOKUP(Aragon!E3371,'Kilter Holds'!$P$36:$AB$370,8,0),0)</f>
        <v>0</v>
      </c>
      <c r="J3371" s="2">
        <f t="shared" si="238"/>
        <v>0</v>
      </c>
      <c r="K3371" s="2">
        <f t="shared" si="239"/>
        <v>0</v>
      </c>
    </row>
    <row r="3372" spans="5:11">
      <c r="E3372" s="3" t="s">
        <v>2336</v>
      </c>
      <c r="F3372" s="3" t="s">
        <v>2348</v>
      </c>
      <c r="G3372" s="9" t="str">
        <f t="shared" si="240"/>
        <v>13-01</v>
      </c>
      <c r="H3372" s="1">
        <f>_xlfn.IFNA(VLOOKUP(Aragon!E3372,'Kilter Holds'!$P$36:$AB$370,9,0),0)</f>
        <v>0</v>
      </c>
      <c r="J3372" s="2">
        <f t="shared" si="238"/>
        <v>0</v>
      </c>
      <c r="K3372" s="2">
        <f t="shared" si="239"/>
        <v>0</v>
      </c>
    </row>
    <row r="3373" spans="5:11">
      <c r="E3373" s="3" t="s">
        <v>2336</v>
      </c>
      <c r="F3373" s="3" t="s">
        <v>2348</v>
      </c>
      <c r="G3373" s="10" t="str">
        <f t="shared" si="240"/>
        <v>07-13</v>
      </c>
      <c r="H3373" s="1">
        <f>_xlfn.IFNA(VLOOKUP(Aragon!E3373,'Kilter Holds'!$P$36:$AB$370,10,0),0)</f>
        <v>0</v>
      </c>
      <c r="J3373" s="2">
        <f t="shared" si="238"/>
        <v>0</v>
      </c>
      <c r="K3373" s="2">
        <f t="shared" si="239"/>
        <v>0</v>
      </c>
    </row>
    <row r="3374" spans="5:11">
      <c r="E3374" s="3" t="s">
        <v>2336</v>
      </c>
      <c r="F3374" s="3" t="s">
        <v>2348</v>
      </c>
      <c r="G3374" s="11" t="str">
        <f t="shared" si="240"/>
        <v>11-25</v>
      </c>
      <c r="H3374" s="1">
        <f>_xlfn.IFNA(VLOOKUP(Aragon!E3374,'Kilter Holds'!$P$36:$AB$370,11,0),0)</f>
        <v>0</v>
      </c>
      <c r="J3374" s="2">
        <f t="shared" si="238"/>
        <v>0</v>
      </c>
      <c r="K3374" s="2">
        <f t="shared" si="239"/>
        <v>0</v>
      </c>
    </row>
    <row r="3375" spans="5:11">
      <c r="E3375" s="3" t="s">
        <v>2336</v>
      </c>
      <c r="F3375" s="3" t="s">
        <v>2348</v>
      </c>
      <c r="G3375" s="13" t="str">
        <f t="shared" si="240"/>
        <v>18-01</v>
      </c>
      <c r="H3375" s="1">
        <f>_xlfn.IFNA(VLOOKUP(Aragon!E3375,'Kilter Holds'!$P$36:$AB$370,12,0),0)</f>
        <v>0</v>
      </c>
      <c r="J3375" s="2">
        <f t="shared" si="238"/>
        <v>0</v>
      </c>
      <c r="K3375" s="2">
        <f t="shared" si="239"/>
        <v>0</v>
      </c>
    </row>
    <row r="3376" spans="5:11">
      <c r="E3376" s="3" t="s">
        <v>2336</v>
      </c>
      <c r="F3376" s="3" t="s">
        <v>2348</v>
      </c>
      <c r="G3376" s="12" t="str">
        <f t="shared" si="240"/>
        <v>12-01</v>
      </c>
      <c r="H3376" s="1">
        <f>_xlfn.IFNA(VLOOKUP(Aragon!E3376,'Kilter Holds'!$P$36:$AB$370,13,0),0)</f>
        <v>0</v>
      </c>
      <c r="J3376" s="2">
        <f t="shared" si="238"/>
        <v>0</v>
      </c>
      <c r="K3376" s="2">
        <f t="shared" si="239"/>
        <v>0</v>
      </c>
    </row>
    <row r="3377" spans="5:11">
      <c r="E3377" s="3" t="s">
        <v>2360</v>
      </c>
      <c r="F3377" s="3" t="s">
        <v>2361</v>
      </c>
      <c r="G3377" s="5" t="str">
        <f t="shared" si="240"/>
        <v>11-12</v>
      </c>
      <c r="H3377" s="1">
        <f>_xlfn.IFNA(VLOOKUP(Aragon!E3377,'Kilter Holds'!$P$36:$AB$370,5,0),0)</f>
        <v>0</v>
      </c>
      <c r="J3377" s="2">
        <f t="shared" ref="J3377:J3394" si="241">H3377*I3377</f>
        <v>0</v>
      </c>
      <c r="K3377" s="2">
        <f t="shared" ref="K3377:K3394" si="242">IF($V$11="Y",J3377*0.05,0)</f>
        <v>0</v>
      </c>
    </row>
    <row r="3378" spans="5:11">
      <c r="E3378" s="3" t="s">
        <v>2360</v>
      </c>
      <c r="F3378" s="3" t="s">
        <v>2361</v>
      </c>
      <c r="G3378" s="6" t="str">
        <f t="shared" si="240"/>
        <v>14-01</v>
      </c>
      <c r="H3378" s="1">
        <f>_xlfn.IFNA(VLOOKUP(Aragon!E3378,'Kilter Holds'!$P$36:$AB$370,6,0),0)</f>
        <v>0</v>
      </c>
      <c r="J3378" s="2">
        <f t="shared" si="241"/>
        <v>0</v>
      </c>
      <c r="K3378" s="2">
        <f t="shared" si="242"/>
        <v>0</v>
      </c>
    </row>
    <row r="3379" spans="5:11">
      <c r="E3379" s="3" t="s">
        <v>2360</v>
      </c>
      <c r="F3379" s="3" t="s">
        <v>2361</v>
      </c>
      <c r="G3379" s="7" t="str">
        <f t="shared" si="240"/>
        <v>15-12</v>
      </c>
      <c r="H3379" s="1">
        <f>_xlfn.IFNA(VLOOKUP(Aragon!E3379,'Kilter Holds'!$P$36:$AB$370,7,0),0)</f>
        <v>0</v>
      </c>
      <c r="J3379" s="2">
        <f t="shared" si="241"/>
        <v>0</v>
      </c>
      <c r="K3379" s="2">
        <f t="shared" si="242"/>
        <v>0</v>
      </c>
    </row>
    <row r="3380" spans="5:11">
      <c r="E3380" s="3" t="s">
        <v>2360</v>
      </c>
      <c r="F3380" s="3" t="s">
        <v>2361</v>
      </c>
      <c r="G3380" s="8" t="str">
        <f t="shared" si="240"/>
        <v>16-16</v>
      </c>
      <c r="H3380" s="1">
        <f>_xlfn.IFNA(VLOOKUP(Aragon!E3380,'Kilter Holds'!$P$36:$AB$370,8,0),0)</f>
        <v>0</v>
      </c>
      <c r="J3380" s="2">
        <f t="shared" si="241"/>
        <v>0</v>
      </c>
      <c r="K3380" s="2">
        <f t="shared" si="242"/>
        <v>0</v>
      </c>
    </row>
    <row r="3381" spans="5:11">
      <c r="E3381" s="3" t="s">
        <v>2360</v>
      </c>
      <c r="F3381" s="3" t="s">
        <v>2361</v>
      </c>
      <c r="G3381" s="9" t="str">
        <f t="shared" si="240"/>
        <v>13-01</v>
      </c>
      <c r="H3381" s="1">
        <f>_xlfn.IFNA(VLOOKUP(Aragon!E3381,'Kilter Holds'!$P$36:$AB$370,9,0),0)</f>
        <v>0</v>
      </c>
      <c r="J3381" s="2">
        <f t="shared" si="241"/>
        <v>0</v>
      </c>
      <c r="K3381" s="2">
        <f t="shared" si="242"/>
        <v>0</v>
      </c>
    </row>
    <row r="3382" spans="5:11">
      <c r="E3382" s="3" t="s">
        <v>2360</v>
      </c>
      <c r="F3382" s="3" t="s">
        <v>2361</v>
      </c>
      <c r="G3382" s="10" t="str">
        <f t="shared" si="240"/>
        <v>07-13</v>
      </c>
      <c r="H3382" s="1">
        <f>_xlfn.IFNA(VLOOKUP(Aragon!E3382,'Kilter Holds'!$P$36:$AB$370,10,0),0)</f>
        <v>0</v>
      </c>
      <c r="J3382" s="2">
        <f t="shared" si="241"/>
        <v>0</v>
      </c>
      <c r="K3382" s="2">
        <f t="shared" si="242"/>
        <v>0</v>
      </c>
    </row>
    <row r="3383" spans="5:11">
      <c r="E3383" s="3" t="s">
        <v>2360</v>
      </c>
      <c r="F3383" s="3" t="s">
        <v>2361</v>
      </c>
      <c r="G3383" s="11" t="str">
        <f t="shared" si="240"/>
        <v>11-25</v>
      </c>
      <c r="H3383" s="1">
        <f>_xlfn.IFNA(VLOOKUP(Aragon!E3383,'Kilter Holds'!$P$36:$AB$370,11,0),0)</f>
        <v>0</v>
      </c>
      <c r="J3383" s="2">
        <f t="shared" si="241"/>
        <v>0</v>
      </c>
      <c r="K3383" s="2">
        <f t="shared" si="242"/>
        <v>0</v>
      </c>
    </row>
    <row r="3384" spans="5:11">
      <c r="E3384" s="3" t="s">
        <v>2360</v>
      </c>
      <c r="F3384" s="3" t="s">
        <v>2361</v>
      </c>
      <c r="G3384" s="13" t="str">
        <f t="shared" si="240"/>
        <v>18-01</v>
      </c>
      <c r="H3384" s="1">
        <f>_xlfn.IFNA(VLOOKUP(Aragon!E3384,'Kilter Holds'!$P$36:$AB$370,12,0),0)</f>
        <v>0</v>
      </c>
      <c r="J3384" s="2">
        <f t="shared" si="241"/>
        <v>0</v>
      </c>
      <c r="K3384" s="2">
        <f t="shared" si="242"/>
        <v>0</v>
      </c>
    </row>
    <row r="3385" spans="5:11">
      <c r="E3385" s="3" t="s">
        <v>2360</v>
      </c>
      <c r="F3385" s="3" t="s">
        <v>2361</v>
      </c>
      <c r="G3385" s="12" t="str">
        <f t="shared" si="240"/>
        <v>12-01</v>
      </c>
      <c r="H3385" s="1">
        <f>_xlfn.IFNA(VLOOKUP(Aragon!E3385,'Kilter Holds'!$P$36:$AB$370,13,0),0)</f>
        <v>0</v>
      </c>
      <c r="J3385" s="2">
        <f t="shared" si="241"/>
        <v>0</v>
      </c>
      <c r="K3385" s="2">
        <f t="shared" si="242"/>
        <v>0</v>
      </c>
    </row>
    <row r="3386" spans="5:11">
      <c r="E3386" s="3" t="s">
        <v>2362</v>
      </c>
      <c r="F3386" s="3" t="s">
        <v>2365</v>
      </c>
      <c r="G3386" s="5" t="str">
        <f t="shared" si="240"/>
        <v>11-12</v>
      </c>
      <c r="H3386" s="1">
        <f>_xlfn.IFNA(VLOOKUP(Aragon!E3386,'Kilter Holds'!$P$36:$AB$370,5,0),0)</f>
        <v>0</v>
      </c>
      <c r="J3386" s="2">
        <f t="shared" si="241"/>
        <v>0</v>
      </c>
      <c r="K3386" s="2">
        <f t="shared" si="242"/>
        <v>0</v>
      </c>
    </row>
    <row r="3387" spans="5:11">
      <c r="E3387" s="3" t="s">
        <v>2362</v>
      </c>
      <c r="F3387" s="3" t="s">
        <v>2365</v>
      </c>
      <c r="G3387" s="6" t="str">
        <f t="shared" si="240"/>
        <v>14-01</v>
      </c>
      <c r="H3387" s="1">
        <f>_xlfn.IFNA(VLOOKUP(Aragon!E3387,'Kilter Holds'!$P$36:$AB$370,6,0),0)</f>
        <v>0</v>
      </c>
      <c r="J3387" s="2">
        <f t="shared" si="241"/>
        <v>0</v>
      </c>
      <c r="K3387" s="2">
        <f t="shared" si="242"/>
        <v>0</v>
      </c>
    </row>
    <row r="3388" spans="5:11">
      <c r="E3388" s="3" t="s">
        <v>2362</v>
      </c>
      <c r="F3388" s="3" t="s">
        <v>2365</v>
      </c>
      <c r="G3388" s="7" t="str">
        <f t="shared" si="240"/>
        <v>15-12</v>
      </c>
      <c r="H3388" s="1">
        <f>_xlfn.IFNA(VLOOKUP(Aragon!E3388,'Kilter Holds'!$P$36:$AB$370,7,0),0)</f>
        <v>0</v>
      </c>
      <c r="J3388" s="2">
        <f t="shared" si="241"/>
        <v>0</v>
      </c>
      <c r="K3388" s="2">
        <f t="shared" si="242"/>
        <v>0</v>
      </c>
    </row>
    <row r="3389" spans="5:11">
      <c r="E3389" s="3" t="s">
        <v>2362</v>
      </c>
      <c r="F3389" s="3" t="s">
        <v>2365</v>
      </c>
      <c r="G3389" s="8" t="str">
        <f t="shared" si="240"/>
        <v>16-16</v>
      </c>
      <c r="H3389" s="1">
        <f>_xlfn.IFNA(VLOOKUP(Aragon!E3389,'Kilter Holds'!$P$36:$AB$370,8,0),0)</f>
        <v>0</v>
      </c>
      <c r="J3389" s="2">
        <f t="shared" si="241"/>
        <v>0</v>
      </c>
      <c r="K3389" s="2">
        <f t="shared" si="242"/>
        <v>0</v>
      </c>
    </row>
    <row r="3390" spans="5:11">
      <c r="E3390" s="3" t="s">
        <v>2362</v>
      </c>
      <c r="F3390" s="3" t="s">
        <v>2365</v>
      </c>
      <c r="G3390" s="9" t="str">
        <f t="shared" si="240"/>
        <v>13-01</v>
      </c>
      <c r="H3390" s="1">
        <f>_xlfn.IFNA(VLOOKUP(Aragon!E3390,'Kilter Holds'!$P$36:$AB$370,9,0),0)</f>
        <v>0</v>
      </c>
      <c r="J3390" s="2">
        <f t="shared" si="241"/>
        <v>0</v>
      </c>
      <c r="K3390" s="2">
        <f t="shared" si="242"/>
        <v>0</v>
      </c>
    </row>
    <row r="3391" spans="5:11">
      <c r="E3391" s="3" t="s">
        <v>2362</v>
      </c>
      <c r="F3391" s="3" t="s">
        <v>2365</v>
      </c>
      <c r="G3391" s="10" t="str">
        <f t="shared" si="240"/>
        <v>07-13</v>
      </c>
      <c r="H3391" s="1">
        <f>_xlfn.IFNA(VLOOKUP(Aragon!E3391,'Kilter Holds'!$P$36:$AB$370,10,0),0)</f>
        <v>0</v>
      </c>
      <c r="J3391" s="2">
        <f t="shared" si="241"/>
        <v>0</v>
      </c>
      <c r="K3391" s="2">
        <f t="shared" si="242"/>
        <v>0</v>
      </c>
    </row>
    <row r="3392" spans="5:11">
      <c r="E3392" s="3" t="s">
        <v>2362</v>
      </c>
      <c r="F3392" s="3" t="s">
        <v>2365</v>
      </c>
      <c r="G3392" s="11" t="str">
        <f t="shared" si="240"/>
        <v>11-25</v>
      </c>
      <c r="H3392" s="1">
        <f>_xlfn.IFNA(VLOOKUP(Aragon!E3392,'Kilter Holds'!$P$36:$AB$370,11,0),0)</f>
        <v>0</v>
      </c>
      <c r="J3392" s="2">
        <f t="shared" si="241"/>
        <v>0</v>
      </c>
      <c r="K3392" s="2">
        <f t="shared" si="242"/>
        <v>0</v>
      </c>
    </row>
    <row r="3393" spans="5:11">
      <c r="E3393" s="3" t="s">
        <v>2362</v>
      </c>
      <c r="F3393" s="3" t="s">
        <v>2365</v>
      </c>
      <c r="G3393" s="13" t="str">
        <f t="shared" si="240"/>
        <v>18-01</v>
      </c>
      <c r="H3393" s="1">
        <f>_xlfn.IFNA(VLOOKUP(Aragon!E3393,'Kilter Holds'!$P$36:$AB$370,12,0),0)</f>
        <v>0</v>
      </c>
      <c r="J3393" s="2">
        <f t="shared" si="241"/>
        <v>0</v>
      </c>
      <c r="K3393" s="2">
        <f t="shared" si="242"/>
        <v>0</v>
      </c>
    </row>
    <row r="3394" spans="5:11">
      <c r="E3394" s="3" t="s">
        <v>2362</v>
      </c>
      <c r="F3394" s="3" t="s">
        <v>2365</v>
      </c>
      <c r="G3394" s="12" t="str">
        <f t="shared" si="240"/>
        <v>12-01</v>
      </c>
      <c r="H3394" s="1">
        <f>_xlfn.IFNA(VLOOKUP(Aragon!E3394,'Kilter Holds'!$P$36:$AB$370,13,0),0)</f>
        <v>0</v>
      </c>
      <c r="J3394" s="2">
        <f t="shared" si="241"/>
        <v>0</v>
      </c>
      <c r="K3394" s="2">
        <f t="shared" si="242"/>
        <v>0</v>
      </c>
    </row>
    <row r="3395" spans="5:11">
      <c r="E3395" s="3" t="s">
        <v>2363</v>
      </c>
      <c r="F3395" s="3" t="s">
        <v>2366</v>
      </c>
      <c r="G3395" s="5" t="str">
        <f t="shared" si="240"/>
        <v>11-12</v>
      </c>
      <c r="H3395" s="1">
        <f>_xlfn.IFNA(VLOOKUP(Aragon!E3395,'Kilter Holds'!$P$36:$AB$370,5,0),0)</f>
        <v>0</v>
      </c>
      <c r="J3395" s="2">
        <f t="shared" ref="J3395:J3412" si="243">H3395*I3395</f>
        <v>0</v>
      </c>
      <c r="K3395" s="2">
        <f t="shared" ref="K3395:K3412" si="244">IF($V$11="Y",J3395*0.05,0)</f>
        <v>0</v>
      </c>
    </row>
    <row r="3396" spans="5:11">
      <c r="E3396" s="3" t="s">
        <v>2363</v>
      </c>
      <c r="F3396" s="3" t="s">
        <v>2366</v>
      </c>
      <c r="G3396" s="6" t="str">
        <f t="shared" si="240"/>
        <v>14-01</v>
      </c>
      <c r="H3396" s="1">
        <f>_xlfn.IFNA(VLOOKUP(Aragon!E3396,'Kilter Holds'!$P$36:$AB$370,6,0),0)</f>
        <v>0</v>
      </c>
      <c r="J3396" s="2">
        <f t="shared" si="243"/>
        <v>0</v>
      </c>
      <c r="K3396" s="2">
        <f t="shared" si="244"/>
        <v>0</v>
      </c>
    </row>
    <row r="3397" spans="5:11">
      <c r="E3397" s="3" t="s">
        <v>2363</v>
      </c>
      <c r="F3397" s="3" t="s">
        <v>2366</v>
      </c>
      <c r="G3397" s="7" t="str">
        <f t="shared" si="240"/>
        <v>15-12</v>
      </c>
      <c r="H3397" s="1">
        <f>_xlfn.IFNA(VLOOKUP(Aragon!E3397,'Kilter Holds'!$P$36:$AB$370,7,0),0)</f>
        <v>0</v>
      </c>
      <c r="J3397" s="2">
        <f t="shared" si="243"/>
        <v>0</v>
      </c>
      <c r="K3397" s="2">
        <f t="shared" si="244"/>
        <v>0</v>
      </c>
    </row>
    <row r="3398" spans="5:11">
      <c r="E3398" s="3" t="s">
        <v>2363</v>
      </c>
      <c r="F3398" s="3" t="s">
        <v>2366</v>
      </c>
      <c r="G3398" s="8" t="str">
        <f t="shared" si="240"/>
        <v>16-16</v>
      </c>
      <c r="H3398" s="1">
        <f>_xlfn.IFNA(VLOOKUP(Aragon!E3398,'Kilter Holds'!$P$36:$AB$370,8,0),0)</f>
        <v>0</v>
      </c>
      <c r="J3398" s="2">
        <f t="shared" si="243"/>
        <v>0</v>
      </c>
      <c r="K3398" s="2">
        <f t="shared" si="244"/>
        <v>0</v>
      </c>
    </row>
    <row r="3399" spans="5:11">
      <c r="E3399" s="3" t="s">
        <v>2363</v>
      </c>
      <c r="F3399" s="3" t="s">
        <v>2366</v>
      </c>
      <c r="G3399" s="9" t="str">
        <f t="shared" si="240"/>
        <v>13-01</v>
      </c>
      <c r="H3399" s="1">
        <f>_xlfn.IFNA(VLOOKUP(Aragon!E3399,'Kilter Holds'!$P$36:$AB$370,9,0),0)</f>
        <v>0</v>
      </c>
      <c r="J3399" s="2">
        <f t="shared" si="243"/>
        <v>0</v>
      </c>
      <c r="K3399" s="2">
        <f t="shared" si="244"/>
        <v>0</v>
      </c>
    </row>
    <row r="3400" spans="5:11">
      <c r="E3400" s="3" t="s">
        <v>2363</v>
      </c>
      <c r="F3400" s="3" t="s">
        <v>2366</v>
      </c>
      <c r="G3400" s="10" t="str">
        <f t="shared" si="240"/>
        <v>07-13</v>
      </c>
      <c r="H3400" s="1">
        <f>_xlfn.IFNA(VLOOKUP(Aragon!E3400,'Kilter Holds'!$P$36:$AB$370,10,0),0)</f>
        <v>0</v>
      </c>
      <c r="J3400" s="2">
        <f t="shared" si="243"/>
        <v>0</v>
      </c>
      <c r="K3400" s="2">
        <f t="shared" si="244"/>
        <v>0</v>
      </c>
    </row>
    <row r="3401" spans="5:11">
      <c r="E3401" s="3" t="s">
        <v>2363</v>
      </c>
      <c r="F3401" s="3" t="s">
        <v>2366</v>
      </c>
      <c r="G3401" s="11" t="str">
        <f t="shared" si="240"/>
        <v>11-25</v>
      </c>
      <c r="H3401" s="1">
        <f>_xlfn.IFNA(VLOOKUP(Aragon!E3401,'Kilter Holds'!$P$36:$AB$370,11,0),0)</f>
        <v>0</v>
      </c>
      <c r="J3401" s="2">
        <f t="shared" si="243"/>
        <v>0</v>
      </c>
      <c r="K3401" s="2">
        <f t="shared" si="244"/>
        <v>0</v>
      </c>
    </row>
    <row r="3402" spans="5:11">
      <c r="E3402" s="3" t="s">
        <v>2363</v>
      </c>
      <c r="F3402" s="3" t="s">
        <v>2366</v>
      </c>
      <c r="G3402" s="13" t="str">
        <f t="shared" si="240"/>
        <v>18-01</v>
      </c>
      <c r="H3402" s="1">
        <f>_xlfn.IFNA(VLOOKUP(Aragon!E3402,'Kilter Holds'!$P$36:$AB$370,12,0),0)</f>
        <v>0</v>
      </c>
      <c r="J3402" s="2">
        <f t="shared" si="243"/>
        <v>0</v>
      </c>
      <c r="K3402" s="2">
        <f t="shared" si="244"/>
        <v>0</v>
      </c>
    </row>
    <row r="3403" spans="5:11">
      <c r="E3403" s="3" t="s">
        <v>2363</v>
      </c>
      <c r="F3403" s="3" t="s">
        <v>2366</v>
      </c>
      <c r="G3403" s="12" t="str">
        <f t="shared" si="240"/>
        <v>12-01</v>
      </c>
      <c r="H3403" s="1">
        <f>_xlfn.IFNA(VLOOKUP(Aragon!E3403,'Kilter Holds'!$P$36:$AB$370,13,0),0)</f>
        <v>0</v>
      </c>
      <c r="J3403" s="2">
        <f t="shared" si="243"/>
        <v>0</v>
      </c>
      <c r="K3403" s="2">
        <f t="shared" si="244"/>
        <v>0</v>
      </c>
    </row>
    <row r="3404" spans="5:11">
      <c r="E3404" s="3" t="s">
        <v>2364</v>
      </c>
      <c r="F3404" s="3" t="s">
        <v>2367</v>
      </c>
      <c r="G3404" s="5" t="str">
        <f t="shared" si="240"/>
        <v>11-12</v>
      </c>
      <c r="H3404" s="1">
        <f>_xlfn.IFNA(VLOOKUP(Aragon!E3404,'Kilter Holds'!$P$36:$AB$370,5,0),0)</f>
        <v>0</v>
      </c>
      <c r="J3404" s="2">
        <f t="shared" si="243"/>
        <v>0</v>
      </c>
      <c r="K3404" s="2">
        <f t="shared" si="244"/>
        <v>0</v>
      </c>
    </row>
    <row r="3405" spans="5:11">
      <c r="E3405" s="3" t="s">
        <v>2364</v>
      </c>
      <c r="F3405" s="3" t="s">
        <v>2367</v>
      </c>
      <c r="G3405" s="6" t="str">
        <f t="shared" si="240"/>
        <v>14-01</v>
      </c>
      <c r="H3405" s="1">
        <f>_xlfn.IFNA(VLOOKUP(Aragon!E3405,'Kilter Holds'!$P$36:$AB$370,6,0),0)</f>
        <v>0</v>
      </c>
      <c r="J3405" s="2">
        <f t="shared" si="243"/>
        <v>0</v>
      </c>
      <c r="K3405" s="2">
        <f t="shared" si="244"/>
        <v>0</v>
      </c>
    </row>
    <row r="3406" spans="5:11">
      <c r="E3406" s="3" t="s">
        <v>2364</v>
      </c>
      <c r="F3406" s="3" t="s">
        <v>2367</v>
      </c>
      <c r="G3406" s="7" t="str">
        <f t="shared" si="240"/>
        <v>15-12</v>
      </c>
      <c r="H3406" s="1">
        <f>_xlfn.IFNA(VLOOKUP(Aragon!E3406,'Kilter Holds'!$P$36:$AB$370,7,0),0)</f>
        <v>0</v>
      </c>
      <c r="J3406" s="2">
        <f t="shared" si="243"/>
        <v>0</v>
      </c>
      <c r="K3406" s="2">
        <f t="shared" si="244"/>
        <v>0</v>
      </c>
    </row>
    <row r="3407" spans="5:11">
      <c r="E3407" s="3" t="s">
        <v>2364</v>
      </c>
      <c r="F3407" s="3" t="s">
        <v>2367</v>
      </c>
      <c r="G3407" s="8" t="str">
        <f t="shared" si="240"/>
        <v>16-16</v>
      </c>
      <c r="H3407" s="1">
        <f>_xlfn.IFNA(VLOOKUP(Aragon!E3407,'Kilter Holds'!$P$36:$AB$370,8,0),0)</f>
        <v>0</v>
      </c>
      <c r="J3407" s="2">
        <f t="shared" si="243"/>
        <v>0</v>
      </c>
      <c r="K3407" s="2">
        <f t="shared" si="244"/>
        <v>0</v>
      </c>
    </row>
    <row r="3408" spans="5:11">
      <c r="E3408" s="3" t="s">
        <v>2364</v>
      </c>
      <c r="F3408" s="3" t="s">
        <v>2367</v>
      </c>
      <c r="G3408" s="9" t="str">
        <f t="shared" si="240"/>
        <v>13-01</v>
      </c>
      <c r="H3408" s="1">
        <f>_xlfn.IFNA(VLOOKUP(Aragon!E3408,'Kilter Holds'!$P$36:$AB$370,9,0),0)</f>
        <v>0</v>
      </c>
      <c r="J3408" s="2">
        <f t="shared" si="243"/>
        <v>0</v>
      </c>
      <c r="K3408" s="2">
        <f t="shared" si="244"/>
        <v>0</v>
      </c>
    </row>
    <row r="3409" spans="5:11">
      <c r="E3409" s="3" t="s">
        <v>2364</v>
      </c>
      <c r="F3409" s="3" t="s">
        <v>2367</v>
      </c>
      <c r="G3409" s="10" t="str">
        <f t="shared" si="240"/>
        <v>07-13</v>
      </c>
      <c r="H3409" s="1">
        <f>_xlfn.IFNA(VLOOKUP(Aragon!E3409,'Kilter Holds'!$P$36:$AB$370,10,0),0)</f>
        <v>0</v>
      </c>
      <c r="J3409" s="2">
        <f t="shared" si="243"/>
        <v>0</v>
      </c>
      <c r="K3409" s="2">
        <f t="shared" si="244"/>
        <v>0</v>
      </c>
    </row>
    <row r="3410" spans="5:11">
      <c r="E3410" s="3" t="s">
        <v>2364</v>
      </c>
      <c r="F3410" s="3" t="s">
        <v>2367</v>
      </c>
      <c r="G3410" s="11" t="str">
        <f t="shared" si="240"/>
        <v>11-25</v>
      </c>
      <c r="H3410" s="1">
        <f>_xlfn.IFNA(VLOOKUP(Aragon!E3410,'Kilter Holds'!$P$36:$AB$370,11,0),0)</f>
        <v>0</v>
      </c>
      <c r="J3410" s="2">
        <f t="shared" si="243"/>
        <v>0</v>
      </c>
      <c r="K3410" s="2">
        <f t="shared" si="244"/>
        <v>0</v>
      </c>
    </row>
    <row r="3411" spans="5:11">
      <c r="E3411" s="3" t="s">
        <v>2364</v>
      </c>
      <c r="F3411" s="3" t="s">
        <v>2367</v>
      </c>
      <c r="G3411" s="13" t="str">
        <f t="shared" si="240"/>
        <v>18-01</v>
      </c>
      <c r="H3411" s="1">
        <f>_xlfn.IFNA(VLOOKUP(Aragon!E3411,'Kilter Holds'!$P$36:$AB$370,12,0),0)</f>
        <v>0</v>
      </c>
      <c r="J3411" s="2">
        <f t="shared" si="243"/>
        <v>0</v>
      </c>
      <c r="K3411" s="2">
        <f t="shared" si="244"/>
        <v>0</v>
      </c>
    </row>
    <row r="3412" spans="5:11">
      <c r="E3412" s="3" t="s">
        <v>2364</v>
      </c>
      <c r="F3412" s="3" t="s">
        <v>2367</v>
      </c>
      <c r="G3412" s="12" t="str">
        <f t="shared" si="240"/>
        <v>12-01</v>
      </c>
      <c r="H3412" s="1">
        <f>_xlfn.IFNA(VLOOKUP(Aragon!E3412,'Kilter Holds'!$P$36:$AB$370,13,0),0)</f>
        <v>0</v>
      </c>
      <c r="J3412" s="2">
        <f t="shared" si="243"/>
        <v>0</v>
      </c>
      <c r="K3412" s="2">
        <f t="shared" si="244"/>
        <v>0</v>
      </c>
    </row>
    <row r="3413" spans="5:11">
      <c r="E3413" s="3" t="s">
        <v>2471</v>
      </c>
      <c r="F3413" s="3" t="s">
        <v>2474</v>
      </c>
      <c r="G3413" s="5" t="str">
        <f t="shared" si="240"/>
        <v>11-12</v>
      </c>
      <c r="H3413" s="1">
        <f>_xlfn.IFNA(VLOOKUP(Aragon!E3413,'Kilter Holds'!$P$36:$AB$370,5,0),0)</f>
        <v>0</v>
      </c>
      <c r="J3413" s="2">
        <f t="shared" ref="J3413:J3430" si="245">H3413*I3413</f>
        <v>0</v>
      </c>
      <c r="K3413" s="2">
        <f t="shared" ref="K3413:K3430" si="246">IF($V$11="Y",J3413*0.05,0)</f>
        <v>0</v>
      </c>
    </row>
    <row r="3414" spans="5:11">
      <c r="E3414" s="3" t="s">
        <v>2471</v>
      </c>
      <c r="F3414" s="3" t="s">
        <v>2474</v>
      </c>
      <c r="G3414" s="6" t="str">
        <f t="shared" si="240"/>
        <v>14-01</v>
      </c>
      <c r="H3414" s="1">
        <f>_xlfn.IFNA(VLOOKUP(Aragon!E3414,'Kilter Holds'!$P$36:$AB$370,6,0),0)</f>
        <v>0</v>
      </c>
      <c r="J3414" s="2">
        <f t="shared" si="245"/>
        <v>0</v>
      </c>
      <c r="K3414" s="2">
        <f t="shared" si="246"/>
        <v>0</v>
      </c>
    </row>
    <row r="3415" spans="5:11">
      <c r="E3415" s="3" t="s">
        <v>2471</v>
      </c>
      <c r="F3415" s="3" t="s">
        <v>2474</v>
      </c>
      <c r="G3415" s="7" t="str">
        <f t="shared" si="240"/>
        <v>15-12</v>
      </c>
      <c r="H3415" s="1">
        <f>_xlfn.IFNA(VLOOKUP(Aragon!E3415,'Kilter Holds'!$P$36:$AB$370,7,0),0)</f>
        <v>0</v>
      </c>
      <c r="J3415" s="2">
        <f t="shared" si="245"/>
        <v>0</v>
      </c>
      <c r="K3415" s="2">
        <f t="shared" si="246"/>
        <v>0</v>
      </c>
    </row>
    <row r="3416" spans="5:11">
      <c r="E3416" s="3" t="s">
        <v>2471</v>
      </c>
      <c r="F3416" s="3" t="s">
        <v>2474</v>
      </c>
      <c r="G3416" s="8" t="str">
        <f t="shared" si="240"/>
        <v>16-16</v>
      </c>
      <c r="H3416" s="1">
        <f>_xlfn.IFNA(VLOOKUP(Aragon!E3416,'Kilter Holds'!$P$36:$AB$370,8,0),0)</f>
        <v>0</v>
      </c>
      <c r="J3416" s="2">
        <f t="shared" si="245"/>
        <v>0</v>
      </c>
      <c r="K3416" s="2">
        <f t="shared" si="246"/>
        <v>0</v>
      </c>
    </row>
    <row r="3417" spans="5:11">
      <c r="E3417" s="3" t="s">
        <v>2471</v>
      </c>
      <c r="F3417" s="3" t="s">
        <v>2474</v>
      </c>
      <c r="G3417" s="9" t="str">
        <f t="shared" si="240"/>
        <v>13-01</v>
      </c>
      <c r="H3417" s="1">
        <f>_xlfn.IFNA(VLOOKUP(Aragon!E3417,'Kilter Holds'!$P$36:$AB$370,9,0),0)</f>
        <v>0</v>
      </c>
      <c r="J3417" s="2">
        <f t="shared" si="245"/>
        <v>0</v>
      </c>
      <c r="K3417" s="2">
        <f t="shared" si="246"/>
        <v>0</v>
      </c>
    </row>
    <row r="3418" spans="5:11">
      <c r="E3418" s="3" t="s">
        <v>2471</v>
      </c>
      <c r="F3418" s="3" t="s">
        <v>2474</v>
      </c>
      <c r="G3418" s="10" t="str">
        <f t="shared" si="240"/>
        <v>07-13</v>
      </c>
      <c r="H3418" s="1">
        <f>_xlfn.IFNA(VLOOKUP(Aragon!E3418,'Kilter Holds'!$P$36:$AB$370,10,0),0)</f>
        <v>0</v>
      </c>
      <c r="J3418" s="2">
        <f t="shared" si="245"/>
        <v>0</v>
      </c>
      <c r="K3418" s="2">
        <f t="shared" si="246"/>
        <v>0</v>
      </c>
    </row>
    <row r="3419" spans="5:11">
      <c r="E3419" s="3" t="s">
        <v>2471</v>
      </c>
      <c r="F3419" s="3" t="s">
        <v>2474</v>
      </c>
      <c r="G3419" s="11" t="str">
        <f t="shared" si="240"/>
        <v>11-25</v>
      </c>
      <c r="H3419" s="1">
        <f>_xlfn.IFNA(VLOOKUP(Aragon!E3419,'Kilter Holds'!$P$36:$AB$370,11,0),0)</f>
        <v>0</v>
      </c>
      <c r="J3419" s="2">
        <f t="shared" si="245"/>
        <v>0</v>
      </c>
      <c r="K3419" s="2">
        <f t="shared" si="246"/>
        <v>0</v>
      </c>
    </row>
    <row r="3420" spans="5:11">
      <c r="E3420" s="3" t="s">
        <v>2471</v>
      </c>
      <c r="F3420" s="3" t="s">
        <v>2474</v>
      </c>
      <c r="G3420" s="13" t="str">
        <f t="shared" si="240"/>
        <v>18-01</v>
      </c>
      <c r="H3420" s="1">
        <f>_xlfn.IFNA(VLOOKUP(Aragon!E3420,'Kilter Holds'!$P$36:$AB$370,12,0),0)</f>
        <v>0</v>
      </c>
      <c r="J3420" s="2">
        <f t="shared" si="245"/>
        <v>0</v>
      </c>
      <c r="K3420" s="2">
        <f t="shared" si="246"/>
        <v>0</v>
      </c>
    </row>
    <row r="3421" spans="5:11">
      <c r="E3421" s="3" t="s">
        <v>2471</v>
      </c>
      <c r="F3421" s="3" t="s">
        <v>2474</v>
      </c>
      <c r="G3421" s="12" t="str">
        <f t="shared" si="240"/>
        <v>12-01</v>
      </c>
      <c r="H3421" s="1">
        <f>_xlfn.IFNA(VLOOKUP(Aragon!E3421,'Kilter Holds'!$P$36:$AB$370,13,0),0)</f>
        <v>0</v>
      </c>
      <c r="J3421" s="2">
        <f t="shared" si="245"/>
        <v>0</v>
      </c>
      <c r="K3421" s="2">
        <f t="shared" si="246"/>
        <v>0</v>
      </c>
    </row>
    <row r="3422" spans="5:11">
      <c r="E3422" s="3" t="s">
        <v>2472</v>
      </c>
      <c r="F3422" s="3" t="s">
        <v>2475</v>
      </c>
      <c r="G3422" s="5" t="str">
        <f t="shared" si="240"/>
        <v>11-12</v>
      </c>
      <c r="H3422" s="1">
        <f>_xlfn.IFNA(VLOOKUP(Aragon!E3422,'Kilter Holds'!$P$36:$AB$370,5,0),0)</f>
        <v>0</v>
      </c>
      <c r="J3422" s="2">
        <f t="shared" si="245"/>
        <v>0</v>
      </c>
      <c r="K3422" s="2">
        <f t="shared" si="246"/>
        <v>0</v>
      </c>
    </row>
    <row r="3423" spans="5:11">
      <c r="E3423" s="3" t="s">
        <v>2472</v>
      </c>
      <c r="F3423" s="3" t="s">
        <v>2475</v>
      </c>
      <c r="G3423" s="6" t="str">
        <f t="shared" si="240"/>
        <v>14-01</v>
      </c>
      <c r="H3423" s="1">
        <f>_xlfn.IFNA(VLOOKUP(Aragon!E3423,'Kilter Holds'!$P$36:$AB$370,6,0),0)</f>
        <v>0</v>
      </c>
      <c r="J3423" s="2">
        <f t="shared" si="245"/>
        <v>0</v>
      </c>
      <c r="K3423" s="2">
        <f t="shared" si="246"/>
        <v>0</v>
      </c>
    </row>
    <row r="3424" spans="5:11">
      <c r="E3424" s="3" t="s">
        <v>2472</v>
      </c>
      <c r="F3424" s="3" t="s">
        <v>2475</v>
      </c>
      <c r="G3424" s="7" t="str">
        <f t="shared" si="240"/>
        <v>15-12</v>
      </c>
      <c r="H3424" s="1">
        <f>_xlfn.IFNA(VLOOKUP(Aragon!E3424,'Kilter Holds'!$P$36:$AB$370,7,0),0)</f>
        <v>0</v>
      </c>
      <c r="J3424" s="2">
        <f t="shared" si="245"/>
        <v>0</v>
      </c>
      <c r="K3424" s="2">
        <f t="shared" si="246"/>
        <v>0</v>
      </c>
    </row>
    <row r="3425" spans="5:11">
      <c r="E3425" s="3" t="s">
        <v>2472</v>
      </c>
      <c r="F3425" s="3" t="s">
        <v>2475</v>
      </c>
      <c r="G3425" s="8" t="str">
        <f t="shared" si="240"/>
        <v>16-16</v>
      </c>
      <c r="H3425" s="1">
        <f>_xlfn.IFNA(VLOOKUP(Aragon!E3425,'Kilter Holds'!$P$36:$AB$370,8,0),0)</f>
        <v>0</v>
      </c>
      <c r="J3425" s="2">
        <f t="shared" si="245"/>
        <v>0</v>
      </c>
      <c r="K3425" s="2">
        <f t="shared" si="246"/>
        <v>0</v>
      </c>
    </row>
    <row r="3426" spans="5:11">
      <c r="E3426" s="3" t="s">
        <v>2472</v>
      </c>
      <c r="F3426" s="3" t="s">
        <v>2475</v>
      </c>
      <c r="G3426" s="9" t="str">
        <f t="shared" si="240"/>
        <v>13-01</v>
      </c>
      <c r="H3426" s="1">
        <f>_xlfn.IFNA(VLOOKUP(Aragon!E3426,'Kilter Holds'!$P$36:$AB$370,9,0),0)</f>
        <v>0</v>
      </c>
      <c r="J3426" s="2">
        <f t="shared" si="245"/>
        <v>0</v>
      </c>
      <c r="K3426" s="2">
        <f t="shared" si="246"/>
        <v>0</v>
      </c>
    </row>
    <row r="3427" spans="5:11">
      <c r="E3427" s="3" t="s">
        <v>2472</v>
      </c>
      <c r="F3427" s="3" t="s">
        <v>2475</v>
      </c>
      <c r="G3427" s="10" t="str">
        <f t="shared" si="240"/>
        <v>07-13</v>
      </c>
      <c r="H3427" s="1">
        <f>_xlfn.IFNA(VLOOKUP(Aragon!E3427,'Kilter Holds'!$P$36:$AB$370,10,0),0)</f>
        <v>0</v>
      </c>
      <c r="J3427" s="2">
        <f t="shared" si="245"/>
        <v>0</v>
      </c>
      <c r="K3427" s="2">
        <f t="shared" si="246"/>
        <v>0</v>
      </c>
    </row>
    <row r="3428" spans="5:11">
      <c r="E3428" s="3" t="s">
        <v>2472</v>
      </c>
      <c r="F3428" s="3" t="s">
        <v>2475</v>
      </c>
      <c r="G3428" s="11" t="str">
        <f t="shared" si="240"/>
        <v>11-25</v>
      </c>
      <c r="H3428" s="1">
        <f>_xlfn.IFNA(VLOOKUP(Aragon!E3428,'Kilter Holds'!$P$36:$AB$370,11,0),0)</f>
        <v>0</v>
      </c>
      <c r="J3428" s="2">
        <f t="shared" si="245"/>
        <v>0</v>
      </c>
      <c r="K3428" s="2">
        <f t="shared" si="246"/>
        <v>0</v>
      </c>
    </row>
    <row r="3429" spans="5:11">
      <c r="E3429" s="3" t="s">
        <v>2472</v>
      </c>
      <c r="F3429" s="3" t="s">
        <v>2475</v>
      </c>
      <c r="G3429" s="13" t="str">
        <f t="shared" si="240"/>
        <v>18-01</v>
      </c>
      <c r="H3429" s="1">
        <f>_xlfn.IFNA(VLOOKUP(Aragon!E3429,'Kilter Holds'!$P$36:$AB$370,12,0),0)</f>
        <v>0</v>
      </c>
      <c r="J3429" s="2">
        <f t="shared" si="245"/>
        <v>0</v>
      </c>
      <c r="K3429" s="2">
        <f t="shared" si="246"/>
        <v>0</v>
      </c>
    </row>
    <row r="3430" spans="5:11">
      <c r="E3430" s="3" t="s">
        <v>2472</v>
      </c>
      <c r="F3430" s="3" t="s">
        <v>2475</v>
      </c>
      <c r="G3430" s="12" t="str">
        <f t="shared" si="240"/>
        <v>12-01</v>
      </c>
      <c r="H3430" s="1">
        <f>_xlfn.IFNA(VLOOKUP(Aragon!E3430,'Kilter Holds'!$P$36:$AB$370,13,0),0)</f>
        <v>0</v>
      </c>
      <c r="J3430" s="2">
        <f t="shared" si="245"/>
        <v>0</v>
      </c>
      <c r="K3430" s="2">
        <f t="shared" si="246"/>
        <v>0</v>
      </c>
    </row>
    <row r="3431" spans="5:11">
      <c r="E3431" s="3" t="s">
        <v>2524</v>
      </c>
      <c r="F3431" s="3" t="s">
        <v>2531</v>
      </c>
      <c r="G3431" s="5" t="str">
        <f t="shared" si="240"/>
        <v>11-12</v>
      </c>
      <c r="H3431" s="1">
        <f>_xlfn.IFNA(VLOOKUP(Aragon!E3431,'Kilter Holds'!$P$36:$AB$370,5,0),0)</f>
        <v>0</v>
      </c>
      <c r="J3431" s="2">
        <f t="shared" ref="J3431:J3439" si="247">H3431*I3431</f>
        <v>0</v>
      </c>
      <c r="K3431" s="2">
        <f t="shared" ref="K3431:K3439" si="248">IF($V$11="Y",J3431*0.05,0)</f>
        <v>0</v>
      </c>
    </row>
    <row r="3432" spans="5:11">
      <c r="E3432" s="3" t="s">
        <v>2524</v>
      </c>
      <c r="F3432" s="3" t="s">
        <v>2531</v>
      </c>
      <c r="G3432" s="6" t="str">
        <f t="shared" si="240"/>
        <v>14-01</v>
      </c>
      <c r="H3432" s="1">
        <f>_xlfn.IFNA(VLOOKUP(Aragon!E3432,'Kilter Holds'!$P$36:$AB$370,6,0),0)</f>
        <v>0</v>
      </c>
      <c r="J3432" s="2">
        <f t="shared" si="247"/>
        <v>0</v>
      </c>
      <c r="K3432" s="2">
        <f t="shared" si="248"/>
        <v>0</v>
      </c>
    </row>
    <row r="3433" spans="5:11">
      <c r="E3433" s="3" t="s">
        <v>2524</v>
      </c>
      <c r="F3433" s="3" t="s">
        <v>2531</v>
      </c>
      <c r="G3433" s="7" t="str">
        <f t="shared" si="240"/>
        <v>15-12</v>
      </c>
      <c r="H3433" s="1">
        <f>_xlfn.IFNA(VLOOKUP(Aragon!E3433,'Kilter Holds'!$P$36:$AB$370,7,0),0)</f>
        <v>0</v>
      </c>
      <c r="J3433" s="2">
        <f t="shared" si="247"/>
        <v>0</v>
      </c>
      <c r="K3433" s="2">
        <f t="shared" si="248"/>
        <v>0</v>
      </c>
    </row>
    <row r="3434" spans="5:11">
      <c r="E3434" s="3" t="s">
        <v>2524</v>
      </c>
      <c r="F3434" s="3" t="s">
        <v>2531</v>
      </c>
      <c r="G3434" s="8" t="str">
        <f t="shared" ref="G3434:G3497" si="249">G3389</f>
        <v>16-16</v>
      </c>
      <c r="H3434" s="1">
        <f>_xlfn.IFNA(VLOOKUP(Aragon!E3434,'Kilter Holds'!$P$36:$AB$370,8,0),0)</f>
        <v>0</v>
      </c>
      <c r="J3434" s="2">
        <f t="shared" si="247"/>
        <v>0</v>
      </c>
      <c r="K3434" s="2">
        <f t="shared" si="248"/>
        <v>0</v>
      </c>
    </row>
    <row r="3435" spans="5:11">
      <c r="E3435" s="3" t="s">
        <v>2524</v>
      </c>
      <c r="F3435" s="3" t="s">
        <v>2531</v>
      </c>
      <c r="G3435" s="9" t="str">
        <f t="shared" si="249"/>
        <v>13-01</v>
      </c>
      <c r="H3435" s="1">
        <f>_xlfn.IFNA(VLOOKUP(Aragon!E3435,'Kilter Holds'!$P$36:$AB$370,9,0),0)</f>
        <v>0</v>
      </c>
      <c r="J3435" s="2">
        <f t="shared" si="247"/>
        <v>0</v>
      </c>
      <c r="K3435" s="2">
        <f t="shared" si="248"/>
        <v>0</v>
      </c>
    </row>
    <row r="3436" spans="5:11">
      <c r="E3436" s="3" t="s">
        <v>2524</v>
      </c>
      <c r="F3436" s="3" t="s">
        <v>2531</v>
      </c>
      <c r="G3436" s="10" t="str">
        <f t="shared" si="249"/>
        <v>07-13</v>
      </c>
      <c r="H3436" s="1">
        <f>_xlfn.IFNA(VLOOKUP(Aragon!E3436,'Kilter Holds'!$P$36:$AB$370,10,0),0)</f>
        <v>0</v>
      </c>
      <c r="J3436" s="2">
        <f t="shared" si="247"/>
        <v>0</v>
      </c>
      <c r="K3436" s="2">
        <f t="shared" si="248"/>
        <v>0</v>
      </c>
    </row>
    <row r="3437" spans="5:11">
      <c r="E3437" s="3" t="s">
        <v>2524</v>
      </c>
      <c r="F3437" s="3" t="s">
        <v>2531</v>
      </c>
      <c r="G3437" s="11" t="str">
        <f t="shared" si="249"/>
        <v>11-25</v>
      </c>
      <c r="H3437" s="1">
        <f>_xlfn.IFNA(VLOOKUP(Aragon!E3437,'Kilter Holds'!$P$36:$AB$370,11,0),0)</f>
        <v>0</v>
      </c>
      <c r="J3437" s="2">
        <f t="shared" si="247"/>
        <v>0</v>
      </c>
      <c r="K3437" s="2">
        <f t="shared" si="248"/>
        <v>0</v>
      </c>
    </row>
    <row r="3438" spans="5:11">
      <c r="E3438" s="3" t="s">
        <v>2524</v>
      </c>
      <c r="F3438" s="3" t="s">
        <v>2531</v>
      </c>
      <c r="G3438" s="13" t="str">
        <f t="shared" si="249"/>
        <v>18-01</v>
      </c>
      <c r="H3438" s="1">
        <f>_xlfn.IFNA(VLOOKUP(Aragon!E3438,'Kilter Holds'!$P$36:$AB$370,12,0),0)</f>
        <v>0</v>
      </c>
      <c r="J3438" s="2">
        <f t="shared" si="247"/>
        <v>0</v>
      </c>
      <c r="K3438" s="2">
        <f t="shared" si="248"/>
        <v>0</v>
      </c>
    </row>
    <row r="3439" spans="5:11">
      <c r="E3439" s="3" t="s">
        <v>2524</v>
      </c>
      <c r="F3439" s="3" t="s">
        <v>2531</v>
      </c>
      <c r="G3439" s="12" t="str">
        <f t="shared" si="249"/>
        <v>12-01</v>
      </c>
      <c r="H3439" s="1">
        <f>_xlfn.IFNA(VLOOKUP(Aragon!E3439,'Kilter Holds'!$P$36:$AB$370,13,0),0)</f>
        <v>0</v>
      </c>
      <c r="J3439" s="2">
        <f t="shared" si="247"/>
        <v>0</v>
      </c>
      <c r="K3439" s="2">
        <f t="shared" si="248"/>
        <v>0</v>
      </c>
    </row>
    <row r="3440" spans="5:11">
      <c r="E3440" s="3" t="s">
        <v>2548</v>
      </c>
      <c r="F3440" s="3" t="s">
        <v>2550</v>
      </c>
      <c r="G3440" s="5" t="str">
        <f t="shared" si="249"/>
        <v>11-12</v>
      </c>
      <c r="H3440" s="1">
        <f>_xlfn.IFNA(VLOOKUP(Aragon!E3440,'Kilter Holds'!$P$36:$AB$370,5,0),0)</f>
        <v>0</v>
      </c>
      <c r="J3440" s="2">
        <f t="shared" ref="J3440:J3448" si="250">H3440*I3440</f>
        <v>0</v>
      </c>
      <c r="K3440" s="2">
        <f t="shared" ref="K3440:K3448" si="251">IF($V$11="Y",J3440*0.05,0)</f>
        <v>0</v>
      </c>
    </row>
    <row r="3441" spans="5:11">
      <c r="E3441" s="3" t="s">
        <v>2548</v>
      </c>
      <c r="F3441" s="3" t="s">
        <v>2550</v>
      </c>
      <c r="G3441" s="6" t="str">
        <f t="shared" si="249"/>
        <v>14-01</v>
      </c>
      <c r="H3441" s="1">
        <f>_xlfn.IFNA(VLOOKUP(Aragon!E3441,'Kilter Holds'!$P$36:$AB$370,6,0),0)</f>
        <v>0</v>
      </c>
      <c r="J3441" s="2">
        <f t="shared" si="250"/>
        <v>0</v>
      </c>
      <c r="K3441" s="2">
        <f t="shared" si="251"/>
        <v>0</v>
      </c>
    </row>
    <row r="3442" spans="5:11">
      <c r="E3442" s="3" t="s">
        <v>2548</v>
      </c>
      <c r="F3442" s="3" t="s">
        <v>2550</v>
      </c>
      <c r="G3442" s="7" t="str">
        <f t="shared" si="249"/>
        <v>15-12</v>
      </c>
      <c r="H3442" s="1">
        <f>_xlfn.IFNA(VLOOKUP(Aragon!E3442,'Kilter Holds'!$P$36:$AB$370,7,0),0)</f>
        <v>0</v>
      </c>
      <c r="J3442" s="2">
        <f t="shared" si="250"/>
        <v>0</v>
      </c>
      <c r="K3442" s="2">
        <f t="shared" si="251"/>
        <v>0</v>
      </c>
    </row>
    <row r="3443" spans="5:11">
      <c r="E3443" s="3" t="s">
        <v>2548</v>
      </c>
      <c r="F3443" s="3" t="s">
        <v>2550</v>
      </c>
      <c r="G3443" s="8" t="str">
        <f t="shared" si="249"/>
        <v>16-16</v>
      </c>
      <c r="H3443" s="1">
        <f>_xlfn.IFNA(VLOOKUP(Aragon!E3443,'Kilter Holds'!$P$36:$AB$370,8,0),0)</f>
        <v>0</v>
      </c>
      <c r="J3443" s="2">
        <f t="shared" si="250"/>
        <v>0</v>
      </c>
      <c r="K3443" s="2">
        <f t="shared" si="251"/>
        <v>0</v>
      </c>
    </row>
    <row r="3444" spans="5:11">
      <c r="E3444" s="3" t="s">
        <v>2548</v>
      </c>
      <c r="F3444" s="3" t="s">
        <v>2550</v>
      </c>
      <c r="G3444" s="9" t="str">
        <f t="shared" si="249"/>
        <v>13-01</v>
      </c>
      <c r="H3444" s="1">
        <f>_xlfn.IFNA(VLOOKUP(Aragon!E3444,'Kilter Holds'!$P$36:$AB$370,9,0),0)</f>
        <v>0</v>
      </c>
      <c r="J3444" s="2">
        <f t="shared" si="250"/>
        <v>0</v>
      </c>
      <c r="K3444" s="2">
        <f t="shared" si="251"/>
        <v>0</v>
      </c>
    </row>
    <row r="3445" spans="5:11">
      <c r="E3445" s="3" t="s">
        <v>2548</v>
      </c>
      <c r="F3445" s="3" t="s">
        <v>2550</v>
      </c>
      <c r="G3445" s="10" t="str">
        <f t="shared" si="249"/>
        <v>07-13</v>
      </c>
      <c r="H3445" s="1">
        <f>_xlfn.IFNA(VLOOKUP(Aragon!E3445,'Kilter Holds'!$P$36:$AB$370,10,0),0)</f>
        <v>0</v>
      </c>
      <c r="J3445" s="2">
        <f t="shared" si="250"/>
        <v>0</v>
      </c>
      <c r="K3445" s="2">
        <f t="shared" si="251"/>
        <v>0</v>
      </c>
    </row>
    <row r="3446" spans="5:11">
      <c r="E3446" s="3" t="s">
        <v>2548</v>
      </c>
      <c r="F3446" s="3" t="s">
        <v>2550</v>
      </c>
      <c r="G3446" s="11" t="str">
        <f t="shared" si="249"/>
        <v>11-25</v>
      </c>
      <c r="H3446" s="1">
        <f>_xlfn.IFNA(VLOOKUP(Aragon!E3446,'Kilter Holds'!$P$36:$AB$370,11,0),0)</f>
        <v>0</v>
      </c>
      <c r="J3446" s="2">
        <f t="shared" si="250"/>
        <v>0</v>
      </c>
      <c r="K3446" s="2">
        <f t="shared" si="251"/>
        <v>0</v>
      </c>
    </row>
    <row r="3447" spans="5:11">
      <c r="E3447" s="3" t="s">
        <v>2548</v>
      </c>
      <c r="F3447" s="3" t="s">
        <v>2550</v>
      </c>
      <c r="G3447" s="13" t="str">
        <f t="shared" si="249"/>
        <v>18-01</v>
      </c>
      <c r="H3447" s="1">
        <f>_xlfn.IFNA(VLOOKUP(Aragon!E3447,'Kilter Holds'!$P$36:$AB$370,12,0),0)</f>
        <v>0</v>
      </c>
      <c r="J3447" s="2">
        <f t="shared" si="250"/>
        <v>0</v>
      </c>
      <c r="K3447" s="2">
        <f t="shared" si="251"/>
        <v>0</v>
      </c>
    </row>
    <row r="3448" spans="5:11">
      <c r="E3448" s="3" t="s">
        <v>2548</v>
      </c>
      <c r="F3448" s="3" t="s">
        <v>2550</v>
      </c>
      <c r="G3448" s="12" t="str">
        <f t="shared" si="249"/>
        <v>12-01</v>
      </c>
      <c r="H3448" s="1">
        <f>_xlfn.IFNA(VLOOKUP(Aragon!E3448,'Kilter Holds'!$P$36:$AB$370,13,0),0)</f>
        <v>0</v>
      </c>
      <c r="J3448" s="2">
        <f t="shared" si="250"/>
        <v>0</v>
      </c>
      <c r="K3448" s="2">
        <f t="shared" si="251"/>
        <v>0</v>
      </c>
    </row>
    <row r="3449" spans="5:11">
      <c r="E3449" s="3" t="s">
        <v>2613</v>
      </c>
      <c r="F3449" s="3" t="s">
        <v>2614</v>
      </c>
      <c r="G3449" s="5" t="str">
        <f t="shared" si="249"/>
        <v>11-12</v>
      </c>
      <c r="H3449" s="1">
        <f>_xlfn.IFNA(VLOOKUP(Aragon!E3449,'Kilter Holds'!$P$36:$AB$370,5,0),0)</f>
        <v>0</v>
      </c>
      <c r="J3449" s="2">
        <f t="shared" ref="J3449:J3457" si="252">H3449*I3449</f>
        <v>0</v>
      </c>
      <c r="K3449" s="2">
        <f t="shared" ref="K3449:K3457" si="253">IF($V$11="Y",J3449*0.05,0)</f>
        <v>0</v>
      </c>
    </row>
    <row r="3450" spans="5:11">
      <c r="E3450" s="3" t="s">
        <v>2613</v>
      </c>
      <c r="F3450" s="3" t="s">
        <v>2614</v>
      </c>
      <c r="G3450" s="6" t="str">
        <f t="shared" si="249"/>
        <v>14-01</v>
      </c>
      <c r="H3450" s="1">
        <f>_xlfn.IFNA(VLOOKUP(Aragon!E3450,'Kilter Holds'!$P$36:$AB$370,6,0),0)</f>
        <v>0</v>
      </c>
      <c r="J3450" s="2">
        <f t="shared" si="252"/>
        <v>0</v>
      </c>
      <c r="K3450" s="2">
        <f t="shared" si="253"/>
        <v>0</v>
      </c>
    </row>
    <row r="3451" spans="5:11">
      <c r="E3451" s="3" t="s">
        <v>2613</v>
      </c>
      <c r="F3451" s="3" t="s">
        <v>2614</v>
      </c>
      <c r="G3451" s="7" t="str">
        <f t="shared" si="249"/>
        <v>15-12</v>
      </c>
      <c r="H3451" s="1">
        <f>_xlfn.IFNA(VLOOKUP(Aragon!E3451,'Kilter Holds'!$P$36:$AB$370,7,0),0)</f>
        <v>0</v>
      </c>
      <c r="J3451" s="2">
        <f t="shared" si="252"/>
        <v>0</v>
      </c>
      <c r="K3451" s="2">
        <f t="shared" si="253"/>
        <v>0</v>
      </c>
    </row>
    <row r="3452" spans="5:11">
      <c r="E3452" s="3" t="s">
        <v>2613</v>
      </c>
      <c r="F3452" s="3" t="s">
        <v>2614</v>
      </c>
      <c r="G3452" s="8" t="str">
        <f t="shared" si="249"/>
        <v>16-16</v>
      </c>
      <c r="H3452" s="1">
        <f>_xlfn.IFNA(VLOOKUP(Aragon!E3452,'Kilter Holds'!$P$36:$AB$370,8,0),0)</f>
        <v>0</v>
      </c>
      <c r="J3452" s="2">
        <f t="shared" si="252"/>
        <v>0</v>
      </c>
      <c r="K3452" s="2">
        <f t="shared" si="253"/>
        <v>0</v>
      </c>
    </row>
    <row r="3453" spans="5:11">
      <c r="E3453" s="3" t="s">
        <v>2613</v>
      </c>
      <c r="F3453" s="3" t="s">
        <v>2614</v>
      </c>
      <c r="G3453" s="9" t="str">
        <f t="shared" si="249"/>
        <v>13-01</v>
      </c>
      <c r="H3453" s="1">
        <f>_xlfn.IFNA(VLOOKUP(Aragon!E3453,'Kilter Holds'!$P$36:$AB$370,9,0),0)</f>
        <v>0</v>
      </c>
      <c r="J3453" s="2">
        <f t="shared" si="252"/>
        <v>0</v>
      </c>
      <c r="K3453" s="2">
        <f t="shared" si="253"/>
        <v>0</v>
      </c>
    </row>
    <row r="3454" spans="5:11">
      <c r="E3454" s="3" t="s">
        <v>2613</v>
      </c>
      <c r="F3454" s="3" t="s">
        <v>2614</v>
      </c>
      <c r="G3454" s="10" t="str">
        <f t="shared" si="249"/>
        <v>07-13</v>
      </c>
      <c r="H3454" s="1">
        <f>_xlfn.IFNA(VLOOKUP(Aragon!E3454,'Kilter Holds'!$P$36:$AB$370,10,0),0)</f>
        <v>0</v>
      </c>
      <c r="J3454" s="2">
        <f t="shared" si="252"/>
        <v>0</v>
      </c>
      <c r="K3454" s="2">
        <f t="shared" si="253"/>
        <v>0</v>
      </c>
    </row>
    <row r="3455" spans="5:11">
      <c r="E3455" s="3" t="s">
        <v>2613</v>
      </c>
      <c r="F3455" s="3" t="s">
        <v>2614</v>
      </c>
      <c r="G3455" s="11" t="str">
        <f t="shared" si="249"/>
        <v>11-25</v>
      </c>
      <c r="H3455" s="1">
        <f>_xlfn.IFNA(VLOOKUP(Aragon!E3455,'Kilter Holds'!$P$36:$AB$370,11,0),0)</f>
        <v>0</v>
      </c>
      <c r="J3455" s="2">
        <f t="shared" si="252"/>
        <v>0</v>
      </c>
      <c r="K3455" s="2">
        <f t="shared" si="253"/>
        <v>0</v>
      </c>
    </row>
    <row r="3456" spans="5:11">
      <c r="E3456" s="3" t="s">
        <v>2613</v>
      </c>
      <c r="F3456" s="3" t="s">
        <v>2614</v>
      </c>
      <c r="G3456" s="13" t="str">
        <f t="shared" si="249"/>
        <v>18-01</v>
      </c>
      <c r="H3456" s="1">
        <f>_xlfn.IFNA(VLOOKUP(Aragon!E3456,'Kilter Holds'!$P$36:$AB$370,12,0),0)</f>
        <v>0</v>
      </c>
      <c r="J3456" s="2">
        <f t="shared" si="252"/>
        <v>0</v>
      </c>
      <c r="K3456" s="2">
        <f t="shared" si="253"/>
        <v>0</v>
      </c>
    </row>
    <row r="3457" spans="5:11">
      <c r="E3457" s="3" t="s">
        <v>2613</v>
      </c>
      <c r="F3457" s="3" t="s">
        <v>2614</v>
      </c>
      <c r="G3457" s="12" t="str">
        <f t="shared" si="249"/>
        <v>12-01</v>
      </c>
      <c r="H3457" s="1">
        <f>_xlfn.IFNA(VLOOKUP(Aragon!E3457,'Kilter Holds'!$P$36:$AB$370,13,0),0)</f>
        <v>0</v>
      </c>
      <c r="J3457" s="2">
        <f t="shared" si="252"/>
        <v>0</v>
      </c>
      <c r="K3457" s="2">
        <f t="shared" si="253"/>
        <v>0</v>
      </c>
    </row>
    <row r="3458" spans="5:11">
      <c r="E3458" s="3" t="s">
        <v>2675</v>
      </c>
      <c r="F3458" s="3" t="s">
        <v>2680</v>
      </c>
      <c r="G3458" s="5" t="str">
        <f t="shared" si="249"/>
        <v>11-12</v>
      </c>
      <c r="H3458" s="1">
        <f>_xlfn.IFNA(VLOOKUP(Aragon!E3458,'Kilter Holds'!$P$36:$AB$370,5,0),0)</f>
        <v>0</v>
      </c>
      <c r="J3458" s="2">
        <f t="shared" ref="J3458:J3484" si="254">H3458*I3458</f>
        <v>0</v>
      </c>
      <c r="K3458" s="2">
        <f t="shared" ref="K3458:K3484" si="255">IF($V$11="Y",J3458*0.05,0)</f>
        <v>0</v>
      </c>
    </row>
    <row r="3459" spans="5:11">
      <c r="E3459" s="3" t="s">
        <v>2675</v>
      </c>
      <c r="F3459" s="3" t="s">
        <v>2680</v>
      </c>
      <c r="G3459" s="6" t="str">
        <f t="shared" si="249"/>
        <v>14-01</v>
      </c>
      <c r="H3459" s="1">
        <f>_xlfn.IFNA(VLOOKUP(Aragon!E3459,'Kilter Holds'!$P$36:$AB$370,6,0),0)</f>
        <v>0</v>
      </c>
      <c r="J3459" s="2">
        <f t="shared" si="254"/>
        <v>0</v>
      </c>
      <c r="K3459" s="2">
        <f t="shared" si="255"/>
        <v>0</v>
      </c>
    </row>
    <row r="3460" spans="5:11">
      <c r="E3460" s="3" t="s">
        <v>2675</v>
      </c>
      <c r="F3460" s="3" t="s">
        <v>2680</v>
      </c>
      <c r="G3460" s="7" t="str">
        <f t="shared" si="249"/>
        <v>15-12</v>
      </c>
      <c r="H3460" s="1">
        <f>_xlfn.IFNA(VLOOKUP(Aragon!E3460,'Kilter Holds'!$P$36:$AB$370,7,0),0)</f>
        <v>0</v>
      </c>
      <c r="J3460" s="2">
        <f t="shared" si="254"/>
        <v>0</v>
      </c>
      <c r="K3460" s="2">
        <f t="shared" si="255"/>
        <v>0</v>
      </c>
    </row>
    <row r="3461" spans="5:11">
      <c r="E3461" s="3" t="s">
        <v>2675</v>
      </c>
      <c r="F3461" s="3" t="s">
        <v>2680</v>
      </c>
      <c r="G3461" s="8" t="str">
        <f t="shared" si="249"/>
        <v>16-16</v>
      </c>
      <c r="H3461" s="1">
        <f>_xlfn.IFNA(VLOOKUP(Aragon!E3461,'Kilter Holds'!$P$36:$AB$370,8,0),0)</f>
        <v>0</v>
      </c>
      <c r="J3461" s="2">
        <f t="shared" si="254"/>
        <v>0</v>
      </c>
      <c r="K3461" s="2">
        <f t="shared" si="255"/>
        <v>0</v>
      </c>
    </row>
    <row r="3462" spans="5:11">
      <c r="E3462" s="3" t="s">
        <v>2675</v>
      </c>
      <c r="F3462" s="3" t="s">
        <v>2680</v>
      </c>
      <c r="G3462" s="9" t="str">
        <f t="shared" si="249"/>
        <v>13-01</v>
      </c>
      <c r="H3462" s="1">
        <f>_xlfn.IFNA(VLOOKUP(Aragon!E3462,'Kilter Holds'!$P$36:$AB$370,9,0),0)</f>
        <v>0</v>
      </c>
      <c r="J3462" s="2">
        <f t="shared" si="254"/>
        <v>0</v>
      </c>
      <c r="K3462" s="2">
        <f t="shared" si="255"/>
        <v>0</v>
      </c>
    </row>
    <row r="3463" spans="5:11">
      <c r="E3463" s="3" t="s">
        <v>2675</v>
      </c>
      <c r="F3463" s="3" t="s">
        <v>2680</v>
      </c>
      <c r="G3463" s="10" t="str">
        <f t="shared" si="249"/>
        <v>07-13</v>
      </c>
      <c r="H3463" s="1">
        <f>_xlfn.IFNA(VLOOKUP(Aragon!E3463,'Kilter Holds'!$P$36:$AB$370,10,0),0)</f>
        <v>0</v>
      </c>
      <c r="J3463" s="2">
        <f t="shared" si="254"/>
        <v>0</v>
      </c>
      <c r="K3463" s="2">
        <f t="shared" si="255"/>
        <v>0</v>
      </c>
    </row>
    <row r="3464" spans="5:11">
      <c r="E3464" s="3" t="s">
        <v>2675</v>
      </c>
      <c r="F3464" s="3" t="s">
        <v>2680</v>
      </c>
      <c r="G3464" s="11" t="str">
        <f t="shared" si="249"/>
        <v>11-25</v>
      </c>
      <c r="H3464" s="1">
        <f>_xlfn.IFNA(VLOOKUP(Aragon!E3464,'Kilter Holds'!$P$36:$AB$370,11,0),0)</f>
        <v>0</v>
      </c>
      <c r="J3464" s="2">
        <f t="shared" si="254"/>
        <v>0</v>
      </c>
      <c r="K3464" s="2">
        <f t="shared" si="255"/>
        <v>0</v>
      </c>
    </row>
    <row r="3465" spans="5:11">
      <c r="E3465" s="3" t="s">
        <v>2675</v>
      </c>
      <c r="F3465" s="3" t="s">
        <v>2680</v>
      </c>
      <c r="G3465" s="13" t="str">
        <f t="shared" si="249"/>
        <v>18-01</v>
      </c>
      <c r="H3465" s="1">
        <f>_xlfn.IFNA(VLOOKUP(Aragon!E3465,'Kilter Holds'!$P$36:$AB$370,12,0),0)</f>
        <v>0</v>
      </c>
      <c r="J3465" s="2">
        <f t="shared" si="254"/>
        <v>0</v>
      </c>
      <c r="K3465" s="2">
        <f t="shared" si="255"/>
        <v>0</v>
      </c>
    </row>
    <row r="3466" spans="5:11">
      <c r="E3466" s="3" t="s">
        <v>2675</v>
      </c>
      <c r="F3466" s="3" t="s">
        <v>2680</v>
      </c>
      <c r="G3466" s="12" t="str">
        <f t="shared" si="249"/>
        <v>12-01</v>
      </c>
      <c r="H3466" s="1">
        <f>_xlfn.IFNA(VLOOKUP(Aragon!E3466,'Kilter Holds'!$P$36:$AB$370,13,0),0)</f>
        <v>0</v>
      </c>
      <c r="J3466" s="2">
        <f t="shared" si="254"/>
        <v>0</v>
      </c>
      <c r="K3466" s="2">
        <f t="shared" si="255"/>
        <v>0</v>
      </c>
    </row>
    <row r="3467" spans="5:11">
      <c r="E3467" s="3" t="s">
        <v>2676</v>
      </c>
      <c r="F3467" s="3" t="s">
        <v>2681</v>
      </c>
      <c r="G3467" s="5" t="str">
        <f t="shared" si="249"/>
        <v>11-12</v>
      </c>
      <c r="H3467" s="1">
        <f>_xlfn.IFNA(VLOOKUP(Aragon!E3467,'Kilter Holds'!$P$36:$AB$370,5,0),0)</f>
        <v>0</v>
      </c>
      <c r="J3467" s="2">
        <f t="shared" si="254"/>
        <v>0</v>
      </c>
      <c r="K3467" s="2">
        <f t="shared" si="255"/>
        <v>0</v>
      </c>
    </row>
    <row r="3468" spans="5:11">
      <c r="E3468" s="3" t="s">
        <v>2676</v>
      </c>
      <c r="F3468" s="3" t="s">
        <v>2681</v>
      </c>
      <c r="G3468" s="6" t="str">
        <f t="shared" si="249"/>
        <v>14-01</v>
      </c>
      <c r="H3468" s="1">
        <f>_xlfn.IFNA(VLOOKUP(Aragon!E3468,'Kilter Holds'!$P$36:$AB$370,6,0),0)</f>
        <v>0</v>
      </c>
      <c r="J3468" s="2">
        <f t="shared" si="254"/>
        <v>0</v>
      </c>
      <c r="K3468" s="2">
        <f t="shared" si="255"/>
        <v>0</v>
      </c>
    </row>
    <row r="3469" spans="5:11">
      <c r="E3469" s="3" t="s">
        <v>2676</v>
      </c>
      <c r="F3469" s="3" t="s">
        <v>2681</v>
      </c>
      <c r="G3469" s="7" t="str">
        <f t="shared" si="249"/>
        <v>15-12</v>
      </c>
      <c r="H3469" s="1">
        <f>_xlfn.IFNA(VLOOKUP(Aragon!E3469,'Kilter Holds'!$P$36:$AB$370,7,0),0)</f>
        <v>0</v>
      </c>
      <c r="J3469" s="2">
        <f t="shared" si="254"/>
        <v>0</v>
      </c>
      <c r="K3469" s="2">
        <f t="shared" si="255"/>
        <v>0</v>
      </c>
    </row>
    <row r="3470" spans="5:11">
      <c r="E3470" s="3" t="s">
        <v>2676</v>
      </c>
      <c r="F3470" s="3" t="s">
        <v>2681</v>
      </c>
      <c r="G3470" s="8" t="str">
        <f t="shared" si="249"/>
        <v>16-16</v>
      </c>
      <c r="H3470" s="1">
        <f>_xlfn.IFNA(VLOOKUP(Aragon!E3470,'Kilter Holds'!$P$36:$AB$370,8,0),0)</f>
        <v>0</v>
      </c>
      <c r="J3470" s="2">
        <f t="shared" si="254"/>
        <v>0</v>
      </c>
      <c r="K3470" s="2">
        <f t="shared" si="255"/>
        <v>0</v>
      </c>
    </row>
    <row r="3471" spans="5:11">
      <c r="E3471" s="3" t="s">
        <v>2676</v>
      </c>
      <c r="F3471" s="3" t="s">
        <v>2681</v>
      </c>
      <c r="G3471" s="9" t="str">
        <f t="shared" si="249"/>
        <v>13-01</v>
      </c>
      <c r="H3471" s="1">
        <f>_xlfn.IFNA(VLOOKUP(Aragon!E3471,'Kilter Holds'!$P$36:$AB$370,9,0),0)</f>
        <v>0</v>
      </c>
      <c r="J3471" s="2">
        <f t="shared" si="254"/>
        <v>0</v>
      </c>
      <c r="K3471" s="2">
        <f t="shared" si="255"/>
        <v>0</v>
      </c>
    </row>
    <row r="3472" spans="5:11">
      <c r="E3472" s="3" t="s">
        <v>2676</v>
      </c>
      <c r="F3472" s="3" t="s">
        <v>2681</v>
      </c>
      <c r="G3472" s="10" t="str">
        <f t="shared" si="249"/>
        <v>07-13</v>
      </c>
      <c r="H3472" s="1">
        <f>_xlfn.IFNA(VLOOKUP(Aragon!E3472,'Kilter Holds'!$P$36:$AB$370,10,0),0)</f>
        <v>0</v>
      </c>
      <c r="J3472" s="2">
        <f t="shared" si="254"/>
        <v>0</v>
      </c>
      <c r="K3472" s="2">
        <f t="shared" si="255"/>
        <v>0</v>
      </c>
    </row>
    <row r="3473" spans="5:11">
      <c r="E3473" s="3" t="s">
        <v>2676</v>
      </c>
      <c r="F3473" s="3" t="s">
        <v>2681</v>
      </c>
      <c r="G3473" s="11" t="str">
        <f t="shared" si="249"/>
        <v>11-25</v>
      </c>
      <c r="H3473" s="1">
        <f>_xlfn.IFNA(VLOOKUP(Aragon!E3473,'Kilter Holds'!$P$36:$AB$370,11,0),0)</f>
        <v>0</v>
      </c>
      <c r="J3473" s="2">
        <f t="shared" si="254"/>
        <v>0</v>
      </c>
      <c r="K3473" s="2">
        <f t="shared" si="255"/>
        <v>0</v>
      </c>
    </row>
    <row r="3474" spans="5:11">
      <c r="E3474" s="3" t="s">
        <v>2676</v>
      </c>
      <c r="F3474" s="3" t="s">
        <v>2681</v>
      </c>
      <c r="G3474" s="13" t="str">
        <f t="shared" si="249"/>
        <v>18-01</v>
      </c>
      <c r="H3474" s="1">
        <f>_xlfn.IFNA(VLOOKUP(Aragon!E3474,'Kilter Holds'!$P$36:$AB$370,12,0),0)</f>
        <v>0</v>
      </c>
      <c r="J3474" s="2">
        <f t="shared" si="254"/>
        <v>0</v>
      </c>
      <c r="K3474" s="2">
        <f t="shared" si="255"/>
        <v>0</v>
      </c>
    </row>
    <row r="3475" spans="5:11">
      <c r="E3475" s="3" t="s">
        <v>2676</v>
      </c>
      <c r="F3475" s="3" t="s">
        <v>2681</v>
      </c>
      <c r="G3475" s="12" t="str">
        <f t="shared" si="249"/>
        <v>12-01</v>
      </c>
      <c r="H3475" s="1">
        <f>_xlfn.IFNA(VLOOKUP(Aragon!E3475,'Kilter Holds'!$P$36:$AB$370,13,0),0)</f>
        <v>0</v>
      </c>
      <c r="J3475" s="2">
        <f t="shared" si="254"/>
        <v>0</v>
      </c>
      <c r="K3475" s="2">
        <f t="shared" si="255"/>
        <v>0</v>
      </c>
    </row>
    <row r="3476" spans="5:11">
      <c r="E3476" s="3" t="s">
        <v>2677</v>
      </c>
      <c r="F3476" s="3" t="s">
        <v>2682</v>
      </c>
      <c r="G3476" s="5" t="str">
        <f t="shared" si="249"/>
        <v>11-12</v>
      </c>
      <c r="H3476" s="1">
        <f>_xlfn.IFNA(VLOOKUP(Aragon!E3476,'Kilter Holds'!$P$36:$AB$370,5,0),0)</f>
        <v>0</v>
      </c>
      <c r="J3476" s="2">
        <f t="shared" si="254"/>
        <v>0</v>
      </c>
      <c r="K3476" s="2">
        <f t="shared" si="255"/>
        <v>0</v>
      </c>
    </row>
    <row r="3477" spans="5:11">
      <c r="E3477" s="3" t="s">
        <v>2677</v>
      </c>
      <c r="F3477" s="3" t="s">
        <v>2682</v>
      </c>
      <c r="G3477" s="6" t="str">
        <f t="shared" si="249"/>
        <v>14-01</v>
      </c>
      <c r="H3477" s="1">
        <f>_xlfn.IFNA(VLOOKUP(Aragon!E3477,'Kilter Holds'!$P$36:$AB$370,6,0),0)</f>
        <v>0</v>
      </c>
      <c r="J3477" s="2">
        <f t="shared" si="254"/>
        <v>0</v>
      </c>
      <c r="K3477" s="2">
        <f t="shared" si="255"/>
        <v>0</v>
      </c>
    </row>
    <row r="3478" spans="5:11">
      <c r="E3478" s="3" t="s">
        <v>2677</v>
      </c>
      <c r="F3478" s="3" t="s">
        <v>2682</v>
      </c>
      <c r="G3478" s="7" t="str">
        <f t="shared" si="249"/>
        <v>15-12</v>
      </c>
      <c r="H3478" s="1">
        <f>_xlfn.IFNA(VLOOKUP(Aragon!E3478,'Kilter Holds'!$P$36:$AB$370,7,0),0)</f>
        <v>0</v>
      </c>
      <c r="J3478" s="2">
        <f t="shared" si="254"/>
        <v>0</v>
      </c>
      <c r="K3478" s="2">
        <f t="shared" si="255"/>
        <v>0</v>
      </c>
    </row>
    <row r="3479" spans="5:11">
      <c r="E3479" s="3" t="s">
        <v>2677</v>
      </c>
      <c r="F3479" s="3" t="s">
        <v>2682</v>
      </c>
      <c r="G3479" s="8" t="str">
        <f t="shared" si="249"/>
        <v>16-16</v>
      </c>
      <c r="H3479" s="1">
        <f>_xlfn.IFNA(VLOOKUP(Aragon!E3479,'Kilter Holds'!$P$36:$AB$370,8,0),0)</f>
        <v>0</v>
      </c>
      <c r="J3479" s="2">
        <f t="shared" si="254"/>
        <v>0</v>
      </c>
      <c r="K3479" s="2">
        <f t="shared" si="255"/>
        <v>0</v>
      </c>
    </row>
    <row r="3480" spans="5:11">
      <c r="E3480" s="3" t="s">
        <v>2677</v>
      </c>
      <c r="F3480" s="3" t="s">
        <v>2682</v>
      </c>
      <c r="G3480" s="9" t="str">
        <f t="shared" si="249"/>
        <v>13-01</v>
      </c>
      <c r="H3480" s="1">
        <f>_xlfn.IFNA(VLOOKUP(Aragon!E3480,'Kilter Holds'!$P$36:$AB$370,9,0),0)</f>
        <v>0</v>
      </c>
      <c r="J3480" s="2">
        <f t="shared" si="254"/>
        <v>0</v>
      </c>
      <c r="K3480" s="2">
        <f t="shared" si="255"/>
        <v>0</v>
      </c>
    </row>
    <row r="3481" spans="5:11">
      <c r="E3481" s="3" t="s">
        <v>2677</v>
      </c>
      <c r="F3481" s="3" t="s">
        <v>2682</v>
      </c>
      <c r="G3481" s="10" t="str">
        <f t="shared" si="249"/>
        <v>07-13</v>
      </c>
      <c r="H3481" s="1">
        <f>_xlfn.IFNA(VLOOKUP(Aragon!E3481,'Kilter Holds'!$P$36:$AB$370,10,0),0)</f>
        <v>0</v>
      </c>
      <c r="J3481" s="2">
        <f t="shared" si="254"/>
        <v>0</v>
      </c>
      <c r="K3481" s="2">
        <f t="shared" si="255"/>
        <v>0</v>
      </c>
    </row>
    <row r="3482" spans="5:11">
      <c r="E3482" s="3" t="s">
        <v>2677</v>
      </c>
      <c r="F3482" s="3" t="s">
        <v>2682</v>
      </c>
      <c r="G3482" s="11" t="str">
        <f t="shared" si="249"/>
        <v>11-25</v>
      </c>
      <c r="H3482" s="1">
        <f>_xlfn.IFNA(VLOOKUP(Aragon!E3482,'Kilter Holds'!$P$36:$AB$370,11,0),0)</f>
        <v>0</v>
      </c>
      <c r="J3482" s="2">
        <f t="shared" si="254"/>
        <v>0</v>
      </c>
      <c r="K3482" s="2">
        <f t="shared" si="255"/>
        <v>0</v>
      </c>
    </row>
    <row r="3483" spans="5:11">
      <c r="E3483" s="3" t="s">
        <v>2677</v>
      </c>
      <c r="F3483" s="3" t="s">
        <v>2682</v>
      </c>
      <c r="G3483" s="13" t="str">
        <f t="shared" si="249"/>
        <v>18-01</v>
      </c>
      <c r="H3483" s="1">
        <f>_xlfn.IFNA(VLOOKUP(Aragon!E3483,'Kilter Holds'!$P$36:$AB$370,12,0),0)</f>
        <v>0</v>
      </c>
      <c r="J3483" s="2">
        <f t="shared" si="254"/>
        <v>0</v>
      </c>
      <c r="K3483" s="2">
        <f t="shared" si="255"/>
        <v>0</v>
      </c>
    </row>
    <row r="3484" spans="5:11">
      <c r="E3484" s="3" t="s">
        <v>2677</v>
      </c>
      <c r="F3484" s="3" t="s">
        <v>2682</v>
      </c>
      <c r="G3484" s="12" t="str">
        <f t="shared" si="249"/>
        <v>12-01</v>
      </c>
      <c r="H3484" s="1">
        <f>_xlfn.IFNA(VLOOKUP(Aragon!E3484,'Kilter Holds'!$P$36:$AB$370,13,0),0)</f>
        <v>0</v>
      </c>
      <c r="J3484" s="2">
        <f t="shared" si="254"/>
        <v>0</v>
      </c>
      <c r="K3484" s="2">
        <f t="shared" si="255"/>
        <v>0</v>
      </c>
    </row>
    <row r="3485" spans="5:11">
      <c r="E3485" s="3" t="s">
        <v>2771</v>
      </c>
      <c r="F3485" s="3" t="s">
        <v>2779</v>
      </c>
      <c r="G3485" s="5" t="str">
        <f t="shared" si="249"/>
        <v>11-12</v>
      </c>
      <c r="H3485" s="1">
        <f>_xlfn.IFNA(VLOOKUP(Aragon!E3485,'Kilter Holds'!$P$36:$AB$370,5,0),0)</f>
        <v>0</v>
      </c>
      <c r="J3485" s="2">
        <f t="shared" ref="J3485:J3556" si="256">H3485*I3485</f>
        <v>0</v>
      </c>
      <c r="K3485" s="2">
        <f t="shared" ref="K3485:K3556" si="257">IF($V$11="Y",J3485*0.05,0)</f>
        <v>0</v>
      </c>
    </row>
    <row r="3486" spans="5:11">
      <c r="E3486" s="3" t="s">
        <v>2771</v>
      </c>
      <c r="F3486" s="3" t="s">
        <v>2779</v>
      </c>
      <c r="G3486" s="6" t="str">
        <f t="shared" si="249"/>
        <v>14-01</v>
      </c>
      <c r="H3486" s="1">
        <f>_xlfn.IFNA(VLOOKUP(Aragon!E3486,'Kilter Holds'!$P$36:$AB$370,6,0),0)</f>
        <v>0</v>
      </c>
      <c r="J3486" s="2">
        <f t="shared" si="256"/>
        <v>0</v>
      </c>
      <c r="K3486" s="2">
        <f t="shared" si="257"/>
        <v>0</v>
      </c>
    </row>
    <row r="3487" spans="5:11">
      <c r="E3487" s="3" t="s">
        <v>2771</v>
      </c>
      <c r="F3487" s="3" t="s">
        <v>2779</v>
      </c>
      <c r="G3487" s="7" t="str">
        <f t="shared" si="249"/>
        <v>15-12</v>
      </c>
      <c r="H3487" s="1">
        <f>_xlfn.IFNA(VLOOKUP(Aragon!E3487,'Kilter Holds'!$P$36:$AB$370,7,0),0)</f>
        <v>0</v>
      </c>
      <c r="J3487" s="2">
        <f t="shared" si="256"/>
        <v>0</v>
      </c>
      <c r="K3487" s="2">
        <f t="shared" si="257"/>
        <v>0</v>
      </c>
    </row>
    <row r="3488" spans="5:11">
      <c r="E3488" s="3" t="s">
        <v>2771</v>
      </c>
      <c r="F3488" s="3" t="s">
        <v>2779</v>
      </c>
      <c r="G3488" s="8" t="str">
        <f t="shared" si="249"/>
        <v>16-16</v>
      </c>
      <c r="H3488" s="1">
        <f>_xlfn.IFNA(VLOOKUP(Aragon!E3488,'Kilter Holds'!$P$36:$AB$370,8,0),0)</f>
        <v>0</v>
      </c>
      <c r="J3488" s="2">
        <f t="shared" si="256"/>
        <v>0</v>
      </c>
      <c r="K3488" s="2">
        <f t="shared" si="257"/>
        <v>0</v>
      </c>
    </row>
    <row r="3489" spans="5:11">
      <c r="E3489" s="3" t="s">
        <v>2771</v>
      </c>
      <c r="F3489" s="3" t="s">
        <v>2779</v>
      </c>
      <c r="G3489" s="9" t="str">
        <f t="shared" si="249"/>
        <v>13-01</v>
      </c>
      <c r="H3489" s="1">
        <f>_xlfn.IFNA(VLOOKUP(Aragon!E3489,'Kilter Holds'!$P$36:$AB$370,9,0),0)</f>
        <v>0</v>
      </c>
      <c r="J3489" s="2">
        <f t="shared" si="256"/>
        <v>0</v>
      </c>
      <c r="K3489" s="2">
        <f t="shared" si="257"/>
        <v>0</v>
      </c>
    </row>
    <row r="3490" spans="5:11">
      <c r="E3490" s="3" t="s">
        <v>2771</v>
      </c>
      <c r="F3490" s="3" t="s">
        <v>2779</v>
      </c>
      <c r="G3490" s="10" t="str">
        <f t="shared" si="249"/>
        <v>07-13</v>
      </c>
      <c r="H3490" s="1">
        <f>_xlfn.IFNA(VLOOKUP(Aragon!E3490,'Kilter Holds'!$P$36:$AB$370,10,0),0)</f>
        <v>0</v>
      </c>
      <c r="J3490" s="2">
        <f t="shared" si="256"/>
        <v>0</v>
      </c>
      <c r="K3490" s="2">
        <f t="shared" si="257"/>
        <v>0</v>
      </c>
    </row>
    <row r="3491" spans="5:11">
      <c r="E3491" s="3" t="s">
        <v>2771</v>
      </c>
      <c r="F3491" s="3" t="s">
        <v>2779</v>
      </c>
      <c r="G3491" s="11" t="str">
        <f t="shared" si="249"/>
        <v>11-25</v>
      </c>
      <c r="H3491" s="1">
        <f>_xlfn.IFNA(VLOOKUP(Aragon!E3491,'Kilter Holds'!$P$36:$AB$370,11,0),0)</f>
        <v>0</v>
      </c>
      <c r="J3491" s="2">
        <f t="shared" si="256"/>
        <v>0</v>
      </c>
      <c r="K3491" s="2">
        <f t="shared" si="257"/>
        <v>0</v>
      </c>
    </row>
    <row r="3492" spans="5:11">
      <c r="E3492" s="3" t="s">
        <v>2771</v>
      </c>
      <c r="F3492" s="3" t="s">
        <v>2779</v>
      </c>
      <c r="G3492" s="13" t="str">
        <f t="shared" si="249"/>
        <v>18-01</v>
      </c>
      <c r="H3492" s="1">
        <f>_xlfn.IFNA(VLOOKUP(Aragon!E3492,'Kilter Holds'!$P$36:$AB$370,12,0),0)</f>
        <v>0</v>
      </c>
      <c r="J3492" s="2">
        <f t="shared" si="256"/>
        <v>0</v>
      </c>
      <c r="K3492" s="2">
        <f t="shared" si="257"/>
        <v>0</v>
      </c>
    </row>
    <row r="3493" spans="5:11">
      <c r="E3493" s="3" t="s">
        <v>2771</v>
      </c>
      <c r="F3493" s="3" t="s">
        <v>2779</v>
      </c>
      <c r="G3493" s="12" t="str">
        <f t="shared" si="249"/>
        <v>12-01</v>
      </c>
      <c r="H3493" s="1">
        <f>_xlfn.IFNA(VLOOKUP(Aragon!E3493,'Kilter Holds'!$P$36:$AB$370,13,0),0)</f>
        <v>0</v>
      </c>
      <c r="J3493" s="2">
        <f t="shared" si="256"/>
        <v>0</v>
      </c>
      <c r="K3493" s="2">
        <f t="shared" si="257"/>
        <v>0</v>
      </c>
    </row>
    <row r="3494" spans="5:11">
      <c r="E3494" s="3" t="s">
        <v>2772</v>
      </c>
      <c r="F3494" s="3" t="s">
        <v>2780</v>
      </c>
      <c r="G3494" s="5" t="str">
        <f t="shared" si="249"/>
        <v>11-12</v>
      </c>
      <c r="H3494" s="1">
        <f>_xlfn.IFNA(VLOOKUP(Aragon!E3494,'Kilter Holds'!$P$36:$AB$370,5,0),0)</f>
        <v>0</v>
      </c>
      <c r="J3494" s="2">
        <f t="shared" si="256"/>
        <v>0</v>
      </c>
      <c r="K3494" s="2">
        <f t="shared" si="257"/>
        <v>0</v>
      </c>
    </row>
    <row r="3495" spans="5:11">
      <c r="E3495" s="3" t="s">
        <v>2772</v>
      </c>
      <c r="F3495" s="3" t="s">
        <v>2780</v>
      </c>
      <c r="G3495" s="6" t="str">
        <f t="shared" si="249"/>
        <v>14-01</v>
      </c>
      <c r="H3495" s="1">
        <f>_xlfn.IFNA(VLOOKUP(Aragon!E3495,'Kilter Holds'!$P$36:$AB$370,6,0),0)</f>
        <v>0</v>
      </c>
      <c r="J3495" s="2">
        <f t="shared" si="256"/>
        <v>0</v>
      </c>
      <c r="K3495" s="2">
        <f t="shared" si="257"/>
        <v>0</v>
      </c>
    </row>
    <row r="3496" spans="5:11">
      <c r="E3496" s="3" t="s">
        <v>2772</v>
      </c>
      <c r="F3496" s="3" t="s">
        <v>2780</v>
      </c>
      <c r="G3496" s="7" t="str">
        <f t="shared" si="249"/>
        <v>15-12</v>
      </c>
      <c r="H3496" s="1">
        <f>_xlfn.IFNA(VLOOKUP(Aragon!E3496,'Kilter Holds'!$P$36:$AB$370,7,0),0)</f>
        <v>0</v>
      </c>
      <c r="J3496" s="2">
        <f t="shared" si="256"/>
        <v>0</v>
      </c>
      <c r="K3496" s="2">
        <f t="shared" si="257"/>
        <v>0</v>
      </c>
    </row>
    <row r="3497" spans="5:11">
      <c r="E3497" s="3" t="s">
        <v>2772</v>
      </c>
      <c r="F3497" s="3" t="s">
        <v>2780</v>
      </c>
      <c r="G3497" s="8" t="str">
        <f t="shared" si="249"/>
        <v>16-16</v>
      </c>
      <c r="H3497" s="1">
        <f>_xlfn.IFNA(VLOOKUP(Aragon!E3497,'Kilter Holds'!$P$36:$AB$370,8,0),0)</f>
        <v>0</v>
      </c>
      <c r="J3497" s="2">
        <f t="shared" si="256"/>
        <v>0</v>
      </c>
      <c r="K3497" s="2">
        <f t="shared" si="257"/>
        <v>0</v>
      </c>
    </row>
    <row r="3498" spans="5:11">
      <c r="E3498" s="3" t="s">
        <v>2772</v>
      </c>
      <c r="F3498" s="3" t="s">
        <v>2780</v>
      </c>
      <c r="G3498" s="9" t="str">
        <f t="shared" ref="G3498:G3547" si="258">G3453</f>
        <v>13-01</v>
      </c>
      <c r="H3498" s="1">
        <f>_xlfn.IFNA(VLOOKUP(Aragon!E3498,'Kilter Holds'!$P$36:$AB$370,9,0),0)</f>
        <v>0</v>
      </c>
      <c r="J3498" s="2">
        <f t="shared" si="256"/>
        <v>0</v>
      </c>
      <c r="K3498" s="2">
        <f t="shared" si="257"/>
        <v>0</v>
      </c>
    </row>
    <row r="3499" spans="5:11">
      <c r="E3499" s="3" t="s">
        <v>2772</v>
      </c>
      <c r="F3499" s="3" t="s">
        <v>2780</v>
      </c>
      <c r="G3499" s="10" t="str">
        <f t="shared" si="258"/>
        <v>07-13</v>
      </c>
      <c r="H3499" s="1">
        <f>_xlfn.IFNA(VLOOKUP(Aragon!E3499,'Kilter Holds'!$P$36:$AB$370,10,0),0)</f>
        <v>0</v>
      </c>
      <c r="J3499" s="2">
        <f t="shared" si="256"/>
        <v>0</v>
      </c>
      <c r="K3499" s="2">
        <f t="shared" si="257"/>
        <v>0</v>
      </c>
    </row>
    <row r="3500" spans="5:11">
      <c r="E3500" s="3" t="s">
        <v>2772</v>
      </c>
      <c r="F3500" s="3" t="s">
        <v>2780</v>
      </c>
      <c r="G3500" s="11" t="str">
        <f t="shared" si="258"/>
        <v>11-25</v>
      </c>
      <c r="H3500" s="1">
        <f>_xlfn.IFNA(VLOOKUP(Aragon!E3500,'Kilter Holds'!$P$36:$AB$370,11,0),0)</f>
        <v>0</v>
      </c>
      <c r="J3500" s="2">
        <f t="shared" si="256"/>
        <v>0</v>
      </c>
      <c r="K3500" s="2">
        <f t="shared" si="257"/>
        <v>0</v>
      </c>
    </row>
    <row r="3501" spans="5:11">
      <c r="E3501" s="3" t="s">
        <v>2772</v>
      </c>
      <c r="F3501" s="3" t="s">
        <v>2780</v>
      </c>
      <c r="G3501" s="13" t="str">
        <f t="shared" si="258"/>
        <v>18-01</v>
      </c>
      <c r="H3501" s="1">
        <f>_xlfn.IFNA(VLOOKUP(Aragon!E3501,'Kilter Holds'!$P$36:$AB$370,12,0),0)</f>
        <v>0</v>
      </c>
      <c r="J3501" s="2">
        <f t="shared" si="256"/>
        <v>0</v>
      </c>
      <c r="K3501" s="2">
        <f t="shared" si="257"/>
        <v>0</v>
      </c>
    </row>
    <row r="3502" spans="5:11">
      <c r="E3502" s="3" t="s">
        <v>2772</v>
      </c>
      <c r="F3502" s="3" t="s">
        <v>2780</v>
      </c>
      <c r="G3502" s="12" t="str">
        <f t="shared" si="258"/>
        <v>12-01</v>
      </c>
      <c r="H3502" s="1">
        <f>_xlfn.IFNA(VLOOKUP(Aragon!E3502,'Kilter Holds'!$P$36:$AB$370,13,0),0)</f>
        <v>0</v>
      </c>
      <c r="J3502" s="2">
        <f t="shared" si="256"/>
        <v>0</v>
      </c>
      <c r="K3502" s="2">
        <f t="shared" si="257"/>
        <v>0</v>
      </c>
    </row>
    <row r="3503" spans="5:11">
      <c r="E3503" s="3" t="s">
        <v>2773</v>
      </c>
      <c r="F3503" s="3" t="s">
        <v>2781</v>
      </c>
      <c r="G3503" s="5" t="str">
        <f t="shared" si="258"/>
        <v>11-12</v>
      </c>
      <c r="H3503" s="1">
        <f>_xlfn.IFNA(VLOOKUP(Aragon!E3503,'Kilter Holds'!$P$36:$AB$370,5,0),0)</f>
        <v>0</v>
      </c>
      <c r="J3503" s="2">
        <f t="shared" si="256"/>
        <v>0</v>
      </c>
      <c r="K3503" s="2">
        <f t="shared" si="257"/>
        <v>0</v>
      </c>
    </row>
    <row r="3504" spans="5:11">
      <c r="E3504" s="3" t="s">
        <v>2773</v>
      </c>
      <c r="F3504" s="3" t="s">
        <v>2781</v>
      </c>
      <c r="G3504" s="6" t="str">
        <f t="shared" si="258"/>
        <v>14-01</v>
      </c>
      <c r="H3504" s="1">
        <f>_xlfn.IFNA(VLOOKUP(Aragon!E3504,'Kilter Holds'!$P$36:$AB$370,6,0),0)</f>
        <v>0</v>
      </c>
      <c r="J3504" s="2">
        <f t="shared" si="256"/>
        <v>0</v>
      </c>
      <c r="K3504" s="2">
        <f t="shared" si="257"/>
        <v>0</v>
      </c>
    </row>
    <row r="3505" spans="5:11">
      <c r="E3505" s="3" t="s">
        <v>2773</v>
      </c>
      <c r="F3505" s="3" t="s">
        <v>2781</v>
      </c>
      <c r="G3505" s="7" t="str">
        <f t="shared" si="258"/>
        <v>15-12</v>
      </c>
      <c r="H3505" s="1">
        <f>_xlfn.IFNA(VLOOKUP(Aragon!E3505,'Kilter Holds'!$P$36:$AB$370,7,0),0)</f>
        <v>0</v>
      </c>
      <c r="J3505" s="2">
        <f t="shared" si="256"/>
        <v>0</v>
      </c>
      <c r="K3505" s="2">
        <f t="shared" si="257"/>
        <v>0</v>
      </c>
    </row>
    <row r="3506" spans="5:11">
      <c r="E3506" s="3" t="s">
        <v>2773</v>
      </c>
      <c r="F3506" s="3" t="s">
        <v>2781</v>
      </c>
      <c r="G3506" s="8" t="str">
        <f t="shared" si="258"/>
        <v>16-16</v>
      </c>
      <c r="H3506" s="1">
        <f>_xlfn.IFNA(VLOOKUP(Aragon!E3506,'Kilter Holds'!$P$36:$AB$370,8,0),0)</f>
        <v>0</v>
      </c>
      <c r="J3506" s="2">
        <f t="shared" si="256"/>
        <v>0</v>
      </c>
      <c r="K3506" s="2">
        <f t="shared" si="257"/>
        <v>0</v>
      </c>
    </row>
    <row r="3507" spans="5:11">
      <c r="E3507" s="3" t="s">
        <v>2773</v>
      </c>
      <c r="F3507" s="3" t="s">
        <v>2781</v>
      </c>
      <c r="G3507" s="9" t="str">
        <f t="shared" si="258"/>
        <v>13-01</v>
      </c>
      <c r="H3507" s="1">
        <f>_xlfn.IFNA(VLOOKUP(Aragon!E3507,'Kilter Holds'!$P$36:$AB$370,9,0),0)</f>
        <v>0</v>
      </c>
      <c r="J3507" s="2">
        <f t="shared" si="256"/>
        <v>0</v>
      </c>
      <c r="K3507" s="2">
        <f t="shared" si="257"/>
        <v>0</v>
      </c>
    </row>
    <row r="3508" spans="5:11">
      <c r="E3508" s="3" t="s">
        <v>2773</v>
      </c>
      <c r="F3508" s="3" t="s">
        <v>2781</v>
      </c>
      <c r="G3508" s="10" t="str">
        <f t="shared" si="258"/>
        <v>07-13</v>
      </c>
      <c r="H3508" s="1">
        <f>_xlfn.IFNA(VLOOKUP(Aragon!E3508,'Kilter Holds'!$P$36:$AB$370,10,0),0)</f>
        <v>0</v>
      </c>
      <c r="J3508" s="2">
        <f t="shared" si="256"/>
        <v>0</v>
      </c>
      <c r="K3508" s="2">
        <f t="shared" si="257"/>
        <v>0</v>
      </c>
    </row>
    <row r="3509" spans="5:11">
      <c r="E3509" s="3" t="s">
        <v>2773</v>
      </c>
      <c r="F3509" s="3" t="s">
        <v>2781</v>
      </c>
      <c r="G3509" s="11" t="str">
        <f t="shared" si="258"/>
        <v>11-25</v>
      </c>
      <c r="H3509" s="1">
        <f>_xlfn.IFNA(VLOOKUP(Aragon!E3509,'Kilter Holds'!$P$36:$AB$370,11,0),0)</f>
        <v>0</v>
      </c>
      <c r="J3509" s="2">
        <f t="shared" si="256"/>
        <v>0</v>
      </c>
      <c r="K3509" s="2">
        <f t="shared" si="257"/>
        <v>0</v>
      </c>
    </row>
    <row r="3510" spans="5:11">
      <c r="E3510" s="3" t="s">
        <v>2773</v>
      </c>
      <c r="F3510" s="3" t="s">
        <v>2781</v>
      </c>
      <c r="G3510" s="13" t="str">
        <f t="shared" si="258"/>
        <v>18-01</v>
      </c>
      <c r="H3510" s="1">
        <f>_xlfn.IFNA(VLOOKUP(Aragon!E3510,'Kilter Holds'!$P$36:$AB$370,12,0),0)</f>
        <v>0</v>
      </c>
      <c r="J3510" s="2">
        <f t="shared" si="256"/>
        <v>0</v>
      </c>
      <c r="K3510" s="2">
        <f t="shared" si="257"/>
        <v>0</v>
      </c>
    </row>
    <row r="3511" spans="5:11">
      <c r="E3511" s="3" t="s">
        <v>2773</v>
      </c>
      <c r="F3511" s="3" t="s">
        <v>2781</v>
      </c>
      <c r="G3511" s="12" t="str">
        <f t="shared" si="258"/>
        <v>12-01</v>
      </c>
      <c r="H3511" s="1">
        <f>_xlfn.IFNA(VLOOKUP(Aragon!E3511,'Kilter Holds'!$P$36:$AB$370,13,0),0)</f>
        <v>0</v>
      </c>
      <c r="J3511" s="2">
        <f t="shared" si="256"/>
        <v>0</v>
      </c>
      <c r="K3511" s="2">
        <f t="shared" si="257"/>
        <v>0</v>
      </c>
    </row>
    <row r="3512" spans="5:11">
      <c r="E3512" s="3" t="s">
        <v>2774</v>
      </c>
      <c r="F3512" s="3" t="s">
        <v>2782</v>
      </c>
      <c r="G3512" s="5" t="str">
        <f t="shared" si="258"/>
        <v>11-12</v>
      </c>
      <c r="H3512" s="1">
        <f>_xlfn.IFNA(VLOOKUP(Aragon!E3512,'Kilter Holds'!$P$36:$AB$370,5,0),0)</f>
        <v>0</v>
      </c>
      <c r="J3512" s="2">
        <f t="shared" si="256"/>
        <v>0</v>
      </c>
      <c r="K3512" s="2">
        <f t="shared" si="257"/>
        <v>0</v>
      </c>
    </row>
    <row r="3513" spans="5:11">
      <c r="E3513" s="3" t="s">
        <v>2774</v>
      </c>
      <c r="F3513" s="3" t="s">
        <v>2782</v>
      </c>
      <c r="G3513" s="6" t="str">
        <f t="shared" si="258"/>
        <v>14-01</v>
      </c>
      <c r="H3513" s="1">
        <f>_xlfn.IFNA(VLOOKUP(Aragon!E3513,'Kilter Holds'!$P$36:$AB$370,6,0),0)</f>
        <v>0</v>
      </c>
      <c r="J3513" s="2">
        <f t="shared" si="256"/>
        <v>0</v>
      </c>
      <c r="K3513" s="2">
        <f t="shared" si="257"/>
        <v>0</v>
      </c>
    </row>
    <row r="3514" spans="5:11">
      <c r="E3514" s="3" t="s">
        <v>2774</v>
      </c>
      <c r="F3514" s="3" t="s">
        <v>2782</v>
      </c>
      <c r="G3514" s="7" t="str">
        <f t="shared" si="258"/>
        <v>15-12</v>
      </c>
      <c r="H3514" s="1">
        <f>_xlfn.IFNA(VLOOKUP(Aragon!E3514,'Kilter Holds'!$P$36:$AB$370,7,0),0)</f>
        <v>0</v>
      </c>
      <c r="J3514" s="2">
        <f t="shared" si="256"/>
        <v>0</v>
      </c>
      <c r="K3514" s="2">
        <f t="shared" si="257"/>
        <v>0</v>
      </c>
    </row>
    <row r="3515" spans="5:11">
      <c r="E3515" s="3" t="s">
        <v>2774</v>
      </c>
      <c r="F3515" s="3" t="s">
        <v>2782</v>
      </c>
      <c r="G3515" s="8" t="str">
        <f t="shared" si="258"/>
        <v>16-16</v>
      </c>
      <c r="H3515" s="1">
        <f>_xlfn.IFNA(VLOOKUP(Aragon!E3515,'Kilter Holds'!$P$36:$AB$370,8,0),0)</f>
        <v>0</v>
      </c>
      <c r="J3515" s="2">
        <f t="shared" si="256"/>
        <v>0</v>
      </c>
      <c r="K3515" s="2">
        <f t="shared" si="257"/>
        <v>0</v>
      </c>
    </row>
    <row r="3516" spans="5:11">
      <c r="E3516" s="3" t="s">
        <v>2774</v>
      </c>
      <c r="F3516" s="3" t="s">
        <v>2782</v>
      </c>
      <c r="G3516" s="9" t="str">
        <f t="shared" si="258"/>
        <v>13-01</v>
      </c>
      <c r="H3516" s="1">
        <f>_xlfn.IFNA(VLOOKUP(Aragon!E3516,'Kilter Holds'!$P$36:$AB$370,9,0),0)</f>
        <v>0</v>
      </c>
      <c r="J3516" s="2">
        <f t="shared" si="256"/>
        <v>0</v>
      </c>
      <c r="K3516" s="2">
        <f t="shared" si="257"/>
        <v>0</v>
      </c>
    </row>
    <row r="3517" spans="5:11">
      <c r="E3517" s="3" t="s">
        <v>2774</v>
      </c>
      <c r="F3517" s="3" t="s">
        <v>2782</v>
      </c>
      <c r="G3517" s="10" t="str">
        <f t="shared" si="258"/>
        <v>07-13</v>
      </c>
      <c r="H3517" s="1">
        <f>_xlfn.IFNA(VLOOKUP(Aragon!E3517,'Kilter Holds'!$P$36:$AB$370,10,0),0)</f>
        <v>0</v>
      </c>
      <c r="J3517" s="2">
        <f t="shared" si="256"/>
        <v>0</v>
      </c>
      <c r="K3517" s="2">
        <f t="shared" si="257"/>
        <v>0</v>
      </c>
    </row>
    <row r="3518" spans="5:11">
      <c r="E3518" s="3" t="s">
        <v>2774</v>
      </c>
      <c r="F3518" s="3" t="s">
        <v>2782</v>
      </c>
      <c r="G3518" s="11" t="str">
        <f t="shared" si="258"/>
        <v>11-25</v>
      </c>
      <c r="H3518" s="1">
        <f>_xlfn.IFNA(VLOOKUP(Aragon!E3518,'Kilter Holds'!$P$36:$AB$370,11,0),0)</f>
        <v>0</v>
      </c>
      <c r="J3518" s="2">
        <f t="shared" si="256"/>
        <v>0</v>
      </c>
      <c r="K3518" s="2">
        <f t="shared" si="257"/>
        <v>0</v>
      </c>
    </row>
    <row r="3519" spans="5:11">
      <c r="E3519" s="3" t="s">
        <v>2774</v>
      </c>
      <c r="F3519" s="3" t="s">
        <v>2782</v>
      </c>
      <c r="G3519" s="13" t="str">
        <f t="shared" si="258"/>
        <v>18-01</v>
      </c>
      <c r="H3519" s="1">
        <f>_xlfn.IFNA(VLOOKUP(Aragon!E3519,'Kilter Holds'!$P$36:$AB$370,12,0),0)</f>
        <v>0</v>
      </c>
      <c r="J3519" s="2">
        <f t="shared" si="256"/>
        <v>0</v>
      </c>
      <c r="K3519" s="2">
        <f t="shared" si="257"/>
        <v>0</v>
      </c>
    </row>
    <row r="3520" spans="5:11">
      <c r="E3520" s="3" t="s">
        <v>2774</v>
      </c>
      <c r="F3520" s="3" t="s">
        <v>2782</v>
      </c>
      <c r="G3520" s="12" t="str">
        <f t="shared" si="258"/>
        <v>12-01</v>
      </c>
      <c r="H3520" s="1">
        <f>_xlfn.IFNA(VLOOKUP(Aragon!E3520,'Kilter Holds'!$P$36:$AB$370,13,0),0)</f>
        <v>0</v>
      </c>
      <c r="J3520" s="2">
        <f t="shared" si="256"/>
        <v>0</v>
      </c>
      <c r="K3520" s="2">
        <f t="shared" si="257"/>
        <v>0</v>
      </c>
    </row>
    <row r="3521" spans="5:11">
      <c r="E3521" s="3" t="s">
        <v>2775</v>
      </c>
      <c r="F3521" s="3" t="s">
        <v>2783</v>
      </c>
      <c r="G3521" s="5" t="str">
        <f t="shared" si="258"/>
        <v>11-12</v>
      </c>
      <c r="H3521" s="1">
        <f>_xlfn.IFNA(VLOOKUP(Aragon!E3521,'Kilter Holds'!$P$36:$AB$370,5,0),0)</f>
        <v>0</v>
      </c>
      <c r="J3521" s="2">
        <f t="shared" si="256"/>
        <v>0</v>
      </c>
      <c r="K3521" s="2">
        <f t="shared" si="257"/>
        <v>0</v>
      </c>
    </row>
    <row r="3522" spans="5:11">
      <c r="E3522" s="3" t="s">
        <v>2775</v>
      </c>
      <c r="F3522" s="3" t="s">
        <v>2783</v>
      </c>
      <c r="G3522" s="6" t="str">
        <f t="shared" si="258"/>
        <v>14-01</v>
      </c>
      <c r="H3522" s="1">
        <f>_xlfn.IFNA(VLOOKUP(Aragon!E3522,'Kilter Holds'!$P$36:$AB$370,6,0),0)</f>
        <v>0</v>
      </c>
      <c r="J3522" s="2">
        <f t="shared" si="256"/>
        <v>0</v>
      </c>
      <c r="K3522" s="2">
        <f t="shared" si="257"/>
        <v>0</v>
      </c>
    </row>
    <row r="3523" spans="5:11">
      <c r="E3523" s="3" t="s">
        <v>2775</v>
      </c>
      <c r="F3523" s="3" t="s">
        <v>2783</v>
      </c>
      <c r="G3523" s="7" t="str">
        <f t="shared" si="258"/>
        <v>15-12</v>
      </c>
      <c r="H3523" s="1">
        <f>_xlfn.IFNA(VLOOKUP(Aragon!E3523,'Kilter Holds'!$P$36:$AB$370,7,0),0)</f>
        <v>0</v>
      </c>
      <c r="J3523" s="2">
        <f t="shared" si="256"/>
        <v>0</v>
      </c>
      <c r="K3523" s="2">
        <f t="shared" si="257"/>
        <v>0</v>
      </c>
    </row>
    <row r="3524" spans="5:11">
      <c r="E3524" s="3" t="s">
        <v>2775</v>
      </c>
      <c r="F3524" s="3" t="s">
        <v>2783</v>
      </c>
      <c r="G3524" s="8" t="str">
        <f t="shared" si="258"/>
        <v>16-16</v>
      </c>
      <c r="H3524" s="1">
        <f>_xlfn.IFNA(VLOOKUP(Aragon!E3524,'Kilter Holds'!$P$36:$AB$370,8,0),0)</f>
        <v>0</v>
      </c>
      <c r="J3524" s="2">
        <f t="shared" si="256"/>
        <v>0</v>
      </c>
      <c r="K3524" s="2">
        <f t="shared" si="257"/>
        <v>0</v>
      </c>
    </row>
    <row r="3525" spans="5:11">
      <c r="E3525" s="3" t="s">
        <v>2775</v>
      </c>
      <c r="F3525" s="3" t="s">
        <v>2783</v>
      </c>
      <c r="G3525" s="9" t="str">
        <f t="shared" si="258"/>
        <v>13-01</v>
      </c>
      <c r="H3525" s="1">
        <f>_xlfn.IFNA(VLOOKUP(Aragon!E3525,'Kilter Holds'!$P$36:$AB$370,9,0),0)</f>
        <v>0</v>
      </c>
      <c r="J3525" s="2">
        <f t="shared" si="256"/>
        <v>0</v>
      </c>
      <c r="K3525" s="2">
        <f t="shared" si="257"/>
        <v>0</v>
      </c>
    </row>
    <row r="3526" spans="5:11">
      <c r="E3526" s="3" t="s">
        <v>2775</v>
      </c>
      <c r="F3526" s="3" t="s">
        <v>2783</v>
      </c>
      <c r="G3526" s="10" t="str">
        <f t="shared" si="258"/>
        <v>07-13</v>
      </c>
      <c r="H3526" s="1">
        <f>_xlfn.IFNA(VLOOKUP(Aragon!E3526,'Kilter Holds'!$P$36:$AB$370,10,0),0)</f>
        <v>0</v>
      </c>
      <c r="J3526" s="2">
        <f t="shared" si="256"/>
        <v>0</v>
      </c>
      <c r="K3526" s="2">
        <f t="shared" si="257"/>
        <v>0</v>
      </c>
    </row>
    <row r="3527" spans="5:11">
      <c r="E3527" s="3" t="s">
        <v>2775</v>
      </c>
      <c r="F3527" s="3" t="s">
        <v>2783</v>
      </c>
      <c r="G3527" s="11" t="str">
        <f t="shared" si="258"/>
        <v>11-25</v>
      </c>
      <c r="H3527" s="1">
        <f>_xlfn.IFNA(VLOOKUP(Aragon!E3527,'Kilter Holds'!$P$36:$AB$370,11,0),0)</f>
        <v>0</v>
      </c>
      <c r="J3527" s="2">
        <f t="shared" si="256"/>
        <v>0</v>
      </c>
      <c r="K3527" s="2">
        <f t="shared" si="257"/>
        <v>0</v>
      </c>
    </row>
    <row r="3528" spans="5:11">
      <c r="E3528" s="3" t="s">
        <v>2775</v>
      </c>
      <c r="F3528" s="3" t="s">
        <v>2783</v>
      </c>
      <c r="G3528" s="13" t="str">
        <f t="shared" si="258"/>
        <v>18-01</v>
      </c>
      <c r="H3528" s="1">
        <f>_xlfn.IFNA(VLOOKUP(Aragon!E3528,'Kilter Holds'!$P$36:$AB$370,12,0),0)</f>
        <v>0</v>
      </c>
      <c r="J3528" s="2">
        <f t="shared" si="256"/>
        <v>0</v>
      </c>
      <c r="K3528" s="2">
        <f t="shared" si="257"/>
        <v>0</v>
      </c>
    </row>
    <row r="3529" spans="5:11">
      <c r="E3529" s="3" t="s">
        <v>2775</v>
      </c>
      <c r="F3529" s="3" t="s">
        <v>2783</v>
      </c>
      <c r="G3529" s="12" t="str">
        <f t="shared" si="258"/>
        <v>12-01</v>
      </c>
      <c r="H3529" s="1">
        <f>_xlfn.IFNA(VLOOKUP(Aragon!E3529,'Kilter Holds'!$P$36:$AB$370,13,0),0)</f>
        <v>0</v>
      </c>
      <c r="J3529" s="2">
        <f t="shared" si="256"/>
        <v>0</v>
      </c>
      <c r="K3529" s="2">
        <f t="shared" si="257"/>
        <v>0</v>
      </c>
    </row>
    <row r="3530" spans="5:11">
      <c r="E3530" s="3" t="s">
        <v>2776</v>
      </c>
      <c r="F3530" s="3" t="s">
        <v>2784</v>
      </c>
      <c r="G3530" s="5" t="str">
        <f t="shared" si="258"/>
        <v>11-12</v>
      </c>
      <c r="H3530" s="1">
        <f>_xlfn.IFNA(VLOOKUP(Aragon!E3530,'Kilter Holds'!$P$36:$AB$370,5,0),0)</f>
        <v>0</v>
      </c>
      <c r="J3530" s="2">
        <f t="shared" si="256"/>
        <v>0</v>
      </c>
      <c r="K3530" s="2">
        <f t="shared" si="257"/>
        <v>0</v>
      </c>
    </row>
    <row r="3531" spans="5:11">
      <c r="E3531" s="3" t="s">
        <v>2776</v>
      </c>
      <c r="F3531" s="3" t="s">
        <v>2784</v>
      </c>
      <c r="G3531" s="6" t="str">
        <f t="shared" si="258"/>
        <v>14-01</v>
      </c>
      <c r="H3531" s="1">
        <f>_xlfn.IFNA(VLOOKUP(Aragon!E3531,'Kilter Holds'!$P$36:$AB$370,6,0),0)</f>
        <v>0</v>
      </c>
      <c r="J3531" s="2">
        <f t="shared" si="256"/>
        <v>0</v>
      </c>
      <c r="K3531" s="2">
        <f t="shared" si="257"/>
        <v>0</v>
      </c>
    </row>
    <row r="3532" spans="5:11">
      <c r="E3532" s="3" t="s">
        <v>2776</v>
      </c>
      <c r="F3532" s="3" t="s">
        <v>2784</v>
      </c>
      <c r="G3532" s="7" t="str">
        <f t="shared" si="258"/>
        <v>15-12</v>
      </c>
      <c r="H3532" s="1">
        <f>_xlfn.IFNA(VLOOKUP(Aragon!E3532,'Kilter Holds'!$P$36:$AB$370,7,0),0)</f>
        <v>0</v>
      </c>
      <c r="J3532" s="2">
        <f t="shared" si="256"/>
        <v>0</v>
      </c>
      <c r="K3532" s="2">
        <f t="shared" si="257"/>
        <v>0</v>
      </c>
    </row>
    <row r="3533" spans="5:11">
      <c r="E3533" s="3" t="s">
        <v>2776</v>
      </c>
      <c r="F3533" s="3" t="s">
        <v>2784</v>
      </c>
      <c r="G3533" s="8" t="str">
        <f t="shared" si="258"/>
        <v>16-16</v>
      </c>
      <c r="H3533" s="1">
        <f>_xlfn.IFNA(VLOOKUP(Aragon!E3533,'Kilter Holds'!$P$36:$AB$370,8,0),0)</f>
        <v>0</v>
      </c>
      <c r="J3533" s="2">
        <f t="shared" si="256"/>
        <v>0</v>
      </c>
      <c r="K3533" s="2">
        <f t="shared" si="257"/>
        <v>0</v>
      </c>
    </row>
    <row r="3534" spans="5:11">
      <c r="E3534" s="3" t="s">
        <v>2776</v>
      </c>
      <c r="F3534" s="3" t="s">
        <v>2784</v>
      </c>
      <c r="G3534" s="9" t="str">
        <f t="shared" si="258"/>
        <v>13-01</v>
      </c>
      <c r="H3534" s="1">
        <f>_xlfn.IFNA(VLOOKUP(Aragon!E3534,'Kilter Holds'!$P$36:$AB$370,9,0),0)</f>
        <v>0</v>
      </c>
      <c r="J3534" s="2">
        <f t="shared" si="256"/>
        <v>0</v>
      </c>
      <c r="K3534" s="2">
        <f t="shared" si="257"/>
        <v>0</v>
      </c>
    </row>
    <row r="3535" spans="5:11">
      <c r="E3535" s="3" t="s">
        <v>2776</v>
      </c>
      <c r="F3535" s="3" t="s">
        <v>2784</v>
      </c>
      <c r="G3535" s="10" t="str">
        <f t="shared" si="258"/>
        <v>07-13</v>
      </c>
      <c r="H3535" s="1">
        <f>_xlfn.IFNA(VLOOKUP(Aragon!E3535,'Kilter Holds'!$P$36:$AB$370,10,0),0)</f>
        <v>0</v>
      </c>
      <c r="J3535" s="2">
        <f t="shared" si="256"/>
        <v>0</v>
      </c>
      <c r="K3535" s="2">
        <f t="shared" si="257"/>
        <v>0</v>
      </c>
    </row>
    <row r="3536" spans="5:11">
      <c r="E3536" s="3" t="s">
        <v>2776</v>
      </c>
      <c r="F3536" s="3" t="s">
        <v>2784</v>
      </c>
      <c r="G3536" s="11" t="str">
        <f t="shared" si="258"/>
        <v>11-25</v>
      </c>
      <c r="H3536" s="1">
        <f>_xlfn.IFNA(VLOOKUP(Aragon!E3536,'Kilter Holds'!$P$36:$AB$370,11,0),0)</f>
        <v>0</v>
      </c>
      <c r="J3536" s="2">
        <f t="shared" si="256"/>
        <v>0</v>
      </c>
      <c r="K3536" s="2">
        <f t="shared" si="257"/>
        <v>0</v>
      </c>
    </row>
    <row r="3537" spans="5:11">
      <c r="E3537" s="3" t="s">
        <v>2776</v>
      </c>
      <c r="F3537" s="3" t="s">
        <v>2784</v>
      </c>
      <c r="G3537" s="13" t="str">
        <f t="shared" si="258"/>
        <v>18-01</v>
      </c>
      <c r="H3537" s="1">
        <f>_xlfn.IFNA(VLOOKUP(Aragon!E3537,'Kilter Holds'!$P$36:$AB$370,12,0),0)</f>
        <v>0</v>
      </c>
      <c r="J3537" s="2">
        <f t="shared" si="256"/>
        <v>0</v>
      </c>
      <c r="K3537" s="2">
        <f t="shared" si="257"/>
        <v>0</v>
      </c>
    </row>
    <row r="3538" spans="5:11">
      <c r="E3538" s="3" t="s">
        <v>2776</v>
      </c>
      <c r="F3538" s="3" t="s">
        <v>2784</v>
      </c>
      <c r="G3538" s="12" t="str">
        <f t="shared" si="258"/>
        <v>12-01</v>
      </c>
      <c r="H3538" s="1">
        <f>_xlfn.IFNA(VLOOKUP(Aragon!E3538,'Kilter Holds'!$P$36:$AB$370,13,0),0)</f>
        <v>0</v>
      </c>
      <c r="J3538" s="2">
        <f t="shared" si="256"/>
        <v>0</v>
      </c>
      <c r="K3538" s="2">
        <f t="shared" si="257"/>
        <v>0</v>
      </c>
    </row>
    <row r="3539" spans="5:11">
      <c r="E3539" s="3" t="s">
        <v>2777</v>
      </c>
      <c r="F3539" s="3" t="s">
        <v>2785</v>
      </c>
      <c r="G3539" s="5" t="str">
        <f t="shared" si="258"/>
        <v>11-12</v>
      </c>
      <c r="H3539" s="1">
        <f>_xlfn.IFNA(VLOOKUP(Aragon!E3539,'Kilter Holds'!$P$36:$AB$370,5,0),0)</f>
        <v>0</v>
      </c>
      <c r="J3539" s="2">
        <f t="shared" ref="J3539:J3547" si="259">H3539*I3539</f>
        <v>0</v>
      </c>
      <c r="K3539" s="2">
        <f t="shared" ref="K3539:K3547" si="260">IF($V$11="Y",J3539*0.05,0)</f>
        <v>0</v>
      </c>
    </row>
    <row r="3540" spans="5:11">
      <c r="E3540" s="3" t="s">
        <v>2777</v>
      </c>
      <c r="F3540" s="3" t="s">
        <v>2785</v>
      </c>
      <c r="G3540" s="6" t="str">
        <f t="shared" si="258"/>
        <v>14-01</v>
      </c>
      <c r="H3540" s="1">
        <f>_xlfn.IFNA(VLOOKUP(Aragon!E3540,'Kilter Holds'!$P$36:$AB$370,6,0),0)</f>
        <v>0</v>
      </c>
      <c r="J3540" s="2">
        <f t="shared" si="259"/>
        <v>0</v>
      </c>
      <c r="K3540" s="2">
        <f t="shared" si="260"/>
        <v>0</v>
      </c>
    </row>
    <row r="3541" spans="5:11">
      <c r="E3541" s="3" t="s">
        <v>2777</v>
      </c>
      <c r="F3541" s="3" t="s">
        <v>2785</v>
      </c>
      <c r="G3541" s="7" t="str">
        <f t="shared" si="258"/>
        <v>15-12</v>
      </c>
      <c r="H3541" s="1">
        <f>_xlfn.IFNA(VLOOKUP(Aragon!E3541,'Kilter Holds'!$P$36:$AB$370,7,0),0)</f>
        <v>0</v>
      </c>
      <c r="J3541" s="2">
        <f t="shared" si="259"/>
        <v>0</v>
      </c>
      <c r="K3541" s="2">
        <f t="shared" si="260"/>
        <v>0</v>
      </c>
    </row>
    <row r="3542" spans="5:11">
      <c r="E3542" s="3" t="s">
        <v>2777</v>
      </c>
      <c r="F3542" s="3" t="s">
        <v>2785</v>
      </c>
      <c r="G3542" s="8" t="str">
        <f t="shared" si="258"/>
        <v>16-16</v>
      </c>
      <c r="H3542" s="1">
        <f>_xlfn.IFNA(VLOOKUP(Aragon!E3542,'Kilter Holds'!$P$36:$AB$370,8,0),0)</f>
        <v>0</v>
      </c>
      <c r="J3542" s="2">
        <f t="shared" si="259"/>
        <v>0</v>
      </c>
      <c r="K3542" s="2">
        <f t="shared" si="260"/>
        <v>0</v>
      </c>
    </row>
    <row r="3543" spans="5:11">
      <c r="E3543" s="3" t="s">
        <v>2777</v>
      </c>
      <c r="F3543" s="3" t="s">
        <v>2785</v>
      </c>
      <c r="G3543" s="9" t="str">
        <f t="shared" si="258"/>
        <v>13-01</v>
      </c>
      <c r="H3543" s="1">
        <f>_xlfn.IFNA(VLOOKUP(Aragon!E3543,'Kilter Holds'!$P$36:$AB$370,9,0),0)</f>
        <v>0</v>
      </c>
      <c r="J3543" s="2">
        <f t="shared" si="259"/>
        <v>0</v>
      </c>
      <c r="K3543" s="2">
        <f t="shared" si="260"/>
        <v>0</v>
      </c>
    </row>
    <row r="3544" spans="5:11">
      <c r="E3544" s="3" t="s">
        <v>2777</v>
      </c>
      <c r="F3544" s="3" t="s">
        <v>2785</v>
      </c>
      <c r="G3544" s="10" t="str">
        <f t="shared" si="258"/>
        <v>07-13</v>
      </c>
      <c r="H3544" s="1">
        <f>_xlfn.IFNA(VLOOKUP(Aragon!E3544,'Kilter Holds'!$P$36:$AB$370,10,0),0)</f>
        <v>0</v>
      </c>
      <c r="J3544" s="2">
        <f t="shared" si="259"/>
        <v>0</v>
      </c>
      <c r="K3544" s="2">
        <f t="shared" si="260"/>
        <v>0</v>
      </c>
    </row>
    <row r="3545" spans="5:11">
      <c r="E3545" s="3" t="s">
        <v>2777</v>
      </c>
      <c r="F3545" s="3" t="s">
        <v>2785</v>
      </c>
      <c r="G3545" s="11" t="str">
        <f t="shared" si="258"/>
        <v>11-25</v>
      </c>
      <c r="H3545" s="1">
        <f>_xlfn.IFNA(VLOOKUP(Aragon!E3545,'Kilter Holds'!$P$36:$AB$370,11,0),0)</f>
        <v>0</v>
      </c>
      <c r="J3545" s="2">
        <f t="shared" si="259"/>
        <v>0</v>
      </c>
      <c r="K3545" s="2">
        <f t="shared" si="260"/>
        <v>0</v>
      </c>
    </row>
    <row r="3546" spans="5:11">
      <c r="E3546" s="3" t="s">
        <v>2777</v>
      </c>
      <c r="F3546" s="3" t="s">
        <v>2785</v>
      </c>
      <c r="G3546" s="13" t="str">
        <f t="shared" si="258"/>
        <v>18-01</v>
      </c>
      <c r="H3546" s="1">
        <f>_xlfn.IFNA(VLOOKUP(Aragon!E3546,'Kilter Holds'!$P$36:$AB$370,12,0),0)</f>
        <v>0</v>
      </c>
      <c r="J3546" s="2">
        <f t="shared" si="259"/>
        <v>0</v>
      </c>
      <c r="K3546" s="2">
        <f t="shared" si="260"/>
        <v>0</v>
      </c>
    </row>
    <row r="3547" spans="5:11">
      <c r="E3547" s="3" t="s">
        <v>2777</v>
      </c>
      <c r="F3547" s="3" t="s">
        <v>2785</v>
      </c>
      <c r="G3547" s="12" t="str">
        <f t="shared" si="258"/>
        <v>12-01</v>
      </c>
      <c r="H3547" s="1">
        <f>_xlfn.IFNA(VLOOKUP(Aragon!E3547,'Kilter Holds'!$P$36:$AB$370,13,0),0)</f>
        <v>0</v>
      </c>
      <c r="J3547" s="2">
        <f t="shared" si="259"/>
        <v>0</v>
      </c>
      <c r="K3547" s="2">
        <f t="shared" si="260"/>
        <v>0</v>
      </c>
    </row>
    <row r="3548" spans="5:11">
      <c r="E3548" s="3" t="s">
        <v>2778</v>
      </c>
      <c r="F3548" s="3" t="s">
        <v>2786</v>
      </c>
      <c r="G3548" s="5" t="str">
        <f t="shared" ref="G3548:G3556" si="261">G3494</f>
        <v>11-12</v>
      </c>
      <c r="H3548" s="1">
        <f>_xlfn.IFNA(VLOOKUP(Aragon!E3548,'Kilter Holds'!$P$36:$AB$370,5,0),0)</f>
        <v>0</v>
      </c>
      <c r="J3548" s="2">
        <f t="shared" si="256"/>
        <v>0</v>
      </c>
      <c r="K3548" s="2">
        <f t="shared" si="257"/>
        <v>0</v>
      </c>
    </row>
    <row r="3549" spans="5:11">
      <c r="E3549" s="3" t="s">
        <v>2778</v>
      </c>
      <c r="F3549" s="3" t="s">
        <v>2786</v>
      </c>
      <c r="G3549" s="6" t="str">
        <f t="shared" si="261"/>
        <v>14-01</v>
      </c>
      <c r="H3549" s="1">
        <f>_xlfn.IFNA(VLOOKUP(Aragon!E3549,'Kilter Holds'!$P$36:$AB$370,6,0),0)</f>
        <v>0</v>
      </c>
      <c r="J3549" s="2">
        <f t="shared" si="256"/>
        <v>0</v>
      </c>
      <c r="K3549" s="2">
        <f t="shared" si="257"/>
        <v>0</v>
      </c>
    </row>
    <row r="3550" spans="5:11">
      <c r="E3550" s="3" t="s">
        <v>2778</v>
      </c>
      <c r="F3550" s="3" t="s">
        <v>2786</v>
      </c>
      <c r="G3550" s="7" t="str">
        <f t="shared" si="261"/>
        <v>15-12</v>
      </c>
      <c r="H3550" s="1">
        <f>_xlfn.IFNA(VLOOKUP(Aragon!E3550,'Kilter Holds'!$P$36:$AB$370,7,0),0)</f>
        <v>0</v>
      </c>
      <c r="J3550" s="2">
        <f t="shared" si="256"/>
        <v>0</v>
      </c>
      <c r="K3550" s="2">
        <f t="shared" si="257"/>
        <v>0</v>
      </c>
    </row>
    <row r="3551" spans="5:11">
      <c r="E3551" s="3" t="s">
        <v>2778</v>
      </c>
      <c r="F3551" s="3" t="s">
        <v>2786</v>
      </c>
      <c r="G3551" s="8" t="str">
        <f t="shared" si="261"/>
        <v>16-16</v>
      </c>
      <c r="H3551" s="1">
        <f>_xlfn.IFNA(VLOOKUP(Aragon!E3551,'Kilter Holds'!$P$36:$AB$370,8,0),0)</f>
        <v>0</v>
      </c>
      <c r="J3551" s="2">
        <f t="shared" si="256"/>
        <v>0</v>
      </c>
      <c r="K3551" s="2">
        <f t="shared" si="257"/>
        <v>0</v>
      </c>
    </row>
    <row r="3552" spans="5:11">
      <c r="E3552" s="3" t="s">
        <v>2778</v>
      </c>
      <c r="F3552" s="3" t="s">
        <v>2786</v>
      </c>
      <c r="G3552" s="9" t="str">
        <f t="shared" si="261"/>
        <v>13-01</v>
      </c>
      <c r="H3552" s="1">
        <f>_xlfn.IFNA(VLOOKUP(Aragon!E3552,'Kilter Holds'!$P$36:$AB$370,9,0),0)</f>
        <v>0</v>
      </c>
      <c r="J3552" s="2">
        <f t="shared" si="256"/>
        <v>0</v>
      </c>
      <c r="K3552" s="2">
        <f t="shared" si="257"/>
        <v>0</v>
      </c>
    </row>
    <row r="3553" spans="5:11">
      <c r="E3553" s="3" t="s">
        <v>2778</v>
      </c>
      <c r="F3553" s="3" t="s">
        <v>2786</v>
      </c>
      <c r="G3553" s="10" t="str">
        <f t="shared" si="261"/>
        <v>07-13</v>
      </c>
      <c r="H3553" s="1">
        <f>_xlfn.IFNA(VLOOKUP(Aragon!E3553,'Kilter Holds'!$P$36:$AB$370,10,0),0)</f>
        <v>0</v>
      </c>
      <c r="J3553" s="2">
        <f t="shared" si="256"/>
        <v>0</v>
      </c>
      <c r="K3553" s="2">
        <f t="shared" si="257"/>
        <v>0</v>
      </c>
    </row>
    <row r="3554" spans="5:11">
      <c r="E3554" s="3" t="s">
        <v>2778</v>
      </c>
      <c r="F3554" s="3" t="s">
        <v>2786</v>
      </c>
      <c r="G3554" s="11" t="str">
        <f t="shared" si="261"/>
        <v>11-25</v>
      </c>
      <c r="H3554" s="1">
        <f>_xlfn.IFNA(VLOOKUP(Aragon!E3554,'Kilter Holds'!$P$36:$AB$370,11,0),0)</f>
        <v>0</v>
      </c>
      <c r="J3554" s="2">
        <f t="shared" si="256"/>
        <v>0</v>
      </c>
      <c r="K3554" s="2">
        <f t="shared" si="257"/>
        <v>0</v>
      </c>
    </row>
    <row r="3555" spans="5:11">
      <c r="E3555" s="3" t="s">
        <v>2778</v>
      </c>
      <c r="F3555" s="3" t="s">
        <v>2786</v>
      </c>
      <c r="G3555" s="13" t="str">
        <f t="shared" si="261"/>
        <v>18-01</v>
      </c>
      <c r="H3555" s="1">
        <f>_xlfn.IFNA(VLOOKUP(Aragon!E3555,'Kilter Holds'!$P$36:$AB$370,12,0),0)</f>
        <v>0</v>
      </c>
      <c r="J3555" s="2">
        <f t="shared" si="256"/>
        <v>0</v>
      </c>
      <c r="K3555" s="2">
        <f t="shared" si="257"/>
        <v>0</v>
      </c>
    </row>
    <row r="3556" spans="5:11">
      <c r="E3556" s="3" t="s">
        <v>2778</v>
      </c>
      <c r="F3556" s="3" t="s">
        <v>2786</v>
      </c>
      <c r="G3556" s="12" t="str">
        <f t="shared" si="261"/>
        <v>12-01</v>
      </c>
      <c r="H3556" s="1">
        <f>_xlfn.IFNA(VLOOKUP(Aragon!E3556,'Kilter Holds'!$P$36:$AB$370,13,0),0)</f>
        <v>0</v>
      </c>
      <c r="J3556" s="2">
        <f t="shared" si="256"/>
        <v>0</v>
      </c>
      <c r="K3556" s="2">
        <f t="shared" si="257"/>
        <v>0</v>
      </c>
    </row>
    <row r="3557" spans="5:11">
      <c r="E3557" s="3" t="s">
        <v>2966</v>
      </c>
      <c r="F3557" s="3" t="s">
        <v>2967</v>
      </c>
      <c r="G3557" s="5" t="str">
        <f t="shared" ref="G3557" si="262">G3125</f>
        <v>11-12</v>
      </c>
      <c r="H3557" s="1">
        <f>_xlfn.IFNA(VLOOKUP(Aragon!E3557,'Kilter Holds'!$P$36:$AB$370,5,0),0)</f>
        <v>0</v>
      </c>
      <c r="J3557" s="2">
        <f t="shared" ref="J3557:J3583" si="263">H3557*I3557</f>
        <v>0</v>
      </c>
      <c r="K3557" s="2">
        <f t="shared" ref="K3557:K3583" si="264">IF($V$11="Y",J3557*0.05,0)</f>
        <v>0</v>
      </c>
    </row>
    <row r="3558" spans="5:11">
      <c r="E3558" s="3" t="s">
        <v>2966</v>
      </c>
      <c r="F3558" s="3" t="s">
        <v>2967</v>
      </c>
      <c r="G3558" s="6" t="str">
        <f t="shared" ref="G3558:G3565" si="265">G3009</f>
        <v>14-01</v>
      </c>
      <c r="H3558" s="1">
        <f>_xlfn.IFNA(VLOOKUP(Aragon!E3558,'Kilter Holds'!$P$36:$AB$370,6,0),0)</f>
        <v>0</v>
      </c>
      <c r="J3558" s="2">
        <f t="shared" si="263"/>
        <v>0</v>
      </c>
      <c r="K3558" s="2">
        <f t="shared" si="264"/>
        <v>0</v>
      </c>
    </row>
    <row r="3559" spans="5:11">
      <c r="E3559" s="3" t="s">
        <v>2966</v>
      </c>
      <c r="F3559" s="3" t="s">
        <v>2967</v>
      </c>
      <c r="G3559" s="7" t="str">
        <f t="shared" si="265"/>
        <v>15-12</v>
      </c>
      <c r="H3559" s="1">
        <f>_xlfn.IFNA(VLOOKUP(Aragon!E3559,'Kilter Holds'!$P$36:$AB$370,7,0),0)</f>
        <v>0</v>
      </c>
      <c r="J3559" s="2">
        <f t="shared" si="263"/>
        <v>0</v>
      </c>
      <c r="K3559" s="2">
        <f t="shared" si="264"/>
        <v>0</v>
      </c>
    </row>
    <row r="3560" spans="5:11">
      <c r="E3560" s="3" t="s">
        <v>2966</v>
      </c>
      <c r="F3560" s="3" t="s">
        <v>2967</v>
      </c>
      <c r="G3560" s="8" t="str">
        <f t="shared" si="265"/>
        <v>16-16</v>
      </c>
      <c r="H3560" s="1">
        <f>_xlfn.IFNA(VLOOKUP(Aragon!E3560,'Kilter Holds'!$P$36:$AB$370,8,0),0)</f>
        <v>0</v>
      </c>
      <c r="J3560" s="2">
        <f t="shared" si="263"/>
        <v>0</v>
      </c>
      <c r="K3560" s="2">
        <f t="shared" si="264"/>
        <v>0</v>
      </c>
    </row>
    <row r="3561" spans="5:11">
      <c r="E3561" s="3" t="s">
        <v>2966</v>
      </c>
      <c r="F3561" s="3" t="s">
        <v>2967</v>
      </c>
      <c r="G3561" s="9" t="str">
        <f t="shared" si="265"/>
        <v>13-01</v>
      </c>
      <c r="H3561" s="1">
        <f>_xlfn.IFNA(VLOOKUP(Aragon!E3561,'Kilter Holds'!$P$36:$AB$370,9,0),0)</f>
        <v>0</v>
      </c>
      <c r="J3561" s="2">
        <f t="shared" si="263"/>
        <v>0</v>
      </c>
      <c r="K3561" s="2">
        <f t="shared" si="264"/>
        <v>0</v>
      </c>
    </row>
    <row r="3562" spans="5:11">
      <c r="E3562" s="3" t="s">
        <v>2966</v>
      </c>
      <c r="F3562" s="3" t="s">
        <v>2967</v>
      </c>
      <c r="G3562" s="10" t="str">
        <f t="shared" si="265"/>
        <v>07-13</v>
      </c>
      <c r="H3562" s="1">
        <f>_xlfn.IFNA(VLOOKUP(Aragon!E3562,'Kilter Holds'!$P$36:$AB$370,10,0),0)</f>
        <v>0</v>
      </c>
      <c r="J3562" s="2">
        <f t="shared" si="263"/>
        <v>0</v>
      </c>
      <c r="K3562" s="2">
        <f t="shared" si="264"/>
        <v>0</v>
      </c>
    </row>
    <row r="3563" spans="5:11">
      <c r="E3563" s="3" t="s">
        <v>2966</v>
      </c>
      <c r="F3563" s="3" t="s">
        <v>2967</v>
      </c>
      <c r="G3563" s="11" t="str">
        <f t="shared" si="265"/>
        <v>11-25</v>
      </c>
      <c r="H3563" s="1">
        <f>_xlfn.IFNA(VLOOKUP(Aragon!E3563,'Kilter Holds'!$P$36:$AB$370,11,0),0)</f>
        <v>0</v>
      </c>
      <c r="J3563" s="2">
        <f t="shared" si="263"/>
        <v>0</v>
      </c>
      <c r="K3563" s="2">
        <f t="shared" si="264"/>
        <v>0</v>
      </c>
    </row>
    <row r="3564" spans="5:11">
      <c r="E3564" s="3" t="s">
        <v>2966</v>
      </c>
      <c r="F3564" s="3" t="s">
        <v>2967</v>
      </c>
      <c r="G3564" s="13" t="str">
        <f t="shared" si="265"/>
        <v>18-01</v>
      </c>
      <c r="H3564" s="1">
        <f>_xlfn.IFNA(VLOOKUP(Aragon!E3564,'Kilter Holds'!$P$36:$AB$370,12,0),0)</f>
        <v>0</v>
      </c>
      <c r="J3564" s="2">
        <f t="shared" si="263"/>
        <v>0</v>
      </c>
      <c r="K3564" s="2">
        <f t="shared" si="264"/>
        <v>0</v>
      </c>
    </row>
    <row r="3565" spans="5:11">
      <c r="E3565" s="3" t="s">
        <v>2966</v>
      </c>
      <c r="F3565" s="3" t="s">
        <v>2967</v>
      </c>
      <c r="G3565" s="12" t="str">
        <f t="shared" si="265"/>
        <v>12-01</v>
      </c>
      <c r="H3565" s="1">
        <f>_xlfn.IFNA(VLOOKUP(Aragon!E3565,'Kilter Holds'!$P$36:$AB$370,13,0),0)</f>
        <v>0</v>
      </c>
      <c r="J3565" s="2">
        <f t="shared" si="263"/>
        <v>0</v>
      </c>
      <c r="K3565" s="2">
        <f t="shared" si="264"/>
        <v>0</v>
      </c>
    </row>
    <row r="3566" spans="5:11">
      <c r="E3566" s="3" t="s">
        <v>2968</v>
      </c>
      <c r="F3566" s="3" t="s">
        <v>2969</v>
      </c>
      <c r="G3566" s="5" t="str">
        <f t="shared" ref="G3566" si="266">G3134</f>
        <v>11-12</v>
      </c>
      <c r="H3566" s="1">
        <f>_xlfn.IFNA(VLOOKUP(Aragon!E3566,'Kilter Holds'!$P$36:$AB$370,5,0),0)</f>
        <v>0</v>
      </c>
      <c r="J3566" s="2">
        <f t="shared" si="263"/>
        <v>0</v>
      </c>
      <c r="K3566" s="2">
        <f t="shared" si="264"/>
        <v>0</v>
      </c>
    </row>
    <row r="3567" spans="5:11">
      <c r="E3567" s="3" t="s">
        <v>2968</v>
      </c>
      <c r="F3567" s="3" t="s">
        <v>2969</v>
      </c>
      <c r="G3567" s="6" t="str">
        <f t="shared" ref="G3567:G3574" si="267">G3018</f>
        <v>14-01</v>
      </c>
      <c r="H3567" s="1">
        <f>_xlfn.IFNA(VLOOKUP(Aragon!E3567,'Kilter Holds'!$P$36:$AB$370,6,0),0)</f>
        <v>0</v>
      </c>
      <c r="J3567" s="2">
        <f t="shared" si="263"/>
        <v>0</v>
      </c>
      <c r="K3567" s="2">
        <f t="shared" si="264"/>
        <v>0</v>
      </c>
    </row>
    <row r="3568" spans="5:11">
      <c r="E3568" s="3" t="s">
        <v>2968</v>
      </c>
      <c r="F3568" s="3" t="s">
        <v>2969</v>
      </c>
      <c r="G3568" s="7" t="str">
        <f t="shared" si="267"/>
        <v>15-12</v>
      </c>
      <c r="H3568" s="1">
        <f>_xlfn.IFNA(VLOOKUP(Aragon!E3568,'Kilter Holds'!$P$36:$AB$370,7,0),0)</f>
        <v>0</v>
      </c>
      <c r="J3568" s="2">
        <f t="shared" si="263"/>
        <v>0</v>
      </c>
      <c r="K3568" s="2">
        <f t="shared" si="264"/>
        <v>0</v>
      </c>
    </row>
    <row r="3569" spans="5:11">
      <c r="E3569" s="3" t="s">
        <v>2968</v>
      </c>
      <c r="F3569" s="3" t="s">
        <v>2969</v>
      </c>
      <c r="G3569" s="8" t="str">
        <f t="shared" si="267"/>
        <v>16-16</v>
      </c>
      <c r="H3569" s="1">
        <f>_xlfn.IFNA(VLOOKUP(Aragon!E3569,'Kilter Holds'!$P$36:$AB$370,8,0),0)</f>
        <v>0</v>
      </c>
      <c r="J3569" s="2">
        <f t="shared" si="263"/>
        <v>0</v>
      </c>
      <c r="K3569" s="2">
        <f t="shared" si="264"/>
        <v>0</v>
      </c>
    </row>
    <row r="3570" spans="5:11">
      <c r="E3570" s="3" t="s">
        <v>2968</v>
      </c>
      <c r="F3570" s="3" t="s">
        <v>2969</v>
      </c>
      <c r="G3570" s="9" t="str">
        <f t="shared" si="267"/>
        <v>13-01</v>
      </c>
      <c r="H3570" s="1">
        <f>_xlfn.IFNA(VLOOKUP(Aragon!E3570,'Kilter Holds'!$P$36:$AB$370,9,0),0)</f>
        <v>0</v>
      </c>
      <c r="J3570" s="2">
        <f t="shared" si="263"/>
        <v>0</v>
      </c>
      <c r="K3570" s="2">
        <f t="shared" si="264"/>
        <v>0</v>
      </c>
    </row>
    <row r="3571" spans="5:11">
      <c r="E3571" s="3" t="s">
        <v>2968</v>
      </c>
      <c r="F3571" s="3" t="s">
        <v>2969</v>
      </c>
      <c r="G3571" s="10" t="str">
        <f t="shared" si="267"/>
        <v>07-13</v>
      </c>
      <c r="H3571" s="1">
        <f>_xlfn.IFNA(VLOOKUP(Aragon!E3571,'Kilter Holds'!$P$36:$AB$370,10,0),0)</f>
        <v>0</v>
      </c>
      <c r="J3571" s="2">
        <f t="shared" si="263"/>
        <v>0</v>
      </c>
      <c r="K3571" s="2">
        <f t="shared" si="264"/>
        <v>0</v>
      </c>
    </row>
    <row r="3572" spans="5:11">
      <c r="E3572" s="3" t="s">
        <v>2968</v>
      </c>
      <c r="F3572" s="3" t="s">
        <v>2969</v>
      </c>
      <c r="G3572" s="11" t="str">
        <f t="shared" si="267"/>
        <v>11-25</v>
      </c>
      <c r="H3572" s="1">
        <f>_xlfn.IFNA(VLOOKUP(Aragon!E3572,'Kilter Holds'!$P$36:$AB$370,11,0),0)</f>
        <v>0</v>
      </c>
      <c r="J3572" s="2">
        <f t="shared" si="263"/>
        <v>0</v>
      </c>
      <c r="K3572" s="2">
        <f t="shared" si="264"/>
        <v>0</v>
      </c>
    </row>
    <row r="3573" spans="5:11">
      <c r="E3573" s="3" t="s">
        <v>2968</v>
      </c>
      <c r="F3573" s="3" t="s">
        <v>2969</v>
      </c>
      <c r="G3573" s="13" t="str">
        <f t="shared" si="267"/>
        <v>18-01</v>
      </c>
      <c r="H3573" s="1">
        <f>_xlfn.IFNA(VLOOKUP(Aragon!E3573,'Kilter Holds'!$P$36:$AB$370,12,0),0)</f>
        <v>0</v>
      </c>
      <c r="J3573" s="2">
        <f t="shared" si="263"/>
        <v>0</v>
      </c>
      <c r="K3573" s="2">
        <f t="shared" si="264"/>
        <v>0</v>
      </c>
    </row>
    <row r="3574" spans="5:11">
      <c r="E3574" s="3" t="s">
        <v>2968</v>
      </c>
      <c r="F3574" s="3" t="s">
        <v>2969</v>
      </c>
      <c r="G3574" s="12" t="str">
        <f t="shared" si="267"/>
        <v>12-01</v>
      </c>
      <c r="H3574" s="1">
        <f>_xlfn.IFNA(VLOOKUP(Aragon!E3574,'Kilter Holds'!$P$36:$AB$370,13,0),0)</f>
        <v>0</v>
      </c>
      <c r="J3574" s="2">
        <f t="shared" si="263"/>
        <v>0</v>
      </c>
      <c r="K3574" s="2">
        <f t="shared" si="264"/>
        <v>0</v>
      </c>
    </row>
    <row r="3575" spans="5:11">
      <c r="E3575" s="3" t="s">
        <v>2970</v>
      </c>
      <c r="F3575" s="3" t="s">
        <v>2971</v>
      </c>
      <c r="G3575" s="5" t="str">
        <f t="shared" ref="G3575" si="268">G3143</f>
        <v>11-12</v>
      </c>
      <c r="H3575" s="1">
        <f>_xlfn.IFNA(VLOOKUP(Aragon!E3575,'Kilter Holds'!$P$36:$AB$370,5,0),0)</f>
        <v>0</v>
      </c>
      <c r="J3575" s="2">
        <f t="shared" si="263"/>
        <v>0</v>
      </c>
      <c r="K3575" s="2">
        <f t="shared" si="264"/>
        <v>0</v>
      </c>
    </row>
    <row r="3576" spans="5:11">
      <c r="E3576" s="3" t="s">
        <v>2970</v>
      </c>
      <c r="F3576" s="3" t="s">
        <v>2971</v>
      </c>
      <c r="G3576" s="6" t="str">
        <f t="shared" ref="G3576:G3583" si="269">G3027</f>
        <v>14-01</v>
      </c>
      <c r="H3576" s="1">
        <f>_xlfn.IFNA(VLOOKUP(Aragon!E3576,'Kilter Holds'!$P$36:$AB$370,6,0),0)</f>
        <v>0</v>
      </c>
      <c r="J3576" s="2">
        <f t="shared" si="263"/>
        <v>0</v>
      </c>
      <c r="K3576" s="2">
        <f t="shared" si="264"/>
        <v>0</v>
      </c>
    </row>
    <row r="3577" spans="5:11">
      <c r="E3577" s="3" t="s">
        <v>2970</v>
      </c>
      <c r="F3577" s="3" t="s">
        <v>2971</v>
      </c>
      <c r="G3577" s="7" t="str">
        <f t="shared" si="269"/>
        <v>15-12</v>
      </c>
      <c r="H3577" s="1">
        <f>_xlfn.IFNA(VLOOKUP(Aragon!E3577,'Kilter Holds'!$P$36:$AB$370,7,0),0)</f>
        <v>0</v>
      </c>
      <c r="J3577" s="2">
        <f t="shared" si="263"/>
        <v>0</v>
      </c>
      <c r="K3577" s="2">
        <f t="shared" si="264"/>
        <v>0</v>
      </c>
    </row>
    <row r="3578" spans="5:11">
      <c r="E3578" s="3" t="s">
        <v>2970</v>
      </c>
      <c r="F3578" s="3" t="s">
        <v>2971</v>
      </c>
      <c r="G3578" s="8" t="str">
        <f t="shared" si="269"/>
        <v>16-16</v>
      </c>
      <c r="H3578" s="1">
        <f>_xlfn.IFNA(VLOOKUP(Aragon!E3578,'Kilter Holds'!$P$36:$AB$370,8,0),0)</f>
        <v>0</v>
      </c>
      <c r="J3578" s="2">
        <f t="shared" si="263"/>
        <v>0</v>
      </c>
      <c r="K3578" s="2">
        <f t="shared" si="264"/>
        <v>0</v>
      </c>
    </row>
    <row r="3579" spans="5:11">
      <c r="E3579" s="3" t="s">
        <v>2970</v>
      </c>
      <c r="F3579" s="3" t="s">
        <v>2971</v>
      </c>
      <c r="G3579" s="9" t="str">
        <f t="shared" si="269"/>
        <v>13-01</v>
      </c>
      <c r="H3579" s="1">
        <f>_xlfn.IFNA(VLOOKUP(Aragon!E3579,'Kilter Holds'!$P$36:$AB$370,9,0),0)</f>
        <v>0</v>
      </c>
      <c r="J3579" s="2">
        <f t="shared" si="263"/>
        <v>0</v>
      </c>
      <c r="K3579" s="2">
        <f t="shared" si="264"/>
        <v>0</v>
      </c>
    </row>
    <row r="3580" spans="5:11">
      <c r="E3580" s="3" t="s">
        <v>2970</v>
      </c>
      <c r="F3580" s="3" t="s">
        <v>2971</v>
      </c>
      <c r="G3580" s="10" t="str">
        <f t="shared" si="269"/>
        <v>07-13</v>
      </c>
      <c r="H3580" s="1">
        <f>_xlfn.IFNA(VLOOKUP(Aragon!E3580,'Kilter Holds'!$P$36:$AB$370,10,0),0)</f>
        <v>0</v>
      </c>
      <c r="J3580" s="2">
        <f t="shared" si="263"/>
        <v>0</v>
      </c>
      <c r="K3580" s="2">
        <f t="shared" si="264"/>
        <v>0</v>
      </c>
    </row>
    <row r="3581" spans="5:11">
      <c r="E3581" s="3" t="s">
        <v>2970</v>
      </c>
      <c r="F3581" s="3" t="s">
        <v>2971</v>
      </c>
      <c r="G3581" s="11" t="str">
        <f t="shared" si="269"/>
        <v>11-25</v>
      </c>
      <c r="H3581" s="1">
        <f>_xlfn.IFNA(VLOOKUP(Aragon!E3581,'Kilter Holds'!$P$36:$AB$370,11,0),0)</f>
        <v>0</v>
      </c>
      <c r="J3581" s="2">
        <f t="shared" si="263"/>
        <v>0</v>
      </c>
      <c r="K3581" s="2">
        <f t="shared" si="264"/>
        <v>0</v>
      </c>
    </row>
    <row r="3582" spans="5:11">
      <c r="E3582" s="3" t="s">
        <v>2970</v>
      </c>
      <c r="F3582" s="3" t="s">
        <v>2971</v>
      </c>
      <c r="G3582" s="13" t="str">
        <f t="shared" si="269"/>
        <v>18-01</v>
      </c>
      <c r="H3582" s="1">
        <f>_xlfn.IFNA(VLOOKUP(Aragon!E3582,'Kilter Holds'!$P$36:$AB$370,12,0),0)</f>
        <v>0</v>
      </c>
      <c r="J3582" s="2">
        <f t="shared" si="263"/>
        <v>0</v>
      </c>
      <c r="K3582" s="2">
        <f t="shared" si="264"/>
        <v>0</v>
      </c>
    </row>
    <row r="3583" spans="5:11">
      <c r="E3583" s="3" t="s">
        <v>2970</v>
      </c>
      <c r="F3583" s="3" t="s">
        <v>2971</v>
      </c>
      <c r="G3583" s="12" t="str">
        <f t="shared" si="269"/>
        <v>12-01</v>
      </c>
      <c r="H3583" s="1">
        <f>_xlfn.IFNA(VLOOKUP(Aragon!E3583,'Kilter Holds'!$P$36:$AB$370,13,0),0)</f>
        <v>0</v>
      </c>
      <c r="J3583" s="2">
        <f t="shared" si="263"/>
        <v>0</v>
      </c>
      <c r="K3583" s="2">
        <f t="shared" si="264"/>
        <v>0</v>
      </c>
    </row>
    <row r="3584" spans="5:11">
      <c r="E3584" s="3" t="s">
        <v>2986</v>
      </c>
      <c r="F3584" s="3" t="s">
        <v>2987</v>
      </c>
      <c r="G3584" s="5" t="str">
        <f t="shared" ref="G3584" si="270">G3152</f>
        <v>11-12</v>
      </c>
      <c r="H3584" s="1">
        <f>_xlfn.IFNA(VLOOKUP(Aragon!E3584,'Kilter Holds'!$P$36:$AB$370,5,0),0)</f>
        <v>0</v>
      </c>
      <c r="J3584" s="2">
        <f t="shared" ref="J3584:J3592" si="271">H3584*I3584</f>
        <v>0</v>
      </c>
      <c r="K3584" s="2">
        <f t="shared" ref="K3584:K3592" si="272">IF($V$11="Y",J3584*0.05,0)</f>
        <v>0</v>
      </c>
    </row>
    <row r="3585" spans="5:11">
      <c r="E3585" s="3" t="s">
        <v>2986</v>
      </c>
      <c r="F3585" s="3" t="s">
        <v>2987</v>
      </c>
      <c r="G3585" s="6" t="str">
        <f t="shared" ref="G3585:G3592" si="273">G3036</f>
        <v>14-01</v>
      </c>
      <c r="H3585" s="1">
        <f>_xlfn.IFNA(VLOOKUP(Aragon!E3585,'Kilter Holds'!$P$36:$AB$370,6,0),0)</f>
        <v>0</v>
      </c>
      <c r="J3585" s="2">
        <f t="shared" si="271"/>
        <v>0</v>
      </c>
      <c r="K3585" s="2">
        <f t="shared" si="272"/>
        <v>0</v>
      </c>
    </row>
    <row r="3586" spans="5:11">
      <c r="E3586" s="3" t="s">
        <v>2986</v>
      </c>
      <c r="F3586" s="3" t="s">
        <v>2987</v>
      </c>
      <c r="G3586" s="7" t="str">
        <f t="shared" si="273"/>
        <v>15-12</v>
      </c>
      <c r="H3586" s="1">
        <f>_xlfn.IFNA(VLOOKUP(Aragon!E3586,'Kilter Holds'!$P$36:$AB$370,7,0),0)</f>
        <v>0</v>
      </c>
      <c r="J3586" s="2">
        <f t="shared" si="271"/>
        <v>0</v>
      </c>
      <c r="K3586" s="2">
        <f t="shared" si="272"/>
        <v>0</v>
      </c>
    </row>
    <row r="3587" spans="5:11">
      <c r="E3587" s="3" t="s">
        <v>2986</v>
      </c>
      <c r="F3587" s="3" t="s">
        <v>2987</v>
      </c>
      <c r="G3587" s="8" t="str">
        <f t="shared" si="273"/>
        <v>16-16</v>
      </c>
      <c r="H3587" s="1">
        <f>_xlfn.IFNA(VLOOKUP(Aragon!E3587,'Kilter Holds'!$P$36:$AB$370,8,0),0)</f>
        <v>0</v>
      </c>
      <c r="J3587" s="2">
        <f t="shared" si="271"/>
        <v>0</v>
      </c>
      <c r="K3587" s="2">
        <f t="shared" si="272"/>
        <v>0</v>
      </c>
    </row>
    <row r="3588" spans="5:11">
      <c r="E3588" s="3" t="s">
        <v>2986</v>
      </c>
      <c r="F3588" s="3" t="s">
        <v>2987</v>
      </c>
      <c r="G3588" s="9" t="str">
        <f t="shared" si="273"/>
        <v>13-01</v>
      </c>
      <c r="H3588" s="1">
        <f>_xlfn.IFNA(VLOOKUP(Aragon!E3588,'Kilter Holds'!$P$36:$AB$370,9,0),0)</f>
        <v>0</v>
      </c>
      <c r="J3588" s="2">
        <f t="shared" si="271"/>
        <v>0</v>
      </c>
      <c r="K3588" s="2">
        <f t="shared" si="272"/>
        <v>0</v>
      </c>
    </row>
    <row r="3589" spans="5:11">
      <c r="E3589" s="3" t="s">
        <v>2986</v>
      </c>
      <c r="F3589" s="3" t="s">
        <v>2987</v>
      </c>
      <c r="G3589" s="10" t="str">
        <f t="shared" si="273"/>
        <v>07-13</v>
      </c>
      <c r="H3589" s="1">
        <f>_xlfn.IFNA(VLOOKUP(Aragon!E3589,'Kilter Holds'!$P$36:$AB$370,10,0),0)</f>
        <v>0</v>
      </c>
      <c r="J3589" s="2">
        <f t="shared" si="271"/>
        <v>0</v>
      </c>
      <c r="K3589" s="2">
        <f t="shared" si="272"/>
        <v>0</v>
      </c>
    </row>
    <row r="3590" spans="5:11">
      <c r="E3590" s="3" t="s">
        <v>2986</v>
      </c>
      <c r="F3590" s="3" t="s">
        <v>2987</v>
      </c>
      <c r="G3590" s="11" t="str">
        <f t="shared" si="273"/>
        <v>11-25</v>
      </c>
      <c r="H3590" s="1">
        <f>_xlfn.IFNA(VLOOKUP(Aragon!E3590,'Kilter Holds'!$P$36:$AB$370,11,0),0)</f>
        <v>0</v>
      </c>
      <c r="J3590" s="2">
        <f t="shared" si="271"/>
        <v>0</v>
      </c>
      <c r="K3590" s="2">
        <f t="shared" si="272"/>
        <v>0</v>
      </c>
    </row>
    <row r="3591" spans="5:11">
      <c r="E3591" s="3" t="s">
        <v>2986</v>
      </c>
      <c r="F3591" s="3" t="s">
        <v>2987</v>
      </c>
      <c r="G3591" s="13" t="str">
        <f t="shared" si="273"/>
        <v>18-01</v>
      </c>
      <c r="H3591" s="1">
        <f>_xlfn.IFNA(VLOOKUP(Aragon!E3591,'Kilter Holds'!$P$36:$AB$370,12,0),0)</f>
        <v>0</v>
      </c>
      <c r="J3591" s="2">
        <f t="shared" si="271"/>
        <v>0</v>
      </c>
      <c r="K3591" s="2">
        <f t="shared" si="272"/>
        <v>0</v>
      </c>
    </row>
    <row r="3592" spans="5:11">
      <c r="E3592" s="3" t="s">
        <v>2986</v>
      </c>
      <c r="F3592" s="3" t="s">
        <v>2987</v>
      </c>
      <c r="G3592" s="12" t="str">
        <f t="shared" si="273"/>
        <v>12-01</v>
      </c>
      <c r="H3592" s="1">
        <f>_xlfn.IFNA(VLOOKUP(Aragon!E3592,'Kilter Holds'!$P$36:$AB$370,13,0),0)</f>
        <v>0</v>
      </c>
      <c r="J3592" s="2">
        <f t="shared" si="271"/>
        <v>0</v>
      </c>
      <c r="K3592" s="2">
        <f t="shared" si="272"/>
        <v>0</v>
      </c>
    </row>
    <row r="3593" spans="5:11">
      <c r="E3593" s="3" t="s">
        <v>2995</v>
      </c>
      <c r="F3593" s="3" t="s">
        <v>2996</v>
      </c>
      <c r="G3593" s="5" t="str">
        <f t="shared" ref="G3593" si="274">G3161</f>
        <v>11-12</v>
      </c>
      <c r="H3593" s="1">
        <f>_xlfn.IFNA(VLOOKUP(Aragon!E3593,'Kilter Holds'!$P$36:$AB$370,5,0),0)</f>
        <v>0</v>
      </c>
      <c r="J3593" s="2">
        <f t="shared" ref="J3593:J3601" si="275">H3593*I3593</f>
        <v>0</v>
      </c>
      <c r="K3593" s="2">
        <f t="shared" ref="K3593:K3601" si="276">IF($V$11="Y",J3593*0.05,0)</f>
        <v>0</v>
      </c>
    </row>
    <row r="3594" spans="5:11">
      <c r="E3594" s="3" t="s">
        <v>2995</v>
      </c>
      <c r="F3594" s="3" t="s">
        <v>2996</v>
      </c>
      <c r="G3594" s="6" t="str">
        <f t="shared" ref="G3594:G3601" si="277">G3045</f>
        <v>14-01</v>
      </c>
      <c r="H3594" s="1">
        <f>_xlfn.IFNA(VLOOKUP(Aragon!E3594,'Kilter Holds'!$P$36:$AB$370,6,0),0)</f>
        <v>0</v>
      </c>
      <c r="J3594" s="2">
        <f t="shared" si="275"/>
        <v>0</v>
      </c>
      <c r="K3594" s="2">
        <f t="shared" si="276"/>
        <v>0</v>
      </c>
    </row>
    <row r="3595" spans="5:11">
      <c r="E3595" s="3" t="s">
        <v>2995</v>
      </c>
      <c r="F3595" s="3" t="s">
        <v>2996</v>
      </c>
      <c r="G3595" s="7" t="str">
        <f t="shared" si="277"/>
        <v>15-12</v>
      </c>
      <c r="H3595" s="1">
        <f>_xlfn.IFNA(VLOOKUP(Aragon!E3595,'Kilter Holds'!$P$36:$AB$370,7,0),0)</f>
        <v>0</v>
      </c>
      <c r="J3595" s="2">
        <f t="shared" si="275"/>
        <v>0</v>
      </c>
      <c r="K3595" s="2">
        <f t="shared" si="276"/>
        <v>0</v>
      </c>
    </row>
    <row r="3596" spans="5:11">
      <c r="E3596" s="3" t="s">
        <v>2995</v>
      </c>
      <c r="F3596" s="3" t="s">
        <v>2996</v>
      </c>
      <c r="G3596" s="8" t="str">
        <f t="shared" si="277"/>
        <v>16-16</v>
      </c>
      <c r="H3596" s="1">
        <f>_xlfn.IFNA(VLOOKUP(Aragon!E3596,'Kilter Holds'!$P$36:$AB$370,8,0),0)</f>
        <v>0</v>
      </c>
      <c r="J3596" s="2">
        <f t="shared" si="275"/>
        <v>0</v>
      </c>
      <c r="K3596" s="2">
        <f t="shared" si="276"/>
        <v>0</v>
      </c>
    </row>
    <row r="3597" spans="5:11">
      <c r="E3597" s="3" t="s">
        <v>2995</v>
      </c>
      <c r="F3597" s="3" t="s">
        <v>2996</v>
      </c>
      <c r="G3597" s="9" t="str">
        <f t="shared" si="277"/>
        <v>13-01</v>
      </c>
      <c r="H3597" s="1">
        <f>_xlfn.IFNA(VLOOKUP(Aragon!E3597,'Kilter Holds'!$P$36:$AB$370,9,0),0)</f>
        <v>0</v>
      </c>
      <c r="J3597" s="2">
        <f t="shared" si="275"/>
        <v>0</v>
      </c>
      <c r="K3597" s="2">
        <f t="shared" si="276"/>
        <v>0</v>
      </c>
    </row>
    <row r="3598" spans="5:11">
      <c r="E3598" s="3" t="s">
        <v>2995</v>
      </c>
      <c r="F3598" s="3" t="s">
        <v>2996</v>
      </c>
      <c r="G3598" s="10" t="str">
        <f t="shared" si="277"/>
        <v>07-13</v>
      </c>
      <c r="H3598" s="1">
        <f>_xlfn.IFNA(VLOOKUP(Aragon!E3598,'Kilter Holds'!$P$36:$AB$370,10,0),0)</f>
        <v>0</v>
      </c>
      <c r="J3598" s="2">
        <f t="shared" si="275"/>
        <v>0</v>
      </c>
      <c r="K3598" s="2">
        <f t="shared" si="276"/>
        <v>0</v>
      </c>
    </row>
    <row r="3599" spans="5:11">
      <c r="E3599" s="3" t="s">
        <v>2995</v>
      </c>
      <c r="F3599" s="3" t="s">
        <v>2996</v>
      </c>
      <c r="G3599" s="11" t="str">
        <f t="shared" si="277"/>
        <v>11-25</v>
      </c>
      <c r="H3599" s="1">
        <f>_xlfn.IFNA(VLOOKUP(Aragon!E3599,'Kilter Holds'!$P$36:$AB$370,11,0),0)</f>
        <v>0</v>
      </c>
      <c r="J3599" s="2">
        <f t="shared" si="275"/>
        <v>0</v>
      </c>
      <c r="K3599" s="2">
        <f t="shared" si="276"/>
        <v>0</v>
      </c>
    </row>
    <row r="3600" spans="5:11">
      <c r="E3600" s="3" t="s">
        <v>2995</v>
      </c>
      <c r="F3600" s="3" t="s">
        <v>2996</v>
      </c>
      <c r="G3600" s="13" t="str">
        <f t="shared" si="277"/>
        <v>18-01</v>
      </c>
      <c r="H3600" s="1">
        <f>_xlfn.IFNA(VLOOKUP(Aragon!E3600,'Kilter Holds'!$P$36:$AB$370,12,0),0)</f>
        <v>0</v>
      </c>
      <c r="J3600" s="2">
        <f t="shared" si="275"/>
        <v>0</v>
      </c>
      <c r="K3600" s="2">
        <f t="shared" si="276"/>
        <v>0</v>
      </c>
    </row>
    <row r="3601" spans="5:11">
      <c r="E3601" s="3" t="s">
        <v>2995</v>
      </c>
      <c r="F3601" s="3" t="s">
        <v>2996</v>
      </c>
      <c r="G3601" s="12" t="str">
        <f t="shared" si="277"/>
        <v>12-01</v>
      </c>
      <c r="H3601" s="1">
        <f>_xlfn.IFNA(VLOOKUP(Aragon!E3601,'Kilter Holds'!$P$36:$AB$370,13,0),0)</f>
        <v>0</v>
      </c>
      <c r="J3601" s="2">
        <f t="shared" si="275"/>
        <v>0</v>
      </c>
      <c r="K3601" s="2">
        <f t="shared" si="276"/>
        <v>0</v>
      </c>
    </row>
    <row r="3602" spans="5:11">
      <c r="E3602" t="s">
        <v>103</v>
      </c>
      <c r="F3602" t="s">
        <v>792</v>
      </c>
      <c r="G3602" s="5" t="str">
        <f>G3152</f>
        <v>11-12</v>
      </c>
      <c r="H3602" s="1">
        <f>_xlfn.IFNA(VLOOKUP(Aragon!E3602,'Kilter Holds'!$P$36:$AB$370,5,0),0)</f>
        <v>0</v>
      </c>
      <c r="J3602" s="2">
        <f t="shared" si="207"/>
        <v>0</v>
      </c>
      <c r="K3602" s="2">
        <f t="shared" si="208"/>
        <v>0</v>
      </c>
    </row>
    <row r="3603" spans="5:11">
      <c r="E3603" t="s">
        <v>103</v>
      </c>
      <c r="F3603" t="s">
        <v>792</v>
      </c>
      <c r="G3603" s="6" t="str">
        <f t="shared" ref="G3603:G3610" si="278">G3036</f>
        <v>14-01</v>
      </c>
      <c r="H3603" s="1">
        <f>_xlfn.IFNA(VLOOKUP(Aragon!E3603,'Kilter Holds'!$P$36:$AB$370,6,0),0)</f>
        <v>0</v>
      </c>
      <c r="J3603" s="2">
        <f t="shared" si="187"/>
        <v>0</v>
      </c>
      <c r="K3603" s="2">
        <f t="shared" si="185"/>
        <v>0</v>
      </c>
    </row>
    <row r="3604" spans="5:11">
      <c r="E3604" t="s">
        <v>103</v>
      </c>
      <c r="F3604" t="s">
        <v>792</v>
      </c>
      <c r="G3604" s="7" t="str">
        <f t="shared" si="278"/>
        <v>15-12</v>
      </c>
      <c r="H3604" s="1">
        <f>_xlfn.IFNA(VLOOKUP(Aragon!E3604,'Kilter Holds'!$P$36:$AB$370,7,0),0)</f>
        <v>0</v>
      </c>
      <c r="J3604" s="2">
        <f t="shared" si="187"/>
        <v>0</v>
      </c>
      <c r="K3604" s="2">
        <f t="shared" si="185"/>
        <v>0</v>
      </c>
    </row>
    <row r="3605" spans="5:11">
      <c r="E3605" t="s">
        <v>103</v>
      </c>
      <c r="F3605" t="s">
        <v>792</v>
      </c>
      <c r="G3605" s="8" t="str">
        <f t="shared" si="278"/>
        <v>16-16</v>
      </c>
      <c r="H3605" s="1">
        <f>_xlfn.IFNA(VLOOKUP(Aragon!E3605,'Kilter Holds'!$P$36:$AB$370,8,0),0)</f>
        <v>0</v>
      </c>
      <c r="J3605" s="2">
        <f t="shared" si="187"/>
        <v>0</v>
      </c>
      <c r="K3605" s="2">
        <f t="shared" si="185"/>
        <v>0</v>
      </c>
    </row>
    <row r="3606" spans="5:11">
      <c r="E3606" t="s">
        <v>103</v>
      </c>
      <c r="F3606" t="s">
        <v>792</v>
      </c>
      <c r="G3606" s="9" t="str">
        <f t="shared" si="278"/>
        <v>13-01</v>
      </c>
      <c r="H3606" s="1">
        <f>_xlfn.IFNA(VLOOKUP(Aragon!E3606,'Kilter Holds'!$P$36:$AB$370,9,0),0)</f>
        <v>0</v>
      </c>
      <c r="J3606" s="2">
        <f t="shared" si="187"/>
        <v>0</v>
      </c>
      <c r="K3606" s="2">
        <f t="shared" si="185"/>
        <v>0</v>
      </c>
    </row>
    <row r="3607" spans="5:11">
      <c r="E3607" t="s">
        <v>103</v>
      </c>
      <c r="F3607" t="s">
        <v>792</v>
      </c>
      <c r="G3607" s="10" t="str">
        <f t="shared" si="278"/>
        <v>07-13</v>
      </c>
      <c r="H3607" s="1">
        <f>_xlfn.IFNA(VLOOKUP(Aragon!E3607,'Kilter Holds'!$P$36:$AB$370,10,0),0)</f>
        <v>0</v>
      </c>
      <c r="J3607" s="2">
        <f t="shared" si="187"/>
        <v>0</v>
      </c>
      <c r="K3607" s="2">
        <f t="shared" si="185"/>
        <v>0</v>
      </c>
    </row>
    <row r="3608" spans="5:11">
      <c r="E3608" t="s">
        <v>103</v>
      </c>
      <c r="F3608" t="s">
        <v>792</v>
      </c>
      <c r="G3608" s="11" t="str">
        <f t="shared" si="278"/>
        <v>11-25</v>
      </c>
      <c r="H3608" s="1">
        <f>_xlfn.IFNA(VLOOKUP(Aragon!E3608,'Kilter Holds'!$P$36:$AB$370,11,0),0)</f>
        <v>0</v>
      </c>
      <c r="J3608" s="2">
        <f t="shared" si="187"/>
        <v>0</v>
      </c>
      <c r="K3608" s="2">
        <f t="shared" si="185"/>
        <v>0</v>
      </c>
    </row>
    <row r="3609" spans="5:11">
      <c r="E3609" t="s">
        <v>103</v>
      </c>
      <c r="F3609" t="s">
        <v>792</v>
      </c>
      <c r="G3609" s="13" t="str">
        <f t="shared" si="278"/>
        <v>18-01</v>
      </c>
      <c r="H3609" s="1">
        <f>_xlfn.IFNA(VLOOKUP(Aragon!E3609,'Kilter Holds'!$P$36:$AB$370,12,0),0)</f>
        <v>0</v>
      </c>
      <c r="J3609" s="2">
        <f t="shared" si="187"/>
        <v>0</v>
      </c>
      <c r="K3609" s="2">
        <f t="shared" si="185"/>
        <v>0</v>
      </c>
    </row>
    <row r="3610" spans="5:11">
      <c r="E3610" t="s">
        <v>103</v>
      </c>
      <c r="F3610" t="s">
        <v>792</v>
      </c>
      <c r="G3610" s="12" t="str">
        <f t="shared" si="278"/>
        <v>12-01</v>
      </c>
      <c r="H3610" s="1">
        <f>_xlfn.IFNA(VLOOKUP(Aragon!E3610,'Kilter Holds'!$P$36:$AB$370,13,0),0)</f>
        <v>0</v>
      </c>
      <c r="J3610" s="2">
        <f t="shared" si="187"/>
        <v>0</v>
      </c>
      <c r="K3610" s="2">
        <f t="shared" si="185"/>
        <v>0</v>
      </c>
    </row>
    <row r="3611" spans="5:11">
      <c r="E3611" t="s">
        <v>104</v>
      </c>
      <c r="F3611" t="s">
        <v>793</v>
      </c>
      <c r="G3611" s="5" t="str">
        <f t="shared" si="186"/>
        <v>11-12</v>
      </c>
      <c r="H3611" s="1">
        <f>_xlfn.IFNA(VLOOKUP(Aragon!E3611,'Kilter Holds'!$P$36:$AB$370,5,0),0)</f>
        <v>0</v>
      </c>
      <c r="J3611" s="2">
        <f t="shared" si="187"/>
        <v>0</v>
      </c>
      <c r="K3611" s="2">
        <f t="shared" si="185"/>
        <v>0</v>
      </c>
    </row>
    <row r="3612" spans="5:11">
      <c r="E3612" t="s">
        <v>104</v>
      </c>
      <c r="F3612" t="s">
        <v>793</v>
      </c>
      <c r="G3612" s="6" t="str">
        <f t="shared" si="186"/>
        <v>14-01</v>
      </c>
      <c r="H3612" s="1">
        <f>_xlfn.IFNA(VLOOKUP(Aragon!E3612,'Kilter Holds'!$P$36:$AB$370,6,0),0)</f>
        <v>0</v>
      </c>
      <c r="J3612" s="2">
        <f t="shared" si="187"/>
        <v>0</v>
      </c>
      <c r="K3612" s="2">
        <f t="shared" si="185"/>
        <v>0</v>
      </c>
    </row>
    <row r="3613" spans="5:11">
      <c r="E3613" t="s">
        <v>104</v>
      </c>
      <c r="F3613" t="s">
        <v>793</v>
      </c>
      <c r="G3613" s="7" t="str">
        <f t="shared" si="186"/>
        <v>15-12</v>
      </c>
      <c r="H3613" s="1">
        <f>_xlfn.IFNA(VLOOKUP(Aragon!E3613,'Kilter Holds'!$P$36:$AB$370,7,0),0)</f>
        <v>0</v>
      </c>
      <c r="J3613" s="2">
        <f t="shared" si="187"/>
        <v>0</v>
      </c>
      <c r="K3613" s="2">
        <f t="shared" si="185"/>
        <v>0</v>
      </c>
    </row>
    <row r="3614" spans="5:11">
      <c r="E3614" t="s">
        <v>104</v>
      </c>
      <c r="F3614" t="s">
        <v>793</v>
      </c>
      <c r="G3614" s="8" t="str">
        <f t="shared" si="186"/>
        <v>16-16</v>
      </c>
      <c r="H3614" s="1">
        <f>_xlfn.IFNA(VLOOKUP(Aragon!E3614,'Kilter Holds'!$P$36:$AB$370,8,0),0)</f>
        <v>0</v>
      </c>
      <c r="J3614" s="2">
        <f t="shared" si="187"/>
        <v>0</v>
      </c>
      <c r="K3614" s="2">
        <f t="shared" ref="K3614:K3812" si="279">IF($V$11="Y",J3614*0.05,0)</f>
        <v>0</v>
      </c>
    </row>
    <row r="3615" spans="5:11">
      <c r="E3615" t="s">
        <v>104</v>
      </c>
      <c r="F3615" t="s">
        <v>793</v>
      </c>
      <c r="G3615" s="9" t="str">
        <f t="shared" ref="G3615:G3813" si="280">G3606</f>
        <v>13-01</v>
      </c>
      <c r="H3615" s="1">
        <f>_xlfn.IFNA(VLOOKUP(Aragon!E3615,'Kilter Holds'!$P$36:$AB$370,9,0),0)</f>
        <v>0</v>
      </c>
      <c r="J3615" s="2">
        <f t="shared" si="187"/>
        <v>0</v>
      </c>
      <c r="K3615" s="2">
        <f t="shared" si="279"/>
        <v>0</v>
      </c>
    </row>
    <row r="3616" spans="5:11">
      <c r="E3616" t="s">
        <v>104</v>
      </c>
      <c r="F3616" t="s">
        <v>793</v>
      </c>
      <c r="G3616" s="10" t="str">
        <f t="shared" si="280"/>
        <v>07-13</v>
      </c>
      <c r="H3616" s="1">
        <f>_xlfn.IFNA(VLOOKUP(Aragon!E3616,'Kilter Holds'!$P$36:$AB$370,10,0),0)</f>
        <v>0</v>
      </c>
      <c r="J3616" s="2">
        <f t="shared" si="187"/>
        <v>0</v>
      </c>
      <c r="K3616" s="2">
        <f t="shared" si="279"/>
        <v>0</v>
      </c>
    </row>
    <row r="3617" spans="5:11">
      <c r="E3617" t="s">
        <v>104</v>
      </c>
      <c r="F3617" t="s">
        <v>793</v>
      </c>
      <c r="G3617" s="11" t="str">
        <f t="shared" si="280"/>
        <v>11-25</v>
      </c>
      <c r="H3617" s="1">
        <f>_xlfn.IFNA(VLOOKUP(Aragon!E3617,'Kilter Holds'!$P$36:$AB$370,11,0),0)</f>
        <v>0</v>
      </c>
      <c r="J3617" s="2">
        <f t="shared" si="187"/>
        <v>0</v>
      </c>
      <c r="K3617" s="2">
        <f t="shared" si="279"/>
        <v>0</v>
      </c>
    </row>
    <row r="3618" spans="5:11">
      <c r="E3618" t="s">
        <v>104</v>
      </c>
      <c r="F3618" t="s">
        <v>793</v>
      </c>
      <c r="G3618" s="13" t="str">
        <f t="shared" si="280"/>
        <v>18-01</v>
      </c>
      <c r="H3618" s="1">
        <f>_xlfn.IFNA(VLOOKUP(Aragon!E3618,'Kilter Holds'!$P$36:$AB$370,12,0),0)</f>
        <v>0</v>
      </c>
      <c r="J3618" s="2">
        <f t="shared" si="187"/>
        <v>0</v>
      </c>
      <c r="K3618" s="2">
        <f t="shared" si="279"/>
        <v>0</v>
      </c>
    </row>
    <row r="3619" spans="5:11">
      <c r="E3619" t="s">
        <v>104</v>
      </c>
      <c r="F3619" t="s">
        <v>793</v>
      </c>
      <c r="G3619" s="12" t="str">
        <f t="shared" si="280"/>
        <v>12-01</v>
      </c>
      <c r="H3619" s="1">
        <f>_xlfn.IFNA(VLOOKUP(Aragon!E3619,'Kilter Holds'!$P$36:$AB$370,13,0),0)</f>
        <v>0</v>
      </c>
      <c r="J3619" s="2">
        <f t="shared" si="187"/>
        <v>0</v>
      </c>
      <c r="K3619" s="2">
        <f t="shared" si="279"/>
        <v>0</v>
      </c>
    </row>
    <row r="3620" spans="5:11">
      <c r="E3620" t="s">
        <v>105</v>
      </c>
      <c r="F3620" t="s">
        <v>794</v>
      </c>
      <c r="G3620" s="5" t="str">
        <f t="shared" si="280"/>
        <v>11-12</v>
      </c>
      <c r="H3620" s="1">
        <f>_xlfn.IFNA(VLOOKUP(Aragon!E3620,'Kilter Holds'!$P$36:$AB$370,5,0),0)</f>
        <v>0</v>
      </c>
      <c r="J3620" s="2">
        <f t="shared" si="187"/>
        <v>0</v>
      </c>
      <c r="K3620" s="2">
        <f t="shared" si="279"/>
        <v>0</v>
      </c>
    </row>
    <row r="3621" spans="5:11">
      <c r="E3621" t="s">
        <v>105</v>
      </c>
      <c r="F3621" t="s">
        <v>794</v>
      </c>
      <c r="G3621" s="6" t="str">
        <f t="shared" si="280"/>
        <v>14-01</v>
      </c>
      <c r="H3621" s="1">
        <f>_xlfn.IFNA(VLOOKUP(Aragon!E3621,'Kilter Holds'!$P$36:$AB$370,6,0),0)</f>
        <v>0</v>
      </c>
      <c r="J3621" s="2">
        <f t="shared" si="187"/>
        <v>0</v>
      </c>
      <c r="K3621" s="2">
        <f t="shared" si="279"/>
        <v>0</v>
      </c>
    </row>
    <row r="3622" spans="5:11">
      <c r="E3622" t="s">
        <v>105</v>
      </c>
      <c r="F3622" t="s">
        <v>794</v>
      </c>
      <c r="G3622" s="7" t="str">
        <f t="shared" si="280"/>
        <v>15-12</v>
      </c>
      <c r="H3622" s="1">
        <f>_xlfn.IFNA(VLOOKUP(Aragon!E3622,'Kilter Holds'!$P$36:$AB$370,7,0),0)</f>
        <v>0</v>
      </c>
      <c r="J3622" s="2">
        <f t="shared" si="187"/>
        <v>0</v>
      </c>
      <c r="K3622" s="2">
        <f t="shared" si="279"/>
        <v>0</v>
      </c>
    </row>
    <row r="3623" spans="5:11">
      <c r="E3623" t="s">
        <v>105</v>
      </c>
      <c r="F3623" t="s">
        <v>794</v>
      </c>
      <c r="G3623" s="8" t="str">
        <f t="shared" si="280"/>
        <v>16-16</v>
      </c>
      <c r="H3623" s="1">
        <f>_xlfn.IFNA(VLOOKUP(Aragon!E3623,'Kilter Holds'!$P$36:$AB$370,8,0),0)</f>
        <v>0</v>
      </c>
      <c r="J3623" s="2">
        <f t="shared" si="187"/>
        <v>0</v>
      </c>
      <c r="K3623" s="2">
        <f t="shared" si="279"/>
        <v>0</v>
      </c>
    </row>
    <row r="3624" spans="5:11">
      <c r="E3624" t="s">
        <v>105</v>
      </c>
      <c r="F3624" t="s">
        <v>794</v>
      </c>
      <c r="G3624" s="9" t="str">
        <f t="shared" si="280"/>
        <v>13-01</v>
      </c>
      <c r="H3624" s="1">
        <f>_xlfn.IFNA(VLOOKUP(Aragon!E3624,'Kilter Holds'!$P$36:$AB$370,9,0),0)</f>
        <v>0</v>
      </c>
      <c r="J3624" s="2">
        <f t="shared" si="187"/>
        <v>0</v>
      </c>
      <c r="K3624" s="2">
        <f t="shared" si="279"/>
        <v>0</v>
      </c>
    </row>
    <row r="3625" spans="5:11">
      <c r="E3625" t="s">
        <v>105</v>
      </c>
      <c r="F3625" t="s">
        <v>794</v>
      </c>
      <c r="G3625" s="10" t="str">
        <f t="shared" si="280"/>
        <v>07-13</v>
      </c>
      <c r="H3625" s="1">
        <f>_xlfn.IFNA(VLOOKUP(Aragon!E3625,'Kilter Holds'!$P$36:$AB$370,10,0),0)</f>
        <v>0</v>
      </c>
      <c r="J3625" s="2">
        <f t="shared" si="187"/>
        <v>0</v>
      </c>
      <c r="K3625" s="2">
        <f t="shared" si="279"/>
        <v>0</v>
      </c>
    </row>
    <row r="3626" spans="5:11">
      <c r="E3626" t="s">
        <v>105</v>
      </c>
      <c r="F3626" t="s">
        <v>794</v>
      </c>
      <c r="G3626" s="11" t="str">
        <f t="shared" si="280"/>
        <v>11-25</v>
      </c>
      <c r="H3626" s="1">
        <f>_xlfn.IFNA(VLOOKUP(Aragon!E3626,'Kilter Holds'!$P$36:$AB$370,11,0),0)</f>
        <v>0</v>
      </c>
      <c r="J3626" s="2">
        <f t="shared" si="187"/>
        <v>0</v>
      </c>
      <c r="K3626" s="2">
        <f t="shared" si="279"/>
        <v>0</v>
      </c>
    </row>
    <row r="3627" spans="5:11">
      <c r="E3627" t="s">
        <v>105</v>
      </c>
      <c r="F3627" t="s">
        <v>794</v>
      </c>
      <c r="G3627" s="13" t="str">
        <f t="shared" si="280"/>
        <v>18-01</v>
      </c>
      <c r="H3627" s="1">
        <f>_xlfn.IFNA(VLOOKUP(Aragon!E3627,'Kilter Holds'!$P$36:$AB$370,12,0),0)</f>
        <v>0</v>
      </c>
      <c r="J3627" s="2">
        <f t="shared" si="187"/>
        <v>0</v>
      </c>
      <c r="K3627" s="2">
        <f t="shared" si="279"/>
        <v>0</v>
      </c>
    </row>
    <row r="3628" spans="5:11">
      <c r="E3628" t="s">
        <v>105</v>
      </c>
      <c r="F3628" t="s">
        <v>794</v>
      </c>
      <c r="G3628" s="12" t="str">
        <f t="shared" si="280"/>
        <v>12-01</v>
      </c>
      <c r="H3628" s="1">
        <f>_xlfn.IFNA(VLOOKUP(Aragon!E3628,'Kilter Holds'!$P$36:$AB$370,13,0),0)</f>
        <v>0</v>
      </c>
      <c r="J3628" s="2">
        <f t="shared" si="187"/>
        <v>0</v>
      </c>
      <c r="K3628" s="2">
        <f t="shared" si="279"/>
        <v>0</v>
      </c>
    </row>
    <row r="3629" spans="5:11">
      <c r="E3629" t="s">
        <v>106</v>
      </c>
      <c r="F3629" t="s">
        <v>795</v>
      </c>
      <c r="G3629" s="5" t="str">
        <f t="shared" si="280"/>
        <v>11-12</v>
      </c>
      <c r="H3629" s="1">
        <f>_xlfn.IFNA(VLOOKUP(Aragon!E3629,'Kilter Holds'!$P$36:$AB$370,5,0),0)</f>
        <v>0</v>
      </c>
      <c r="J3629" s="2">
        <f t="shared" si="187"/>
        <v>0</v>
      </c>
      <c r="K3629" s="2">
        <f t="shared" si="279"/>
        <v>0</v>
      </c>
    </row>
    <row r="3630" spans="5:11">
      <c r="E3630" t="s">
        <v>106</v>
      </c>
      <c r="F3630" t="s">
        <v>795</v>
      </c>
      <c r="G3630" s="6" t="str">
        <f t="shared" si="280"/>
        <v>14-01</v>
      </c>
      <c r="H3630" s="1">
        <f>_xlfn.IFNA(VLOOKUP(Aragon!E3630,'Kilter Holds'!$P$36:$AB$370,6,0),0)</f>
        <v>0</v>
      </c>
      <c r="J3630" s="2">
        <f t="shared" si="187"/>
        <v>0</v>
      </c>
      <c r="K3630" s="2">
        <f t="shared" si="279"/>
        <v>0</v>
      </c>
    </row>
    <row r="3631" spans="5:11">
      <c r="E3631" t="s">
        <v>106</v>
      </c>
      <c r="F3631" t="s">
        <v>795</v>
      </c>
      <c r="G3631" s="7" t="str">
        <f t="shared" si="280"/>
        <v>15-12</v>
      </c>
      <c r="H3631" s="1">
        <f>_xlfn.IFNA(VLOOKUP(Aragon!E3631,'Kilter Holds'!$P$36:$AB$370,7,0),0)</f>
        <v>0</v>
      </c>
      <c r="J3631" s="2">
        <f t="shared" si="187"/>
        <v>0</v>
      </c>
      <c r="K3631" s="2">
        <f t="shared" si="279"/>
        <v>0</v>
      </c>
    </row>
    <row r="3632" spans="5:11">
      <c r="E3632" t="s">
        <v>106</v>
      </c>
      <c r="F3632" t="s">
        <v>795</v>
      </c>
      <c r="G3632" s="8" t="str">
        <f t="shared" si="280"/>
        <v>16-16</v>
      </c>
      <c r="H3632" s="1">
        <f>_xlfn.IFNA(VLOOKUP(Aragon!E3632,'Kilter Holds'!$P$36:$AB$370,8,0),0)</f>
        <v>0</v>
      </c>
      <c r="J3632" s="2">
        <f t="shared" si="187"/>
        <v>0</v>
      </c>
      <c r="K3632" s="2">
        <f t="shared" si="279"/>
        <v>0</v>
      </c>
    </row>
    <row r="3633" spans="5:11">
      <c r="E3633" t="s">
        <v>106</v>
      </c>
      <c r="F3633" t="s">
        <v>795</v>
      </c>
      <c r="G3633" s="9" t="str">
        <f t="shared" si="280"/>
        <v>13-01</v>
      </c>
      <c r="H3633" s="1">
        <f>_xlfn.IFNA(VLOOKUP(Aragon!E3633,'Kilter Holds'!$P$36:$AB$370,9,0),0)</f>
        <v>0</v>
      </c>
      <c r="J3633" s="2">
        <f t="shared" si="187"/>
        <v>0</v>
      </c>
      <c r="K3633" s="2">
        <f t="shared" si="279"/>
        <v>0</v>
      </c>
    </row>
    <row r="3634" spans="5:11">
      <c r="E3634" t="s">
        <v>106</v>
      </c>
      <c r="F3634" t="s">
        <v>795</v>
      </c>
      <c r="G3634" s="10" t="str">
        <f t="shared" si="280"/>
        <v>07-13</v>
      </c>
      <c r="H3634" s="1">
        <f>_xlfn.IFNA(VLOOKUP(Aragon!E3634,'Kilter Holds'!$P$36:$AB$370,10,0),0)</f>
        <v>0</v>
      </c>
      <c r="J3634" s="2">
        <f t="shared" si="187"/>
        <v>0</v>
      </c>
      <c r="K3634" s="2">
        <f t="shared" si="279"/>
        <v>0</v>
      </c>
    </row>
    <row r="3635" spans="5:11">
      <c r="E3635" t="s">
        <v>106</v>
      </c>
      <c r="F3635" t="s">
        <v>795</v>
      </c>
      <c r="G3635" s="11" t="str">
        <f t="shared" si="280"/>
        <v>11-25</v>
      </c>
      <c r="H3635" s="1">
        <f>_xlfn.IFNA(VLOOKUP(Aragon!E3635,'Kilter Holds'!$P$36:$AB$370,11,0),0)</f>
        <v>0</v>
      </c>
      <c r="J3635" s="2">
        <f t="shared" si="187"/>
        <v>0</v>
      </c>
      <c r="K3635" s="2">
        <f t="shared" si="279"/>
        <v>0</v>
      </c>
    </row>
    <row r="3636" spans="5:11">
      <c r="E3636" t="s">
        <v>106</v>
      </c>
      <c r="F3636" t="s">
        <v>795</v>
      </c>
      <c r="G3636" s="13" t="str">
        <f t="shared" si="280"/>
        <v>18-01</v>
      </c>
      <c r="H3636" s="1">
        <f>_xlfn.IFNA(VLOOKUP(Aragon!E3636,'Kilter Holds'!$P$36:$AB$370,12,0),0)</f>
        <v>0</v>
      </c>
      <c r="J3636" s="2">
        <f t="shared" si="187"/>
        <v>0</v>
      </c>
      <c r="K3636" s="2">
        <f t="shared" si="279"/>
        <v>0</v>
      </c>
    </row>
    <row r="3637" spans="5:11">
      <c r="E3637" t="s">
        <v>106</v>
      </c>
      <c r="F3637" t="s">
        <v>795</v>
      </c>
      <c r="G3637" s="12" t="str">
        <f t="shared" si="280"/>
        <v>12-01</v>
      </c>
      <c r="H3637" s="1">
        <f>_xlfn.IFNA(VLOOKUP(Aragon!E3637,'Kilter Holds'!$P$36:$AB$370,13,0),0)</f>
        <v>0</v>
      </c>
      <c r="J3637" s="2">
        <f t="shared" si="187"/>
        <v>0</v>
      </c>
      <c r="K3637" s="2">
        <f t="shared" si="279"/>
        <v>0</v>
      </c>
    </row>
    <row r="3638" spans="5:11">
      <c r="E3638" t="s">
        <v>1586</v>
      </c>
      <c r="F3638" t="s">
        <v>1587</v>
      </c>
      <c r="G3638" s="5" t="str">
        <f t="shared" si="280"/>
        <v>11-12</v>
      </c>
      <c r="H3638" s="1">
        <f>_xlfn.IFNA(VLOOKUP(Aragon!E3638,'Kilter Holds'!$P$36:$AB$370,5,0),0)</f>
        <v>0</v>
      </c>
      <c r="J3638" s="2">
        <f t="shared" ref="J3638:J3646" si="281">H3638*I3638</f>
        <v>0</v>
      </c>
      <c r="K3638" s="2">
        <f t="shared" ref="K3638:K3646" si="282">IF($V$11="Y",J3638*0.05,0)</f>
        <v>0</v>
      </c>
    </row>
    <row r="3639" spans="5:11">
      <c r="E3639" t="s">
        <v>1586</v>
      </c>
      <c r="F3639" t="s">
        <v>1587</v>
      </c>
      <c r="G3639" s="6" t="str">
        <f t="shared" si="280"/>
        <v>14-01</v>
      </c>
      <c r="H3639" s="1">
        <f>_xlfn.IFNA(VLOOKUP(Aragon!E3639,'Kilter Holds'!$P$36:$AB$370,6,0),0)</f>
        <v>0</v>
      </c>
      <c r="J3639" s="2">
        <f t="shared" si="281"/>
        <v>0</v>
      </c>
      <c r="K3639" s="2">
        <f t="shared" si="282"/>
        <v>0</v>
      </c>
    </row>
    <row r="3640" spans="5:11">
      <c r="E3640" t="s">
        <v>1586</v>
      </c>
      <c r="F3640" t="s">
        <v>1587</v>
      </c>
      <c r="G3640" s="7" t="str">
        <f t="shared" si="280"/>
        <v>15-12</v>
      </c>
      <c r="H3640" s="1">
        <f>_xlfn.IFNA(VLOOKUP(Aragon!E3640,'Kilter Holds'!$P$36:$AB$370,7,0),0)</f>
        <v>0</v>
      </c>
      <c r="J3640" s="2">
        <f t="shared" si="281"/>
        <v>0</v>
      </c>
      <c r="K3640" s="2">
        <f t="shared" si="282"/>
        <v>0</v>
      </c>
    </row>
    <row r="3641" spans="5:11">
      <c r="E3641" t="s">
        <v>1586</v>
      </c>
      <c r="F3641" t="s">
        <v>1587</v>
      </c>
      <c r="G3641" s="8" t="str">
        <f t="shared" si="280"/>
        <v>16-16</v>
      </c>
      <c r="H3641" s="1">
        <f>_xlfn.IFNA(VLOOKUP(Aragon!E3641,'Kilter Holds'!$P$36:$AB$370,8,0),0)</f>
        <v>0</v>
      </c>
      <c r="J3641" s="2">
        <f t="shared" si="281"/>
        <v>0</v>
      </c>
      <c r="K3641" s="2">
        <f t="shared" si="282"/>
        <v>0</v>
      </c>
    </row>
    <row r="3642" spans="5:11">
      <c r="E3642" t="s">
        <v>1586</v>
      </c>
      <c r="F3642" t="s">
        <v>1587</v>
      </c>
      <c r="G3642" s="9" t="str">
        <f t="shared" si="280"/>
        <v>13-01</v>
      </c>
      <c r="H3642" s="1">
        <f>_xlfn.IFNA(VLOOKUP(Aragon!E3642,'Kilter Holds'!$P$36:$AB$370,9,0),0)</f>
        <v>0</v>
      </c>
      <c r="J3642" s="2">
        <f t="shared" si="281"/>
        <v>0</v>
      </c>
      <c r="K3642" s="2">
        <f t="shared" si="282"/>
        <v>0</v>
      </c>
    </row>
    <row r="3643" spans="5:11">
      <c r="E3643" t="s">
        <v>1586</v>
      </c>
      <c r="F3643" t="s">
        <v>1587</v>
      </c>
      <c r="G3643" s="10" t="str">
        <f t="shared" si="280"/>
        <v>07-13</v>
      </c>
      <c r="H3643" s="1">
        <f>_xlfn.IFNA(VLOOKUP(Aragon!E3643,'Kilter Holds'!$P$36:$AB$370,10,0),0)</f>
        <v>0</v>
      </c>
      <c r="J3643" s="2">
        <f t="shared" si="281"/>
        <v>0</v>
      </c>
      <c r="K3643" s="2">
        <f t="shared" si="282"/>
        <v>0</v>
      </c>
    </row>
    <row r="3644" spans="5:11">
      <c r="E3644" t="s">
        <v>1586</v>
      </c>
      <c r="F3644" t="s">
        <v>1587</v>
      </c>
      <c r="G3644" s="11" t="str">
        <f t="shared" si="280"/>
        <v>11-25</v>
      </c>
      <c r="H3644" s="1">
        <f>_xlfn.IFNA(VLOOKUP(Aragon!E3644,'Kilter Holds'!$P$36:$AB$370,11,0),0)</f>
        <v>0</v>
      </c>
      <c r="J3644" s="2">
        <f t="shared" si="281"/>
        <v>0</v>
      </c>
      <c r="K3644" s="2">
        <f t="shared" si="282"/>
        <v>0</v>
      </c>
    </row>
    <row r="3645" spans="5:11">
      <c r="E3645" t="s">
        <v>1586</v>
      </c>
      <c r="F3645" t="s">
        <v>1587</v>
      </c>
      <c r="G3645" s="13" t="str">
        <f t="shared" si="280"/>
        <v>18-01</v>
      </c>
      <c r="H3645" s="1">
        <f>_xlfn.IFNA(VLOOKUP(Aragon!E3645,'Kilter Holds'!$P$36:$AB$370,12,0),0)</f>
        <v>0</v>
      </c>
      <c r="J3645" s="2">
        <f t="shared" si="281"/>
        <v>0</v>
      </c>
      <c r="K3645" s="2">
        <f t="shared" si="282"/>
        <v>0</v>
      </c>
    </row>
    <row r="3646" spans="5:11">
      <c r="E3646" t="s">
        <v>1586</v>
      </c>
      <c r="F3646" t="s">
        <v>1587</v>
      </c>
      <c r="G3646" s="12" t="str">
        <f t="shared" si="280"/>
        <v>12-01</v>
      </c>
      <c r="H3646" s="1">
        <f>_xlfn.IFNA(VLOOKUP(Aragon!E3646,'Kilter Holds'!$P$36:$AB$370,13,0),0)</f>
        <v>0</v>
      </c>
      <c r="J3646" s="2">
        <f t="shared" si="281"/>
        <v>0</v>
      </c>
      <c r="K3646" s="2">
        <f t="shared" si="282"/>
        <v>0</v>
      </c>
    </row>
    <row r="3647" spans="5:11">
      <c r="E3647" s="3" t="s">
        <v>2136</v>
      </c>
      <c r="F3647" s="3" t="s">
        <v>2140</v>
      </c>
      <c r="G3647" s="5" t="str">
        <f t="shared" si="280"/>
        <v>11-12</v>
      </c>
      <c r="H3647" s="1">
        <f>_xlfn.IFNA(VLOOKUP(Aragon!E3647,'Kilter Holds'!$P$36:$AB$370,5,0),0)</f>
        <v>0</v>
      </c>
      <c r="J3647" s="2">
        <f t="shared" ref="J3647:J3655" si="283">H3647*I3647</f>
        <v>0</v>
      </c>
      <c r="K3647" s="2">
        <f t="shared" ref="K3647:K3655" si="284">IF($V$11="Y",J3647*0.05,0)</f>
        <v>0</v>
      </c>
    </row>
    <row r="3648" spans="5:11">
      <c r="E3648" s="3" t="s">
        <v>2136</v>
      </c>
      <c r="F3648" s="3" t="s">
        <v>2140</v>
      </c>
      <c r="G3648" s="6" t="str">
        <f t="shared" si="280"/>
        <v>14-01</v>
      </c>
      <c r="H3648" s="1">
        <f>_xlfn.IFNA(VLOOKUP(Aragon!E3648,'Kilter Holds'!$P$36:$AB$370,6,0),0)</f>
        <v>0</v>
      </c>
      <c r="J3648" s="2">
        <f t="shared" si="283"/>
        <v>0</v>
      </c>
      <c r="K3648" s="2">
        <f t="shared" si="284"/>
        <v>0</v>
      </c>
    </row>
    <row r="3649" spans="5:11">
      <c r="E3649" s="3" t="s">
        <v>2136</v>
      </c>
      <c r="F3649" s="3" t="s">
        <v>2140</v>
      </c>
      <c r="G3649" s="7" t="str">
        <f t="shared" si="280"/>
        <v>15-12</v>
      </c>
      <c r="H3649" s="1">
        <f>_xlfn.IFNA(VLOOKUP(Aragon!E3649,'Kilter Holds'!$P$36:$AB$370,7,0),0)</f>
        <v>0</v>
      </c>
      <c r="J3649" s="2">
        <f t="shared" si="283"/>
        <v>0</v>
      </c>
      <c r="K3649" s="2">
        <f t="shared" si="284"/>
        <v>0</v>
      </c>
    </row>
    <row r="3650" spans="5:11">
      <c r="E3650" s="3" t="s">
        <v>2136</v>
      </c>
      <c r="F3650" s="3" t="s">
        <v>2140</v>
      </c>
      <c r="G3650" s="8" t="str">
        <f t="shared" si="280"/>
        <v>16-16</v>
      </c>
      <c r="H3650" s="1">
        <f>_xlfn.IFNA(VLOOKUP(Aragon!E3650,'Kilter Holds'!$P$36:$AB$370,8,0),0)</f>
        <v>0</v>
      </c>
      <c r="J3650" s="2">
        <f t="shared" si="283"/>
        <v>0</v>
      </c>
      <c r="K3650" s="2">
        <f t="shared" si="284"/>
        <v>0</v>
      </c>
    </row>
    <row r="3651" spans="5:11">
      <c r="E3651" s="3" t="s">
        <v>2136</v>
      </c>
      <c r="F3651" s="3" t="s">
        <v>2140</v>
      </c>
      <c r="G3651" s="9" t="str">
        <f t="shared" si="280"/>
        <v>13-01</v>
      </c>
      <c r="H3651" s="1">
        <f>_xlfn.IFNA(VLOOKUP(Aragon!E3651,'Kilter Holds'!$P$36:$AB$370,9,0),0)</f>
        <v>0</v>
      </c>
      <c r="J3651" s="2">
        <f t="shared" si="283"/>
        <v>0</v>
      </c>
      <c r="K3651" s="2">
        <f t="shared" si="284"/>
        <v>0</v>
      </c>
    </row>
    <row r="3652" spans="5:11">
      <c r="E3652" s="3" t="s">
        <v>2136</v>
      </c>
      <c r="F3652" s="3" t="s">
        <v>2140</v>
      </c>
      <c r="G3652" s="10" t="str">
        <f t="shared" si="280"/>
        <v>07-13</v>
      </c>
      <c r="H3652" s="1">
        <f>_xlfn.IFNA(VLOOKUP(Aragon!E3652,'Kilter Holds'!$P$36:$AB$370,10,0),0)</f>
        <v>0</v>
      </c>
      <c r="J3652" s="2">
        <f t="shared" si="283"/>
        <v>0</v>
      </c>
      <c r="K3652" s="2">
        <f t="shared" si="284"/>
        <v>0</v>
      </c>
    </row>
    <row r="3653" spans="5:11">
      <c r="E3653" s="3" t="s">
        <v>2136</v>
      </c>
      <c r="F3653" s="3" t="s">
        <v>2140</v>
      </c>
      <c r="G3653" s="11" t="str">
        <f t="shared" si="280"/>
        <v>11-25</v>
      </c>
      <c r="H3653" s="1">
        <f>_xlfn.IFNA(VLOOKUP(Aragon!E3653,'Kilter Holds'!$P$36:$AB$370,11,0),0)</f>
        <v>0</v>
      </c>
      <c r="J3653" s="2">
        <f t="shared" si="283"/>
        <v>0</v>
      </c>
      <c r="K3653" s="2">
        <f t="shared" si="284"/>
        <v>0</v>
      </c>
    </row>
    <row r="3654" spans="5:11">
      <c r="E3654" s="3" t="s">
        <v>2136</v>
      </c>
      <c r="F3654" s="3" t="s">
        <v>2140</v>
      </c>
      <c r="G3654" s="13" t="str">
        <f t="shared" si="280"/>
        <v>18-01</v>
      </c>
      <c r="H3654" s="1">
        <f>_xlfn.IFNA(VLOOKUP(Aragon!E3654,'Kilter Holds'!$P$36:$AB$370,12,0),0)</f>
        <v>0</v>
      </c>
      <c r="J3654" s="2">
        <f t="shared" si="283"/>
        <v>0</v>
      </c>
      <c r="K3654" s="2">
        <f t="shared" si="284"/>
        <v>0</v>
      </c>
    </row>
    <row r="3655" spans="5:11">
      <c r="E3655" s="3" t="s">
        <v>2136</v>
      </c>
      <c r="F3655" s="3" t="s">
        <v>2140</v>
      </c>
      <c r="G3655" s="12" t="str">
        <f t="shared" si="280"/>
        <v>12-01</v>
      </c>
      <c r="H3655" s="1">
        <f>_xlfn.IFNA(VLOOKUP(Aragon!E3655,'Kilter Holds'!$P$36:$AB$370,13,0),0)</f>
        <v>0</v>
      </c>
      <c r="J3655" s="2">
        <f t="shared" si="283"/>
        <v>0</v>
      </c>
      <c r="K3655" s="2">
        <f t="shared" si="284"/>
        <v>0</v>
      </c>
    </row>
    <row r="3656" spans="5:11">
      <c r="E3656" s="3" t="s">
        <v>2139</v>
      </c>
      <c r="F3656" s="3" t="s">
        <v>2141</v>
      </c>
      <c r="G3656" s="5" t="str">
        <f t="shared" si="280"/>
        <v>11-12</v>
      </c>
      <c r="H3656" s="1">
        <f>_xlfn.IFNA(VLOOKUP(Aragon!E3656,'Kilter Holds'!$P$36:$AB$370,5,0),0)</f>
        <v>0</v>
      </c>
      <c r="J3656" s="2">
        <f t="shared" ref="J3656:J3673" si="285">H3656*I3656</f>
        <v>0</v>
      </c>
      <c r="K3656" s="2">
        <f t="shared" ref="K3656:K3673" si="286">IF($V$11="Y",J3656*0.05,0)</f>
        <v>0</v>
      </c>
    </row>
    <row r="3657" spans="5:11">
      <c r="E3657" s="3" t="s">
        <v>2139</v>
      </c>
      <c r="F3657" s="3" t="s">
        <v>2141</v>
      </c>
      <c r="G3657" s="6" t="str">
        <f t="shared" si="280"/>
        <v>14-01</v>
      </c>
      <c r="H3657" s="1">
        <f>_xlfn.IFNA(VLOOKUP(Aragon!E3657,'Kilter Holds'!$P$36:$AB$370,6,0),0)</f>
        <v>0</v>
      </c>
      <c r="J3657" s="2">
        <f t="shared" si="285"/>
        <v>0</v>
      </c>
      <c r="K3657" s="2">
        <f t="shared" si="286"/>
        <v>0</v>
      </c>
    </row>
    <row r="3658" spans="5:11">
      <c r="E3658" s="3" t="s">
        <v>2139</v>
      </c>
      <c r="F3658" s="3" t="s">
        <v>2141</v>
      </c>
      <c r="G3658" s="7" t="str">
        <f t="shared" si="280"/>
        <v>15-12</v>
      </c>
      <c r="H3658" s="1">
        <f>_xlfn.IFNA(VLOOKUP(Aragon!E3658,'Kilter Holds'!$P$36:$AB$370,7,0),0)</f>
        <v>0</v>
      </c>
      <c r="J3658" s="2">
        <f t="shared" si="285"/>
        <v>0</v>
      </c>
      <c r="K3658" s="2">
        <f t="shared" si="286"/>
        <v>0</v>
      </c>
    </row>
    <row r="3659" spans="5:11">
      <c r="E3659" s="3" t="s">
        <v>2139</v>
      </c>
      <c r="F3659" s="3" t="s">
        <v>2141</v>
      </c>
      <c r="G3659" s="8" t="str">
        <f t="shared" si="280"/>
        <v>16-16</v>
      </c>
      <c r="H3659" s="1">
        <f>_xlfn.IFNA(VLOOKUP(Aragon!E3659,'Kilter Holds'!$P$36:$AB$370,8,0),0)</f>
        <v>0</v>
      </c>
      <c r="J3659" s="2">
        <f t="shared" si="285"/>
        <v>0</v>
      </c>
      <c r="K3659" s="2">
        <f t="shared" si="286"/>
        <v>0</v>
      </c>
    </row>
    <row r="3660" spans="5:11">
      <c r="E3660" s="3" t="s">
        <v>2139</v>
      </c>
      <c r="F3660" s="3" t="s">
        <v>2141</v>
      </c>
      <c r="G3660" s="9" t="str">
        <f t="shared" si="280"/>
        <v>13-01</v>
      </c>
      <c r="H3660" s="1">
        <f>_xlfn.IFNA(VLOOKUP(Aragon!E3660,'Kilter Holds'!$P$36:$AB$370,9,0),0)</f>
        <v>0</v>
      </c>
      <c r="J3660" s="2">
        <f t="shared" si="285"/>
        <v>0</v>
      </c>
      <c r="K3660" s="2">
        <f t="shared" si="286"/>
        <v>0</v>
      </c>
    </row>
    <row r="3661" spans="5:11">
      <c r="E3661" s="3" t="s">
        <v>2139</v>
      </c>
      <c r="F3661" s="3" t="s">
        <v>2141</v>
      </c>
      <c r="G3661" s="10" t="str">
        <f t="shared" si="280"/>
        <v>07-13</v>
      </c>
      <c r="H3661" s="1">
        <f>_xlfn.IFNA(VLOOKUP(Aragon!E3661,'Kilter Holds'!$P$36:$AB$370,10,0),0)</f>
        <v>0</v>
      </c>
      <c r="J3661" s="2">
        <f t="shared" si="285"/>
        <v>0</v>
      </c>
      <c r="K3661" s="2">
        <f t="shared" si="286"/>
        <v>0</v>
      </c>
    </row>
    <row r="3662" spans="5:11">
      <c r="E3662" s="3" t="s">
        <v>2139</v>
      </c>
      <c r="F3662" s="3" t="s">
        <v>2141</v>
      </c>
      <c r="G3662" s="11" t="str">
        <f t="shared" si="280"/>
        <v>11-25</v>
      </c>
      <c r="H3662" s="1">
        <f>_xlfn.IFNA(VLOOKUP(Aragon!E3662,'Kilter Holds'!$P$36:$AB$370,11,0),0)</f>
        <v>0</v>
      </c>
      <c r="J3662" s="2">
        <f t="shared" si="285"/>
        <v>0</v>
      </c>
      <c r="K3662" s="2">
        <f t="shared" si="286"/>
        <v>0</v>
      </c>
    </row>
    <row r="3663" spans="5:11">
      <c r="E3663" s="3" t="s">
        <v>2139</v>
      </c>
      <c r="F3663" s="3" t="s">
        <v>2141</v>
      </c>
      <c r="G3663" s="13" t="str">
        <f t="shared" si="280"/>
        <v>18-01</v>
      </c>
      <c r="H3663" s="1">
        <f>_xlfn.IFNA(VLOOKUP(Aragon!E3663,'Kilter Holds'!$P$36:$AB$370,12,0),0)</f>
        <v>0</v>
      </c>
      <c r="J3663" s="2">
        <f t="shared" si="285"/>
        <v>0</v>
      </c>
      <c r="K3663" s="2">
        <f t="shared" si="286"/>
        <v>0</v>
      </c>
    </row>
    <row r="3664" spans="5:11">
      <c r="E3664" s="3" t="s">
        <v>2139</v>
      </c>
      <c r="F3664" s="3" t="s">
        <v>2141</v>
      </c>
      <c r="G3664" s="12" t="str">
        <f t="shared" si="280"/>
        <v>12-01</v>
      </c>
      <c r="H3664" s="1">
        <f>_xlfn.IFNA(VLOOKUP(Aragon!E3664,'Kilter Holds'!$P$36:$AB$370,13,0),0)</f>
        <v>0</v>
      </c>
      <c r="J3664" s="2">
        <f t="shared" si="285"/>
        <v>0</v>
      </c>
      <c r="K3664" s="2">
        <f t="shared" si="286"/>
        <v>0</v>
      </c>
    </row>
    <row r="3665" spans="5:11">
      <c r="E3665" s="3" t="s">
        <v>2138</v>
      </c>
      <c r="F3665" s="3" t="s">
        <v>2142</v>
      </c>
      <c r="G3665" s="5" t="str">
        <f t="shared" si="280"/>
        <v>11-12</v>
      </c>
      <c r="H3665" s="1">
        <f>_xlfn.IFNA(VLOOKUP(Aragon!E3665,'Kilter Holds'!$P$36:$AB$370,5,0),0)</f>
        <v>0</v>
      </c>
      <c r="J3665" s="2">
        <f t="shared" si="285"/>
        <v>0</v>
      </c>
      <c r="K3665" s="2">
        <f t="shared" si="286"/>
        <v>0</v>
      </c>
    </row>
    <row r="3666" spans="5:11">
      <c r="E3666" s="3" t="s">
        <v>2138</v>
      </c>
      <c r="F3666" s="3" t="s">
        <v>2142</v>
      </c>
      <c r="G3666" s="6" t="str">
        <f t="shared" si="280"/>
        <v>14-01</v>
      </c>
      <c r="H3666" s="1">
        <f>_xlfn.IFNA(VLOOKUP(Aragon!E3666,'Kilter Holds'!$P$36:$AB$370,6,0),0)</f>
        <v>0</v>
      </c>
      <c r="J3666" s="2">
        <f t="shared" si="285"/>
        <v>0</v>
      </c>
      <c r="K3666" s="2">
        <f t="shared" si="286"/>
        <v>0</v>
      </c>
    </row>
    <row r="3667" spans="5:11">
      <c r="E3667" s="3" t="s">
        <v>2138</v>
      </c>
      <c r="F3667" s="3" t="s">
        <v>2142</v>
      </c>
      <c r="G3667" s="7" t="str">
        <f t="shared" si="280"/>
        <v>15-12</v>
      </c>
      <c r="H3667" s="1">
        <f>_xlfn.IFNA(VLOOKUP(Aragon!E3667,'Kilter Holds'!$P$36:$AB$370,7,0),0)</f>
        <v>0</v>
      </c>
      <c r="J3667" s="2">
        <f t="shared" si="285"/>
        <v>0</v>
      </c>
      <c r="K3667" s="2">
        <f t="shared" si="286"/>
        <v>0</v>
      </c>
    </row>
    <row r="3668" spans="5:11">
      <c r="E3668" s="3" t="s">
        <v>2138</v>
      </c>
      <c r="F3668" s="3" t="s">
        <v>2142</v>
      </c>
      <c r="G3668" s="8" t="str">
        <f t="shared" si="280"/>
        <v>16-16</v>
      </c>
      <c r="H3668" s="1">
        <f>_xlfn.IFNA(VLOOKUP(Aragon!E3668,'Kilter Holds'!$P$36:$AB$370,8,0),0)</f>
        <v>0</v>
      </c>
      <c r="J3668" s="2">
        <f t="shared" si="285"/>
        <v>0</v>
      </c>
      <c r="K3668" s="2">
        <f t="shared" si="286"/>
        <v>0</v>
      </c>
    </row>
    <row r="3669" spans="5:11">
      <c r="E3669" s="3" t="s">
        <v>2138</v>
      </c>
      <c r="F3669" s="3" t="s">
        <v>2142</v>
      </c>
      <c r="G3669" s="9" t="str">
        <f t="shared" si="280"/>
        <v>13-01</v>
      </c>
      <c r="H3669" s="1">
        <f>_xlfn.IFNA(VLOOKUP(Aragon!E3669,'Kilter Holds'!$P$36:$AB$370,9,0),0)</f>
        <v>0</v>
      </c>
      <c r="J3669" s="2">
        <f t="shared" si="285"/>
        <v>0</v>
      </c>
      <c r="K3669" s="2">
        <f t="shared" si="286"/>
        <v>0</v>
      </c>
    </row>
    <row r="3670" spans="5:11">
      <c r="E3670" s="3" t="s">
        <v>2138</v>
      </c>
      <c r="F3670" s="3" t="s">
        <v>2142</v>
      </c>
      <c r="G3670" s="10" t="str">
        <f t="shared" si="280"/>
        <v>07-13</v>
      </c>
      <c r="H3670" s="1">
        <f>_xlfn.IFNA(VLOOKUP(Aragon!E3670,'Kilter Holds'!$P$36:$AB$370,10,0),0)</f>
        <v>0</v>
      </c>
      <c r="J3670" s="2">
        <f t="shared" si="285"/>
        <v>0</v>
      </c>
      <c r="K3670" s="2">
        <f t="shared" si="286"/>
        <v>0</v>
      </c>
    </row>
    <row r="3671" spans="5:11">
      <c r="E3671" s="3" t="s">
        <v>2138</v>
      </c>
      <c r="F3671" s="3" t="s">
        <v>2142</v>
      </c>
      <c r="G3671" s="11" t="str">
        <f t="shared" si="280"/>
        <v>11-25</v>
      </c>
      <c r="H3671" s="1">
        <f>_xlfn.IFNA(VLOOKUP(Aragon!E3671,'Kilter Holds'!$P$36:$AB$370,11,0),0)</f>
        <v>0</v>
      </c>
      <c r="J3671" s="2">
        <f t="shared" si="285"/>
        <v>0</v>
      </c>
      <c r="K3671" s="2">
        <f t="shared" si="286"/>
        <v>0</v>
      </c>
    </row>
    <row r="3672" spans="5:11">
      <c r="E3672" s="3" t="s">
        <v>2138</v>
      </c>
      <c r="F3672" s="3" t="s">
        <v>2142</v>
      </c>
      <c r="G3672" s="13" t="str">
        <f t="shared" si="280"/>
        <v>18-01</v>
      </c>
      <c r="H3672" s="1">
        <f>_xlfn.IFNA(VLOOKUP(Aragon!E3672,'Kilter Holds'!$P$36:$AB$370,12,0),0)</f>
        <v>0</v>
      </c>
      <c r="J3672" s="2">
        <f t="shared" si="285"/>
        <v>0</v>
      </c>
      <c r="K3672" s="2">
        <f t="shared" si="286"/>
        <v>0</v>
      </c>
    </row>
    <row r="3673" spans="5:11">
      <c r="E3673" s="3" t="s">
        <v>2138</v>
      </c>
      <c r="F3673" s="3" t="s">
        <v>2142</v>
      </c>
      <c r="G3673" s="12" t="str">
        <f t="shared" si="280"/>
        <v>12-01</v>
      </c>
      <c r="H3673" s="1">
        <f>_xlfn.IFNA(VLOOKUP(Aragon!E3673,'Kilter Holds'!$P$36:$AB$370,13,0),0)</f>
        <v>0</v>
      </c>
      <c r="J3673" s="2">
        <f t="shared" si="285"/>
        <v>0</v>
      </c>
      <c r="K3673" s="2">
        <f t="shared" si="286"/>
        <v>0</v>
      </c>
    </row>
    <row r="3674" spans="5:11">
      <c r="E3674" s="3" t="s">
        <v>2210</v>
      </c>
      <c r="F3674" s="3" t="s">
        <v>2211</v>
      </c>
      <c r="G3674" s="5" t="str">
        <f t="shared" si="280"/>
        <v>11-12</v>
      </c>
      <c r="H3674" s="1">
        <f>_xlfn.IFNA(VLOOKUP(Aragon!E3674,'Kilter Holds'!$P$36:$AB$370,5,0),0)</f>
        <v>0</v>
      </c>
      <c r="J3674" s="2">
        <f t="shared" ref="J3674:J3682" si="287">H3674*I3674</f>
        <v>0</v>
      </c>
      <c r="K3674" s="2">
        <f t="shared" ref="K3674:K3682" si="288">IF($V$11="Y",J3674*0.05,0)</f>
        <v>0</v>
      </c>
    </row>
    <row r="3675" spans="5:11">
      <c r="E3675" s="3" t="s">
        <v>2210</v>
      </c>
      <c r="F3675" s="3" t="s">
        <v>2211</v>
      </c>
      <c r="G3675" s="6" t="str">
        <f t="shared" si="280"/>
        <v>14-01</v>
      </c>
      <c r="H3675" s="1">
        <f>_xlfn.IFNA(VLOOKUP(Aragon!E3675,'Kilter Holds'!$P$36:$AB$370,6,0),0)</f>
        <v>0</v>
      </c>
      <c r="J3675" s="2">
        <f t="shared" si="287"/>
        <v>0</v>
      </c>
      <c r="K3675" s="2">
        <f t="shared" si="288"/>
        <v>0</v>
      </c>
    </row>
    <row r="3676" spans="5:11">
      <c r="E3676" s="3" t="s">
        <v>2210</v>
      </c>
      <c r="F3676" s="3" t="s">
        <v>2211</v>
      </c>
      <c r="G3676" s="7" t="str">
        <f t="shared" si="280"/>
        <v>15-12</v>
      </c>
      <c r="H3676" s="1">
        <f>_xlfn.IFNA(VLOOKUP(Aragon!E3676,'Kilter Holds'!$P$36:$AB$370,7,0),0)</f>
        <v>0</v>
      </c>
      <c r="J3676" s="2">
        <f t="shared" si="287"/>
        <v>0</v>
      </c>
      <c r="K3676" s="2">
        <f t="shared" si="288"/>
        <v>0</v>
      </c>
    </row>
    <row r="3677" spans="5:11">
      <c r="E3677" s="3" t="s">
        <v>2210</v>
      </c>
      <c r="F3677" s="3" t="s">
        <v>2211</v>
      </c>
      <c r="G3677" s="8" t="str">
        <f t="shared" si="280"/>
        <v>16-16</v>
      </c>
      <c r="H3677" s="1">
        <f>_xlfn.IFNA(VLOOKUP(Aragon!E3677,'Kilter Holds'!$P$36:$AB$370,8,0),0)</f>
        <v>0</v>
      </c>
      <c r="J3677" s="2">
        <f t="shared" si="287"/>
        <v>0</v>
      </c>
      <c r="K3677" s="2">
        <f t="shared" si="288"/>
        <v>0</v>
      </c>
    </row>
    <row r="3678" spans="5:11">
      <c r="E3678" s="3" t="s">
        <v>2210</v>
      </c>
      <c r="F3678" s="3" t="s">
        <v>2211</v>
      </c>
      <c r="G3678" s="9" t="str">
        <f t="shared" si="280"/>
        <v>13-01</v>
      </c>
      <c r="H3678" s="1">
        <f>_xlfn.IFNA(VLOOKUP(Aragon!E3678,'Kilter Holds'!$P$36:$AB$370,9,0),0)</f>
        <v>0</v>
      </c>
      <c r="J3678" s="2">
        <f t="shared" si="287"/>
        <v>0</v>
      </c>
      <c r="K3678" s="2">
        <f t="shared" si="288"/>
        <v>0</v>
      </c>
    </row>
    <row r="3679" spans="5:11">
      <c r="E3679" s="3" t="s">
        <v>2210</v>
      </c>
      <c r="F3679" s="3" t="s">
        <v>2211</v>
      </c>
      <c r="G3679" s="10" t="str">
        <f t="shared" si="280"/>
        <v>07-13</v>
      </c>
      <c r="H3679" s="1">
        <f>_xlfn.IFNA(VLOOKUP(Aragon!E3679,'Kilter Holds'!$P$36:$AB$370,10,0),0)</f>
        <v>0</v>
      </c>
      <c r="J3679" s="2">
        <f t="shared" si="287"/>
        <v>0</v>
      </c>
      <c r="K3679" s="2">
        <f t="shared" si="288"/>
        <v>0</v>
      </c>
    </row>
    <row r="3680" spans="5:11">
      <c r="E3680" s="3" t="s">
        <v>2210</v>
      </c>
      <c r="F3680" s="3" t="s">
        <v>2211</v>
      </c>
      <c r="G3680" s="11" t="str">
        <f t="shared" si="280"/>
        <v>11-25</v>
      </c>
      <c r="H3680" s="1">
        <f>_xlfn.IFNA(VLOOKUP(Aragon!E3680,'Kilter Holds'!$P$36:$AB$370,11,0),0)</f>
        <v>0</v>
      </c>
      <c r="J3680" s="2">
        <f t="shared" si="287"/>
        <v>0</v>
      </c>
      <c r="K3680" s="2">
        <f t="shared" si="288"/>
        <v>0</v>
      </c>
    </row>
    <row r="3681" spans="5:11">
      <c r="E3681" s="3" t="s">
        <v>2210</v>
      </c>
      <c r="F3681" s="3" t="s">
        <v>2211</v>
      </c>
      <c r="G3681" s="13" t="str">
        <f t="shared" si="280"/>
        <v>18-01</v>
      </c>
      <c r="H3681" s="1">
        <f>_xlfn.IFNA(VLOOKUP(Aragon!E3681,'Kilter Holds'!$P$36:$AB$370,12,0),0)</f>
        <v>0</v>
      </c>
      <c r="J3681" s="2">
        <f t="shared" si="287"/>
        <v>0</v>
      </c>
      <c r="K3681" s="2">
        <f t="shared" si="288"/>
        <v>0</v>
      </c>
    </row>
    <row r="3682" spans="5:11">
      <c r="E3682" s="3" t="s">
        <v>2210</v>
      </c>
      <c r="F3682" s="3" t="s">
        <v>2211</v>
      </c>
      <c r="G3682" s="12" t="str">
        <f t="shared" si="280"/>
        <v>12-01</v>
      </c>
      <c r="H3682" s="1">
        <f>_xlfn.IFNA(VLOOKUP(Aragon!E3682,'Kilter Holds'!$P$36:$AB$370,13,0),0)</f>
        <v>0</v>
      </c>
      <c r="J3682" s="2">
        <f t="shared" si="287"/>
        <v>0</v>
      </c>
      <c r="K3682" s="2">
        <f t="shared" si="288"/>
        <v>0</v>
      </c>
    </row>
    <row r="3683" spans="5:11">
      <c r="E3683" s="3" t="s">
        <v>2425</v>
      </c>
      <c r="F3683" s="3" t="s">
        <v>2426</v>
      </c>
      <c r="G3683" s="5" t="str">
        <f t="shared" si="280"/>
        <v>11-12</v>
      </c>
      <c r="H3683" s="1">
        <f>_xlfn.IFNA(VLOOKUP(Aragon!E3683,'Kilter Holds'!$P$36:$AB$370,5,0),0)</f>
        <v>0</v>
      </c>
      <c r="J3683" s="2">
        <f t="shared" ref="J3683:J3745" si="289">H3683*I3683</f>
        <v>0</v>
      </c>
      <c r="K3683" s="2">
        <f t="shared" ref="K3683:K3745" si="290">IF($V$11="Y",J3683*0.05,0)</f>
        <v>0</v>
      </c>
    </row>
    <row r="3684" spans="5:11">
      <c r="E3684" s="3" t="s">
        <v>2425</v>
      </c>
      <c r="F3684" s="3" t="s">
        <v>2426</v>
      </c>
      <c r="G3684" s="6" t="str">
        <f t="shared" si="280"/>
        <v>14-01</v>
      </c>
      <c r="H3684" s="1">
        <f>_xlfn.IFNA(VLOOKUP(Aragon!E3684,'Kilter Holds'!$P$36:$AB$370,6,0),0)</f>
        <v>0</v>
      </c>
      <c r="J3684" s="2">
        <f t="shared" si="289"/>
        <v>0</v>
      </c>
      <c r="K3684" s="2">
        <f t="shared" si="290"/>
        <v>0</v>
      </c>
    </row>
    <row r="3685" spans="5:11">
      <c r="E3685" s="3" t="s">
        <v>2425</v>
      </c>
      <c r="F3685" s="3" t="s">
        <v>2426</v>
      </c>
      <c r="G3685" s="7" t="str">
        <f t="shared" si="280"/>
        <v>15-12</v>
      </c>
      <c r="H3685" s="1">
        <f>_xlfn.IFNA(VLOOKUP(Aragon!E3685,'Kilter Holds'!$P$36:$AB$370,7,0),0)</f>
        <v>0</v>
      </c>
      <c r="J3685" s="2">
        <f t="shared" si="289"/>
        <v>0</v>
      </c>
      <c r="K3685" s="2">
        <f t="shared" si="290"/>
        <v>0</v>
      </c>
    </row>
    <row r="3686" spans="5:11">
      <c r="E3686" s="3" t="s">
        <v>2425</v>
      </c>
      <c r="F3686" s="3" t="s">
        <v>2426</v>
      </c>
      <c r="G3686" s="8" t="str">
        <f t="shared" si="280"/>
        <v>16-16</v>
      </c>
      <c r="H3686" s="1">
        <f>_xlfn.IFNA(VLOOKUP(Aragon!E3686,'Kilter Holds'!$P$36:$AB$370,8,0),0)</f>
        <v>0</v>
      </c>
      <c r="J3686" s="2">
        <f t="shared" si="289"/>
        <v>0</v>
      </c>
      <c r="K3686" s="2">
        <f t="shared" si="290"/>
        <v>0</v>
      </c>
    </row>
    <row r="3687" spans="5:11">
      <c r="E3687" s="3" t="s">
        <v>2425</v>
      </c>
      <c r="F3687" s="3" t="s">
        <v>2426</v>
      </c>
      <c r="G3687" s="9" t="str">
        <f t="shared" si="280"/>
        <v>13-01</v>
      </c>
      <c r="H3687" s="1">
        <f>_xlfn.IFNA(VLOOKUP(Aragon!E3687,'Kilter Holds'!$P$36:$AB$370,9,0),0)</f>
        <v>0</v>
      </c>
      <c r="J3687" s="2">
        <f t="shared" si="289"/>
        <v>0</v>
      </c>
      <c r="K3687" s="2">
        <f t="shared" si="290"/>
        <v>0</v>
      </c>
    </row>
    <row r="3688" spans="5:11">
      <c r="E3688" s="3" t="s">
        <v>2425</v>
      </c>
      <c r="F3688" s="3" t="s">
        <v>2426</v>
      </c>
      <c r="G3688" s="10" t="str">
        <f t="shared" si="280"/>
        <v>07-13</v>
      </c>
      <c r="H3688" s="1">
        <f>_xlfn.IFNA(VLOOKUP(Aragon!E3688,'Kilter Holds'!$P$36:$AB$370,10,0),0)</f>
        <v>0</v>
      </c>
      <c r="J3688" s="2">
        <f t="shared" si="289"/>
        <v>0</v>
      </c>
      <c r="K3688" s="2">
        <f t="shared" si="290"/>
        <v>0</v>
      </c>
    </row>
    <row r="3689" spans="5:11">
      <c r="E3689" s="3" t="s">
        <v>2425</v>
      </c>
      <c r="F3689" s="3" t="s">
        <v>2426</v>
      </c>
      <c r="G3689" s="11" t="str">
        <f t="shared" si="280"/>
        <v>11-25</v>
      </c>
      <c r="H3689" s="1">
        <f>_xlfn.IFNA(VLOOKUP(Aragon!E3689,'Kilter Holds'!$P$36:$AB$370,11,0),0)</f>
        <v>0</v>
      </c>
      <c r="J3689" s="2">
        <f t="shared" si="289"/>
        <v>0</v>
      </c>
      <c r="K3689" s="2">
        <f t="shared" si="290"/>
        <v>0</v>
      </c>
    </row>
    <row r="3690" spans="5:11">
      <c r="E3690" s="3" t="s">
        <v>2425</v>
      </c>
      <c r="F3690" s="3" t="s">
        <v>2426</v>
      </c>
      <c r="G3690" s="13" t="str">
        <f t="shared" si="280"/>
        <v>18-01</v>
      </c>
      <c r="H3690" s="1">
        <f>_xlfn.IFNA(VLOOKUP(Aragon!E3690,'Kilter Holds'!$P$36:$AB$370,12,0),0)</f>
        <v>0</v>
      </c>
      <c r="J3690" s="2">
        <f t="shared" si="289"/>
        <v>0</v>
      </c>
      <c r="K3690" s="2">
        <f t="shared" si="290"/>
        <v>0</v>
      </c>
    </row>
    <row r="3691" spans="5:11">
      <c r="E3691" s="3" t="s">
        <v>2425</v>
      </c>
      <c r="F3691" s="3" t="s">
        <v>2426</v>
      </c>
      <c r="G3691" s="12" t="str">
        <f t="shared" si="280"/>
        <v>12-01</v>
      </c>
      <c r="H3691" s="1">
        <f>_xlfn.IFNA(VLOOKUP(Aragon!E3691,'Kilter Holds'!$P$36:$AB$370,13,0),0)</f>
        <v>0</v>
      </c>
      <c r="J3691" s="2">
        <f t="shared" si="289"/>
        <v>0</v>
      </c>
      <c r="K3691" s="2">
        <f t="shared" si="290"/>
        <v>0</v>
      </c>
    </row>
    <row r="3692" spans="5:11">
      <c r="E3692" s="3" t="s">
        <v>2427</v>
      </c>
      <c r="F3692" s="3" t="s">
        <v>2428</v>
      </c>
      <c r="G3692" s="5" t="str">
        <f t="shared" si="280"/>
        <v>11-12</v>
      </c>
      <c r="H3692" s="1">
        <f>_xlfn.IFNA(VLOOKUP(Aragon!E3692,'Kilter Holds'!$P$36:$AB$370,5,0),0)</f>
        <v>0</v>
      </c>
      <c r="J3692" s="2">
        <f t="shared" si="289"/>
        <v>0</v>
      </c>
      <c r="K3692" s="2">
        <f t="shared" si="290"/>
        <v>0</v>
      </c>
    </row>
    <row r="3693" spans="5:11">
      <c r="E3693" s="3" t="s">
        <v>2427</v>
      </c>
      <c r="F3693" s="3" t="s">
        <v>2428</v>
      </c>
      <c r="G3693" s="6" t="str">
        <f t="shared" si="280"/>
        <v>14-01</v>
      </c>
      <c r="H3693" s="1">
        <f>_xlfn.IFNA(VLOOKUP(Aragon!E3693,'Kilter Holds'!$P$36:$AB$370,6,0),0)</f>
        <v>0</v>
      </c>
      <c r="J3693" s="2">
        <f t="shared" si="289"/>
        <v>0</v>
      </c>
      <c r="K3693" s="2">
        <f t="shared" si="290"/>
        <v>0</v>
      </c>
    </row>
    <row r="3694" spans="5:11">
      <c r="E3694" s="3" t="s">
        <v>2427</v>
      </c>
      <c r="F3694" s="3" t="s">
        <v>2428</v>
      </c>
      <c r="G3694" s="7" t="str">
        <f t="shared" si="280"/>
        <v>15-12</v>
      </c>
      <c r="H3694" s="1">
        <f>_xlfn.IFNA(VLOOKUP(Aragon!E3694,'Kilter Holds'!$P$36:$AB$370,7,0),0)</f>
        <v>0</v>
      </c>
      <c r="J3694" s="2">
        <f t="shared" si="289"/>
        <v>0</v>
      </c>
      <c r="K3694" s="2">
        <f t="shared" si="290"/>
        <v>0</v>
      </c>
    </row>
    <row r="3695" spans="5:11">
      <c r="E3695" s="3" t="s">
        <v>2427</v>
      </c>
      <c r="F3695" s="3" t="s">
        <v>2428</v>
      </c>
      <c r="G3695" s="8" t="str">
        <f t="shared" si="280"/>
        <v>16-16</v>
      </c>
      <c r="H3695" s="1">
        <f>_xlfn.IFNA(VLOOKUP(Aragon!E3695,'Kilter Holds'!$P$36:$AB$370,8,0),0)</f>
        <v>0</v>
      </c>
      <c r="J3695" s="2">
        <f t="shared" si="289"/>
        <v>0</v>
      </c>
      <c r="K3695" s="2">
        <f t="shared" si="290"/>
        <v>0</v>
      </c>
    </row>
    <row r="3696" spans="5:11">
      <c r="E3696" s="3" t="s">
        <v>2427</v>
      </c>
      <c r="F3696" s="3" t="s">
        <v>2428</v>
      </c>
      <c r="G3696" s="9" t="str">
        <f t="shared" si="280"/>
        <v>13-01</v>
      </c>
      <c r="H3696" s="1">
        <f>_xlfn.IFNA(VLOOKUP(Aragon!E3696,'Kilter Holds'!$P$36:$AB$370,9,0),0)</f>
        <v>0</v>
      </c>
      <c r="J3696" s="2">
        <f t="shared" si="289"/>
        <v>0</v>
      </c>
      <c r="K3696" s="2">
        <f t="shared" si="290"/>
        <v>0</v>
      </c>
    </row>
    <row r="3697" spans="5:11">
      <c r="E3697" s="3" t="s">
        <v>2427</v>
      </c>
      <c r="F3697" s="3" t="s">
        <v>2428</v>
      </c>
      <c r="G3697" s="10" t="str">
        <f t="shared" si="280"/>
        <v>07-13</v>
      </c>
      <c r="H3697" s="1">
        <f>_xlfn.IFNA(VLOOKUP(Aragon!E3697,'Kilter Holds'!$P$36:$AB$370,10,0),0)</f>
        <v>0</v>
      </c>
      <c r="J3697" s="2">
        <f t="shared" si="289"/>
        <v>0</v>
      </c>
      <c r="K3697" s="2">
        <f t="shared" si="290"/>
        <v>0</v>
      </c>
    </row>
    <row r="3698" spans="5:11">
      <c r="E3698" s="3" t="s">
        <v>2427</v>
      </c>
      <c r="F3698" s="3" t="s">
        <v>2428</v>
      </c>
      <c r="G3698" s="11" t="str">
        <f t="shared" si="280"/>
        <v>11-25</v>
      </c>
      <c r="H3698" s="1">
        <f>_xlfn.IFNA(VLOOKUP(Aragon!E3698,'Kilter Holds'!$P$36:$AB$370,11,0),0)</f>
        <v>0</v>
      </c>
      <c r="J3698" s="2">
        <f t="shared" si="289"/>
        <v>0</v>
      </c>
      <c r="K3698" s="2">
        <f t="shared" si="290"/>
        <v>0</v>
      </c>
    </row>
    <row r="3699" spans="5:11">
      <c r="E3699" s="3" t="s">
        <v>2427</v>
      </c>
      <c r="F3699" s="3" t="s">
        <v>2428</v>
      </c>
      <c r="G3699" s="13" t="str">
        <f t="shared" si="280"/>
        <v>18-01</v>
      </c>
      <c r="H3699" s="1">
        <f>_xlfn.IFNA(VLOOKUP(Aragon!E3699,'Kilter Holds'!$P$36:$AB$370,12,0),0)</f>
        <v>0</v>
      </c>
      <c r="J3699" s="2">
        <f t="shared" si="289"/>
        <v>0</v>
      </c>
      <c r="K3699" s="2">
        <f t="shared" si="290"/>
        <v>0</v>
      </c>
    </row>
    <row r="3700" spans="5:11">
      <c r="E3700" s="3" t="s">
        <v>2427</v>
      </c>
      <c r="F3700" s="3" t="s">
        <v>2428</v>
      </c>
      <c r="G3700" s="12" t="str">
        <f t="shared" si="280"/>
        <v>12-01</v>
      </c>
      <c r="H3700" s="1">
        <f>_xlfn.IFNA(VLOOKUP(Aragon!E3700,'Kilter Holds'!$P$36:$AB$370,13,0),0)</f>
        <v>0</v>
      </c>
      <c r="J3700" s="2">
        <f t="shared" si="289"/>
        <v>0</v>
      </c>
      <c r="K3700" s="2">
        <f t="shared" si="290"/>
        <v>0</v>
      </c>
    </row>
    <row r="3701" spans="5:11">
      <c r="E3701" s="3" t="s">
        <v>2429</v>
      </c>
      <c r="F3701" s="3" t="s">
        <v>2430</v>
      </c>
      <c r="G3701" s="5" t="str">
        <f t="shared" si="280"/>
        <v>11-12</v>
      </c>
      <c r="H3701" s="1">
        <f>_xlfn.IFNA(VLOOKUP(Aragon!E3701,'Kilter Holds'!$P$36:$AB$370,5,0),0)</f>
        <v>0</v>
      </c>
      <c r="J3701" s="2">
        <f t="shared" si="289"/>
        <v>0</v>
      </c>
      <c r="K3701" s="2">
        <f t="shared" si="290"/>
        <v>0</v>
      </c>
    </row>
    <row r="3702" spans="5:11">
      <c r="E3702" s="3" t="s">
        <v>2429</v>
      </c>
      <c r="F3702" s="3" t="s">
        <v>2430</v>
      </c>
      <c r="G3702" s="6" t="str">
        <f t="shared" si="280"/>
        <v>14-01</v>
      </c>
      <c r="H3702" s="1">
        <f>_xlfn.IFNA(VLOOKUP(Aragon!E3702,'Kilter Holds'!$P$36:$AB$370,6,0),0)</f>
        <v>0</v>
      </c>
      <c r="J3702" s="2">
        <f t="shared" si="289"/>
        <v>0</v>
      </c>
      <c r="K3702" s="2">
        <f t="shared" si="290"/>
        <v>0</v>
      </c>
    </row>
    <row r="3703" spans="5:11">
      <c r="E3703" s="3" t="s">
        <v>2429</v>
      </c>
      <c r="F3703" s="3" t="s">
        <v>2430</v>
      </c>
      <c r="G3703" s="7" t="str">
        <f t="shared" si="280"/>
        <v>15-12</v>
      </c>
      <c r="H3703" s="1">
        <f>_xlfn.IFNA(VLOOKUP(Aragon!E3703,'Kilter Holds'!$P$36:$AB$370,7,0),0)</f>
        <v>0</v>
      </c>
      <c r="J3703" s="2">
        <f t="shared" si="289"/>
        <v>0</v>
      </c>
      <c r="K3703" s="2">
        <f t="shared" si="290"/>
        <v>0</v>
      </c>
    </row>
    <row r="3704" spans="5:11">
      <c r="E3704" s="3" t="s">
        <v>2429</v>
      </c>
      <c r="F3704" s="3" t="s">
        <v>2430</v>
      </c>
      <c r="G3704" s="8" t="str">
        <f t="shared" si="280"/>
        <v>16-16</v>
      </c>
      <c r="H3704" s="1">
        <f>_xlfn.IFNA(VLOOKUP(Aragon!E3704,'Kilter Holds'!$P$36:$AB$370,8,0),0)</f>
        <v>0</v>
      </c>
      <c r="J3704" s="2">
        <f t="shared" si="289"/>
        <v>0</v>
      </c>
      <c r="K3704" s="2">
        <f t="shared" si="290"/>
        <v>0</v>
      </c>
    </row>
    <row r="3705" spans="5:11">
      <c r="E3705" s="3" t="s">
        <v>2429</v>
      </c>
      <c r="F3705" s="3" t="s">
        <v>2430</v>
      </c>
      <c r="G3705" s="9" t="str">
        <f t="shared" si="280"/>
        <v>13-01</v>
      </c>
      <c r="H3705" s="1">
        <f>_xlfn.IFNA(VLOOKUP(Aragon!E3705,'Kilter Holds'!$P$36:$AB$370,9,0),0)</f>
        <v>0</v>
      </c>
      <c r="J3705" s="2">
        <f t="shared" si="289"/>
        <v>0</v>
      </c>
      <c r="K3705" s="2">
        <f t="shared" si="290"/>
        <v>0</v>
      </c>
    </row>
    <row r="3706" spans="5:11">
      <c r="E3706" s="3" t="s">
        <v>2429</v>
      </c>
      <c r="F3706" s="3" t="s">
        <v>2430</v>
      </c>
      <c r="G3706" s="10" t="str">
        <f t="shared" si="280"/>
        <v>07-13</v>
      </c>
      <c r="H3706" s="1">
        <f>_xlfn.IFNA(VLOOKUP(Aragon!E3706,'Kilter Holds'!$P$36:$AB$370,10,0),0)</f>
        <v>0</v>
      </c>
      <c r="J3706" s="2">
        <f t="shared" si="289"/>
        <v>0</v>
      </c>
      <c r="K3706" s="2">
        <f t="shared" si="290"/>
        <v>0</v>
      </c>
    </row>
    <row r="3707" spans="5:11">
      <c r="E3707" s="3" t="s">
        <v>2429</v>
      </c>
      <c r="F3707" s="3" t="s">
        <v>2430</v>
      </c>
      <c r="G3707" s="11" t="str">
        <f t="shared" si="280"/>
        <v>11-25</v>
      </c>
      <c r="H3707" s="1">
        <f>_xlfn.IFNA(VLOOKUP(Aragon!E3707,'Kilter Holds'!$P$36:$AB$370,11,0),0)</f>
        <v>0</v>
      </c>
      <c r="J3707" s="2">
        <f t="shared" si="289"/>
        <v>0</v>
      </c>
      <c r="K3707" s="2">
        <f t="shared" si="290"/>
        <v>0</v>
      </c>
    </row>
    <row r="3708" spans="5:11">
      <c r="E3708" s="3" t="s">
        <v>2429</v>
      </c>
      <c r="F3708" s="3" t="s">
        <v>2430</v>
      </c>
      <c r="G3708" s="13" t="str">
        <f t="shared" si="280"/>
        <v>18-01</v>
      </c>
      <c r="H3708" s="1">
        <f>_xlfn.IFNA(VLOOKUP(Aragon!E3708,'Kilter Holds'!$P$36:$AB$370,12,0),0)</f>
        <v>0</v>
      </c>
      <c r="J3708" s="2">
        <f t="shared" si="289"/>
        <v>0</v>
      </c>
      <c r="K3708" s="2">
        <f t="shared" si="290"/>
        <v>0</v>
      </c>
    </row>
    <row r="3709" spans="5:11">
      <c r="E3709" s="3" t="s">
        <v>2429</v>
      </c>
      <c r="F3709" s="3" t="s">
        <v>2430</v>
      </c>
      <c r="G3709" s="12" t="str">
        <f t="shared" si="280"/>
        <v>12-01</v>
      </c>
      <c r="H3709" s="1">
        <f>_xlfn.IFNA(VLOOKUP(Aragon!E3709,'Kilter Holds'!$P$36:$AB$370,13,0),0)</f>
        <v>0</v>
      </c>
      <c r="J3709" s="2">
        <f t="shared" si="289"/>
        <v>0</v>
      </c>
      <c r="K3709" s="2">
        <f t="shared" si="290"/>
        <v>0</v>
      </c>
    </row>
    <row r="3710" spans="5:11">
      <c r="E3710" s="3" t="s">
        <v>2431</v>
      </c>
      <c r="F3710" s="3" t="s">
        <v>2432</v>
      </c>
      <c r="G3710" s="5" t="str">
        <f t="shared" si="280"/>
        <v>11-12</v>
      </c>
      <c r="H3710" s="1">
        <f>_xlfn.IFNA(VLOOKUP(Aragon!E3710,'Kilter Holds'!$P$36:$AB$370,5,0),0)</f>
        <v>0</v>
      </c>
      <c r="J3710" s="2">
        <f t="shared" si="289"/>
        <v>0</v>
      </c>
      <c r="K3710" s="2">
        <f t="shared" si="290"/>
        <v>0</v>
      </c>
    </row>
    <row r="3711" spans="5:11">
      <c r="E3711" s="3" t="s">
        <v>2431</v>
      </c>
      <c r="F3711" s="3" t="s">
        <v>2432</v>
      </c>
      <c r="G3711" s="6" t="str">
        <f t="shared" si="280"/>
        <v>14-01</v>
      </c>
      <c r="H3711" s="1">
        <f>_xlfn.IFNA(VLOOKUP(Aragon!E3711,'Kilter Holds'!$P$36:$AB$370,6,0),0)</f>
        <v>0</v>
      </c>
      <c r="J3711" s="2">
        <f t="shared" si="289"/>
        <v>0</v>
      </c>
      <c r="K3711" s="2">
        <f t="shared" si="290"/>
        <v>0</v>
      </c>
    </row>
    <row r="3712" spans="5:11">
      <c r="E3712" s="3" t="s">
        <v>2431</v>
      </c>
      <c r="F3712" s="3" t="s">
        <v>2432</v>
      </c>
      <c r="G3712" s="7" t="str">
        <f t="shared" si="280"/>
        <v>15-12</v>
      </c>
      <c r="H3712" s="1">
        <f>_xlfn.IFNA(VLOOKUP(Aragon!E3712,'Kilter Holds'!$P$36:$AB$370,7,0),0)</f>
        <v>0</v>
      </c>
      <c r="J3712" s="2">
        <f t="shared" si="289"/>
        <v>0</v>
      </c>
      <c r="K3712" s="2">
        <f t="shared" si="290"/>
        <v>0</v>
      </c>
    </row>
    <row r="3713" spans="5:11">
      <c r="E3713" s="3" t="s">
        <v>2431</v>
      </c>
      <c r="F3713" s="3" t="s">
        <v>2432</v>
      </c>
      <c r="G3713" s="8" t="str">
        <f t="shared" si="280"/>
        <v>16-16</v>
      </c>
      <c r="H3713" s="1">
        <f>_xlfn.IFNA(VLOOKUP(Aragon!E3713,'Kilter Holds'!$P$36:$AB$370,8,0),0)</f>
        <v>0</v>
      </c>
      <c r="J3713" s="2">
        <f t="shared" si="289"/>
        <v>0</v>
      </c>
      <c r="K3713" s="2">
        <f t="shared" si="290"/>
        <v>0</v>
      </c>
    </row>
    <row r="3714" spans="5:11">
      <c r="E3714" s="3" t="s">
        <v>2431</v>
      </c>
      <c r="F3714" s="3" t="s">
        <v>2432</v>
      </c>
      <c r="G3714" s="9" t="str">
        <f t="shared" si="280"/>
        <v>13-01</v>
      </c>
      <c r="H3714" s="1">
        <f>_xlfn.IFNA(VLOOKUP(Aragon!E3714,'Kilter Holds'!$P$36:$AB$370,9,0),0)</f>
        <v>0</v>
      </c>
      <c r="J3714" s="2">
        <f t="shared" si="289"/>
        <v>0</v>
      </c>
      <c r="K3714" s="2">
        <f t="shared" si="290"/>
        <v>0</v>
      </c>
    </row>
    <row r="3715" spans="5:11">
      <c r="E3715" s="3" t="s">
        <v>2431</v>
      </c>
      <c r="F3715" s="3" t="s">
        <v>2432</v>
      </c>
      <c r="G3715" s="10" t="str">
        <f t="shared" si="280"/>
        <v>07-13</v>
      </c>
      <c r="H3715" s="1">
        <f>_xlfn.IFNA(VLOOKUP(Aragon!E3715,'Kilter Holds'!$P$36:$AB$370,10,0),0)</f>
        <v>0</v>
      </c>
      <c r="J3715" s="2">
        <f t="shared" si="289"/>
        <v>0</v>
      </c>
      <c r="K3715" s="2">
        <f t="shared" si="290"/>
        <v>0</v>
      </c>
    </row>
    <row r="3716" spans="5:11">
      <c r="E3716" s="3" t="s">
        <v>2431</v>
      </c>
      <c r="F3716" s="3" t="s">
        <v>2432</v>
      </c>
      <c r="G3716" s="11" t="str">
        <f t="shared" si="280"/>
        <v>11-25</v>
      </c>
      <c r="H3716" s="1">
        <f>_xlfn.IFNA(VLOOKUP(Aragon!E3716,'Kilter Holds'!$P$36:$AB$370,11,0),0)</f>
        <v>0</v>
      </c>
      <c r="J3716" s="2">
        <f t="shared" si="289"/>
        <v>0</v>
      </c>
      <c r="K3716" s="2">
        <f t="shared" si="290"/>
        <v>0</v>
      </c>
    </row>
    <row r="3717" spans="5:11">
      <c r="E3717" s="3" t="s">
        <v>2431</v>
      </c>
      <c r="F3717" s="3" t="s">
        <v>2432</v>
      </c>
      <c r="G3717" s="13" t="str">
        <f t="shared" si="280"/>
        <v>18-01</v>
      </c>
      <c r="H3717" s="1">
        <f>_xlfn.IFNA(VLOOKUP(Aragon!E3717,'Kilter Holds'!$P$36:$AB$370,12,0),0)</f>
        <v>0</v>
      </c>
      <c r="J3717" s="2">
        <f t="shared" si="289"/>
        <v>0</v>
      </c>
      <c r="K3717" s="2">
        <f t="shared" si="290"/>
        <v>0</v>
      </c>
    </row>
    <row r="3718" spans="5:11">
      <c r="E3718" s="3" t="s">
        <v>2431</v>
      </c>
      <c r="F3718" s="3" t="s">
        <v>2432</v>
      </c>
      <c r="G3718" s="12" t="str">
        <f t="shared" si="280"/>
        <v>12-01</v>
      </c>
      <c r="H3718" s="1">
        <f>_xlfn.IFNA(VLOOKUP(Aragon!E3718,'Kilter Holds'!$P$36:$AB$370,13,0),0)</f>
        <v>0</v>
      </c>
      <c r="J3718" s="2">
        <f t="shared" si="289"/>
        <v>0</v>
      </c>
      <c r="K3718" s="2">
        <f t="shared" si="290"/>
        <v>0</v>
      </c>
    </row>
    <row r="3719" spans="5:11">
      <c r="E3719" s="3" t="s">
        <v>2433</v>
      </c>
      <c r="F3719" s="3" t="s">
        <v>2434</v>
      </c>
      <c r="G3719" s="5" t="str">
        <f t="shared" si="280"/>
        <v>11-12</v>
      </c>
      <c r="H3719" s="1">
        <f>_xlfn.IFNA(VLOOKUP(Aragon!E3719,'Kilter Holds'!$P$36:$AB$370,5,0),0)</f>
        <v>0</v>
      </c>
      <c r="J3719" s="2">
        <f t="shared" si="289"/>
        <v>0</v>
      </c>
      <c r="K3719" s="2">
        <f t="shared" si="290"/>
        <v>0</v>
      </c>
    </row>
    <row r="3720" spans="5:11">
      <c r="E3720" s="3" t="s">
        <v>2433</v>
      </c>
      <c r="F3720" s="3" t="s">
        <v>2434</v>
      </c>
      <c r="G3720" s="6" t="str">
        <f t="shared" si="280"/>
        <v>14-01</v>
      </c>
      <c r="H3720" s="1">
        <f>_xlfn.IFNA(VLOOKUP(Aragon!E3720,'Kilter Holds'!$P$36:$AB$370,6,0),0)</f>
        <v>0</v>
      </c>
      <c r="J3720" s="2">
        <f t="shared" si="289"/>
        <v>0</v>
      </c>
      <c r="K3720" s="2">
        <f t="shared" si="290"/>
        <v>0</v>
      </c>
    </row>
    <row r="3721" spans="5:11">
      <c r="E3721" s="3" t="s">
        <v>2433</v>
      </c>
      <c r="F3721" s="3" t="s">
        <v>2434</v>
      </c>
      <c r="G3721" s="7" t="str">
        <f t="shared" si="280"/>
        <v>15-12</v>
      </c>
      <c r="H3721" s="1">
        <f>_xlfn.IFNA(VLOOKUP(Aragon!E3721,'Kilter Holds'!$P$36:$AB$370,7,0),0)</f>
        <v>0</v>
      </c>
      <c r="J3721" s="2">
        <f t="shared" si="289"/>
        <v>0</v>
      </c>
      <c r="K3721" s="2">
        <f t="shared" si="290"/>
        <v>0</v>
      </c>
    </row>
    <row r="3722" spans="5:11">
      <c r="E3722" s="3" t="s">
        <v>2433</v>
      </c>
      <c r="F3722" s="3" t="s">
        <v>2434</v>
      </c>
      <c r="G3722" s="8" t="str">
        <f t="shared" si="280"/>
        <v>16-16</v>
      </c>
      <c r="H3722" s="1">
        <f>_xlfn.IFNA(VLOOKUP(Aragon!E3722,'Kilter Holds'!$P$36:$AB$370,8,0),0)</f>
        <v>0</v>
      </c>
      <c r="J3722" s="2">
        <f t="shared" si="289"/>
        <v>0</v>
      </c>
      <c r="K3722" s="2">
        <f t="shared" si="290"/>
        <v>0</v>
      </c>
    </row>
    <row r="3723" spans="5:11">
      <c r="E3723" s="3" t="s">
        <v>2433</v>
      </c>
      <c r="F3723" s="3" t="s">
        <v>2434</v>
      </c>
      <c r="G3723" s="9" t="str">
        <f t="shared" si="280"/>
        <v>13-01</v>
      </c>
      <c r="H3723" s="1">
        <f>_xlfn.IFNA(VLOOKUP(Aragon!E3723,'Kilter Holds'!$P$36:$AB$370,9,0),0)</f>
        <v>0</v>
      </c>
      <c r="J3723" s="2">
        <f t="shared" si="289"/>
        <v>0</v>
      </c>
      <c r="K3723" s="2">
        <f t="shared" si="290"/>
        <v>0</v>
      </c>
    </row>
    <row r="3724" spans="5:11">
      <c r="E3724" s="3" t="s">
        <v>2433</v>
      </c>
      <c r="F3724" s="3" t="s">
        <v>2434</v>
      </c>
      <c r="G3724" s="10" t="str">
        <f t="shared" si="280"/>
        <v>07-13</v>
      </c>
      <c r="H3724" s="1">
        <f>_xlfn.IFNA(VLOOKUP(Aragon!E3724,'Kilter Holds'!$P$36:$AB$370,10,0),0)</f>
        <v>0</v>
      </c>
      <c r="J3724" s="2">
        <f t="shared" si="289"/>
        <v>0</v>
      </c>
      <c r="K3724" s="2">
        <f t="shared" si="290"/>
        <v>0</v>
      </c>
    </row>
    <row r="3725" spans="5:11">
      <c r="E3725" s="3" t="s">
        <v>2433</v>
      </c>
      <c r="F3725" s="3" t="s">
        <v>2434</v>
      </c>
      <c r="G3725" s="11" t="str">
        <f t="shared" si="280"/>
        <v>11-25</v>
      </c>
      <c r="H3725" s="1">
        <f>_xlfn.IFNA(VLOOKUP(Aragon!E3725,'Kilter Holds'!$P$36:$AB$370,11,0),0)</f>
        <v>0</v>
      </c>
      <c r="J3725" s="2">
        <f t="shared" si="289"/>
        <v>0</v>
      </c>
      <c r="K3725" s="2">
        <f t="shared" si="290"/>
        <v>0</v>
      </c>
    </row>
    <row r="3726" spans="5:11">
      <c r="E3726" s="3" t="s">
        <v>2433</v>
      </c>
      <c r="F3726" s="3" t="s">
        <v>2434</v>
      </c>
      <c r="G3726" s="13" t="str">
        <f t="shared" si="280"/>
        <v>18-01</v>
      </c>
      <c r="H3726" s="1">
        <f>_xlfn.IFNA(VLOOKUP(Aragon!E3726,'Kilter Holds'!$P$36:$AB$370,12,0),0)</f>
        <v>0</v>
      </c>
      <c r="J3726" s="2">
        <f t="shared" si="289"/>
        <v>0</v>
      </c>
      <c r="K3726" s="2">
        <f t="shared" si="290"/>
        <v>0</v>
      </c>
    </row>
    <row r="3727" spans="5:11">
      <c r="E3727" s="3" t="s">
        <v>2433</v>
      </c>
      <c r="F3727" s="3" t="s">
        <v>2434</v>
      </c>
      <c r="G3727" s="12" t="str">
        <f t="shared" si="280"/>
        <v>12-01</v>
      </c>
      <c r="H3727" s="1">
        <f>_xlfn.IFNA(VLOOKUP(Aragon!E3727,'Kilter Holds'!$P$36:$AB$370,13,0),0)</f>
        <v>0</v>
      </c>
      <c r="J3727" s="2">
        <f t="shared" si="289"/>
        <v>0</v>
      </c>
      <c r="K3727" s="2">
        <f t="shared" si="290"/>
        <v>0</v>
      </c>
    </row>
    <row r="3728" spans="5:11">
      <c r="E3728" s="3" t="s">
        <v>2435</v>
      </c>
      <c r="F3728" s="3" t="s">
        <v>2436</v>
      </c>
      <c r="G3728" s="5" t="str">
        <f t="shared" si="280"/>
        <v>11-12</v>
      </c>
      <c r="H3728" s="1">
        <f>_xlfn.IFNA(VLOOKUP(Aragon!E3728,'Kilter Holds'!$P$36:$AB$370,5,0),0)</f>
        <v>0</v>
      </c>
      <c r="J3728" s="2">
        <f t="shared" si="289"/>
        <v>0</v>
      </c>
      <c r="K3728" s="2">
        <f t="shared" si="290"/>
        <v>0</v>
      </c>
    </row>
    <row r="3729" spans="5:11">
      <c r="E3729" s="3" t="s">
        <v>2435</v>
      </c>
      <c r="F3729" s="3" t="s">
        <v>2436</v>
      </c>
      <c r="G3729" s="6" t="str">
        <f t="shared" si="280"/>
        <v>14-01</v>
      </c>
      <c r="H3729" s="1">
        <f>_xlfn.IFNA(VLOOKUP(Aragon!E3729,'Kilter Holds'!$P$36:$AB$370,6,0),0)</f>
        <v>0</v>
      </c>
      <c r="J3729" s="2">
        <f t="shared" si="289"/>
        <v>0</v>
      </c>
      <c r="K3729" s="2">
        <f t="shared" si="290"/>
        <v>0</v>
      </c>
    </row>
    <row r="3730" spans="5:11">
      <c r="E3730" s="3" t="s">
        <v>2435</v>
      </c>
      <c r="F3730" s="3" t="s">
        <v>2436</v>
      </c>
      <c r="G3730" s="7" t="str">
        <f t="shared" si="280"/>
        <v>15-12</v>
      </c>
      <c r="H3730" s="1">
        <f>_xlfn.IFNA(VLOOKUP(Aragon!E3730,'Kilter Holds'!$P$36:$AB$370,7,0),0)</f>
        <v>0</v>
      </c>
      <c r="J3730" s="2">
        <f t="shared" si="289"/>
        <v>0</v>
      </c>
      <c r="K3730" s="2">
        <f t="shared" si="290"/>
        <v>0</v>
      </c>
    </row>
    <row r="3731" spans="5:11">
      <c r="E3731" s="3" t="s">
        <v>2435</v>
      </c>
      <c r="F3731" s="3" t="s">
        <v>2436</v>
      </c>
      <c r="G3731" s="8" t="str">
        <f t="shared" si="280"/>
        <v>16-16</v>
      </c>
      <c r="H3731" s="1">
        <f>_xlfn.IFNA(VLOOKUP(Aragon!E3731,'Kilter Holds'!$P$36:$AB$370,8,0),0)</f>
        <v>0</v>
      </c>
      <c r="J3731" s="2">
        <f t="shared" si="289"/>
        <v>0</v>
      </c>
      <c r="K3731" s="2">
        <f t="shared" si="290"/>
        <v>0</v>
      </c>
    </row>
    <row r="3732" spans="5:11">
      <c r="E3732" s="3" t="s">
        <v>2435</v>
      </c>
      <c r="F3732" s="3" t="s">
        <v>2436</v>
      </c>
      <c r="G3732" s="9" t="str">
        <f t="shared" si="280"/>
        <v>13-01</v>
      </c>
      <c r="H3732" s="1">
        <f>_xlfn.IFNA(VLOOKUP(Aragon!E3732,'Kilter Holds'!$P$36:$AB$370,9,0),0)</f>
        <v>0</v>
      </c>
      <c r="J3732" s="2">
        <f t="shared" si="289"/>
        <v>0</v>
      </c>
      <c r="K3732" s="2">
        <f t="shared" si="290"/>
        <v>0</v>
      </c>
    </row>
    <row r="3733" spans="5:11">
      <c r="E3733" s="3" t="s">
        <v>2435</v>
      </c>
      <c r="F3733" s="3" t="s">
        <v>2436</v>
      </c>
      <c r="G3733" s="10" t="str">
        <f t="shared" si="280"/>
        <v>07-13</v>
      </c>
      <c r="H3733" s="1">
        <f>_xlfn.IFNA(VLOOKUP(Aragon!E3733,'Kilter Holds'!$P$36:$AB$370,10,0),0)</f>
        <v>0</v>
      </c>
      <c r="J3733" s="2">
        <f t="shared" si="289"/>
        <v>0</v>
      </c>
      <c r="K3733" s="2">
        <f t="shared" si="290"/>
        <v>0</v>
      </c>
    </row>
    <row r="3734" spans="5:11">
      <c r="E3734" s="3" t="s">
        <v>2435</v>
      </c>
      <c r="F3734" s="3" t="s">
        <v>2436</v>
      </c>
      <c r="G3734" s="11" t="str">
        <f t="shared" si="280"/>
        <v>11-25</v>
      </c>
      <c r="H3734" s="1">
        <f>_xlfn.IFNA(VLOOKUP(Aragon!E3734,'Kilter Holds'!$P$36:$AB$370,11,0),0)</f>
        <v>0</v>
      </c>
      <c r="J3734" s="2">
        <f t="shared" si="289"/>
        <v>0</v>
      </c>
      <c r="K3734" s="2">
        <f t="shared" si="290"/>
        <v>0</v>
      </c>
    </row>
    <row r="3735" spans="5:11">
      <c r="E3735" s="3" t="s">
        <v>2435</v>
      </c>
      <c r="F3735" s="3" t="s">
        <v>2436</v>
      </c>
      <c r="G3735" s="13" t="str">
        <f t="shared" si="280"/>
        <v>18-01</v>
      </c>
      <c r="H3735" s="1">
        <f>_xlfn.IFNA(VLOOKUP(Aragon!E3735,'Kilter Holds'!$P$36:$AB$370,12,0),0)</f>
        <v>0</v>
      </c>
      <c r="J3735" s="2">
        <f t="shared" si="289"/>
        <v>0</v>
      </c>
      <c r="K3735" s="2">
        <f t="shared" si="290"/>
        <v>0</v>
      </c>
    </row>
    <row r="3736" spans="5:11">
      <c r="E3736" s="3" t="s">
        <v>2435</v>
      </c>
      <c r="F3736" s="3" t="s">
        <v>2436</v>
      </c>
      <c r="G3736" s="12" t="str">
        <f t="shared" si="280"/>
        <v>12-01</v>
      </c>
      <c r="H3736" s="1">
        <f>_xlfn.IFNA(VLOOKUP(Aragon!E3736,'Kilter Holds'!$P$36:$AB$370,13,0),0)</f>
        <v>0</v>
      </c>
      <c r="J3736" s="2">
        <f t="shared" si="289"/>
        <v>0</v>
      </c>
      <c r="K3736" s="2">
        <f t="shared" si="290"/>
        <v>0</v>
      </c>
    </row>
    <row r="3737" spans="5:11">
      <c r="E3737" s="3" t="s">
        <v>2437</v>
      </c>
      <c r="F3737" s="3" t="s">
        <v>2438</v>
      </c>
      <c r="G3737" s="5" t="str">
        <f t="shared" si="280"/>
        <v>11-12</v>
      </c>
      <c r="H3737" s="1">
        <f>_xlfn.IFNA(VLOOKUP(Aragon!E3737,'Kilter Holds'!$P$36:$AB$370,5,0),0)</f>
        <v>0</v>
      </c>
      <c r="J3737" s="2">
        <f t="shared" si="289"/>
        <v>0</v>
      </c>
      <c r="K3737" s="2">
        <f t="shared" si="290"/>
        <v>0</v>
      </c>
    </row>
    <row r="3738" spans="5:11">
      <c r="E3738" s="3" t="s">
        <v>2437</v>
      </c>
      <c r="F3738" s="3" t="s">
        <v>2438</v>
      </c>
      <c r="G3738" s="6" t="str">
        <f t="shared" si="280"/>
        <v>14-01</v>
      </c>
      <c r="H3738" s="1">
        <f>_xlfn.IFNA(VLOOKUP(Aragon!E3738,'Kilter Holds'!$P$36:$AB$370,6,0),0)</f>
        <v>0</v>
      </c>
      <c r="J3738" s="2">
        <f t="shared" si="289"/>
        <v>0</v>
      </c>
      <c r="K3738" s="2">
        <f t="shared" si="290"/>
        <v>0</v>
      </c>
    </row>
    <row r="3739" spans="5:11">
      <c r="E3739" s="3" t="s">
        <v>2437</v>
      </c>
      <c r="F3739" s="3" t="s">
        <v>2438</v>
      </c>
      <c r="G3739" s="7" t="str">
        <f t="shared" si="280"/>
        <v>15-12</v>
      </c>
      <c r="H3739" s="1">
        <f>_xlfn.IFNA(VLOOKUP(Aragon!E3739,'Kilter Holds'!$P$36:$AB$370,7,0),0)</f>
        <v>0</v>
      </c>
      <c r="J3739" s="2">
        <f t="shared" si="289"/>
        <v>0</v>
      </c>
      <c r="K3739" s="2">
        <f t="shared" si="290"/>
        <v>0</v>
      </c>
    </row>
    <row r="3740" spans="5:11">
      <c r="E3740" s="3" t="s">
        <v>2437</v>
      </c>
      <c r="F3740" s="3" t="s">
        <v>2438</v>
      </c>
      <c r="G3740" s="8" t="str">
        <f t="shared" si="280"/>
        <v>16-16</v>
      </c>
      <c r="H3740" s="1">
        <f>_xlfn.IFNA(VLOOKUP(Aragon!E3740,'Kilter Holds'!$P$36:$AB$370,8,0),0)</f>
        <v>0</v>
      </c>
      <c r="J3740" s="2">
        <f t="shared" si="289"/>
        <v>0</v>
      </c>
      <c r="K3740" s="2">
        <f t="shared" si="290"/>
        <v>0</v>
      </c>
    </row>
    <row r="3741" spans="5:11">
      <c r="E3741" s="3" t="s">
        <v>2437</v>
      </c>
      <c r="F3741" s="3" t="s">
        <v>2438</v>
      </c>
      <c r="G3741" s="9" t="str">
        <f t="shared" si="280"/>
        <v>13-01</v>
      </c>
      <c r="H3741" s="1">
        <f>_xlfn.IFNA(VLOOKUP(Aragon!E3741,'Kilter Holds'!$P$36:$AB$370,9,0),0)</f>
        <v>0</v>
      </c>
      <c r="J3741" s="2">
        <f t="shared" si="289"/>
        <v>0</v>
      </c>
      <c r="K3741" s="2">
        <f t="shared" si="290"/>
        <v>0</v>
      </c>
    </row>
    <row r="3742" spans="5:11">
      <c r="E3742" s="3" t="s">
        <v>2437</v>
      </c>
      <c r="F3742" s="3" t="s">
        <v>2438</v>
      </c>
      <c r="G3742" s="10" t="str">
        <f t="shared" si="280"/>
        <v>07-13</v>
      </c>
      <c r="H3742" s="1">
        <f>_xlfn.IFNA(VLOOKUP(Aragon!E3742,'Kilter Holds'!$P$36:$AB$370,10,0),0)</f>
        <v>0</v>
      </c>
      <c r="J3742" s="2">
        <f t="shared" si="289"/>
        <v>0</v>
      </c>
      <c r="K3742" s="2">
        <f t="shared" si="290"/>
        <v>0</v>
      </c>
    </row>
    <row r="3743" spans="5:11">
      <c r="E3743" s="3" t="s">
        <v>2437</v>
      </c>
      <c r="F3743" s="3" t="s">
        <v>2438</v>
      </c>
      <c r="G3743" s="11" t="str">
        <f t="shared" si="280"/>
        <v>11-25</v>
      </c>
      <c r="H3743" s="1">
        <f>_xlfn.IFNA(VLOOKUP(Aragon!E3743,'Kilter Holds'!$P$36:$AB$370,11,0),0)</f>
        <v>0</v>
      </c>
      <c r="J3743" s="2">
        <f t="shared" si="289"/>
        <v>0</v>
      </c>
      <c r="K3743" s="2">
        <f t="shared" si="290"/>
        <v>0</v>
      </c>
    </row>
    <row r="3744" spans="5:11">
      <c r="E3744" s="3" t="s">
        <v>2437</v>
      </c>
      <c r="F3744" s="3" t="s">
        <v>2438</v>
      </c>
      <c r="G3744" s="13" t="str">
        <f t="shared" si="280"/>
        <v>18-01</v>
      </c>
      <c r="H3744" s="1">
        <f>_xlfn.IFNA(VLOOKUP(Aragon!E3744,'Kilter Holds'!$P$36:$AB$370,12,0),0)</f>
        <v>0</v>
      </c>
      <c r="J3744" s="2">
        <f t="shared" si="289"/>
        <v>0</v>
      </c>
      <c r="K3744" s="2">
        <f t="shared" si="290"/>
        <v>0</v>
      </c>
    </row>
    <row r="3745" spans="5:11">
      <c r="E3745" s="3" t="s">
        <v>2437</v>
      </c>
      <c r="F3745" s="3" t="s">
        <v>2438</v>
      </c>
      <c r="G3745" s="12" t="str">
        <f t="shared" si="280"/>
        <v>12-01</v>
      </c>
      <c r="H3745" s="1">
        <f>_xlfn.IFNA(VLOOKUP(Aragon!E3745,'Kilter Holds'!$P$36:$AB$370,13,0),0)</f>
        <v>0</v>
      </c>
      <c r="J3745" s="2">
        <f t="shared" si="289"/>
        <v>0</v>
      </c>
      <c r="K3745" s="2">
        <f t="shared" si="290"/>
        <v>0</v>
      </c>
    </row>
    <row r="3746" spans="5:11">
      <c r="E3746" s="3" t="s">
        <v>2439</v>
      </c>
      <c r="F3746" s="3" t="s">
        <v>2440</v>
      </c>
      <c r="G3746" s="5" t="str">
        <f t="shared" si="280"/>
        <v>11-12</v>
      </c>
      <c r="H3746" s="1">
        <f>_xlfn.IFNA(VLOOKUP(Aragon!E3746,'Kilter Holds'!$P$36:$AB$370,5,0),0)</f>
        <v>0</v>
      </c>
      <c r="J3746" s="2">
        <f t="shared" ref="J3746:J3763" si="291">H3746*I3746</f>
        <v>0</v>
      </c>
      <c r="K3746" s="2">
        <f t="shared" ref="K3746:K3763" si="292">IF($V$11="Y",J3746*0.05,0)</f>
        <v>0</v>
      </c>
    </row>
    <row r="3747" spans="5:11">
      <c r="E3747" s="3" t="s">
        <v>2439</v>
      </c>
      <c r="F3747" s="3" t="s">
        <v>2440</v>
      </c>
      <c r="G3747" s="6" t="str">
        <f t="shared" si="280"/>
        <v>14-01</v>
      </c>
      <c r="H3747" s="1">
        <f>_xlfn.IFNA(VLOOKUP(Aragon!E3747,'Kilter Holds'!$P$36:$AB$370,6,0),0)</f>
        <v>0</v>
      </c>
      <c r="J3747" s="2">
        <f t="shared" si="291"/>
        <v>0</v>
      </c>
      <c r="K3747" s="2">
        <f t="shared" si="292"/>
        <v>0</v>
      </c>
    </row>
    <row r="3748" spans="5:11">
      <c r="E3748" s="3" t="s">
        <v>2439</v>
      </c>
      <c r="F3748" s="3" t="s">
        <v>2440</v>
      </c>
      <c r="G3748" s="7" t="str">
        <f t="shared" si="280"/>
        <v>15-12</v>
      </c>
      <c r="H3748" s="1">
        <f>_xlfn.IFNA(VLOOKUP(Aragon!E3748,'Kilter Holds'!$P$36:$AB$370,7,0),0)</f>
        <v>0</v>
      </c>
      <c r="J3748" s="2">
        <f t="shared" si="291"/>
        <v>0</v>
      </c>
      <c r="K3748" s="2">
        <f t="shared" si="292"/>
        <v>0</v>
      </c>
    </row>
    <row r="3749" spans="5:11">
      <c r="E3749" s="3" t="s">
        <v>2439</v>
      </c>
      <c r="F3749" s="3" t="s">
        <v>2440</v>
      </c>
      <c r="G3749" s="8" t="str">
        <f t="shared" si="280"/>
        <v>16-16</v>
      </c>
      <c r="H3749" s="1">
        <f>_xlfn.IFNA(VLOOKUP(Aragon!E3749,'Kilter Holds'!$P$36:$AB$370,8,0),0)</f>
        <v>0</v>
      </c>
      <c r="J3749" s="2">
        <f t="shared" si="291"/>
        <v>0</v>
      </c>
      <c r="K3749" s="2">
        <f t="shared" si="292"/>
        <v>0</v>
      </c>
    </row>
    <row r="3750" spans="5:11">
      <c r="E3750" s="3" t="s">
        <v>2439</v>
      </c>
      <c r="F3750" s="3" t="s">
        <v>2440</v>
      </c>
      <c r="G3750" s="9" t="str">
        <f t="shared" si="280"/>
        <v>13-01</v>
      </c>
      <c r="H3750" s="1">
        <f>_xlfn.IFNA(VLOOKUP(Aragon!E3750,'Kilter Holds'!$P$36:$AB$370,9,0),0)</f>
        <v>0</v>
      </c>
      <c r="J3750" s="2">
        <f t="shared" si="291"/>
        <v>0</v>
      </c>
      <c r="K3750" s="2">
        <f t="shared" si="292"/>
        <v>0</v>
      </c>
    </row>
    <row r="3751" spans="5:11">
      <c r="E3751" s="3" t="s">
        <v>2439</v>
      </c>
      <c r="F3751" s="3" t="s">
        <v>2440</v>
      </c>
      <c r="G3751" s="10" t="str">
        <f t="shared" si="280"/>
        <v>07-13</v>
      </c>
      <c r="H3751" s="1">
        <f>_xlfn.IFNA(VLOOKUP(Aragon!E3751,'Kilter Holds'!$P$36:$AB$370,10,0),0)</f>
        <v>0</v>
      </c>
      <c r="J3751" s="2">
        <f t="shared" si="291"/>
        <v>0</v>
      </c>
      <c r="K3751" s="2">
        <f t="shared" si="292"/>
        <v>0</v>
      </c>
    </row>
    <row r="3752" spans="5:11">
      <c r="E3752" s="3" t="s">
        <v>2439</v>
      </c>
      <c r="F3752" s="3" t="s">
        <v>2440</v>
      </c>
      <c r="G3752" s="11" t="str">
        <f t="shared" si="280"/>
        <v>11-25</v>
      </c>
      <c r="H3752" s="1">
        <f>_xlfn.IFNA(VLOOKUP(Aragon!E3752,'Kilter Holds'!$P$36:$AB$370,11,0),0)</f>
        <v>0</v>
      </c>
      <c r="J3752" s="2">
        <f t="shared" si="291"/>
        <v>0</v>
      </c>
      <c r="K3752" s="2">
        <f t="shared" si="292"/>
        <v>0</v>
      </c>
    </row>
    <row r="3753" spans="5:11">
      <c r="E3753" s="3" t="s">
        <v>2439</v>
      </c>
      <c r="F3753" s="3" t="s">
        <v>2440</v>
      </c>
      <c r="G3753" s="13" t="str">
        <f t="shared" si="280"/>
        <v>18-01</v>
      </c>
      <c r="H3753" s="1">
        <f>_xlfn.IFNA(VLOOKUP(Aragon!E3753,'Kilter Holds'!$P$36:$AB$370,12,0),0)</f>
        <v>0</v>
      </c>
      <c r="J3753" s="2">
        <f t="shared" si="291"/>
        <v>0</v>
      </c>
      <c r="K3753" s="2">
        <f t="shared" si="292"/>
        <v>0</v>
      </c>
    </row>
    <row r="3754" spans="5:11">
      <c r="E3754" s="3" t="s">
        <v>2439</v>
      </c>
      <c r="F3754" s="3" t="s">
        <v>2440</v>
      </c>
      <c r="G3754" s="12" t="str">
        <f t="shared" si="280"/>
        <v>12-01</v>
      </c>
      <c r="H3754" s="1">
        <f>_xlfn.IFNA(VLOOKUP(Aragon!E3754,'Kilter Holds'!$P$36:$AB$370,13,0),0)</f>
        <v>0</v>
      </c>
      <c r="J3754" s="2">
        <f t="shared" si="291"/>
        <v>0</v>
      </c>
      <c r="K3754" s="2">
        <f t="shared" si="292"/>
        <v>0</v>
      </c>
    </row>
    <row r="3755" spans="5:11">
      <c r="E3755" s="3" t="s">
        <v>2441</v>
      </c>
      <c r="F3755" s="3" t="s">
        <v>2442</v>
      </c>
      <c r="G3755" s="5" t="str">
        <f t="shared" si="280"/>
        <v>11-12</v>
      </c>
      <c r="H3755" s="1">
        <f>_xlfn.IFNA(VLOOKUP(Aragon!E3755,'Kilter Holds'!$P$36:$AB$370,5,0),0)</f>
        <v>0</v>
      </c>
      <c r="J3755" s="2">
        <f t="shared" si="291"/>
        <v>0</v>
      </c>
      <c r="K3755" s="2">
        <f t="shared" si="292"/>
        <v>0</v>
      </c>
    </row>
    <row r="3756" spans="5:11">
      <c r="E3756" s="3" t="s">
        <v>2441</v>
      </c>
      <c r="F3756" s="3" t="s">
        <v>2442</v>
      </c>
      <c r="G3756" s="6" t="str">
        <f t="shared" si="280"/>
        <v>14-01</v>
      </c>
      <c r="H3756" s="1">
        <f>_xlfn.IFNA(VLOOKUP(Aragon!E3756,'Kilter Holds'!$P$36:$AB$370,6,0),0)</f>
        <v>0</v>
      </c>
      <c r="J3756" s="2">
        <f t="shared" si="291"/>
        <v>0</v>
      </c>
      <c r="K3756" s="2">
        <f t="shared" si="292"/>
        <v>0</v>
      </c>
    </row>
    <row r="3757" spans="5:11">
      <c r="E3757" s="3" t="s">
        <v>2441</v>
      </c>
      <c r="F3757" s="3" t="s">
        <v>2442</v>
      </c>
      <c r="G3757" s="7" t="str">
        <f t="shared" si="280"/>
        <v>15-12</v>
      </c>
      <c r="H3757" s="1">
        <f>_xlfn.IFNA(VLOOKUP(Aragon!E3757,'Kilter Holds'!$P$36:$AB$370,7,0),0)</f>
        <v>0</v>
      </c>
      <c r="J3757" s="2">
        <f t="shared" si="291"/>
        <v>0</v>
      </c>
      <c r="K3757" s="2">
        <f t="shared" si="292"/>
        <v>0</v>
      </c>
    </row>
    <row r="3758" spans="5:11">
      <c r="E3758" s="3" t="s">
        <v>2441</v>
      </c>
      <c r="F3758" s="3" t="s">
        <v>2442</v>
      </c>
      <c r="G3758" s="8" t="str">
        <f t="shared" si="280"/>
        <v>16-16</v>
      </c>
      <c r="H3758" s="1">
        <f>_xlfn.IFNA(VLOOKUP(Aragon!E3758,'Kilter Holds'!$P$36:$AB$370,8,0),0)</f>
        <v>0</v>
      </c>
      <c r="J3758" s="2">
        <f t="shared" si="291"/>
        <v>0</v>
      </c>
      <c r="K3758" s="2">
        <f t="shared" si="292"/>
        <v>0</v>
      </c>
    </row>
    <row r="3759" spans="5:11">
      <c r="E3759" s="3" t="s">
        <v>2441</v>
      </c>
      <c r="F3759" s="3" t="s">
        <v>2442</v>
      </c>
      <c r="G3759" s="9" t="str">
        <f t="shared" si="280"/>
        <v>13-01</v>
      </c>
      <c r="H3759" s="1">
        <f>_xlfn.IFNA(VLOOKUP(Aragon!E3759,'Kilter Holds'!$P$36:$AB$370,9,0),0)</f>
        <v>0</v>
      </c>
      <c r="J3759" s="2">
        <f t="shared" si="291"/>
        <v>0</v>
      </c>
      <c r="K3759" s="2">
        <f t="shared" si="292"/>
        <v>0</v>
      </c>
    </row>
    <row r="3760" spans="5:11">
      <c r="E3760" s="3" t="s">
        <v>2441</v>
      </c>
      <c r="F3760" s="3" t="s">
        <v>2442</v>
      </c>
      <c r="G3760" s="10" t="str">
        <f t="shared" si="280"/>
        <v>07-13</v>
      </c>
      <c r="H3760" s="1">
        <f>_xlfn.IFNA(VLOOKUP(Aragon!E3760,'Kilter Holds'!$P$36:$AB$370,10,0),0)</f>
        <v>0</v>
      </c>
      <c r="J3760" s="2">
        <f t="shared" si="291"/>
        <v>0</v>
      </c>
      <c r="K3760" s="2">
        <f t="shared" si="292"/>
        <v>0</v>
      </c>
    </row>
    <row r="3761" spans="5:11">
      <c r="E3761" s="3" t="s">
        <v>2441</v>
      </c>
      <c r="F3761" s="3" t="s">
        <v>2442</v>
      </c>
      <c r="G3761" s="11" t="str">
        <f t="shared" si="280"/>
        <v>11-25</v>
      </c>
      <c r="H3761" s="1">
        <f>_xlfn.IFNA(VLOOKUP(Aragon!E3761,'Kilter Holds'!$P$36:$AB$370,11,0),0)</f>
        <v>0</v>
      </c>
      <c r="J3761" s="2">
        <f t="shared" si="291"/>
        <v>0</v>
      </c>
      <c r="K3761" s="2">
        <f t="shared" si="292"/>
        <v>0</v>
      </c>
    </row>
    <row r="3762" spans="5:11">
      <c r="E3762" s="3" t="s">
        <v>2441</v>
      </c>
      <c r="F3762" s="3" t="s">
        <v>2442</v>
      </c>
      <c r="G3762" s="13" t="str">
        <f t="shared" si="280"/>
        <v>18-01</v>
      </c>
      <c r="H3762" s="1">
        <f>_xlfn.IFNA(VLOOKUP(Aragon!E3762,'Kilter Holds'!$P$36:$AB$370,12,0),0)</f>
        <v>0</v>
      </c>
      <c r="J3762" s="2">
        <f t="shared" si="291"/>
        <v>0</v>
      </c>
      <c r="K3762" s="2">
        <f t="shared" si="292"/>
        <v>0</v>
      </c>
    </row>
    <row r="3763" spans="5:11">
      <c r="E3763" s="3" t="s">
        <v>2441</v>
      </c>
      <c r="F3763" s="3" t="s">
        <v>2442</v>
      </c>
      <c r="G3763" s="12" t="str">
        <f t="shared" si="280"/>
        <v>12-01</v>
      </c>
      <c r="H3763" s="1">
        <f>_xlfn.IFNA(VLOOKUP(Aragon!E3763,'Kilter Holds'!$P$36:$AB$370,13,0),0)</f>
        <v>0</v>
      </c>
      <c r="J3763" s="2">
        <f t="shared" si="291"/>
        <v>0</v>
      </c>
      <c r="K3763" s="2">
        <f t="shared" si="292"/>
        <v>0</v>
      </c>
    </row>
    <row r="3764" spans="5:11">
      <c r="E3764" s="3" t="s">
        <v>2501</v>
      </c>
      <c r="F3764" s="3" t="s">
        <v>2502</v>
      </c>
      <c r="G3764" s="5" t="str">
        <f t="shared" si="280"/>
        <v>11-12</v>
      </c>
      <c r="H3764" s="1">
        <f>_xlfn.IFNA(VLOOKUP(Aragon!E3764,'Kilter Holds'!$P$36:$AB$370,5,0),0)</f>
        <v>0</v>
      </c>
      <c r="J3764" s="2">
        <f t="shared" ref="J3764:J3772" si="293">H3764*I3764</f>
        <v>0</v>
      </c>
      <c r="K3764" s="2">
        <f t="shared" ref="K3764:K3772" si="294">IF($V$11="Y",J3764*0.05,0)</f>
        <v>0</v>
      </c>
    </row>
    <row r="3765" spans="5:11">
      <c r="E3765" s="3" t="s">
        <v>2501</v>
      </c>
      <c r="F3765" s="3" t="s">
        <v>2502</v>
      </c>
      <c r="G3765" s="6" t="str">
        <f t="shared" si="280"/>
        <v>14-01</v>
      </c>
      <c r="H3765" s="1">
        <f>_xlfn.IFNA(VLOOKUP(Aragon!E3765,'Kilter Holds'!$P$36:$AB$370,6,0),0)</f>
        <v>0</v>
      </c>
      <c r="J3765" s="2">
        <f t="shared" si="293"/>
        <v>0</v>
      </c>
      <c r="K3765" s="2">
        <f t="shared" si="294"/>
        <v>0</v>
      </c>
    </row>
    <row r="3766" spans="5:11">
      <c r="E3766" s="3" t="s">
        <v>2501</v>
      </c>
      <c r="F3766" s="3" t="s">
        <v>2502</v>
      </c>
      <c r="G3766" s="7" t="str">
        <f t="shared" si="280"/>
        <v>15-12</v>
      </c>
      <c r="H3766" s="1">
        <f>_xlfn.IFNA(VLOOKUP(Aragon!E3766,'Kilter Holds'!$P$36:$AB$370,7,0),0)</f>
        <v>0</v>
      </c>
      <c r="J3766" s="2">
        <f t="shared" si="293"/>
        <v>0</v>
      </c>
      <c r="K3766" s="2">
        <f t="shared" si="294"/>
        <v>0</v>
      </c>
    </row>
    <row r="3767" spans="5:11">
      <c r="E3767" s="3" t="s">
        <v>2501</v>
      </c>
      <c r="F3767" s="3" t="s">
        <v>2502</v>
      </c>
      <c r="G3767" s="8" t="str">
        <f t="shared" si="280"/>
        <v>16-16</v>
      </c>
      <c r="H3767" s="1">
        <f>_xlfn.IFNA(VLOOKUP(Aragon!E3767,'Kilter Holds'!$P$36:$AB$370,8,0),0)</f>
        <v>0</v>
      </c>
      <c r="J3767" s="2">
        <f t="shared" si="293"/>
        <v>0</v>
      </c>
      <c r="K3767" s="2">
        <f t="shared" si="294"/>
        <v>0</v>
      </c>
    </row>
    <row r="3768" spans="5:11">
      <c r="E3768" s="3" t="s">
        <v>2501</v>
      </c>
      <c r="F3768" s="3" t="s">
        <v>2502</v>
      </c>
      <c r="G3768" s="9" t="str">
        <f t="shared" si="280"/>
        <v>13-01</v>
      </c>
      <c r="H3768" s="1">
        <f>_xlfn.IFNA(VLOOKUP(Aragon!E3768,'Kilter Holds'!$P$36:$AB$370,9,0),0)</f>
        <v>0</v>
      </c>
      <c r="J3768" s="2">
        <f t="shared" si="293"/>
        <v>0</v>
      </c>
      <c r="K3768" s="2">
        <f t="shared" si="294"/>
        <v>0</v>
      </c>
    </row>
    <row r="3769" spans="5:11">
      <c r="E3769" s="3" t="s">
        <v>2501</v>
      </c>
      <c r="F3769" s="3" t="s">
        <v>2502</v>
      </c>
      <c r="G3769" s="10" t="str">
        <f t="shared" si="280"/>
        <v>07-13</v>
      </c>
      <c r="H3769" s="1">
        <f>_xlfn.IFNA(VLOOKUP(Aragon!E3769,'Kilter Holds'!$P$36:$AB$370,10,0),0)</f>
        <v>0</v>
      </c>
      <c r="J3769" s="2">
        <f t="shared" si="293"/>
        <v>0</v>
      </c>
      <c r="K3769" s="2">
        <f t="shared" si="294"/>
        <v>0</v>
      </c>
    </row>
    <row r="3770" spans="5:11">
      <c r="E3770" s="3" t="s">
        <v>2501</v>
      </c>
      <c r="F3770" s="3" t="s">
        <v>2502</v>
      </c>
      <c r="G3770" s="11" t="str">
        <f t="shared" si="280"/>
        <v>11-25</v>
      </c>
      <c r="H3770" s="1">
        <f>_xlfn.IFNA(VLOOKUP(Aragon!E3770,'Kilter Holds'!$P$36:$AB$370,11,0),0)</f>
        <v>0</v>
      </c>
      <c r="J3770" s="2">
        <f t="shared" si="293"/>
        <v>0</v>
      </c>
      <c r="K3770" s="2">
        <f t="shared" si="294"/>
        <v>0</v>
      </c>
    </row>
    <row r="3771" spans="5:11">
      <c r="E3771" s="3" t="s">
        <v>2501</v>
      </c>
      <c r="F3771" s="3" t="s">
        <v>2502</v>
      </c>
      <c r="G3771" s="13" t="str">
        <f t="shared" si="280"/>
        <v>18-01</v>
      </c>
      <c r="H3771" s="1">
        <f>_xlfn.IFNA(VLOOKUP(Aragon!E3771,'Kilter Holds'!$P$36:$AB$370,12,0),0)</f>
        <v>0</v>
      </c>
      <c r="J3771" s="2">
        <f t="shared" si="293"/>
        <v>0</v>
      </c>
      <c r="K3771" s="2">
        <f t="shared" si="294"/>
        <v>0</v>
      </c>
    </row>
    <row r="3772" spans="5:11">
      <c r="E3772" s="3" t="s">
        <v>2501</v>
      </c>
      <c r="F3772" s="3" t="s">
        <v>2502</v>
      </c>
      <c r="G3772" s="12" t="str">
        <f t="shared" si="280"/>
        <v>12-01</v>
      </c>
      <c r="H3772" s="1">
        <f>_xlfn.IFNA(VLOOKUP(Aragon!E3772,'Kilter Holds'!$P$36:$AB$370,13,0),0)</f>
        <v>0</v>
      </c>
      <c r="J3772" s="2">
        <f t="shared" si="293"/>
        <v>0</v>
      </c>
      <c r="K3772" s="2">
        <f t="shared" si="294"/>
        <v>0</v>
      </c>
    </row>
    <row r="3773" spans="5:11">
      <c r="E3773" t="s">
        <v>120</v>
      </c>
      <c r="F3773" t="s">
        <v>796</v>
      </c>
      <c r="G3773" s="5" t="str">
        <f t="shared" ref="G3773:G3781" si="295">G3629</f>
        <v>11-12</v>
      </c>
      <c r="H3773" s="1">
        <f>_xlfn.IFNA(VLOOKUP(Aragon!E3773,'Kilter Holds'!$P$36:$AB$370,5,0),0)</f>
        <v>0</v>
      </c>
      <c r="J3773" s="2">
        <f t="shared" si="187"/>
        <v>0</v>
      </c>
      <c r="K3773" s="2">
        <f t="shared" si="279"/>
        <v>0</v>
      </c>
    </row>
    <row r="3774" spans="5:11">
      <c r="E3774" t="s">
        <v>120</v>
      </c>
      <c r="F3774" t="s">
        <v>796</v>
      </c>
      <c r="G3774" s="6" t="str">
        <f t="shared" si="295"/>
        <v>14-01</v>
      </c>
      <c r="H3774" s="1">
        <f>_xlfn.IFNA(VLOOKUP(Aragon!E3774,'Kilter Holds'!$P$36:$AB$370,6,0),0)</f>
        <v>0</v>
      </c>
      <c r="J3774" s="2">
        <f t="shared" si="187"/>
        <v>0</v>
      </c>
      <c r="K3774" s="2">
        <f t="shared" si="279"/>
        <v>0</v>
      </c>
    </row>
    <row r="3775" spans="5:11">
      <c r="E3775" t="s">
        <v>120</v>
      </c>
      <c r="F3775" t="s">
        <v>796</v>
      </c>
      <c r="G3775" s="7" t="str">
        <f t="shared" si="295"/>
        <v>15-12</v>
      </c>
      <c r="H3775" s="1">
        <f>_xlfn.IFNA(VLOOKUP(Aragon!E3775,'Kilter Holds'!$P$36:$AB$370,7,0),0)</f>
        <v>0</v>
      </c>
      <c r="J3775" s="2">
        <f t="shared" ref="J3775:J3838" si="296">H3775*I3775</f>
        <v>0</v>
      </c>
      <c r="K3775" s="2">
        <f t="shared" si="279"/>
        <v>0</v>
      </c>
    </row>
    <row r="3776" spans="5:11">
      <c r="E3776" t="s">
        <v>120</v>
      </c>
      <c r="F3776" t="s">
        <v>796</v>
      </c>
      <c r="G3776" s="8" t="str">
        <f t="shared" si="295"/>
        <v>16-16</v>
      </c>
      <c r="H3776" s="1">
        <f>_xlfn.IFNA(VLOOKUP(Aragon!E3776,'Kilter Holds'!$P$36:$AB$370,8,0),0)</f>
        <v>0</v>
      </c>
      <c r="J3776" s="2">
        <f t="shared" si="296"/>
        <v>0</v>
      </c>
      <c r="K3776" s="2">
        <f t="shared" si="279"/>
        <v>0</v>
      </c>
    </row>
    <row r="3777" spans="5:11">
      <c r="E3777" t="s">
        <v>120</v>
      </c>
      <c r="F3777" t="s">
        <v>796</v>
      </c>
      <c r="G3777" s="9" t="str">
        <f t="shared" si="295"/>
        <v>13-01</v>
      </c>
      <c r="H3777" s="1">
        <f>_xlfn.IFNA(VLOOKUP(Aragon!E3777,'Kilter Holds'!$P$36:$AB$370,9,0),0)</f>
        <v>0</v>
      </c>
      <c r="J3777" s="2">
        <f t="shared" si="296"/>
        <v>0</v>
      </c>
      <c r="K3777" s="2">
        <f t="shared" si="279"/>
        <v>0</v>
      </c>
    </row>
    <row r="3778" spans="5:11">
      <c r="E3778" t="s">
        <v>120</v>
      </c>
      <c r="F3778" t="s">
        <v>796</v>
      </c>
      <c r="G3778" s="10" t="str">
        <f t="shared" si="295"/>
        <v>07-13</v>
      </c>
      <c r="H3778" s="1">
        <f>_xlfn.IFNA(VLOOKUP(Aragon!E3778,'Kilter Holds'!$P$36:$AB$370,10,0),0)</f>
        <v>0</v>
      </c>
      <c r="J3778" s="2">
        <f t="shared" si="296"/>
        <v>0</v>
      </c>
      <c r="K3778" s="2">
        <f t="shared" si="279"/>
        <v>0</v>
      </c>
    </row>
    <row r="3779" spans="5:11">
      <c r="E3779" t="s">
        <v>120</v>
      </c>
      <c r="F3779" t="s">
        <v>796</v>
      </c>
      <c r="G3779" s="11" t="str">
        <f t="shared" si="295"/>
        <v>11-25</v>
      </c>
      <c r="H3779" s="1">
        <f>_xlfn.IFNA(VLOOKUP(Aragon!E3779,'Kilter Holds'!$P$36:$AB$370,11,0),0)</f>
        <v>0</v>
      </c>
      <c r="J3779" s="2">
        <f t="shared" si="296"/>
        <v>0</v>
      </c>
      <c r="K3779" s="2">
        <f t="shared" si="279"/>
        <v>0</v>
      </c>
    </row>
    <row r="3780" spans="5:11">
      <c r="E3780" t="s">
        <v>120</v>
      </c>
      <c r="F3780" t="s">
        <v>796</v>
      </c>
      <c r="G3780" s="13" t="str">
        <f t="shared" si="295"/>
        <v>18-01</v>
      </c>
      <c r="H3780" s="1">
        <f>_xlfn.IFNA(VLOOKUP(Aragon!E3780,'Kilter Holds'!$P$36:$AB$370,12,0),0)</f>
        <v>0</v>
      </c>
      <c r="J3780" s="2">
        <f t="shared" si="296"/>
        <v>0</v>
      </c>
      <c r="K3780" s="2">
        <f t="shared" si="279"/>
        <v>0</v>
      </c>
    </row>
    <row r="3781" spans="5:11">
      <c r="E3781" t="s">
        <v>120</v>
      </c>
      <c r="F3781" t="s">
        <v>796</v>
      </c>
      <c r="G3781" s="12" t="str">
        <f t="shared" si="295"/>
        <v>12-01</v>
      </c>
      <c r="H3781" s="1">
        <f>_xlfn.IFNA(VLOOKUP(Aragon!E3781,'Kilter Holds'!$P$36:$AB$370,13,0),0)</f>
        <v>0</v>
      </c>
      <c r="J3781" s="2">
        <f t="shared" si="296"/>
        <v>0</v>
      </c>
      <c r="K3781" s="2">
        <f t="shared" si="279"/>
        <v>0</v>
      </c>
    </row>
    <row r="3782" spans="5:11">
      <c r="E3782" t="s">
        <v>876</v>
      </c>
      <c r="F3782" t="s">
        <v>910</v>
      </c>
      <c r="G3782" s="5" t="str">
        <f t="shared" si="280"/>
        <v>11-12</v>
      </c>
      <c r="H3782" s="1">
        <f>_xlfn.IFNA(VLOOKUP(Aragon!E3782,'Kilter Holds'!$P$36:$AB$370,5,0),0)</f>
        <v>0</v>
      </c>
      <c r="J3782" s="2">
        <f t="shared" si="296"/>
        <v>0</v>
      </c>
      <c r="K3782" s="2">
        <f t="shared" si="279"/>
        <v>0</v>
      </c>
    </row>
    <row r="3783" spans="5:11">
      <c r="E3783" t="s">
        <v>876</v>
      </c>
      <c r="F3783" t="s">
        <v>910</v>
      </c>
      <c r="G3783" s="6" t="str">
        <f t="shared" si="280"/>
        <v>14-01</v>
      </c>
      <c r="H3783" s="1">
        <f>_xlfn.IFNA(VLOOKUP(Aragon!E3783,'Kilter Holds'!$P$36:$AB$370,6,0),0)</f>
        <v>0</v>
      </c>
      <c r="J3783" s="2">
        <f t="shared" si="296"/>
        <v>0</v>
      </c>
      <c r="K3783" s="2">
        <f t="shared" si="279"/>
        <v>0</v>
      </c>
    </row>
    <row r="3784" spans="5:11">
      <c r="E3784" t="s">
        <v>876</v>
      </c>
      <c r="F3784" t="s">
        <v>910</v>
      </c>
      <c r="G3784" s="7" t="str">
        <f t="shared" si="280"/>
        <v>15-12</v>
      </c>
      <c r="H3784" s="1">
        <f>_xlfn.IFNA(VLOOKUP(Aragon!E3784,'Kilter Holds'!$P$36:$AB$370,7,0),0)</f>
        <v>0</v>
      </c>
      <c r="J3784" s="2">
        <f t="shared" si="296"/>
        <v>0</v>
      </c>
      <c r="K3784" s="2">
        <f t="shared" si="279"/>
        <v>0</v>
      </c>
    </row>
    <row r="3785" spans="5:11">
      <c r="E3785" t="s">
        <v>876</v>
      </c>
      <c r="F3785" t="s">
        <v>910</v>
      </c>
      <c r="G3785" s="8" t="str">
        <f t="shared" si="280"/>
        <v>16-16</v>
      </c>
      <c r="H3785" s="1">
        <f>_xlfn.IFNA(VLOOKUP(Aragon!E3785,'Kilter Holds'!$P$36:$AB$370,8,0),0)</f>
        <v>0</v>
      </c>
      <c r="J3785" s="2">
        <f t="shared" si="296"/>
        <v>0</v>
      </c>
      <c r="K3785" s="2">
        <f t="shared" si="279"/>
        <v>0</v>
      </c>
    </row>
    <row r="3786" spans="5:11">
      <c r="E3786" t="s">
        <v>876</v>
      </c>
      <c r="F3786" t="s">
        <v>910</v>
      </c>
      <c r="G3786" s="9" t="str">
        <f t="shared" si="280"/>
        <v>13-01</v>
      </c>
      <c r="H3786" s="1">
        <f>_xlfn.IFNA(VLOOKUP(Aragon!E3786,'Kilter Holds'!$P$36:$AB$370,9,0),0)</f>
        <v>0</v>
      </c>
      <c r="J3786" s="2">
        <f t="shared" si="296"/>
        <v>0</v>
      </c>
      <c r="K3786" s="2">
        <f t="shared" si="279"/>
        <v>0</v>
      </c>
    </row>
    <row r="3787" spans="5:11">
      <c r="E3787" t="s">
        <v>876</v>
      </c>
      <c r="F3787" t="s">
        <v>910</v>
      </c>
      <c r="G3787" s="10" t="str">
        <f t="shared" si="280"/>
        <v>07-13</v>
      </c>
      <c r="H3787" s="1">
        <f>_xlfn.IFNA(VLOOKUP(Aragon!E3787,'Kilter Holds'!$P$36:$AB$370,10,0),0)</f>
        <v>0</v>
      </c>
      <c r="J3787" s="2">
        <f t="shared" si="296"/>
        <v>0</v>
      </c>
      <c r="K3787" s="2">
        <f t="shared" si="279"/>
        <v>0</v>
      </c>
    </row>
    <row r="3788" spans="5:11">
      <c r="E3788" t="s">
        <v>876</v>
      </c>
      <c r="F3788" t="s">
        <v>910</v>
      </c>
      <c r="G3788" s="11" t="str">
        <f t="shared" si="280"/>
        <v>11-25</v>
      </c>
      <c r="H3788" s="1">
        <f>_xlfn.IFNA(VLOOKUP(Aragon!E3788,'Kilter Holds'!$P$36:$AB$370,11,0),0)</f>
        <v>0</v>
      </c>
      <c r="J3788" s="2">
        <f t="shared" si="296"/>
        <v>0</v>
      </c>
      <c r="K3788" s="2">
        <f t="shared" si="279"/>
        <v>0</v>
      </c>
    </row>
    <row r="3789" spans="5:11">
      <c r="E3789" t="s">
        <v>876</v>
      </c>
      <c r="F3789" t="s">
        <v>910</v>
      </c>
      <c r="G3789" s="13" t="str">
        <f t="shared" si="280"/>
        <v>18-01</v>
      </c>
      <c r="H3789" s="1">
        <f>_xlfn.IFNA(VLOOKUP(Aragon!E3789,'Kilter Holds'!$P$36:$AB$370,12,0),0)</f>
        <v>0</v>
      </c>
      <c r="J3789" s="2">
        <f t="shared" si="296"/>
        <v>0</v>
      </c>
      <c r="K3789" s="2">
        <f t="shared" si="279"/>
        <v>0</v>
      </c>
    </row>
    <row r="3790" spans="5:11">
      <c r="E3790" t="s">
        <v>876</v>
      </c>
      <c r="F3790" t="s">
        <v>910</v>
      </c>
      <c r="G3790" s="12" t="str">
        <f t="shared" si="280"/>
        <v>12-01</v>
      </c>
      <c r="H3790" s="1">
        <f>_xlfn.IFNA(VLOOKUP(Aragon!E3790,'Kilter Holds'!$P$36:$AB$370,13,0),0)</f>
        <v>0</v>
      </c>
      <c r="J3790" s="2">
        <f t="shared" si="296"/>
        <v>0</v>
      </c>
      <c r="K3790" s="2">
        <f t="shared" si="279"/>
        <v>0</v>
      </c>
    </row>
    <row r="3791" spans="5:11">
      <c r="E3791" t="s">
        <v>113</v>
      </c>
      <c r="F3791" t="s">
        <v>797</v>
      </c>
      <c r="G3791" s="5" t="str">
        <f t="shared" si="280"/>
        <v>11-12</v>
      </c>
      <c r="H3791" s="1">
        <f>_xlfn.IFNA(VLOOKUP(Aragon!E3791,'Kilter Holds'!$P$36:$AB$370,5,0),0)</f>
        <v>0</v>
      </c>
      <c r="J3791" s="2">
        <f t="shared" si="296"/>
        <v>0</v>
      </c>
      <c r="K3791" s="2">
        <f t="shared" si="279"/>
        <v>0</v>
      </c>
    </row>
    <row r="3792" spans="5:11">
      <c r="E3792" t="s">
        <v>113</v>
      </c>
      <c r="F3792" t="s">
        <v>797</v>
      </c>
      <c r="G3792" s="6" t="str">
        <f t="shared" si="280"/>
        <v>14-01</v>
      </c>
      <c r="H3792" s="1">
        <f>_xlfn.IFNA(VLOOKUP(Aragon!E3792,'Kilter Holds'!$P$36:$AB$370,6,0),0)</f>
        <v>0</v>
      </c>
      <c r="J3792" s="2">
        <f t="shared" si="296"/>
        <v>0</v>
      </c>
      <c r="K3792" s="2">
        <f t="shared" si="279"/>
        <v>0</v>
      </c>
    </row>
    <row r="3793" spans="5:11">
      <c r="E3793" t="s">
        <v>113</v>
      </c>
      <c r="F3793" t="s">
        <v>797</v>
      </c>
      <c r="G3793" s="7" t="str">
        <f t="shared" si="280"/>
        <v>15-12</v>
      </c>
      <c r="H3793" s="1">
        <f>_xlfn.IFNA(VLOOKUP(Aragon!E3793,'Kilter Holds'!$P$36:$AB$370,7,0),0)</f>
        <v>0</v>
      </c>
      <c r="J3793" s="2">
        <f t="shared" si="296"/>
        <v>0</v>
      </c>
      <c r="K3793" s="2">
        <f t="shared" si="279"/>
        <v>0</v>
      </c>
    </row>
    <row r="3794" spans="5:11">
      <c r="E3794" t="s">
        <v>113</v>
      </c>
      <c r="F3794" t="s">
        <v>797</v>
      </c>
      <c r="G3794" s="8" t="str">
        <f t="shared" si="280"/>
        <v>16-16</v>
      </c>
      <c r="H3794" s="1">
        <f>_xlfn.IFNA(VLOOKUP(Aragon!E3794,'Kilter Holds'!$P$36:$AB$370,8,0),0)</f>
        <v>0</v>
      </c>
      <c r="J3794" s="2">
        <f t="shared" si="296"/>
        <v>0</v>
      </c>
      <c r="K3794" s="2">
        <f t="shared" si="279"/>
        <v>0</v>
      </c>
    </row>
    <row r="3795" spans="5:11">
      <c r="E3795" t="s">
        <v>113</v>
      </c>
      <c r="F3795" t="s">
        <v>797</v>
      </c>
      <c r="G3795" s="9" t="str">
        <f t="shared" si="280"/>
        <v>13-01</v>
      </c>
      <c r="H3795" s="1">
        <f>_xlfn.IFNA(VLOOKUP(Aragon!E3795,'Kilter Holds'!$P$36:$AB$370,9,0),0)</f>
        <v>0</v>
      </c>
      <c r="J3795" s="2">
        <f t="shared" si="296"/>
        <v>0</v>
      </c>
      <c r="K3795" s="2">
        <f t="shared" si="279"/>
        <v>0</v>
      </c>
    </row>
    <row r="3796" spans="5:11">
      <c r="E3796" t="s">
        <v>113</v>
      </c>
      <c r="F3796" t="s">
        <v>797</v>
      </c>
      <c r="G3796" s="10" t="str">
        <f t="shared" si="280"/>
        <v>07-13</v>
      </c>
      <c r="H3796" s="1">
        <f>_xlfn.IFNA(VLOOKUP(Aragon!E3796,'Kilter Holds'!$P$36:$AB$370,10,0),0)</f>
        <v>0</v>
      </c>
      <c r="J3796" s="2">
        <f t="shared" si="296"/>
        <v>0</v>
      </c>
      <c r="K3796" s="2">
        <f t="shared" si="279"/>
        <v>0</v>
      </c>
    </row>
    <row r="3797" spans="5:11">
      <c r="E3797" t="s">
        <v>113</v>
      </c>
      <c r="F3797" t="s">
        <v>797</v>
      </c>
      <c r="G3797" s="11" t="str">
        <f t="shared" si="280"/>
        <v>11-25</v>
      </c>
      <c r="H3797" s="1">
        <f>_xlfn.IFNA(VLOOKUP(Aragon!E3797,'Kilter Holds'!$P$36:$AB$370,11,0),0)</f>
        <v>0</v>
      </c>
      <c r="J3797" s="2">
        <f t="shared" si="296"/>
        <v>0</v>
      </c>
      <c r="K3797" s="2">
        <f t="shared" si="279"/>
        <v>0</v>
      </c>
    </row>
    <row r="3798" spans="5:11">
      <c r="E3798" t="s">
        <v>113</v>
      </c>
      <c r="F3798" t="s">
        <v>797</v>
      </c>
      <c r="G3798" s="13" t="str">
        <f t="shared" si="280"/>
        <v>18-01</v>
      </c>
      <c r="H3798" s="1">
        <f>_xlfn.IFNA(VLOOKUP(Aragon!E3798,'Kilter Holds'!$P$36:$AB$370,12,0),0)</f>
        <v>0</v>
      </c>
      <c r="J3798" s="2">
        <f t="shared" si="296"/>
        <v>0</v>
      </c>
      <c r="K3798" s="2">
        <f t="shared" si="279"/>
        <v>0</v>
      </c>
    </row>
    <row r="3799" spans="5:11">
      <c r="E3799" t="s">
        <v>113</v>
      </c>
      <c r="F3799" t="s">
        <v>797</v>
      </c>
      <c r="G3799" s="12" t="str">
        <f t="shared" si="280"/>
        <v>12-01</v>
      </c>
      <c r="H3799" s="1">
        <f>_xlfn.IFNA(VLOOKUP(Aragon!E3799,'Kilter Holds'!$P$36:$AB$370,13,0),0)</f>
        <v>0</v>
      </c>
      <c r="J3799" s="2">
        <f t="shared" si="296"/>
        <v>0</v>
      </c>
      <c r="K3799" s="2">
        <f t="shared" si="279"/>
        <v>0</v>
      </c>
    </row>
    <row r="3800" spans="5:11">
      <c r="E3800" t="s">
        <v>114</v>
      </c>
      <c r="F3800" t="s">
        <v>798</v>
      </c>
      <c r="G3800" s="5" t="str">
        <f t="shared" si="280"/>
        <v>11-12</v>
      </c>
      <c r="H3800" s="1">
        <f>_xlfn.IFNA(VLOOKUP(Aragon!E3800,'Kilter Holds'!$P$36:$AB$370,5,0),0)</f>
        <v>0</v>
      </c>
      <c r="J3800" s="2">
        <f t="shared" si="296"/>
        <v>0</v>
      </c>
      <c r="K3800" s="2">
        <f t="shared" si="279"/>
        <v>0</v>
      </c>
    </row>
    <row r="3801" spans="5:11">
      <c r="E3801" t="s">
        <v>114</v>
      </c>
      <c r="F3801" t="s">
        <v>798</v>
      </c>
      <c r="G3801" s="6" t="str">
        <f t="shared" si="280"/>
        <v>14-01</v>
      </c>
      <c r="H3801" s="1">
        <f>_xlfn.IFNA(VLOOKUP(Aragon!E3801,'Kilter Holds'!$P$36:$AB$370,6,0),0)</f>
        <v>0</v>
      </c>
      <c r="J3801" s="2">
        <f t="shared" si="296"/>
        <v>0</v>
      </c>
      <c r="K3801" s="2">
        <f t="shared" si="279"/>
        <v>0</v>
      </c>
    </row>
    <row r="3802" spans="5:11">
      <c r="E3802" t="s">
        <v>114</v>
      </c>
      <c r="F3802" t="s">
        <v>798</v>
      </c>
      <c r="G3802" s="7" t="str">
        <f t="shared" si="280"/>
        <v>15-12</v>
      </c>
      <c r="H3802" s="1">
        <f>_xlfn.IFNA(VLOOKUP(Aragon!E3802,'Kilter Holds'!$P$36:$AB$370,7,0),0)</f>
        <v>0</v>
      </c>
      <c r="J3802" s="2">
        <f t="shared" si="296"/>
        <v>0</v>
      </c>
      <c r="K3802" s="2">
        <f t="shared" si="279"/>
        <v>0</v>
      </c>
    </row>
    <row r="3803" spans="5:11">
      <c r="E3803" t="s">
        <v>114</v>
      </c>
      <c r="F3803" t="s">
        <v>798</v>
      </c>
      <c r="G3803" s="8" t="str">
        <f t="shared" si="280"/>
        <v>16-16</v>
      </c>
      <c r="H3803" s="1">
        <f>_xlfn.IFNA(VLOOKUP(Aragon!E3803,'Kilter Holds'!$P$36:$AB$370,8,0),0)</f>
        <v>0</v>
      </c>
      <c r="J3803" s="2">
        <f t="shared" si="296"/>
        <v>0</v>
      </c>
      <c r="K3803" s="2">
        <f t="shared" si="279"/>
        <v>0</v>
      </c>
    </row>
    <row r="3804" spans="5:11">
      <c r="E3804" t="s">
        <v>114</v>
      </c>
      <c r="F3804" t="s">
        <v>798</v>
      </c>
      <c r="G3804" s="9" t="str">
        <f t="shared" si="280"/>
        <v>13-01</v>
      </c>
      <c r="H3804" s="1">
        <f>_xlfn.IFNA(VLOOKUP(Aragon!E3804,'Kilter Holds'!$P$36:$AB$370,9,0),0)</f>
        <v>0</v>
      </c>
      <c r="J3804" s="2">
        <f t="shared" si="296"/>
        <v>0</v>
      </c>
      <c r="K3804" s="2">
        <f t="shared" si="279"/>
        <v>0</v>
      </c>
    </row>
    <row r="3805" spans="5:11">
      <c r="E3805" t="s">
        <v>114</v>
      </c>
      <c r="F3805" t="s">
        <v>798</v>
      </c>
      <c r="G3805" s="10" t="str">
        <f t="shared" si="280"/>
        <v>07-13</v>
      </c>
      <c r="H3805" s="1">
        <f>_xlfn.IFNA(VLOOKUP(Aragon!E3805,'Kilter Holds'!$P$36:$AB$370,10,0),0)</f>
        <v>0</v>
      </c>
      <c r="J3805" s="2">
        <f t="shared" si="296"/>
        <v>0</v>
      </c>
      <c r="K3805" s="2">
        <f t="shared" si="279"/>
        <v>0</v>
      </c>
    </row>
    <row r="3806" spans="5:11">
      <c r="E3806" t="s">
        <v>114</v>
      </c>
      <c r="F3806" t="s">
        <v>798</v>
      </c>
      <c r="G3806" s="11" t="str">
        <f t="shared" si="280"/>
        <v>11-25</v>
      </c>
      <c r="H3806" s="1">
        <f>_xlfn.IFNA(VLOOKUP(Aragon!E3806,'Kilter Holds'!$P$36:$AB$370,11,0),0)</f>
        <v>0</v>
      </c>
      <c r="J3806" s="2">
        <f t="shared" si="296"/>
        <v>0</v>
      </c>
      <c r="K3806" s="2">
        <f t="shared" si="279"/>
        <v>0</v>
      </c>
    </row>
    <row r="3807" spans="5:11">
      <c r="E3807" t="s">
        <v>114</v>
      </c>
      <c r="F3807" t="s">
        <v>798</v>
      </c>
      <c r="G3807" s="13" t="str">
        <f t="shared" si="280"/>
        <v>18-01</v>
      </c>
      <c r="H3807" s="1">
        <f>_xlfn.IFNA(VLOOKUP(Aragon!E3807,'Kilter Holds'!$P$36:$AB$370,12,0),0)</f>
        <v>0</v>
      </c>
      <c r="J3807" s="2">
        <f t="shared" si="296"/>
        <v>0</v>
      </c>
      <c r="K3807" s="2">
        <f t="shared" si="279"/>
        <v>0</v>
      </c>
    </row>
    <row r="3808" spans="5:11">
      <c r="E3808" t="s">
        <v>114</v>
      </c>
      <c r="F3808" t="s">
        <v>798</v>
      </c>
      <c r="G3808" s="12" t="str">
        <f t="shared" si="280"/>
        <v>12-01</v>
      </c>
      <c r="H3808" s="1">
        <f>_xlfn.IFNA(VLOOKUP(Aragon!E3808,'Kilter Holds'!$P$36:$AB$370,13,0),0)</f>
        <v>0</v>
      </c>
      <c r="J3808" s="2">
        <f t="shared" si="296"/>
        <v>0</v>
      </c>
      <c r="K3808" s="2">
        <f t="shared" si="279"/>
        <v>0</v>
      </c>
    </row>
    <row r="3809" spans="5:11">
      <c r="E3809" t="s">
        <v>115</v>
      </c>
      <c r="F3809" t="s">
        <v>799</v>
      </c>
      <c r="G3809" s="5" t="str">
        <f t="shared" si="280"/>
        <v>11-12</v>
      </c>
      <c r="H3809" s="1">
        <f>_xlfn.IFNA(VLOOKUP(Aragon!E3809,'Kilter Holds'!$P$36:$AB$370,5,0),0)</f>
        <v>0</v>
      </c>
      <c r="J3809" s="2">
        <f t="shared" si="296"/>
        <v>0</v>
      </c>
      <c r="K3809" s="2">
        <f t="shared" si="279"/>
        <v>0</v>
      </c>
    </row>
    <row r="3810" spans="5:11">
      <c r="E3810" t="s">
        <v>115</v>
      </c>
      <c r="F3810" t="s">
        <v>799</v>
      </c>
      <c r="G3810" s="6" t="str">
        <f t="shared" si="280"/>
        <v>14-01</v>
      </c>
      <c r="H3810" s="1">
        <f>_xlfn.IFNA(VLOOKUP(Aragon!E3810,'Kilter Holds'!$P$36:$AB$370,6,0),0)</f>
        <v>0</v>
      </c>
      <c r="J3810" s="2">
        <f t="shared" si="296"/>
        <v>0</v>
      </c>
      <c r="K3810" s="2">
        <f t="shared" si="279"/>
        <v>0</v>
      </c>
    </row>
    <row r="3811" spans="5:11">
      <c r="E3811" t="s">
        <v>115</v>
      </c>
      <c r="F3811" t="s">
        <v>799</v>
      </c>
      <c r="G3811" s="7" t="str">
        <f t="shared" si="280"/>
        <v>15-12</v>
      </c>
      <c r="H3811" s="1">
        <f>_xlfn.IFNA(VLOOKUP(Aragon!E3811,'Kilter Holds'!$P$36:$AB$370,7,0),0)</f>
        <v>0</v>
      </c>
      <c r="J3811" s="2">
        <f t="shared" si="296"/>
        <v>0</v>
      </c>
      <c r="K3811" s="2">
        <f t="shared" si="279"/>
        <v>0</v>
      </c>
    </row>
    <row r="3812" spans="5:11">
      <c r="E3812" t="s">
        <v>115</v>
      </c>
      <c r="F3812" t="s">
        <v>799</v>
      </c>
      <c r="G3812" s="8" t="str">
        <f t="shared" si="280"/>
        <v>16-16</v>
      </c>
      <c r="H3812" s="1">
        <f>_xlfn.IFNA(VLOOKUP(Aragon!E3812,'Kilter Holds'!$P$36:$AB$370,8,0),0)</f>
        <v>0</v>
      </c>
      <c r="J3812" s="2">
        <f t="shared" si="296"/>
        <v>0</v>
      </c>
      <c r="K3812" s="2">
        <f t="shared" si="279"/>
        <v>0</v>
      </c>
    </row>
    <row r="3813" spans="5:11">
      <c r="E3813" t="s">
        <v>115</v>
      </c>
      <c r="F3813" t="s">
        <v>799</v>
      </c>
      <c r="G3813" s="9" t="str">
        <f t="shared" si="280"/>
        <v>13-01</v>
      </c>
      <c r="H3813" s="1">
        <f>_xlfn.IFNA(VLOOKUP(Aragon!E3813,'Kilter Holds'!$P$36:$AB$370,9,0),0)</f>
        <v>0</v>
      </c>
      <c r="J3813" s="2">
        <f t="shared" si="296"/>
        <v>0</v>
      </c>
      <c r="K3813" s="2">
        <f t="shared" ref="K3813:K3876" si="297">IF($V$11="Y",J3813*0.05,0)</f>
        <v>0</v>
      </c>
    </row>
    <row r="3814" spans="5:11">
      <c r="E3814" t="s">
        <v>115</v>
      </c>
      <c r="F3814" t="s">
        <v>799</v>
      </c>
      <c r="G3814" s="10" t="str">
        <f t="shared" ref="G3814:G3877" si="298">G3805</f>
        <v>07-13</v>
      </c>
      <c r="H3814" s="1">
        <f>_xlfn.IFNA(VLOOKUP(Aragon!E3814,'Kilter Holds'!$P$36:$AB$370,10,0),0)</f>
        <v>0</v>
      </c>
      <c r="J3814" s="2">
        <f t="shared" si="296"/>
        <v>0</v>
      </c>
      <c r="K3814" s="2">
        <f t="shared" si="297"/>
        <v>0</v>
      </c>
    </row>
    <row r="3815" spans="5:11">
      <c r="E3815" t="s">
        <v>115</v>
      </c>
      <c r="F3815" t="s">
        <v>799</v>
      </c>
      <c r="G3815" s="11" t="str">
        <f t="shared" si="298"/>
        <v>11-25</v>
      </c>
      <c r="H3815" s="1">
        <f>_xlfn.IFNA(VLOOKUP(Aragon!E3815,'Kilter Holds'!$P$36:$AB$370,11,0),0)</f>
        <v>0</v>
      </c>
      <c r="J3815" s="2">
        <f t="shared" si="296"/>
        <v>0</v>
      </c>
      <c r="K3815" s="2">
        <f t="shared" si="297"/>
        <v>0</v>
      </c>
    </row>
    <row r="3816" spans="5:11">
      <c r="E3816" t="s">
        <v>115</v>
      </c>
      <c r="F3816" t="s">
        <v>799</v>
      </c>
      <c r="G3816" s="13" t="str">
        <f t="shared" si="298"/>
        <v>18-01</v>
      </c>
      <c r="H3816" s="1">
        <f>_xlfn.IFNA(VLOOKUP(Aragon!E3816,'Kilter Holds'!$P$36:$AB$370,12,0),0)</f>
        <v>0</v>
      </c>
      <c r="J3816" s="2">
        <f t="shared" si="296"/>
        <v>0</v>
      </c>
      <c r="K3816" s="2">
        <f t="shared" si="297"/>
        <v>0</v>
      </c>
    </row>
    <row r="3817" spans="5:11">
      <c r="E3817" t="s">
        <v>115</v>
      </c>
      <c r="F3817" t="s">
        <v>799</v>
      </c>
      <c r="G3817" s="12" t="str">
        <f t="shared" si="298"/>
        <v>12-01</v>
      </c>
      <c r="H3817" s="1">
        <f>_xlfn.IFNA(VLOOKUP(Aragon!E3817,'Kilter Holds'!$P$36:$AB$370,13,0),0)</f>
        <v>0</v>
      </c>
      <c r="J3817" s="2">
        <f t="shared" si="296"/>
        <v>0</v>
      </c>
      <c r="K3817" s="2">
        <f t="shared" si="297"/>
        <v>0</v>
      </c>
    </row>
    <row r="3818" spans="5:11">
      <c r="E3818" t="s">
        <v>118</v>
      </c>
      <c r="F3818" t="s">
        <v>800</v>
      </c>
      <c r="G3818" s="5" t="str">
        <f t="shared" si="298"/>
        <v>11-12</v>
      </c>
      <c r="H3818" s="1">
        <f>_xlfn.IFNA(VLOOKUP(Aragon!E3818,'Kilter Holds'!$P$36:$AB$370,5,0),0)</f>
        <v>0</v>
      </c>
      <c r="J3818" s="2">
        <f t="shared" si="296"/>
        <v>0</v>
      </c>
      <c r="K3818" s="2">
        <f t="shared" si="297"/>
        <v>0</v>
      </c>
    </row>
    <row r="3819" spans="5:11">
      <c r="E3819" t="s">
        <v>118</v>
      </c>
      <c r="F3819" t="s">
        <v>800</v>
      </c>
      <c r="G3819" s="6" t="str">
        <f t="shared" si="298"/>
        <v>14-01</v>
      </c>
      <c r="H3819" s="1">
        <f>_xlfn.IFNA(VLOOKUP(Aragon!E3819,'Kilter Holds'!$P$36:$AB$370,6,0),0)</f>
        <v>0</v>
      </c>
      <c r="J3819" s="2">
        <f t="shared" si="296"/>
        <v>0</v>
      </c>
      <c r="K3819" s="2">
        <f t="shared" si="297"/>
        <v>0</v>
      </c>
    </row>
    <row r="3820" spans="5:11">
      <c r="E3820" t="s">
        <v>118</v>
      </c>
      <c r="F3820" t="s">
        <v>800</v>
      </c>
      <c r="G3820" s="7" t="str">
        <f t="shared" si="298"/>
        <v>15-12</v>
      </c>
      <c r="H3820" s="1">
        <f>_xlfn.IFNA(VLOOKUP(Aragon!E3820,'Kilter Holds'!$P$36:$AB$370,7,0),0)</f>
        <v>0</v>
      </c>
      <c r="J3820" s="2">
        <f t="shared" si="296"/>
        <v>0</v>
      </c>
      <c r="K3820" s="2">
        <f t="shared" si="297"/>
        <v>0</v>
      </c>
    </row>
    <row r="3821" spans="5:11">
      <c r="E3821" t="s">
        <v>118</v>
      </c>
      <c r="F3821" t="s">
        <v>800</v>
      </c>
      <c r="G3821" s="8" t="str">
        <f t="shared" si="298"/>
        <v>16-16</v>
      </c>
      <c r="H3821" s="1">
        <f>_xlfn.IFNA(VLOOKUP(Aragon!E3821,'Kilter Holds'!$P$36:$AB$370,8,0),0)</f>
        <v>0</v>
      </c>
      <c r="J3821" s="2">
        <f t="shared" si="296"/>
        <v>0</v>
      </c>
      <c r="K3821" s="2">
        <f t="shared" si="297"/>
        <v>0</v>
      </c>
    </row>
    <row r="3822" spans="5:11">
      <c r="E3822" t="s">
        <v>118</v>
      </c>
      <c r="F3822" t="s">
        <v>800</v>
      </c>
      <c r="G3822" s="9" t="str">
        <f t="shared" si="298"/>
        <v>13-01</v>
      </c>
      <c r="H3822" s="1">
        <f>_xlfn.IFNA(VLOOKUP(Aragon!E3822,'Kilter Holds'!$P$36:$AB$370,9,0),0)</f>
        <v>0</v>
      </c>
      <c r="J3822" s="2">
        <f t="shared" si="296"/>
        <v>0</v>
      </c>
      <c r="K3822" s="2">
        <f t="shared" si="297"/>
        <v>0</v>
      </c>
    </row>
    <row r="3823" spans="5:11">
      <c r="E3823" t="s">
        <v>118</v>
      </c>
      <c r="F3823" t="s">
        <v>800</v>
      </c>
      <c r="G3823" s="10" t="str">
        <f t="shared" si="298"/>
        <v>07-13</v>
      </c>
      <c r="H3823" s="1">
        <f>_xlfn.IFNA(VLOOKUP(Aragon!E3823,'Kilter Holds'!$P$36:$AB$370,10,0),0)</f>
        <v>0</v>
      </c>
      <c r="J3823" s="2">
        <f t="shared" si="296"/>
        <v>0</v>
      </c>
      <c r="K3823" s="2">
        <f t="shared" si="297"/>
        <v>0</v>
      </c>
    </row>
    <row r="3824" spans="5:11">
      <c r="E3824" t="s">
        <v>118</v>
      </c>
      <c r="F3824" t="s">
        <v>800</v>
      </c>
      <c r="G3824" s="11" t="str">
        <f t="shared" si="298"/>
        <v>11-25</v>
      </c>
      <c r="H3824" s="1">
        <f>_xlfn.IFNA(VLOOKUP(Aragon!E3824,'Kilter Holds'!$P$36:$AB$370,11,0),0)</f>
        <v>0</v>
      </c>
      <c r="J3824" s="2">
        <f t="shared" si="296"/>
        <v>0</v>
      </c>
      <c r="K3824" s="2">
        <f t="shared" si="297"/>
        <v>0</v>
      </c>
    </row>
    <row r="3825" spans="5:11">
      <c r="E3825" t="s">
        <v>118</v>
      </c>
      <c r="F3825" t="s">
        <v>800</v>
      </c>
      <c r="G3825" s="13" t="str">
        <f t="shared" si="298"/>
        <v>18-01</v>
      </c>
      <c r="H3825" s="1">
        <f>_xlfn.IFNA(VLOOKUP(Aragon!E3825,'Kilter Holds'!$P$36:$AB$370,12,0),0)</f>
        <v>0</v>
      </c>
      <c r="J3825" s="2">
        <f t="shared" si="296"/>
        <v>0</v>
      </c>
      <c r="K3825" s="2">
        <f t="shared" si="297"/>
        <v>0</v>
      </c>
    </row>
    <row r="3826" spans="5:11">
      <c r="E3826" t="s">
        <v>118</v>
      </c>
      <c r="F3826" t="s">
        <v>800</v>
      </c>
      <c r="G3826" s="12" t="str">
        <f t="shared" si="298"/>
        <v>12-01</v>
      </c>
      <c r="H3826" s="1">
        <f>_xlfn.IFNA(VLOOKUP(Aragon!E3826,'Kilter Holds'!$P$36:$AB$370,13,0),0)</f>
        <v>0</v>
      </c>
      <c r="J3826" s="2">
        <f t="shared" si="296"/>
        <v>0</v>
      </c>
      <c r="K3826" s="2">
        <f t="shared" si="297"/>
        <v>0</v>
      </c>
    </row>
    <row r="3827" spans="5:11">
      <c r="E3827" t="s">
        <v>116</v>
      </c>
      <c r="F3827" t="s">
        <v>801</v>
      </c>
      <c r="G3827" s="5" t="str">
        <f t="shared" si="298"/>
        <v>11-12</v>
      </c>
      <c r="H3827" s="1">
        <f>_xlfn.IFNA(VLOOKUP(Aragon!E3827,'Kilter Holds'!$P$36:$AB$370,5,0),0)</f>
        <v>0</v>
      </c>
      <c r="J3827" s="2">
        <f t="shared" si="296"/>
        <v>0</v>
      </c>
      <c r="K3827" s="2">
        <f t="shared" si="297"/>
        <v>0</v>
      </c>
    </row>
    <row r="3828" spans="5:11">
      <c r="E3828" t="s">
        <v>116</v>
      </c>
      <c r="F3828" t="s">
        <v>801</v>
      </c>
      <c r="G3828" s="6" t="str">
        <f t="shared" si="298"/>
        <v>14-01</v>
      </c>
      <c r="H3828" s="1">
        <f>_xlfn.IFNA(VLOOKUP(Aragon!E3828,'Kilter Holds'!$P$36:$AB$370,6,0),0)</f>
        <v>0</v>
      </c>
      <c r="J3828" s="2">
        <f t="shared" si="296"/>
        <v>0</v>
      </c>
      <c r="K3828" s="2">
        <f t="shared" si="297"/>
        <v>0</v>
      </c>
    </row>
    <row r="3829" spans="5:11">
      <c r="E3829" t="s">
        <v>116</v>
      </c>
      <c r="F3829" t="s">
        <v>801</v>
      </c>
      <c r="G3829" s="7" t="str">
        <f t="shared" si="298"/>
        <v>15-12</v>
      </c>
      <c r="H3829" s="1">
        <f>_xlfn.IFNA(VLOOKUP(Aragon!E3829,'Kilter Holds'!$P$36:$AB$370,7,0),0)</f>
        <v>0</v>
      </c>
      <c r="J3829" s="2">
        <f t="shared" si="296"/>
        <v>0</v>
      </c>
      <c r="K3829" s="2">
        <f t="shared" si="297"/>
        <v>0</v>
      </c>
    </row>
    <row r="3830" spans="5:11">
      <c r="E3830" t="s">
        <v>116</v>
      </c>
      <c r="F3830" t="s">
        <v>801</v>
      </c>
      <c r="G3830" s="8" t="str">
        <f t="shared" si="298"/>
        <v>16-16</v>
      </c>
      <c r="H3830" s="1">
        <f>_xlfn.IFNA(VLOOKUP(Aragon!E3830,'Kilter Holds'!$P$36:$AB$370,8,0),0)</f>
        <v>0</v>
      </c>
      <c r="J3830" s="2">
        <f t="shared" si="296"/>
        <v>0</v>
      </c>
      <c r="K3830" s="2">
        <f t="shared" si="297"/>
        <v>0</v>
      </c>
    </row>
    <row r="3831" spans="5:11">
      <c r="E3831" t="s">
        <v>116</v>
      </c>
      <c r="F3831" t="s">
        <v>801</v>
      </c>
      <c r="G3831" s="9" t="str">
        <f t="shared" si="298"/>
        <v>13-01</v>
      </c>
      <c r="H3831" s="1">
        <f>_xlfn.IFNA(VLOOKUP(Aragon!E3831,'Kilter Holds'!$P$36:$AB$370,9,0),0)</f>
        <v>0</v>
      </c>
      <c r="J3831" s="2">
        <f t="shared" si="296"/>
        <v>0</v>
      </c>
      <c r="K3831" s="2">
        <f t="shared" si="297"/>
        <v>0</v>
      </c>
    </row>
    <row r="3832" spans="5:11">
      <c r="E3832" t="s">
        <v>116</v>
      </c>
      <c r="F3832" t="s">
        <v>801</v>
      </c>
      <c r="G3832" s="10" t="str">
        <f t="shared" si="298"/>
        <v>07-13</v>
      </c>
      <c r="H3832" s="1">
        <f>_xlfn.IFNA(VLOOKUP(Aragon!E3832,'Kilter Holds'!$P$36:$AB$370,10,0),0)</f>
        <v>0</v>
      </c>
      <c r="J3832" s="2">
        <f t="shared" si="296"/>
        <v>0</v>
      </c>
      <c r="K3832" s="2">
        <f t="shared" si="297"/>
        <v>0</v>
      </c>
    </row>
    <row r="3833" spans="5:11">
      <c r="E3833" t="s">
        <v>116</v>
      </c>
      <c r="F3833" t="s">
        <v>801</v>
      </c>
      <c r="G3833" s="11" t="str">
        <f t="shared" si="298"/>
        <v>11-25</v>
      </c>
      <c r="H3833" s="1">
        <f>_xlfn.IFNA(VLOOKUP(Aragon!E3833,'Kilter Holds'!$P$36:$AB$370,11,0),0)</f>
        <v>0</v>
      </c>
      <c r="J3833" s="2">
        <f t="shared" si="296"/>
        <v>0</v>
      </c>
      <c r="K3833" s="2">
        <f t="shared" si="297"/>
        <v>0</v>
      </c>
    </row>
    <row r="3834" spans="5:11">
      <c r="E3834" t="s">
        <v>116</v>
      </c>
      <c r="F3834" t="s">
        <v>801</v>
      </c>
      <c r="G3834" s="13" t="str">
        <f t="shared" si="298"/>
        <v>18-01</v>
      </c>
      <c r="H3834" s="1">
        <f>_xlfn.IFNA(VLOOKUP(Aragon!E3834,'Kilter Holds'!$P$36:$AB$370,12,0),0)</f>
        <v>0</v>
      </c>
      <c r="J3834" s="2">
        <f t="shared" si="296"/>
        <v>0</v>
      </c>
      <c r="K3834" s="2">
        <f t="shared" si="297"/>
        <v>0</v>
      </c>
    </row>
    <row r="3835" spans="5:11">
      <c r="E3835" t="s">
        <v>116</v>
      </c>
      <c r="F3835" t="s">
        <v>801</v>
      </c>
      <c r="G3835" s="12" t="str">
        <f t="shared" si="298"/>
        <v>12-01</v>
      </c>
      <c r="H3835" s="1">
        <f>_xlfn.IFNA(VLOOKUP(Aragon!E3835,'Kilter Holds'!$P$36:$AB$370,13,0),0)</f>
        <v>0</v>
      </c>
      <c r="J3835" s="2">
        <f t="shared" si="296"/>
        <v>0</v>
      </c>
      <c r="K3835" s="2">
        <f t="shared" si="297"/>
        <v>0</v>
      </c>
    </row>
    <row r="3836" spans="5:11">
      <c r="E3836" t="s">
        <v>117</v>
      </c>
      <c r="F3836" t="s">
        <v>802</v>
      </c>
      <c r="G3836" s="5" t="str">
        <f t="shared" si="298"/>
        <v>11-12</v>
      </c>
      <c r="H3836" s="1">
        <f>_xlfn.IFNA(VLOOKUP(Aragon!E3836,'Kilter Holds'!$P$36:$AB$370,5,0),0)</f>
        <v>0</v>
      </c>
      <c r="J3836" s="2">
        <f t="shared" si="296"/>
        <v>0</v>
      </c>
      <c r="K3836" s="2">
        <f t="shared" si="297"/>
        <v>0</v>
      </c>
    </row>
    <row r="3837" spans="5:11">
      <c r="E3837" t="s">
        <v>117</v>
      </c>
      <c r="F3837" t="s">
        <v>802</v>
      </c>
      <c r="G3837" s="6" t="str">
        <f t="shared" si="298"/>
        <v>14-01</v>
      </c>
      <c r="H3837" s="1">
        <f>_xlfn.IFNA(VLOOKUP(Aragon!E3837,'Kilter Holds'!$P$36:$AB$370,6,0),0)</f>
        <v>0</v>
      </c>
      <c r="J3837" s="2">
        <f t="shared" si="296"/>
        <v>0</v>
      </c>
      <c r="K3837" s="2">
        <f t="shared" si="297"/>
        <v>0</v>
      </c>
    </row>
    <row r="3838" spans="5:11">
      <c r="E3838" t="s">
        <v>117</v>
      </c>
      <c r="F3838" t="s">
        <v>802</v>
      </c>
      <c r="G3838" s="7" t="str">
        <f t="shared" si="298"/>
        <v>15-12</v>
      </c>
      <c r="H3838" s="1">
        <f>_xlfn.IFNA(VLOOKUP(Aragon!E3838,'Kilter Holds'!$P$36:$AB$370,7,0),0)</f>
        <v>0</v>
      </c>
      <c r="J3838" s="2">
        <f t="shared" si="296"/>
        <v>0</v>
      </c>
      <c r="K3838" s="2">
        <f t="shared" si="297"/>
        <v>0</v>
      </c>
    </row>
    <row r="3839" spans="5:11">
      <c r="E3839" t="s">
        <v>117</v>
      </c>
      <c r="F3839" t="s">
        <v>802</v>
      </c>
      <c r="G3839" s="8" t="str">
        <f t="shared" si="298"/>
        <v>16-16</v>
      </c>
      <c r="H3839" s="1">
        <f>_xlfn.IFNA(VLOOKUP(Aragon!E3839,'Kilter Holds'!$P$36:$AB$370,8,0),0)</f>
        <v>0</v>
      </c>
      <c r="J3839" s="2">
        <f t="shared" ref="J3839:J3992" si="299">H3839*I3839</f>
        <v>0</v>
      </c>
      <c r="K3839" s="2">
        <f t="shared" si="297"/>
        <v>0</v>
      </c>
    </row>
    <row r="3840" spans="5:11">
      <c r="E3840" t="s">
        <v>117</v>
      </c>
      <c r="F3840" t="s">
        <v>802</v>
      </c>
      <c r="G3840" s="9" t="str">
        <f t="shared" si="298"/>
        <v>13-01</v>
      </c>
      <c r="H3840" s="1">
        <f>_xlfn.IFNA(VLOOKUP(Aragon!E3840,'Kilter Holds'!$P$36:$AB$370,9,0),0)</f>
        <v>0</v>
      </c>
      <c r="J3840" s="2">
        <f t="shared" si="299"/>
        <v>0</v>
      </c>
      <c r="K3840" s="2">
        <f t="shared" si="297"/>
        <v>0</v>
      </c>
    </row>
    <row r="3841" spans="5:11">
      <c r="E3841" t="s">
        <v>117</v>
      </c>
      <c r="F3841" t="s">
        <v>802</v>
      </c>
      <c r="G3841" s="10" t="str">
        <f t="shared" si="298"/>
        <v>07-13</v>
      </c>
      <c r="H3841" s="1">
        <f>_xlfn.IFNA(VLOOKUP(Aragon!E3841,'Kilter Holds'!$P$36:$AB$370,10,0),0)</f>
        <v>0</v>
      </c>
      <c r="J3841" s="2">
        <f t="shared" si="299"/>
        <v>0</v>
      </c>
      <c r="K3841" s="2">
        <f t="shared" si="297"/>
        <v>0</v>
      </c>
    </row>
    <row r="3842" spans="5:11">
      <c r="E3842" t="s">
        <v>117</v>
      </c>
      <c r="F3842" t="s">
        <v>802</v>
      </c>
      <c r="G3842" s="11" t="str">
        <f t="shared" si="298"/>
        <v>11-25</v>
      </c>
      <c r="H3842" s="1">
        <f>_xlfn.IFNA(VLOOKUP(Aragon!E3842,'Kilter Holds'!$P$36:$AB$370,11,0),0)</f>
        <v>0</v>
      </c>
      <c r="J3842" s="2">
        <f t="shared" si="299"/>
        <v>0</v>
      </c>
      <c r="K3842" s="2">
        <f t="shared" si="297"/>
        <v>0</v>
      </c>
    </row>
    <row r="3843" spans="5:11">
      <c r="E3843" t="s">
        <v>117</v>
      </c>
      <c r="F3843" t="s">
        <v>802</v>
      </c>
      <c r="G3843" s="13" t="str">
        <f t="shared" si="298"/>
        <v>18-01</v>
      </c>
      <c r="H3843" s="1">
        <f>_xlfn.IFNA(VLOOKUP(Aragon!E3843,'Kilter Holds'!$P$36:$AB$370,12,0),0)</f>
        <v>0</v>
      </c>
      <c r="J3843" s="2">
        <f t="shared" si="299"/>
        <v>0</v>
      </c>
      <c r="K3843" s="2">
        <f t="shared" si="297"/>
        <v>0</v>
      </c>
    </row>
    <row r="3844" spans="5:11">
      <c r="E3844" t="s">
        <v>117</v>
      </c>
      <c r="F3844" t="s">
        <v>802</v>
      </c>
      <c r="G3844" s="12" t="str">
        <f t="shared" si="298"/>
        <v>12-01</v>
      </c>
      <c r="H3844" s="1">
        <f>_xlfn.IFNA(VLOOKUP(Aragon!E3844,'Kilter Holds'!$P$36:$AB$370,13,0),0)</f>
        <v>0</v>
      </c>
      <c r="J3844" s="2">
        <f t="shared" si="299"/>
        <v>0</v>
      </c>
      <c r="K3844" s="2">
        <f t="shared" si="297"/>
        <v>0</v>
      </c>
    </row>
    <row r="3845" spans="5:11">
      <c r="E3845" t="s">
        <v>123</v>
      </c>
      <c r="F3845" t="s">
        <v>803</v>
      </c>
      <c r="G3845" s="5" t="str">
        <f t="shared" si="298"/>
        <v>11-12</v>
      </c>
      <c r="H3845" s="1">
        <f>_xlfn.IFNA(VLOOKUP(Aragon!E3845,'Kilter Holds'!$P$36:$AB$370,5,0),0)</f>
        <v>0</v>
      </c>
      <c r="J3845" s="2">
        <f t="shared" si="299"/>
        <v>0</v>
      </c>
      <c r="K3845" s="2">
        <f t="shared" si="297"/>
        <v>0</v>
      </c>
    </row>
    <row r="3846" spans="5:11">
      <c r="E3846" t="s">
        <v>123</v>
      </c>
      <c r="F3846" t="s">
        <v>803</v>
      </c>
      <c r="G3846" s="6" t="str">
        <f t="shared" si="298"/>
        <v>14-01</v>
      </c>
      <c r="H3846" s="1">
        <f>_xlfn.IFNA(VLOOKUP(Aragon!E3846,'Kilter Holds'!$P$36:$AB$370,6,0),0)</f>
        <v>0</v>
      </c>
      <c r="J3846" s="2">
        <f t="shared" si="299"/>
        <v>0</v>
      </c>
      <c r="K3846" s="2">
        <f t="shared" si="297"/>
        <v>0</v>
      </c>
    </row>
    <row r="3847" spans="5:11">
      <c r="E3847" t="s">
        <v>123</v>
      </c>
      <c r="F3847" t="s">
        <v>803</v>
      </c>
      <c r="G3847" s="7" t="str">
        <f t="shared" si="298"/>
        <v>15-12</v>
      </c>
      <c r="H3847" s="1">
        <f>_xlfn.IFNA(VLOOKUP(Aragon!E3847,'Kilter Holds'!$P$36:$AB$370,7,0),0)</f>
        <v>0</v>
      </c>
      <c r="J3847" s="2">
        <f t="shared" si="299"/>
        <v>0</v>
      </c>
      <c r="K3847" s="2">
        <f t="shared" si="297"/>
        <v>0</v>
      </c>
    </row>
    <row r="3848" spans="5:11">
      <c r="E3848" t="s">
        <v>123</v>
      </c>
      <c r="F3848" t="s">
        <v>803</v>
      </c>
      <c r="G3848" s="8" t="str">
        <f t="shared" si="298"/>
        <v>16-16</v>
      </c>
      <c r="H3848" s="1">
        <f>_xlfn.IFNA(VLOOKUP(Aragon!E3848,'Kilter Holds'!$P$36:$AB$370,8,0),0)</f>
        <v>0</v>
      </c>
      <c r="J3848" s="2">
        <f t="shared" si="299"/>
        <v>0</v>
      </c>
      <c r="K3848" s="2">
        <f t="shared" si="297"/>
        <v>0</v>
      </c>
    </row>
    <row r="3849" spans="5:11">
      <c r="E3849" t="s">
        <v>123</v>
      </c>
      <c r="F3849" t="s">
        <v>803</v>
      </c>
      <c r="G3849" s="9" t="str">
        <f t="shared" si="298"/>
        <v>13-01</v>
      </c>
      <c r="H3849" s="1">
        <f>_xlfn.IFNA(VLOOKUP(Aragon!E3849,'Kilter Holds'!$P$36:$AB$370,9,0),0)</f>
        <v>0</v>
      </c>
      <c r="J3849" s="2">
        <f t="shared" si="299"/>
        <v>0</v>
      </c>
      <c r="K3849" s="2">
        <f t="shared" si="297"/>
        <v>0</v>
      </c>
    </row>
    <row r="3850" spans="5:11">
      <c r="E3850" t="s">
        <v>123</v>
      </c>
      <c r="F3850" t="s">
        <v>803</v>
      </c>
      <c r="G3850" s="10" t="str">
        <f t="shared" si="298"/>
        <v>07-13</v>
      </c>
      <c r="H3850" s="1">
        <f>_xlfn.IFNA(VLOOKUP(Aragon!E3850,'Kilter Holds'!$P$36:$AB$370,10,0),0)</f>
        <v>0</v>
      </c>
      <c r="J3850" s="2">
        <f t="shared" si="299"/>
        <v>0</v>
      </c>
      <c r="K3850" s="2">
        <f t="shared" si="297"/>
        <v>0</v>
      </c>
    </row>
    <row r="3851" spans="5:11">
      <c r="E3851" t="s">
        <v>123</v>
      </c>
      <c r="F3851" t="s">
        <v>803</v>
      </c>
      <c r="G3851" s="11" t="str">
        <f t="shared" si="298"/>
        <v>11-25</v>
      </c>
      <c r="H3851" s="1">
        <f>_xlfn.IFNA(VLOOKUP(Aragon!E3851,'Kilter Holds'!$P$36:$AB$370,11,0),0)</f>
        <v>0</v>
      </c>
      <c r="J3851" s="2">
        <f t="shared" si="299"/>
        <v>0</v>
      </c>
      <c r="K3851" s="2">
        <f t="shared" si="297"/>
        <v>0</v>
      </c>
    </row>
    <row r="3852" spans="5:11">
      <c r="E3852" t="s">
        <v>123</v>
      </c>
      <c r="F3852" t="s">
        <v>803</v>
      </c>
      <c r="G3852" s="13" t="str">
        <f t="shared" si="298"/>
        <v>18-01</v>
      </c>
      <c r="H3852" s="1">
        <f>_xlfn.IFNA(VLOOKUP(Aragon!E3852,'Kilter Holds'!$P$36:$AB$370,12,0),0)</f>
        <v>0</v>
      </c>
      <c r="J3852" s="2">
        <f t="shared" si="299"/>
        <v>0</v>
      </c>
      <c r="K3852" s="2">
        <f t="shared" si="297"/>
        <v>0</v>
      </c>
    </row>
    <row r="3853" spans="5:11">
      <c r="E3853" t="s">
        <v>123</v>
      </c>
      <c r="F3853" t="s">
        <v>803</v>
      </c>
      <c r="G3853" s="12" t="str">
        <f t="shared" si="298"/>
        <v>12-01</v>
      </c>
      <c r="H3853" s="1">
        <f>_xlfn.IFNA(VLOOKUP(Aragon!E3853,'Kilter Holds'!$P$36:$AB$370,13,0),0)</f>
        <v>0</v>
      </c>
      <c r="J3853" s="2">
        <f t="shared" si="299"/>
        <v>0</v>
      </c>
      <c r="K3853" s="2">
        <f t="shared" si="297"/>
        <v>0</v>
      </c>
    </row>
    <row r="3854" spans="5:11">
      <c r="E3854" t="s">
        <v>124</v>
      </c>
      <c r="F3854" t="s">
        <v>804</v>
      </c>
      <c r="G3854" s="5" t="str">
        <f t="shared" si="298"/>
        <v>11-12</v>
      </c>
      <c r="H3854" s="1">
        <f>_xlfn.IFNA(VLOOKUP(Aragon!E3854,'Kilter Holds'!$P$36:$AB$370,5,0),0)</f>
        <v>0</v>
      </c>
      <c r="J3854" s="2">
        <f t="shared" si="299"/>
        <v>0</v>
      </c>
      <c r="K3854" s="2">
        <f t="shared" si="297"/>
        <v>0</v>
      </c>
    </row>
    <row r="3855" spans="5:11">
      <c r="E3855" t="s">
        <v>124</v>
      </c>
      <c r="F3855" t="s">
        <v>804</v>
      </c>
      <c r="G3855" s="6" t="str">
        <f t="shared" si="298"/>
        <v>14-01</v>
      </c>
      <c r="H3855" s="1">
        <f>_xlfn.IFNA(VLOOKUP(Aragon!E3855,'Kilter Holds'!$P$36:$AB$370,6,0),0)</f>
        <v>0</v>
      </c>
      <c r="J3855" s="2">
        <f t="shared" si="299"/>
        <v>0</v>
      </c>
      <c r="K3855" s="2">
        <f t="shared" si="297"/>
        <v>0</v>
      </c>
    </row>
    <row r="3856" spans="5:11">
      <c r="E3856" t="s">
        <v>124</v>
      </c>
      <c r="F3856" t="s">
        <v>804</v>
      </c>
      <c r="G3856" s="7" t="str">
        <f t="shared" si="298"/>
        <v>15-12</v>
      </c>
      <c r="H3856" s="1">
        <f>_xlfn.IFNA(VLOOKUP(Aragon!E3856,'Kilter Holds'!$P$36:$AB$370,7,0),0)</f>
        <v>0</v>
      </c>
      <c r="J3856" s="2">
        <f t="shared" si="299"/>
        <v>0</v>
      </c>
      <c r="K3856" s="2">
        <f t="shared" si="297"/>
        <v>0</v>
      </c>
    </row>
    <row r="3857" spans="5:11">
      <c r="E3857" t="s">
        <v>124</v>
      </c>
      <c r="F3857" t="s">
        <v>804</v>
      </c>
      <c r="G3857" s="8" t="str">
        <f t="shared" si="298"/>
        <v>16-16</v>
      </c>
      <c r="H3857" s="1">
        <f>_xlfn.IFNA(VLOOKUP(Aragon!E3857,'Kilter Holds'!$P$36:$AB$370,8,0),0)</f>
        <v>0</v>
      </c>
      <c r="J3857" s="2">
        <f t="shared" si="299"/>
        <v>0</v>
      </c>
      <c r="K3857" s="2">
        <f t="shared" si="297"/>
        <v>0</v>
      </c>
    </row>
    <row r="3858" spans="5:11">
      <c r="E3858" t="s">
        <v>124</v>
      </c>
      <c r="F3858" t="s">
        <v>804</v>
      </c>
      <c r="G3858" s="9" t="str">
        <f t="shared" si="298"/>
        <v>13-01</v>
      </c>
      <c r="H3858" s="1">
        <f>_xlfn.IFNA(VLOOKUP(Aragon!E3858,'Kilter Holds'!$P$36:$AB$370,9,0),0)</f>
        <v>0</v>
      </c>
      <c r="J3858" s="2">
        <f t="shared" si="299"/>
        <v>0</v>
      </c>
      <c r="K3858" s="2">
        <f t="shared" si="297"/>
        <v>0</v>
      </c>
    </row>
    <row r="3859" spans="5:11">
      <c r="E3859" t="s">
        <v>124</v>
      </c>
      <c r="F3859" t="s">
        <v>804</v>
      </c>
      <c r="G3859" s="10" t="str">
        <f t="shared" si="298"/>
        <v>07-13</v>
      </c>
      <c r="H3859" s="1">
        <f>_xlfn.IFNA(VLOOKUP(Aragon!E3859,'Kilter Holds'!$P$36:$AB$370,10,0),0)</f>
        <v>0</v>
      </c>
      <c r="J3859" s="2">
        <f t="shared" si="299"/>
        <v>0</v>
      </c>
      <c r="K3859" s="2">
        <f t="shared" si="297"/>
        <v>0</v>
      </c>
    </row>
    <row r="3860" spans="5:11">
      <c r="E3860" t="s">
        <v>124</v>
      </c>
      <c r="F3860" t="s">
        <v>804</v>
      </c>
      <c r="G3860" s="11" t="str">
        <f t="shared" si="298"/>
        <v>11-25</v>
      </c>
      <c r="H3860" s="1">
        <f>_xlfn.IFNA(VLOOKUP(Aragon!E3860,'Kilter Holds'!$P$36:$AB$370,11,0),0)</f>
        <v>0</v>
      </c>
      <c r="J3860" s="2">
        <f t="shared" si="299"/>
        <v>0</v>
      </c>
      <c r="K3860" s="2">
        <f t="shared" si="297"/>
        <v>0</v>
      </c>
    </row>
    <row r="3861" spans="5:11">
      <c r="E3861" t="s">
        <v>124</v>
      </c>
      <c r="F3861" t="s">
        <v>804</v>
      </c>
      <c r="G3861" s="13" t="str">
        <f t="shared" si="298"/>
        <v>18-01</v>
      </c>
      <c r="H3861" s="1">
        <f>_xlfn.IFNA(VLOOKUP(Aragon!E3861,'Kilter Holds'!$P$36:$AB$370,12,0),0)</f>
        <v>0</v>
      </c>
      <c r="J3861" s="2">
        <f t="shared" si="299"/>
        <v>0</v>
      </c>
      <c r="K3861" s="2">
        <f t="shared" si="297"/>
        <v>0</v>
      </c>
    </row>
    <row r="3862" spans="5:11">
      <c r="E3862" t="s">
        <v>124</v>
      </c>
      <c r="F3862" t="s">
        <v>804</v>
      </c>
      <c r="G3862" s="12" t="str">
        <f t="shared" si="298"/>
        <v>12-01</v>
      </c>
      <c r="H3862" s="1">
        <f>_xlfn.IFNA(VLOOKUP(Aragon!E3862,'Kilter Holds'!$P$36:$AB$370,13,0),0)</f>
        <v>0</v>
      </c>
      <c r="J3862" s="2">
        <f t="shared" si="299"/>
        <v>0</v>
      </c>
      <c r="K3862" s="2">
        <f t="shared" si="297"/>
        <v>0</v>
      </c>
    </row>
    <row r="3863" spans="5:11">
      <c r="E3863" t="s">
        <v>119</v>
      </c>
      <c r="F3863" t="s">
        <v>805</v>
      </c>
      <c r="G3863" s="5" t="str">
        <f t="shared" si="298"/>
        <v>11-12</v>
      </c>
      <c r="H3863" s="1">
        <f>_xlfn.IFNA(VLOOKUP(Aragon!E3863,'Kilter Holds'!$P$36:$AB$370,5,0),0)</f>
        <v>0</v>
      </c>
      <c r="J3863" s="2">
        <f t="shared" si="299"/>
        <v>0</v>
      </c>
      <c r="K3863" s="2">
        <f t="shared" si="297"/>
        <v>0</v>
      </c>
    </row>
    <row r="3864" spans="5:11">
      <c r="E3864" t="s">
        <v>119</v>
      </c>
      <c r="F3864" t="s">
        <v>805</v>
      </c>
      <c r="G3864" s="6" t="str">
        <f t="shared" si="298"/>
        <v>14-01</v>
      </c>
      <c r="H3864" s="1">
        <f>_xlfn.IFNA(VLOOKUP(Aragon!E3864,'Kilter Holds'!$P$36:$AB$370,6,0),0)</f>
        <v>0</v>
      </c>
      <c r="J3864" s="2">
        <f t="shared" si="299"/>
        <v>0</v>
      </c>
      <c r="K3864" s="2">
        <f t="shared" si="297"/>
        <v>0</v>
      </c>
    </row>
    <row r="3865" spans="5:11">
      <c r="E3865" t="s">
        <v>119</v>
      </c>
      <c r="F3865" t="s">
        <v>805</v>
      </c>
      <c r="G3865" s="7" t="str">
        <f t="shared" si="298"/>
        <v>15-12</v>
      </c>
      <c r="H3865" s="1">
        <f>_xlfn.IFNA(VLOOKUP(Aragon!E3865,'Kilter Holds'!$P$36:$AB$370,7,0),0)</f>
        <v>0</v>
      </c>
      <c r="J3865" s="2">
        <f t="shared" si="299"/>
        <v>0</v>
      </c>
      <c r="K3865" s="2">
        <f t="shared" si="297"/>
        <v>0</v>
      </c>
    </row>
    <row r="3866" spans="5:11">
      <c r="E3866" t="s">
        <v>119</v>
      </c>
      <c r="F3866" t="s">
        <v>805</v>
      </c>
      <c r="G3866" s="8" t="str">
        <f t="shared" si="298"/>
        <v>16-16</v>
      </c>
      <c r="H3866" s="1">
        <f>_xlfn.IFNA(VLOOKUP(Aragon!E3866,'Kilter Holds'!$P$36:$AB$370,8,0),0)</f>
        <v>0</v>
      </c>
      <c r="J3866" s="2">
        <f t="shared" si="299"/>
        <v>0</v>
      </c>
      <c r="K3866" s="2">
        <f t="shared" si="297"/>
        <v>0</v>
      </c>
    </row>
    <row r="3867" spans="5:11">
      <c r="E3867" t="s">
        <v>119</v>
      </c>
      <c r="F3867" t="s">
        <v>805</v>
      </c>
      <c r="G3867" s="9" t="str">
        <f t="shared" si="298"/>
        <v>13-01</v>
      </c>
      <c r="H3867" s="1">
        <f>_xlfn.IFNA(VLOOKUP(Aragon!E3867,'Kilter Holds'!$P$36:$AB$370,9,0),0)</f>
        <v>0</v>
      </c>
      <c r="J3867" s="2">
        <f t="shared" si="299"/>
        <v>0</v>
      </c>
      <c r="K3867" s="2">
        <f t="shared" si="297"/>
        <v>0</v>
      </c>
    </row>
    <row r="3868" spans="5:11">
      <c r="E3868" t="s">
        <v>119</v>
      </c>
      <c r="F3868" t="s">
        <v>805</v>
      </c>
      <c r="G3868" s="10" t="str">
        <f t="shared" si="298"/>
        <v>07-13</v>
      </c>
      <c r="H3868" s="1">
        <f>_xlfn.IFNA(VLOOKUP(Aragon!E3868,'Kilter Holds'!$P$36:$AB$370,10,0),0)</f>
        <v>0</v>
      </c>
      <c r="J3868" s="2">
        <f t="shared" si="299"/>
        <v>0</v>
      </c>
      <c r="K3868" s="2">
        <f t="shared" si="297"/>
        <v>0</v>
      </c>
    </row>
    <row r="3869" spans="5:11">
      <c r="E3869" t="s">
        <v>119</v>
      </c>
      <c r="F3869" t="s">
        <v>805</v>
      </c>
      <c r="G3869" s="11" t="str">
        <f t="shared" si="298"/>
        <v>11-25</v>
      </c>
      <c r="H3869" s="1">
        <f>_xlfn.IFNA(VLOOKUP(Aragon!E3869,'Kilter Holds'!$P$36:$AB$370,11,0),0)</f>
        <v>0</v>
      </c>
      <c r="J3869" s="2">
        <f t="shared" si="299"/>
        <v>0</v>
      </c>
      <c r="K3869" s="2">
        <f t="shared" si="297"/>
        <v>0</v>
      </c>
    </row>
    <row r="3870" spans="5:11">
      <c r="E3870" t="s">
        <v>119</v>
      </c>
      <c r="F3870" t="s">
        <v>805</v>
      </c>
      <c r="G3870" s="13" t="str">
        <f t="shared" si="298"/>
        <v>18-01</v>
      </c>
      <c r="H3870" s="1">
        <f>_xlfn.IFNA(VLOOKUP(Aragon!E3870,'Kilter Holds'!$P$36:$AB$370,12,0),0)</f>
        <v>0</v>
      </c>
      <c r="J3870" s="2">
        <f t="shared" si="299"/>
        <v>0</v>
      </c>
      <c r="K3870" s="2">
        <f t="shared" si="297"/>
        <v>0</v>
      </c>
    </row>
    <row r="3871" spans="5:11">
      <c r="E3871" t="s">
        <v>119</v>
      </c>
      <c r="F3871" t="s">
        <v>805</v>
      </c>
      <c r="G3871" s="12" t="str">
        <f t="shared" si="298"/>
        <v>12-01</v>
      </c>
      <c r="H3871" s="1">
        <f>_xlfn.IFNA(VLOOKUP(Aragon!E3871,'Kilter Holds'!$P$36:$AB$370,13,0),0)</f>
        <v>0</v>
      </c>
      <c r="J3871" s="2">
        <f t="shared" si="299"/>
        <v>0</v>
      </c>
      <c r="K3871" s="2">
        <f t="shared" si="297"/>
        <v>0</v>
      </c>
    </row>
    <row r="3872" spans="5:11">
      <c r="E3872" t="s">
        <v>122</v>
      </c>
      <c r="F3872" t="s">
        <v>806</v>
      </c>
      <c r="G3872" s="5" t="str">
        <f t="shared" si="298"/>
        <v>11-12</v>
      </c>
      <c r="H3872" s="1">
        <f>_xlfn.IFNA(VLOOKUP(Aragon!E3872,'Kilter Holds'!$P$36:$AB$370,5,0),0)</f>
        <v>0</v>
      </c>
      <c r="J3872" s="2">
        <f t="shared" si="299"/>
        <v>0</v>
      </c>
      <c r="K3872" s="2">
        <f t="shared" si="297"/>
        <v>0</v>
      </c>
    </row>
    <row r="3873" spans="5:11">
      <c r="E3873" t="s">
        <v>122</v>
      </c>
      <c r="F3873" t="s">
        <v>806</v>
      </c>
      <c r="G3873" s="6" t="str">
        <f t="shared" si="298"/>
        <v>14-01</v>
      </c>
      <c r="H3873" s="1">
        <f>_xlfn.IFNA(VLOOKUP(Aragon!E3873,'Kilter Holds'!$P$36:$AB$370,6,0),0)</f>
        <v>0</v>
      </c>
      <c r="J3873" s="2">
        <f t="shared" si="299"/>
        <v>0</v>
      </c>
      <c r="K3873" s="2">
        <f t="shared" si="297"/>
        <v>0</v>
      </c>
    </row>
    <row r="3874" spans="5:11">
      <c r="E3874" t="s">
        <v>122</v>
      </c>
      <c r="F3874" t="s">
        <v>806</v>
      </c>
      <c r="G3874" s="7" t="str">
        <f t="shared" si="298"/>
        <v>15-12</v>
      </c>
      <c r="H3874" s="1">
        <f>_xlfn.IFNA(VLOOKUP(Aragon!E3874,'Kilter Holds'!$P$36:$AB$370,7,0),0)</f>
        <v>0</v>
      </c>
      <c r="J3874" s="2">
        <f t="shared" si="299"/>
        <v>0</v>
      </c>
      <c r="K3874" s="2">
        <f t="shared" si="297"/>
        <v>0</v>
      </c>
    </row>
    <row r="3875" spans="5:11">
      <c r="E3875" t="s">
        <v>122</v>
      </c>
      <c r="F3875" t="s">
        <v>806</v>
      </c>
      <c r="G3875" s="8" t="str">
        <f t="shared" si="298"/>
        <v>16-16</v>
      </c>
      <c r="H3875" s="1">
        <f>_xlfn.IFNA(VLOOKUP(Aragon!E3875,'Kilter Holds'!$P$36:$AB$370,8,0),0)</f>
        <v>0</v>
      </c>
      <c r="J3875" s="2">
        <f t="shared" si="299"/>
        <v>0</v>
      </c>
      <c r="K3875" s="2">
        <f t="shared" si="297"/>
        <v>0</v>
      </c>
    </row>
    <row r="3876" spans="5:11">
      <c r="E3876" t="s">
        <v>122</v>
      </c>
      <c r="F3876" t="s">
        <v>806</v>
      </c>
      <c r="G3876" s="9" t="str">
        <f t="shared" si="298"/>
        <v>13-01</v>
      </c>
      <c r="H3876" s="1">
        <f>_xlfn.IFNA(VLOOKUP(Aragon!E3876,'Kilter Holds'!$P$36:$AB$370,9,0),0)</f>
        <v>0</v>
      </c>
      <c r="J3876" s="2">
        <f t="shared" si="299"/>
        <v>0</v>
      </c>
      <c r="K3876" s="2">
        <f t="shared" si="297"/>
        <v>0</v>
      </c>
    </row>
    <row r="3877" spans="5:11">
      <c r="E3877" t="s">
        <v>122</v>
      </c>
      <c r="F3877" t="s">
        <v>806</v>
      </c>
      <c r="G3877" s="10" t="str">
        <f t="shared" si="298"/>
        <v>07-13</v>
      </c>
      <c r="H3877" s="1">
        <f>_xlfn.IFNA(VLOOKUP(Aragon!E3877,'Kilter Holds'!$P$36:$AB$370,10,0),0)</f>
        <v>0</v>
      </c>
      <c r="J3877" s="2">
        <f t="shared" si="299"/>
        <v>0</v>
      </c>
      <c r="K3877" s="2">
        <f t="shared" ref="K3877:K4003" si="300">IF($V$11="Y",J3877*0.05,0)</f>
        <v>0</v>
      </c>
    </row>
    <row r="3878" spans="5:11">
      <c r="E3878" t="s">
        <v>122</v>
      </c>
      <c r="F3878" t="s">
        <v>806</v>
      </c>
      <c r="G3878" s="11" t="str">
        <f t="shared" ref="G3878:G4004" si="301">G3869</f>
        <v>11-25</v>
      </c>
      <c r="H3878" s="1">
        <f>_xlfn.IFNA(VLOOKUP(Aragon!E3878,'Kilter Holds'!$P$36:$AB$370,11,0),0)</f>
        <v>0</v>
      </c>
      <c r="J3878" s="2">
        <f t="shared" si="299"/>
        <v>0</v>
      </c>
      <c r="K3878" s="2">
        <f t="shared" si="300"/>
        <v>0</v>
      </c>
    </row>
    <row r="3879" spans="5:11">
      <c r="E3879" t="s">
        <v>122</v>
      </c>
      <c r="F3879" t="s">
        <v>806</v>
      </c>
      <c r="G3879" s="13" t="str">
        <f t="shared" si="301"/>
        <v>18-01</v>
      </c>
      <c r="H3879" s="1">
        <f>_xlfn.IFNA(VLOOKUP(Aragon!E3879,'Kilter Holds'!$P$36:$AB$370,12,0),0)</f>
        <v>0</v>
      </c>
      <c r="J3879" s="2">
        <f t="shared" si="299"/>
        <v>0</v>
      </c>
      <c r="K3879" s="2">
        <f t="shared" si="300"/>
        <v>0</v>
      </c>
    </row>
    <row r="3880" spans="5:11">
      <c r="E3880" t="s">
        <v>122</v>
      </c>
      <c r="F3880" t="s">
        <v>806</v>
      </c>
      <c r="G3880" s="12" t="str">
        <f t="shared" si="301"/>
        <v>12-01</v>
      </c>
      <c r="H3880" s="1">
        <f>_xlfn.IFNA(VLOOKUP(Aragon!E3880,'Kilter Holds'!$P$36:$AB$370,13,0),0)</f>
        <v>0</v>
      </c>
      <c r="J3880" s="2">
        <f t="shared" si="299"/>
        <v>0</v>
      </c>
      <c r="K3880" s="2">
        <f t="shared" si="300"/>
        <v>0</v>
      </c>
    </row>
    <row r="3881" spans="5:11">
      <c r="E3881" t="s">
        <v>121</v>
      </c>
      <c r="F3881" t="s">
        <v>807</v>
      </c>
      <c r="G3881" s="5" t="str">
        <f t="shared" si="301"/>
        <v>11-12</v>
      </c>
      <c r="H3881" s="1">
        <f>_xlfn.IFNA(VLOOKUP(Aragon!E3881,'Kilter Holds'!$P$36:$AB$370,5,0),0)</f>
        <v>0</v>
      </c>
      <c r="J3881" s="2">
        <f t="shared" si="299"/>
        <v>0</v>
      </c>
      <c r="K3881" s="2">
        <f t="shared" si="300"/>
        <v>0</v>
      </c>
    </row>
    <row r="3882" spans="5:11">
      <c r="E3882" t="s">
        <v>121</v>
      </c>
      <c r="F3882" t="s">
        <v>807</v>
      </c>
      <c r="G3882" s="6" t="str">
        <f t="shared" si="301"/>
        <v>14-01</v>
      </c>
      <c r="H3882" s="1">
        <f>_xlfn.IFNA(VLOOKUP(Aragon!E3882,'Kilter Holds'!$P$36:$AB$370,6,0),0)</f>
        <v>0</v>
      </c>
      <c r="J3882" s="2">
        <f t="shared" si="299"/>
        <v>0</v>
      </c>
      <c r="K3882" s="2">
        <f t="shared" si="300"/>
        <v>0</v>
      </c>
    </row>
    <row r="3883" spans="5:11">
      <c r="E3883" t="s">
        <v>121</v>
      </c>
      <c r="F3883" t="s">
        <v>807</v>
      </c>
      <c r="G3883" s="7" t="str">
        <f t="shared" si="301"/>
        <v>15-12</v>
      </c>
      <c r="H3883" s="1">
        <f>_xlfn.IFNA(VLOOKUP(Aragon!E3883,'Kilter Holds'!$P$36:$AB$370,7,0),0)</f>
        <v>0</v>
      </c>
      <c r="J3883" s="2">
        <f t="shared" si="299"/>
        <v>0</v>
      </c>
      <c r="K3883" s="2">
        <f t="shared" si="300"/>
        <v>0</v>
      </c>
    </row>
    <row r="3884" spans="5:11">
      <c r="E3884" t="s">
        <v>121</v>
      </c>
      <c r="F3884" t="s">
        <v>807</v>
      </c>
      <c r="G3884" s="8" t="str">
        <f t="shared" si="301"/>
        <v>16-16</v>
      </c>
      <c r="H3884" s="1">
        <f>_xlfn.IFNA(VLOOKUP(Aragon!E3884,'Kilter Holds'!$P$36:$AB$370,8,0),0)</f>
        <v>0</v>
      </c>
      <c r="J3884" s="2">
        <f t="shared" si="299"/>
        <v>0</v>
      </c>
      <c r="K3884" s="2">
        <f t="shared" si="300"/>
        <v>0</v>
      </c>
    </row>
    <row r="3885" spans="5:11">
      <c r="E3885" t="s">
        <v>121</v>
      </c>
      <c r="F3885" t="s">
        <v>807</v>
      </c>
      <c r="G3885" s="9" t="str">
        <f t="shared" si="301"/>
        <v>13-01</v>
      </c>
      <c r="H3885" s="1">
        <f>_xlfn.IFNA(VLOOKUP(Aragon!E3885,'Kilter Holds'!$P$36:$AB$370,9,0),0)</f>
        <v>0</v>
      </c>
      <c r="J3885" s="2">
        <f t="shared" si="299"/>
        <v>0</v>
      </c>
      <c r="K3885" s="2">
        <f t="shared" si="300"/>
        <v>0</v>
      </c>
    </row>
    <row r="3886" spans="5:11">
      <c r="E3886" t="s">
        <v>121</v>
      </c>
      <c r="F3886" t="s">
        <v>807</v>
      </c>
      <c r="G3886" s="10" t="str">
        <f t="shared" si="301"/>
        <v>07-13</v>
      </c>
      <c r="H3886" s="1">
        <f>_xlfn.IFNA(VLOOKUP(Aragon!E3886,'Kilter Holds'!$P$36:$AB$370,10,0),0)</f>
        <v>0</v>
      </c>
      <c r="J3886" s="2">
        <f t="shared" si="299"/>
        <v>0</v>
      </c>
      <c r="K3886" s="2">
        <f t="shared" si="300"/>
        <v>0</v>
      </c>
    </row>
    <row r="3887" spans="5:11">
      <c r="E3887" t="s">
        <v>121</v>
      </c>
      <c r="F3887" t="s">
        <v>807</v>
      </c>
      <c r="G3887" s="11" t="str">
        <f t="shared" si="301"/>
        <v>11-25</v>
      </c>
      <c r="H3887" s="1">
        <f>_xlfn.IFNA(VLOOKUP(Aragon!E3887,'Kilter Holds'!$P$36:$AB$370,11,0),0)</f>
        <v>0</v>
      </c>
      <c r="J3887" s="2">
        <f t="shared" si="299"/>
        <v>0</v>
      </c>
      <c r="K3887" s="2">
        <f t="shared" si="300"/>
        <v>0</v>
      </c>
    </row>
    <row r="3888" spans="5:11">
      <c r="E3888" t="s">
        <v>121</v>
      </c>
      <c r="F3888" t="s">
        <v>807</v>
      </c>
      <c r="G3888" s="13" t="str">
        <f t="shared" si="301"/>
        <v>18-01</v>
      </c>
      <c r="H3888" s="1">
        <f>_xlfn.IFNA(VLOOKUP(Aragon!E3888,'Kilter Holds'!$P$36:$AB$370,12,0),0)</f>
        <v>0</v>
      </c>
      <c r="J3888" s="2">
        <f t="shared" si="299"/>
        <v>0</v>
      </c>
      <c r="K3888" s="2">
        <f t="shared" si="300"/>
        <v>0</v>
      </c>
    </row>
    <row r="3889" spans="5:11">
      <c r="E3889" t="s">
        <v>121</v>
      </c>
      <c r="F3889" t="s">
        <v>807</v>
      </c>
      <c r="G3889" s="12" t="str">
        <f t="shared" si="301"/>
        <v>12-01</v>
      </c>
      <c r="H3889" s="1">
        <f>_xlfn.IFNA(VLOOKUP(Aragon!E3889,'Kilter Holds'!$P$36:$AB$370,13,0),0)</f>
        <v>0</v>
      </c>
      <c r="J3889" s="2">
        <f t="shared" si="299"/>
        <v>0</v>
      </c>
      <c r="K3889" s="2">
        <f t="shared" si="300"/>
        <v>0</v>
      </c>
    </row>
    <row r="3890" spans="5:11">
      <c r="E3890" t="s">
        <v>352</v>
      </c>
      <c r="F3890" t="s">
        <v>808</v>
      </c>
      <c r="G3890" s="5" t="str">
        <f t="shared" si="301"/>
        <v>11-12</v>
      </c>
      <c r="H3890" s="1">
        <f>_xlfn.IFNA(VLOOKUP(Aragon!E3890,'Kilter Holds'!$P$36:$AB$370,5,0),0)</f>
        <v>0</v>
      </c>
      <c r="J3890" s="2">
        <f t="shared" si="299"/>
        <v>0</v>
      </c>
      <c r="K3890" s="2">
        <f t="shared" si="300"/>
        <v>0</v>
      </c>
    </row>
    <row r="3891" spans="5:11">
      <c r="E3891" t="s">
        <v>352</v>
      </c>
      <c r="F3891" t="s">
        <v>808</v>
      </c>
      <c r="G3891" s="6" t="str">
        <f t="shared" si="301"/>
        <v>14-01</v>
      </c>
      <c r="H3891" s="1">
        <f>_xlfn.IFNA(VLOOKUP(Aragon!E3891,'Kilter Holds'!$P$36:$AB$370,6,0),0)</f>
        <v>0</v>
      </c>
      <c r="J3891" s="2">
        <f t="shared" si="299"/>
        <v>0</v>
      </c>
      <c r="K3891" s="2">
        <f t="shared" si="300"/>
        <v>0</v>
      </c>
    </row>
    <row r="3892" spans="5:11">
      <c r="E3892" t="s">
        <v>352</v>
      </c>
      <c r="F3892" t="s">
        <v>808</v>
      </c>
      <c r="G3892" s="7" t="str">
        <f t="shared" si="301"/>
        <v>15-12</v>
      </c>
      <c r="H3892" s="1">
        <f>_xlfn.IFNA(VLOOKUP(Aragon!E3892,'Kilter Holds'!$P$36:$AB$370,7,0),0)</f>
        <v>0</v>
      </c>
      <c r="J3892" s="2">
        <f t="shared" si="299"/>
        <v>0</v>
      </c>
      <c r="K3892" s="2">
        <f t="shared" si="300"/>
        <v>0</v>
      </c>
    </row>
    <row r="3893" spans="5:11">
      <c r="E3893" t="s">
        <v>352</v>
      </c>
      <c r="F3893" t="s">
        <v>808</v>
      </c>
      <c r="G3893" s="8" t="str">
        <f t="shared" si="301"/>
        <v>16-16</v>
      </c>
      <c r="H3893" s="1">
        <f>_xlfn.IFNA(VLOOKUP(Aragon!E3893,'Kilter Holds'!$P$36:$AB$370,8,0),0)</f>
        <v>0</v>
      </c>
      <c r="J3893" s="2">
        <f t="shared" si="299"/>
        <v>0</v>
      </c>
      <c r="K3893" s="2">
        <f t="shared" si="300"/>
        <v>0</v>
      </c>
    </row>
    <row r="3894" spans="5:11">
      <c r="E3894" t="s">
        <v>352</v>
      </c>
      <c r="F3894" t="s">
        <v>808</v>
      </c>
      <c r="G3894" s="9" t="str">
        <f t="shared" si="301"/>
        <v>13-01</v>
      </c>
      <c r="H3894" s="1">
        <f>_xlfn.IFNA(VLOOKUP(Aragon!E3894,'Kilter Holds'!$P$36:$AB$370,9,0),0)</f>
        <v>0</v>
      </c>
      <c r="J3894" s="2">
        <f t="shared" si="299"/>
        <v>0</v>
      </c>
      <c r="K3894" s="2">
        <f t="shared" si="300"/>
        <v>0</v>
      </c>
    </row>
    <row r="3895" spans="5:11">
      <c r="E3895" t="s">
        <v>352</v>
      </c>
      <c r="F3895" t="s">
        <v>808</v>
      </c>
      <c r="G3895" s="10" t="str">
        <f t="shared" si="301"/>
        <v>07-13</v>
      </c>
      <c r="H3895" s="1">
        <f>_xlfn.IFNA(VLOOKUP(Aragon!E3895,'Kilter Holds'!$P$36:$AB$370,10,0),0)</f>
        <v>0</v>
      </c>
      <c r="J3895" s="2">
        <f t="shared" si="299"/>
        <v>0</v>
      </c>
      <c r="K3895" s="2">
        <f t="shared" si="300"/>
        <v>0</v>
      </c>
    </row>
    <row r="3896" spans="5:11">
      <c r="E3896" t="s">
        <v>352</v>
      </c>
      <c r="F3896" t="s">
        <v>808</v>
      </c>
      <c r="G3896" s="11" t="str">
        <f t="shared" si="301"/>
        <v>11-25</v>
      </c>
      <c r="H3896" s="1">
        <f>_xlfn.IFNA(VLOOKUP(Aragon!E3896,'Kilter Holds'!$P$36:$AB$370,11,0),0)</f>
        <v>0</v>
      </c>
      <c r="J3896" s="2">
        <f t="shared" si="299"/>
        <v>0</v>
      </c>
      <c r="K3896" s="2">
        <f t="shared" si="300"/>
        <v>0</v>
      </c>
    </row>
    <row r="3897" spans="5:11">
      <c r="E3897" t="s">
        <v>352</v>
      </c>
      <c r="F3897" t="s">
        <v>808</v>
      </c>
      <c r="G3897" s="13" t="str">
        <f t="shared" si="301"/>
        <v>18-01</v>
      </c>
      <c r="H3897" s="1">
        <f>_xlfn.IFNA(VLOOKUP(Aragon!E3897,'Kilter Holds'!$P$36:$AB$370,12,0),0)</f>
        <v>0</v>
      </c>
      <c r="J3897" s="2">
        <f t="shared" si="299"/>
        <v>0</v>
      </c>
      <c r="K3897" s="2">
        <f t="shared" si="300"/>
        <v>0</v>
      </c>
    </row>
    <row r="3898" spans="5:11">
      <c r="E3898" t="s">
        <v>352</v>
      </c>
      <c r="F3898" t="s">
        <v>808</v>
      </c>
      <c r="G3898" s="12" t="str">
        <f t="shared" si="301"/>
        <v>12-01</v>
      </c>
      <c r="H3898" s="1">
        <f>_xlfn.IFNA(VLOOKUP(Aragon!E3898,'Kilter Holds'!$P$36:$AB$370,13,0),0)</f>
        <v>0</v>
      </c>
      <c r="J3898" s="2">
        <f t="shared" si="299"/>
        <v>0</v>
      </c>
      <c r="K3898" s="2">
        <f t="shared" si="300"/>
        <v>0</v>
      </c>
    </row>
    <row r="3899" spans="5:11">
      <c r="E3899" t="s">
        <v>869</v>
      </c>
      <c r="F3899" t="s">
        <v>872</v>
      </c>
      <c r="G3899" s="5" t="str">
        <f t="shared" si="301"/>
        <v>11-12</v>
      </c>
      <c r="H3899" s="1">
        <f>_xlfn.IFNA(VLOOKUP(Aragon!E3899,'Kilter Holds'!$P$36:$AB$370,5,0),0)</f>
        <v>0</v>
      </c>
      <c r="J3899" s="2">
        <f t="shared" ref="J3899:J3925" si="302">H3899*I3899</f>
        <v>0</v>
      </c>
      <c r="K3899" s="2">
        <f t="shared" si="300"/>
        <v>0</v>
      </c>
    </row>
    <row r="3900" spans="5:11">
      <c r="E3900" t="s">
        <v>869</v>
      </c>
      <c r="F3900" t="s">
        <v>872</v>
      </c>
      <c r="G3900" s="6" t="str">
        <f t="shared" si="301"/>
        <v>14-01</v>
      </c>
      <c r="H3900" s="1">
        <f>_xlfn.IFNA(VLOOKUP(Aragon!E3900,'Kilter Holds'!$P$36:$AB$370,6,0),0)</f>
        <v>0</v>
      </c>
      <c r="J3900" s="2">
        <f t="shared" si="302"/>
        <v>0</v>
      </c>
      <c r="K3900" s="2">
        <f t="shared" si="300"/>
        <v>0</v>
      </c>
    </row>
    <row r="3901" spans="5:11">
      <c r="E3901" t="s">
        <v>869</v>
      </c>
      <c r="F3901" t="s">
        <v>872</v>
      </c>
      <c r="G3901" s="7" t="str">
        <f t="shared" si="301"/>
        <v>15-12</v>
      </c>
      <c r="H3901" s="1">
        <f>_xlfn.IFNA(VLOOKUP(Aragon!E3901,'Kilter Holds'!$P$36:$AB$370,7,0),0)</f>
        <v>0</v>
      </c>
      <c r="J3901" s="2">
        <f t="shared" si="302"/>
        <v>0</v>
      </c>
      <c r="K3901" s="2">
        <f t="shared" si="300"/>
        <v>0</v>
      </c>
    </row>
    <row r="3902" spans="5:11">
      <c r="E3902" t="s">
        <v>869</v>
      </c>
      <c r="F3902" t="s">
        <v>872</v>
      </c>
      <c r="G3902" s="8" t="str">
        <f t="shared" si="301"/>
        <v>16-16</v>
      </c>
      <c r="H3902" s="1">
        <f>_xlfn.IFNA(VLOOKUP(Aragon!E3902,'Kilter Holds'!$P$36:$AB$370,8,0),0)</f>
        <v>0</v>
      </c>
      <c r="J3902" s="2">
        <f t="shared" si="302"/>
        <v>0</v>
      </c>
      <c r="K3902" s="2">
        <f t="shared" si="300"/>
        <v>0</v>
      </c>
    </row>
    <row r="3903" spans="5:11">
      <c r="E3903" t="s">
        <v>869</v>
      </c>
      <c r="F3903" t="s">
        <v>872</v>
      </c>
      <c r="G3903" s="9" t="str">
        <f t="shared" si="301"/>
        <v>13-01</v>
      </c>
      <c r="H3903" s="1">
        <f>_xlfn.IFNA(VLOOKUP(Aragon!E3903,'Kilter Holds'!$P$36:$AB$370,9,0),0)</f>
        <v>0</v>
      </c>
      <c r="J3903" s="2">
        <f t="shared" si="302"/>
        <v>0</v>
      </c>
      <c r="K3903" s="2">
        <f t="shared" si="300"/>
        <v>0</v>
      </c>
    </row>
    <row r="3904" spans="5:11">
      <c r="E3904" t="s">
        <v>869</v>
      </c>
      <c r="F3904" t="s">
        <v>872</v>
      </c>
      <c r="G3904" s="10" t="str">
        <f t="shared" si="301"/>
        <v>07-13</v>
      </c>
      <c r="H3904" s="1">
        <f>_xlfn.IFNA(VLOOKUP(Aragon!E3904,'Kilter Holds'!$P$36:$AB$370,10,0),0)</f>
        <v>0</v>
      </c>
      <c r="J3904" s="2">
        <f t="shared" si="302"/>
        <v>0</v>
      </c>
      <c r="K3904" s="2">
        <f t="shared" si="300"/>
        <v>0</v>
      </c>
    </row>
    <row r="3905" spans="5:11">
      <c r="E3905" t="s">
        <v>869</v>
      </c>
      <c r="F3905" t="s">
        <v>872</v>
      </c>
      <c r="G3905" s="11" t="str">
        <f t="shared" si="301"/>
        <v>11-25</v>
      </c>
      <c r="H3905" s="1">
        <f>_xlfn.IFNA(VLOOKUP(Aragon!E3905,'Kilter Holds'!$P$36:$AB$370,11,0),0)</f>
        <v>0</v>
      </c>
      <c r="J3905" s="2">
        <f t="shared" si="302"/>
        <v>0</v>
      </c>
      <c r="K3905" s="2">
        <f t="shared" si="300"/>
        <v>0</v>
      </c>
    </row>
    <row r="3906" spans="5:11">
      <c r="E3906" t="s">
        <v>869</v>
      </c>
      <c r="F3906" t="s">
        <v>872</v>
      </c>
      <c r="G3906" s="13" t="str">
        <f t="shared" si="301"/>
        <v>18-01</v>
      </c>
      <c r="H3906" s="1">
        <f>_xlfn.IFNA(VLOOKUP(Aragon!E3906,'Kilter Holds'!$P$36:$AB$370,12,0),0)</f>
        <v>0</v>
      </c>
      <c r="J3906" s="2">
        <f t="shared" si="302"/>
        <v>0</v>
      </c>
      <c r="K3906" s="2">
        <f t="shared" si="300"/>
        <v>0</v>
      </c>
    </row>
    <row r="3907" spans="5:11">
      <c r="E3907" t="s">
        <v>869</v>
      </c>
      <c r="F3907" t="s">
        <v>872</v>
      </c>
      <c r="G3907" s="12" t="str">
        <f t="shared" si="301"/>
        <v>12-01</v>
      </c>
      <c r="H3907" s="1">
        <f>_xlfn.IFNA(VLOOKUP(Aragon!E3907,'Kilter Holds'!$P$36:$AB$370,13,0),0)</f>
        <v>0</v>
      </c>
      <c r="J3907" s="2">
        <f t="shared" si="302"/>
        <v>0</v>
      </c>
      <c r="K3907" s="2">
        <f t="shared" si="300"/>
        <v>0</v>
      </c>
    </row>
    <row r="3908" spans="5:11">
      <c r="E3908" t="s">
        <v>870</v>
      </c>
      <c r="F3908" t="s">
        <v>873</v>
      </c>
      <c r="G3908" s="5" t="str">
        <f t="shared" si="301"/>
        <v>11-12</v>
      </c>
      <c r="H3908" s="1">
        <f>_xlfn.IFNA(VLOOKUP(Aragon!E3908,'Kilter Holds'!$P$36:$AB$370,5,0),0)</f>
        <v>0</v>
      </c>
      <c r="J3908" s="2">
        <f t="shared" si="302"/>
        <v>0</v>
      </c>
      <c r="K3908" s="2">
        <f t="shared" si="300"/>
        <v>0</v>
      </c>
    </row>
    <row r="3909" spans="5:11">
      <c r="E3909" t="s">
        <v>870</v>
      </c>
      <c r="F3909" t="s">
        <v>873</v>
      </c>
      <c r="G3909" s="6" t="str">
        <f t="shared" si="301"/>
        <v>14-01</v>
      </c>
      <c r="H3909" s="1">
        <f>_xlfn.IFNA(VLOOKUP(Aragon!E3909,'Kilter Holds'!$P$36:$AB$370,6,0),0)</f>
        <v>0</v>
      </c>
      <c r="J3909" s="2">
        <f t="shared" si="302"/>
        <v>0</v>
      </c>
      <c r="K3909" s="2">
        <f t="shared" si="300"/>
        <v>0</v>
      </c>
    </row>
    <row r="3910" spans="5:11">
      <c r="E3910" t="s">
        <v>870</v>
      </c>
      <c r="F3910" t="s">
        <v>873</v>
      </c>
      <c r="G3910" s="7" t="str">
        <f t="shared" si="301"/>
        <v>15-12</v>
      </c>
      <c r="H3910" s="1">
        <f>_xlfn.IFNA(VLOOKUP(Aragon!E3910,'Kilter Holds'!$P$36:$AB$370,7,0),0)</f>
        <v>0</v>
      </c>
      <c r="J3910" s="2">
        <f t="shared" si="302"/>
        <v>0</v>
      </c>
      <c r="K3910" s="2">
        <f t="shared" si="300"/>
        <v>0</v>
      </c>
    </row>
    <row r="3911" spans="5:11">
      <c r="E3911" t="s">
        <v>870</v>
      </c>
      <c r="F3911" t="s">
        <v>873</v>
      </c>
      <c r="G3911" s="8" t="str">
        <f t="shared" si="301"/>
        <v>16-16</v>
      </c>
      <c r="H3911" s="1">
        <f>_xlfn.IFNA(VLOOKUP(Aragon!E3911,'Kilter Holds'!$P$36:$AB$370,8,0),0)</f>
        <v>0</v>
      </c>
      <c r="J3911" s="2">
        <f t="shared" si="302"/>
        <v>0</v>
      </c>
      <c r="K3911" s="2">
        <f t="shared" si="300"/>
        <v>0</v>
      </c>
    </row>
    <row r="3912" spans="5:11">
      <c r="E3912" t="s">
        <v>870</v>
      </c>
      <c r="F3912" t="s">
        <v>873</v>
      </c>
      <c r="G3912" s="9" t="str">
        <f t="shared" si="301"/>
        <v>13-01</v>
      </c>
      <c r="H3912" s="1">
        <f>_xlfn.IFNA(VLOOKUP(Aragon!E3912,'Kilter Holds'!$P$36:$AB$370,9,0),0)</f>
        <v>0</v>
      </c>
      <c r="J3912" s="2">
        <f t="shared" si="302"/>
        <v>0</v>
      </c>
      <c r="K3912" s="2">
        <f t="shared" si="300"/>
        <v>0</v>
      </c>
    </row>
    <row r="3913" spans="5:11">
      <c r="E3913" t="s">
        <v>870</v>
      </c>
      <c r="F3913" t="s">
        <v>873</v>
      </c>
      <c r="G3913" s="10" t="str">
        <f t="shared" si="301"/>
        <v>07-13</v>
      </c>
      <c r="H3913" s="1">
        <f>_xlfn.IFNA(VLOOKUP(Aragon!E3913,'Kilter Holds'!$P$36:$AB$370,10,0),0)</f>
        <v>0</v>
      </c>
      <c r="J3913" s="2">
        <f t="shared" si="302"/>
        <v>0</v>
      </c>
      <c r="K3913" s="2">
        <f t="shared" si="300"/>
        <v>0</v>
      </c>
    </row>
    <row r="3914" spans="5:11">
      <c r="E3914" t="s">
        <v>870</v>
      </c>
      <c r="F3914" t="s">
        <v>873</v>
      </c>
      <c r="G3914" s="11" t="str">
        <f t="shared" si="301"/>
        <v>11-25</v>
      </c>
      <c r="H3914" s="1">
        <f>_xlfn.IFNA(VLOOKUP(Aragon!E3914,'Kilter Holds'!$P$36:$AB$370,11,0),0)</f>
        <v>0</v>
      </c>
      <c r="J3914" s="2">
        <f t="shared" si="302"/>
        <v>0</v>
      </c>
      <c r="K3914" s="2">
        <f t="shared" si="300"/>
        <v>0</v>
      </c>
    </row>
    <row r="3915" spans="5:11">
      <c r="E3915" t="s">
        <v>870</v>
      </c>
      <c r="F3915" t="s">
        <v>873</v>
      </c>
      <c r="G3915" s="13" t="str">
        <f t="shared" si="301"/>
        <v>18-01</v>
      </c>
      <c r="H3915" s="1">
        <f>_xlfn.IFNA(VLOOKUP(Aragon!E3915,'Kilter Holds'!$P$36:$AB$370,12,0),0)</f>
        <v>0</v>
      </c>
      <c r="J3915" s="2">
        <f t="shared" si="302"/>
        <v>0</v>
      </c>
      <c r="K3915" s="2">
        <f t="shared" si="300"/>
        <v>0</v>
      </c>
    </row>
    <row r="3916" spans="5:11">
      <c r="E3916" t="s">
        <v>870</v>
      </c>
      <c r="F3916" t="s">
        <v>873</v>
      </c>
      <c r="G3916" s="12" t="str">
        <f t="shared" si="301"/>
        <v>12-01</v>
      </c>
      <c r="H3916" s="1">
        <f>_xlfn.IFNA(VLOOKUP(Aragon!E3916,'Kilter Holds'!$P$36:$AB$370,13,0),0)</f>
        <v>0</v>
      </c>
      <c r="J3916" s="2">
        <f t="shared" si="302"/>
        <v>0</v>
      </c>
      <c r="K3916" s="2">
        <f t="shared" si="300"/>
        <v>0</v>
      </c>
    </row>
    <row r="3917" spans="5:11">
      <c r="E3917" t="s">
        <v>871</v>
      </c>
      <c r="F3917" t="s">
        <v>874</v>
      </c>
      <c r="G3917" s="5" t="str">
        <f t="shared" si="301"/>
        <v>11-12</v>
      </c>
      <c r="H3917" s="1">
        <f>_xlfn.IFNA(VLOOKUP(Aragon!E3917,'Kilter Holds'!$P$36:$AB$370,5,0),0)</f>
        <v>0</v>
      </c>
      <c r="J3917" s="2">
        <f t="shared" si="302"/>
        <v>0</v>
      </c>
      <c r="K3917" s="2">
        <f t="shared" si="300"/>
        <v>0</v>
      </c>
    </row>
    <row r="3918" spans="5:11">
      <c r="E3918" t="s">
        <v>871</v>
      </c>
      <c r="F3918" t="s">
        <v>874</v>
      </c>
      <c r="G3918" s="6" t="str">
        <f t="shared" si="301"/>
        <v>14-01</v>
      </c>
      <c r="H3918" s="1">
        <f>_xlfn.IFNA(VLOOKUP(Aragon!E3918,'Kilter Holds'!$P$36:$AB$370,6,0),0)</f>
        <v>0</v>
      </c>
      <c r="J3918" s="2">
        <f t="shared" si="302"/>
        <v>0</v>
      </c>
      <c r="K3918" s="2">
        <f t="shared" si="300"/>
        <v>0</v>
      </c>
    </row>
    <row r="3919" spans="5:11">
      <c r="E3919" t="s">
        <v>871</v>
      </c>
      <c r="F3919" t="s">
        <v>874</v>
      </c>
      <c r="G3919" s="7" t="str">
        <f t="shared" si="301"/>
        <v>15-12</v>
      </c>
      <c r="H3919" s="1">
        <f>_xlfn.IFNA(VLOOKUP(Aragon!E3919,'Kilter Holds'!$P$36:$AB$370,7,0),0)</f>
        <v>0</v>
      </c>
      <c r="J3919" s="2">
        <f t="shared" si="302"/>
        <v>0</v>
      </c>
      <c r="K3919" s="2">
        <f t="shared" si="300"/>
        <v>0</v>
      </c>
    </row>
    <row r="3920" spans="5:11">
      <c r="E3920" t="s">
        <v>871</v>
      </c>
      <c r="F3920" t="s">
        <v>874</v>
      </c>
      <c r="G3920" s="8" t="str">
        <f t="shared" si="301"/>
        <v>16-16</v>
      </c>
      <c r="H3920" s="1">
        <f>_xlfn.IFNA(VLOOKUP(Aragon!E3920,'Kilter Holds'!$P$36:$AB$370,8,0),0)</f>
        <v>0</v>
      </c>
      <c r="J3920" s="2">
        <f t="shared" si="302"/>
        <v>0</v>
      </c>
      <c r="K3920" s="2">
        <f t="shared" si="300"/>
        <v>0</v>
      </c>
    </row>
    <row r="3921" spans="5:11">
      <c r="E3921" t="s">
        <v>871</v>
      </c>
      <c r="F3921" t="s">
        <v>874</v>
      </c>
      <c r="G3921" s="9" t="str">
        <f t="shared" si="301"/>
        <v>13-01</v>
      </c>
      <c r="H3921" s="1">
        <f>_xlfn.IFNA(VLOOKUP(Aragon!E3921,'Kilter Holds'!$P$36:$AB$370,9,0),0)</f>
        <v>0</v>
      </c>
      <c r="J3921" s="2">
        <f t="shared" si="302"/>
        <v>0</v>
      </c>
      <c r="K3921" s="2">
        <f t="shared" si="300"/>
        <v>0</v>
      </c>
    </row>
    <row r="3922" spans="5:11">
      <c r="E3922" t="s">
        <v>871</v>
      </c>
      <c r="F3922" t="s">
        <v>874</v>
      </c>
      <c r="G3922" s="10" t="str">
        <f t="shared" si="301"/>
        <v>07-13</v>
      </c>
      <c r="H3922" s="1">
        <f>_xlfn.IFNA(VLOOKUP(Aragon!E3922,'Kilter Holds'!$P$36:$AB$370,10,0),0)</f>
        <v>0</v>
      </c>
      <c r="J3922" s="2">
        <f t="shared" si="302"/>
        <v>0</v>
      </c>
      <c r="K3922" s="2">
        <f t="shared" si="300"/>
        <v>0</v>
      </c>
    </row>
    <row r="3923" spans="5:11">
      <c r="E3923" t="s">
        <v>871</v>
      </c>
      <c r="F3923" t="s">
        <v>874</v>
      </c>
      <c r="G3923" s="11" t="str">
        <f t="shared" si="301"/>
        <v>11-25</v>
      </c>
      <c r="H3923" s="1">
        <f>_xlfn.IFNA(VLOOKUP(Aragon!E3923,'Kilter Holds'!$P$36:$AB$370,11,0),0)</f>
        <v>0</v>
      </c>
      <c r="J3923" s="2">
        <f t="shared" si="302"/>
        <v>0</v>
      </c>
      <c r="K3923" s="2">
        <f t="shared" si="300"/>
        <v>0</v>
      </c>
    </row>
    <row r="3924" spans="5:11">
      <c r="E3924" t="s">
        <v>871</v>
      </c>
      <c r="F3924" t="s">
        <v>874</v>
      </c>
      <c r="G3924" s="13" t="str">
        <f t="shared" si="301"/>
        <v>18-01</v>
      </c>
      <c r="H3924" s="1">
        <f>_xlfn.IFNA(VLOOKUP(Aragon!E3924,'Kilter Holds'!$P$36:$AB$370,12,0),0)</f>
        <v>0</v>
      </c>
      <c r="J3924" s="2">
        <f t="shared" si="302"/>
        <v>0</v>
      </c>
      <c r="K3924" s="2">
        <f t="shared" si="300"/>
        <v>0</v>
      </c>
    </row>
    <row r="3925" spans="5:11">
      <c r="E3925" t="s">
        <v>871</v>
      </c>
      <c r="F3925" t="s">
        <v>874</v>
      </c>
      <c r="G3925" s="12" t="str">
        <f t="shared" si="301"/>
        <v>12-01</v>
      </c>
      <c r="H3925" s="1">
        <f>_xlfn.IFNA(VLOOKUP(Aragon!E3925,'Kilter Holds'!$P$36:$AB$370,13,0),0)</f>
        <v>0</v>
      </c>
      <c r="J3925" s="2">
        <f t="shared" si="302"/>
        <v>0</v>
      </c>
      <c r="K3925" s="2">
        <f t="shared" si="300"/>
        <v>0</v>
      </c>
    </row>
    <row r="3926" spans="5:11">
      <c r="E3926" s="3" t="s">
        <v>2672</v>
      </c>
      <c r="F3926" s="3" t="s">
        <v>2686</v>
      </c>
      <c r="G3926" s="5" t="str">
        <f t="shared" si="301"/>
        <v>11-12</v>
      </c>
      <c r="H3926" s="1">
        <f>_xlfn.IFNA(VLOOKUP(Aragon!E3926,'Kilter Holds'!$P$36:$AB$370,5,0),0)</f>
        <v>0</v>
      </c>
      <c r="J3926" s="2">
        <f t="shared" ref="J3926:J3934" si="303">H3926*I3926</f>
        <v>0</v>
      </c>
      <c r="K3926" s="2">
        <f t="shared" ref="K3926:K3934" si="304">IF($V$11="Y",J3926*0.05,0)</f>
        <v>0</v>
      </c>
    </row>
    <row r="3927" spans="5:11">
      <c r="E3927" s="3" t="s">
        <v>2672</v>
      </c>
      <c r="F3927" s="3" t="s">
        <v>2686</v>
      </c>
      <c r="G3927" s="6" t="str">
        <f t="shared" si="301"/>
        <v>14-01</v>
      </c>
      <c r="H3927" s="1">
        <f>_xlfn.IFNA(VLOOKUP(Aragon!E3927,'Kilter Holds'!$P$36:$AB$370,6,0),0)</f>
        <v>0</v>
      </c>
      <c r="J3927" s="2">
        <f t="shared" si="303"/>
        <v>0</v>
      </c>
      <c r="K3927" s="2">
        <f t="shared" si="304"/>
        <v>0</v>
      </c>
    </row>
    <row r="3928" spans="5:11">
      <c r="E3928" s="3" t="s">
        <v>2672</v>
      </c>
      <c r="F3928" s="3" t="s">
        <v>2686</v>
      </c>
      <c r="G3928" s="7" t="str">
        <f t="shared" si="301"/>
        <v>15-12</v>
      </c>
      <c r="H3928" s="1">
        <f>_xlfn.IFNA(VLOOKUP(Aragon!E3928,'Kilter Holds'!$P$36:$AB$370,7,0),0)</f>
        <v>0</v>
      </c>
      <c r="J3928" s="2">
        <f t="shared" si="303"/>
        <v>0</v>
      </c>
      <c r="K3928" s="2">
        <f t="shared" si="304"/>
        <v>0</v>
      </c>
    </row>
    <row r="3929" spans="5:11">
      <c r="E3929" s="3" t="s">
        <v>2672</v>
      </c>
      <c r="F3929" s="3" t="s">
        <v>2686</v>
      </c>
      <c r="G3929" s="8" t="str">
        <f t="shared" si="301"/>
        <v>16-16</v>
      </c>
      <c r="H3929" s="1">
        <f>_xlfn.IFNA(VLOOKUP(Aragon!E3929,'Kilter Holds'!$P$36:$AB$370,8,0),0)</f>
        <v>0</v>
      </c>
      <c r="J3929" s="2">
        <f t="shared" si="303"/>
        <v>0</v>
      </c>
      <c r="K3929" s="2">
        <f t="shared" si="304"/>
        <v>0</v>
      </c>
    </row>
    <row r="3930" spans="5:11">
      <c r="E3930" s="3" t="s">
        <v>2672</v>
      </c>
      <c r="F3930" s="3" t="s">
        <v>2686</v>
      </c>
      <c r="G3930" s="9" t="str">
        <f t="shared" si="301"/>
        <v>13-01</v>
      </c>
      <c r="H3930" s="1">
        <f>_xlfn.IFNA(VLOOKUP(Aragon!E3930,'Kilter Holds'!$P$36:$AB$370,9,0),0)</f>
        <v>0</v>
      </c>
      <c r="J3930" s="2">
        <f t="shared" si="303"/>
        <v>0</v>
      </c>
      <c r="K3930" s="2">
        <f t="shared" si="304"/>
        <v>0</v>
      </c>
    </row>
    <row r="3931" spans="5:11">
      <c r="E3931" s="3" t="s">
        <v>2672</v>
      </c>
      <c r="F3931" s="3" t="s">
        <v>2686</v>
      </c>
      <c r="G3931" s="10" t="str">
        <f t="shared" si="301"/>
        <v>07-13</v>
      </c>
      <c r="H3931" s="1">
        <f>_xlfn.IFNA(VLOOKUP(Aragon!E3931,'Kilter Holds'!$P$36:$AB$370,10,0),0)</f>
        <v>0</v>
      </c>
      <c r="J3931" s="2">
        <f t="shared" si="303"/>
        <v>0</v>
      </c>
      <c r="K3931" s="2">
        <f t="shared" si="304"/>
        <v>0</v>
      </c>
    </row>
    <row r="3932" spans="5:11">
      <c r="E3932" s="3" t="s">
        <v>2672</v>
      </c>
      <c r="F3932" s="3" t="s">
        <v>2686</v>
      </c>
      <c r="G3932" s="11" t="str">
        <f t="shared" si="301"/>
        <v>11-25</v>
      </c>
      <c r="H3932" s="1">
        <f>_xlfn.IFNA(VLOOKUP(Aragon!E3932,'Kilter Holds'!$P$36:$AB$370,11,0),0)</f>
        <v>0</v>
      </c>
      <c r="J3932" s="2">
        <f t="shared" si="303"/>
        <v>0</v>
      </c>
      <c r="K3932" s="2">
        <f t="shared" si="304"/>
        <v>0</v>
      </c>
    </row>
    <row r="3933" spans="5:11">
      <c r="E3933" s="3" t="s">
        <v>2672</v>
      </c>
      <c r="F3933" s="3" t="s">
        <v>2686</v>
      </c>
      <c r="G3933" s="13" t="str">
        <f t="shared" si="301"/>
        <v>18-01</v>
      </c>
      <c r="H3933" s="1">
        <f>_xlfn.IFNA(VLOOKUP(Aragon!E3933,'Kilter Holds'!$P$36:$AB$370,12,0),0)</f>
        <v>0</v>
      </c>
      <c r="J3933" s="2">
        <f t="shared" si="303"/>
        <v>0</v>
      </c>
      <c r="K3933" s="2">
        <f t="shared" si="304"/>
        <v>0</v>
      </c>
    </row>
    <row r="3934" spans="5:11">
      <c r="E3934" s="3" t="s">
        <v>2672</v>
      </c>
      <c r="F3934" s="3" t="s">
        <v>2686</v>
      </c>
      <c r="G3934" s="12" t="str">
        <f t="shared" si="301"/>
        <v>12-01</v>
      </c>
      <c r="H3934" s="1">
        <f>_xlfn.IFNA(VLOOKUP(Aragon!E3934,'Kilter Holds'!$P$36:$AB$370,13,0),0)</f>
        <v>0</v>
      </c>
      <c r="J3934" s="2">
        <f t="shared" si="303"/>
        <v>0</v>
      </c>
      <c r="K3934" s="2">
        <f t="shared" si="304"/>
        <v>0</v>
      </c>
    </row>
    <row r="3935" spans="5:11">
      <c r="E3935" s="3" t="s">
        <v>2683</v>
      </c>
      <c r="F3935" s="3" t="s">
        <v>2687</v>
      </c>
      <c r="G3935" s="5" t="str">
        <f t="shared" si="301"/>
        <v>11-12</v>
      </c>
      <c r="H3935" s="1">
        <f>_xlfn.IFNA(VLOOKUP(Aragon!E3935,'Kilter Holds'!$P$36:$AB$370,5,0),0)</f>
        <v>0</v>
      </c>
      <c r="J3935" s="2">
        <f t="shared" ref="J3935:J3961" si="305">H3935*I3935</f>
        <v>0</v>
      </c>
      <c r="K3935" s="2">
        <f t="shared" ref="K3935:K3961" si="306">IF($V$11="Y",J3935*0.05,0)</f>
        <v>0</v>
      </c>
    </row>
    <row r="3936" spans="5:11">
      <c r="E3936" s="3" t="s">
        <v>2683</v>
      </c>
      <c r="F3936" s="3" t="s">
        <v>2687</v>
      </c>
      <c r="G3936" s="6" t="str">
        <f t="shared" si="301"/>
        <v>14-01</v>
      </c>
      <c r="H3936" s="1">
        <f>_xlfn.IFNA(VLOOKUP(Aragon!E3936,'Kilter Holds'!$P$36:$AB$370,6,0),0)</f>
        <v>0</v>
      </c>
      <c r="J3936" s="2">
        <f t="shared" si="305"/>
        <v>0</v>
      </c>
      <c r="K3936" s="2">
        <f t="shared" si="306"/>
        <v>0</v>
      </c>
    </row>
    <row r="3937" spans="5:11">
      <c r="E3937" s="3" t="s">
        <v>2683</v>
      </c>
      <c r="F3937" s="3" t="s">
        <v>2687</v>
      </c>
      <c r="G3937" s="7" t="str">
        <f t="shared" si="301"/>
        <v>15-12</v>
      </c>
      <c r="H3937" s="1">
        <f>_xlfn.IFNA(VLOOKUP(Aragon!E3937,'Kilter Holds'!$P$36:$AB$370,7,0),0)</f>
        <v>0</v>
      </c>
      <c r="J3937" s="2">
        <f t="shared" si="305"/>
        <v>0</v>
      </c>
      <c r="K3937" s="2">
        <f t="shared" si="306"/>
        <v>0</v>
      </c>
    </row>
    <row r="3938" spans="5:11">
      <c r="E3938" s="3" t="s">
        <v>2683</v>
      </c>
      <c r="F3938" s="3" t="s">
        <v>2687</v>
      </c>
      <c r="G3938" s="8" t="str">
        <f t="shared" si="301"/>
        <v>16-16</v>
      </c>
      <c r="H3938" s="1">
        <f>_xlfn.IFNA(VLOOKUP(Aragon!E3938,'Kilter Holds'!$P$36:$AB$370,8,0),0)</f>
        <v>0</v>
      </c>
      <c r="J3938" s="2">
        <f t="shared" si="305"/>
        <v>0</v>
      </c>
      <c r="K3938" s="2">
        <f t="shared" si="306"/>
        <v>0</v>
      </c>
    </row>
    <row r="3939" spans="5:11">
      <c r="E3939" s="3" t="s">
        <v>2683</v>
      </c>
      <c r="F3939" s="3" t="s">
        <v>2687</v>
      </c>
      <c r="G3939" s="9" t="str">
        <f t="shared" si="301"/>
        <v>13-01</v>
      </c>
      <c r="H3939" s="1">
        <f>_xlfn.IFNA(VLOOKUP(Aragon!E3939,'Kilter Holds'!$P$36:$AB$370,9,0),0)</f>
        <v>0</v>
      </c>
      <c r="J3939" s="2">
        <f t="shared" si="305"/>
        <v>0</v>
      </c>
      <c r="K3939" s="2">
        <f t="shared" si="306"/>
        <v>0</v>
      </c>
    </row>
    <row r="3940" spans="5:11">
      <c r="E3940" s="3" t="s">
        <v>2683</v>
      </c>
      <c r="F3940" s="3" t="s">
        <v>2687</v>
      </c>
      <c r="G3940" s="10" t="str">
        <f t="shared" si="301"/>
        <v>07-13</v>
      </c>
      <c r="H3940" s="1">
        <f>_xlfn.IFNA(VLOOKUP(Aragon!E3940,'Kilter Holds'!$P$36:$AB$370,10,0),0)</f>
        <v>0</v>
      </c>
      <c r="J3940" s="2">
        <f t="shared" si="305"/>
        <v>0</v>
      </c>
      <c r="K3940" s="2">
        <f t="shared" si="306"/>
        <v>0</v>
      </c>
    </row>
    <row r="3941" spans="5:11">
      <c r="E3941" s="3" t="s">
        <v>2683</v>
      </c>
      <c r="F3941" s="3" t="s">
        <v>2687</v>
      </c>
      <c r="G3941" s="11" t="str">
        <f t="shared" si="301"/>
        <v>11-25</v>
      </c>
      <c r="H3941" s="1">
        <f>_xlfn.IFNA(VLOOKUP(Aragon!E3941,'Kilter Holds'!$P$36:$AB$370,11,0),0)</f>
        <v>0</v>
      </c>
      <c r="J3941" s="2">
        <f t="shared" si="305"/>
        <v>0</v>
      </c>
      <c r="K3941" s="2">
        <f t="shared" si="306"/>
        <v>0</v>
      </c>
    </row>
    <row r="3942" spans="5:11">
      <c r="E3942" s="3" t="s">
        <v>2683</v>
      </c>
      <c r="F3942" s="3" t="s">
        <v>2687</v>
      </c>
      <c r="G3942" s="13" t="str">
        <f t="shared" si="301"/>
        <v>18-01</v>
      </c>
      <c r="H3942" s="1">
        <f>_xlfn.IFNA(VLOOKUP(Aragon!E3942,'Kilter Holds'!$P$36:$AB$370,12,0),0)</f>
        <v>0</v>
      </c>
      <c r="J3942" s="2">
        <f t="shared" si="305"/>
        <v>0</v>
      </c>
      <c r="K3942" s="2">
        <f t="shared" si="306"/>
        <v>0</v>
      </c>
    </row>
    <row r="3943" spans="5:11">
      <c r="E3943" s="3" t="s">
        <v>2683</v>
      </c>
      <c r="F3943" s="3" t="s">
        <v>2687</v>
      </c>
      <c r="G3943" s="12" t="str">
        <f t="shared" si="301"/>
        <v>12-01</v>
      </c>
      <c r="H3943" s="1">
        <f>_xlfn.IFNA(VLOOKUP(Aragon!E3943,'Kilter Holds'!$P$36:$AB$370,13,0),0)</f>
        <v>0</v>
      </c>
      <c r="J3943" s="2">
        <f t="shared" si="305"/>
        <v>0</v>
      </c>
      <c r="K3943" s="2">
        <f t="shared" si="306"/>
        <v>0</v>
      </c>
    </row>
    <row r="3944" spans="5:11">
      <c r="E3944" s="3" t="s">
        <v>2684</v>
      </c>
      <c r="F3944" s="3" t="s">
        <v>2688</v>
      </c>
      <c r="G3944" s="5" t="str">
        <f t="shared" si="301"/>
        <v>11-12</v>
      </c>
      <c r="H3944" s="1">
        <f>_xlfn.IFNA(VLOOKUP(Aragon!E3944,'Kilter Holds'!$P$36:$AB$370,5,0),0)</f>
        <v>0</v>
      </c>
      <c r="J3944" s="2">
        <f t="shared" si="305"/>
        <v>0</v>
      </c>
      <c r="K3944" s="2">
        <f t="shared" si="306"/>
        <v>0</v>
      </c>
    </row>
    <row r="3945" spans="5:11">
      <c r="E3945" s="3" t="s">
        <v>2684</v>
      </c>
      <c r="F3945" s="3" t="s">
        <v>2688</v>
      </c>
      <c r="G3945" s="6" t="str">
        <f t="shared" si="301"/>
        <v>14-01</v>
      </c>
      <c r="H3945" s="1">
        <f>_xlfn.IFNA(VLOOKUP(Aragon!E3945,'Kilter Holds'!$P$36:$AB$370,6,0),0)</f>
        <v>0</v>
      </c>
      <c r="J3945" s="2">
        <f t="shared" si="305"/>
        <v>0</v>
      </c>
      <c r="K3945" s="2">
        <f t="shared" si="306"/>
        <v>0</v>
      </c>
    </row>
    <row r="3946" spans="5:11">
      <c r="E3946" s="3" t="s">
        <v>2684</v>
      </c>
      <c r="F3946" s="3" t="s">
        <v>2688</v>
      </c>
      <c r="G3946" s="7" t="str">
        <f t="shared" si="301"/>
        <v>15-12</v>
      </c>
      <c r="H3946" s="1">
        <f>_xlfn.IFNA(VLOOKUP(Aragon!E3946,'Kilter Holds'!$P$36:$AB$370,7,0),0)</f>
        <v>0</v>
      </c>
      <c r="J3946" s="2">
        <f t="shared" si="305"/>
        <v>0</v>
      </c>
      <c r="K3946" s="2">
        <f t="shared" si="306"/>
        <v>0</v>
      </c>
    </row>
    <row r="3947" spans="5:11">
      <c r="E3947" s="3" t="s">
        <v>2684</v>
      </c>
      <c r="F3947" s="3" t="s">
        <v>2688</v>
      </c>
      <c r="G3947" s="8" t="str">
        <f t="shared" si="301"/>
        <v>16-16</v>
      </c>
      <c r="H3947" s="1">
        <f>_xlfn.IFNA(VLOOKUP(Aragon!E3947,'Kilter Holds'!$P$36:$AB$370,8,0),0)</f>
        <v>0</v>
      </c>
      <c r="J3947" s="2">
        <f t="shared" si="305"/>
        <v>0</v>
      </c>
      <c r="K3947" s="2">
        <f t="shared" si="306"/>
        <v>0</v>
      </c>
    </row>
    <row r="3948" spans="5:11">
      <c r="E3948" s="3" t="s">
        <v>2684</v>
      </c>
      <c r="F3948" s="3" t="s">
        <v>2688</v>
      </c>
      <c r="G3948" s="9" t="str">
        <f t="shared" si="301"/>
        <v>13-01</v>
      </c>
      <c r="H3948" s="1">
        <f>_xlfn.IFNA(VLOOKUP(Aragon!E3948,'Kilter Holds'!$P$36:$AB$370,9,0),0)</f>
        <v>0</v>
      </c>
      <c r="J3948" s="2">
        <f t="shared" si="305"/>
        <v>0</v>
      </c>
      <c r="K3948" s="2">
        <f t="shared" si="306"/>
        <v>0</v>
      </c>
    </row>
    <row r="3949" spans="5:11">
      <c r="E3949" s="3" t="s">
        <v>2684</v>
      </c>
      <c r="F3949" s="3" t="s">
        <v>2688</v>
      </c>
      <c r="G3949" s="10" t="str">
        <f t="shared" si="301"/>
        <v>07-13</v>
      </c>
      <c r="H3949" s="1">
        <f>_xlfn.IFNA(VLOOKUP(Aragon!E3949,'Kilter Holds'!$P$36:$AB$370,10,0),0)</f>
        <v>0</v>
      </c>
      <c r="J3949" s="2">
        <f t="shared" si="305"/>
        <v>0</v>
      </c>
      <c r="K3949" s="2">
        <f t="shared" si="306"/>
        <v>0</v>
      </c>
    </row>
    <row r="3950" spans="5:11">
      <c r="E3950" s="3" t="s">
        <v>2684</v>
      </c>
      <c r="F3950" s="3" t="s">
        <v>2688</v>
      </c>
      <c r="G3950" s="11" t="str">
        <f t="shared" si="301"/>
        <v>11-25</v>
      </c>
      <c r="H3950" s="1">
        <f>_xlfn.IFNA(VLOOKUP(Aragon!E3950,'Kilter Holds'!$P$36:$AB$370,11,0),0)</f>
        <v>0</v>
      </c>
      <c r="J3950" s="2">
        <f t="shared" si="305"/>
        <v>0</v>
      </c>
      <c r="K3950" s="2">
        <f t="shared" si="306"/>
        <v>0</v>
      </c>
    </row>
    <row r="3951" spans="5:11">
      <c r="E3951" s="3" t="s">
        <v>2684</v>
      </c>
      <c r="F3951" s="3" t="s">
        <v>2688</v>
      </c>
      <c r="G3951" s="13" t="str">
        <f t="shared" si="301"/>
        <v>18-01</v>
      </c>
      <c r="H3951" s="1">
        <f>_xlfn.IFNA(VLOOKUP(Aragon!E3951,'Kilter Holds'!$P$36:$AB$370,12,0),0)</f>
        <v>0</v>
      </c>
      <c r="J3951" s="2">
        <f t="shared" si="305"/>
        <v>0</v>
      </c>
      <c r="K3951" s="2">
        <f t="shared" si="306"/>
        <v>0</v>
      </c>
    </row>
    <row r="3952" spans="5:11">
      <c r="E3952" s="3" t="s">
        <v>2684</v>
      </c>
      <c r="F3952" s="3" t="s">
        <v>2688</v>
      </c>
      <c r="G3952" s="12" t="str">
        <f t="shared" si="301"/>
        <v>12-01</v>
      </c>
      <c r="H3952" s="1">
        <f>_xlfn.IFNA(VLOOKUP(Aragon!E3952,'Kilter Holds'!$P$36:$AB$370,13,0),0)</f>
        <v>0</v>
      </c>
      <c r="J3952" s="2">
        <f t="shared" si="305"/>
        <v>0</v>
      </c>
      <c r="K3952" s="2">
        <f t="shared" si="306"/>
        <v>0</v>
      </c>
    </row>
    <row r="3953" spans="5:11">
      <c r="E3953" s="3" t="s">
        <v>2685</v>
      </c>
      <c r="F3953" s="3" t="s">
        <v>2689</v>
      </c>
      <c r="G3953" s="5" t="str">
        <f t="shared" si="301"/>
        <v>11-12</v>
      </c>
      <c r="H3953" s="1">
        <f>_xlfn.IFNA(VLOOKUP(Aragon!E3953,'Kilter Holds'!$P$36:$AB$370,5,0),0)</f>
        <v>0</v>
      </c>
      <c r="J3953" s="2">
        <f t="shared" si="305"/>
        <v>0</v>
      </c>
      <c r="K3953" s="2">
        <f t="shared" si="306"/>
        <v>0</v>
      </c>
    </row>
    <row r="3954" spans="5:11">
      <c r="E3954" s="3" t="s">
        <v>2685</v>
      </c>
      <c r="F3954" s="3" t="s">
        <v>2689</v>
      </c>
      <c r="G3954" s="6" t="str">
        <f t="shared" si="301"/>
        <v>14-01</v>
      </c>
      <c r="H3954" s="1">
        <f>_xlfn.IFNA(VLOOKUP(Aragon!E3954,'Kilter Holds'!$P$36:$AB$370,6,0),0)</f>
        <v>0</v>
      </c>
      <c r="J3954" s="2">
        <f t="shared" si="305"/>
        <v>0</v>
      </c>
      <c r="K3954" s="2">
        <f t="shared" si="306"/>
        <v>0</v>
      </c>
    </row>
    <row r="3955" spans="5:11">
      <c r="E3955" s="3" t="s">
        <v>2685</v>
      </c>
      <c r="F3955" s="3" t="s">
        <v>2689</v>
      </c>
      <c r="G3955" s="7" t="str">
        <f t="shared" si="301"/>
        <v>15-12</v>
      </c>
      <c r="H3955" s="1">
        <f>_xlfn.IFNA(VLOOKUP(Aragon!E3955,'Kilter Holds'!$P$36:$AB$370,7,0),0)</f>
        <v>0</v>
      </c>
      <c r="J3955" s="2">
        <f t="shared" si="305"/>
        <v>0</v>
      </c>
      <c r="K3955" s="2">
        <f t="shared" si="306"/>
        <v>0</v>
      </c>
    </row>
    <row r="3956" spans="5:11">
      <c r="E3956" s="3" t="s">
        <v>2685</v>
      </c>
      <c r="F3956" s="3" t="s">
        <v>2689</v>
      </c>
      <c r="G3956" s="8" t="str">
        <f t="shared" si="301"/>
        <v>16-16</v>
      </c>
      <c r="H3956" s="1">
        <f>_xlfn.IFNA(VLOOKUP(Aragon!E3956,'Kilter Holds'!$P$36:$AB$370,8,0),0)</f>
        <v>0</v>
      </c>
      <c r="J3956" s="2">
        <f t="shared" si="305"/>
        <v>0</v>
      </c>
      <c r="K3956" s="2">
        <f t="shared" si="306"/>
        <v>0</v>
      </c>
    </row>
    <row r="3957" spans="5:11">
      <c r="E3957" s="3" t="s">
        <v>2685</v>
      </c>
      <c r="F3957" s="3" t="s">
        <v>2689</v>
      </c>
      <c r="G3957" s="9" t="str">
        <f t="shared" si="301"/>
        <v>13-01</v>
      </c>
      <c r="H3957" s="1">
        <f>_xlfn.IFNA(VLOOKUP(Aragon!E3957,'Kilter Holds'!$P$36:$AB$370,9,0),0)</f>
        <v>0</v>
      </c>
      <c r="J3957" s="2">
        <f t="shared" si="305"/>
        <v>0</v>
      </c>
      <c r="K3957" s="2">
        <f t="shared" si="306"/>
        <v>0</v>
      </c>
    </row>
    <row r="3958" spans="5:11">
      <c r="E3958" s="3" t="s">
        <v>2685</v>
      </c>
      <c r="F3958" s="3" t="s">
        <v>2689</v>
      </c>
      <c r="G3958" s="10" t="str">
        <f t="shared" si="301"/>
        <v>07-13</v>
      </c>
      <c r="H3958" s="1">
        <f>_xlfn.IFNA(VLOOKUP(Aragon!E3958,'Kilter Holds'!$P$36:$AB$370,10,0),0)</f>
        <v>0</v>
      </c>
      <c r="J3958" s="2">
        <f t="shared" si="305"/>
        <v>0</v>
      </c>
      <c r="K3958" s="2">
        <f t="shared" si="306"/>
        <v>0</v>
      </c>
    </row>
    <row r="3959" spans="5:11">
      <c r="E3959" s="3" t="s">
        <v>2685</v>
      </c>
      <c r="F3959" s="3" t="s">
        <v>2689</v>
      </c>
      <c r="G3959" s="11" t="str">
        <f t="shared" si="301"/>
        <v>11-25</v>
      </c>
      <c r="H3959" s="1">
        <f>_xlfn.IFNA(VLOOKUP(Aragon!E3959,'Kilter Holds'!$P$36:$AB$370,11,0),0)</f>
        <v>0</v>
      </c>
      <c r="J3959" s="2">
        <f t="shared" si="305"/>
        <v>0</v>
      </c>
      <c r="K3959" s="2">
        <f t="shared" si="306"/>
        <v>0</v>
      </c>
    </row>
    <row r="3960" spans="5:11">
      <c r="E3960" s="3" t="s">
        <v>2685</v>
      </c>
      <c r="F3960" s="3" t="s">
        <v>2689</v>
      </c>
      <c r="G3960" s="13" t="str">
        <f t="shared" si="301"/>
        <v>18-01</v>
      </c>
      <c r="H3960" s="1">
        <f>_xlfn.IFNA(VLOOKUP(Aragon!E3960,'Kilter Holds'!$P$36:$AB$370,12,0),0)</f>
        <v>0</v>
      </c>
      <c r="J3960" s="2">
        <f t="shared" si="305"/>
        <v>0</v>
      </c>
      <c r="K3960" s="2">
        <f t="shared" si="306"/>
        <v>0</v>
      </c>
    </row>
    <row r="3961" spans="5:11">
      <c r="E3961" s="3" t="s">
        <v>2685</v>
      </c>
      <c r="F3961" s="3" t="s">
        <v>2689</v>
      </c>
      <c r="G3961" s="12" t="str">
        <f t="shared" si="301"/>
        <v>12-01</v>
      </c>
      <c r="H3961" s="1">
        <f>_xlfn.IFNA(VLOOKUP(Aragon!E3961,'Kilter Holds'!$P$36:$AB$370,13,0),0)</f>
        <v>0</v>
      </c>
      <c r="J3961" s="2">
        <f t="shared" si="305"/>
        <v>0</v>
      </c>
      <c r="K3961" s="2">
        <f t="shared" si="306"/>
        <v>0</v>
      </c>
    </row>
    <row r="3962" spans="5:11">
      <c r="E3962" s="3" t="s">
        <v>2973</v>
      </c>
      <c r="F3962" s="3" t="s">
        <v>2974</v>
      </c>
      <c r="G3962" s="5" t="str">
        <f t="shared" si="301"/>
        <v>11-12</v>
      </c>
      <c r="H3962" s="1">
        <f>_xlfn.IFNA(VLOOKUP(Aragon!E3962,'Kilter Holds'!$P$36:$AB$370,5,0),0)</f>
        <v>0</v>
      </c>
      <c r="J3962" s="2">
        <f t="shared" ref="J3962:J3979" si="307">H3962*I3962</f>
        <v>0</v>
      </c>
      <c r="K3962" s="2">
        <f t="shared" ref="K3962:K3979" si="308">IF($V$11="Y",J3962*0.05,0)</f>
        <v>0</v>
      </c>
    </row>
    <row r="3963" spans="5:11">
      <c r="E3963" s="3" t="s">
        <v>2973</v>
      </c>
      <c r="F3963" s="3" t="s">
        <v>2974</v>
      </c>
      <c r="G3963" s="6" t="str">
        <f t="shared" si="301"/>
        <v>14-01</v>
      </c>
      <c r="H3963" s="1">
        <f>_xlfn.IFNA(VLOOKUP(Aragon!E3963,'Kilter Holds'!$P$36:$AB$370,6,0),0)</f>
        <v>0</v>
      </c>
      <c r="J3963" s="2">
        <f t="shared" si="307"/>
        <v>0</v>
      </c>
      <c r="K3963" s="2">
        <f t="shared" si="308"/>
        <v>0</v>
      </c>
    </row>
    <row r="3964" spans="5:11">
      <c r="E3964" s="3" t="s">
        <v>2973</v>
      </c>
      <c r="F3964" s="3" t="s">
        <v>2974</v>
      </c>
      <c r="G3964" s="7" t="str">
        <f t="shared" si="301"/>
        <v>15-12</v>
      </c>
      <c r="H3964" s="1">
        <f>_xlfn.IFNA(VLOOKUP(Aragon!E3964,'Kilter Holds'!$P$36:$AB$370,7,0),0)</f>
        <v>0</v>
      </c>
      <c r="J3964" s="2">
        <f t="shared" si="307"/>
        <v>0</v>
      </c>
      <c r="K3964" s="2">
        <f t="shared" si="308"/>
        <v>0</v>
      </c>
    </row>
    <row r="3965" spans="5:11">
      <c r="E3965" s="3" t="s">
        <v>2973</v>
      </c>
      <c r="F3965" s="3" t="s">
        <v>2974</v>
      </c>
      <c r="G3965" s="8" t="str">
        <f t="shared" si="301"/>
        <v>16-16</v>
      </c>
      <c r="H3965" s="1">
        <f>_xlfn.IFNA(VLOOKUP(Aragon!E3965,'Kilter Holds'!$P$36:$AB$370,8,0),0)</f>
        <v>0</v>
      </c>
      <c r="J3965" s="2">
        <f t="shared" si="307"/>
        <v>0</v>
      </c>
      <c r="K3965" s="2">
        <f t="shared" si="308"/>
        <v>0</v>
      </c>
    </row>
    <row r="3966" spans="5:11">
      <c r="E3966" s="3" t="s">
        <v>2973</v>
      </c>
      <c r="F3966" s="3" t="s">
        <v>2974</v>
      </c>
      <c r="G3966" s="9" t="str">
        <f t="shared" si="301"/>
        <v>13-01</v>
      </c>
      <c r="H3966" s="1">
        <f>_xlfn.IFNA(VLOOKUP(Aragon!E3966,'Kilter Holds'!$P$36:$AB$370,9,0),0)</f>
        <v>0</v>
      </c>
      <c r="J3966" s="2">
        <f t="shared" si="307"/>
        <v>0</v>
      </c>
      <c r="K3966" s="2">
        <f t="shared" si="308"/>
        <v>0</v>
      </c>
    </row>
    <row r="3967" spans="5:11">
      <c r="E3967" s="3" t="s">
        <v>2973</v>
      </c>
      <c r="F3967" s="3" t="s">
        <v>2974</v>
      </c>
      <c r="G3967" s="10" t="str">
        <f t="shared" si="301"/>
        <v>07-13</v>
      </c>
      <c r="H3967" s="1">
        <f>_xlfn.IFNA(VLOOKUP(Aragon!E3967,'Kilter Holds'!$P$36:$AB$370,10,0),0)</f>
        <v>0</v>
      </c>
      <c r="J3967" s="2">
        <f t="shared" si="307"/>
        <v>0</v>
      </c>
      <c r="K3967" s="2">
        <f t="shared" si="308"/>
        <v>0</v>
      </c>
    </row>
    <row r="3968" spans="5:11">
      <c r="E3968" s="3" t="s">
        <v>2973</v>
      </c>
      <c r="F3968" s="3" t="s">
        <v>2974</v>
      </c>
      <c r="G3968" s="11" t="str">
        <f t="shared" si="301"/>
        <v>11-25</v>
      </c>
      <c r="H3968" s="1">
        <f>_xlfn.IFNA(VLOOKUP(Aragon!E3968,'Kilter Holds'!$P$36:$AB$370,11,0),0)</f>
        <v>0</v>
      </c>
      <c r="J3968" s="2">
        <f t="shared" si="307"/>
        <v>0</v>
      </c>
      <c r="K3968" s="2">
        <f t="shared" si="308"/>
        <v>0</v>
      </c>
    </row>
    <row r="3969" spans="5:11">
      <c r="E3969" s="3" t="s">
        <v>2973</v>
      </c>
      <c r="F3969" s="3" t="s">
        <v>2974</v>
      </c>
      <c r="G3969" s="13" t="str">
        <f t="shared" si="301"/>
        <v>18-01</v>
      </c>
      <c r="H3969" s="1">
        <f>_xlfn.IFNA(VLOOKUP(Aragon!E3969,'Kilter Holds'!$P$36:$AB$370,12,0),0)</f>
        <v>0</v>
      </c>
      <c r="J3969" s="2">
        <f t="shared" si="307"/>
        <v>0</v>
      </c>
      <c r="K3969" s="2">
        <f t="shared" si="308"/>
        <v>0</v>
      </c>
    </row>
    <row r="3970" spans="5:11">
      <c r="E3970" s="3" t="s">
        <v>2973</v>
      </c>
      <c r="F3970" s="3" t="s">
        <v>2974</v>
      </c>
      <c r="G3970" s="12" t="str">
        <f t="shared" si="301"/>
        <v>12-01</v>
      </c>
      <c r="H3970" s="1">
        <f>_xlfn.IFNA(VLOOKUP(Aragon!E3970,'Kilter Holds'!$P$36:$AB$370,13,0),0)</f>
        <v>0</v>
      </c>
      <c r="J3970" s="2">
        <f t="shared" si="307"/>
        <v>0</v>
      </c>
      <c r="K3970" s="2">
        <f t="shared" si="308"/>
        <v>0</v>
      </c>
    </row>
    <row r="3971" spans="5:11">
      <c r="E3971" s="3" t="s">
        <v>2975</v>
      </c>
      <c r="F3971" s="3" t="s">
        <v>2976</v>
      </c>
      <c r="G3971" s="5" t="str">
        <f t="shared" si="301"/>
        <v>11-12</v>
      </c>
      <c r="H3971" s="1">
        <f>_xlfn.IFNA(VLOOKUP(Aragon!E3971,'Kilter Holds'!$P$36:$AB$370,5,0),0)</f>
        <v>0</v>
      </c>
      <c r="J3971" s="2">
        <f t="shared" si="307"/>
        <v>0</v>
      </c>
      <c r="K3971" s="2">
        <f t="shared" si="308"/>
        <v>0</v>
      </c>
    </row>
    <row r="3972" spans="5:11">
      <c r="E3972" s="3" t="s">
        <v>2975</v>
      </c>
      <c r="F3972" s="3" t="s">
        <v>2976</v>
      </c>
      <c r="G3972" s="6" t="str">
        <f t="shared" si="301"/>
        <v>14-01</v>
      </c>
      <c r="H3972" s="1">
        <f>_xlfn.IFNA(VLOOKUP(Aragon!E3972,'Kilter Holds'!$P$36:$AB$370,6,0),0)</f>
        <v>0</v>
      </c>
      <c r="J3972" s="2">
        <f t="shared" si="307"/>
        <v>0</v>
      </c>
      <c r="K3972" s="2">
        <f t="shared" si="308"/>
        <v>0</v>
      </c>
    </row>
    <row r="3973" spans="5:11">
      <c r="E3973" s="3" t="s">
        <v>2975</v>
      </c>
      <c r="F3973" s="3" t="s">
        <v>2976</v>
      </c>
      <c r="G3973" s="7" t="str">
        <f t="shared" si="301"/>
        <v>15-12</v>
      </c>
      <c r="H3973" s="1">
        <f>_xlfn.IFNA(VLOOKUP(Aragon!E3973,'Kilter Holds'!$P$36:$AB$370,7,0),0)</f>
        <v>0</v>
      </c>
      <c r="J3973" s="2">
        <f t="shared" si="307"/>
        <v>0</v>
      </c>
      <c r="K3973" s="2">
        <f t="shared" si="308"/>
        <v>0</v>
      </c>
    </row>
    <row r="3974" spans="5:11">
      <c r="E3974" s="3" t="s">
        <v>2975</v>
      </c>
      <c r="F3974" s="3" t="s">
        <v>2976</v>
      </c>
      <c r="G3974" s="8" t="str">
        <f t="shared" si="301"/>
        <v>16-16</v>
      </c>
      <c r="H3974" s="1">
        <f>_xlfn.IFNA(VLOOKUP(Aragon!E3974,'Kilter Holds'!$P$36:$AB$370,8,0),0)</f>
        <v>0</v>
      </c>
      <c r="J3974" s="2">
        <f t="shared" si="307"/>
        <v>0</v>
      </c>
      <c r="K3974" s="2">
        <f t="shared" si="308"/>
        <v>0</v>
      </c>
    </row>
    <row r="3975" spans="5:11">
      <c r="E3975" s="3" t="s">
        <v>2975</v>
      </c>
      <c r="F3975" s="3" t="s">
        <v>2976</v>
      </c>
      <c r="G3975" s="9" t="str">
        <f t="shared" si="301"/>
        <v>13-01</v>
      </c>
      <c r="H3975" s="1">
        <f>_xlfn.IFNA(VLOOKUP(Aragon!E3975,'Kilter Holds'!$P$36:$AB$370,9,0),0)</f>
        <v>0</v>
      </c>
      <c r="J3975" s="2">
        <f t="shared" si="307"/>
        <v>0</v>
      </c>
      <c r="K3975" s="2">
        <f t="shared" si="308"/>
        <v>0</v>
      </c>
    </row>
    <row r="3976" spans="5:11">
      <c r="E3976" s="3" t="s">
        <v>2975</v>
      </c>
      <c r="F3976" s="3" t="s">
        <v>2976</v>
      </c>
      <c r="G3976" s="10" t="str">
        <f t="shared" si="301"/>
        <v>07-13</v>
      </c>
      <c r="H3976" s="1">
        <f>_xlfn.IFNA(VLOOKUP(Aragon!E3976,'Kilter Holds'!$P$36:$AB$370,10,0),0)</f>
        <v>0</v>
      </c>
      <c r="J3976" s="2">
        <f t="shared" si="307"/>
        <v>0</v>
      </c>
      <c r="K3976" s="2">
        <f t="shared" si="308"/>
        <v>0</v>
      </c>
    </row>
    <row r="3977" spans="5:11">
      <c r="E3977" s="3" t="s">
        <v>2975</v>
      </c>
      <c r="F3977" s="3" t="s">
        <v>2976</v>
      </c>
      <c r="G3977" s="11" t="str">
        <f t="shared" si="301"/>
        <v>11-25</v>
      </c>
      <c r="H3977" s="1">
        <f>_xlfn.IFNA(VLOOKUP(Aragon!E3977,'Kilter Holds'!$P$36:$AB$370,11,0),0)</f>
        <v>0</v>
      </c>
      <c r="J3977" s="2">
        <f t="shared" si="307"/>
        <v>0</v>
      </c>
      <c r="K3977" s="2">
        <f t="shared" si="308"/>
        <v>0</v>
      </c>
    </row>
    <row r="3978" spans="5:11">
      <c r="E3978" s="3" t="s">
        <v>2975</v>
      </c>
      <c r="F3978" s="3" t="s">
        <v>2976</v>
      </c>
      <c r="G3978" s="13" t="str">
        <f t="shared" si="301"/>
        <v>18-01</v>
      </c>
      <c r="H3978" s="1">
        <f>_xlfn.IFNA(VLOOKUP(Aragon!E3978,'Kilter Holds'!$P$36:$AB$370,12,0),0)</f>
        <v>0</v>
      </c>
      <c r="J3978" s="2">
        <f t="shared" si="307"/>
        <v>0</v>
      </c>
      <c r="K3978" s="2">
        <f t="shared" si="308"/>
        <v>0</v>
      </c>
    </row>
    <row r="3979" spans="5:11">
      <c r="E3979" s="3" t="s">
        <v>2975</v>
      </c>
      <c r="F3979" s="3" t="s">
        <v>2976</v>
      </c>
      <c r="G3979" s="12" t="str">
        <f t="shared" si="301"/>
        <v>12-01</v>
      </c>
      <c r="H3979" s="1">
        <f>_xlfn.IFNA(VLOOKUP(Aragon!E3979,'Kilter Holds'!$P$36:$AB$370,13,0),0)</f>
        <v>0</v>
      </c>
      <c r="J3979" s="2">
        <f t="shared" si="307"/>
        <v>0</v>
      </c>
      <c r="K3979" s="2">
        <f t="shared" si="308"/>
        <v>0</v>
      </c>
    </row>
    <row r="3980" spans="5:11">
      <c r="E3980" s="3" t="s">
        <v>2979</v>
      </c>
      <c r="F3980" s="3" t="s">
        <v>2994</v>
      </c>
      <c r="G3980" s="5" t="str">
        <f t="shared" si="301"/>
        <v>11-12</v>
      </c>
      <c r="H3980" s="1">
        <f>_xlfn.IFNA(VLOOKUP(Aragon!E3980,'Kilter Holds'!$P$36:$AB$370,5,0),0)</f>
        <v>0</v>
      </c>
      <c r="J3980" s="2">
        <f t="shared" ref="J3980:J3988" si="309">H3980*I3980</f>
        <v>0</v>
      </c>
      <c r="K3980" s="2">
        <f t="shared" ref="K3980:K3988" si="310">IF($V$11="Y",J3980*0.05,0)</f>
        <v>0</v>
      </c>
    </row>
    <row r="3981" spans="5:11">
      <c r="E3981" s="3" t="s">
        <v>2979</v>
      </c>
      <c r="F3981" s="3" t="s">
        <v>2994</v>
      </c>
      <c r="G3981" s="6" t="str">
        <f t="shared" si="301"/>
        <v>14-01</v>
      </c>
      <c r="H3981" s="1">
        <f>_xlfn.IFNA(VLOOKUP(Aragon!E3981,'Kilter Holds'!$P$36:$AB$370,6,0),0)</f>
        <v>0</v>
      </c>
      <c r="J3981" s="2">
        <f t="shared" si="309"/>
        <v>0</v>
      </c>
      <c r="K3981" s="2">
        <f t="shared" si="310"/>
        <v>0</v>
      </c>
    </row>
    <row r="3982" spans="5:11">
      <c r="E3982" s="3" t="s">
        <v>2979</v>
      </c>
      <c r="F3982" s="3" t="s">
        <v>2994</v>
      </c>
      <c r="G3982" s="7" t="str">
        <f t="shared" si="301"/>
        <v>15-12</v>
      </c>
      <c r="H3982" s="1">
        <f>_xlfn.IFNA(VLOOKUP(Aragon!E3982,'Kilter Holds'!$P$36:$AB$370,7,0),0)</f>
        <v>0</v>
      </c>
      <c r="J3982" s="2">
        <f t="shared" si="309"/>
        <v>0</v>
      </c>
      <c r="K3982" s="2">
        <f t="shared" si="310"/>
        <v>0</v>
      </c>
    </row>
    <row r="3983" spans="5:11">
      <c r="E3983" s="3" t="s">
        <v>2979</v>
      </c>
      <c r="F3983" s="3" t="s">
        <v>2994</v>
      </c>
      <c r="G3983" s="8" t="str">
        <f t="shared" si="301"/>
        <v>16-16</v>
      </c>
      <c r="H3983" s="1">
        <f>_xlfn.IFNA(VLOOKUP(Aragon!E3983,'Kilter Holds'!$P$36:$AB$370,8,0),0)</f>
        <v>0</v>
      </c>
      <c r="J3983" s="2">
        <f t="shared" si="309"/>
        <v>0</v>
      </c>
      <c r="K3983" s="2">
        <f t="shared" si="310"/>
        <v>0</v>
      </c>
    </row>
    <row r="3984" spans="5:11">
      <c r="E3984" s="3" t="s">
        <v>2979</v>
      </c>
      <c r="F3984" s="3" t="s">
        <v>2994</v>
      </c>
      <c r="G3984" s="9" t="str">
        <f t="shared" si="301"/>
        <v>13-01</v>
      </c>
      <c r="H3984" s="1">
        <f>_xlfn.IFNA(VLOOKUP(Aragon!E3984,'Kilter Holds'!$P$36:$AB$370,9,0),0)</f>
        <v>0</v>
      </c>
      <c r="J3984" s="2">
        <f t="shared" si="309"/>
        <v>0</v>
      </c>
      <c r="K3984" s="2">
        <f t="shared" si="310"/>
        <v>0</v>
      </c>
    </row>
    <row r="3985" spans="5:11">
      <c r="E3985" s="3" t="s">
        <v>2979</v>
      </c>
      <c r="F3985" s="3" t="s">
        <v>2994</v>
      </c>
      <c r="G3985" s="10" t="str">
        <f t="shared" si="301"/>
        <v>07-13</v>
      </c>
      <c r="H3985" s="1">
        <f>_xlfn.IFNA(VLOOKUP(Aragon!E3985,'Kilter Holds'!$P$36:$AB$370,10,0),0)</f>
        <v>0</v>
      </c>
      <c r="J3985" s="2">
        <f t="shared" si="309"/>
        <v>0</v>
      </c>
      <c r="K3985" s="2">
        <f t="shared" si="310"/>
        <v>0</v>
      </c>
    </row>
    <row r="3986" spans="5:11">
      <c r="E3986" s="3" t="s">
        <v>2979</v>
      </c>
      <c r="F3986" s="3" t="s">
        <v>2994</v>
      </c>
      <c r="G3986" s="11" t="str">
        <f t="shared" si="301"/>
        <v>11-25</v>
      </c>
      <c r="H3986" s="1">
        <f>_xlfn.IFNA(VLOOKUP(Aragon!E3986,'Kilter Holds'!$P$36:$AB$370,11,0),0)</f>
        <v>0</v>
      </c>
      <c r="J3986" s="2">
        <f t="shared" si="309"/>
        <v>0</v>
      </c>
      <c r="K3986" s="2">
        <f t="shared" si="310"/>
        <v>0</v>
      </c>
    </row>
    <row r="3987" spans="5:11">
      <c r="E3987" s="3" t="s">
        <v>2979</v>
      </c>
      <c r="F3987" s="3" t="s">
        <v>2994</v>
      </c>
      <c r="G3987" s="13" t="str">
        <f t="shared" si="301"/>
        <v>18-01</v>
      </c>
      <c r="H3987" s="1">
        <f>_xlfn.IFNA(VLOOKUP(Aragon!E3987,'Kilter Holds'!$P$36:$AB$370,12,0),0)</f>
        <v>0</v>
      </c>
      <c r="J3987" s="2">
        <f t="shared" si="309"/>
        <v>0</v>
      </c>
      <c r="K3987" s="2">
        <f t="shared" si="310"/>
        <v>0</v>
      </c>
    </row>
    <row r="3988" spans="5:11">
      <c r="E3988" s="3" t="s">
        <v>2979</v>
      </c>
      <c r="F3988" s="3" t="s">
        <v>2994</v>
      </c>
      <c r="G3988" s="12" t="str">
        <f t="shared" si="301"/>
        <v>12-01</v>
      </c>
      <c r="H3988" s="1">
        <f>_xlfn.IFNA(VLOOKUP(Aragon!E3988,'Kilter Holds'!$P$36:$AB$370,13,0),0)</f>
        <v>0</v>
      </c>
      <c r="J3988" s="2">
        <f t="shared" si="309"/>
        <v>0</v>
      </c>
      <c r="K3988" s="2">
        <f t="shared" si="310"/>
        <v>0</v>
      </c>
    </row>
    <row r="3989" spans="5:11">
      <c r="E3989" t="s">
        <v>135</v>
      </c>
      <c r="F3989" t="s">
        <v>809</v>
      </c>
      <c r="G3989" s="5" t="str">
        <f t="shared" ref="G3989:G3997" si="311">G3917</f>
        <v>11-12</v>
      </c>
      <c r="H3989" s="1">
        <f>_xlfn.IFNA(VLOOKUP(Aragon!E3989,'Kilter Holds'!$P$36:$AB$370,5,0),0)</f>
        <v>0</v>
      </c>
      <c r="J3989" s="2">
        <f t="shared" si="299"/>
        <v>0</v>
      </c>
      <c r="K3989" s="2">
        <f t="shared" si="300"/>
        <v>0</v>
      </c>
    </row>
    <row r="3990" spans="5:11">
      <c r="E3990" t="s">
        <v>135</v>
      </c>
      <c r="F3990" t="s">
        <v>809</v>
      </c>
      <c r="G3990" s="6" t="str">
        <f t="shared" si="311"/>
        <v>14-01</v>
      </c>
      <c r="H3990" s="1">
        <f>_xlfn.IFNA(VLOOKUP(Aragon!E3990,'Kilter Holds'!$P$36:$AB$370,6,0),0)</f>
        <v>0</v>
      </c>
      <c r="J3990" s="2">
        <f t="shared" si="299"/>
        <v>0</v>
      </c>
      <c r="K3990" s="2">
        <f t="shared" si="300"/>
        <v>0</v>
      </c>
    </row>
    <row r="3991" spans="5:11">
      <c r="E3991" t="s">
        <v>135</v>
      </c>
      <c r="F3991" t="s">
        <v>809</v>
      </c>
      <c r="G3991" s="7" t="str">
        <f t="shared" si="311"/>
        <v>15-12</v>
      </c>
      <c r="H3991" s="1">
        <f>_xlfn.IFNA(VLOOKUP(Aragon!E3991,'Kilter Holds'!$P$36:$AB$370,7,0),0)</f>
        <v>0</v>
      </c>
      <c r="J3991" s="2">
        <f t="shared" si="299"/>
        <v>0</v>
      </c>
      <c r="K3991" s="2">
        <f t="shared" si="300"/>
        <v>0</v>
      </c>
    </row>
    <row r="3992" spans="5:11">
      <c r="E3992" t="s">
        <v>135</v>
      </c>
      <c r="F3992" t="s">
        <v>809</v>
      </c>
      <c r="G3992" s="8" t="str">
        <f t="shared" si="311"/>
        <v>16-16</v>
      </c>
      <c r="H3992" s="1">
        <f>_xlfn.IFNA(VLOOKUP(Aragon!E3992,'Kilter Holds'!$P$36:$AB$370,8,0),0)</f>
        <v>0</v>
      </c>
      <c r="J3992" s="2">
        <f t="shared" si="299"/>
        <v>0</v>
      </c>
      <c r="K3992" s="2">
        <f t="shared" si="300"/>
        <v>0</v>
      </c>
    </row>
    <row r="3993" spans="5:11">
      <c r="E3993" t="s">
        <v>135</v>
      </c>
      <c r="F3993" t="s">
        <v>809</v>
      </c>
      <c r="G3993" s="9" t="str">
        <f t="shared" si="311"/>
        <v>13-01</v>
      </c>
      <c r="H3993" s="1">
        <f>_xlfn.IFNA(VLOOKUP(Aragon!E3993,'Kilter Holds'!$P$36:$AB$370,9,0),0)</f>
        <v>0</v>
      </c>
      <c r="J3993" s="2">
        <f t="shared" ref="J3993:J4056" si="312">H3993*I3993</f>
        <v>0</v>
      </c>
      <c r="K3993" s="2">
        <f t="shared" si="300"/>
        <v>0</v>
      </c>
    </row>
    <row r="3994" spans="5:11">
      <c r="E3994" t="s">
        <v>135</v>
      </c>
      <c r="F3994" t="s">
        <v>809</v>
      </c>
      <c r="G3994" s="10" t="str">
        <f t="shared" si="311"/>
        <v>07-13</v>
      </c>
      <c r="H3994" s="1">
        <f>_xlfn.IFNA(VLOOKUP(Aragon!E3994,'Kilter Holds'!$P$36:$AB$370,10,0),0)</f>
        <v>0</v>
      </c>
      <c r="J3994" s="2">
        <f t="shared" si="312"/>
        <v>0</v>
      </c>
      <c r="K3994" s="2">
        <f t="shared" si="300"/>
        <v>0</v>
      </c>
    </row>
    <row r="3995" spans="5:11">
      <c r="E3995" t="s">
        <v>135</v>
      </c>
      <c r="F3995" t="s">
        <v>809</v>
      </c>
      <c r="G3995" s="11" t="str">
        <f t="shared" si="311"/>
        <v>11-25</v>
      </c>
      <c r="H3995" s="1">
        <f>_xlfn.IFNA(VLOOKUP(Aragon!E3995,'Kilter Holds'!$P$36:$AB$370,11,0),0)</f>
        <v>0</v>
      </c>
      <c r="J3995" s="2">
        <f t="shared" si="312"/>
        <v>0</v>
      </c>
      <c r="K3995" s="2">
        <f t="shared" si="300"/>
        <v>0</v>
      </c>
    </row>
    <row r="3996" spans="5:11">
      <c r="E3996" t="s">
        <v>135</v>
      </c>
      <c r="F3996" t="s">
        <v>809</v>
      </c>
      <c r="G3996" s="13" t="str">
        <f t="shared" si="311"/>
        <v>18-01</v>
      </c>
      <c r="H3996" s="1">
        <f>_xlfn.IFNA(VLOOKUP(Aragon!E3996,'Kilter Holds'!$P$36:$AB$370,12,0),0)</f>
        <v>0</v>
      </c>
      <c r="J3996" s="2">
        <f t="shared" si="312"/>
        <v>0</v>
      </c>
      <c r="K3996" s="2">
        <f t="shared" si="300"/>
        <v>0</v>
      </c>
    </row>
    <row r="3997" spans="5:11">
      <c r="E3997" t="s">
        <v>135</v>
      </c>
      <c r="F3997" t="s">
        <v>809</v>
      </c>
      <c r="G3997" s="12" t="str">
        <f t="shared" si="311"/>
        <v>12-01</v>
      </c>
      <c r="H3997" s="1">
        <f>_xlfn.IFNA(VLOOKUP(Aragon!E3997,'Kilter Holds'!$P$36:$AB$370,13,0),0)</f>
        <v>0</v>
      </c>
      <c r="J3997" s="2">
        <f t="shared" si="312"/>
        <v>0</v>
      </c>
      <c r="K3997" s="2">
        <f t="shared" si="300"/>
        <v>0</v>
      </c>
    </row>
    <row r="3998" spans="5:11">
      <c r="E3998" t="s">
        <v>136</v>
      </c>
      <c r="F3998" t="s">
        <v>810</v>
      </c>
      <c r="G3998" s="5" t="str">
        <f t="shared" si="301"/>
        <v>11-12</v>
      </c>
      <c r="H3998" s="1">
        <f>_xlfn.IFNA(VLOOKUP(Aragon!E3998,'Kilter Holds'!$P$36:$AB$370,5,0),0)</f>
        <v>0</v>
      </c>
      <c r="J3998" s="2">
        <f t="shared" si="312"/>
        <v>0</v>
      </c>
      <c r="K3998" s="2">
        <f t="shared" si="300"/>
        <v>0</v>
      </c>
    </row>
    <row r="3999" spans="5:11">
      <c r="E3999" t="s">
        <v>136</v>
      </c>
      <c r="F3999" t="s">
        <v>810</v>
      </c>
      <c r="G3999" s="6" t="str">
        <f t="shared" si="301"/>
        <v>14-01</v>
      </c>
      <c r="H3999" s="1">
        <f>_xlfn.IFNA(VLOOKUP(Aragon!E3999,'Kilter Holds'!$P$36:$AB$370,6,0),0)</f>
        <v>0</v>
      </c>
      <c r="J3999" s="2">
        <f t="shared" si="312"/>
        <v>0</v>
      </c>
      <c r="K3999" s="2">
        <f t="shared" si="300"/>
        <v>0</v>
      </c>
    </row>
    <row r="4000" spans="5:11">
      <c r="E4000" t="s">
        <v>136</v>
      </c>
      <c r="F4000" t="s">
        <v>810</v>
      </c>
      <c r="G4000" s="7" t="str">
        <f t="shared" si="301"/>
        <v>15-12</v>
      </c>
      <c r="H4000" s="1">
        <f>_xlfn.IFNA(VLOOKUP(Aragon!E4000,'Kilter Holds'!$P$36:$AB$370,7,0),0)</f>
        <v>0</v>
      </c>
      <c r="J4000" s="2">
        <f t="shared" si="312"/>
        <v>0</v>
      </c>
      <c r="K4000" s="2">
        <f t="shared" si="300"/>
        <v>0</v>
      </c>
    </row>
    <row r="4001" spans="5:11">
      <c r="E4001" t="s">
        <v>136</v>
      </c>
      <c r="F4001" t="s">
        <v>810</v>
      </c>
      <c r="G4001" s="8" t="str">
        <f t="shared" si="301"/>
        <v>16-16</v>
      </c>
      <c r="H4001" s="1">
        <f>_xlfn.IFNA(VLOOKUP(Aragon!E4001,'Kilter Holds'!$P$36:$AB$370,8,0),0)</f>
        <v>0</v>
      </c>
      <c r="J4001" s="2">
        <f t="shared" si="312"/>
        <v>0</v>
      </c>
      <c r="K4001" s="2">
        <f t="shared" si="300"/>
        <v>0</v>
      </c>
    </row>
    <row r="4002" spans="5:11">
      <c r="E4002" t="s">
        <v>136</v>
      </c>
      <c r="F4002" t="s">
        <v>810</v>
      </c>
      <c r="G4002" s="9" t="str">
        <f t="shared" si="301"/>
        <v>13-01</v>
      </c>
      <c r="H4002" s="1">
        <f>_xlfn.IFNA(VLOOKUP(Aragon!E4002,'Kilter Holds'!$P$36:$AB$370,9,0),0)</f>
        <v>0</v>
      </c>
      <c r="J4002" s="2">
        <f t="shared" si="312"/>
        <v>0</v>
      </c>
      <c r="K4002" s="2">
        <f t="shared" si="300"/>
        <v>0</v>
      </c>
    </row>
    <row r="4003" spans="5:11">
      <c r="E4003" t="s">
        <v>136</v>
      </c>
      <c r="F4003" t="s">
        <v>810</v>
      </c>
      <c r="G4003" s="10" t="str">
        <f t="shared" si="301"/>
        <v>07-13</v>
      </c>
      <c r="H4003" s="1">
        <f>_xlfn.IFNA(VLOOKUP(Aragon!E4003,'Kilter Holds'!$P$36:$AB$370,10,0),0)</f>
        <v>0</v>
      </c>
      <c r="J4003" s="2">
        <f t="shared" si="312"/>
        <v>0</v>
      </c>
      <c r="K4003" s="2">
        <f t="shared" si="300"/>
        <v>0</v>
      </c>
    </row>
    <row r="4004" spans="5:11">
      <c r="E4004" t="s">
        <v>136</v>
      </c>
      <c r="F4004" t="s">
        <v>810</v>
      </c>
      <c r="G4004" s="11" t="str">
        <f t="shared" si="301"/>
        <v>11-25</v>
      </c>
      <c r="H4004" s="1">
        <f>_xlfn.IFNA(VLOOKUP(Aragon!E4004,'Kilter Holds'!$P$36:$AB$370,11,0),0)</f>
        <v>0</v>
      </c>
      <c r="J4004" s="2">
        <f t="shared" si="312"/>
        <v>0</v>
      </c>
      <c r="K4004" s="2">
        <f t="shared" ref="K4004:K4067" si="313">IF($V$11="Y",J4004*0.05,0)</f>
        <v>0</v>
      </c>
    </row>
    <row r="4005" spans="5:11">
      <c r="E4005" t="s">
        <v>136</v>
      </c>
      <c r="F4005" t="s">
        <v>810</v>
      </c>
      <c r="G4005" s="13" t="str">
        <f t="shared" ref="G4005:G4068" si="314">G3996</f>
        <v>18-01</v>
      </c>
      <c r="H4005" s="1">
        <f>_xlfn.IFNA(VLOOKUP(Aragon!E4005,'Kilter Holds'!$P$36:$AB$370,12,0),0)</f>
        <v>0</v>
      </c>
      <c r="J4005" s="2">
        <f t="shared" si="312"/>
        <v>0</v>
      </c>
      <c r="K4005" s="2">
        <f t="shared" si="313"/>
        <v>0</v>
      </c>
    </row>
    <row r="4006" spans="5:11">
      <c r="E4006" t="s">
        <v>136</v>
      </c>
      <c r="F4006" t="s">
        <v>810</v>
      </c>
      <c r="G4006" s="12" t="str">
        <f t="shared" si="314"/>
        <v>12-01</v>
      </c>
      <c r="H4006" s="1">
        <f>_xlfn.IFNA(VLOOKUP(Aragon!E4006,'Kilter Holds'!$P$36:$AB$370,13,0),0)</f>
        <v>0</v>
      </c>
      <c r="J4006" s="2">
        <f t="shared" si="312"/>
        <v>0</v>
      </c>
      <c r="K4006" s="2">
        <f t="shared" si="313"/>
        <v>0</v>
      </c>
    </row>
    <row r="4007" spans="5:11">
      <c r="E4007" t="s">
        <v>137</v>
      </c>
      <c r="F4007" t="s">
        <v>811</v>
      </c>
      <c r="G4007" s="5" t="str">
        <f t="shared" si="314"/>
        <v>11-12</v>
      </c>
      <c r="H4007" s="1">
        <f>_xlfn.IFNA(VLOOKUP(Aragon!E4007,'Kilter Holds'!$P$36:$AB$370,5,0),0)</f>
        <v>0</v>
      </c>
      <c r="J4007" s="2">
        <f t="shared" si="312"/>
        <v>0</v>
      </c>
      <c r="K4007" s="2">
        <f t="shared" si="313"/>
        <v>0</v>
      </c>
    </row>
    <row r="4008" spans="5:11">
      <c r="E4008" t="s">
        <v>137</v>
      </c>
      <c r="F4008" t="s">
        <v>811</v>
      </c>
      <c r="G4008" s="6" t="str">
        <f t="shared" si="314"/>
        <v>14-01</v>
      </c>
      <c r="H4008" s="1">
        <f>_xlfn.IFNA(VLOOKUP(Aragon!E4008,'Kilter Holds'!$P$36:$AB$370,6,0),0)</f>
        <v>0</v>
      </c>
      <c r="J4008" s="2">
        <f t="shared" si="312"/>
        <v>0</v>
      </c>
      <c r="K4008" s="2">
        <f t="shared" si="313"/>
        <v>0</v>
      </c>
    </row>
    <row r="4009" spans="5:11">
      <c r="E4009" t="s">
        <v>137</v>
      </c>
      <c r="F4009" t="s">
        <v>811</v>
      </c>
      <c r="G4009" s="7" t="str">
        <f t="shared" si="314"/>
        <v>15-12</v>
      </c>
      <c r="H4009" s="1">
        <f>_xlfn.IFNA(VLOOKUP(Aragon!E4009,'Kilter Holds'!$P$36:$AB$370,7,0),0)</f>
        <v>0</v>
      </c>
      <c r="J4009" s="2">
        <f t="shared" si="312"/>
        <v>0</v>
      </c>
      <c r="K4009" s="2">
        <f t="shared" si="313"/>
        <v>0</v>
      </c>
    </row>
    <row r="4010" spans="5:11">
      <c r="E4010" t="s">
        <v>137</v>
      </c>
      <c r="F4010" t="s">
        <v>811</v>
      </c>
      <c r="G4010" s="8" t="str">
        <f t="shared" si="314"/>
        <v>16-16</v>
      </c>
      <c r="H4010" s="1">
        <f>_xlfn.IFNA(VLOOKUP(Aragon!E4010,'Kilter Holds'!$P$36:$AB$370,8,0),0)</f>
        <v>0</v>
      </c>
      <c r="J4010" s="2">
        <f t="shared" si="312"/>
        <v>0</v>
      </c>
      <c r="K4010" s="2">
        <f t="shared" si="313"/>
        <v>0</v>
      </c>
    </row>
    <row r="4011" spans="5:11">
      <c r="E4011" t="s">
        <v>137</v>
      </c>
      <c r="F4011" t="s">
        <v>811</v>
      </c>
      <c r="G4011" s="9" t="str">
        <f t="shared" si="314"/>
        <v>13-01</v>
      </c>
      <c r="H4011" s="1">
        <f>_xlfn.IFNA(VLOOKUP(Aragon!E4011,'Kilter Holds'!$P$36:$AB$370,9,0),0)</f>
        <v>0</v>
      </c>
      <c r="J4011" s="2">
        <f t="shared" si="312"/>
        <v>0</v>
      </c>
      <c r="K4011" s="2">
        <f t="shared" si="313"/>
        <v>0</v>
      </c>
    </row>
    <row r="4012" spans="5:11">
      <c r="E4012" t="s">
        <v>137</v>
      </c>
      <c r="F4012" t="s">
        <v>811</v>
      </c>
      <c r="G4012" s="10" t="str">
        <f t="shared" si="314"/>
        <v>07-13</v>
      </c>
      <c r="H4012" s="1">
        <f>_xlfn.IFNA(VLOOKUP(Aragon!E4012,'Kilter Holds'!$P$36:$AB$370,10,0),0)</f>
        <v>0</v>
      </c>
      <c r="J4012" s="2">
        <f t="shared" si="312"/>
        <v>0</v>
      </c>
      <c r="K4012" s="2">
        <f t="shared" si="313"/>
        <v>0</v>
      </c>
    </row>
    <row r="4013" spans="5:11">
      <c r="E4013" t="s">
        <v>137</v>
      </c>
      <c r="F4013" t="s">
        <v>811</v>
      </c>
      <c r="G4013" s="11" t="str">
        <f t="shared" si="314"/>
        <v>11-25</v>
      </c>
      <c r="H4013" s="1">
        <f>_xlfn.IFNA(VLOOKUP(Aragon!E4013,'Kilter Holds'!$P$36:$AB$370,11,0),0)</f>
        <v>0</v>
      </c>
      <c r="J4013" s="2">
        <f t="shared" si="312"/>
        <v>0</v>
      </c>
      <c r="K4013" s="2">
        <f t="shared" si="313"/>
        <v>0</v>
      </c>
    </row>
    <row r="4014" spans="5:11">
      <c r="E4014" t="s">
        <v>137</v>
      </c>
      <c r="F4014" t="s">
        <v>811</v>
      </c>
      <c r="G4014" s="13" t="str">
        <f t="shared" si="314"/>
        <v>18-01</v>
      </c>
      <c r="H4014" s="1">
        <f>_xlfn.IFNA(VLOOKUP(Aragon!E4014,'Kilter Holds'!$P$36:$AB$370,12,0),0)</f>
        <v>0</v>
      </c>
      <c r="J4014" s="2">
        <f t="shared" si="312"/>
        <v>0</v>
      </c>
      <c r="K4014" s="2">
        <f t="shared" si="313"/>
        <v>0</v>
      </c>
    </row>
    <row r="4015" spans="5:11">
      <c r="E4015" t="s">
        <v>137</v>
      </c>
      <c r="F4015" t="s">
        <v>811</v>
      </c>
      <c r="G4015" s="12" t="str">
        <f t="shared" si="314"/>
        <v>12-01</v>
      </c>
      <c r="H4015" s="1">
        <f>_xlfn.IFNA(VLOOKUP(Aragon!E4015,'Kilter Holds'!$P$36:$AB$370,13,0),0)</f>
        <v>0</v>
      </c>
      <c r="J4015" s="2">
        <f t="shared" si="312"/>
        <v>0</v>
      </c>
      <c r="K4015" s="2">
        <f t="shared" si="313"/>
        <v>0</v>
      </c>
    </row>
    <row r="4016" spans="5:11">
      <c r="E4016" t="s">
        <v>138</v>
      </c>
      <c r="F4016" t="s">
        <v>812</v>
      </c>
      <c r="G4016" s="5" t="str">
        <f t="shared" si="314"/>
        <v>11-12</v>
      </c>
      <c r="H4016" s="1">
        <f>_xlfn.IFNA(VLOOKUP(Aragon!E4016,'Kilter Holds'!$P$36:$AB$370,5,0),0)</f>
        <v>0</v>
      </c>
      <c r="J4016" s="2">
        <f t="shared" si="312"/>
        <v>0</v>
      </c>
      <c r="K4016" s="2">
        <f t="shared" si="313"/>
        <v>0</v>
      </c>
    </row>
    <row r="4017" spans="5:11">
      <c r="E4017" t="s">
        <v>138</v>
      </c>
      <c r="F4017" t="s">
        <v>812</v>
      </c>
      <c r="G4017" s="6" t="str">
        <f t="shared" si="314"/>
        <v>14-01</v>
      </c>
      <c r="H4017" s="1">
        <f>_xlfn.IFNA(VLOOKUP(Aragon!E4017,'Kilter Holds'!$P$36:$AB$370,6,0),0)</f>
        <v>0</v>
      </c>
      <c r="J4017" s="2">
        <f t="shared" si="312"/>
        <v>0</v>
      </c>
      <c r="K4017" s="2">
        <f t="shared" si="313"/>
        <v>0</v>
      </c>
    </row>
    <row r="4018" spans="5:11">
      <c r="E4018" t="s">
        <v>138</v>
      </c>
      <c r="F4018" t="s">
        <v>812</v>
      </c>
      <c r="G4018" s="7" t="str">
        <f t="shared" si="314"/>
        <v>15-12</v>
      </c>
      <c r="H4018" s="1">
        <f>_xlfn.IFNA(VLOOKUP(Aragon!E4018,'Kilter Holds'!$P$36:$AB$370,7,0),0)</f>
        <v>0</v>
      </c>
      <c r="J4018" s="2">
        <f t="shared" si="312"/>
        <v>0</v>
      </c>
      <c r="K4018" s="2">
        <f t="shared" si="313"/>
        <v>0</v>
      </c>
    </row>
    <row r="4019" spans="5:11">
      <c r="E4019" t="s">
        <v>138</v>
      </c>
      <c r="F4019" t="s">
        <v>812</v>
      </c>
      <c r="G4019" s="8" t="str">
        <f t="shared" si="314"/>
        <v>16-16</v>
      </c>
      <c r="H4019" s="1">
        <f>_xlfn.IFNA(VLOOKUP(Aragon!E4019,'Kilter Holds'!$P$36:$AB$370,8,0),0)</f>
        <v>0</v>
      </c>
      <c r="J4019" s="2">
        <f t="shared" si="312"/>
        <v>0</v>
      </c>
      <c r="K4019" s="2">
        <f t="shared" si="313"/>
        <v>0</v>
      </c>
    </row>
    <row r="4020" spans="5:11">
      <c r="E4020" t="s">
        <v>138</v>
      </c>
      <c r="F4020" t="s">
        <v>812</v>
      </c>
      <c r="G4020" s="9" t="str">
        <f t="shared" si="314"/>
        <v>13-01</v>
      </c>
      <c r="H4020" s="1">
        <f>_xlfn.IFNA(VLOOKUP(Aragon!E4020,'Kilter Holds'!$P$36:$AB$370,9,0),0)</f>
        <v>0</v>
      </c>
      <c r="J4020" s="2">
        <f t="shared" si="312"/>
        <v>0</v>
      </c>
      <c r="K4020" s="2">
        <f t="shared" si="313"/>
        <v>0</v>
      </c>
    </row>
    <row r="4021" spans="5:11">
      <c r="E4021" t="s">
        <v>138</v>
      </c>
      <c r="F4021" t="s">
        <v>812</v>
      </c>
      <c r="G4021" s="10" t="str">
        <f t="shared" si="314"/>
        <v>07-13</v>
      </c>
      <c r="H4021" s="1">
        <f>_xlfn.IFNA(VLOOKUP(Aragon!E4021,'Kilter Holds'!$P$36:$AB$370,10,0),0)</f>
        <v>0</v>
      </c>
      <c r="J4021" s="2">
        <f t="shared" si="312"/>
        <v>0</v>
      </c>
      <c r="K4021" s="2">
        <f t="shared" si="313"/>
        <v>0</v>
      </c>
    </row>
    <row r="4022" spans="5:11">
      <c r="E4022" t="s">
        <v>138</v>
      </c>
      <c r="F4022" t="s">
        <v>812</v>
      </c>
      <c r="G4022" s="11" t="str">
        <f t="shared" si="314"/>
        <v>11-25</v>
      </c>
      <c r="H4022" s="1">
        <f>_xlfn.IFNA(VLOOKUP(Aragon!E4022,'Kilter Holds'!$P$36:$AB$370,11,0),0)</f>
        <v>0</v>
      </c>
      <c r="J4022" s="2">
        <f t="shared" si="312"/>
        <v>0</v>
      </c>
      <c r="K4022" s="2">
        <f t="shared" si="313"/>
        <v>0</v>
      </c>
    </row>
    <row r="4023" spans="5:11">
      <c r="E4023" t="s">
        <v>138</v>
      </c>
      <c r="F4023" t="s">
        <v>812</v>
      </c>
      <c r="G4023" s="13" t="str">
        <f t="shared" si="314"/>
        <v>18-01</v>
      </c>
      <c r="H4023" s="1">
        <f>_xlfn.IFNA(VLOOKUP(Aragon!E4023,'Kilter Holds'!$P$36:$AB$370,12,0),0)</f>
        <v>0</v>
      </c>
      <c r="J4023" s="2">
        <f t="shared" si="312"/>
        <v>0</v>
      </c>
      <c r="K4023" s="2">
        <f t="shared" si="313"/>
        <v>0</v>
      </c>
    </row>
    <row r="4024" spans="5:11">
      <c r="E4024" t="s">
        <v>138</v>
      </c>
      <c r="F4024" t="s">
        <v>812</v>
      </c>
      <c r="G4024" s="12" t="str">
        <f t="shared" si="314"/>
        <v>12-01</v>
      </c>
      <c r="H4024" s="1">
        <f>_xlfn.IFNA(VLOOKUP(Aragon!E4024,'Kilter Holds'!$P$36:$AB$370,13,0),0)</f>
        <v>0</v>
      </c>
      <c r="J4024" s="2">
        <f t="shared" si="312"/>
        <v>0</v>
      </c>
      <c r="K4024" s="2">
        <f t="shared" si="313"/>
        <v>0</v>
      </c>
    </row>
    <row r="4025" spans="5:11">
      <c r="E4025" t="s">
        <v>131</v>
      </c>
      <c r="F4025" t="s">
        <v>813</v>
      </c>
      <c r="G4025" s="5" t="str">
        <f t="shared" si="314"/>
        <v>11-12</v>
      </c>
      <c r="H4025" s="1">
        <f>_xlfn.IFNA(VLOOKUP(Aragon!E4025,'Kilter Holds'!$P$36:$AB$370,5,0),0)</f>
        <v>0</v>
      </c>
      <c r="J4025" s="2">
        <f t="shared" si="312"/>
        <v>0</v>
      </c>
      <c r="K4025" s="2">
        <f t="shared" si="313"/>
        <v>0</v>
      </c>
    </row>
    <row r="4026" spans="5:11">
      <c r="E4026" t="s">
        <v>131</v>
      </c>
      <c r="F4026" t="s">
        <v>813</v>
      </c>
      <c r="G4026" s="6" t="str">
        <f t="shared" si="314"/>
        <v>14-01</v>
      </c>
      <c r="H4026" s="1">
        <f>_xlfn.IFNA(VLOOKUP(Aragon!E4026,'Kilter Holds'!$P$36:$AB$370,6,0),0)</f>
        <v>0</v>
      </c>
      <c r="J4026" s="2">
        <f t="shared" si="312"/>
        <v>0</v>
      </c>
      <c r="K4026" s="2">
        <f t="shared" si="313"/>
        <v>0</v>
      </c>
    </row>
    <row r="4027" spans="5:11">
      <c r="E4027" t="s">
        <v>131</v>
      </c>
      <c r="F4027" t="s">
        <v>813</v>
      </c>
      <c r="G4027" s="7" t="str">
        <f t="shared" si="314"/>
        <v>15-12</v>
      </c>
      <c r="H4027" s="1">
        <f>_xlfn.IFNA(VLOOKUP(Aragon!E4027,'Kilter Holds'!$P$36:$AB$370,7,0),0)</f>
        <v>0</v>
      </c>
      <c r="J4027" s="2">
        <f t="shared" si="312"/>
        <v>0</v>
      </c>
      <c r="K4027" s="2">
        <f t="shared" si="313"/>
        <v>0</v>
      </c>
    </row>
    <row r="4028" spans="5:11">
      <c r="E4028" t="s">
        <v>131</v>
      </c>
      <c r="F4028" t="s">
        <v>813</v>
      </c>
      <c r="G4028" s="8" t="str">
        <f t="shared" si="314"/>
        <v>16-16</v>
      </c>
      <c r="H4028" s="1">
        <f>_xlfn.IFNA(VLOOKUP(Aragon!E4028,'Kilter Holds'!$P$36:$AB$370,8,0),0)</f>
        <v>0</v>
      </c>
      <c r="J4028" s="2">
        <f t="shared" si="312"/>
        <v>0</v>
      </c>
      <c r="K4028" s="2">
        <f t="shared" si="313"/>
        <v>0</v>
      </c>
    </row>
    <row r="4029" spans="5:11">
      <c r="E4029" t="s">
        <v>131</v>
      </c>
      <c r="F4029" t="s">
        <v>813</v>
      </c>
      <c r="G4029" s="9" t="str">
        <f t="shared" si="314"/>
        <v>13-01</v>
      </c>
      <c r="H4029" s="1">
        <f>_xlfn.IFNA(VLOOKUP(Aragon!E4029,'Kilter Holds'!$P$36:$AB$370,9,0),0)</f>
        <v>0</v>
      </c>
      <c r="J4029" s="2">
        <f t="shared" si="312"/>
        <v>0</v>
      </c>
      <c r="K4029" s="2">
        <f t="shared" si="313"/>
        <v>0</v>
      </c>
    </row>
    <row r="4030" spans="5:11">
      <c r="E4030" t="s">
        <v>131</v>
      </c>
      <c r="F4030" t="s">
        <v>813</v>
      </c>
      <c r="G4030" s="10" t="str">
        <f t="shared" si="314"/>
        <v>07-13</v>
      </c>
      <c r="H4030" s="1">
        <f>_xlfn.IFNA(VLOOKUP(Aragon!E4030,'Kilter Holds'!$P$36:$AB$370,10,0),0)</f>
        <v>0</v>
      </c>
      <c r="J4030" s="2">
        <f t="shared" si="312"/>
        <v>0</v>
      </c>
      <c r="K4030" s="2">
        <f t="shared" si="313"/>
        <v>0</v>
      </c>
    </row>
    <row r="4031" spans="5:11">
      <c r="E4031" t="s">
        <v>131</v>
      </c>
      <c r="F4031" t="s">
        <v>813</v>
      </c>
      <c r="G4031" s="11" t="str">
        <f t="shared" si="314"/>
        <v>11-25</v>
      </c>
      <c r="H4031" s="1">
        <f>_xlfn.IFNA(VLOOKUP(Aragon!E4031,'Kilter Holds'!$P$36:$AB$370,11,0),0)</f>
        <v>0</v>
      </c>
      <c r="J4031" s="2">
        <f t="shared" si="312"/>
        <v>0</v>
      </c>
      <c r="K4031" s="2">
        <f t="shared" si="313"/>
        <v>0</v>
      </c>
    </row>
    <row r="4032" spans="5:11">
      <c r="E4032" t="s">
        <v>131</v>
      </c>
      <c r="F4032" t="s">
        <v>813</v>
      </c>
      <c r="G4032" s="13" t="str">
        <f t="shared" si="314"/>
        <v>18-01</v>
      </c>
      <c r="H4032" s="1">
        <f>_xlfn.IFNA(VLOOKUP(Aragon!E4032,'Kilter Holds'!$P$36:$AB$370,12,0),0)</f>
        <v>0</v>
      </c>
      <c r="J4032" s="2">
        <f t="shared" si="312"/>
        <v>0</v>
      </c>
      <c r="K4032" s="2">
        <f t="shared" si="313"/>
        <v>0</v>
      </c>
    </row>
    <row r="4033" spans="5:11">
      <c r="E4033" t="s">
        <v>131</v>
      </c>
      <c r="F4033" t="s">
        <v>813</v>
      </c>
      <c r="G4033" s="12" t="str">
        <f t="shared" si="314"/>
        <v>12-01</v>
      </c>
      <c r="H4033" s="1">
        <f>_xlfn.IFNA(VLOOKUP(Aragon!E4033,'Kilter Holds'!$P$36:$AB$370,13,0),0)</f>
        <v>0</v>
      </c>
      <c r="J4033" s="2">
        <f t="shared" si="312"/>
        <v>0</v>
      </c>
      <c r="K4033" s="2">
        <f t="shared" si="313"/>
        <v>0</v>
      </c>
    </row>
    <row r="4034" spans="5:11">
      <c r="E4034" t="s">
        <v>128</v>
      </c>
      <c r="F4034" t="s">
        <v>814</v>
      </c>
      <c r="G4034" s="5" t="str">
        <f t="shared" si="314"/>
        <v>11-12</v>
      </c>
      <c r="H4034" s="1">
        <f>_xlfn.IFNA(VLOOKUP(Aragon!E4034,'Kilter Holds'!$P$36:$AB$370,5,0),0)</f>
        <v>0</v>
      </c>
      <c r="J4034" s="2">
        <f t="shared" si="312"/>
        <v>0</v>
      </c>
      <c r="K4034" s="2">
        <f t="shared" si="313"/>
        <v>0</v>
      </c>
    </row>
    <row r="4035" spans="5:11">
      <c r="E4035" t="s">
        <v>128</v>
      </c>
      <c r="F4035" t="s">
        <v>814</v>
      </c>
      <c r="G4035" s="6" t="str">
        <f t="shared" si="314"/>
        <v>14-01</v>
      </c>
      <c r="H4035" s="1">
        <f>_xlfn.IFNA(VLOOKUP(Aragon!E4035,'Kilter Holds'!$P$36:$AB$370,6,0),0)</f>
        <v>0</v>
      </c>
      <c r="J4035" s="2">
        <f t="shared" si="312"/>
        <v>0</v>
      </c>
      <c r="K4035" s="2">
        <f t="shared" si="313"/>
        <v>0</v>
      </c>
    </row>
    <row r="4036" spans="5:11">
      <c r="E4036" t="s">
        <v>128</v>
      </c>
      <c r="F4036" t="s">
        <v>814</v>
      </c>
      <c r="G4036" s="7" t="str">
        <f t="shared" si="314"/>
        <v>15-12</v>
      </c>
      <c r="H4036" s="1">
        <f>_xlfn.IFNA(VLOOKUP(Aragon!E4036,'Kilter Holds'!$P$36:$AB$370,7,0),0)</f>
        <v>0</v>
      </c>
      <c r="J4036" s="2">
        <f t="shared" si="312"/>
        <v>0</v>
      </c>
      <c r="K4036" s="2">
        <f t="shared" si="313"/>
        <v>0</v>
      </c>
    </row>
    <row r="4037" spans="5:11">
      <c r="E4037" t="s">
        <v>128</v>
      </c>
      <c r="F4037" t="s">
        <v>814</v>
      </c>
      <c r="G4037" s="8" t="str">
        <f t="shared" si="314"/>
        <v>16-16</v>
      </c>
      <c r="H4037" s="1">
        <f>_xlfn.IFNA(VLOOKUP(Aragon!E4037,'Kilter Holds'!$P$36:$AB$370,8,0),0)</f>
        <v>0</v>
      </c>
      <c r="J4037" s="2">
        <f t="shared" si="312"/>
        <v>0</v>
      </c>
      <c r="K4037" s="2">
        <f t="shared" si="313"/>
        <v>0</v>
      </c>
    </row>
    <row r="4038" spans="5:11">
      <c r="E4038" t="s">
        <v>128</v>
      </c>
      <c r="F4038" t="s">
        <v>814</v>
      </c>
      <c r="G4038" s="9" t="str">
        <f t="shared" si="314"/>
        <v>13-01</v>
      </c>
      <c r="H4038" s="1">
        <f>_xlfn.IFNA(VLOOKUP(Aragon!E4038,'Kilter Holds'!$P$36:$AB$370,9,0),0)</f>
        <v>0</v>
      </c>
      <c r="J4038" s="2">
        <f t="shared" si="312"/>
        <v>0</v>
      </c>
      <c r="K4038" s="2">
        <f t="shared" si="313"/>
        <v>0</v>
      </c>
    </row>
    <row r="4039" spans="5:11">
      <c r="E4039" t="s">
        <v>128</v>
      </c>
      <c r="F4039" t="s">
        <v>814</v>
      </c>
      <c r="G4039" s="10" t="str">
        <f t="shared" si="314"/>
        <v>07-13</v>
      </c>
      <c r="H4039" s="1">
        <f>_xlfn.IFNA(VLOOKUP(Aragon!E4039,'Kilter Holds'!$P$36:$AB$370,10,0),0)</f>
        <v>0</v>
      </c>
      <c r="J4039" s="2">
        <f t="shared" si="312"/>
        <v>0</v>
      </c>
      <c r="K4039" s="2">
        <f t="shared" si="313"/>
        <v>0</v>
      </c>
    </row>
    <row r="4040" spans="5:11">
      <c r="E4040" t="s">
        <v>128</v>
      </c>
      <c r="F4040" t="s">
        <v>814</v>
      </c>
      <c r="G4040" s="11" t="str">
        <f t="shared" si="314"/>
        <v>11-25</v>
      </c>
      <c r="H4040" s="1">
        <f>_xlfn.IFNA(VLOOKUP(Aragon!E4040,'Kilter Holds'!$P$36:$AB$370,11,0),0)</f>
        <v>0</v>
      </c>
      <c r="J4040" s="2">
        <f t="shared" si="312"/>
        <v>0</v>
      </c>
      <c r="K4040" s="2">
        <f t="shared" si="313"/>
        <v>0</v>
      </c>
    </row>
    <row r="4041" spans="5:11">
      <c r="E4041" t="s">
        <v>128</v>
      </c>
      <c r="F4041" t="s">
        <v>814</v>
      </c>
      <c r="G4041" s="13" t="str">
        <f t="shared" si="314"/>
        <v>18-01</v>
      </c>
      <c r="H4041" s="1">
        <f>_xlfn.IFNA(VLOOKUP(Aragon!E4041,'Kilter Holds'!$P$36:$AB$370,12,0),0)</f>
        <v>0</v>
      </c>
      <c r="J4041" s="2">
        <f t="shared" si="312"/>
        <v>0</v>
      </c>
      <c r="K4041" s="2">
        <f t="shared" si="313"/>
        <v>0</v>
      </c>
    </row>
    <row r="4042" spans="5:11">
      <c r="E4042" t="s">
        <v>128</v>
      </c>
      <c r="F4042" t="s">
        <v>814</v>
      </c>
      <c r="G4042" s="12" t="str">
        <f t="shared" si="314"/>
        <v>12-01</v>
      </c>
      <c r="H4042" s="1">
        <f>_xlfn.IFNA(VLOOKUP(Aragon!E4042,'Kilter Holds'!$P$36:$AB$370,13,0),0)</f>
        <v>0</v>
      </c>
      <c r="J4042" s="2">
        <f t="shared" si="312"/>
        <v>0</v>
      </c>
      <c r="K4042" s="2">
        <f t="shared" si="313"/>
        <v>0</v>
      </c>
    </row>
    <row r="4043" spans="5:11">
      <c r="E4043" t="s">
        <v>877</v>
      </c>
      <c r="F4043" t="s">
        <v>911</v>
      </c>
      <c r="G4043" s="5" t="str">
        <f t="shared" si="314"/>
        <v>11-12</v>
      </c>
      <c r="H4043" s="1">
        <f>_xlfn.IFNA(VLOOKUP(Aragon!E4043,'Kilter Holds'!$P$36:$AB$370,5,0),0)</f>
        <v>0</v>
      </c>
      <c r="J4043" s="2">
        <f t="shared" si="312"/>
        <v>0</v>
      </c>
      <c r="K4043" s="2">
        <f t="shared" si="313"/>
        <v>0</v>
      </c>
    </row>
    <row r="4044" spans="5:11">
      <c r="E4044" t="s">
        <v>877</v>
      </c>
      <c r="F4044" t="s">
        <v>911</v>
      </c>
      <c r="G4044" s="6" t="str">
        <f t="shared" si="314"/>
        <v>14-01</v>
      </c>
      <c r="H4044" s="1">
        <f>_xlfn.IFNA(VLOOKUP(Aragon!E4044,'Kilter Holds'!$P$36:$AB$370,6,0),0)</f>
        <v>0</v>
      </c>
      <c r="J4044" s="2">
        <f t="shared" si="312"/>
        <v>0</v>
      </c>
      <c r="K4044" s="2">
        <f t="shared" si="313"/>
        <v>0</v>
      </c>
    </row>
    <row r="4045" spans="5:11">
      <c r="E4045" t="s">
        <v>877</v>
      </c>
      <c r="F4045" t="s">
        <v>911</v>
      </c>
      <c r="G4045" s="7" t="str">
        <f t="shared" si="314"/>
        <v>15-12</v>
      </c>
      <c r="H4045" s="1">
        <f>_xlfn.IFNA(VLOOKUP(Aragon!E4045,'Kilter Holds'!$P$36:$AB$370,7,0),0)</f>
        <v>0</v>
      </c>
      <c r="J4045" s="2">
        <f t="shared" si="312"/>
        <v>0</v>
      </c>
      <c r="K4045" s="2">
        <f t="shared" si="313"/>
        <v>0</v>
      </c>
    </row>
    <row r="4046" spans="5:11">
      <c r="E4046" t="s">
        <v>877</v>
      </c>
      <c r="F4046" t="s">
        <v>911</v>
      </c>
      <c r="G4046" s="8" t="str">
        <f t="shared" si="314"/>
        <v>16-16</v>
      </c>
      <c r="H4046" s="1">
        <f>_xlfn.IFNA(VLOOKUP(Aragon!E4046,'Kilter Holds'!$P$36:$AB$370,8,0),0)</f>
        <v>0</v>
      </c>
      <c r="J4046" s="2">
        <f t="shared" si="312"/>
        <v>0</v>
      </c>
      <c r="K4046" s="2">
        <f t="shared" si="313"/>
        <v>0</v>
      </c>
    </row>
    <row r="4047" spans="5:11">
      <c r="E4047" t="s">
        <v>877</v>
      </c>
      <c r="F4047" t="s">
        <v>911</v>
      </c>
      <c r="G4047" s="9" t="str">
        <f t="shared" si="314"/>
        <v>13-01</v>
      </c>
      <c r="H4047" s="1">
        <f>_xlfn.IFNA(VLOOKUP(Aragon!E4047,'Kilter Holds'!$P$36:$AB$370,9,0),0)</f>
        <v>0</v>
      </c>
      <c r="J4047" s="2">
        <f t="shared" si="312"/>
        <v>0</v>
      </c>
      <c r="K4047" s="2">
        <f t="shared" si="313"/>
        <v>0</v>
      </c>
    </row>
    <row r="4048" spans="5:11">
      <c r="E4048" t="s">
        <v>877</v>
      </c>
      <c r="F4048" t="s">
        <v>911</v>
      </c>
      <c r="G4048" s="10" t="str">
        <f t="shared" si="314"/>
        <v>07-13</v>
      </c>
      <c r="H4048" s="1">
        <f>_xlfn.IFNA(VLOOKUP(Aragon!E4048,'Kilter Holds'!$P$36:$AB$370,10,0),0)</f>
        <v>0</v>
      </c>
      <c r="J4048" s="2">
        <f t="shared" si="312"/>
        <v>0</v>
      </c>
      <c r="K4048" s="2">
        <f t="shared" si="313"/>
        <v>0</v>
      </c>
    </row>
    <row r="4049" spans="5:11">
      <c r="E4049" t="s">
        <v>877</v>
      </c>
      <c r="F4049" t="s">
        <v>911</v>
      </c>
      <c r="G4049" s="11" t="str">
        <f t="shared" si="314"/>
        <v>11-25</v>
      </c>
      <c r="H4049" s="1">
        <f>_xlfn.IFNA(VLOOKUP(Aragon!E4049,'Kilter Holds'!$P$36:$AB$370,11,0),0)</f>
        <v>0</v>
      </c>
      <c r="J4049" s="2">
        <f t="shared" si="312"/>
        <v>0</v>
      </c>
      <c r="K4049" s="2">
        <f t="shared" si="313"/>
        <v>0</v>
      </c>
    </row>
    <row r="4050" spans="5:11">
      <c r="E4050" t="s">
        <v>877</v>
      </c>
      <c r="F4050" t="s">
        <v>911</v>
      </c>
      <c r="G4050" s="13" t="str">
        <f t="shared" si="314"/>
        <v>18-01</v>
      </c>
      <c r="H4050" s="1">
        <f>_xlfn.IFNA(VLOOKUP(Aragon!E4050,'Kilter Holds'!$P$36:$AB$370,12,0),0)</f>
        <v>0</v>
      </c>
      <c r="J4050" s="2">
        <f t="shared" si="312"/>
        <v>0</v>
      </c>
      <c r="K4050" s="2">
        <f t="shared" si="313"/>
        <v>0</v>
      </c>
    </row>
    <row r="4051" spans="5:11">
      <c r="E4051" t="s">
        <v>877</v>
      </c>
      <c r="F4051" t="s">
        <v>911</v>
      </c>
      <c r="G4051" s="12" t="str">
        <f t="shared" si="314"/>
        <v>12-01</v>
      </c>
      <c r="H4051" s="1">
        <f>_xlfn.IFNA(VLOOKUP(Aragon!E4051,'Kilter Holds'!$P$36:$AB$370,13,0),0)</f>
        <v>0</v>
      </c>
      <c r="J4051" s="2">
        <f t="shared" si="312"/>
        <v>0</v>
      </c>
      <c r="K4051" s="2">
        <f t="shared" si="313"/>
        <v>0</v>
      </c>
    </row>
    <row r="4052" spans="5:11">
      <c r="E4052" t="s">
        <v>125</v>
      </c>
      <c r="F4052" t="s">
        <v>815</v>
      </c>
      <c r="G4052" s="5" t="str">
        <f t="shared" si="314"/>
        <v>11-12</v>
      </c>
      <c r="H4052" s="1">
        <f>_xlfn.IFNA(VLOOKUP(Aragon!E4052,'Kilter Holds'!$P$36:$AB$370,5,0),0)</f>
        <v>0</v>
      </c>
      <c r="J4052" s="2">
        <f t="shared" si="312"/>
        <v>0</v>
      </c>
      <c r="K4052" s="2">
        <f t="shared" si="313"/>
        <v>0</v>
      </c>
    </row>
    <row r="4053" spans="5:11">
      <c r="E4053" t="s">
        <v>125</v>
      </c>
      <c r="F4053" t="s">
        <v>815</v>
      </c>
      <c r="G4053" s="6" t="str">
        <f t="shared" si="314"/>
        <v>14-01</v>
      </c>
      <c r="H4053" s="1">
        <f>_xlfn.IFNA(VLOOKUP(Aragon!E4053,'Kilter Holds'!$P$36:$AB$370,6,0),0)</f>
        <v>0</v>
      </c>
      <c r="J4053" s="2">
        <f t="shared" si="312"/>
        <v>0</v>
      </c>
      <c r="K4053" s="2">
        <f t="shared" si="313"/>
        <v>0</v>
      </c>
    </row>
    <row r="4054" spans="5:11">
      <c r="E4054" t="s">
        <v>125</v>
      </c>
      <c r="F4054" t="s">
        <v>815</v>
      </c>
      <c r="G4054" s="7" t="str">
        <f t="shared" si="314"/>
        <v>15-12</v>
      </c>
      <c r="H4054" s="1">
        <f>_xlfn.IFNA(VLOOKUP(Aragon!E4054,'Kilter Holds'!$P$36:$AB$370,7,0),0)</f>
        <v>0</v>
      </c>
      <c r="J4054" s="2">
        <f t="shared" si="312"/>
        <v>0</v>
      </c>
      <c r="K4054" s="2">
        <f t="shared" si="313"/>
        <v>0</v>
      </c>
    </row>
    <row r="4055" spans="5:11">
      <c r="E4055" t="s">
        <v>125</v>
      </c>
      <c r="F4055" t="s">
        <v>815</v>
      </c>
      <c r="G4055" s="8" t="str">
        <f t="shared" si="314"/>
        <v>16-16</v>
      </c>
      <c r="H4055" s="1">
        <f>_xlfn.IFNA(VLOOKUP(Aragon!E4055,'Kilter Holds'!$P$36:$AB$370,8,0),0)</f>
        <v>0</v>
      </c>
      <c r="J4055" s="2">
        <f t="shared" si="312"/>
        <v>0</v>
      </c>
      <c r="K4055" s="2">
        <f t="shared" si="313"/>
        <v>0</v>
      </c>
    </row>
    <row r="4056" spans="5:11">
      <c r="E4056" t="s">
        <v>125</v>
      </c>
      <c r="F4056" t="s">
        <v>815</v>
      </c>
      <c r="G4056" s="9" t="str">
        <f t="shared" si="314"/>
        <v>13-01</v>
      </c>
      <c r="H4056" s="1">
        <f>_xlfn.IFNA(VLOOKUP(Aragon!E4056,'Kilter Holds'!$P$36:$AB$370,9,0),0)</f>
        <v>0</v>
      </c>
      <c r="J4056" s="2">
        <f t="shared" si="312"/>
        <v>0</v>
      </c>
      <c r="K4056" s="2">
        <f t="shared" si="313"/>
        <v>0</v>
      </c>
    </row>
    <row r="4057" spans="5:11">
      <c r="E4057" t="s">
        <v>125</v>
      </c>
      <c r="F4057" t="s">
        <v>815</v>
      </c>
      <c r="G4057" s="10" t="str">
        <f t="shared" si="314"/>
        <v>07-13</v>
      </c>
      <c r="H4057" s="1">
        <f>_xlfn.IFNA(VLOOKUP(Aragon!E4057,'Kilter Holds'!$P$36:$AB$370,10,0),0)</f>
        <v>0</v>
      </c>
      <c r="J4057" s="2">
        <f t="shared" ref="J4057:J4120" si="315">H4057*I4057</f>
        <v>0</v>
      </c>
      <c r="K4057" s="2">
        <f t="shared" si="313"/>
        <v>0</v>
      </c>
    </row>
    <row r="4058" spans="5:11">
      <c r="E4058" t="s">
        <v>125</v>
      </c>
      <c r="F4058" t="s">
        <v>815</v>
      </c>
      <c r="G4058" s="11" t="str">
        <f t="shared" si="314"/>
        <v>11-25</v>
      </c>
      <c r="H4058" s="1">
        <f>_xlfn.IFNA(VLOOKUP(Aragon!E4058,'Kilter Holds'!$P$36:$AB$370,11,0),0)</f>
        <v>0</v>
      </c>
      <c r="J4058" s="2">
        <f t="shared" si="315"/>
        <v>0</v>
      </c>
      <c r="K4058" s="2">
        <f t="shared" si="313"/>
        <v>0</v>
      </c>
    </row>
    <row r="4059" spans="5:11">
      <c r="E4059" t="s">
        <v>125</v>
      </c>
      <c r="F4059" t="s">
        <v>815</v>
      </c>
      <c r="G4059" s="13" t="str">
        <f t="shared" si="314"/>
        <v>18-01</v>
      </c>
      <c r="H4059" s="1">
        <f>_xlfn.IFNA(VLOOKUP(Aragon!E4059,'Kilter Holds'!$P$36:$AB$370,12,0),0)</f>
        <v>0</v>
      </c>
      <c r="J4059" s="2">
        <f t="shared" si="315"/>
        <v>0</v>
      </c>
      <c r="K4059" s="2">
        <f t="shared" si="313"/>
        <v>0</v>
      </c>
    </row>
    <row r="4060" spans="5:11">
      <c r="E4060" t="s">
        <v>125</v>
      </c>
      <c r="F4060" t="s">
        <v>815</v>
      </c>
      <c r="G4060" s="12" t="str">
        <f t="shared" si="314"/>
        <v>12-01</v>
      </c>
      <c r="H4060" s="1">
        <f>_xlfn.IFNA(VLOOKUP(Aragon!E4060,'Kilter Holds'!$P$36:$AB$370,13,0),0)</f>
        <v>0</v>
      </c>
      <c r="J4060" s="2">
        <f t="shared" si="315"/>
        <v>0</v>
      </c>
      <c r="K4060" s="2">
        <f t="shared" si="313"/>
        <v>0</v>
      </c>
    </row>
    <row r="4061" spans="5:11">
      <c r="E4061" t="s">
        <v>126</v>
      </c>
      <c r="F4061" t="s">
        <v>816</v>
      </c>
      <c r="G4061" s="5" t="str">
        <f t="shared" si="314"/>
        <v>11-12</v>
      </c>
      <c r="H4061" s="1">
        <f>_xlfn.IFNA(VLOOKUP(Aragon!E4061,'Kilter Holds'!$P$36:$AB$370,5,0),0)</f>
        <v>0</v>
      </c>
      <c r="J4061" s="2">
        <f t="shared" si="315"/>
        <v>0</v>
      </c>
      <c r="K4061" s="2">
        <f t="shared" si="313"/>
        <v>0</v>
      </c>
    </row>
    <row r="4062" spans="5:11">
      <c r="E4062" t="s">
        <v>126</v>
      </c>
      <c r="F4062" t="s">
        <v>816</v>
      </c>
      <c r="G4062" s="6" t="str">
        <f t="shared" si="314"/>
        <v>14-01</v>
      </c>
      <c r="H4062" s="1">
        <f>_xlfn.IFNA(VLOOKUP(Aragon!E4062,'Kilter Holds'!$P$36:$AB$370,6,0),0)</f>
        <v>0</v>
      </c>
      <c r="J4062" s="2">
        <f t="shared" si="315"/>
        <v>0</v>
      </c>
      <c r="K4062" s="2">
        <f t="shared" si="313"/>
        <v>0</v>
      </c>
    </row>
    <row r="4063" spans="5:11">
      <c r="E4063" t="s">
        <v>126</v>
      </c>
      <c r="F4063" t="s">
        <v>816</v>
      </c>
      <c r="G4063" s="7" t="str">
        <f t="shared" si="314"/>
        <v>15-12</v>
      </c>
      <c r="H4063" s="1">
        <f>_xlfn.IFNA(VLOOKUP(Aragon!E4063,'Kilter Holds'!$P$36:$AB$370,7,0),0)</f>
        <v>0</v>
      </c>
      <c r="J4063" s="2">
        <f t="shared" si="315"/>
        <v>0</v>
      </c>
      <c r="K4063" s="2">
        <f t="shared" si="313"/>
        <v>0</v>
      </c>
    </row>
    <row r="4064" spans="5:11">
      <c r="E4064" t="s">
        <v>126</v>
      </c>
      <c r="F4064" t="s">
        <v>816</v>
      </c>
      <c r="G4064" s="8" t="str">
        <f t="shared" si="314"/>
        <v>16-16</v>
      </c>
      <c r="H4064" s="1">
        <f>_xlfn.IFNA(VLOOKUP(Aragon!E4064,'Kilter Holds'!$P$36:$AB$370,8,0),0)</f>
        <v>0</v>
      </c>
      <c r="J4064" s="2">
        <f t="shared" si="315"/>
        <v>0</v>
      </c>
      <c r="K4064" s="2">
        <f t="shared" si="313"/>
        <v>0</v>
      </c>
    </row>
    <row r="4065" spans="1:11">
      <c r="E4065" t="s">
        <v>126</v>
      </c>
      <c r="F4065" t="s">
        <v>816</v>
      </c>
      <c r="G4065" s="9" t="str">
        <f t="shared" si="314"/>
        <v>13-01</v>
      </c>
      <c r="H4065" s="1">
        <f>_xlfn.IFNA(VLOOKUP(Aragon!E4065,'Kilter Holds'!$P$36:$AB$370,9,0),0)</f>
        <v>0</v>
      </c>
      <c r="J4065" s="2">
        <f t="shared" si="315"/>
        <v>0</v>
      </c>
      <c r="K4065" s="2">
        <f t="shared" si="313"/>
        <v>0</v>
      </c>
    </row>
    <row r="4066" spans="1:11">
      <c r="E4066" t="s">
        <v>126</v>
      </c>
      <c r="F4066" t="s">
        <v>816</v>
      </c>
      <c r="G4066" s="10" t="str">
        <f t="shared" si="314"/>
        <v>07-13</v>
      </c>
      <c r="H4066" s="1">
        <f>_xlfn.IFNA(VLOOKUP(Aragon!E4066,'Kilter Holds'!$P$36:$AB$370,10,0),0)</f>
        <v>0</v>
      </c>
      <c r="J4066" s="2">
        <f t="shared" si="315"/>
        <v>0</v>
      </c>
      <c r="K4066" s="2">
        <f t="shared" si="313"/>
        <v>0</v>
      </c>
    </row>
    <row r="4067" spans="1:11">
      <c r="E4067" t="s">
        <v>126</v>
      </c>
      <c r="F4067" t="s">
        <v>816</v>
      </c>
      <c r="G4067" s="11" t="str">
        <f t="shared" si="314"/>
        <v>11-25</v>
      </c>
      <c r="H4067" s="1">
        <f>_xlfn.IFNA(VLOOKUP(Aragon!E4067,'Kilter Holds'!$P$36:$AB$370,11,0),0)</f>
        <v>0</v>
      </c>
      <c r="J4067" s="2">
        <f t="shared" si="315"/>
        <v>0</v>
      </c>
      <c r="K4067" s="2">
        <f t="shared" si="313"/>
        <v>0</v>
      </c>
    </row>
    <row r="4068" spans="1:11">
      <c r="E4068" t="s">
        <v>126</v>
      </c>
      <c r="F4068" t="s">
        <v>816</v>
      </c>
      <c r="G4068" s="13" t="str">
        <f t="shared" si="314"/>
        <v>18-01</v>
      </c>
      <c r="H4068" s="1">
        <f>_xlfn.IFNA(VLOOKUP(Aragon!E4068,'Kilter Holds'!$P$36:$AB$370,12,0),0)</f>
        <v>0</v>
      </c>
      <c r="J4068" s="2">
        <f t="shared" si="315"/>
        <v>0</v>
      </c>
      <c r="K4068" s="2">
        <f t="shared" ref="K4068:K4131" si="316">IF($V$11="Y",J4068*0.05,0)</f>
        <v>0</v>
      </c>
    </row>
    <row r="4069" spans="1:11">
      <c r="E4069" t="s">
        <v>126</v>
      </c>
      <c r="F4069" t="s">
        <v>816</v>
      </c>
      <c r="G4069" s="12" t="str">
        <f t="shared" ref="G4069:G4132" si="317">G4060</f>
        <v>12-01</v>
      </c>
      <c r="H4069" s="1">
        <f>_xlfn.IFNA(VLOOKUP(Aragon!E4069,'Kilter Holds'!$P$36:$AB$370,13,0),0)</f>
        <v>0</v>
      </c>
      <c r="J4069" s="2">
        <f t="shared" si="315"/>
        <v>0</v>
      </c>
      <c r="K4069" s="2">
        <f t="shared" si="316"/>
        <v>0</v>
      </c>
    </row>
    <row r="4070" spans="1:11">
      <c r="E4070" t="s">
        <v>127</v>
      </c>
      <c r="F4070" t="s">
        <v>817</v>
      </c>
      <c r="G4070" s="5" t="str">
        <f t="shared" si="317"/>
        <v>11-12</v>
      </c>
      <c r="H4070" s="1">
        <f>_xlfn.IFNA(VLOOKUP(Aragon!E4070,'Kilter Holds'!$P$36:$AB$370,5,0),0)</f>
        <v>0</v>
      </c>
      <c r="J4070" s="2">
        <f t="shared" si="315"/>
        <v>0</v>
      </c>
      <c r="K4070" s="2">
        <f t="shared" si="316"/>
        <v>0</v>
      </c>
    </row>
    <row r="4071" spans="1:11">
      <c r="E4071" t="s">
        <v>127</v>
      </c>
      <c r="F4071" t="s">
        <v>817</v>
      </c>
      <c r="G4071" s="6" t="str">
        <f t="shared" si="317"/>
        <v>14-01</v>
      </c>
      <c r="H4071" s="1">
        <f>_xlfn.IFNA(VLOOKUP(Aragon!E4071,'Kilter Holds'!$P$36:$AB$370,6,0),0)</f>
        <v>0</v>
      </c>
      <c r="J4071" s="2">
        <f t="shared" si="315"/>
        <v>0</v>
      </c>
      <c r="K4071" s="2">
        <f t="shared" si="316"/>
        <v>0</v>
      </c>
    </row>
    <row r="4072" spans="1:11">
      <c r="E4072" t="s">
        <v>127</v>
      </c>
      <c r="F4072" t="s">
        <v>817</v>
      </c>
      <c r="G4072" s="7" t="str">
        <f t="shared" si="317"/>
        <v>15-12</v>
      </c>
      <c r="H4072" s="1">
        <f>_xlfn.IFNA(VLOOKUP(Aragon!E4072,'Kilter Holds'!$P$36:$AB$370,7,0),0)</f>
        <v>0</v>
      </c>
      <c r="J4072" s="2">
        <f t="shared" si="315"/>
        <v>0</v>
      </c>
      <c r="K4072" s="2">
        <f t="shared" si="316"/>
        <v>0</v>
      </c>
    </row>
    <row r="4073" spans="1:11">
      <c r="E4073" t="s">
        <v>127</v>
      </c>
      <c r="F4073" t="s">
        <v>817</v>
      </c>
      <c r="G4073" s="8" t="str">
        <f t="shared" si="317"/>
        <v>16-16</v>
      </c>
      <c r="H4073" s="1">
        <f>_xlfn.IFNA(VLOOKUP(Aragon!E4073,'Kilter Holds'!$P$36:$AB$370,8,0),0)</f>
        <v>0</v>
      </c>
      <c r="J4073" s="2">
        <f t="shared" si="315"/>
        <v>0</v>
      </c>
      <c r="K4073" s="2">
        <f t="shared" si="316"/>
        <v>0</v>
      </c>
    </row>
    <row r="4074" spans="1:11">
      <c r="E4074" t="s">
        <v>127</v>
      </c>
      <c r="F4074" t="s">
        <v>817</v>
      </c>
      <c r="G4074" s="9" t="str">
        <f t="shared" si="317"/>
        <v>13-01</v>
      </c>
      <c r="H4074" s="1">
        <f>_xlfn.IFNA(VLOOKUP(Aragon!E4074,'Kilter Holds'!$P$36:$AB$370,9,0),0)</f>
        <v>0</v>
      </c>
      <c r="J4074" s="2">
        <f t="shared" si="315"/>
        <v>0</v>
      </c>
      <c r="K4074" s="2">
        <f t="shared" si="316"/>
        <v>0</v>
      </c>
    </row>
    <row r="4075" spans="1:11">
      <c r="E4075" t="s">
        <v>127</v>
      </c>
      <c r="F4075" t="s">
        <v>817</v>
      </c>
      <c r="G4075" s="10" t="str">
        <f t="shared" si="317"/>
        <v>07-13</v>
      </c>
      <c r="H4075" s="1">
        <f>_xlfn.IFNA(VLOOKUP(Aragon!E4075,'Kilter Holds'!$P$36:$AB$370,10,0),0)</f>
        <v>0</v>
      </c>
      <c r="J4075" s="2">
        <f t="shared" si="315"/>
        <v>0</v>
      </c>
      <c r="K4075" s="2">
        <f t="shared" si="316"/>
        <v>0</v>
      </c>
    </row>
    <row r="4076" spans="1:11">
      <c r="E4076" t="s">
        <v>127</v>
      </c>
      <c r="F4076" t="s">
        <v>817</v>
      </c>
      <c r="G4076" s="11" t="str">
        <f t="shared" si="317"/>
        <v>11-25</v>
      </c>
      <c r="H4076" s="1">
        <f>_xlfn.IFNA(VLOOKUP(Aragon!E4076,'Kilter Holds'!$P$36:$AB$370,11,0),0)</f>
        <v>0</v>
      </c>
      <c r="J4076" s="2">
        <f t="shared" si="315"/>
        <v>0</v>
      </c>
      <c r="K4076" s="2">
        <f t="shared" si="316"/>
        <v>0</v>
      </c>
    </row>
    <row r="4077" spans="1:11">
      <c r="E4077" t="s">
        <v>127</v>
      </c>
      <c r="F4077" t="s">
        <v>817</v>
      </c>
      <c r="G4077" s="13" t="str">
        <f t="shared" si="317"/>
        <v>18-01</v>
      </c>
      <c r="H4077" s="1">
        <f>_xlfn.IFNA(VLOOKUP(Aragon!E4077,'Kilter Holds'!$P$36:$AB$370,12,0),0)</f>
        <v>0</v>
      </c>
      <c r="J4077" s="2">
        <f t="shared" si="315"/>
        <v>0</v>
      </c>
      <c r="K4077" s="2">
        <f t="shared" si="316"/>
        <v>0</v>
      </c>
    </row>
    <row r="4078" spans="1:11">
      <c r="E4078" t="s">
        <v>127</v>
      </c>
      <c r="F4078" t="s">
        <v>817</v>
      </c>
      <c r="G4078" s="12" t="str">
        <f t="shared" si="317"/>
        <v>12-01</v>
      </c>
      <c r="H4078" s="1">
        <f>_xlfn.IFNA(VLOOKUP(Aragon!E4078,'Kilter Holds'!$P$36:$AB$370,13,0),0)</f>
        <v>0</v>
      </c>
      <c r="J4078" s="2">
        <f t="shared" si="315"/>
        <v>0</v>
      </c>
      <c r="K4078" s="2">
        <f t="shared" si="316"/>
        <v>0</v>
      </c>
    </row>
    <row r="4079" spans="1:11">
      <c r="A4079" s="3" t="s">
        <v>2172</v>
      </c>
      <c r="E4079" t="s">
        <v>132</v>
      </c>
      <c r="F4079" t="s">
        <v>818</v>
      </c>
      <c r="G4079" s="5" t="str">
        <f t="shared" si="317"/>
        <v>11-12</v>
      </c>
      <c r="H4079" s="1">
        <f>_xlfn.IFNA(VLOOKUP(Aragon!E4079,'Kilter Holds'!$P$36:$AB$370,5,0),0)+_xlfn.IFNA(VLOOKUP(Aragon!A4079,'Kilter Holds'!$P$36:$AB$370,5,0),0)</f>
        <v>0</v>
      </c>
      <c r="J4079" s="2">
        <f t="shared" si="315"/>
        <v>0</v>
      </c>
      <c r="K4079" s="2">
        <f t="shared" si="316"/>
        <v>0</v>
      </c>
    </row>
    <row r="4080" spans="1:11">
      <c r="A4080" s="3" t="s">
        <v>2172</v>
      </c>
      <c r="E4080" t="s">
        <v>132</v>
      </c>
      <c r="F4080" t="s">
        <v>818</v>
      </c>
      <c r="G4080" s="6" t="str">
        <f t="shared" si="317"/>
        <v>14-01</v>
      </c>
      <c r="H4080" s="1">
        <f>_xlfn.IFNA(VLOOKUP(Aragon!E4080,'Kilter Holds'!$P$36:$AB$370,6,0),0)+_xlfn.IFNA(VLOOKUP(Aragon!A4080,'Kilter Holds'!$P$36:$AB$370,6,0),0)</f>
        <v>0</v>
      </c>
      <c r="J4080" s="2">
        <f t="shared" si="315"/>
        <v>0</v>
      </c>
      <c r="K4080" s="2">
        <f t="shared" si="316"/>
        <v>0</v>
      </c>
    </row>
    <row r="4081" spans="1:11">
      <c r="A4081" s="3" t="s">
        <v>2172</v>
      </c>
      <c r="E4081" t="s">
        <v>132</v>
      </c>
      <c r="F4081" t="s">
        <v>818</v>
      </c>
      <c r="G4081" s="7" t="str">
        <f t="shared" si="317"/>
        <v>15-12</v>
      </c>
      <c r="H4081" s="1">
        <f>_xlfn.IFNA(VLOOKUP(Aragon!E4081,'Kilter Holds'!$P$36:$AB$370,7,0),0)+_xlfn.IFNA(VLOOKUP(Aragon!A4081,'Kilter Holds'!$P$36:$AB$370,7,0),0)</f>
        <v>0</v>
      </c>
      <c r="J4081" s="2">
        <f t="shared" si="315"/>
        <v>0</v>
      </c>
      <c r="K4081" s="2">
        <f t="shared" si="316"/>
        <v>0</v>
      </c>
    </row>
    <row r="4082" spans="1:11">
      <c r="A4082" s="3" t="s">
        <v>2172</v>
      </c>
      <c r="E4082" t="s">
        <v>132</v>
      </c>
      <c r="F4082" t="s">
        <v>818</v>
      </c>
      <c r="G4082" s="8" t="str">
        <f t="shared" si="317"/>
        <v>16-16</v>
      </c>
      <c r="H4082" s="1">
        <f>_xlfn.IFNA(VLOOKUP(Aragon!E4082,'Kilter Holds'!$P$36:$AB$370,8,0),0)+_xlfn.IFNA(VLOOKUP(Aragon!A4082,'Kilter Holds'!$P$36:$AB$370,8,0),0)</f>
        <v>0</v>
      </c>
      <c r="J4082" s="2">
        <f t="shared" si="315"/>
        <v>0</v>
      </c>
      <c r="K4082" s="2">
        <f t="shared" si="316"/>
        <v>0</v>
      </c>
    </row>
    <row r="4083" spans="1:11">
      <c r="A4083" s="3" t="s">
        <v>2172</v>
      </c>
      <c r="E4083" t="s">
        <v>132</v>
      </c>
      <c r="F4083" t="s">
        <v>818</v>
      </c>
      <c r="G4083" s="9" t="str">
        <f t="shared" si="317"/>
        <v>13-01</v>
      </c>
      <c r="H4083" s="1">
        <f>_xlfn.IFNA(VLOOKUP(Aragon!E4083,'Kilter Holds'!$P$36:$AB$370,9,0),0)+_xlfn.IFNA(VLOOKUP(Aragon!A4083,'Kilter Holds'!$P$36:$AB$370,9,0),0)</f>
        <v>0</v>
      </c>
      <c r="J4083" s="2">
        <f t="shared" si="315"/>
        <v>0</v>
      </c>
      <c r="K4083" s="2">
        <f t="shared" si="316"/>
        <v>0</v>
      </c>
    </row>
    <row r="4084" spans="1:11">
      <c r="A4084" s="3" t="s">
        <v>2172</v>
      </c>
      <c r="E4084" t="s">
        <v>132</v>
      </c>
      <c r="F4084" t="s">
        <v>818</v>
      </c>
      <c r="G4084" s="10" t="str">
        <f t="shared" si="317"/>
        <v>07-13</v>
      </c>
      <c r="H4084" s="1">
        <f>_xlfn.IFNA(VLOOKUP(Aragon!E4084,'Kilter Holds'!$P$36:$AB$370,10,0),0)+_xlfn.IFNA(VLOOKUP(Aragon!A4084,'Kilter Holds'!$P$36:$AB$370,10,0),0)</f>
        <v>0</v>
      </c>
      <c r="J4084" s="2">
        <f t="shared" si="315"/>
        <v>0</v>
      </c>
      <c r="K4084" s="2">
        <f t="shared" si="316"/>
        <v>0</v>
      </c>
    </row>
    <row r="4085" spans="1:11">
      <c r="A4085" s="3" t="s">
        <v>2172</v>
      </c>
      <c r="E4085" t="s">
        <v>132</v>
      </c>
      <c r="F4085" t="s">
        <v>818</v>
      </c>
      <c r="G4085" s="11" t="str">
        <f t="shared" si="317"/>
        <v>11-25</v>
      </c>
      <c r="H4085" s="1">
        <f>_xlfn.IFNA(VLOOKUP(Aragon!E4085,'Kilter Holds'!$P$36:$AB$370,11,0),0)+_xlfn.IFNA(VLOOKUP(Aragon!A4085,'Kilter Holds'!$P$36:$AB$370,11,0),0)</f>
        <v>0</v>
      </c>
      <c r="J4085" s="2">
        <f t="shared" si="315"/>
        <v>0</v>
      </c>
      <c r="K4085" s="2">
        <f t="shared" si="316"/>
        <v>0</v>
      </c>
    </row>
    <row r="4086" spans="1:11">
      <c r="A4086" s="3" t="s">
        <v>2172</v>
      </c>
      <c r="E4086" t="s">
        <v>132</v>
      </c>
      <c r="F4086" t="s">
        <v>818</v>
      </c>
      <c r="G4086" s="13" t="str">
        <f t="shared" si="317"/>
        <v>18-01</v>
      </c>
      <c r="H4086" s="1">
        <f>_xlfn.IFNA(VLOOKUP(Aragon!E4086,'Kilter Holds'!$P$36:$AB$370,12,0),0)+_xlfn.IFNA(VLOOKUP(Aragon!A4086,'Kilter Holds'!$P$36:$AB$370,12,0),0)</f>
        <v>0</v>
      </c>
      <c r="J4086" s="2">
        <f t="shared" si="315"/>
        <v>0</v>
      </c>
      <c r="K4086" s="2">
        <f t="shared" si="316"/>
        <v>0</v>
      </c>
    </row>
    <row r="4087" spans="1:11">
      <c r="A4087" s="3" t="s">
        <v>2172</v>
      </c>
      <c r="E4087" t="s">
        <v>132</v>
      </c>
      <c r="F4087" t="s">
        <v>818</v>
      </c>
      <c r="G4087" s="12" t="str">
        <f t="shared" si="317"/>
        <v>12-01</v>
      </c>
      <c r="H4087" s="1">
        <f>_xlfn.IFNA(VLOOKUP(Aragon!E4087,'Kilter Holds'!$P$36:$AB$370,13,0),0)+_xlfn.IFNA(VLOOKUP(Aragon!A4087,'Kilter Holds'!$P$36:$AB$370,13,0),0)</f>
        <v>0</v>
      </c>
      <c r="J4087" s="2">
        <f t="shared" si="315"/>
        <v>0</v>
      </c>
      <c r="K4087" s="2">
        <f t="shared" si="316"/>
        <v>0</v>
      </c>
    </row>
    <row r="4088" spans="1:11">
      <c r="A4088" s="3" t="s">
        <v>2170</v>
      </c>
      <c r="B4088" s="3" t="s">
        <v>2171</v>
      </c>
      <c r="C4088" s="3" t="s">
        <v>2172</v>
      </c>
      <c r="D4088" s="3" t="s">
        <v>2173</v>
      </c>
      <c r="E4088" t="s">
        <v>139</v>
      </c>
      <c r="F4088" t="s">
        <v>819</v>
      </c>
      <c r="G4088" s="5" t="str">
        <f t="shared" si="317"/>
        <v>11-12</v>
      </c>
      <c r="H4088" s="1">
        <f>_xlfn.IFNA(VLOOKUP(Aragon!E4088,'Kilter Holds'!$P$36:$AB$370,5,0),0)+_xlfn.IFNA(VLOOKUP(Aragon!A4088,'Kilter Holds'!$P$36:$AB$370,5,0),0)+_xlfn.IFNA(VLOOKUP(Aragon!B4088,'Kilter Holds'!$P$36:$AB$370,5,0),0)+_xlfn.IFNA(VLOOKUP(Aragon!C4088,'Kilter Holds'!$P$36:$AB$370,5,0),0)+_xlfn.IFNA(VLOOKUP(Aragon!D4088,'Kilter Holds'!$P$36:$AB$370,5,0),0)</f>
        <v>0</v>
      </c>
      <c r="J4088" s="2">
        <f t="shared" si="315"/>
        <v>0</v>
      </c>
      <c r="K4088" s="2">
        <f t="shared" si="316"/>
        <v>0</v>
      </c>
    </row>
    <row r="4089" spans="1:11">
      <c r="A4089" s="3" t="s">
        <v>2170</v>
      </c>
      <c r="B4089" s="3" t="s">
        <v>2171</v>
      </c>
      <c r="C4089" s="3" t="s">
        <v>2172</v>
      </c>
      <c r="D4089" s="3" t="s">
        <v>2173</v>
      </c>
      <c r="E4089" t="s">
        <v>139</v>
      </c>
      <c r="F4089" t="s">
        <v>819</v>
      </c>
      <c r="G4089" s="6" t="str">
        <f t="shared" si="317"/>
        <v>14-01</v>
      </c>
      <c r="H4089" s="1">
        <f>_xlfn.IFNA(VLOOKUP(Aragon!E4089,'Kilter Holds'!$P$36:$AB$370,6,0),0)+_xlfn.IFNA(VLOOKUP(Aragon!A4089,'Kilter Holds'!$P$36:$AB$370,6,0),0)+_xlfn.IFNA(VLOOKUP(Aragon!B4089,'Kilter Holds'!$P$36:$AB$370,6,0),0)+_xlfn.IFNA(VLOOKUP(Aragon!C4089,'Kilter Holds'!$P$36:$AB$370,6,0),0)+_xlfn.IFNA(VLOOKUP(Aragon!D4089,'Kilter Holds'!$P$36:$AB$370,6,0),0)</f>
        <v>0</v>
      </c>
      <c r="J4089" s="2">
        <f t="shared" si="315"/>
        <v>0</v>
      </c>
      <c r="K4089" s="2">
        <f t="shared" si="316"/>
        <v>0</v>
      </c>
    </row>
    <row r="4090" spans="1:11">
      <c r="A4090" s="3" t="s">
        <v>2170</v>
      </c>
      <c r="B4090" s="3" t="s">
        <v>2171</v>
      </c>
      <c r="C4090" s="3" t="s">
        <v>2172</v>
      </c>
      <c r="D4090" s="3" t="s">
        <v>2173</v>
      </c>
      <c r="E4090" t="s">
        <v>139</v>
      </c>
      <c r="F4090" t="s">
        <v>819</v>
      </c>
      <c r="G4090" s="7" t="str">
        <f t="shared" si="317"/>
        <v>15-12</v>
      </c>
      <c r="H4090" s="1">
        <f>_xlfn.IFNA(VLOOKUP(Aragon!E4090,'Kilter Holds'!$P$36:$AB$370,7,0),0)+_xlfn.IFNA(VLOOKUP(Aragon!A4090,'Kilter Holds'!$P$36:$AB$370,7,0),0)+_xlfn.IFNA(VLOOKUP(Aragon!B4090,'Kilter Holds'!$P$36:$AB$370,7,0),0)+_xlfn.IFNA(VLOOKUP(Aragon!C4090,'Kilter Holds'!$P$36:$AB$370,7,0),0)+_xlfn.IFNA(VLOOKUP(Aragon!D4090,'Kilter Holds'!$P$36:$AB$370,7,0),0)</f>
        <v>0</v>
      </c>
      <c r="J4090" s="2">
        <f t="shared" si="315"/>
        <v>0</v>
      </c>
      <c r="K4090" s="2">
        <f t="shared" si="316"/>
        <v>0</v>
      </c>
    </row>
    <row r="4091" spans="1:11">
      <c r="A4091" s="3" t="s">
        <v>2170</v>
      </c>
      <c r="B4091" s="3" t="s">
        <v>2171</v>
      </c>
      <c r="C4091" s="3" t="s">
        <v>2172</v>
      </c>
      <c r="D4091" s="3" t="s">
        <v>2173</v>
      </c>
      <c r="E4091" t="s">
        <v>139</v>
      </c>
      <c r="F4091" t="s">
        <v>819</v>
      </c>
      <c r="G4091" s="8" t="str">
        <f t="shared" si="317"/>
        <v>16-16</v>
      </c>
      <c r="H4091" s="1">
        <f>_xlfn.IFNA(VLOOKUP(Aragon!E4091,'Kilter Holds'!$P$36:$AB$370,8,0),0)+_xlfn.IFNA(VLOOKUP(Aragon!A4091,'Kilter Holds'!$P$36:$AB$370,8,0),0)+_xlfn.IFNA(VLOOKUP(Aragon!B4091,'Kilter Holds'!$P$36:$AB$370,8,0),0)+_xlfn.IFNA(VLOOKUP(Aragon!C4091,'Kilter Holds'!$P$36:$AB$370,8,0),0)+_xlfn.IFNA(VLOOKUP(Aragon!D4091,'Kilter Holds'!$P$36:$AB$370,8,0),0)</f>
        <v>0</v>
      </c>
      <c r="J4091" s="2">
        <f t="shared" si="315"/>
        <v>0</v>
      </c>
      <c r="K4091" s="2">
        <f t="shared" si="316"/>
        <v>0</v>
      </c>
    </row>
    <row r="4092" spans="1:11">
      <c r="A4092" s="3" t="s">
        <v>2170</v>
      </c>
      <c r="B4092" s="3" t="s">
        <v>2171</v>
      </c>
      <c r="C4092" s="3" t="s">
        <v>2172</v>
      </c>
      <c r="D4092" s="3" t="s">
        <v>2173</v>
      </c>
      <c r="E4092" t="s">
        <v>139</v>
      </c>
      <c r="F4092" t="s">
        <v>819</v>
      </c>
      <c r="G4092" s="9" t="str">
        <f t="shared" si="317"/>
        <v>13-01</v>
      </c>
      <c r="H4092" s="1">
        <f>_xlfn.IFNA(VLOOKUP(Aragon!E4092,'Kilter Holds'!$P$36:$AB$370,9,0),0)+_xlfn.IFNA(VLOOKUP(Aragon!A4092,'Kilter Holds'!$P$36:$AB$370,9,0),0)+_xlfn.IFNA(VLOOKUP(Aragon!B4092,'Kilter Holds'!$P$36:$AB$370,9,0),0)+_xlfn.IFNA(VLOOKUP(Aragon!C4092,'Kilter Holds'!$P$36:$AB$370,9,0),0)+_xlfn.IFNA(VLOOKUP(Aragon!D4092,'Kilter Holds'!$P$36:$AB$370,9,0),0)</f>
        <v>0</v>
      </c>
      <c r="J4092" s="2">
        <f t="shared" si="315"/>
        <v>0</v>
      </c>
      <c r="K4092" s="2">
        <f t="shared" si="316"/>
        <v>0</v>
      </c>
    </row>
    <row r="4093" spans="1:11">
      <c r="A4093" s="3" t="s">
        <v>2170</v>
      </c>
      <c r="B4093" s="3" t="s">
        <v>2171</v>
      </c>
      <c r="C4093" s="3" t="s">
        <v>2172</v>
      </c>
      <c r="D4093" s="3" t="s">
        <v>2173</v>
      </c>
      <c r="E4093" t="s">
        <v>139</v>
      </c>
      <c r="F4093" t="s">
        <v>819</v>
      </c>
      <c r="G4093" s="10" t="str">
        <f t="shared" si="317"/>
        <v>07-13</v>
      </c>
      <c r="H4093" s="1">
        <f>_xlfn.IFNA(VLOOKUP(Aragon!E4093,'Kilter Holds'!$P$36:$AB$370,10,0),0)+_xlfn.IFNA(VLOOKUP(Aragon!A4093,'Kilter Holds'!$P$36:$AB$370,10,0),0)+_xlfn.IFNA(VLOOKUP(Aragon!B4093,'Kilter Holds'!$P$36:$AB$370,10,0),0)+_xlfn.IFNA(VLOOKUP(Aragon!C4093,'Kilter Holds'!$P$36:$AB$370,10,0),0)+_xlfn.IFNA(VLOOKUP(Aragon!D4093,'Kilter Holds'!$P$36:$AB$370,10,0),0)</f>
        <v>0</v>
      </c>
      <c r="J4093" s="2">
        <f t="shared" si="315"/>
        <v>0</v>
      </c>
      <c r="K4093" s="2">
        <f t="shared" si="316"/>
        <v>0</v>
      </c>
    </row>
    <row r="4094" spans="1:11">
      <c r="A4094" s="3" t="s">
        <v>2170</v>
      </c>
      <c r="B4094" s="3" t="s">
        <v>2171</v>
      </c>
      <c r="C4094" s="3" t="s">
        <v>2172</v>
      </c>
      <c r="D4094" s="3" t="s">
        <v>2173</v>
      </c>
      <c r="E4094" t="s">
        <v>139</v>
      </c>
      <c r="F4094" t="s">
        <v>819</v>
      </c>
      <c r="G4094" s="11" t="str">
        <f t="shared" si="317"/>
        <v>11-25</v>
      </c>
      <c r="H4094" s="1">
        <f>_xlfn.IFNA(VLOOKUP(Aragon!E4094,'Kilter Holds'!$P$36:$AB$370,11,0),0)+_xlfn.IFNA(VLOOKUP(Aragon!A4094,'Kilter Holds'!$P$36:$AB$370,11,0),0)+_xlfn.IFNA(VLOOKUP(Aragon!B4094,'Kilter Holds'!$P$36:$AB$370,11,0),0)+_xlfn.IFNA(VLOOKUP(Aragon!C4094,'Kilter Holds'!$P$36:$AB$370,11,0),0)+_xlfn.IFNA(VLOOKUP(Aragon!D4094,'Kilter Holds'!$P$36:$AB$370,11,0),0)</f>
        <v>0</v>
      </c>
      <c r="J4094" s="2">
        <f t="shared" si="315"/>
        <v>0</v>
      </c>
      <c r="K4094" s="2">
        <f t="shared" si="316"/>
        <v>0</v>
      </c>
    </row>
    <row r="4095" spans="1:11">
      <c r="A4095" s="3" t="s">
        <v>2170</v>
      </c>
      <c r="B4095" s="3" t="s">
        <v>2171</v>
      </c>
      <c r="C4095" s="3" t="s">
        <v>2172</v>
      </c>
      <c r="D4095" s="3" t="s">
        <v>2173</v>
      </c>
      <c r="E4095" t="s">
        <v>139</v>
      </c>
      <c r="F4095" t="s">
        <v>819</v>
      </c>
      <c r="G4095" s="13" t="str">
        <f t="shared" si="317"/>
        <v>18-01</v>
      </c>
      <c r="H4095" s="1">
        <f>_xlfn.IFNA(VLOOKUP(Aragon!E4095,'Kilter Holds'!$P$36:$AB$370,12,0),0)+_xlfn.IFNA(VLOOKUP(Aragon!A4095,'Kilter Holds'!$P$36:$AB$370,12,0),0)+_xlfn.IFNA(VLOOKUP(Aragon!B4095,'Kilter Holds'!$P$36:$AB$370,12,0),0)+_xlfn.IFNA(VLOOKUP(Aragon!C4095,'Kilter Holds'!$P$36:$AB$370,12,0),0)+_xlfn.IFNA(VLOOKUP(Aragon!D4095,'Kilter Holds'!$P$36:$AB$370,12,0),0)</f>
        <v>0</v>
      </c>
      <c r="J4095" s="2">
        <f t="shared" si="315"/>
        <v>0</v>
      </c>
      <c r="K4095" s="2">
        <f t="shared" si="316"/>
        <v>0</v>
      </c>
    </row>
    <row r="4096" spans="1:11">
      <c r="A4096" s="3" t="s">
        <v>2170</v>
      </c>
      <c r="B4096" s="3" t="s">
        <v>2171</v>
      </c>
      <c r="C4096" s="3" t="s">
        <v>2172</v>
      </c>
      <c r="D4096" s="3" t="s">
        <v>2173</v>
      </c>
      <c r="E4096" t="s">
        <v>139</v>
      </c>
      <c r="F4096" t="s">
        <v>819</v>
      </c>
      <c r="G4096" s="12" t="str">
        <f t="shared" si="317"/>
        <v>12-01</v>
      </c>
      <c r="H4096" s="1">
        <f>_xlfn.IFNA(VLOOKUP(Aragon!E4096,'Kilter Holds'!$P$36:$AB$370,13,0),0)+_xlfn.IFNA(VLOOKUP(Aragon!A4096,'Kilter Holds'!$P$36:$AB$370,13,0),0)+_xlfn.IFNA(VLOOKUP(Aragon!B4096,'Kilter Holds'!$P$36:$AB$370,13,0),0)+_xlfn.IFNA(VLOOKUP(Aragon!C4096,'Kilter Holds'!$P$36:$AB$370,13,0),0)+_xlfn.IFNA(VLOOKUP(Aragon!D4096,'Kilter Holds'!$P$36:$AB$370,13,0),0)</f>
        <v>0</v>
      </c>
      <c r="J4096" s="2">
        <f t="shared" si="315"/>
        <v>0</v>
      </c>
      <c r="K4096" s="2">
        <f t="shared" si="316"/>
        <v>0</v>
      </c>
    </row>
    <row r="4097" spans="1:11">
      <c r="E4097" t="s">
        <v>133</v>
      </c>
      <c r="F4097" t="s">
        <v>820</v>
      </c>
      <c r="G4097" s="5" t="str">
        <f t="shared" si="317"/>
        <v>11-12</v>
      </c>
      <c r="H4097" s="1">
        <f>_xlfn.IFNA(VLOOKUP(Aragon!E4097,'Kilter Holds'!$P$36:$AB$370,5,0),0)</f>
        <v>0</v>
      </c>
      <c r="J4097" s="2">
        <f t="shared" si="315"/>
        <v>0</v>
      </c>
      <c r="K4097" s="2">
        <f t="shared" si="316"/>
        <v>0</v>
      </c>
    </row>
    <row r="4098" spans="1:11">
      <c r="E4098" t="s">
        <v>133</v>
      </c>
      <c r="F4098" t="s">
        <v>820</v>
      </c>
      <c r="G4098" s="6" t="str">
        <f t="shared" si="317"/>
        <v>14-01</v>
      </c>
      <c r="H4098" s="1">
        <f>_xlfn.IFNA(VLOOKUP(Aragon!E4098,'Kilter Holds'!$P$36:$AB$370,6,0),0)</f>
        <v>0</v>
      </c>
      <c r="J4098" s="2">
        <f t="shared" si="315"/>
        <v>0</v>
      </c>
      <c r="K4098" s="2">
        <f t="shared" si="316"/>
        <v>0</v>
      </c>
    </row>
    <row r="4099" spans="1:11">
      <c r="E4099" t="s">
        <v>133</v>
      </c>
      <c r="F4099" t="s">
        <v>820</v>
      </c>
      <c r="G4099" s="7" t="str">
        <f t="shared" si="317"/>
        <v>15-12</v>
      </c>
      <c r="H4099" s="1">
        <f>_xlfn.IFNA(VLOOKUP(Aragon!E4099,'Kilter Holds'!$P$36:$AB$370,7,0),0)</f>
        <v>0</v>
      </c>
      <c r="J4099" s="2">
        <f t="shared" si="315"/>
        <v>0</v>
      </c>
      <c r="K4099" s="2">
        <f t="shared" si="316"/>
        <v>0</v>
      </c>
    </row>
    <row r="4100" spans="1:11">
      <c r="E4100" t="s">
        <v>133</v>
      </c>
      <c r="F4100" t="s">
        <v>820</v>
      </c>
      <c r="G4100" s="8" t="str">
        <f t="shared" si="317"/>
        <v>16-16</v>
      </c>
      <c r="H4100" s="1">
        <f>_xlfn.IFNA(VLOOKUP(Aragon!E4100,'Kilter Holds'!$P$36:$AB$370,8,0),0)</f>
        <v>0</v>
      </c>
      <c r="J4100" s="2">
        <f t="shared" si="315"/>
        <v>0</v>
      </c>
      <c r="K4100" s="2">
        <f t="shared" si="316"/>
        <v>0</v>
      </c>
    </row>
    <row r="4101" spans="1:11">
      <c r="E4101" t="s">
        <v>133</v>
      </c>
      <c r="F4101" t="s">
        <v>820</v>
      </c>
      <c r="G4101" s="9" t="str">
        <f t="shared" si="317"/>
        <v>13-01</v>
      </c>
      <c r="H4101" s="1">
        <f>_xlfn.IFNA(VLOOKUP(Aragon!E4101,'Kilter Holds'!$P$36:$AB$370,9,0),0)</f>
        <v>0</v>
      </c>
      <c r="J4101" s="2">
        <f t="shared" si="315"/>
        <v>0</v>
      </c>
      <c r="K4101" s="2">
        <f t="shared" si="316"/>
        <v>0</v>
      </c>
    </row>
    <row r="4102" spans="1:11">
      <c r="E4102" t="s">
        <v>133</v>
      </c>
      <c r="F4102" t="s">
        <v>820</v>
      </c>
      <c r="G4102" s="10" t="str">
        <f t="shared" si="317"/>
        <v>07-13</v>
      </c>
      <c r="H4102" s="1">
        <f>_xlfn.IFNA(VLOOKUP(Aragon!E4102,'Kilter Holds'!$P$36:$AB$370,10,0),0)</f>
        <v>0</v>
      </c>
      <c r="J4102" s="2">
        <f t="shared" si="315"/>
        <v>0</v>
      </c>
      <c r="K4102" s="2">
        <f t="shared" si="316"/>
        <v>0</v>
      </c>
    </row>
    <row r="4103" spans="1:11">
      <c r="E4103" t="s">
        <v>133</v>
      </c>
      <c r="F4103" t="s">
        <v>820</v>
      </c>
      <c r="G4103" s="11" t="str">
        <f t="shared" si="317"/>
        <v>11-25</v>
      </c>
      <c r="H4103" s="1">
        <f>_xlfn.IFNA(VLOOKUP(Aragon!E4103,'Kilter Holds'!$P$36:$AB$370,11,0),0)</f>
        <v>0</v>
      </c>
      <c r="J4103" s="2">
        <f t="shared" si="315"/>
        <v>0</v>
      </c>
      <c r="K4103" s="2">
        <f t="shared" si="316"/>
        <v>0</v>
      </c>
    </row>
    <row r="4104" spans="1:11">
      <c r="E4104" t="s">
        <v>133</v>
      </c>
      <c r="F4104" t="s">
        <v>820</v>
      </c>
      <c r="G4104" s="13" t="str">
        <f t="shared" si="317"/>
        <v>18-01</v>
      </c>
      <c r="H4104" s="1">
        <f>_xlfn.IFNA(VLOOKUP(Aragon!E4104,'Kilter Holds'!$P$36:$AB$370,12,0),0)</f>
        <v>0</v>
      </c>
      <c r="J4104" s="2">
        <f t="shared" si="315"/>
        <v>0</v>
      </c>
      <c r="K4104" s="2">
        <f t="shared" si="316"/>
        <v>0</v>
      </c>
    </row>
    <row r="4105" spans="1:11">
      <c r="E4105" t="s">
        <v>133</v>
      </c>
      <c r="F4105" t="s">
        <v>820</v>
      </c>
      <c r="G4105" s="12" t="str">
        <f t="shared" si="317"/>
        <v>12-01</v>
      </c>
      <c r="H4105" s="1">
        <f>_xlfn.IFNA(VLOOKUP(Aragon!E4105,'Kilter Holds'!$P$36:$AB$370,13,0),0)</f>
        <v>0</v>
      </c>
      <c r="J4105" s="2">
        <f t="shared" si="315"/>
        <v>0</v>
      </c>
      <c r="K4105" s="2">
        <f t="shared" si="316"/>
        <v>0</v>
      </c>
    </row>
    <row r="4106" spans="1:11">
      <c r="A4106" s="3" t="s">
        <v>2172</v>
      </c>
      <c r="E4106" t="s">
        <v>134</v>
      </c>
      <c r="F4106" t="s">
        <v>821</v>
      </c>
      <c r="G4106" s="5" t="str">
        <f t="shared" si="317"/>
        <v>11-12</v>
      </c>
      <c r="H4106" s="1">
        <f>_xlfn.IFNA(VLOOKUP(Aragon!E4106,'Kilter Holds'!$P$36:$AB$370,5,0),0)+_xlfn.IFNA(VLOOKUP(Aragon!A4106,'Kilter Holds'!$P$36:$AB$370,5,0),0)</f>
        <v>0</v>
      </c>
      <c r="J4106" s="2">
        <f t="shared" si="315"/>
        <v>0</v>
      </c>
      <c r="K4106" s="2">
        <f t="shared" si="316"/>
        <v>0</v>
      </c>
    </row>
    <row r="4107" spans="1:11">
      <c r="A4107" s="3" t="s">
        <v>2172</v>
      </c>
      <c r="E4107" t="s">
        <v>134</v>
      </c>
      <c r="F4107" t="s">
        <v>821</v>
      </c>
      <c r="G4107" s="6" t="str">
        <f t="shared" si="317"/>
        <v>14-01</v>
      </c>
      <c r="H4107" s="1">
        <f>_xlfn.IFNA(VLOOKUP(Aragon!E4107,'Kilter Holds'!$P$36:$AB$370,6,0),0)+_xlfn.IFNA(VLOOKUP(Aragon!A4107,'Kilter Holds'!$P$36:$AB$370,6,0),0)</f>
        <v>0</v>
      </c>
      <c r="J4107" s="2">
        <f t="shared" si="315"/>
        <v>0</v>
      </c>
      <c r="K4107" s="2">
        <f t="shared" si="316"/>
        <v>0</v>
      </c>
    </row>
    <row r="4108" spans="1:11">
      <c r="A4108" s="3" t="s">
        <v>2172</v>
      </c>
      <c r="E4108" t="s">
        <v>134</v>
      </c>
      <c r="F4108" t="s">
        <v>821</v>
      </c>
      <c r="G4108" s="7" t="str">
        <f t="shared" si="317"/>
        <v>15-12</v>
      </c>
      <c r="H4108" s="1">
        <f>_xlfn.IFNA(VLOOKUP(Aragon!E4108,'Kilter Holds'!$P$36:$AB$370,7,0),0)+_xlfn.IFNA(VLOOKUP(Aragon!A4108,'Kilter Holds'!$P$36:$AB$370,7,0),0)</f>
        <v>0</v>
      </c>
      <c r="J4108" s="2">
        <f t="shared" si="315"/>
        <v>0</v>
      </c>
      <c r="K4108" s="2">
        <f t="shared" si="316"/>
        <v>0</v>
      </c>
    </row>
    <row r="4109" spans="1:11">
      <c r="A4109" s="3" t="s">
        <v>2172</v>
      </c>
      <c r="E4109" t="s">
        <v>134</v>
      </c>
      <c r="F4109" t="s">
        <v>821</v>
      </c>
      <c r="G4109" s="8" t="str">
        <f t="shared" si="317"/>
        <v>16-16</v>
      </c>
      <c r="H4109" s="1">
        <f>_xlfn.IFNA(VLOOKUP(Aragon!E4109,'Kilter Holds'!$P$36:$AB$370,8,0),0)+_xlfn.IFNA(VLOOKUP(Aragon!A4109,'Kilter Holds'!$P$36:$AB$370,8,0),0)</f>
        <v>0</v>
      </c>
      <c r="J4109" s="2">
        <f t="shared" si="315"/>
        <v>0</v>
      </c>
      <c r="K4109" s="2">
        <f t="shared" si="316"/>
        <v>0</v>
      </c>
    </row>
    <row r="4110" spans="1:11">
      <c r="A4110" s="3" t="s">
        <v>2172</v>
      </c>
      <c r="E4110" t="s">
        <v>134</v>
      </c>
      <c r="F4110" t="s">
        <v>821</v>
      </c>
      <c r="G4110" s="9" t="str">
        <f t="shared" si="317"/>
        <v>13-01</v>
      </c>
      <c r="H4110" s="1">
        <f>_xlfn.IFNA(VLOOKUP(Aragon!E4110,'Kilter Holds'!$P$36:$AB$370,9,0),0)+_xlfn.IFNA(VLOOKUP(Aragon!A4110,'Kilter Holds'!$P$36:$AB$370,9,0),0)</f>
        <v>0</v>
      </c>
      <c r="J4110" s="2">
        <f t="shared" si="315"/>
        <v>0</v>
      </c>
      <c r="K4110" s="2">
        <f t="shared" si="316"/>
        <v>0</v>
      </c>
    </row>
    <row r="4111" spans="1:11">
      <c r="A4111" s="3" t="s">
        <v>2172</v>
      </c>
      <c r="E4111" t="s">
        <v>134</v>
      </c>
      <c r="F4111" t="s">
        <v>821</v>
      </c>
      <c r="G4111" s="10" t="str">
        <f t="shared" si="317"/>
        <v>07-13</v>
      </c>
      <c r="H4111" s="1">
        <f>_xlfn.IFNA(VLOOKUP(Aragon!E4111,'Kilter Holds'!$P$36:$AB$370,10,0),0)+_xlfn.IFNA(VLOOKUP(Aragon!A4111,'Kilter Holds'!$P$36:$AB$370,10,0),0)</f>
        <v>0</v>
      </c>
      <c r="J4111" s="2">
        <f t="shared" si="315"/>
        <v>0</v>
      </c>
      <c r="K4111" s="2">
        <f t="shared" si="316"/>
        <v>0</v>
      </c>
    </row>
    <row r="4112" spans="1:11">
      <c r="A4112" s="3" t="s">
        <v>2172</v>
      </c>
      <c r="E4112" t="s">
        <v>134</v>
      </c>
      <c r="F4112" t="s">
        <v>821</v>
      </c>
      <c r="G4112" s="11" t="str">
        <f t="shared" si="317"/>
        <v>11-25</v>
      </c>
      <c r="H4112" s="1">
        <f>_xlfn.IFNA(VLOOKUP(Aragon!E4112,'Kilter Holds'!$P$36:$AB$370,11,0),0)+_xlfn.IFNA(VLOOKUP(Aragon!A4112,'Kilter Holds'!$P$36:$AB$370,11,0),0)</f>
        <v>0</v>
      </c>
      <c r="J4112" s="2">
        <f t="shared" si="315"/>
        <v>0</v>
      </c>
      <c r="K4112" s="2">
        <f t="shared" si="316"/>
        <v>0</v>
      </c>
    </row>
    <row r="4113" spans="1:11">
      <c r="A4113" s="3" t="s">
        <v>2172</v>
      </c>
      <c r="E4113" t="s">
        <v>134</v>
      </c>
      <c r="F4113" t="s">
        <v>821</v>
      </c>
      <c r="G4113" s="13" t="str">
        <f t="shared" si="317"/>
        <v>18-01</v>
      </c>
      <c r="H4113" s="1">
        <f>_xlfn.IFNA(VLOOKUP(Aragon!E4113,'Kilter Holds'!$P$36:$AB$370,12,0),0)+_xlfn.IFNA(VLOOKUP(Aragon!A4113,'Kilter Holds'!$P$36:$AB$370,12,0),0)</f>
        <v>0</v>
      </c>
      <c r="J4113" s="2">
        <f t="shared" si="315"/>
        <v>0</v>
      </c>
      <c r="K4113" s="2">
        <f t="shared" si="316"/>
        <v>0</v>
      </c>
    </row>
    <row r="4114" spans="1:11">
      <c r="A4114" s="3" t="s">
        <v>2172</v>
      </c>
      <c r="E4114" t="s">
        <v>134</v>
      </c>
      <c r="F4114" t="s">
        <v>821</v>
      </c>
      <c r="G4114" s="12" t="str">
        <f t="shared" si="317"/>
        <v>12-01</v>
      </c>
      <c r="H4114" s="1">
        <f>_xlfn.IFNA(VLOOKUP(Aragon!E4114,'Kilter Holds'!$P$36:$AB$370,13,0),0)+_xlfn.IFNA(VLOOKUP(Aragon!A4114,'Kilter Holds'!$P$36:$AB$370,13,0),0)</f>
        <v>0</v>
      </c>
      <c r="J4114" s="2">
        <f t="shared" si="315"/>
        <v>0</v>
      </c>
      <c r="K4114" s="2">
        <f t="shared" si="316"/>
        <v>0</v>
      </c>
    </row>
    <row r="4115" spans="1:11">
      <c r="E4115" t="s">
        <v>130</v>
      </c>
      <c r="F4115" t="s">
        <v>822</v>
      </c>
      <c r="G4115" s="5" t="str">
        <f t="shared" si="317"/>
        <v>11-12</v>
      </c>
      <c r="H4115" s="1">
        <f>_xlfn.IFNA(VLOOKUP(Aragon!E4115,'Kilter Holds'!$P$36:$AB$370,5,0),0)</f>
        <v>0</v>
      </c>
      <c r="J4115" s="2">
        <f t="shared" si="315"/>
        <v>0</v>
      </c>
      <c r="K4115" s="2">
        <f t="shared" si="316"/>
        <v>0</v>
      </c>
    </row>
    <row r="4116" spans="1:11">
      <c r="E4116" t="s">
        <v>130</v>
      </c>
      <c r="F4116" t="s">
        <v>822</v>
      </c>
      <c r="G4116" s="6" t="str">
        <f t="shared" si="317"/>
        <v>14-01</v>
      </c>
      <c r="H4116" s="1">
        <f>_xlfn.IFNA(VLOOKUP(Aragon!E4116,'Kilter Holds'!$P$36:$AB$370,6,0),0)</f>
        <v>0</v>
      </c>
      <c r="J4116" s="2">
        <f t="shared" si="315"/>
        <v>0</v>
      </c>
      <c r="K4116" s="2">
        <f t="shared" si="316"/>
        <v>0</v>
      </c>
    </row>
    <row r="4117" spans="1:11">
      <c r="E4117" t="s">
        <v>130</v>
      </c>
      <c r="F4117" t="s">
        <v>822</v>
      </c>
      <c r="G4117" s="7" t="str">
        <f t="shared" si="317"/>
        <v>15-12</v>
      </c>
      <c r="H4117" s="1">
        <f>_xlfn.IFNA(VLOOKUP(Aragon!E4117,'Kilter Holds'!$P$36:$AB$370,7,0),0)</f>
        <v>0</v>
      </c>
      <c r="J4117" s="2">
        <f t="shared" si="315"/>
        <v>0</v>
      </c>
      <c r="K4117" s="2">
        <f t="shared" si="316"/>
        <v>0</v>
      </c>
    </row>
    <row r="4118" spans="1:11">
      <c r="E4118" t="s">
        <v>130</v>
      </c>
      <c r="F4118" t="s">
        <v>822</v>
      </c>
      <c r="G4118" s="8" t="str">
        <f t="shared" si="317"/>
        <v>16-16</v>
      </c>
      <c r="H4118" s="1">
        <f>_xlfn.IFNA(VLOOKUP(Aragon!E4118,'Kilter Holds'!$P$36:$AB$370,8,0),0)</f>
        <v>0</v>
      </c>
      <c r="J4118" s="2">
        <f t="shared" si="315"/>
        <v>0</v>
      </c>
      <c r="K4118" s="2">
        <f t="shared" si="316"/>
        <v>0</v>
      </c>
    </row>
    <row r="4119" spans="1:11">
      <c r="E4119" t="s">
        <v>130</v>
      </c>
      <c r="F4119" t="s">
        <v>822</v>
      </c>
      <c r="G4119" s="9" t="str">
        <f t="shared" si="317"/>
        <v>13-01</v>
      </c>
      <c r="H4119" s="1">
        <f>_xlfn.IFNA(VLOOKUP(Aragon!E4119,'Kilter Holds'!$P$36:$AB$370,9,0),0)</f>
        <v>0</v>
      </c>
      <c r="J4119" s="2">
        <f t="shared" si="315"/>
        <v>0</v>
      </c>
      <c r="K4119" s="2">
        <f t="shared" si="316"/>
        <v>0</v>
      </c>
    </row>
    <row r="4120" spans="1:11">
      <c r="E4120" t="s">
        <v>130</v>
      </c>
      <c r="F4120" t="s">
        <v>822</v>
      </c>
      <c r="G4120" s="10" t="str">
        <f t="shared" si="317"/>
        <v>07-13</v>
      </c>
      <c r="H4120" s="1">
        <f>_xlfn.IFNA(VLOOKUP(Aragon!E4120,'Kilter Holds'!$P$36:$AB$370,10,0),0)</f>
        <v>0</v>
      </c>
      <c r="J4120" s="2">
        <f t="shared" si="315"/>
        <v>0</v>
      </c>
      <c r="K4120" s="2">
        <f t="shared" si="316"/>
        <v>0</v>
      </c>
    </row>
    <row r="4121" spans="1:11">
      <c r="E4121" t="s">
        <v>130</v>
      </c>
      <c r="F4121" t="s">
        <v>822</v>
      </c>
      <c r="G4121" s="11" t="str">
        <f t="shared" si="317"/>
        <v>11-25</v>
      </c>
      <c r="H4121" s="1">
        <f>_xlfn.IFNA(VLOOKUP(Aragon!E4121,'Kilter Holds'!$P$36:$AB$370,11,0),0)</f>
        <v>0</v>
      </c>
      <c r="J4121" s="2">
        <f t="shared" ref="J4121:J4184" si="318">H4121*I4121</f>
        <v>0</v>
      </c>
      <c r="K4121" s="2">
        <f t="shared" si="316"/>
        <v>0</v>
      </c>
    </row>
    <row r="4122" spans="1:11">
      <c r="E4122" t="s">
        <v>130</v>
      </c>
      <c r="F4122" t="s">
        <v>822</v>
      </c>
      <c r="G4122" s="13" t="str">
        <f t="shared" si="317"/>
        <v>18-01</v>
      </c>
      <c r="H4122" s="1">
        <f>_xlfn.IFNA(VLOOKUP(Aragon!E4122,'Kilter Holds'!$P$36:$AB$370,12,0),0)</f>
        <v>0</v>
      </c>
      <c r="J4122" s="2">
        <f t="shared" si="318"/>
        <v>0</v>
      </c>
      <c r="K4122" s="2">
        <f t="shared" si="316"/>
        <v>0</v>
      </c>
    </row>
    <row r="4123" spans="1:11">
      <c r="E4123" t="s">
        <v>130</v>
      </c>
      <c r="F4123" t="s">
        <v>822</v>
      </c>
      <c r="G4123" s="12" t="str">
        <f t="shared" si="317"/>
        <v>12-01</v>
      </c>
      <c r="H4123" s="1">
        <f>_xlfn.IFNA(VLOOKUP(Aragon!E4123,'Kilter Holds'!$P$36:$AB$370,13,0),0)</f>
        <v>0</v>
      </c>
      <c r="J4123" s="2">
        <f t="shared" si="318"/>
        <v>0</v>
      </c>
      <c r="K4123" s="2">
        <f t="shared" si="316"/>
        <v>0</v>
      </c>
    </row>
    <row r="4124" spans="1:11">
      <c r="E4124" t="s">
        <v>129</v>
      </c>
      <c r="F4124" t="s">
        <v>823</v>
      </c>
      <c r="G4124" s="5" t="str">
        <f t="shared" si="317"/>
        <v>11-12</v>
      </c>
      <c r="H4124" s="1">
        <f>_xlfn.IFNA(VLOOKUP(Aragon!E4124,'Kilter Holds'!$P$36:$AB$370,5,0),0)</f>
        <v>0</v>
      </c>
      <c r="J4124" s="2">
        <f t="shared" si="318"/>
        <v>0</v>
      </c>
      <c r="K4124" s="2">
        <f t="shared" si="316"/>
        <v>0</v>
      </c>
    </row>
    <row r="4125" spans="1:11">
      <c r="E4125" t="s">
        <v>129</v>
      </c>
      <c r="F4125" t="s">
        <v>823</v>
      </c>
      <c r="G4125" s="6" t="str">
        <f t="shared" si="317"/>
        <v>14-01</v>
      </c>
      <c r="H4125" s="1">
        <f>_xlfn.IFNA(VLOOKUP(Aragon!E4125,'Kilter Holds'!$P$36:$AB$370,6,0),0)</f>
        <v>0</v>
      </c>
      <c r="J4125" s="2">
        <f t="shared" si="318"/>
        <v>0</v>
      </c>
      <c r="K4125" s="2">
        <f t="shared" si="316"/>
        <v>0</v>
      </c>
    </row>
    <row r="4126" spans="1:11">
      <c r="E4126" t="s">
        <v>129</v>
      </c>
      <c r="F4126" t="s">
        <v>823</v>
      </c>
      <c r="G4126" s="7" t="str">
        <f t="shared" si="317"/>
        <v>15-12</v>
      </c>
      <c r="H4126" s="1">
        <f>_xlfn.IFNA(VLOOKUP(Aragon!E4126,'Kilter Holds'!$P$36:$AB$370,7,0),0)</f>
        <v>0</v>
      </c>
      <c r="J4126" s="2">
        <f t="shared" si="318"/>
        <v>0</v>
      </c>
      <c r="K4126" s="2">
        <f t="shared" si="316"/>
        <v>0</v>
      </c>
    </row>
    <row r="4127" spans="1:11">
      <c r="E4127" t="s">
        <v>129</v>
      </c>
      <c r="F4127" t="s">
        <v>823</v>
      </c>
      <c r="G4127" s="8" t="str">
        <f t="shared" si="317"/>
        <v>16-16</v>
      </c>
      <c r="H4127" s="1">
        <f>_xlfn.IFNA(VLOOKUP(Aragon!E4127,'Kilter Holds'!$P$36:$AB$370,8,0),0)</f>
        <v>0</v>
      </c>
      <c r="J4127" s="2">
        <f t="shared" si="318"/>
        <v>0</v>
      </c>
      <c r="K4127" s="2">
        <f t="shared" si="316"/>
        <v>0</v>
      </c>
    </row>
    <row r="4128" spans="1:11">
      <c r="E4128" t="s">
        <v>129</v>
      </c>
      <c r="F4128" t="s">
        <v>823</v>
      </c>
      <c r="G4128" s="9" t="str">
        <f t="shared" si="317"/>
        <v>13-01</v>
      </c>
      <c r="H4128" s="1">
        <f>_xlfn.IFNA(VLOOKUP(Aragon!E4128,'Kilter Holds'!$P$36:$AB$370,9,0),0)</f>
        <v>0</v>
      </c>
      <c r="J4128" s="2">
        <f t="shared" si="318"/>
        <v>0</v>
      </c>
      <c r="K4128" s="2">
        <f t="shared" si="316"/>
        <v>0</v>
      </c>
    </row>
    <row r="4129" spans="5:11">
      <c r="E4129" t="s">
        <v>129</v>
      </c>
      <c r="F4129" t="s">
        <v>823</v>
      </c>
      <c r="G4129" s="10" t="str">
        <f t="shared" si="317"/>
        <v>07-13</v>
      </c>
      <c r="H4129" s="1">
        <f>_xlfn.IFNA(VLOOKUP(Aragon!E4129,'Kilter Holds'!$P$36:$AB$370,10,0),0)</f>
        <v>0</v>
      </c>
      <c r="J4129" s="2">
        <f t="shared" si="318"/>
        <v>0</v>
      </c>
      <c r="K4129" s="2">
        <f t="shared" si="316"/>
        <v>0</v>
      </c>
    </row>
    <row r="4130" spans="5:11">
      <c r="E4130" t="s">
        <v>129</v>
      </c>
      <c r="F4130" t="s">
        <v>823</v>
      </c>
      <c r="G4130" s="11" t="str">
        <f t="shared" si="317"/>
        <v>11-25</v>
      </c>
      <c r="H4130" s="1">
        <f>_xlfn.IFNA(VLOOKUP(Aragon!E4130,'Kilter Holds'!$P$36:$AB$370,11,0),0)</f>
        <v>0</v>
      </c>
      <c r="J4130" s="2">
        <f t="shared" si="318"/>
        <v>0</v>
      </c>
      <c r="K4130" s="2">
        <f t="shared" si="316"/>
        <v>0</v>
      </c>
    </row>
    <row r="4131" spans="5:11">
      <c r="E4131" t="s">
        <v>129</v>
      </c>
      <c r="F4131" t="s">
        <v>823</v>
      </c>
      <c r="G4131" s="13" t="str">
        <f t="shared" si="317"/>
        <v>18-01</v>
      </c>
      <c r="H4131" s="1">
        <f>_xlfn.IFNA(VLOOKUP(Aragon!E4131,'Kilter Holds'!$P$36:$AB$370,12,0),0)</f>
        <v>0</v>
      </c>
      <c r="J4131" s="2">
        <f t="shared" si="318"/>
        <v>0</v>
      </c>
      <c r="K4131" s="2">
        <f t="shared" si="316"/>
        <v>0</v>
      </c>
    </row>
    <row r="4132" spans="5:11">
      <c r="E4132" t="s">
        <v>129</v>
      </c>
      <c r="F4132" t="s">
        <v>823</v>
      </c>
      <c r="G4132" s="12" t="str">
        <f t="shared" si="317"/>
        <v>12-01</v>
      </c>
      <c r="H4132" s="1">
        <f>_xlfn.IFNA(VLOOKUP(Aragon!E4132,'Kilter Holds'!$P$36:$AB$370,13,0),0)</f>
        <v>0</v>
      </c>
      <c r="J4132" s="2">
        <f t="shared" si="318"/>
        <v>0</v>
      </c>
      <c r="K4132" s="2">
        <f t="shared" ref="K4132:K4195" si="319">IF($V$11="Y",J4132*0.05,0)</f>
        <v>0</v>
      </c>
    </row>
    <row r="4133" spans="5:11">
      <c r="E4133" t="s">
        <v>140</v>
      </c>
      <c r="F4133" t="s">
        <v>824</v>
      </c>
      <c r="G4133" s="5" t="str">
        <f t="shared" ref="G4133:G4196" si="320">G4124</f>
        <v>11-12</v>
      </c>
      <c r="H4133" s="1">
        <f>_xlfn.IFNA(VLOOKUP(Aragon!E4133,'Kilter Holds'!$P$36:$AB$370,5,0),0)</f>
        <v>0</v>
      </c>
      <c r="J4133" s="2">
        <f t="shared" si="318"/>
        <v>0</v>
      </c>
      <c r="K4133" s="2">
        <f t="shared" si="319"/>
        <v>0</v>
      </c>
    </row>
    <row r="4134" spans="5:11">
      <c r="E4134" t="s">
        <v>140</v>
      </c>
      <c r="F4134" t="s">
        <v>824</v>
      </c>
      <c r="G4134" s="6" t="str">
        <f t="shared" si="320"/>
        <v>14-01</v>
      </c>
      <c r="H4134" s="1">
        <f>_xlfn.IFNA(VLOOKUP(Aragon!E4134,'Kilter Holds'!$P$36:$AB$370,6,0),0)</f>
        <v>0</v>
      </c>
      <c r="J4134" s="2">
        <f t="shared" si="318"/>
        <v>0</v>
      </c>
      <c r="K4134" s="2">
        <f t="shared" si="319"/>
        <v>0</v>
      </c>
    </row>
    <row r="4135" spans="5:11">
      <c r="E4135" t="s">
        <v>140</v>
      </c>
      <c r="F4135" t="s">
        <v>824</v>
      </c>
      <c r="G4135" s="7" t="str">
        <f t="shared" si="320"/>
        <v>15-12</v>
      </c>
      <c r="H4135" s="1">
        <f>_xlfn.IFNA(VLOOKUP(Aragon!E4135,'Kilter Holds'!$P$36:$AB$370,7,0),0)</f>
        <v>0</v>
      </c>
      <c r="J4135" s="2">
        <f t="shared" si="318"/>
        <v>0</v>
      </c>
      <c r="K4135" s="2">
        <f t="shared" si="319"/>
        <v>0</v>
      </c>
    </row>
    <row r="4136" spans="5:11">
      <c r="E4136" t="s">
        <v>140</v>
      </c>
      <c r="F4136" t="s">
        <v>824</v>
      </c>
      <c r="G4136" s="8" t="str">
        <f t="shared" si="320"/>
        <v>16-16</v>
      </c>
      <c r="H4136" s="1">
        <f>_xlfn.IFNA(VLOOKUP(Aragon!E4136,'Kilter Holds'!$P$36:$AB$370,8,0),0)</f>
        <v>0</v>
      </c>
      <c r="J4136" s="2">
        <f t="shared" si="318"/>
        <v>0</v>
      </c>
      <c r="K4136" s="2">
        <f t="shared" si="319"/>
        <v>0</v>
      </c>
    </row>
    <row r="4137" spans="5:11">
      <c r="E4137" t="s">
        <v>140</v>
      </c>
      <c r="F4137" t="s">
        <v>824</v>
      </c>
      <c r="G4137" s="9" t="str">
        <f t="shared" si="320"/>
        <v>13-01</v>
      </c>
      <c r="H4137" s="1">
        <f>_xlfn.IFNA(VLOOKUP(Aragon!E4137,'Kilter Holds'!$P$36:$AB$370,9,0),0)</f>
        <v>0</v>
      </c>
      <c r="J4137" s="2">
        <f t="shared" si="318"/>
        <v>0</v>
      </c>
      <c r="K4137" s="2">
        <f t="shared" si="319"/>
        <v>0</v>
      </c>
    </row>
    <row r="4138" spans="5:11">
      <c r="E4138" t="s">
        <v>140</v>
      </c>
      <c r="F4138" t="s">
        <v>824</v>
      </c>
      <c r="G4138" s="10" t="str">
        <f t="shared" si="320"/>
        <v>07-13</v>
      </c>
      <c r="H4138" s="1">
        <f>_xlfn.IFNA(VLOOKUP(Aragon!E4138,'Kilter Holds'!$P$36:$AB$370,10,0),0)</f>
        <v>0</v>
      </c>
      <c r="J4138" s="2">
        <f t="shared" si="318"/>
        <v>0</v>
      </c>
      <c r="K4138" s="2">
        <f t="shared" si="319"/>
        <v>0</v>
      </c>
    </row>
    <row r="4139" spans="5:11">
      <c r="E4139" t="s">
        <v>140</v>
      </c>
      <c r="F4139" t="s">
        <v>824</v>
      </c>
      <c r="G4139" s="11" t="str">
        <f t="shared" si="320"/>
        <v>11-25</v>
      </c>
      <c r="H4139" s="1">
        <f>_xlfn.IFNA(VLOOKUP(Aragon!E4139,'Kilter Holds'!$P$36:$AB$370,11,0),0)</f>
        <v>0</v>
      </c>
      <c r="J4139" s="2">
        <f t="shared" si="318"/>
        <v>0</v>
      </c>
      <c r="K4139" s="2">
        <f t="shared" si="319"/>
        <v>0</v>
      </c>
    </row>
    <row r="4140" spans="5:11">
      <c r="E4140" t="s">
        <v>140</v>
      </c>
      <c r="F4140" t="s">
        <v>824</v>
      </c>
      <c r="G4140" s="13" t="str">
        <f t="shared" si="320"/>
        <v>18-01</v>
      </c>
      <c r="H4140" s="1">
        <f>_xlfn.IFNA(VLOOKUP(Aragon!E4140,'Kilter Holds'!$P$36:$AB$370,12,0),0)</f>
        <v>0</v>
      </c>
      <c r="J4140" s="2">
        <f t="shared" si="318"/>
        <v>0</v>
      </c>
      <c r="K4140" s="2">
        <f t="shared" si="319"/>
        <v>0</v>
      </c>
    </row>
    <row r="4141" spans="5:11">
      <c r="E4141" t="s">
        <v>140</v>
      </c>
      <c r="F4141" t="s">
        <v>824</v>
      </c>
      <c r="G4141" s="12" t="str">
        <f t="shared" si="320"/>
        <v>12-01</v>
      </c>
      <c r="H4141" s="1">
        <f>_xlfn.IFNA(VLOOKUP(Aragon!E4141,'Kilter Holds'!$P$36:$AB$370,13,0),0)</f>
        <v>0</v>
      </c>
      <c r="J4141" s="2">
        <f t="shared" si="318"/>
        <v>0</v>
      </c>
      <c r="K4141" s="2">
        <f t="shared" si="319"/>
        <v>0</v>
      </c>
    </row>
    <row r="4142" spans="5:11">
      <c r="E4142" t="s">
        <v>145</v>
      </c>
      <c r="F4142" t="s">
        <v>825</v>
      </c>
      <c r="G4142" s="5" t="str">
        <f t="shared" si="320"/>
        <v>11-12</v>
      </c>
      <c r="H4142" s="1">
        <f>_xlfn.IFNA(VLOOKUP(Aragon!E4142,'Kilter Holds'!$P$36:$AB$370,5,0),0)</f>
        <v>0</v>
      </c>
      <c r="J4142" s="2">
        <f t="shared" si="318"/>
        <v>0</v>
      </c>
      <c r="K4142" s="2">
        <f t="shared" si="319"/>
        <v>0</v>
      </c>
    </row>
    <row r="4143" spans="5:11">
      <c r="E4143" t="s">
        <v>145</v>
      </c>
      <c r="F4143" t="s">
        <v>825</v>
      </c>
      <c r="G4143" s="6" t="str">
        <f t="shared" si="320"/>
        <v>14-01</v>
      </c>
      <c r="H4143" s="1">
        <f>_xlfn.IFNA(VLOOKUP(Aragon!E4143,'Kilter Holds'!$P$36:$AB$370,6,0),0)</f>
        <v>0</v>
      </c>
      <c r="J4143" s="2">
        <f t="shared" si="318"/>
        <v>0</v>
      </c>
      <c r="K4143" s="2">
        <f t="shared" si="319"/>
        <v>0</v>
      </c>
    </row>
    <row r="4144" spans="5:11">
      <c r="E4144" t="s">
        <v>145</v>
      </c>
      <c r="F4144" t="s">
        <v>825</v>
      </c>
      <c r="G4144" s="7" t="str">
        <f t="shared" si="320"/>
        <v>15-12</v>
      </c>
      <c r="H4144" s="1">
        <f>_xlfn.IFNA(VLOOKUP(Aragon!E4144,'Kilter Holds'!$P$36:$AB$370,7,0),0)</f>
        <v>0</v>
      </c>
      <c r="J4144" s="2">
        <f t="shared" si="318"/>
        <v>0</v>
      </c>
      <c r="K4144" s="2">
        <f t="shared" si="319"/>
        <v>0</v>
      </c>
    </row>
    <row r="4145" spans="5:11">
      <c r="E4145" t="s">
        <v>145</v>
      </c>
      <c r="F4145" t="s">
        <v>825</v>
      </c>
      <c r="G4145" s="8" t="str">
        <f t="shared" si="320"/>
        <v>16-16</v>
      </c>
      <c r="H4145" s="1">
        <f>_xlfn.IFNA(VLOOKUP(Aragon!E4145,'Kilter Holds'!$P$36:$AB$370,8,0),0)</f>
        <v>0</v>
      </c>
      <c r="J4145" s="2">
        <f t="shared" si="318"/>
        <v>0</v>
      </c>
      <c r="K4145" s="2">
        <f t="shared" si="319"/>
        <v>0</v>
      </c>
    </row>
    <row r="4146" spans="5:11">
      <c r="E4146" t="s">
        <v>145</v>
      </c>
      <c r="F4146" t="s">
        <v>825</v>
      </c>
      <c r="G4146" s="9" t="str">
        <f t="shared" si="320"/>
        <v>13-01</v>
      </c>
      <c r="H4146" s="1">
        <f>_xlfn.IFNA(VLOOKUP(Aragon!E4146,'Kilter Holds'!$P$36:$AB$370,9,0),0)</f>
        <v>0</v>
      </c>
      <c r="J4146" s="2">
        <f t="shared" si="318"/>
        <v>0</v>
      </c>
      <c r="K4146" s="2">
        <f t="shared" si="319"/>
        <v>0</v>
      </c>
    </row>
    <row r="4147" spans="5:11">
      <c r="E4147" t="s">
        <v>145</v>
      </c>
      <c r="F4147" t="s">
        <v>825</v>
      </c>
      <c r="G4147" s="10" t="str">
        <f t="shared" si="320"/>
        <v>07-13</v>
      </c>
      <c r="H4147" s="1">
        <f>_xlfn.IFNA(VLOOKUP(Aragon!E4147,'Kilter Holds'!$P$36:$AB$370,10,0),0)</f>
        <v>0</v>
      </c>
      <c r="J4147" s="2">
        <f t="shared" si="318"/>
        <v>0</v>
      </c>
      <c r="K4147" s="2">
        <f t="shared" si="319"/>
        <v>0</v>
      </c>
    </row>
    <row r="4148" spans="5:11">
      <c r="E4148" t="s">
        <v>145</v>
      </c>
      <c r="F4148" t="s">
        <v>825</v>
      </c>
      <c r="G4148" s="11" t="str">
        <f t="shared" si="320"/>
        <v>11-25</v>
      </c>
      <c r="H4148" s="1">
        <f>_xlfn.IFNA(VLOOKUP(Aragon!E4148,'Kilter Holds'!$P$36:$AB$370,11,0),0)</f>
        <v>0</v>
      </c>
      <c r="J4148" s="2">
        <f t="shared" si="318"/>
        <v>0</v>
      </c>
      <c r="K4148" s="2">
        <f t="shared" si="319"/>
        <v>0</v>
      </c>
    </row>
    <row r="4149" spans="5:11">
      <c r="E4149" t="s">
        <v>145</v>
      </c>
      <c r="F4149" t="s">
        <v>825</v>
      </c>
      <c r="G4149" s="13" t="str">
        <f t="shared" si="320"/>
        <v>18-01</v>
      </c>
      <c r="H4149" s="1">
        <f>_xlfn.IFNA(VLOOKUP(Aragon!E4149,'Kilter Holds'!$P$36:$AB$370,12,0),0)</f>
        <v>0</v>
      </c>
      <c r="J4149" s="2">
        <f t="shared" si="318"/>
        <v>0</v>
      </c>
      <c r="K4149" s="2">
        <f t="shared" si="319"/>
        <v>0</v>
      </c>
    </row>
    <row r="4150" spans="5:11">
      <c r="E4150" t="s">
        <v>145</v>
      </c>
      <c r="F4150" t="s">
        <v>825</v>
      </c>
      <c r="G4150" s="12" t="str">
        <f t="shared" si="320"/>
        <v>12-01</v>
      </c>
      <c r="H4150" s="1">
        <f>_xlfn.IFNA(VLOOKUP(Aragon!E4150,'Kilter Holds'!$P$36:$AB$370,13,0),0)</f>
        <v>0</v>
      </c>
      <c r="J4150" s="2">
        <f t="shared" si="318"/>
        <v>0</v>
      </c>
      <c r="K4150" s="2">
        <f t="shared" si="319"/>
        <v>0</v>
      </c>
    </row>
    <row r="4151" spans="5:11">
      <c r="E4151" t="s">
        <v>143</v>
      </c>
      <c r="F4151" t="s">
        <v>826</v>
      </c>
      <c r="G4151" s="5" t="str">
        <f t="shared" si="320"/>
        <v>11-12</v>
      </c>
      <c r="H4151" s="1">
        <f>_xlfn.IFNA(VLOOKUP(Aragon!E4151,'Kilter Holds'!$P$36:$AB$370,5,0),0)</f>
        <v>0</v>
      </c>
      <c r="J4151" s="2">
        <f t="shared" si="318"/>
        <v>0</v>
      </c>
      <c r="K4151" s="2">
        <f t="shared" si="319"/>
        <v>0</v>
      </c>
    </row>
    <row r="4152" spans="5:11">
      <c r="E4152" t="s">
        <v>143</v>
      </c>
      <c r="F4152" t="s">
        <v>826</v>
      </c>
      <c r="G4152" s="6" t="str">
        <f t="shared" si="320"/>
        <v>14-01</v>
      </c>
      <c r="H4152" s="1">
        <f>_xlfn.IFNA(VLOOKUP(Aragon!E4152,'Kilter Holds'!$P$36:$AB$370,6,0),0)</f>
        <v>0</v>
      </c>
      <c r="J4152" s="2">
        <f t="shared" si="318"/>
        <v>0</v>
      </c>
      <c r="K4152" s="2">
        <f t="shared" si="319"/>
        <v>0</v>
      </c>
    </row>
    <row r="4153" spans="5:11">
      <c r="E4153" t="s">
        <v>143</v>
      </c>
      <c r="F4153" t="s">
        <v>826</v>
      </c>
      <c r="G4153" s="7" t="str">
        <f t="shared" si="320"/>
        <v>15-12</v>
      </c>
      <c r="H4153" s="1">
        <f>_xlfn.IFNA(VLOOKUP(Aragon!E4153,'Kilter Holds'!$P$36:$AB$370,7,0),0)</f>
        <v>0</v>
      </c>
      <c r="J4153" s="2">
        <f t="shared" si="318"/>
        <v>0</v>
      </c>
      <c r="K4153" s="2">
        <f t="shared" si="319"/>
        <v>0</v>
      </c>
    </row>
    <row r="4154" spans="5:11">
      <c r="E4154" t="s">
        <v>143</v>
      </c>
      <c r="F4154" t="s">
        <v>826</v>
      </c>
      <c r="G4154" s="8" t="str">
        <f t="shared" si="320"/>
        <v>16-16</v>
      </c>
      <c r="H4154" s="1">
        <f>_xlfn.IFNA(VLOOKUP(Aragon!E4154,'Kilter Holds'!$P$36:$AB$370,8,0),0)</f>
        <v>0</v>
      </c>
      <c r="J4154" s="2">
        <f t="shared" si="318"/>
        <v>0</v>
      </c>
      <c r="K4154" s="2">
        <f t="shared" si="319"/>
        <v>0</v>
      </c>
    </row>
    <row r="4155" spans="5:11">
      <c r="E4155" t="s">
        <v>143</v>
      </c>
      <c r="F4155" t="s">
        <v>826</v>
      </c>
      <c r="G4155" s="9" t="str">
        <f t="shared" si="320"/>
        <v>13-01</v>
      </c>
      <c r="H4155" s="1">
        <f>_xlfn.IFNA(VLOOKUP(Aragon!E4155,'Kilter Holds'!$P$36:$AB$370,9,0),0)</f>
        <v>0</v>
      </c>
      <c r="J4155" s="2">
        <f t="shared" si="318"/>
        <v>0</v>
      </c>
      <c r="K4155" s="2">
        <f t="shared" si="319"/>
        <v>0</v>
      </c>
    </row>
    <row r="4156" spans="5:11">
      <c r="E4156" t="s">
        <v>143</v>
      </c>
      <c r="F4156" t="s">
        <v>826</v>
      </c>
      <c r="G4156" s="10" t="str">
        <f t="shared" si="320"/>
        <v>07-13</v>
      </c>
      <c r="H4156" s="1">
        <f>_xlfn.IFNA(VLOOKUP(Aragon!E4156,'Kilter Holds'!$P$36:$AB$370,10,0),0)</f>
        <v>0</v>
      </c>
      <c r="J4156" s="2">
        <f t="shared" si="318"/>
        <v>0</v>
      </c>
      <c r="K4156" s="2">
        <f t="shared" si="319"/>
        <v>0</v>
      </c>
    </row>
    <row r="4157" spans="5:11">
      <c r="E4157" t="s">
        <v>143</v>
      </c>
      <c r="F4157" t="s">
        <v>826</v>
      </c>
      <c r="G4157" s="11" t="str">
        <f t="shared" si="320"/>
        <v>11-25</v>
      </c>
      <c r="H4157" s="1">
        <f>_xlfn.IFNA(VLOOKUP(Aragon!E4157,'Kilter Holds'!$P$36:$AB$370,11,0),0)</f>
        <v>0</v>
      </c>
      <c r="J4157" s="2">
        <f t="shared" si="318"/>
        <v>0</v>
      </c>
      <c r="K4157" s="2">
        <f t="shared" si="319"/>
        <v>0</v>
      </c>
    </row>
    <row r="4158" spans="5:11">
      <c r="E4158" t="s">
        <v>143</v>
      </c>
      <c r="F4158" t="s">
        <v>826</v>
      </c>
      <c r="G4158" s="13" t="str">
        <f t="shared" si="320"/>
        <v>18-01</v>
      </c>
      <c r="H4158" s="1">
        <f>_xlfn.IFNA(VLOOKUP(Aragon!E4158,'Kilter Holds'!$P$36:$AB$370,12,0),0)</f>
        <v>0</v>
      </c>
      <c r="J4158" s="2">
        <f t="shared" si="318"/>
        <v>0</v>
      </c>
      <c r="K4158" s="2">
        <f t="shared" si="319"/>
        <v>0</v>
      </c>
    </row>
    <row r="4159" spans="5:11">
      <c r="E4159" t="s">
        <v>143</v>
      </c>
      <c r="F4159" t="s">
        <v>826</v>
      </c>
      <c r="G4159" s="12" t="str">
        <f t="shared" si="320"/>
        <v>12-01</v>
      </c>
      <c r="H4159" s="1">
        <f>_xlfn.IFNA(VLOOKUP(Aragon!E4159,'Kilter Holds'!$P$36:$AB$370,13,0),0)</f>
        <v>0</v>
      </c>
      <c r="J4159" s="2">
        <f t="shared" si="318"/>
        <v>0</v>
      </c>
      <c r="K4159" s="2">
        <f t="shared" si="319"/>
        <v>0</v>
      </c>
    </row>
    <row r="4160" spans="5:11">
      <c r="E4160" t="s">
        <v>141</v>
      </c>
      <c r="F4160" t="s">
        <v>827</v>
      </c>
      <c r="G4160" s="5" t="str">
        <f t="shared" si="320"/>
        <v>11-12</v>
      </c>
      <c r="H4160" s="1">
        <f>_xlfn.IFNA(VLOOKUP(Aragon!E4160,'Kilter Holds'!$P$36:$AB$370,5,0),0)</f>
        <v>0</v>
      </c>
      <c r="J4160" s="2">
        <f t="shared" si="318"/>
        <v>0</v>
      </c>
      <c r="K4160" s="2">
        <f t="shared" si="319"/>
        <v>0</v>
      </c>
    </row>
    <row r="4161" spans="5:11">
      <c r="E4161" t="s">
        <v>141</v>
      </c>
      <c r="F4161" t="s">
        <v>827</v>
      </c>
      <c r="G4161" s="6" t="str">
        <f t="shared" si="320"/>
        <v>14-01</v>
      </c>
      <c r="H4161" s="1">
        <f>_xlfn.IFNA(VLOOKUP(Aragon!E4161,'Kilter Holds'!$P$36:$AB$370,6,0),0)</f>
        <v>0</v>
      </c>
      <c r="J4161" s="2">
        <f t="shared" si="318"/>
        <v>0</v>
      </c>
      <c r="K4161" s="2">
        <f t="shared" si="319"/>
        <v>0</v>
      </c>
    </row>
    <row r="4162" spans="5:11">
      <c r="E4162" t="s">
        <v>141</v>
      </c>
      <c r="F4162" t="s">
        <v>827</v>
      </c>
      <c r="G4162" s="7" t="str">
        <f t="shared" si="320"/>
        <v>15-12</v>
      </c>
      <c r="H4162" s="1">
        <f>_xlfn.IFNA(VLOOKUP(Aragon!E4162,'Kilter Holds'!$P$36:$AB$370,7,0),0)</f>
        <v>0</v>
      </c>
      <c r="J4162" s="2">
        <f t="shared" si="318"/>
        <v>0</v>
      </c>
      <c r="K4162" s="2">
        <f t="shared" si="319"/>
        <v>0</v>
      </c>
    </row>
    <row r="4163" spans="5:11">
      <c r="E4163" t="s">
        <v>141</v>
      </c>
      <c r="F4163" t="s">
        <v>827</v>
      </c>
      <c r="G4163" s="8" t="str">
        <f t="shared" si="320"/>
        <v>16-16</v>
      </c>
      <c r="H4163" s="1">
        <f>_xlfn.IFNA(VLOOKUP(Aragon!E4163,'Kilter Holds'!$P$36:$AB$370,8,0),0)</f>
        <v>0</v>
      </c>
      <c r="J4163" s="2">
        <f t="shared" si="318"/>
        <v>0</v>
      </c>
      <c r="K4163" s="2">
        <f t="shared" si="319"/>
        <v>0</v>
      </c>
    </row>
    <row r="4164" spans="5:11">
      <c r="E4164" t="s">
        <v>141</v>
      </c>
      <c r="F4164" t="s">
        <v>827</v>
      </c>
      <c r="G4164" s="9" t="str">
        <f t="shared" si="320"/>
        <v>13-01</v>
      </c>
      <c r="H4164" s="1">
        <f>_xlfn.IFNA(VLOOKUP(Aragon!E4164,'Kilter Holds'!$P$36:$AB$370,9,0),0)</f>
        <v>0</v>
      </c>
      <c r="J4164" s="2">
        <f t="shared" si="318"/>
        <v>0</v>
      </c>
      <c r="K4164" s="2">
        <f t="shared" si="319"/>
        <v>0</v>
      </c>
    </row>
    <row r="4165" spans="5:11">
      <c r="E4165" t="s">
        <v>141</v>
      </c>
      <c r="F4165" t="s">
        <v>827</v>
      </c>
      <c r="G4165" s="10" t="str">
        <f t="shared" si="320"/>
        <v>07-13</v>
      </c>
      <c r="H4165" s="1">
        <f>_xlfn.IFNA(VLOOKUP(Aragon!E4165,'Kilter Holds'!$P$36:$AB$370,10,0),0)</f>
        <v>0</v>
      </c>
      <c r="J4165" s="2">
        <f t="shared" si="318"/>
        <v>0</v>
      </c>
      <c r="K4165" s="2">
        <f t="shared" si="319"/>
        <v>0</v>
      </c>
    </row>
    <row r="4166" spans="5:11">
      <c r="E4166" t="s">
        <v>141</v>
      </c>
      <c r="F4166" t="s">
        <v>827</v>
      </c>
      <c r="G4166" s="11" t="str">
        <f t="shared" si="320"/>
        <v>11-25</v>
      </c>
      <c r="H4166" s="1">
        <f>_xlfn.IFNA(VLOOKUP(Aragon!E4166,'Kilter Holds'!$P$36:$AB$370,11,0),0)</f>
        <v>0</v>
      </c>
      <c r="J4166" s="2">
        <f t="shared" si="318"/>
        <v>0</v>
      </c>
      <c r="K4166" s="2">
        <f t="shared" si="319"/>
        <v>0</v>
      </c>
    </row>
    <row r="4167" spans="5:11">
      <c r="E4167" t="s">
        <v>141</v>
      </c>
      <c r="F4167" t="s">
        <v>827</v>
      </c>
      <c r="G4167" s="13" t="str">
        <f t="shared" si="320"/>
        <v>18-01</v>
      </c>
      <c r="H4167" s="1">
        <f>_xlfn.IFNA(VLOOKUP(Aragon!E4167,'Kilter Holds'!$P$36:$AB$370,12,0),0)</f>
        <v>0</v>
      </c>
      <c r="J4167" s="2">
        <f t="shared" si="318"/>
        <v>0</v>
      </c>
      <c r="K4167" s="2">
        <f t="shared" si="319"/>
        <v>0</v>
      </c>
    </row>
    <row r="4168" spans="5:11">
      <c r="E4168" t="s">
        <v>141</v>
      </c>
      <c r="F4168" t="s">
        <v>827</v>
      </c>
      <c r="G4168" s="12" t="str">
        <f t="shared" si="320"/>
        <v>12-01</v>
      </c>
      <c r="H4168" s="1">
        <f>_xlfn.IFNA(VLOOKUP(Aragon!E4168,'Kilter Holds'!$P$36:$AB$370,13,0),0)</f>
        <v>0</v>
      </c>
      <c r="J4168" s="2">
        <f t="shared" si="318"/>
        <v>0</v>
      </c>
      <c r="K4168" s="2">
        <f t="shared" si="319"/>
        <v>0</v>
      </c>
    </row>
    <row r="4169" spans="5:11">
      <c r="E4169" t="s">
        <v>142</v>
      </c>
      <c r="F4169" t="s">
        <v>828</v>
      </c>
      <c r="G4169" s="5" t="str">
        <f t="shared" si="320"/>
        <v>11-12</v>
      </c>
      <c r="H4169" s="1">
        <f>_xlfn.IFNA(VLOOKUP(Aragon!E4169,'Kilter Holds'!$P$36:$AB$370,5,0),0)</f>
        <v>0</v>
      </c>
      <c r="J4169" s="2">
        <f t="shared" si="318"/>
        <v>0</v>
      </c>
      <c r="K4169" s="2">
        <f t="shared" si="319"/>
        <v>0</v>
      </c>
    </row>
    <row r="4170" spans="5:11">
      <c r="E4170" t="s">
        <v>142</v>
      </c>
      <c r="F4170" t="s">
        <v>828</v>
      </c>
      <c r="G4170" s="6" t="str">
        <f t="shared" si="320"/>
        <v>14-01</v>
      </c>
      <c r="H4170" s="1">
        <f>_xlfn.IFNA(VLOOKUP(Aragon!E4170,'Kilter Holds'!$P$36:$AB$370,6,0),0)</f>
        <v>0</v>
      </c>
      <c r="J4170" s="2">
        <f t="shared" si="318"/>
        <v>0</v>
      </c>
      <c r="K4170" s="2">
        <f t="shared" si="319"/>
        <v>0</v>
      </c>
    </row>
    <row r="4171" spans="5:11">
      <c r="E4171" t="s">
        <v>142</v>
      </c>
      <c r="F4171" t="s">
        <v>828</v>
      </c>
      <c r="G4171" s="7" t="str">
        <f t="shared" si="320"/>
        <v>15-12</v>
      </c>
      <c r="H4171" s="1">
        <f>_xlfn.IFNA(VLOOKUP(Aragon!E4171,'Kilter Holds'!$P$36:$AB$370,7,0),0)</f>
        <v>0</v>
      </c>
      <c r="J4171" s="2">
        <f t="shared" si="318"/>
        <v>0</v>
      </c>
      <c r="K4171" s="2">
        <f t="shared" si="319"/>
        <v>0</v>
      </c>
    </row>
    <row r="4172" spans="5:11">
      <c r="E4172" t="s">
        <v>142</v>
      </c>
      <c r="F4172" t="s">
        <v>828</v>
      </c>
      <c r="G4172" s="8" t="str">
        <f t="shared" si="320"/>
        <v>16-16</v>
      </c>
      <c r="H4172" s="1">
        <f>_xlfn.IFNA(VLOOKUP(Aragon!E4172,'Kilter Holds'!$P$36:$AB$370,8,0),0)</f>
        <v>0</v>
      </c>
      <c r="J4172" s="2">
        <f t="shared" si="318"/>
        <v>0</v>
      </c>
      <c r="K4172" s="2">
        <f t="shared" si="319"/>
        <v>0</v>
      </c>
    </row>
    <row r="4173" spans="5:11">
      <c r="E4173" t="s">
        <v>142</v>
      </c>
      <c r="F4173" t="s">
        <v>828</v>
      </c>
      <c r="G4173" s="9" t="str">
        <f t="shared" si="320"/>
        <v>13-01</v>
      </c>
      <c r="H4173" s="1">
        <f>_xlfn.IFNA(VLOOKUP(Aragon!E4173,'Kilter Holds'!$P$36:$AB$370,9,0),0)</f>
        <v>0</v>
      </c>
      <c r="J4173" s="2">
        <f t="shared" si="318"/>
        <v>0</v>
      </c>
      <c r="K4173" s="2">
        <f t="shared" si="319"/>
        <v>0</v>
      </c>
    </row>
    <row r="4174" spans="5:11">
      <c r="E4174" t="s">
        <v>142</v>
      </c>
      <c r="F4174" t="s">
        <v>828</v>
      </c>
      <c r="G4174" s="10" t="str">
        <f t="shared" si="320"/>
        <v>07-13</v>
      </c>
      <c r="H4174" s="1">
        <f>_xlfn.IFNA(VLOOKUP(Aragon!E4174,'Kilter Holds'!$P$36:$AB$370,10,0),0)</f>
        <v>0</v>
      </c>
      <c r="J4174" s="2">
        <f t="shared" si="318"/>
        <v>0</v>
      </c>
      <c r="K4174" s="2">
        <f t="shared" si="319"/>
        <v>0</v>
      </c>
    </row>
    <row r="4175" spans="5:11">
      <c r="E4175" t="s">
        <v>142</v>
      </c>
      <c r="F4175" t="s">
        <v>828</v>
      </c>
      <c r="G4175" s="11" t="str">
        <f t="shared" si="320"/>
        <v>11-25</v>
      </c>
      <c r="H4175" s="1">
        <f>_xlfn.IFNA(VLOOKUP(Aragon!E4175,'Kilter Holds'!$P$36:$AB$370,11,0),0)</f>
        <v>0</v>
      </c>
      <c r="J4175" s="2">
        <f t="shared" si="318"/>
        <v>0</v>
      </c>
      <c r="K4175" s="2">
        <f t="shared" si="319"/>
        <v>0</v>
      </c>
    </row>
    <row r="4176" spans="5:11">
      <c r="E4176" t="s">
        <v>142</v>
      </c>
      <c r="F4176" t="s">
        <v>828</v>
      </c>
      <c r="G4176" s="13" t="str">
        <f t="shared" si="320"/>
        <v>18-01</v>
      </c>
      <c r="H4176" s="1">
        <f>_xlfn.IFNA(VLOOKUP(Aragon!E4176,'Kilter Holds'!$P$36:$AB$370,12,0),0)</f>
        <v>0</v>
      </c>
      <c r="J4176" s="2">
        <f t="shared" si="318"/>
        <v>0</v>
      </c>
      <c r="K4176" s="2">
        <f t="shared" si="319"/>
        <v>0</v>
      </c>
    </row>
    <row r="4177" spans="5:11">
      <c r="E4177" t="s">
        <v>142</v>
      </c>
      <c r="F4177" t="s">
        <v>828</v>
      </c>
      <c r="G4177" s="12" t="str">
        <f t="shared" si="320"/>
        <v>12-01</v>
      </c>
      <c r="H4177" s="1">
        <f>_xlfn.IFNA(VLOOKUP(Aragon!E4177,'Kilter Holds'!$P$36:$AB$370,13,0),0)</f>
        <v>0</v>
      </c>
      <c r="J4177" s="2">
        <f t="shared" si="318"/>
        <v>0</v>
      </c>
      <c r="K4177" s="2">
        <f t="shared" si="319"/>
        <v>0</v>
      </c>
    </row>
    <row r="4178" spans="5:11">
      <c r="E4178" t="s">
        <v>144</v>
      </c>
      <c r="F4178" t="s">
        <v>829</v>
      </c>
      <c r="G4178" s="5" t="str">
        <f t="shared" si="320"/>
        <v>11-12</v>
      </c>
      <c r="H4178" s="1">
        <f>_xlfn.IFNA(VLOOKUP(Aragon!E4178,'Kilter Holds'!$P$36:$AB$370,5,0),0)</f>
        <v>0</v>
      </c>
      <c r="J4178" s="2">
        <f t="shared" si="318"/>
        <v>0</v>
      </c>
      <c r="K4178" s="2">
        <f t="shared" si="319"/>
        <v>0</v>
      </c>
    </row>
    <row r="4179" spans="5:11">
      <c r="E4179" t="s">
        <v>144</v>
      </c>
      <c r="F4179" t="s">
        <v>829</v>
      </c>
      <c r="G4179" s="6" t="str">
        <f t="shared" si="320"/>
        <v>14-01</v>
      </c>
      <c r="H4179" s="1">
        <f>_xlfn.IFNA(VLOOKUP(Aragon!E4179,'Kilter Holds'!$P$36:$AB$370,6,0),0)</f>
        <v>0</v>
      </c>
      <c r="J4179" s="2">
        <f t="shared" si="318"/>
        <v>0</v>
      </c>
      <c r="K4179" s="2">
        <f t="shared" si="319"/>
        <v>0</v>
      </c>
    </row>
    <row r="4180" spans="5:11">
      <c r="E4180" t="s">
        <v>144</v>
      </c>
      <c r="F4180" t="s">
        <v>829</v>
      </c>
      <c r="G4180" s="7" t="str">
        <f t="shared" si="320"/>
        <v>15-12</v>
      </c>
      <c r="H4180" s="1">
        <f>_xlfn.IFNA(VLOOKUP(Aragon!E4180,'Kilter Holds'!$P$36:$AB$370,7,0),0)</f>
        <v>0</v>
      </c>
      <c r="J4180" s="2">
        <f t="shared" si="318"/>
        <v>0</v>
      </c>
      <c r="K4180" s="2">
        <f t="shared" si="319"/>
        <v>0</v>
      </c>
    </row>
    <row r="4181" spans="5:11">
      <c r="E4181" t="s">
        <v>144</v>
      </c>
      <c r="F4181" t="s">
        <v>829</v>
      </c>
      <c r="G4181" s="8" t="str">
        <f t="shared" si="320"/>
        <v>16-16</v>
      </c>
      <c r="H4181" s="1">
        <f>_xlfn.IFNA(VLOOKUP(Aragon!E4181,'Kilter Holds'!$P$36:$AB$370,8,0),0)</f>
        <v>0</v>
      </c>
      <c r="J4181" s="2">
        <f t="shared" si="318"/>
        <v>0</v>
      </c>
      <c r="K4181" s="2">
        <f t="shared" si="319"/>
        <v>0</v>
      </c>
    </row>
    <row r="4182" spans="5:11">
      <c r="E4182" t="s">
        <v>144</v>
      </c>
      <c r="F4182" t="s">
        <v>829</v>
      </c>
      <c r="G4182" s="9" t="str">
        <f t="shared" si="320"/>
        <v>13-01</v>
      </c>
      <c r="H4182" s="1">
        <f>_xlfn.IFNA(VLOOKUP(Aragon!E4182,'Kilter Holds'!$P$36:$AB$370,9,0),0)</f>
        <v>0</v>
      </c>
      <c r="J4182" s="2">
        <f t="shared" si="318"/>
        <v>0</v>
      </c>
      <c r="K4182" s="2">
        <f t="shared" si="319"/>
        <v>0</v>
      </c>
    </row>
    <row r="4183" spans="5:11">
      <c r="E4183" t="s">
        <v>144</v>
      </c>
      <c r="F4183" t="s">
        <v>829</v>
      </c>
      <c r="G4183" s="10" t="str">
        <f t="shared" si="320"/>
        <v>07-13</v>
      </c>
      <c r="H4183" s="1">
        <f>_xlfn.IFNA(VLOOKUP(Aragon!E4183,'Kilter Holds'!$P$36:$AB$370,10,0),0)</f>
        <v>0</v>
      </c>
      <c r="J4183" s="2">
        <f t="shared" si="318"/>
        <v>0</v>
      </c>
      <c r="K4183" s="2">
        <f t="shared" si="319"/>
        <v>0</v>
      </c>
    </row>
    <row r="4184" spans="5:11">
      <c r="E4184" t="s">
        <v>144</v>
      </c>
      <c r="F4184" t="s">
        <v>829</v>
      </c>
      <c r="G4184" s="11" t="str">
        <f t="shared" si="320"/>
        <v>11-25</v>
      </c>
      <c r="H4184" s="1">
        <f>_xlfn.IFNA(VLOOKUP(Aragon!E4184,'Kilter Holds'!$P$36:$AB$370,11,0),0)</f>
        <v>0</v>
      </c>
      <c r="J4184" s="2">
        <f t="shared" si="318"/>
        <v>0</v>
      </c>
      <c r="K4184" s="2">
        <f t="shared" si="319"/>
        <v>0</v>
      </c>
    </row>
    <row r="4185" spans="5:11">
      <c r="E4185" t="s">
        <v>144</v>
      </c>
      <c r="F4185" t="s">
        <v>829</v>
      </c>
      <c r="G4185" s="13" t="str">
        <f t="shared" si="320"/>
        <v>18-01</v>
      </c>
      <c r="H4185" s="1">
        <f>_xlfn.IFNA(VLOOKUP(Aragon!E4185,'Kilter Holds'!$P$36:$AB$370,12,0),0)</f>
        <v>0</v>
      </c>
      <c r="J4185" s="2">
        <f t="shared" ref="J4185:J4455" si="321">H4185*I4185</f>
        <v>0</v>
      </c>
      <c r="K4185" s="2">
        <f t="shared" si="319"/>
        <v>0</v>
      </c>
    </row>
    <row r="4186" spans="5:11">
      <c r="E4186" t="s">
        <v>144</v>
      </c>
      <c r="F4186" t="s">
        <v>829</v>
      </c>
      <c r="G4186" s="12" t="str">
        <f t="shared" si="320"/>
        <v>12-01</v>
      </c>
      <c r="H4186" s="1">
        <f>_xlfn.IFNA(VLOOKUP(Aragon!E4186,'Kilter Holds'!$P$36:$AB$370,13,0),0)</f>
        <v>0</v>
      </c>
      <c r="J4186" s="2">
        <f t="shared" si="321"/>
        <v>0</v>
      </c>
      <c r="K4186" s="2">
        <f t="shared" si="319"/>
        <v>0</v>
      </c>
    </row>
    <row r="4187" spans="5:11">
      <c r="E4187" t="s">
        <v>99</v>
      </c>
      <c r="F4187" t="s">
        <v>830</v>
      </c>
      <c r="G4187" s="5" t="str">
        <f t="shared" si="320"/>
        <v>11-12</v>
      </c>
      <c r="H4187" s="1">
        <f>_xlfn.IFNA(VLOOKUP(Aragon!E4187,'Kilter Holds'!$P$36:$AB$370,5,0),0)</f>
        <v>0</v>
      </c>
      <c r="J4187" s="2">
        <f t="shared" si="321"/>
        <v>0</v>
      </c>
      <c r="K4187" s="2">
        <f t="shared" si="319"/>
        <v>0</v>
      </c>
    </row>
    <row r="4188" spans="5:11">
      <c r="E4188" t="s">
        <v>99</v>
      </c>
      <c r="F4188" t="s">
        <v>830</v>
      </c>
      <c r="G4188" s="6" t="str">
        <f t="shared" si="320"/>
        <v>14-01</v>
      </c>
      <c r="H4188" s="1">
        <f>_xlfn.IFNA(VLOOKUP(Aragon!E4188,'Kilter Holds'!$P$36:$AB$370,6,0),0)</f>
        <v>0</v>
      </c>
      <c r="J4188" s="2">
        <f t="shared" si="321"/>
        <v>0</v>
      </c>
      <c r="K4188" s="2">
        <f t="shared" si="319"/>
        <v>0</v>
      </c>
    </row>
    <row r="4189" spans="5:11">
      <c r="E4189" t="s">
        <v>99</v>
      </c>
      <c r="F4189" t="s">
        <v>830</v>
      </c>
      <c r="G4189" s="7" t="str">
        <f t="shared" si="320"/>
        <v>15-12</v>
      </c>
      <c r="H4189" s="1">
        <f>_xlfn.IFNA(VLOOKUP(Aragon!E4189,'Kilter Holds'!$P$36:$AB$370,7,0),0)</f>
        <v>0</v>
      </c>
      <c r="J4189" s="2">
        <f t="shared" si="321"/>
        <v>0</v>
      </c>
      <c r="K4189" s="2">
        <f t="shared" si="319"/>
        <v>0</v>
      </c>
    </row>
    <row r="4190" spans="5:11">
      <c r="E4190" t="s">
        <v>99</v>
      </c>
      <c r="F4190" t="s">
        <v>830</v>
      </c>
      <c r="G4190" s="8" t="str">
        <f t="shared" si="320"/>
        <v>16-16</v>
      </c>
      <c r="H4190" s="1">
        <f>_xlfn.IFNA(VLOOKUP(Aragon!E4190,'Kilter Holds'!$P$36:$AB$370,8,0),0)</f>
        <v>0</v>
      </c>
      <c r="J4190" s="2">
        <f t="shared" si="321"/>
        <v>0</v>
      </c>
      <c r="K4190" s="2">
        <f t="shared" si="319"/>
        <v>0</v>
      </c>
    </row>
    <row r="4191" spans="5:11">
      <c r="E4191" t="s">
        <v>99</v>
      </c>
      <c r="F4191" t="s">
        <v>830</v>
      </c>
      <c r="G4191" s="9" t="str">
        <f t="shared" si="320"/>
        <v>13-01</v>
      </c>
      <c r="H4191" s="1">
        <f>_xlfn.IFNA(VLOOKUP(Aragon!E4191,'Kilter Holds'!$P$36:$AB$370,9,0),0)</f>
        <v>0</v>
      </c>
      <c r="J4191" s="2">
        <f t="shared" si="321"/>
        <v>0</v>
      </c>
      <c r="K4191" s="2">
        <f t="shared" si="319"/>
        <v>0</v>
      </c>
    </row>
    <row r="4192" spans="5:11">
      <c r="E4192" t="s">
        <v>99</v>
      </c>
      <c r="F4192" t="s">
        <v>830</v>
      </c>
      <c r="G4192" s="10" t="str">
        <f t="shared" si="320"/>
        <v>07-13</v>
      </c>
      <c r="H4192" s="1">
        <f>_xlfn.IFNA(VLOOKUP(Aragon!E4192,'Kilter Holds'!$P$36:$AB$370,10,0),0)</f>
        <v>0</v>
      </c>
      <c r="J4192" s="2">
        <f t="shared" si="321"/>
        <v>0</v>
      </c>
      <c r="K4192" s="2">
        <f t="shared" si="319"/>
        <v>0</v>
      </c>
    </row>
    <row r="4193" spans="5:11">
      <c r="E4193" t="s">
        <v>99</v>
      </c>
      <c r="F4193" t="s">
        <v>830</v>
      </c>
      <c r="G4193" s="11" t="str">
        <f t="shared" si="320"/>
        <v>11-25</v>
      </c>
      <c r="H4193" s="1">
        <f>_xlfn.IFNA(VLOOKUP(Aragon!E4193,'Kilter Holds'!$P$36:$AB$370,11,0),0)</f>
        <v>0</v>
      </c>
      <c r="J4193" s="2">
        <f t="shared" si="321"/>
        <v>0</v>
      </c>
      <c r="K4193" s="2">
        <f t="shared" si="319"/>
        <v>0</v>
      </c>
    </row>
    <row r="4194" spans="5:11">
      <c r="E4194" t="s">
        <v>99</v>
      </c>
      <c r="F4194" t="s">
        <v>830</v>
      </c>
      <c r="G4194" s="13" t="str">
        <f t="shared" si="320"/>
        <v>18-01</v>
      </c>
      <c r="H4194" s="1">
        <f>_xlfn.IFNA(VLOOKUP(Aragon!E4194,'Kilter Holds'!$P$36:$AB$370,12,0),0)</f>
        <v>0</v>
      </c>
      <c r="J4194" s="2">
        <f t="shared" si="321"/>
        <v>0</v>
      </c>
      <c r="K4194" s="2">
        <f t="shared" si="319"/>
        <v>0</v>
      </c>
    </row>
    <row r="4195" spans="5:11">
      <c r="E4195" t="s">
        <v>99</v>
      </c>
      <c r="F4195" t="s">
        <v>830</v>
      </c>
      <c r="G4195" s="12" t="str">
        <f t="shared" si="320"/>
        <v>12-01</v>
      </c>
      <c r="H4195" s="1">
        <f>_xlfn.IFNA(VLOOKUP(Aragon!E4195,'Kilter Holds'!$P$36:$AB$370,13,0),0)</f>
        <v>0</v>
      </c>
      <c r="J4195" s="2">
        <f t="shared" si="321"/>
        <v>0</v>
      </c>
      <c r="K4195" s="2">
        <f t="shared" si="319"/>
        <v>0</v>
      </c>
    </row>
    <row r="4196" spans="5:11">
      <c r="E4196" t="s">
        <v>940</v>
      </c>
      <c r="F4196" t="s">
        <v>942</v>
      </c>
      <c r="G4196" s="5" t="str">
        <f t="shared" si="320"/>
        <v>11-12</v>
      </c>
      <c r="H4196" s="1">
        <f>_xlfn.IFNA(VLOOKUP(Aragon!E4196,'Kilter Holds'!$P$36:$AB$370,5,0),0)</f>
        <v>0</v>
      </c>
      <c r="J4196" s="2">
        <f t="shared" ref="J4196:J4204" si="322">H4196*I4196</f>
        <v>0</v>
      </c>
      <c r="K4196" s="2">
        <f t="shared" ref="K4196:K4448" si="323">IF($V$11="Y",J4196*0.05,0)</f>
        <v>0</v>
      </c>
    </row>
    <row r="4197" spans="5:11">
      <c r="E4197" t="s">
        <v>940</v>
      </c>
      <c r="F4197" t="s">
        <v>942</v>
      </c>
      <c r="G4197" s="6" t="str">
        <f t="shared" ref="G4197:G4449" si="324">G4188</f>
        <v>14-01</v>
      </c>
      <c r="H4197" s="1">
        <f>_xlfn.IFNA(VLOOKUP(Aragon!E4197,'Kilter Holds'!$P$36:$AB$370,6,0),0)</f>
        <v>0</v>
      </c>
      <c r="J4197" s="2">
        <f t="shared" si="322"/>
        <v>0</v>
      </c>
      <c r="K4197" s="2">
        <f t="shared" si="323"/>
        <v>0</v>
      </c>
    </row>
    <row r="4198" spans="5:11">
      <c r="E4198" t="s">
        <v>940</v>
      </c>
      <c r="F4198" t="s">
        <v>942</v>
      </c>
      <c r="G4198" s="7" t="str">
        <f t="shared" si="324"/>
        <v>15-12</v>
      </c>
      <c r="H4198" s="1">
        <f>_xlfn.IFNA(VLOOKUP(Aragon!E4198,'Kilter Holds'!$P$36:$AB$370,7,0),0)</f>
        <v>0</v>
      </c>
      <c r="J4198" s="2">
        <f t="shared" si="322"/>
        <v>0</v>
      </c>
      <c r="K4198" s="2">
        <f t="shared" si="323"/>
        <v>0</v>
      </c>
    </row>
    <row r="4199" spans="5:11">
      <c r="E4199" t="s">
        <v>940</v>
      </c>
      <c r="F4199" t="s">
        <v>942</v>
      </c>
      <c r="G4199" s="8" t="str">
        <f t="shared" si="324"/>
        <v>16-16</v>
      </c>
      <c r="H4199" s="1">
        <f>_xlfn.IFNA(VLOOKUP(Aragon!E4199,'Kilter Holds'!$P$36:$AB$370,8,0),0)</f>
        <v>0</v>
      </c>
      <c r="J4199" s="2">
        <f t="shared" si="322"/>
        <v>0</v>
      </c>
      <c r="K4199" s="2">
        <f t="shared" si="323"/>
        <v>0</v>
      </c>
    </row>
    <row r="4200" spans="5:11">
      <c r="E4200" t="s">
        <v>940</v>
      </c>
      <c r="F4200" t="s">
        <v>942</v>
      </c>
      <c r="G4200" s="9" t="str">
        <f t="shared" si="324"/>
        <v>13-01</v>
      </c>
      <c r="H4200" s="1">
        <f>_xlfn.IFNA(VLOOKUP(Aragon!E4200,'Kilter Holds'!$P$36:$AB$370,9,0),0)</f>
        <v>0</v>
      </c>
      <c r="J4200" s="2">
        <f t="shared" si="322"/>
        <v>0</v>
      </c>
      <c r="K4200" s="2">
        <f t="shared" si="323"/>
        <v>0</v>
      </c>
    </row>
    <row r="4201" spans="5:11">
      <c r="E4201" t="s">
        <v>940</v>
      </c>
      <c r="F4201" t="s">
        <v>942</v>
      </c>
      <c r="G4201" s="10" t="str">
        <f t="shared" si="324"/>
        <v>07-13</v>
      </c>
      <c r="H4201" s="1">
        <f>_xlfn.IFNA(VLOOKUP(Aragon!E4201,'Kilter Holds'!$P$36:$AB$370,10,0),0)</f>
        <v>0</v>
      </c>
      <c r="J4201" s="2">
        <f t="shared" si="322"/>
        <v>0</v>
      </c>
      <c r="K4201" s="2">
        <f t="shared" si="323"/>
        <v>0</v>
      </c>
    </row>
    <row r="4202" spans="5:11">
      <c r="E4202" t="s">
        <v>940</v>
      </c>
      <c r="F4202" t="s">
        <v>942</v>
      </c>
      <c r="G4202" s="11" t="str">
        <f t="shared" si="324"/>
        <v>11-25</v>
      </c>
      <c r="H4202" s="1">
        <f>_xlfn.IFNA(VLOOKUP(Aragon!E4202,'Kilter Holds'!$P$36:$AB$370,11,0),0)</f>
        <v>0</v>
      </c>
      <c r="J4202" s="2">
        <f t="shared" si="322"/>
        <v>0</v>
      </c>
      <c r="K4202" s="2">
        <f t="shared" si="323"/>
        <v>0</v>
      </c>
    </row>
    <row r="4203" spans="5:11">
      <c r="E4203" t="s">
        <v>940</v>
      </c>
      <c r="F4203" t="s">
        <v>942</v>
      </c>
      <c r="G4203" s="13" t="str">
        <f t="shared" si="324"/>
        <v>18-01</v>
      </c>
      <c r="H4203" s="1">
        <f>_xlfn.IFNA(VLOOKUP(Aragon!E4203,'Kilter Holds'!$P$36:$AB$370,12,0),0)</f>
        <v>0</v>
      </c>
      <c r="J4203" s="2">
        <f t="shared" si="322"/>
        <v>0</v>
      </c>
      <c r="K4203" s="2">
        <f t="shared" si="323"/>
        <v>0</v>
      </c>
    </row>
    <row r="4204" spans="5:11">
      <c r="E4204" t="s">
        <v>940</v>
      </c>
      <c r="F4204" t="s">
        <v>942</v>
      </c>
      <c r="G4204" s="12" t="str">
        <f t="shared" si="324"/>
        <v>12-01</v>
      </c>
      <c r="H4204" s="1">
        <f>_xlfn.IFNA(VLOOKUP(Aragon!E4204,'Kilter Holds'!$P$36:$AB$370,13,0),0)</f>
        <v>0</v>
      </c>
      <c r="J4204" s="2">
        <f t="shared" si="322"/>
        <v>0</v>
      </c>
      <c r="K4204" s="2">
        <f t="shared" si="323"/>
        <v>0</v>
      </c>
    </row>
    <row r="4205" spans="5:11">
      <c r="E4205" t="s">
        <v>947</v>
      </c>
      <c r="F4205" t="s">
        <v>959</v>
      </c>
      <c r="G4205" s="5" t="str">
        <f t="shared" si="324"/>
        <v>11-12</v>
      </c>
      <c r="H4205" s="1">
        <f>_xlfn.IFNA(VLOOKUP(Aragon!E4205,'Kilter Holds'!$P$36:$AB$370,5,0),0)</f>
        <v>0</v>
      </c>
      <c r="J4205" s="2">
        <f t="shared" ref="J4205:J4294" si="325">H4205*I4205</f>
        <v>0</v>
      </c>
      <c r="K4205" s="2">
        <f t="shared" si="323"/>
        <v>0</v>
      </c>
    </row>
    <row r="4206" spans="5:11">
      <c r="E4206" t="s">
        <v>947</v>
      </c>
      <c r="F4206" t="s">
        <v>959</v>
      </c>
      <c r="G4206" s="6" t="str">
        <f t="shared" si="324"/>
        <v>14-01</v>
      </c>
      <c r="H4206" s="1">
        <f>_xlfn.IFNA(VLOOKUP(Aragon!E4206,'Kilter Holds'!$P$36:$AB$370,6,0),0)</f>
        <v>0</v>
      </c>
      <c r="J4206" s="2">
        <f t="shared" si="325"/>
        <v>0</v>
      </c>
      <c r="K4206" s="2">
        <f t="shared" si="323"/>
        <v>0</v>
      </c>
    </row>
    <row r="4207" spans="5:11">
      <c r="E4207" t="s">
        <v>947</v>
      </c>
      <c r="F4207" t="s">
        <v>959</v>
      </c>
      <c r="G4207" s="7" t="str">
        <f t="shared" si="324"/>
        <v>15-12</v>
      </c>
      <c r="H4207" s="1">
        <f>_xlfn.IFNA(VLOOKUP(Aragon!E4207,'Kilter Holds'!$P$36:$AB$370,7,0),0)</f>
        <v>0</v>
      </c>
      <c r="J4207" s="2">
        <f t="shared" si="325"/>
        <v>0</v>
      </c>
      <c r="K4207" s="2">
        <f t="shared" si="323"/>
        <v>0</v>
      </c>
    </row>
    <row r="4208" spans="5:11">
      <c r="E4208" t="s">
        <v>947</v>
      </c>
      <c r="F4208" t="s">
        <v>959</v>
      </c>
      <c r="G4208" s="8" t="str">
        <f t="shared" si="324"/>
        <v>16-16</v>
      </c>
      <c r="H4208" s="1">
        <f>_xlfn.IFNA(VLOOKUP(Aragon!E4208,'Kilter Holds'!$P$36:$AB$370,8,0),0)</f>
        <v>0</v>
      </c>
      <c r="J4208" s="2">
        <f t="shared" si="325"/>
        <v>0</v>
      </c>
      <c r="K4208" s="2">
        <f t="shared" si="323"/>
        <v>0</v>
      </c>
    </row>
    <row r="4209" spans="5:11">
      <c r="E4209" t="s">
        <v>947</v>
      </c>
      <c r="F4209" t="s">
        <v>959</v>
      </c>
      <c r="G4209" s="9" t="str">
        <f t="shared" si="324"/>
        <v>13-01</v>
      </c>
      <c r="H4209" s="1">
        <f>_xlfn.IFNA(VLOOKUP(Aragon!E4209,'Kilter Holds'!$P$36:$AB$370,9,0),0)</f>
        <v>0</v>
      </c>
      <c r="J4209" s="2">
        <f t="shared" si="325"/>
        <v>0</v>
      </c>
      <c r="K4209" s="2">
        <f t="shared" si="323"/>
        <v>0</v>
      </c>
    </row>
    <row r="4210" spans="5:11">
      <c r="E4210" t="s">
        <v>947</v>
      </c>
      <c r="F4210" t="s">
        <v>959</v>
      </c>
      <c r="G4210" s="10" t="str">
        <f t="shared" si="324"/>
        <v>07-13</v>
      </c>
      <c r="H4210" s="1">
        <f>_xlfn.IFNA(VLOOKUP(Aragon!E4210,'Kilter Holds'!$P$36:$AB$370,10,0),0)</f>
        <v>0</v>
      </c>
      <c r="J4210" s="2">
        <f t="shared" si="325"/>
        <v>0</v>
      </c>
      <c r="K4210" s="2">
        <f t="shared" si="323"/>
        <v>0</v>
      </c>
    </row>
    <row r="4211" spans="5:11">
      <c r="E4211" t="s">
        <v>947</v>
      </c>
      <c r="F4211" t="s">
        <v>959</v>
      </c>
      <c r="G4211" s="11" t="str">
        <f t="shared" si="324"/>
        <v>11-25</v>
      </c>
      <c r="H4211" s="1">
        <f>_xlfn.IFNA(VLOOKUP(Aragon!E4211,'Kilter Holds'!$P$36:$AB$370,11,0),0)</f>
        <v>0</v>
      </c>
      <c r="J4211" s="2">
        <f t="shared" si="325"/>
        <v>0</v>
      </c>
      <c r="K4211" s="2">
        <f t="shared" si="323"/>
        <v>0</v>
      </c>
    </row>
    <row r="4212" spans="5:11">
      <c r="E4212" t="s">
        <v>947</v>
      </c>
      <c r="F4212" t="s">
        <v>959</v>
      </c>
      <c r="G4212" s="13" t="str">
        <f t="shared" si="324"/>
        <v>18-01</v>
      </c>
      <c r="H4212" s="1">
        <f>_xlfn.IFNA(VLOOKUP(Aragon!E4212,'Kilter Holds'!$P$36:$AB$370,12,0),0)</f>
        <v>0</v>
      </c>
      <c r="J4212" s="2">
        <f t="shared" si="325"/>
        <v>0</v>
      </c>
      <c r="K4212" s="2">
        <f t="shared" si="323"/>
        <v>0</v>
      </c>
    </row>
    <row r="4213" spans="5:11">
      <c r="E4213" t="s">
        <v>947</v>
      </c>
      <c r="F4213" t="s">
        <v>959</v>
      </c>
      <c r="G4213" s="12" t="str">
        <f t="shared" si="324"/>
        <v>12-01</v>
      </c>
      <c r="H4213" s="1">
        <f>_xlfn.IFNA(VLOOKUP(Aragon!E4213,'Kilter Holds'!$P$36:$AB$370,13,0),0)</f>
        <v>0</v>
      </c>
      <c r="J4213" s="2">
        <f t="shared" si="325"/>
        <v>0</v>
      </c>
      <c r="K4213" s="2">
        <f t="shared" si="323"/>
        <v>0</v>
      </c>
    </row>
    <row r="4214" spans="5:11">
      <c r="E4214" t="s">
        <v>1218</v>
      </c>
      <c r="F4214" t="s">
        <v>1219</v>
      </c>
      <c r="G4214" s="5" t="str">
        <f t="shared" si="324"/>
        <v>11-12</v>
      </c>
      <c r="H4214" s="1">
        <f>_xlfn.IFNA(VLOOKUP(Aragon!E4214,'Kilter Holds'!$P$36:$AB$370,5,0),0)</f>
        <v>0</v>
      </c>
      <c r="J4214" s="2">
        <f t="shared" ref="J4214:J4285" si="326">H4214*I4214</f>
        <v>0</v>
      </c>
      <c r="K4214" s="2">
        <f t="shared" ref="K4214:K4285" si="327">IF($V$11="Y",J4214*0.05,0)</f>
        <v>0</v>
      </c>
    </row>
    <row r="4215" spans="5:11">
      <c r="E4215" t="s">
        <v>1218</v>
      </c>
      <c r="F4215" t="s">
        <v>1219</v>
      </c>
      <c r="G4215" s="6" t="str">
        <f t="shared" si="324"/>
        <v>14-01</v>
      </c>
      <c r="H4215" s="1">
        <f>_xlfn.IFNA(VLOOKUP(Aragon!E4215,'Kilter Holds'!$P$36:$AB$370,6,0),0)</f>
        <v>0</v>
      </c>
      <c r="J4215" s="2">
        <f t="shared" si="326"/>
        <v>0</v>
      </c>
      <c r="K4215" s="2">
        <f t="shared" si="327"/>
        <v>0</v>
      </c>
    </row>
    <row r="4216" spans="5:11">
      <c r="E4216" t="s">
        <v>1218</v>
      </c>
      <c r="F4216" t="s">
        <v>1219</v>
      </c>
      <c r="G4216" s="7" t="str">
        <f t="shared" si="324"/>
        <v>15-12</v>
      </c>
      <c r="H4216" s="1">
        <f>_xlfn.IFNA(VLOOKUP(Aragon!E4216,'Kilter Holds'!$P$36:$AB$370,7,0),0)</f>
        <v>0</v>
      </c>
      <c r="J4216" s="2">
        <f t="shared" si="326"/>
        <v>0</v>
      </c>
      <c r="K4216" s="2">
        <f t="shared" si="327"/>
        <v>0</v>
      </c>
    </row>
    <row r="4217" spans="5:11">
      <c r="E4217" t="s">
        <v>1218</v>
      </c>
      <c r="F4217" t="s">
        <v>1219</v>
      </c>
      <c r="G4217" s="8" t="str">
        <f t="shared" si="324"/>
        <v>16-16</v>
      </c>
      <c r="H4217" s="1">
        <f>_xlfn.IFNA(VLOOKUP(Aragon!E4217,'Kilter Holds'!$P$36:$AB$370,8,0),0)</f>
        <v>0</v>
      </c>
      <c r="J4217" s="2">
        <f t="shared" si="326"/>
        <v>0</v>
      </c>
      <c r="K4217" s="2">
        <f t="shared" si="327"/>
        <v>0</v>
      </c>
    </row>
    <row r="4218" spans="5:11">
      <c r="E4218" t="s">
        <v>1218</v>
      </c>
      <c r="F4218" t="s">
        <v>1219</v>
      </c>
      <c r="G4218" s="9" t="str">
        <f t="shared" si="324"/>
        <v>13-01</v>
      </c>
      <c r="H4218" s="1">
        <f>_xlfn.IFNA(VLOOKUP(Aragon!E4218,'Kilter Holds'!$P$36:$AB$370,9,0),0)</f>
        <v>0</v>
      </c>
      <c r="J4218" s="2">
        <f t="shared" si="326"/>
        <v>0</v>
      </c>
      <c r="K4218" s="2">
        <f t="shared" si="327"/>
        <v>0</v>
      </c>
    </row>
    <row r="4219" spans="5:11">
      <c r="E4219" t="s">
        <v>1218</v>
      </c>
      <c r="F4219" t="s">
        <v>1219</v>
      </c>
      <c r="G4219" s="10" t="str">
        <f t="shared" si="324"/>
        <v>07-13</v>
      </c>
      <c r="H4219" s="1">
        <f>_xlfn.IFNA(VLOOKUP(Aragon!E4219,'Kilter Holds'!$P$36:$AB$370,10,0),0)</f>
        <v>0</v>
      </c>
      <c r="J4219" s="2">
        <f t="shared" si="326"/>
        <v>0</v>
      </c>
      <c r="K4219" s="2">
        <f t="shared" si="327"/>
        <v>0</v>
      </c>
    </row>
    <row r="4220" spans="5:11">
      <c r="E4220" t="s">
        <v>1218</v>
      </c>
      <c r="F4220" t="s">
        <v>1219</v>
      </c>
      <c r="G4220" s="11" t="str">
        <f t="shared" si="324"/>
        <v>11-25</v>
      </c>
      <c r="H4220" s="1">
        <f>_xlfn.IFNA(VLOOKUP(Aragon!E4220,'Kilter Holds'!$P$36:$AB$370,11,0),0)</f>
        <v>0</v>
      </c>
      <c r="J4220" s="2">
        <f t="shared" si="326"/>
        <v>0</v>
      </c>
      <c r="K4220" s="2">
        <f t="shared" si="327"/>
        <v>0</v>
      </c>
    </row>
    <row r="4221" spans="5:11">
      <c r="E4221" t="s">
        <v>1218</v>
      </c>
      <c r="F4221" t="s">
        <v>1219</v>
      </c>
      <c r="G4221" s="13" t="str">
        <f t="shared" si="324"/>
        <v>18-01</v>
      </c>
      <c r="H4221" s="1">
        <f>_xlfn.IFNA(VLOOKUP(Aragon!E4221,'Kilter Holds'!$P$36:$AB$370,12,0),0)</f>
        <v>0</v>
      </c>
      <c r="J4221" s="2">
        <f t="shared" si="326"/>
        <v>0</v>
      </c>
      <c r="K4221" s="2">
        <f t="shared" si="327"/>
        <v>0</v>
      </c>
    </row>
    <row r="4222" spans="5:11">
      <c r="E4222" t="s">
        <v>1218</v>
      </c>
      <c r="F4222" t="s">
        <v>1219</v>
      </c>
      <c r="G4222" s="12" t="str">
        <f t="shared" si="324"/>
        <v>12-01</v>
      </c>
      <c r="H4222" s="1">
        <f>_xlfn.IFNA(VLOOKUP(Aragon!E4222,'Kilter Holds'!$P$36:$AB$370,13,0),0)</f>
        <v>0</v>
      </c>
      <c r="J4222" s="2">
        <f t="shared" si="326"/>
        <v>0</v>
      </c>
      <c r="K4222" s="2">
        <f t="shared" si="327"/>
        <v>0</v>
      </c>
    </row>
    <row r="4223" spans="5:11">
      <c r="E4223" t="s">
        <v>1208</v>
      </c>
      <c r="F4223" t="s">
        <v>1220</v>
      </c>
      <c r="G4223" s="5" t="str">
        <f t="shared" si="324"/>
        <v>11-12</v>
      </c>
      <c r="H4223" s="1">
        <f>_xlfn.IFNA(VLOOKUP(Aragon!E4223,'Kilter Holds'!$P$36:$AB$370,5,0),0)</f>
        <v>0</v>
      </c>
      <c r="J4223" s="2">
        <f t="shared" si="326"/>
        <v>0</v>
      </c>
      <c r="K4223" s="2">
        <f t="shared" si="327"/>
        <v>0</v>
      </c>
    </row>
    <row r="4224" spans="5:11">
      <c r="E4224" t="s">
        <v>1208</v>
      </c>
      <c r="F4224" t="s">
        <v>1220</v>
      </c>
      <c r="G4224" s="6" t="str">
        <f t="shared" si="324"/>
        <v>14-01</v>
      </c>
      <c r="H4224" s="1">
        <f>_xlfn.IFNA(VLOOKUP(Aragon!E4224,'Kilter Holds'!$P$36:$AB$370,6,0),0)</f>
        <v>0</v>
      </c>
      <c r="J4224" s="2">
        <f t="shared" si="326"/>
        <v>0</v>
      </c>
      <c r="K4224" s="2">
        <f t="shared" si="327"/>
        <v>0</v>
      </c>
    </row>
    <row r="4225" spans="5:11">
      <c r="E4225" t="s">
        <v>1208</v>
      </c>
      <c r="F4225" t="s">
        <v>1220</v>
      </c>
      <c r="G4225" s="7" t="str">
        <f t="shared" si="324"/>
        <v>15-12</v>
      </c>
      <c r="H4225" s="1">
        <f>_xlfn.IFNA(VLOOKUP(Aragon!E4225,'Kilter Holds'!$P$36:$AB$370,7,0),0)</f>
        <v>0</v>
      </c>
      <c r="J4225" s="2">
        <f t="shared" si="326"/>
        <v>0</v>
      </c>
      <c r="K4225" s="2">
        <f t="shared" si="327"/>
        <v>0</v>
      </c>
    </row>
    <row r="4226" spans="5:11">
      <c r="E4226" t="s">
        <v>1208</v>
      </c>
      <c r="F4226" t="s">
        <v>1220</v>
      </c>
      <c r="G4226" s="8" t="str">
        <f t="shared" si="324"/>
        <v>16-16</v>
      </c>
      <c r="H4226" s="1">
        <f>_xlfn.IFNA(VLOOKUP(Aragon!E4226,'Kilter Holds'!$P$36:$AB$370,8,0),0)</f>
        <v>0</v>
      </c>
      <c r="J4226" s="2">
        <f t="shared" si="326"/>
        <v>0</v>
      </c>
      <c r="K4226" s="2">
        <f t="shared" si="327"/>
        <v>0</v>
      </c>
    </row>
    <row r="4227" spans="5:11">
      <c r="E4227" t="s">
        <v>1208</v>
      </c>
      <c r="F4227" t="s">
        <v>1220</v>
      </c>
      <c r="G4227" s="9" t="str">
        <f t="shared" si="324"/>
        <v>13-01</v>
      </c>
      <c r="H4227" s="1">
        <f>_xlfn.IFNA(VLOOKUP(Aragon!E4227,'Kilter Holds'!$P$36:$AB$370,9,0),0)</f>
        <v>0</v>
      </c>
      <c r="J4227" s="2">
        <f t="shared" si="326"/>
        <v>0</v>
      </c>
      <c r="K4227" s="2">
        <f t="shared" si="327"/>
        <v>0</v>
      </c>
    </row>
    <row r="4228" spans="5:11">
      <c r="E4228" t="s">
        <v>1208</v>
      </c>
      <c r="F4228" t="s">
        <v>1220</v>
      </c>
      <c r="G4228" s="10" t="str">
        <f t="shared" si="324"/>
        <v>07-13</v>
      </c>
      <c r="H4228" s="1">
        <f>_xlfn.IFNA(VLOOKUP(Aragon!E4228,'Kilter Holds'!$P$36:$AB$370,10,0),0)</f>
        <v>0</v>
      </c>
      <c r="J4228" s="2">
        <f t="shared" si="326"/>
        <v>0</v>
      </c>
      <c r="K4228" s="2">
        <f t="shared" si="327"/>
        <v>0</v>
      </c>
    </row>
    <row r="4229" spans="5:11">
      <c r="E4229" t="s">
        <v>1208</v>
      </c>
      <c r="F4229" t="s">
        <v>1220</v>
      </c>
      <c r="G4229" s="11" t="str">
        <f t="shared" si="324"/>
        <v>11-25</v>
      </c>
      <c r="H4229" s="1">
        <f>_xlfn.IFNA(VLOOKUP(Aragon!E4229,'Kilter Holds'!$P$36:$AB$370,11,0),0)</f>
        <v>0</v>
      </c>
      <c r="J4229" s="2">
        <f t="shared" si="326"/>
        <v>0</v>
      </c>
      <c r="K4229" s="2">
        <f t="shared" si="327"/>
        <v>0</v>
      </c>
    </row>
    <row r="4230" spans="5:11">
      <c r="E4230" t="s">
        <v>1208</v>
      </c>
      <c r="F4230" t="s">
        <v>1220</v>
      </c>
      <c r="G4230" s="13" t="str">
        <f t="shared" si="324"/>
        <v>18-01</v>
      </c>
      <c r="H4230" s="1">
        <f>_xlfn.IFNA(VLOOKUP(Aragon!E4230,'Kilter Holds'!$P$36:$AB$370,12,0),0)</f>
        <v>0</v>
      </c>
      <c r="J4230" s="2">
        <f t="shared" si="326"/>
        <v>0</v>
      </c>
      <c r="K4230" s="2">
        <f t="shared" si="327"/>
        <v>0</v>
      </c>
    </row>
    <row r="4231" spans="5:11">
      <c r="E4231" t="s">
        <v>1208</v>
      </c>
      <c r="F4231" t="s">
        <v>1220</v>
      </c>
      <c r="G4231" s="12" t="str">
        <f t="shared" si="324"/>
        <v>12-01</v>
      </c>
      <c r="H4231" s="1">
        <f>_xlfn.IFNA(VLOOKUP(Aragon!E4231,'Kilter Holds'!$P$36:$AB$370,13,0),0)</f>
        <v>0</v>
      </c>
      <c r="J4231" s="2">
        <f t="shared" si="326"/>
        <v>0</v>
      </c>
      <c r="K4231" s="2">
        <f t="shared" si="327"/>
        <v>0</v>
      </c>
    </row>
    <row r="4232" spans="5:11">
      <c r="E4232" t="s">
        <v>1221</v>
      </c>
      <c r="F4232" t="s">
        <v>1222</v>
      </c>
      <c r="G4232" s="5" t="str">
        <f t="shared" si="324"/>
        <v>11-12</v>
      </c>
      <c r="H4232" s="1">
        <f>_xlfn.IFNA(VLOOKUP(Aragon!E4232,'Kilter Holds'!$P$36:$AB$370,5,0),0)</f>
        <v>0</v>
      </c>
      <c r="J4232" s="2">
        <f t="shared" si="326"/>
        <v>0</v>
      </c>
      <c r="K4232" s="2">
        <f t="shared" si="327"/>
        <v>0</v>
      </c>
    </row>
    <row r="4233" spans="5:11">
      <c r="E4233" t="s">
        <v>1221</v>
      </c>
      <c r="F4233" t="s">
        <v>1222</v>
      </c>
      <c r="G4233" s="6" t="str">
        <f t="shared" si="324"/>
        <v>14-01</v>
      </c>
      <c r="H4233" s="1">
        <f>_xlfn.IFNA(VLOOKUP(Aragon!E4233,'Kilter Holds'!$P$36:$AB$370,6,0),0)</f>
        <v>0</v>
      </c>
      <c r="J4233" s="2">
        <f t="shared" si="326"/>
        <v>0</v>
      </c>
      <c r="K4233" s="2">
        <f t="shared" si="327"/>
        <v>0</v>
      </c>
    </row>
    <row r="4234" spans="5:11">
      <c r="E4234" t="s">
        <v>1221</v>
      </c>
      <c r="F4234" t="s">
        <v>1222</v>
      </c>
      <c r="G4234" s="7" t="str">
        <f t="shared" si="324"/>
        <v>15-12</v>
      </c>
      <c r="H4234" s="1">
        <f>_xlfn.IFNA(VLOOKUP(Aragon!E4234,'Kilter Holds'!$P$36:$AB$370,7,0),0)</f>
        <v>0</v>
      </c>
      <c r="J4234" s="2">
        <f t="shared" si="326"/>
        <v>0</v>
      </c>
      <c r="K4234" s="2">
        <f t="shared" si="327"/>
        <v>0</v>
      </c>
    </row>
    <row r="4235" spans="5:11">
      <c r="E4235" t="s">
        <v>1221</v>
      </c>
      <c r="F4235" t="s">
        <v>1222</v>
      </c>
      <c r="G4235" s="8" t="str">
        <f t="shared" si="324"/>
        <v>16-16</v>
      </c>
      <c r="H4235" s="1">
        <f>_xlfn.IFNA(VLOOKUP(Aragon!E4235,'Kilter Holds'!$P$36:$AB$370,8,0),0)</f>
        <v>0</v>
      </c>
      <c r="J4235" s="2">
        <f t="shared" si="326"/>
        <v>0</v>
      </c>
      <c r="K4235" s="2">
        <f t="shared" si="327"/>
        <v>0</v>
      </c>
    </row>
    <row r="4236" spans="5:11">
      <c r="E4236" t="s">
        <v>1221</v>
      </c>
      <c r="F4236" t="s">
        <v>1222</v>
      </c>
      <c r="G4236" s="9" t="str">
        <f t="shared" si="324"/>
        <v>13-01</v>
      </c>
      <c r="H4236" s="1">
        <f>_xlfn.IFNA(VLOOKUP(Aragon!E4236,'Kilter Holds'!$P$36:$AB$370,9,0),0)</f>
        <v>0</v>
      </c>
      <c r="J4236" s="2">
        <f t="shared" si="326"/>
        <v>0</v>
      </c>
      <c r="K4236" s="2">
        <f t="shared" si="327"/>
        <v>0</v>
      </c>
    </row>
    <row r="4237" spans="5:11">
      <c r="E4237" t="s">
        <v>1221</v>
      </c>
      <c r="F4237" t="s">
        <v>1222</v>
      </c>
      <c r="G4237" s="10" t="str">
        <f t="shared" si="324"/>
        <v>07-13</v>
      </c>
      <c r="H4237" s="1">
        <f>_xlfn.IFNA(VLOOKUP(Aragon!E4237,'Kilter Holds'!$P$36:$AB$370,10,0),0)</f>
        <v>0</v>
      </c>
      <c r="J4237" s="2">
        <f t="shared" si="326"/>
        <v>0</v>
      </c>
      <c r="K4237" s="2">
        <f t="shared" si="327"/>
        <v>0</v>
      </c>
    </row>
    <row r="4238" spans="5:11">
      <c r="E4238" t="s">
        <v>1221</v>
      </c>
      <c r="F4238" t="s">
        <v>1222</v>
      </c>
      <c r="G4238" s="11" t="str">
        <f t="shared" si="324"/>
        <v>11-25</v>
      </c>
      <c r="H4238" s="1">
        <f>_xlfn.IFNA(VLOOKUP(Aragon!E4238,'Kilter Holds'!$P$36:$AB$370,11,0),0)</f>
        <v>0</v>
      </c>
      <c r="J4238" s="2">
        <f t="shared" si="326"/>
        <v>0</v>
      </c>
      <c r="K4238" s="2">
        <f t="shared" si="327"/>
        <v>0</v>
      </c>
    </row>
    <row r="4239" spans="5:11">
      <c r="E4239" t="s">
        <v>1221</v>
      </c>
      <c r="F4239" t="s">
        <v>1222</v>
      </c>
      <c r="G4239" s="13" t="str">
        <f t="shared" si="324"/>
        <v>18-01</v>
      </c>
      <c r="H4239" s="1">
        <f>_xlfn.IFNA(VLOOKUP(Aragon!E4239,'Kilter Holds'!$P$36:$AB$370,12,0),0)</f>
        <v>0</v>
      </c>
      <c r="J4239" s="2">
        <f t="shared" si="326"/>
        <v>0</v>
      </c>
      <c r="K4239" s="2">
        <f t="shared" si="327"/>
        <v>0</v>
      </c>
    </row>
    <row r="4240" spans="5:11">
      <c r="E4240" t="s">
        <v>1221</v>
      </c>
      <c r="F4240" t="s">
        <v>1222</v>
      </c>
      <c r="G4240" s="12" t="str">
        <f t="shared" si="324"/>
        <v>12-01</v>
      </c>
      <c r="H4240" s="1">
        <f>_xlfn.IFNA(VLOOKUP(Aragon!E4240,'Kilter Holds'!$P$36:$AB$370,13,0),0)</f>
        <v>0</v>
      </c>
      <c r="J4240" s="2">
        <f t="shared" si="326"/>
        <v>0</v>
      </c>
      <c r="K4240" s="2">
        <f t="shared" si="327"/>
        <v>0</v>
      </c>
    </row>
    <row r="4241" spans="5:11">
      <c r="E4241" t="s">
        <v>1209</v>
      </c>
      <c r="F4241" t="s">
        <v>1223</v>
      </c>
      <c r="G4241" s="5" t="str">
        <f t="shared" si="324"/>
        <v>11-12</v>
      </c>
      <c r="H4241" s="1">
        <f>_xlfn.IFNA(VLOOKUP(Aragon!E4241,'Kilter Holds'!$P$36:$AB$370,5,0),0)</f>
        <v>0</v>
      </c>
      <c r="J4241" s="2">
        <f t="shared" si="326"/>
        <v>0</v>
      </c>
      <c r="K4241" s="2">
        <f t="shared" si="327"/>
        <v>0</v>
      </c>
    </row>
    <row r="4242" spans="5:11">
      <c r="E4242" t="s">
        <v>1209</v>
      </c>
      <c r="F4242" t="s">
        <v>1223</v>
      </c>
      <c r="G4242" s="6" t="str">
        <f t="shared" si="324"/>
        <v>14-01</v>
      </c>
      <c r="H4242" s="1">
        <f>_xlfn.IFNA(VLOOKUP(Aragon!E4242,'Kilter Holds'!$P$36:$AB$370,6,0),0)</f>
        <v>0</v>
      </c>
      <c r="J4242" s="2">
        <f t="shared" si="326"/>
        <v>0</v>
      </c>
      <c r="K4242" s="2">
        <f t="shared" si="327"/>
        <v>0</v>
      </c>
    </row>
    <row r="4243" spans="5:11">
      <c r="E4243" t="s">
        <v>1209</v>
      </c>
      <c r="F4243" t="s">
        <v>1223</v>
      </c>
      <c r="G4243" s="7" t="str">
        <f t="shared" si="324"/>
        <v>15-12</v>
      </c>
      <c r="H4243" s="1">
        <f>_xlfn.IFNA(VLOOKUP(Aragon!E4243,'Kilter Holds'!$P$36:$AB$370,7,0),0)</f>
        <v>0</v>
      </c>
      <c r="J4243" s="2">
        <f t="shared" si="326"/>
        <v>0</v>
      </c>
      <c r="K4243" s="2">
        <f t="shared" si="327"/>
        <v>0</v>
      </c>
    </row>
    <row r="4244" spans="5:11">
      <c r="E4244" t="s">
        <v>1209</v>
      </c>
      <c r="F4244" t="s">
        <v>1223</v>
      </c>
      <c r="G4244" s="8" t="str">
        <f t="shared" si="324"/>
        <v>16-16</v>
      </c>
      <c r="H4244" s="1">
        <f>_xlfn.IFNA(VLOOKUP(Aragon!E4244,'Kilter Holds'!$P$36:$AB$370,8,0),0)</f>
        <v>0</v>
      </c>
      <c r="J4244" s="2">
        <f t="shared" si="326"/>
        <v>0</v>
      </c>
      <c r="K4244" s="2">
        <f t="shared" si="327"/>
        <v>0</v>
      </c>
    </row>
    <row r="4245" spans="5:11">
      <c r="E4245" t="s">
        <v>1209</v>
      </c>
      <c r="F4245" t="s">
        <v>1223</v>
      </c>
      <c r="G4245" s="9" t="str">
        <f t="shared" si="324"/>
        <v>13-01</v>
      </c>
      <c r="H4245" s="1">
        <f>_xlfn.IFNA(VLOOKUP(Aragon!E4245,'Kilter Holds'!$P$36:$AB$370,9,0),0)</f>
        <v>0</v>
      </c>
      <c r="J4245" s="2">
        <f t="shared" si="326"/>
        <v>0</v>
      </c>
      <c r="K4245" s="2">
        <f t="shared" si="327"/>
        <v>0</v>
      </c>
    </row>
    <row r="4246" spans="5:11">
      <c r="E4246" t="s">
        <v>1209</v>
      </c>
      <c r="F4246" t="s">
        <v>1223</v>
      </c>
      <c r="G4246" s="10" t="str">
        <f t="shared" si="324"/>
        <v>07-13</v>
      </c>
      <c r="H4246" s="1">
        <f>_xlfn.IFNA(VLOOKUP(Aragon!E4246,'Kilter Holds'!$P$36:$AB$370,10,0),0)</f>
        <v>0</v>
      </c>
      <c r="J4246" s="2">
        <f t="shared" si="326"/>
        <v>0</v>
      </c>
      <c r="K4246" s="2">
        <f t="shared" si="327"/>
        <v>0</v>
      </c>
    </row>
    <row r="4247" spans="5:11">
      <c r="E4247" t="s">
        <v>1209</v>
      </c>
      <c r="F4247" t="s">
        <v>1223</v>
      </c>
      <c r="G4247" s="11" t="str">
        <f t="shared" si="324"/>
        <v>11-25</v>
      </c>
      <c r="H4247" s="1">
        <f>_xlfn.IFNA(VLOOKUP(Aragon!E4247,'Kilter Holds'!$P$36:$AB$370,11,0),0)</f>
        <v>0</v>
      </c>
      <c r="J4247" s="2">
        <f t="shared" si="326"/>
        <v>0</v>
      </c>
      <c r="K4247" s="2">
        <f t="shared" si="327"/>
        <v>0</v>
      </c>
    </row>
    <row r="4248" spans="5:11">
      <c r="E4248" t="s">
        <v>1209</v>
      </c>
      <c r="F4248" t="s">
        <v>1223</v>
      </c>
      <c r="G4248" s="13" t="str">
        <f t="shared" si="324"/>
        <v>18-01</v>
      </c>
      <c r="H4248" s="1">
        <f>_xlfn.IFNA(VLOOKUP(Aragon!E4248,'Kilter Holds'!$P$36:$AB$370,12,0),0)</f>
        <v>0</v>
      </c>
      <c r="J4248" s="2">
        <f t="shared" si="326"/>
        <v>0</v>
      </c>
      <c r="K4248" s="2">
        <f t="shared" si="327"/>
        <v>0</v>
      </c>
    </row>
    <row r="4249" spans="5:11">
      <c r="E4249" t="s">
        <v>1209</v>
      </c>
      <c r="F4249" t="s">
        <v>1223</v>
      </c>
      <c r="G4249" s="12" t="str">
        <f t="shared" si="324"/>
        <v>12-01</v>
      </c>
      <c r="H4249" s="1">
        <f>_xlfn.IFNA(VLOOKUP(Aragon!E4249,'Kilter Holds'!$P$36:$AB$370,13,0),0)</f>
        <v>0</v>
      </c>
      <c r="J4249" s="2">
        <f t="shared" si="326"/>
        <v>0</v>
      </c>
      <c r="K4249" s="2">
        <f t="shared" si="327"/>
        <v>0</v>
      </c>
    </row>
    <row r="4250" spans="5:11">
      <c r="E4250" t="s">
        <v>1210</v>
      </c>
      <c r="F4250" t="s">
        <v>1224</v>
      </c>
      <c r="G4250" s="5" t="str">
        <f t="shared" si="324"/>
        <v>11-12</v>
      </c>
      <c r="H4250" s="1">
        <f>_xlfn.IFNA(VLOOKUP(Aragon!E4250,'Kilter Holds'!$P$36:$AB$370,5,0),0)</f>
        <v>0</v>
      </c>
      <c r="J4250" s="2">
        <f t="shared" si="326"/>
        <v>0</v>
      </c>
      <c r="K4250" s="2">
        <f t="shared" si="327"/>
        <v>0</v>
      </c>
    </row>
    <row r="4251" spans="5:11">
      <c r="E4251" t="s">
        <v>1210</v>
      </c>
      <c r="F4251" t="s">
        <v>1224</v>
      </c>
      <c r="G4251" s="6" t="str">
        <f t="shared" si="324"/>
        <v>14-01</v>
      </c>
      <c r="H4251" s="1">
        <f>_xlfn.IFNA(VLOOKUP(Aragon!E4251,'Kilter Holds'!$P$36:$AB$370,6,0),0)</f>
        <v>0</v>
      </c>
      <c r="J4251" s="2">
        <f t="shared" si="326"/>
        <v>0</v>
      </c>
      <c r="K4251" s="2">
        <f t="shared" si="327"/>
        <v>0</v>
      </c>
    </row>
    <row r="4252" spans="5:11">
      <c r="E4252" t="s">
        <v>1210</v>
      </c>
      <c r="F4252" t="s">
        <v>1224</v>
      </c>
      <c r="G4252" s="7" t="str">
        <f t="shared" si="324"/>
        <v>15-12</v>
      </c>
      <c r="H4252" s="1">
        <f>_xlfn.IFNA(VLOOKUP(Aragon!E4252,'Kilter Holds'!$P$36:$AB$370,7,0),0)</f>
        <v>0</v>
      </c>
      <c r="J4252" s="2">
        <f t="shared" si="326"/>
        <v>0</v>
      </c>
      <c r="K4252" s="2">
        <f t="shared" si="327"/>
        <v>0</v>
      </c>
    </row>
    <row r="4253" spans="5:11">
      <c r="E4253" t="s">
        <v>1210</v>
      </c>
      <c r="F4253" t="s">
        <v>1224</v>
      </c>
      <c r="G4253" s="8" t="str">
        <f t="shared" si="324"/>
        <v>16-16</v>
      </c>
      <c r="H4253" s="1">
        <f>_xlfn.IFNA(VLOOKUP(Aragon!E4253,'Kilter Holds'!$P$36:$AB$370,8,0),0)</f>
        <v>0</v>
      </c>
      <c r="J4253" s="2">
        <f t="shared" si="326"/>
        <v>0</v>
      </c>
      <c r="K4253" s="2">
        <f t="shared" si="327"/>
        <v>0</v>
      </c>
    </row>
    <row r="4254" spans="5:11">
      <c r="E4254" t="s">
        <v>1210</v>
      </c>
      <c r="F4254" t="s">
        <v>1224</v>
      </c>
      <c r="G4254" s="9" t="str">
        <f t="shared" si="324"/>
        <v>13-01</v>
      </c>
      <c r="H4254" s="1">
        <f>_xlfn.IFNA(VLOOKUP(Aragon!E4254,'Kilter Holds'!$P$36:$AB$370,9,0),0)</f>
        <v>0</v>
      </c>
      <c r="J4254" s="2">
        <f t="shared" si="326"/>
        <v>0</v>
      </c>
      <c r="K4254" s="2">
        <f t="shared" si="327"/>
        <v>0</v>
      </c>
    </row>
    <row r="4255" spans="5:11">
      <c r="E4255" t="s">
        <v>1210</v>
      </c>
      <c r="F4255" t="s">
        <v>1224</v>
      </c>
      <c r="G4255" s="10" t="str">
        <f t="shared" si="324"/>
        <v>07-13</v>
      </c>
      <c r="H4255" s="1">
        <f>_xlfn.IFNA(VLOOKUP(Aragon!E4255,'Kilter Holds'!$P$36:$AB$370,10,0),0)</f>
        <v>0</v>
      </c>
      <c r="J4255" s="2">
        <f t="shared" si="326"/>
        <v>0</v>
      </c>
      <c r="K4255" s="2">
        <f t="shared" si="327"/>
        <v>0</v>
      </c>
    </row>
    <row r="4256" spans="5:11">
      <c r="E4256" t="s">
        <v>1210</v>
      </c>
      <c r="F4256" t="s">
        <v>1224</v>
      </c>
      <c r="G4256" s="11" t="str">
        <f t="shared" si="324"/>
        <v>11-25</v>
      </c>
      <c r="H4256" s="1">
        <f>_xlfn.IFNA(VLOOKUP(Aragon!E4256,'Kilter Holds'!$P$36:$AB$370,11,0),0)</f>
        <v>0</v>
      </c>
      <c r="J4256" s="2">
        <f t="shared" si="326"/>
        <v>0</v>
      </c>
      <c r="K4256" s="2">
        <f t="shared" si="327"/>
        <v>0</v>
      </c>
    </row>
    <row r="4257" spans="5:11">
      <c r="E4257" t="s">
        <v>1210</v>
      </c>
      <c r="F4257" t="s">
        <v>1224</v>
      </c>
      <c r="G4257" s="13" t="str">
        <f t="shared" si="324"/>
        <v>18-01</v>
      </c>
      <c r="H4257" s="1">
        <f>_xlfn.IFNA(VLOOKUP(Aragon!E4257,'Kilter Holds'!$P$36:$AB$370,12,0),0)</f>
        <v>0</v>
      </c>
      <c r="J4257" s="2">
        <f t="shared" si="326"/>
        <v>0</v>
      </c>
      <c r="K4257" s="2">
        <f t="shared" si="327"/>
        <v>0</v>
      </c>
    </row>
    <row r="4258" spans="5:11">
      <c r="E4258" t="s">
        <v>1210</v>
      </c>
      <c r="F4258" t="s">
        <v>1224</v>
      </c>
      <c r="G4258" s="12" t="str">
        <f t="shared" si="324"/>
        <v>12-01</v>
      </c>
      <c r="H4258" s="1">
        <f>_xlfn.IFNA(VLOOKUP(Aragon!E4258,'Kilter Holds'!$P$36:$AB$370,13,0),0)</f>
        <v>0</v>
      </c>
      <c r="J4258" s="2">
        <f t="shared" si="326"/>
        <v>0</v>
      </c>
      <c r="K4258" s="2">
        <f t="shared" si="327"/>
        <v>0</v>
      </c>
    </row>
    <row r="4259" spans="5:11">
      <c r="E4259" t="s">
        <v>1211</v>
      </c>
      <c r="F4259" t="s">
        <v>1225</v>
      </c>
      <c r="G4259" s="5" t="str">
        <f t="shared" si="324"/>
        <v>11-12</v>
      </c>
      <c r="H4259" s="1">
        <f>_xlfn.IFNA(VLOOKUP(Aragon!E4259,'Kilter Holds'!$P$36:$AB$370,5,0),0)</f>
        <v>0</v>
      </c>
      <c r="J4259" s="2">
        <f t="shared" si="326"/>
        <v>0</v>
      </c>
      <c r="K4259" s="2">
        <f t="shared" si="327"/>
        <v>0</v>
      </c>
    </row>
    <row r="4260" spans="5:11">
      <c r="E4260" t="s">
        <v>1211</v>
      </c>
      <c r="F4260" t="s">
        <v>1225</v>
      </c>
      <c r="G4260" s="6" t="str">
        <f t="shared" si="324"/>
        <v>14-01</v>
      </c>
      <c r="H4260" s="1">
        <f>_xlfn.IFNA(VLOOKUP(Aragon!E4260,'Kilter Holds'!$P$36:$AB$370,6,0),0)</f>
        <v>0</v>
      </c>
      <c r="J4260" s="2">
        <f t="shared" si="326"/>
        <v>0</v>
      </c>
      <c r="K4260" s="2">
        <f t="shared" si="327"/>
        <v>0</v>
      </c>
    </row>
    <row r="4261" spans="5:11">
      <c r="E4261" t="s">
        <v>1211</v>
      </c>
      <c r="F4261" t="s">
        <v>1225</v>
      </c>
      <c r="G4261" s="7" t="str">
        <f t="shared" si="324"/>
        <v>15-12</v>
      </c>
      <c r="H4261" s="1">
        <f>_xlfn.IFNA(VLOOKUP(Aragon!E4261,'Kilter Holds'!$P$36:$AB$370,7,0),0)</f>
        <v>0</v>
      </c>
      <c r="J4261" s="2">
        <f t="shared" si="326"/>
        <v>0</v>
      </c>
      <c r="K4261" s="2">
        <f t="shared" si="327"/>
        <v>0</v>
      </c>
    </row>
    <row r="4262" spans="5:11">
      <c r="E4262" t="s">
        <v>1211</v>
      </c>
      <c r="F4262" t="s">
        <v>1225</v>
      </c>
      <c r="G4262" s="8" t="str">
        <f t="shared" si="324"/>
        <v>16-16</v>
      </c>
      <c r="H4262" s="1">
        <f>_xlfn.IFNA(VLOOKUP(Aragon!E4262,'Kilter Holds'!$P$36:$AB$370,8,0),0)</f>
        <v>0</v>
      </c>
      <c r="J4262" s="2">
        <f t="shared" si="326"/>
        <v>0</v>
      </c>
      <c r="K4262" s="2">
        <f t="shared" si="327"/>
        <v>0</v>
      </c>
    </row>
    <row r="4263" spans="5:11">
      <c r="E4263" t="s">
        <v>1211</v>
      </c>
      <c r="F4263" t="s">
        <v>1225</v>
      </c>
      <c r="G4263" s="9" t="str">
        <f t="shared" si="324"/>
        <v>13-01</v>
      </c>
      <c r="H4263" s="1">
        <f>_xlfn.IFNA(VLOOKUP(Aragon!E4263,'Kilter Holds'!$P$36:$AB$370,9,0),0)</f>
        <v>0</v>
      </c>
      <c r="J4263" s="2">
        <f t="shared" si="326"/>
        <v>0</v>
      </c>
      <c r="K4263" s="2">
        <f t="shared" si="327"/>
        <v>0</v>
      </c>
    </row>
    <row r="4264" spans="5:11">
      <c r="E4264" t="s">
        <v>1211</v>
      </c>
      <c r="F4264" t="s">
        <v>1225</v>
      </c>
      <c r="G4264" s="10" t="str">
        <f t="shared" si="324"/>
        <v>07-13</v>
      </c>
      <c r="H4264" s="1">
        <f>_xlfn.IFNA(VLOOKUP(Aragon!E4264,'Kilter Holds'!$P$36:$AB$370,10,0),0)</f>
        <v>0</v>
      </c>
      <c r="J4264" s="2">
        <f t="shared" si="326"/>
        <v>0</v>
      </c>
      <c r="K4264" s="2">
        <f t="shared" si="327"/>
        <v>0</v>
      </c>
    </row>
    <row r="4265" spans="5:11">
      <c r="E4265" t="s">
        <v>1211</v>
      </c>
      <c r="F4265" t="s">
        <v>1225</v>
      </c>
      <c r="G4265" s="11" t="str">
        <f t="shared" si="324"/>
        <v>11-25</v>
      </c>
      <c r="H4265" s="1">
        <f>_xlfn.IFNA(VLOOKUP(Aragon!E4265,'Kilter Holds'!$P$36:$AB$370,11,0),0)</f>
        <v>0</v>
      </c>
      <c r="J4265" s="2">
        <f t="shared" si="326"/>
        <v>0</v>
      </c>
      <c r="K4265" s="2">
        <f t="shared" si="327"/>
        <v>0</v>
      </c>
    </row>
    <row r="4266" spans="5:11">
      <c r="E4266" t="s">
        <v>1211</v>
      </c>
      <c r="F4266" t="s">
        <v>1225</v>
      </c>
      <c r="G4266" s="13" t="str">
        <f t="shared" si="324"/>
        <v>18-01</v>
      </c>
      <c r="H4266" s="1">
        <f>_xlfn.IFNA(VLOOKUP(Aragon!E4266,'Kilter Holds'!$P$36:$AB$370,12,0),0)</f>
        <v>0</v>
      </c>
      <c r="J4266" s="2">
        <f t="shared" si="326"/>
        <v>0</v>
      </c>
      <c r="K4266" s="2">
        <f t="shared" si="327"/>
        <v>0</v>
      </c>
    </row>
    <row r="4267" spans="5:11">
      <c r="E4267" t="s">
        <v>1211</v>
      </c>
      <c r="F4267" t="s">
        <v>1225</v>
      </c>
      <c r="G4267" s="12" t="str">
        <f t="shared" si="324"/>
        <v>12-01</v>
      </c>
      <c r="H4267" s="1">
        <f>_xlfn.IFNA(VLOOKUP(Aragon!E4267,'Kilter Holds'!$P$36:$AB$370,13,0),0)</f>
        <v>0</v>
      </c>
      <c r="J4267" s="2">
        <f t="shared" si="326"/>
        <v>0</v>
      </c>
      <c r="K4267" s="2">
        <f t="shared" si="327"/>
        <v>0</v>
      </c>
    </row>
    <row r="4268" spans="5:11">
      <c r="E4268" t="s">
        <v>1212</v>
      </c>
      <c r="F4268" t="s">
        <v>1226</v>
      </c>
      <c r="G4268" s="5" t="str">
        <f t="shared" si="324"/>
        <v>11-12</v>
      </c>
      <c r="H4268" s="1">
        <f>_xlfn.IFNA(VLOOKUP(Aragon!E4268,'Kilter Holds'!$P$36:$AB$370,5,0),0)</f>
        <v>0</v>
      </c>
      <c r="J4268" s="2">
        <f t="shared" ref="J4268:J4276" si="328">H4268*I4268</f>
        <v>0</v>
      </c>
      <c r="K4268" s="2">
        <f t="shared" ref="K4268:K4276" si="329">IF($V$11="Y",J4268*0.05,0)</f>
        <v>0</v>
      </c>
    </row>
    <row r="4269" spans="5:11">
      <c r="E4269" t="s">
        <v>1212</v>
      </c>
      <c r="F4269" t="s">
        <v>1226</v>
      </c>
      <c r="G4269" s="6" t="str">
        <f t="shared" si="324"/>
        <v>14-01</v>
      </c>
      <c r="H4269" s="1">
        <f>_xlfn.IFNA(VLOOKUP(Aragon!E4269,'Kilter Holds'!$P$36:$AB$370,6,0),0)</f>
        <v>0</v>
      </c>
      <c r="J4269" s="2">
        <f t="shared" si="328"/>
        <v>0</v>
      </c>
      <c r="K4269" s="2">
        <f t="shared" si="329"/>
        <v>0</v>
      </c>
    </row>
    <row r="4270" spans="5:11">
      <c r="E4270" t="s">
        <v>1212</v>
      </c>
      <c r="F4270" t="s">
        <v>1226</v>
      </c>
      <c r="G4270" s="7" t="str">
        <f t="shared" si="324"/>
        <v>15-12</v>
      </c>
      <c r="H4270" s="1">
        <f>_xlfn.IFNA(VLOOKUP(Aragon!E4270,'Kilter Holds'!$P$36:$AB$370,7,0),0)</f>
        <v>0</v>
      </c>
      <c r="J4270" s="2">
        <f t="shared" si="328"/>
        <v>0</v>
      </c>
      <c r="K4270" s="2">
        <f t="shared" si="329"/>
        <v>0</v>
      </c>
    </row>
    <row r="4271" spans="5:11">
      <c r="E4271" t="s">
        <v>1212</v>
      </c>
      <c r="F4271" t="s">
        <v>1226</v>
      </c>
      <c r="G4271" s="8" t="str">
        <f t="shared" si="324"/>
        <v>16-16</v>
      </c>
      <c r="H4271" s="1">
        <f>_xlfn.IFNA(VLOOKUP(Aragon!E4271,'Kilter Holds'!$P$36:$AB$370,8,0),0)</f>
        <v>0</v>
      </c>
      <c r="J4271" s="2">
        <f t="shared" si="328"/>
        <v>0</v>
      </c>
      <c r="K4271" s="2">
        <f t="shared" si="329"/>
        <v>0</v>
      </c>
    </row>
    <row r="4272" spans="5:11">
      <c r="E4272" t="s">
        <v>1212</v>
      </c>
      <c r="F4272" t="s">
        <v>1226</v>
      </c>
      <c r="G4272" s="9" t="str">
        <f t="shared" si="324"/>
        <v>13-01</v>
      </c>
      <c r="H4272" s="1">
        <f>_xlfn.IFNA(VLOOKUP(Aragon!E4272,'Kilter Holds'!$P$36:$AB$370,9,0),0)</f>
        <v>0</v>
      </c>
      <c r="J4272" s="2">
        <f t="shared" si="328"/>
        <v>0</v>
      </c>
      <c r="K4272" s="2">
        <f t="shared" si="329"/>
        <v>0</v>
      </c>
    </row>
    <row r="4273" spans="5:11">
      <c r="E4273" t="s">
        <v>1212</v>
      </c>
      <c r="F4273" t="s">
        <v>1226</v>
      </c>
      <c r="G4273" s="10" t="str">
        <f t="shared" si="324"/>
        <v>07-13</v>
      </c>
      <c r="H4273" s="1">
        <f>_xlfn.IFNA(VLOOKUP(Aragon!E4273,'Kilter Holds'!$P$36:$AB$370,10,0),0)</f>
        <v>0</v>
      </c>
      <c r="J4273" s="2">
        <f t="shared" si="328"/>
        <v>0</v>
      </c>
      <c r="K4273" s="2">
        <f t="shared" si="329"/>
        <v>0</v>
      </c>
    </row>
    <row r="4274" spans="5:11">
      <c r="E4274" t="s">
        <v>1212</v>
      </c>
      <c r="F4274" t="s">
        <v>1226</v>
      </c>
      <c r="G4274" s="11" t="str">
        <f t="shared" si="324"/>
        <v>11-25</v>
      </c>
      <c r="H4274" s="1">
        <f>_xlfn.IFNA(VLOOKUP(Aragon!E4274,'Kilter Holds'!$P$36:$AB$370,11,0),0)</f>
        <v>0</v>
      </c>
      <c r="J4274" s="2">
        <f t="shared" si="328"/>
        <v>0</v>
      </c>
      <c r="K4274" s="2">
        <f t="shared" si="329"/>
        <v>0</v>
      </c>
    </row>
    <row r="4275" spans="5:11">
      <c r="E4275" t="s">
        <v>1212</v>
      </c>
      <c r="F4275" t="s">
        <v>1226</v>
      </c>
      <c r="G4275" s="13" t="str">
        <f t="shared" si="324"/>
        <v>18-01</v>
      </c>
      <c r="H4275" s="1">
        <f>_xlfn.IFNA(VLOOKUP(Aragon!E4275,'Kilter Holds'!$P$36:$AB$370,12,0),0)</f>
        <v>0</v>
      </c>
      <c r="J4275" s="2">
        <f t="shared" si="328"/>
        <v>0</v>
      </c>
      <c r="K4275" s="2">
        <f t="shared" si="329"/>
        <v>0</v>
      </c>
    </row>
    <row r="4276" spans="5:11">
      <c r="E4276" t="s">
        <v>1212</v>
      </c>
      <c r="F4276" t="s">
        <v>1226</v>
      </c>
      <c r="G4276" s="12" t="str">
        <f t="shared" si="324"/>
        <v>12-01</v>
      </c>
      <c r="H4276" s="1">
        <f>_xlfn.IFNA(VLOOKUP(Aragon!E4276,'Kilter Holds'!$P$36:$AB$370,13,0),0)</f>
        <v>0</v>
      </c>
      <c r="J4276" s="2">
        <f t="shared" si="328"/>
        <v>0</v>
      </c>
      <c r="K4276" s="2">
        <f t="shared" si="329"/>
        <v>0</v>
      </c>
    </row>
    <row r="4277" spans="5:11">
      <c r="E4277" t="s">
        <v>1213</v>
      </c>
      <c r="F4277" t="s">
        <v>1227</v>
      </c>
      <c r="G4277" s="5" t="str">
        <f t="shared" ref="G4277:G4285" si="330">G4259</f>
        <v>11-12</v>
      </c>
      <c r="H4277" s="1">
        <f>_xlfn.IFNA(VLOOKUP(Aragon!E4277,'Kilter Holds'!$P$36:$AB$370,5,0),0)</f>
        <v>0</v>
      </c>
      <c r="J4277" s="2">
        <f t="shared" si="326"/>
        <v>0</v>
      </c>
      <c r="K4277" s="2">
        <f t="shared" si="327"/>
        <v>0</v>
      </c>
    </row>
    <row r="4278" spans="5:11">
      <c r="E4278" t="s">
        <v>1213</v>
      </c>
      <c r="F4278" t="s">
        <v>1227</v>
      </c>
      <c r="G4278" s="6" t="str">
        <f t="shared" si="330"/>
        <v>14-01</v>
      </c>
      <c r="H4278" s="1">
        <f>_xlfn.IFNA(VLOOKUP(Aragon!E4278,'Kilter Holds'!$P$36:$AB$370,6,0),0)</f>
        <v>0</v>
      </c>
      <c r="J4278" s="2">
        <f t="shared" si="326"/>
        <v>0</v>
      </c>
      <c r="K4278" s="2">
        <f t="shared" si="327"/>
        <v>0</v>
      </c>
    </row>
    <row r="4279" spans="5:11">
      <c r="E4279" t="s">
        <v>1213</v>
      </c>
      <c r="F4279" t="s">
        <v>1227</v>
      </c>
      <c r="G4279" s="7" t="str">
        <f t="shared" si="330"/>
        <v>15-12</v>
      </c>
      <c r="H4279" s="1">
        <f>_xlfn.IFNA(VLOOKUP(Aragon!E4279,'Kilter Holds'!$P$36:$AB$370,7,0),0)</f>
        <v>0</v>
      </c>
      <c r="J4279" s="2">
        <f t="shared" si="326"/>
        <v>0</v>
      </c>
      <c r="K4279" s="2">
        <f t="shared" si="327"/>
        <v>0</v>
      </c>
    </row>
    <row r="4280" spans="5:11">
      <c r="E4280" t="s">
        <v>1213</v>
      </c>
      <c r="F4280" t="s">
        <v>1227</v>
      </c>
      <c r="G4280" s="8" t="str">
        <f t="shared" si="330"/>
        <v>16-16</v>
      </c>
      <c r="H4280" s="1">
        <f>_xlfn.IFNA(VLOOKUP(Aragon!E4280,'Kilter Holds'!$P$36:$AB$370,8,0),0)</f>
        <v>0</v>
      </c>
      <c r="J4280" s="2">
        <f t="shared" si="326"/>
        <v>0</v>
      </c>
      <c r="K4280" s="2">
        <f t="shared" si="327"/>
        <v>0</v>
      </c>
    </row>
    <row r="4281" spans="5:11">
      <c r="E4281" t="s">
        <v>1213</v>
      </c>
      <c r="F4281" t="s">
        <v>1227</v>
      </c>
      <c r="G4281" s="9" t="str">
        <f t="shared" si="330"/>
        <v>13-01</v>
      </c>
      <c r="H4281" s="1">
        <f>_xlfn.IFNA(VLOOKUP(Aragon!E4281,'Kilter Holds'!$P$36:$AB$370,9,0),0)</f>
        <v>0</v>
      </c>
      <c r="J4281" s="2">
        <f t="shared" si="326"/>
        <v>0</v>
      </c>
      <c r="K4281" s="2">
        <f t="shared" si="327"/>
        <v>0</v>
      </c>
    </row>
    <row r="4282" spans="5:11">
      <c r="E4282" t="s">
        <v>1213</v>
      </c>
      <c r="F4282" t="s">
        <v>1227</v>
      </c>
      <c r="G4282" s="10" t="str">
        <f t="shared" si="330"/>
        <v>07-13</v>
      </c>
      <c r="H4282" s="1">
        <f>_xlfn.IFNA(VLOOKUP(Aragon!E4282,'Kilter Holds'!$P$36:$AB$370,10,0),0)</f>
        <v>0</v>
      </c>
      <c r="J4282" s="2">
        <f t="shared" si="326"/>
        <v>0</v>
      </c>
      <c r="K4282" s="2">
        <f t="shared" si="327"/>
        <v>0</v>
      </c>
    </row>
    <row r="4283" spans="5:11">
      <c r="E4283" t="s">
        <v>1213</v>
      </c>
      <c r="F4283" t="s">
        <v>1227</v>
      </c>
      <c r="G4283" s="11" t="str">
        <f t="shared" si="330"/>
        <v>11-25</v>
      </c>
      <c r="H4283" s="1">
        <f>_xlfn.IFNA(VLOOKUP(Aragon!E4283,'Kilter Holds'!$P$36:$AB$370,11,0),0)</f>
        <v>0</v>
      </c>
      <c r="J4283" s="2">
        <f t="shared" si="326"/>
        <v>0</v>
      </c>
      <c r="K4283" s="2">
        <f t="shared" si="327"/>
        <v>0</v>
      </c>
    </row>
    <row r="4284" spans="5:11">
      <c r="E4284" t="s">
        <v>1213</v>
      </c>
      <c r="F4284" t="s">
        <v>1227</v>
      </c>
      <c r="G4284" s="13" t="str">
        <f t="shared" si="330"/>
        <v>18-01</v>
      </c>
      <c r="H4284" s="1">
        <f>_xlfn.IFNA(VLOOKUP(Aragon!E4284,'Kilter Holds'!$P$36:$AB$370,12,0),0)</f>
        <v>0</v>
      </c>
      <c r="J4284" s="2">
        <f t="shared" si="326"/>
        <v>0</v>
      </c>
      <c r="K4284" s="2">
        <f t="shared" si="327"/>
        <v>0</v>
      </c>
    </row>
    <row r="4285" spans="5:11">
      <c r="E4285" t="s">
        <v>1213</v>
      </c>
      <c r="F4285" t="s">
        <v>1227</v>
      </c>
      <c r="G4285" s="12" t="str">
        <f t="shared" si="330"/>
        <v>12-01</v>
      </c>
      <c r="H4285" s="1">
        <f>_xlfn.IFNA(VLOOKUP(Aragon!E4285,'Kilter Holds'!$P$36:$AB$370,13,0),0)</f>
        <v>0</v>
      </c>
      <c r="J4285" s="2">
        <f t="shared" si="326"/>
        <v>0</v>
      </c>
      <c r="K4285" s="2">
        <f t="shared" si="327"/>
        <v>0</v>
      </c>
    </row>
    <row r="4286" spans="5:11">
      <c r="E4286" t="s">
        <v>1072</v>
      </c>
      <c r="F4286" t="s">
        <v>1075</v>
      </c>
      <c r="G4286" s="5" t="str">
        <f t="shared" ref="G4286:G4294" si="331">G4205</f>
        <v>11-12</v>
      </c>
      <c r="H4286" s="1">
        <f>_xlfn.IFNA(VLOOKUP(Aragon!E4286,'Kilter Holds'!$P$36:$AB$370,5,0),0)</f>
        <v>0</v>
      </c>
      <c r="J4286" s="2">
        <f t="shared" si="325"/>
        <v>0</v>
      </c>
      <c r="K4286" s="2">
        <f t="shared" ref="K4286:K4294" si="332">IF($V$11="Y",J4286*0.05,0)</f>
        <v>0</v>
      </c>
    </row>
    <row r="4287" spans="5:11">
      <c r="E4287" t="s">
        <v>1072</v>
      </c>
      <c r="F4287" t="s">
        <v>1075</v>
      </c>
      <c r="G4287" s="6" t="str">
        <f t="shared" si="331"/>
        <v>14-01</v>
      </c>
      <c r="H4287" s="1">
        <f>_xlfn.IFNA(VLOOKUP(Aragon!E4287,'Kilter Holds'!$P$36:$AB$370,6,0),0)</f>
        <v>0</v>
      </c>
      <c r="J4287" s="2">
        <f t="shared" si="325"/>
        <v>0</v>
      </c>
      <c r="K4287" s="2">
        <f t="shared" si="332"/>
        <v>0</v>
      </c>
    </row>
    <row r="4288" spans="5:11">
      <c r="E4288" t="s">
        <v>1072</v>
      </c>
      <c r="F4288" t="s">
        <v>1075</v>
      </c>
      <c r="G4288" s="7" t="str">
        <f t="shared" si="331"/>
        <v>15-12</v>
      </c>
      <c r="H4288" s="1">
        <f>_xlfn.IFNA(VLOOKUP(Aragon!E4288,'Kilter Holds'!$P$36:$AB$370,7,0),0)</f>
        <v>0</v>
      </c>
      <c r="J4288" s="2">
        <f t="shared" si="325"/>
        <v>0</v>
      </c>
      <c r="K4288" s="2">
        <f t="shared" si="332"/>
        <v>0</v>
      </c>
    </row>
    <row r="4289" spans="5:11">
      <c r="E4289" t="s">
        <v>1072</v>
      </c>
      <c r="F4289" t="s">
        <v>1075</v>
      </c>
      <c r="G4289" s="8" t="str">
        <f t="shared" si="331"/>
        <v>16-16</v>
      </c>
      <c r="H4289" s="1">
        <f>_xlfn.IFNA(VLOOKUP(Aragon!E4289,'Kilter Holds'!$P$36:$AB$370,8,0),0)</f>
        <v>0</v>
      </c>
      <c r="J4289" s="2">
        <f t="shared" si="325"/>
        <v>0</v>
      </c>
      <c r="K4289" s="2">
        <f t="shared" si="332"/>
        <v>0</v>
      </c>
    </row>
    <row r="4290" spans="5:11">
      <c r="E4290" t="s">
        <v>1072</v>
      </c>
      <c r="F4290" t="s">
        <v>1075</v>
      </c>
      <c r="G4290" s="9" t="str">
        <f t="shared" si="331"/>
        <v>13-01</v>
      </c>
      <c r="H4290" s="1">
        <f>_xlfn.IFNA(VLOOKUP(Aragon!E4290,'Kilter Holds'!$P$36:$AB$370,9,0),0)</f>
        <v>0</v>
      </c>
      <c r="J4290" s="2">
        <f t="shared" si="325"/>
        <v>0</v>
      </c>
      <c r="K4290" s="2">
        <f t="shared" si="332"/>
        <v>0</v>
      </c>
    </row>
    <row r="4291" spans="5:11">
      <c r="E4291" t="s">
        <v>1072</v>
      </c>
      <c r="F4291" t="s">
        <v>1075</v>
      </c>
      <c r="G4291" s="10" t="str">
        <f t="shared" si="331"/>
        <v>07-13</v>
      </c>
      <c r="H4291" s="1">
        <f>_xlfn.IFNA(VLOOKUP(Aragon!E4291,'Kilter Holds'!$P$36:$AB$370,10,0),0)</f>
        <v>0</v>
      </c>
      <c r="J4291" s="2">
        <f t="shared" si="325"/>
        <v>0</v>
      </c>
      <c r="K4291" s="2">
        <f t="shared" si="332"/>
        <v>0</v>
      </c>
    </row>
    <row r="4292" spans="5:11">
      <c r="E4292" t="s">
        <v>1072</v>
      </c>
      <c r="F4292" t="s">
        <v>1075</v>
      </c>
      <c r="G4292" s="11" t="str">
        <f t="shared" si="331"/>
        <v>11-25</v>
      </c>
      <c r="H4292" s="1">
        <f>_xlfn.IFNA(VLOOKUP(Aragon!E4292,'Kilter Holds'!$P$36:$AB$370,11,0),0)</f>
        <v>0</v>
      </c>
      <c r="J4292" s="2">
        <f t="shared" si="325"/>
        <v>0</v>
      </c>
      <c r="K4292" s="2">
        <f t="shared" si="332"/>
        <v>0</v>
      </c>
    </row>
    <row r="4293" spans="5:11">
      <c r="E4293" t="s">
        <v>1072</v>
      </c>
      <c r="F4293" t="s">
        <v>1075</v>
      </c>
      <c r="G4293" s="13" t="str">
        <f t="shared" si="331"/>
        <v>18-01</v>
      </c>
      <c r="H4293" s="1">
        <f>_xlfn.IFNA(VLOOKUP(Aragon!E4293,'Kilter Holds'!$P$36:$AB$370,12,0),0)</f>
        <v>0</v>
      </c>
      <c r="J4293" s="2">
        <f t="shared" si="325"/>
        <v>0</v>
      </c>
      <c r="K4293" s="2">
        <f t="shared" si="332"/>
        <v>0</v>
      </c>
    </row>
    <row r="4294" spans="5:11">
      <c r="E4294" t="s">
        <v>1072</v>
      </c>
      <c r="F4294" t="s">
        <v>1075</v>
      </c>
      <c r="G4294" s="12" t="str">
        <f t="shared" si="331"/>
        <v>12-01</v>
      </c>
      <c r="H4294" s="1">
        <f>_xlfn.IFNA(VLOOKUP(Aragon!E4294,'Kilter Holds'!$P$36:$AB$370,13,0),0)</f>
        <v>0</v>
      </c>
      <c r="J4294" s="2">
        <f t="shared" si="325"/>
        <v>0</v>
      </c>
      <c r="K4294" s="2">
        <f t="shared" si="332"/>
        <v>0</v>
      </c>
    </row>
    <row r="4295" spans="5:11">
      <c r="E4295" t="s">
        <v>1214</v>
      </c>
      <c r="F4295" t="s">
        <v>1228</v>
      </c>
      <c r="G4295" s="5" t="str">
        <f t="shared" ref="G4295:G4357" si="333">G4214</f>
        <v>11-12</v>
      </c>
      <c r="H4295" s="1">
        <f>_xlfn.IFNA(VLOOKUP(Aragon!E4295,'Kilter Holds'!$P$36:$AB$370,5,0),0)</f>
        <v>0</v>
      </c>
      <c r="J4295" s="2">
        <f t="shared" ref="J4295:J4312" si="334">H4295*I4295</f>
        <v>0</v>
      </c>
      <c r="K4295" s="2">
        <f t="shared" ref="K4295:K4312" si="335">IF($V$11="Y",J4295*0.05,0)</f>
        <v>0</v>
      </c>
    </row>
    <row r="4296" spans="5:11">
      <c r="E4296" t="s">
        <v>1214</v>
      </c>
      <c r="F4296" t="s">
        <v>1228</v>
      </c>
      <c r="G4296" s="6" t="str">
        <f t="shared" si="333"/>
        <v>14-01</v>
      </c>
      <c r="H4296" s="1">
        <f>_xlfn.IFNA(VLOOKUP(Aragon!E4296,'Kilter Holds'!$P$36:$AB$370,6,0),0)</f>
        <v>0</v>
      </c>
      <c r="J4296" s="2">
        <f t="shared" si="334"/>
        <v>0</v>
      </c>
      <c r="K4296" s="2">
        <f t="shared" si="335"/>
        <v>0</v>
      </c>
    </row>
    <row r="4297" spans="5:11">
      <c r="E4297" t="s">
        <v>1214</v>
      </c>
      <c r="F4297" t="s">
        <v>1228</v>
      </c>
      <c r="G4297" s="7" t="str">
        <f t="shared" si="333"/>
        <v>15-12</v>
      </c>
      <c r="H4297" s="1">
        <f>_xlfn.IFNA(VLOOKUP(Aragon!E4297,'Kilter Holds'!$P$36:$AB$370,7,0),0)</f>
        <v>0</v>
      </c>
      <c r="J4297" s="2">
        <f t="shared" si="334"/>
        <v>0</v>
      </c>
      <c r="K4297" s="2">
        <f t="shared" si="335"/>
        <v>0</v>
      </c>
    </row>
    <row r="4298" spans="5:11">
      <c r="E4298" t="s">
        <v>1214</v>
      </c>
      <c r="F4298" t="s">
        <v>1228</v>
      </c>
      <c r="G4298" s="8" t="str">
        <f t="shared" si="333"/>
        <v>16-16</v>
      </c>
      <c r="H4298" s="1">
        <f>_xlfn.IFNA(VLOOKUP(Aragon!E4298,'Kilter Holds'!$P$36:$AB$370,8,0),0)</f>
        <v>0</v>
      </c>
      <c r="J4298" s="2">
        <f t="shared" si="334"/>
        <v>0</v>
      </c>
      <c r="K4298" s="2">
        <f t="shared" si="335"/>
        <v>0</v>
      </c>
    </row>
    <row r="4299" spans="5:11">
      <c r="E4299" t="s">
        <v>1214</v>
      </c>
      <c r="F4299" t="s">
        <v>1228</v>
      </c>
      <c r="G4299" s="9" t="str">
        <f t="shared" si="333"/>
        <v>13-01</v>
      </c>
      <c r="H4299" s="1">
        <f>_xlfn.IFNA(VLOOKUP(Aragon!E4299,'Kilter Holds'!$P$36:$AB$370,9,0),0)</f>
        <v>0</v>
      </c>
      <c r="J4299" s="2">
        <f t="shared" si="334"/>
        <v>0</v>
      </c>
      <c r="K4299" s="2">
        <f t="shared" si="335"/>
        <v>0</v>
      </c>
    </row>
    <row r="4300" spans="5:11">
      <c r="E4300" t="s">
        <v>1214</v>
      </c>
      <c r="F4300" t="s">
        <v>1228</v>
      </c>
      <c r="G4300" s="10" t="str">
        <f t="shared" si="333"/>
        <v>07-13</v>
      </c>
      <c r="H4300" s="1">
        <f>_xlfn.IFNA(VLOOKUP(Aragon!E4300,'Kilter Holds'!$P$36:$AB$370,10,0),0)</f>
        <v>0</v>
      </c>
      <c r="J4300" s="2">
        <f t="shared" si="334"/>
        <v>0</v>
      </c>
      <c r="K4300" s="2">
        <f t="shared" si="335"/>
        <v>0</v>
      </c>
    </row>
    <row r="4301" spans="5:11">
      <c r="E4301" t="s">
        <v>1214</v>
      </c>
      <c r="F4301" t="s">
        <v>1228</v>
      </c>
      <c r="G4301" s="11" t="str">
        <f t="shared" si="333"/>
        <v>11-25</v>
      </c>
      <c r="H4301" s="1">
        <f>_xlfn.IFNA(VLOOKUP(Aragon!E4301,'Kilter Holds'!$P$36:$AB$370,11,0),0)</f>
        <v>0</v>
      </c>
      <c r="J4301" s="2">
        <f t="shared" si="334"/>
        <v>0</v>
      </c>
      <c r="K4301" s="2">
        <f t="shared" si="335"/>
        <v>0</v>
      </c>
    </row>
    <row r="4302" spans="5:11">
      <c r="E4302" t="s">
        <v>1214</v>
      </c>
      <c r="F4302" t="s">
        <v>1228</v>
      </c>
      <c r="G4302" s="13" t="str">
        <f t="shared" si="333"/>
        <v>18-01</v>
      </c>
      <c r="H4302" s="1">
        <f>_xlfn.IFNA(VLOOKUP(Aragon!E4302,'Kilter Holds'!$P$36:$AB$370,12,0),0)</f>
        <v>0</v>
      </c>
      <c r="J4302" s="2">
        <f t="shared" si="334"/>
        <v>0</v>
      </c>
      <c r="K4302" s="2">
        <f t="shared" si="335"/>
        <v>0</v>
      </c>
    </row>
    <row r="4303" spans="5:11">
      <c r="E4303" t="s">
        <v>1214</v>
      </c>
      <c r="F4303" t="s">
        <v>1228</v>
      </c>
      <c r="G4303" s="12" t="str">
        <f t="shared" si="333"/>
        <v>12-01</v>
      </c>
      <c r="H4303" s="1">
        <f>_xlfn.IFNA(VLOOKUP(Aragon!E4303,'Kilter Holds'!$P$36:$AB$370,13,0),0)</f>
        <v>0</v>
      </c>
      <c r="J4303" s="2">
        <f t="shared" si="334"/>
        <v>0</v>
      </c>
      <c r="K4303" s="2">
        <f t="shared" si="335"/>
        <v>0</v>
      </c>
    </row>
    <row r="4304" spans="5:11">
      <c r="E4304" t="s">
        <v>1215</v>
      </c>
      <c r="F4304" t="s">
        <v>1229</v>
      </c>
      <c r="G4304" s="5" t="str">
        <f t="shared" si="333"/>
        <v>11-12</v>
      </c>
      <c r="H4304" s="1">
        <f>_xlfn.IFNA(VLOOKUP(Aragon!E4304,'Kilter Holds'!$P$36:$AB$370,5,0),0)</f>
        <v>0</v>
      </c>
      <c r="J4304" s="2">
        <f t="shared" si="334"/>
        <v>0</v>
      </c>
      <c r="K4304" s="2">
        <f t="shared" si="335"/>
        <v>0</v>
      </c>
    </row>
    <row r="4305" spans="5:11">
      <c r="E4305" t="s">
        <v>1215</v>
      </c>
      <c r="F4305" t="s">
        <v>1229</v>
      </c>
      <c r="G4305" s="6" t="str">
        <f t="shared" si="333"/>
        <v>14-01</v>
      </c>
      <c r="H4305" s="1">
        <f>_xlfn.IFNA(VLOOKUP(Aragon!E4305,'Kilter Holds'!$P$36:$AB$370,6,0),0)</f>
        <v>0</v>
      </c>
      <c r="J4305" s="2">
        <f t="shared" si="334"/>
        <v>0</v>
      </c>
      <c r="K4305" s="2">
        <f t="shared" si="335"/>
        <v>0</v>
      </c>
    </row>
    <row r="4306" spans="5:11">
      <c r="E4306" t="s">
        <v>1215</v>
      </c>
      <c r="F4306" t="s">
        <v>1229</v>
      </c>
      <c r="G4306" s="7" t="str">
        <f t="shared" si="333"/>
        <v>15-12</v>
      </c>
      <c r="H4306" s="1">
        <f>_xlfn.IFNA(VLOOKUP(Aragon!E4306,'Kilter Holds'!$P$36:$AB$370,7,0),0)</f>
        <v>0</v>
      </c>
      <c r="J4306" s="2">
        <f t="shared" si="334"/>
        <v>0</v>
      </c>
      <c r="K4306" s="2">
        <f t="shared" si="335"/>
        <v>0</v>
      </c>
    </row>
    <row r="4307" spans="5:11">
      <c r="E4307" t="s">
        <v>1215</v>
      </c>
      <c r="F4307" t="s">
        <v>1229</v>
      </c>
      <c r="G4307" s="8" t="str">
        <f t="shared" si="333"/>
        <v>16-16</v>
      </c>
      <c r="H4307" s="1">
        <f>_xlfn.IFNA(VLOOKUP(Aragon!E4307,'Kilter Holds'!$P$36:$AB$370,8,0),0)</f>
        <v>0</v>
      </c>
      <c r="J4307" s="2">
        <f t="shared" si="334"/>
        <v>0</v>
      </c>
      <c r="K4307" s="2">
        <f t="shared" si="335"/>
        <v>0</v>
      </c>
    </row>
    <row r="4308" spans="5:11">
      <c r="E4308" t="s">
        <v>1215</v>
      </c>
      <c r="F4308" t="s">
        <v>1229</v>
      </c>
      <c r="G4308" s="9" t="str">
        <f t="shared" si="333"/>
        <v>13-01</v>
      </c>
      <c r="H4308" s="1">
        <f>_xlfn.IFNA(VLOOKUP(Aragon!E4308,'Kilter Holds'!$P$36:$AB$370,9,0),0)</f>
        <v>0</v>
      </c>
      <c r="J4308" s="2">
        <f t="shared" si="334"/>
        <v>0</v>
      </c>
      <c r="K4308" s="2">
        <f t="shared" si="335"/>
        <v>0</v>
      </c>
    </row>
    <row r="4309" spans="5:11">
      <c r="E4309" t="s">
        <v>1215</v>
      </c>
      <c r="F4309" t="s">
        <v>1229</v>
      </c>
      <c r="G4309" s="10" t="str">
        <f t="shared" si="333"/>
        <v>07-13</v>
      </c>
      <c r="H4309" s="1">
        <f>_xlfn.IFNA(VLOOKUP(Aragon!E4309,'Kilter Holds'!$P$36:$AB$370,10,0),0)</f>
        <v>0</v>
      </c>
      <c r="J4309" s="2">
        <f t="shared" si="334"/>
        <v>0</v>
      </c>
      <c r="K4309" s="2">
        <f t="shared" si="335"/>
        <v>0</v>
      </c>
    </row>
    <row r="4310" spans="5:11">
      <c r="E4310" t="s">
        <v>1215</v>
      </c>
      <c r="F4310" t="s">
        <v>1229</v>
      </c>
      <c r="G4310" s="11" t="str">
        <f t="shared" si="333"/>
        <v>11-25</v>
      </c>
      <c r="H4310" s="1">
        <f>_xlfn.IFNA(VLOOKUP(Aragon!E4310,'Kilter Holds'!$P$36:$AB$370,11,0),0)</f>
        <v>0</v>
      </c>
      <c r="J4310" s="2">
        <f t="shared" si="334"/>
        <v>0</v>
      </c>
      <c r="K4310" s="2">
        <f t="shared" si="335"/>
        <v>0</v>
      </c>
    </row>
    <row r="4311" spans="5:11">
      <c r="E4311" t="s">
        <v>1215</v>
      </c>
      <c r="F4311" t="s">
        <v>1229</v>
      </c>
      <c r="G4311" s="13" t="str">
        <f t="shared" si="333"/>
        <v>18-01</v>
      </c>
      <c r="H4311" s="1">
        <f>_xlfn.IFNA(VLOOKUP(Aragon!E4311,'Kilter Holds'!$P$36:$AB$370,12,0),0)</f>
        <v>0</v>
      </c>
      <c r="J4311" s="2">
        <f t="shared" si="334"/>
        <v>0</v>
      </c>
      <c r="K4311" s="2">
        <f t="shared" si="335"/>
        <v>0</v>
      </c>
    </row>
    <row r="4312" spans="5:11">
      <c r="E4312" t="s">
        <v>1215</v>
      </c>
      <c r="F4312" t="s">
        <v>1229</v>
      </c>
      <c r="G4312" s="12" t="str">
        <f t="shared" si="333"/>
        <v>12-01</v>
      </c>
      <c r="H4312" s="1">
        <f>_xlfn.IFNA(VLOOKUP(Aragon!E4312,'Kilter Holds'!$P$36:$AB$370,13,0),0)</f>
        <v>0</v>
      </c>
      <c r="J4312" s="2">
        <f t="shared" si="334"/>
        <v>0</v>
      </c>
      <c r="K4312" s="2">
        <f t="shared" si="335"/>
        <v>0</v>
      </c>
    </row>
    <row r="4313" spans="5:11">
      <c r="E4313" t="s">
        <v>1599</v>
      </c>
      <c r="F4313" t="s">
        <v>1600</v>
      </c>
      <c r="G4313" s="5" t="str">
        <f t="shared" si="333"/>
        <v>11-12</v>
      </c>
      <c r="H4313" s="1">
        <f>_xlfn.IFNA(VLOOKUP(Aragon!E4313,'Kilter Holds'!$P$36:$AB$370,5,0),0)</f>
        <v>0</v>
      </c>
      <c r="J4313" s="2">
        <f t="shared" ref="J4313:J4321" si="336">H4313*I4313</f>
        <v>0</v>
      </c>
      <c r="K4313" s="2">
        <f t="shared" ref="K4313:K4321" si="337">IF($V$11="Y",J4313*0.05,0)</f>
        <v>0</v>
      </c>
    </row>
    <row r="4314" spans="5:11">
      <c r="E4314" t="s">
        <v>1599</v>
      </c>
      <c r="F4314" t="s">
        <v>1600</v>
      </c>
      <c r="G4314" s="6" t="str">
        <f t="shared" si="333"/>
        <v>14-01</v>
      </c>
      <c r="H4314" s="1">
        <f>_xlfn.IFNA(VLOOKUP(Aragon!E4314,'Kilter Holds'!$P$36:$AB$370,6,0),0)</f>
        <v>0</v>
      </c>
      <c r="J4314" s="2">
        <f t="shared" si="336"/>
        <v>0</v>
      </c>
      <c r="K4314" s="2">
        <f t="shared" si="337"/>
        <v>0</v>
      </c>
    </row>
    <row r="4315" spans="5:11">
      <c r="E4315" t="s">
        <v>1599</v>
      </c>
      <c r="F4315" t="s">
        <v>1600</v>
      </c>
      <c r="G4315" s="7" t="str">
        <f t="shared" si="333"/>
        <v>15-12</v>
      </c>
      <c r="H4315" s="1">
        <f>_xlfn.IFNA(VLOOKUP(Aragon!E4315,'Kilter Holds'!$P$36:$AB$370,7,0),0)</f>
        <v>0</v>
      </c>
      <c r="J4315" s="2">
        <f t="shared" si="336"/>
        <v>0</v>
      </c>
      <c r="K4315" s="2">
        <f t="shared" si="337"/>
        <v>0</v>
      </c>
    </row>
    <row r="4316" spans="5:11">
      <c r="E4316" t="s">
        <v>1599</v>
      </c>
      <c r="F4316" t="s">
        <v>1600</v>
      </c>
      <c r="G4316" s="8" t="str">
        <f t="shared" si="333"/>
        <v>16-16</v>
      </c>
      <c r="H4316" s="1">
        <f>_xlfn.IFNA(VLOOKUP(Aragon!E4316,'Kilter Holds'!$P$36:$AB$370,8,0),0)</f>
        <v>0</v>
      </c>
      <c r="J4316" s="2">
        <f t="shared" si="336"/>
        <v>0</v>
      </c>
      <c r="K4316" s="2">
        <f t="shared" si="337"/>
        <v>0</v>
      </c>
    </row>
    <row r="4317" spans="5:11">
      <c r="E4317" t="s">
        <v>1599</v>
      </c>
      <c r="F4317" t="s">
        <v>1600</v>
      </c>
      <c r="G4317" s="9" t="str">
        <f t="shared" si="333"/>
        <v>13-01</v>
      </c>
      <c r="H4317" s="1">
        <f>_xlfn.IFNA(VLOOKUP(Aragon!E4317,'Kilter Holds'!$P$36:$AB$370,9,0),0)</f>
        <v>0</v>
      </c>
      <c r="J4317" s="2">
        <f t="shared" si="336"/>
        <v>0</v>
      </c>
      <c r="K4317" s="2">
        <f t="shared" si="337"/>
        <v>0</v>
      </c>
    </row>
    <row r="4318" spans="5:11">
      <c r="E4318" t="s">
        <v>1599</v>
      </c>
      <c r="F4318" t="s">
        <v>1600</v>
      </c>
      <c r="G4318" s="10" t="str">
        <f t="shared" si="333"/>
        <v>07-13</v>
      </c>
      <c r="H4318" s="1">
        <f>_xlfn.IFNA(VLOOKUP(Aragon!E4318,'Kilter Holds'!$P$36:$AB$370,10,0),0)</f>
        <v>0</v>
      </c>
      <c r="J4318" s="2">
        <f t="shared" si="336"/>
        <v>0</v>
      </c>
      <c r="K4318" s="2">
        <f t="shared" si="337"/>
        <v>0</v>
      </c>
    </row>
    <row r="4319" spans="5:11">
      <c r="E4319" t="s">
        <v>1599</v>
      </c>
      <c r="F4319" t="s">
        <v>1600</v>
      </c>
      <c r="G4319" s="11" t="str">
        <f t="shared" si="333"/>
        <v>11-25</v>
      </c>
      <c r="H4319" s="1">
        <f>_xlfn.IFNA(VLOOKUP(Aragon!E4319,'Kilter Holds'!$P$36:$AB$370,11,0),0)</f>
        <v>0</v>
      </c>
      <c r="J4319" s="2">
        <f t="shared" si="336"/>
        <v>0</v>
      </c>
      <c r="K4319" s="2">
        <f t="shared" si="337"/>
        <v>0</v>
      </c>
    </row>
    <row r="4320" spans="5:11">
      <c r="E4320" t="s">
        <v>1599</v>
      </c>
      <c r="F4320" t="s">
        <v>1600</v>
      </c>
      <c r="G4320" s="13" t="str">
        <f t="shared" si="333"/>
        <v>18-01</v>
      </c>
      <c r="H4320" s="1">
        <f>_xlfn.IFNA(VLOOKUP(Aragon!E4320,'Kilter Holds'!$P$36:$AB$370,12,0),0)</f>
        <v>0</v>
      </c>
      <c r="J4320" s="2">
        <f t="shared" si="336"/>
        <v>0</v>
      </c>
      <c r="K4320" s="2">
        <f t="shared" si="337"/>
        <v>0</v>
      </c>
    </row>
    <row r="4321" spans="5:11">
      <c r="E4321" t="s">
        <v>1599</v>
      </c>
      <c r="F4321" t="s">
        <v>1600</v>
      </c>
      <c r="G4321" s="12" t="str">
        <f t="shared" si="333"/>
        <v>12-01</v>
      </c>
      <c r="H4321" s="1">
        <f>_xlfn.IFNA(VLOOKUP(Aragon!E4321,'Kilter Holds'!$P$36:$AB$370,13,0),0)</f>
        <v>0</v>
      </c>
      <c r="J4321" s="2">
        <f t="shared" si="336"/>
        <v>0</v>
      </c>
      <c r="K4321" s="2">
        <f t="shared" si="337"/>
        <v>0</v>
      </c>
    </row>
    <row r="4322" spans="5:11">
      <c r="E4322" s="3" t="s">
        <v>1883</v>
      </c>
      <c r="F4322" s="3" t="s">
        <v>1884</v>
      </c>
      <c r="G4322" s="5" t="str">
        <f t="shared" si="333"/>
        <v>11-12</v>
      </c>
      <c r="H4322" s="1">
        <f>_xlfn.IFNA(VLOOKUP(Aragon!E4322,'Kilter Holds'!$P$36:$AB$370,5,0),0)</f>
        <v>0</v>
      </c>
      <c r="J4322" s="2">
        <f t="shared" ref="J4322:J4330" si="338">H4322*I4322</f>
        <v>0</v>
      </c>
      <c r="K4322" s="2">
        <f t="shared" ref="K4322:K4330" si="339">IF($V$11="Y",J4322*0.05,0)</f>
        <v>0</v>
      </c>
    </row>
    <row r="4323" spans="5:11">
      <c r="E4323" s="3" t="s">
        <v>1883</v>
      </c>
      <c r="F4323" s="3" t="s">
        <v>1884</v>
      </c>
      <c r="G4323" s="6" t="str">
        <f t="shared" si="333"/>
        <v>14-01</v>
      </c>
      <c r="H4323" s="1">
        <f>_xlfn.IFNA(VLOOKUP(Aragon!E4323,'Kilter Holds'!$P$36:$AB$370,6,0),0)</f>
        <v>0</v>
      </c>
      <c r="J4323" s="2">
        <f t="shared" si="338"/>
        <v>0</v>
      </c>
      <c r="K4323" s="2">
        <f t="shared" si="339"/>
        <v>0</v>
      </c>
    </row>
    <row r="4324" spans="5:11">
      <c r="E4324" s="3" t="s">
        <v>1883</v>
      </c>
      <c r="F4324" s="3" t="s">
        <v>1884</v>
      </c>
      <c r="G4324" s="7" t="str">
        <f t="shared" si="333"/>
        <v>15-12</v>
      </c>
      <c r="H4324" s="1">
        <f>_xlfn.IFNA(VLOOKUP(Aragon!E4324,'Kilter Holds'!$P$36:$AB$370,7,0),0)</f>
        <v>0</v>
      </c>
      <c r="J4324" s="2">
        <f t="shared" si="338"/>
        <v>0</v>
      </c>
      <c r="K4324" s="2">
        <f t="shared" si="339"/>
        <v>0</v>
      </c>
    </row>
    <row r="4325" spans="5:11">
      <c r="E4325" s="3" t="s">
        <v>1883</v>
      </c>
      <c r="F4325" s="3" t="s">
        <v>1884</v>
      </c>
      <c r="G4325" s="8" t="str">
        <f t="shared" si="333"/>
        <v>16-16</v>
      </c>
      <c r="H4325" s="1">
        <f>_xlfn.IFNA(VLOOKUP(Aragon!E4325,'Kilter Holds'!$P$36:$AB$370,8,0),0)</f>
        <v>0</v>
      </c>
      <c r="J4325" s="2">
        <f t="shared" si="338"/>
        <v>0</v>
      </c>
      <c r="K4325" s="2">
        <f t="shared" si="339"/>
        <v>0</v>
      </c>
    </row>
    <row r="4326" spans="5:11">
      <c r="E4326" s="3" t="s">
        <v>1883</v>
      </c>
      <c r="F4326" s="3" t="s">
        <v>1884</v>
      </c>
      <c r="G4326" s="9" t="str">
        <f t="shared" si="333"/>
        <v>13-01</v>
      </c>
      <c r="H4326" s="1">
        <f>_xlfn.IFNA(VLOOKUP(Aragon!E4326,'Kilter Holds'!$P$36:$AB$370,9,0),0)</f>
        <v>0</v>
      </c>
      <c r="J4326" s="2">
        <f t="shared" si="338"/>
        <v>0</v>
      </c>
      <c r="K4326" s="2">
        <f t="shared" si="339"/>
        <v>0</v>
      </c>
    </row>
    <row r="4327" spans="5:11">
      <c r="E4327" s="3" t="s">
        <v>1883</v>
      </c>
      <c r="F4327" s="3" t="s">
        <v>1884</v>
      </c>
      <c r="G4327" s="10" t="str">
        <f t="shared" si="333"/>
        <v>07-13</v>
      </c>
      <c r="H4327" s="1">
        <f>_xlfn.IFNA(VLOOKUP(Aragon!E4327,'Kilter Holds'!$P$36:$AB$370,10,0),0)</f>
        <v>0</v>
      </c>
      <c r="J4327" s="2">
        <f t="shared" si="338"/>
        <v>0</v>
      </c>
      <c r="K4327" s="2">
        <f t="shared" si="339"/>
        <v>0</v>
      </c>
    </row>
    <row r="4328" spans="5:11">
      <c r="E4328" s="3" t="s">
        <v>1883</v>
      </c>
      <c r="F4328" s="3" t="s">
        <v>1884</v>
      </c>
      <c r="G4328" s="11" t="str">
        <f t="shared" si="333"/>
        <v>11-25</v>
      </c>
      <c r="H4328" s="1">
        <f>_xlfn.IFNA(VLOOKUP(Aragon!E4328,'Kilter Holds'!$P$36:$AB$370,11,0),0)</f>
        <v>0</v>
      </c>
      <c r="J4328" s="2">
        <f t="shared" si="338"/>
        <v>0</v>
      </c>
      <c r="K4328" s="2">
        <f t="shared" si="339"/>
        <v>0</v>
      </c>
    </row>
    <row r="4329" spans="5:11">
      <c r="E4329" s="3" t="s">
        <v>1883</v>
      </c>
      <c r="F4329" s="3" t="s">
        <v>1884</v>
      </c>
      <c r="G4329" s="13" t="str">
        <f t="shared" si="333"/>
        <v>18-01</v>
      </c>
      <c r="H4329" s="1">
        <f>_xlfn.IFNA(VLOOKUP(Aragon!E4329,'Kilter Holds'!$P$36:$AB$370,12,0),0)</f>
        <v>0</v>
      </c>
      <c r="J4329" s="2">
        <f t="shared" si="338"/>
        <v>0</v>
      </c>
      <c r="K4329" s="2">
        <f t="shared" si="339"/>
        <v>0</v>
      </c>
    </row>
    <row r="4330" spans="5:11">
      <c r="E4330" s="3" t="s">
        <v>1883</v>
      </c>
      <c r="F4330" s="3" t="s">
        <v>1884</v>
      </c>
      <c r="G4330" s="12" t="str">
        <f t="shared" si="333"/>
        <v>12-01</v>
      </c>
      <c r="H4330" s="1">
        <f>_xlfn.IFNA(VLOOKUP(Aragon!E4330,'Kilter Holds'!$P$36:$AB$370,13,0),0)</f>
        <v>0</v>
      </c>
      <c r="J4330" s="2">
        <f t="shared" si="338"/>
        <v>0</v>
      </c>
      <c r="K4330" s="2">
        <f t="shared" si="339"/>
        <v>0</v>
      </c>
    </row>
    <row r="4331" spans="5:11">
      <c r="E4331" s="3" t="s">
        <v>1885</v>
      </c>
      <c r="F4331" s="3" t="s">
        <v>1886</v>
      </c>
      <c r="G4331" s="5" t="str">
        <f t="shared" si="333"/>
        <v>11-12</v>
      </c>
      <c r="H4331" s="1">
        <f>_xlfn.IFNA(VLOOKUP(Aragon!E4331,'Kilter Holds'!$P$36:$AB$370,5,0),0)</f>
        <v>0</v>
      </c>
      <c r="J4331" s="2">
        <f t="shared" ref="J4331:J4366" si="340">H4331*I4331</f>
        <v>0</v>
      </c>
      <c r="K4331" s="2">
        <f t="shared" ref="K4331:K4366" si="341">IF($V$11="Y",J4331*0.05,0)</f>
        <v>0</v>
      </c>
    </row>
    <row r="4332" spans="5:11">
      <c r="E4332" s="3" t="s">
        <v>1885</v>
      </c>
      <c r="F4332" s="3" t="s">
        <v>1886</v>
      </c>
      <c r="G4332" s="6" t="str">
        <f t="shared" si="333"/>
        <v>14-01</v>
      </c>
      <c r="H4332" s="1">
        <f>_xlfn.IFNA(VLOOKUP(Aragon!E4332,'Kilter Holds'!$P$36:$AB$370,6,0),0)</f>
        <v>0</v>
      </c>
      <c r="J4332" s="2">
        <f t="shared" si="340"/>
        <v>0</v>
      </c>
      <c r="K4332" s="2">
        <f t="shared" si="341"/>
        <v>0</v>
      </c>
    </row>
    <row r="4333" spans="5:11">
      <c r="E4333" s="3" t="s">
        <v>1885</v>
      </c>
      <c r="F4333" s="3" t="s">
        <v>1886</v>
      </c>
      <c r="G4333" s="7" t="str">
        <f t="shared" si="333"/>
        <v>15-12</v>
      </c>
      <c r="H4333" s="1">
        <f>_xlfn.IFNA(VLOOKUP(Aragon!E4333,'Kilter Holds'!$P$36:$AB$370,7,0),0)</f>
        <v>0</v>
      </c>
      <c r="J4333" s="2">
        <f t="shared" si="340"/>
        <v>0</v>
      </c>
      <c r="K4333" s="2">
        <f t="shared" si="341"/>
        <v>0</v>
      </c>
    </row>
    <row r="4334" spans="5:11">
      <c r="E4334" s="3" t="s">
        <v>1885</v>
      </c>
      <c r="F4334" s="3" t="s">
        <v>1886</v>
      </c>
      <c r="G4334" s="8" t="str">
        <f t="shared" si="333"/>
        <v>16-16</v>
      </c>
      <c r="H4334" s="1">
        <f>_xlfn.IFNA(VLOOKUP(Aragon!E4334,'Kilter Holds'!$P$36:$AB$370,8,0),0)</f>
        <v>0</v>
      </c>
      <c r="J4334" s="2">
        <f t="shared" si="340"/>
        <v>0</v>
      </c>
      <c r="K4334" s="2">
        <f t="shared" si="341"/>
        <v>0</v>
      </c>
    </row>
    <row r="4335" spans="5:11">
      <c r="E4335" s="3" t="s">
        <v>1885</v>
      </c>
      <c r="F4335" s="3" t="s">
        <v>1886</v>
      </c>
      <c r="G4335" s="9" t="str">
        <f t="shared" si="333"/>
        <v>13-01</v>
      </c>
      <c r="H4335" s="1">
        <f>_xlfn.IFNA(VLOOKUP(Aragon!E4335,'Kilter Holds'!$P$36:$AB$370,9,0),0)</f>
        <v>0</v>
      </c>
      <c r="J4335" s="2">
        <f t="shared" si="340"/>
        <v>0</v>
      </c>
      <c r="K4335" s="2">
        <f t="shared" si="341"/>
        <v>0</v>
      </c>
    </row>
    <row r="4336" spans="5:11">
      <c r="E4336" s="3" t="s">
        <v>1885</v>
      </c>
      <c r="F4336" s="3" t="s">
        <v>1886</v>
      </c>
      <c r="G4336" s="10" t="str">
        <f t="shared" si="333"/>
        <v>07-13</v>
      </c>
      <c r="H4336" s="1">
        <f>_xlfn.IFNA(VLOOKUP(Aragon!E4336,'Kilter Holds'!$P$36:$AB$370,10,0),0)</f>
        <v>0</v>
      </c>
      <c r="J4336" s="2">
        <f t="shared" si="340"/>
        <v>0</v>
      </c>
      <c r="K4336" s="2">
        <f t="shared" si="341"/>
        <v>0</v>
      </c>
    </row>
    <row r="4337" spans="5:11">
      <c r="E4337" s="3" t="s">
        <v>1885</v>
      </c>
      <c r="F4337" s="3" t="s">
        <v>1886</v>
      </c>
      <c r="G4337" s="11" t="str">
        <f t="shared" si="333"/>
        <v>11-25</v>
      </c>
      <c r="H4337" s="1">
        <f>_xlfn.IFNA(VLOOKUP(Aragon!E4337,'Kilter Holds'!$P$36:$AB$370,11,0),0)</f>
        <v>0</v>
      </c>
      <c r="J4337" s="2">
        <f t="shared" si="340"/>
        <v>0</v>
      </c>
      <c r="K4337" s="2">
        <f t="shared" si="341"/>
        <v>0</v>
      </c>
    </row>
    <row r="4338" spans="5:11">
      <c r="E4338" s="3" t="s">
        <v>1885</v>
      </c>
      <c r="F4338" s="3" t="s">
        <v>1886</v>
      </c>
      <c r="G4338" s="13" t="str">
        <f t="shared" si="333"/>
        <v>18-01</v>
      </c>
      <c r="H4338" s="1">
        <f>_xlfn.IFNA(VLOOKUP(Aragon!E4338,'Kilter Holds'!$P$36:$AB$370,12,0),0)</f>
        <v>0</v>
      </c>
      <c r="J4338" s="2">
        <f t="shared" si="340"/>
        <v>0</v>
      </c>
      <c r="K4338" s="2">
        <f t="shared" si="341"/>
        <v>0</v>
      </c>
    </row>
    <row r="4339" spans="5:11">
      <c r="E4339" s="3" t="s">
        <v>1885</v>
      </c>
      <c r="F4339" s="3" t="s">
        <v>1886</v>
      </c>
      <c r="G4339" s="12" t="str">
        <f t="shared" si="333"/>
        <v>12-01</v>
      </c>
      <c r="H4339" s="1">
        <f>_xlfn.IFNA(VLOOKUP(Aragon!E4339,'Kilter Holds'!$P$36:$AB$370,13,0),0)</f>
        <v>0</v>
      </c>
      <c r="J4339" s="2">
        <f t="shared" si="340"/>
        <v>0</v>
      </c>
      <c r="K4339" s="2">
        <f t="shared" si="341"/>
        <v>0</v>
      </c>
    </row>
    <row r="4340" spans="5:11">
      <c r="E4340" s="3" t="s">
        <v>1887</v>
      </c>
      <c r="F4340" s="3" t="s">
        <v>1888</v>
      </c>
      <c r="G4340" s="5" t="str">
        <f t="shared" si="333"/>
        <v>11-12</v>
      </c>
      <c r="H4340" s="1">
        <f>_xlfn.IFNA(VLOOKUP(Aragon!E4340,'Kilter Holds'!$P$36:$AB$370,5,0),0)</f>
        <v>0</v>
      </c>
      <c r="J4340" s="2">
        <f t="shared" si="340"/>
        <v>0</v>
      </c>
      <c r="K4340" s="2">
        <f t="shared" si="341"/>
        <v>0</v>
      </c>
    </row>
    <row r="4341" spans="5:11">
      <c r="E4341" s="3" t="s">
        <v>1887</v>
      </c>
      <c r="F4341" s="3" t="s">
        <v>1888</v>
      </c>
      <c r="G4341" s="6" t="str">
        <f t="shared" si="333"/>
        <v>14-01</v>
      </c>
      <c r="H4341" s="1">
        <f>_xlfn.IFNA(VLOOKUP(Aragon!E4341,'Kilter Holds'!$P$36:$AB$370,6,0),0)</f>
        <v>0</v>
      </c>
      <c r="J4341" s="2">
        <f t="shared" si="340"/>
        <v>0</v>
      </c>
      <c r="K4341" s="2">
        <f t="shared" si="341"/>
        <v>0</v>
      </c>
    </row>
    <row r="4342" spans="5:11">
      <c r="E4342" s="3" t="s">
        <v>1887</v>
      </c>
      <c r="F4342" s="3" t="s">
        <v>1888</v>
      </c>
      <c r="G4342" s="7" t="str">
        <f t="shared" si="333"/>
        <v>15-12</v>
      </c>
      <c r="H4342" s="1">
        <f>_xlfn.IFNA(VLOOKUP(Aragon!E4342,'Kilter Holds'!$P$36:$AB$370,7,0),0)</f>
        <v>0</v>
      </c>
      <c r="J4342" s="2">
        <f t="shared" si="340"/>
        <v>0</v>
      </c>
      <c r="K4342" s="2">
        <f t="shared" si="341"/>
        <v>0</v>
      </c>
    </row>
    <row r="4343" spans="5:11">
      <c r="E4343" s="3" t="s">
        <v>1887</v>
      </c>
      <c r="F4343" s="3" t="s">
        <v>1888</v>
      </c>
      <c r="G4343" s="8" t="str">
        <f t="shared" si="333"/>
        <v>16-16</v>
      </c>
      <c r="H4343" s="1">
        <f>_xlfn.IFNA(VLOOKUP(Aragon!E4343,'Kilter Holds'!$P$36:$AB$370,8,0),0)</f>
        <v>0</v>
      </c>
      <c r="J4343" s="2">
        <f t="shared" si="340"/>
        <v>0</v>
      </c>
      <c r="K4343" s="2">
        <f t="shared" si="341"/>
        <v>0</v>
      </c>
    </row>
    <row r="4344" spans="5:11">
      <c r="E4344" s="3" t="s">
        <v>1887</v>
      </c>
      <c r="F4344" s="3" t="s">
        <v>1888</v>
      </c>
      <c r="G4344" s="9" t="str">
        <f t="shared" si="333"/>
        <v>13-01</v>
      </c>
      <c r="H4344" s="1">
        <f>_xlfn.IFNA(VLOOKUP(Aragon!E4344,'Kilter Holds'!$P$36:$AB$370,9,0),0)</f>
        <v>0</v>
      </c>
      <c r="J4344" s="2">
        <f t="shared" si="340"/>
        <v>0</v>
      </c>
      <c r="K4344" s="2">
        <f t="shared" si="341"/>
        <v>0</v>
      </c>
    </row>
    <row r="4345" spans="5:11">
      <c r="E4345" s="3" t="s">
        <v>1887</v>
      </c>
      <c r="F4345" s="3" t="s">
        <v>1888</v>
      </c>
      <c r="G4345" s="10" t="str">
        <f t="shared" si="333"/>
        <v>07-13</v>
      </c>
      <c r="H4345" s="1">
        <f>_xlfn.IFNA(VLOOKUP(Aragon!E4345,'Kilter Holds'!$P$36:$AB$370,10,0),0)</f>
        <v>0</v>
      </c>
      <c r="J4345" s="2">
        <f t="shared" si="340"/>
        <v>0</v>
      </c>
      <c r="K4345" s="2">
        <f t="shared" si="341"/>
        <v>0</v>
      </c>
    </row>
    <row r="4346" spans="5:11">
      <c r="E4346" s="3" t="s">
        <v>1887</v>
      </c>
      <c r="F4346" s="3" t="s">
        <v>1888</v>
      </c>
      <c r="G4346" s="11" t="str">
        <f t="shared" si="333"/>
        <v>11-25</v>
      </c>
      <c r="H4346" s="1">
        <f>_xlfn.IFNA(VLOOKUP(Aragon!E4346,'Kilter Holds'!$P$36:$AB$370,11,0),0)</f>
        <v>0</v>
      </c>
      <c r="J4346" s="2">
        <f t="shared" si="340"/>
        <v>0</v>
      </c>
      <c r="K4346" s="2">
        <f t="shared" si="341"/>
        <v>0</v>
      </c>
    </row>
    <row r="4347" spans="5:11">
      <c r="E4347" s="3" t="s">
        <v>1887</v>
      </c>
      <c r="F4347" s="3" t="s">
        <v>1888</v>
      </c>
      <c r="G4347" s="13" t="str">
        <f t="shared" si="333"/>
        <v>18-01</v>
      </c>
      <c r="H4347" s="1">
        <f>_xlfn.IFNA(VLOOKUP(Aragon!E4347,'Kilter Holds'!$P$36:$AB$370,12,0),0)</f>
        <v>0</v>
      </c>
      <c r="J4347" s="2">
        <f t="shared" si="340"/>
        <v>0</v>
      </c>
      <c r="K4347" s="2">
        <f t="shared" si="341"/>
        <v>0</v>
      </c>
    </row>
    <row r="4348" spans="5:11">
      <c r="E4348" s="3" t="s">
        <v>1887</v>
      </c>
      <c r="F4348" s="3" t="s">
        <v>1888</v>
      </c>
      <c r="G4348" s="12" t="str">
        <f t="shared" si="333"/>
        <v>12-01</v>
      </c>
      <c r="H4348" s="1">
        <f>_xlfn.IFNA(VLOOKUP(Aragon!E4348,'Kilter Holds'!$P$36:$AB$370,13,0),0)</f>
        <v>0</v>
      </c>
      <c r="J4348" s="2">
        <f t="shared" si="340"/>
        <v>0</v>
      </c>
      <c r="K4348" s="2">
        <f t="shared" si="341"/>
        <v>0</v>
      </c>
    </row>
    <row r="4349" spans="5:11">
      <c r="E4349" s="3" t="s">
        <v>2003</v>
      </c>
      <c r="F4349" s="3" t="s">
        <v>2006</v>
      </c>
      <c r="G4349" s="5" t="str">
        <f t="shared" si="333"/>
        <v>11-12</v>
      </c>
      <c r="H4349" s="1">
        <f>_xlfn.IFNA(VLOOKUP(Aragon!E4349,'Kilter Holds'!$P$36:$AB$370,5,0),0)</f>
        <v>0</v>
      </c>
      <c r="J4349" s="2">
        <f t="shared" ref="J4349:J4357" si="342">H4349*I4349</f>
        <v>0</v>
      </c>
      <c r="K4349" s="2">
        <f t="shared" ref="K4349:K4357" si="343">IF($V$11="Y",J4349*0.05,0)</f>
        <v>0</v>
      </c>
    </row>
    <row r="4350" spans="5:11">
      <c r="E4350" s="3" t="s">
        <v>2003</v>
      </c>
      <c r="F4350" s="3" t="s">
        <v>2006</v>
      </c>
      <c r="G4350" s="6" t="str">
        <f t="shared" si="333"/>
        <v>14-01</v>
      </c>
      <c r="H4350" s="1">
        <f>_xlfn.IFNA(VLOOKUP(Aragon!E4350,'Kilter Holds'!$P$36:$AB$370,6,0),0)</f>
        <v>0</v>
      </c>
      <c r="J4350" s="2">
        <f t="shared" si="342"/>
        <v>0</v>
      </c>
      <c r="K4350" s="2">
        <f t="shared" si="343"/>
        <v>0</v>
      </c>
    </row>
    <row r="4351" spans="5:11">
      <c r="E4351" s="3" t="s">
        <v>2003</v>
      </c>
      <c r="F4351" s="3" t="s">
        <v>2006</v>
      </c>
      <c r="G4351" s="7" t="str">
        <f t="shared" si="333"/>
        <v>15-12</v>
      </c>
      <c r="H4351" s="1">
        <f>_xlfn.IFNA(VLOOKUP(Aragon!E4351,'Kilter Holds'!$P$36:$AB$370,7,0),0)</f>
        <v>0</v>
      </c>
      <c r="J4351" s="2">
        <f t="shared" si="342"/>
        <v>0</v>
      </c>
      <c r="K4351" s="2">
        <f t="shared" si="343"/>
        <v>0</v>
      </c>
    </row>
    <row r="4352" spans="5:11">
      <c r="E4352" s="3" t="s">
        <v>2003</v>
      </c>
      <c r="F4352" s="3" t="s">
        <v>2006</v>
      </c>
      <c r="G4352" s="8" t="str">
        <f t="shared" si="333"/>
        <v>16-16</v>
      </c>
      <c r="H4352" s="1">
        <f>_xlfn.IFNA(VLOOKUP(Aragon!E4352,'Kilter Holds'!$P$36:$AB$370,8,0),0)</f>
        <v>0</v>
      </c>
      <c r="J4352" s="2">
        <f t="shared" si="342"/>
        <v>0</v>
      </c>
      <c r="K4352" s="2">
        <f t="shared" si="343"/>
        <v>0</v>
      </c>
    </row>
    <row r="4353" spans="5:11">
      <c r="E4353" s="3" t="s">
        <v>2003</v>
      </c>
      <c r="F4353" s="3" t="s">
        <v>2006</v>
      </c>
      <c r="G4353" s="9" t="str">
        <f t="shared" si="333"/>
        <v>13-01</v>
      </c>
      <c r="H4353" s="1">
        <f>_xlfn.IFNA(VLOOKUP(Aragon!E4353,'Kilter Holds'!$P$36:$AB$370,9,0),0)</f>
        <v>0</v>
      </c>
      <c r="J4353" s="2">
        <f t="shared" si="342"/>
        <v>0</v>
      </c>
      <c r="K4353" s="2">
        <f t="shared" si="343"/>
        <v>0</v>
      </c>
    </row>
    <row r="4354" spans="5:11">
      <c r="E4354" s="3" t="s">
        <v>2003</v>
      </c>
      <c r="F4354" s="3" t="s">
        <v>2006</v>
      </c>
      <c r="G4354" s="10" t="str">
        <f t="shared" si="333"/>
        <v>07-13</v>
      </c>
      <c r="H4354" s="1">
        <f>_xlfn.IFNA(VLOOKUP(Aragon!E4354,'Kilter Holds'!$P$36:$AB$370,10,0),0)</f>
        <v>0</v>
      </c>
      <c r="J4354" s="2">
        <f t="shared" si="342"/>
        <v>0</v>
      </c>
      <c r="K4354" s="2">
        <f t="shared" si="343"/>
        <v>0</v>
      </c>
    </row>
    <row r="4355" spans="5:11">
      <c r="E4355" s="3" t="s">
        <v>2003</v>
      </c>
      <c r="F4355" s="3" t="s">
        <v>2006</v>
      </c>
      <c r="G4355" s="11" t="str">
        <f t="shared" si="333"/>
        <v>11-25</v>
      </c>
      <c r="H4355" s="1">
        <f>_xlfn.IFNA(VLOOKUP(Aragon!E4355,'Kilter Holds'!$P$36:$AB$370,11,0),0)</f>
        <v>0</v>
      </c>
      <c r="J4355" s="2">
        <f t="shared" si="342"/>
        <v>0</v>
      </c>
      <c r="K4355" s="2">
        <f t="shared" si="343"/>
        <v>0</v>
      </c>
    </row>
    <row r="4356" spans="5:11">
      <c r="E4356" s="3" t="s">
        <v>2003</v>
      </c>
      <c r="F4356" s="3" t="s">
        <v>2006</v>
      </c>
      <c r="G4356" s="13" t="str">
        <f t="shared" si="333"/>
        <v>18-01</v>
      </c>
      <c r="H4356" s="1">
        <f>_xlfn.IFNA(VLOOKUP(Aragon!E4356,'Kilter Holds'!$P$36:$AB$370,12,0),0)</f>
        <v>0</v>
      </c>
      <c r="J4356" s="2">
        <f t="shared" si="342"/>
        <v>0</v>
      </c>
      <c r="K4356" s="2">
        <f t="shared" si="343"/>
        <v>0</v>
      </c>
    </row>
    <row r="4357" spans="5:11">
      <c r="E4357" s="3" t="s">
        <v>2003</v>
      </c>
      <c r="F4357" s="3" t="s">
        <v>2006</v>
      </c>
      <c r="G4357" s="12" t="str">
        <f t="shared" si="333"/>
        <v>12-01</v>
      </c>
      <c r="H4357" s="1">
        <f>_xlfn.IFNA(VLOOKUP(Aragon!E4357,'Kilter Holds'!$P$36:$AB$370,13,0),0)</f>
        <v>0</v>
      </c>
      <c r="J4357" s="2">
        <f t="shared" si="342"/>
        <v>0</v>
      </c>
      <c r="K4357" s="2">
        <f t="shared" si="343"/>
        <v>0</v>
      </c>
    </row>
    <row r="4358" spans="5:11">
      <c r="E4358" s="3" t="s">
        <v>1889</v>
      </c>
      <c r="F4358" s="3" t="s">
        <v>1890</v>
      </c>
      <c r="G4358" s="5" t="str">
        <f t="shared" ref="G4358:G4402" si="344">G4268</f>
        <v>11-12</v>
      </c>
      <c r="H4358" s="1">
        <f>_xlfn.IFNA(VLOOKUP(Aragon!E4358,'Kilter Holds'!$P$36:$AB$370,5,0),0)</f>
        <v>0</v>
      </c>
      <c r="J4358" s="2">
        <f t="shared" si="340"/>
        <v>0</v>
      </c>
      <c r="K4358" s="2">
        <f t="shared" si="341"/>
        <v>0</v>
      </c>
    </row>
    <row r="4359" spans="5:11">
      <c r="E4359" s="3" t="s">
        <v>1889</v>
      </c>
      <c r="F4359" s="3" t="s">
        <v>1890</v>
      </c>
      <c r="G4359" s="6" t="str">
        <f t="shared" si="344"/>
        <v>14-01</v>
      </c>
      <c r="H4359" s="1">
        <f>_xlfn.IFNA(VLOOKUP(Aragon!E4359,'Kilter Holds'!$P$36:$AB$370,6,0),0)</f>
        <v>0</v>
      </c>
      <c r="J4359" s="2">
        <f t="shared" si="340"/>
        <v>0</v>
      </c>
      <c r="K4359" s="2">
        <f t="shared" si="341"/>
        <v>0</v>
      </c>
    </row>
    <row r="4360" spans="5:11">
      <c r="E4360" s="3" t="s">
        <v>1889</v>
      </c>
      <c r="F4360" s="3" t="s">
        <v>1890</v>
      </c>
      <c r="G4360" s="7" t="str">
        <f t="shared" si="344"/>
        <v>15-12</v>
      </c>
      <c r="H4360" s="1">
        <f>_xlfn.IFNA(VLOOKUP(Aragon!E4360,'Kilter Holds'!$P$36:$AB$370,7,0),0)</f>
        <v>0</v>
      </c>
      <c r="J4360" s="2">
        <f t="shared" si="340"/>
        <v>0</v>
      </c>
      <c r="K4360" s="2">
        <f t="shared" si="341"/>
        <v>0</v>
      </c>
    </row>
    <row r="4361" spans="5:11">
      <c r="E4361" s="3" t="s">
        <v>1889</v>
      </c>
      <c r="F4361" s="3" t="s">
        <v>1890</v>
      </c>
      <c r="G4361" s="8" t="str">
        <f t="shared" si="344"/>
        <v>16-16</v>
      </c>
      <c r="H4361" s="1">
        <f>_xlfn.IFNA(VLOOKUP(Aragon!E4361,'Kilter Holds'!$P$36:$AB$370,8,0),0)</f>
        <v>0</v>
      </c>
      <c r="J4361" s="2">
        <f t="shared" si="340"/>
        <v>0</v>
      </c>
      <c r="K4361" s="2">
        <f t="shared" si="341"/>
        <v>0</v>
      </c>
    </row>
    <row r="4362" spans="5:11">
      <c r="E4362" s="3" t="s">
        <v>1889</v>
      </c>
      <c r="F4362" s="3" t="s">
        <v>1890</v>
      </c>
      <c r="G4362" s="9" t="str">
        <f t="shared" si="344"/>
        <v>13-01</v>
      </c>
      <c r="H4362" s="1">
        <f>_xlfn.IFNA(VLOOKUP(Aragon!E4362,'Kilter Holds'!$P$36:$AB$370,9,0),0)</f>
        <v>0</v>
      </c>
      <c r="J4362" s="2">
        <f t="shared" si="340"/>
        <v>0</v>
      </c>
      <c r="K4362" s="2">
        <f t="shared" si="341"/>
        <v>0</v>
      </c>
    </row>
    <row r="4363" spans="5:11">
      <c r="E4363" s="3" t="s">
        <v>1889</v>
      </c>
      <c r="F4363" s="3" t="s">
        <v>1890</v>
      </c>
      <c r="G4363" s="10" t="str">
        <f t="shared" si="344"/>
        <v>07-13</v>
      </c>
      <c r="H4363" s="1">
        <f>_xlfn.IFNA(VLOOKUP(Aragon!E4363,'Kilter Holds'!$P$36:$AB$370,10,0),0)</f>
        <v>0</v>
      </c>
      <c r="J4363" s="2">
        <f t="shared" si="340"/>
        <v>0</v>
      </c>
      <c r="K4363" s="2">
        <f t="shared" si="341"/>
        <v>0</v>
      </c>
    </row>
    <row r="4364" spans="5:11">
      <c r="E4364" s="3" t="s">
        <v>1889</v>
      </c>
      <c r="F4364" s="3" t="s">
        <v>1890</v>
      </c>
      <c r="G4364" s="11" t="str">
        <f t="shared" si="344"/>
        <v>11-25</v>
      </c>
      <c r="H4364" s="1">
        <f>_xlfn.IFNA(VLOOKUP(Aragon!E4364,'Kilter Holds'!$P$36:$AB$370,11,0),0)</f>
        <v>0</v>
      </c>
      <c r="J4364" s="2">
        <f t="shared" si="340"/>
        <v>0</v>
      </c>
      <c r="K4364" s="2">
        <f t="shared" si="341"/>
        <v>0</v>
      </c>
    </row>
    <row r="4365" spans="5:11">
      <c r="E4365" s="3" t="s">
        <v>1889</v>
      </c>
      <c r="F4365" s="3" t="s">
        <v>1890</v>
      </c>
      <c r="G4365" s="13" t="str">
        <f t="shared" si="344"/>
        <v>18-01</v>
      </c>
      <c r="H4365" s="1">
        <f>_xlfn.IFNA(VLOOKUP(Aragon!E4365,'Kilter Holds'!$P$36:$AB$370,12,0),0)</f>
        <v>0</v>
      </c>
      <c r="J4365" s="2">
        <f t="shared" si="340"/>
        <v>0</v>
      </c>
      <c r="K4365" s="2">
        <f t="shared" si="341"/>
        <v>0</v>
      </c>
    </row>
    <row r="4366" spans="5:11">
      <c r="E4366" s="3" t="s">
        <v>1889</v>
      </c>
      <c r="F4366" s="3" t="s">
        <v>1890</v>
      </c>
      <c r="G4366" s="12" t="str">
        <f t="shared" si="344"/>
        <v>12-01</v>
      </c>
      <c r="H4366" s="1">
        <f>_xlfn.IFNA(VLOOKUP(Aragon!E4366,'Kilter Holds'!$P$36:$AB$370,13,0),0)</f>
        <v>0</v>
      </c>
      <c r="J4366" s="2">
        <f t="shared" si="340"/>
        <v>0</v>
      </c>
      <c r="K4366" s="2">
        <f t="shared" si="341"/>
        <v>0</v>
      </c>
    </row>
    <row r="4367" spans="5:11">
      <c r="E4367" s="3" t="s">
        <v>2005</v>
      </c>
      <c r="F4367" s="3" t="s">
        <v>2007</v>
      </c>
      <c r="G4367" s="5" t="str">
        <f t="shared" si="344"/>
        <v>11-12</v>
      </c>
      <c r="H4367" s="1">
        <f>_xlfn.IFNA(VLOOKUP(Aragon!E4367,'Kilter Holds'!$P$36:$AB$370,5,0),0)</f>
        <v>0</v>
      </c>
      <c r="J4367" s="2">
        <f t="shared" ref="J4367:J4375" si="345">H4367*I4367</f>
        <v>0</v>
      </c>
      <c r="K4367" s="2">
        <f t="shared" ref="K4367:K4375" si="346">IF($V$11="Y",J4367*0.05,0)</f>
        <v>0</v>
      </c>
    </row>
    <row r="4368" spans="5:11">
      <c r="E4368" s="3" t="s">
        <v>2005</v>
      </c>
      <c r="F4368" s="3" t="s">
        <v>2007</v>
      </c>
      <c r="G4368" s="6" t="str">
        <f t="shared" si="344"/>
        <v>14-01</v>
      </c>
      <c r="H4368" s="1">
        <f>_xlfn.IFNA(VLOOKUP(Aragon!E4368,'Kilter Holds'!$P$36:$AB$370,6,0),0)</f>
        <v>0</v>
      </c>
      <c r="J4368" s="2">
        <f t="shared" si="345"/>
        <v>0</v>
      </c>
      <c r="K4368" s="2">
        <f t="shared" si="346"/>
        <v>0</v>
      </c>
    </row>
    <row r="4369" spans="5:11">
      <c r="E4369" s="3" t="s">
        <v>2005</v>
      </c>
      <c r="F4369" s="3" t="s">
        <v>2007</v>
      </c>
      <c r="G4369" s="7" t="str">
        <f t="shared" si="344"/>
        <v>15-12</v>
      </c>
      <c r="H4369" s="1">
        <f>_xlfn.IFNA(VLOOKUP(Aragon!E4369,'Kilter Holds'!$P$36:$AB$370,7,0),0)</f>
        <v>0</v>
      </c>
      <c r="J4369" s="2">
        <f t="shared" si="345"/>
        <v>0</v>
      </c>
      <c r="K4369" s="2">
        <f t="shared" si="346"/>
        <v>0</v>
      </c>
    </row>
    <row r="4370" spans="5:11">
      <c r="E4370" s="3" t="s">
        <v>2005</v>
      </c>
      <c r="F4370" s="3" t="s">
        <v>2007</v>
      </c>
      <c r="G4370" s="8" t="str">
        <f t="shared" si="344"/>
        <v>16-16</v>
      </c>
      <c r="H4370" s="1">
        <f>_xlfn.IFNA(VLOOKUP(Aragon!E4370,'Kilter Holds'!$P$36:$AB$370,8,0),0)</f>
        <v>0</v>
      </c>
      <c r="J4370" s="2">
        <f t="shared" si="345"/>
        <v>0</v>
      </c>
      <c r="K4370" s="2">
        <f t="shared" si="346"/>
        <v>0</v>
      </c>
    </row>
    <row r="4371" spans="5:11">
      <c r="E4371" s="3" t="s">
        <v>2005</v>
      </c>
      <c r="F4371" s="3" t="s">
        <v>2007</v>
      </c>
      <c r="G4371" s="9" t="str">
        <f t="shared" si="344"/>
        <v>13-01</v>
      </c>
      <c r="H4371" s="1">
        <f>_xlfn.IFNA(VLOOKUP(Aragon!E4371,'Kilter Holds'!$P$36:$AB$370,9,0),0)</f>
        <v>0</v>
      </c>
      <c r="J4371" s="2">
        <f t="shared" si="345"/>
        <v>0</v>
      </c>
      <c r="K4371" s="2">
        <f t="shared" si="346"/>
        <v>0</v>
      </c>
    </row>
    <row r="4372" spans="5:11">
      <c r="E4372" s="3" t="s">
        <v>2005</v>
      </c>
      <c r="F4372" s="3" t="s">
        <v>2007</v>
      </c>
      <c r="G4372" s="10" t="str">
        <f t="shared" si="344"/>
        <v>07-13</v>
      </c>
      <c r="H4372" s="1">
        <f>_xlfn.IFNA(VLOOKUP(Aragon!E4372,'Kilter Holds'!$P$36:$AB$370,10,0),0)</f>
        <v>0</v>
      </c>
      <c r="J4372" s="2">
        <f t="shared" si="345"/>
        <v>0</v>
      </c>
      <c r="K4372" s="2">
        <f t="shared" si="346"/>
        <v>0</v>
      </c>
    </row>
    <row r="4373" spans="5:11">
      <c r="E4373" s="3" t="s">
        <v>2005</v>
      </c>
      <c r="F4373" s="3" t="s">
        <v>2007</v>
      </c>
      <c r="G4373" s="11" t="str">
        <f t="shared" si="344"/>
        <v>11-25</v>
      </c>
      <c r="H4373" s="1">
        <f>_xlfn.IFNA(VLOOKUP(Aragon!E4373,'Kilter Holds'!$P$36:$AB$370,11,0),0)</f>
        <v>0</v>
      </c>
      <c r="J4373" s="2">
        <f t="shared" si="345"/>
        <v>0</v>
      </c>
      <c r="K4373" s="2">
        <f t="shared" si="346"/>
        <v>0</v>
      </c>
    </row>
    <row r="4374" spans="5:11">
      <c r="E4374" s="3" t="s">
        <v>2005</v>
      </c>
      <c r="F4374" s="3" t="s">
        <v>2007</v>
      </c>
      <c r="G4374" s="13" t="str">
        <f t="shared" si="344"/>
        <v>18-01</v>
      </c>
      <c r="H4374" s="1">
        <f>_xlfn.IFNA(VLOOKUP(Aragon!E4374,'Kilter Holds'!$P$36:$AB$370,12,0),0)</f>
        <v>0</v>
      </c>
      <c r="J4374" s="2">
        <f t="shared" si="345"/>
        <v>0</v>
      </c>
      <c r="K4374" s="2">
        <f t="shared" si="346"/>
        <v>0</v>
      </c>
    </row>
    <row r="4375" spans="5:11">
      <c r="E4375" s="3" t="s">
        <v>2005</v>
      </c>
      <c r="F4375" s="3" t="s">
        <v>2007</v>
      </c>
      <c r="G4375" s="12" t="str">
        <f t="shared" si="344"/>
        <v>12-01</v>
      </c>
      <c r="H4375" s="1">
        <f>_xlfn.IFNA(VLOOKUP(Aragon!E4375,'Kilter Holds'!$P$36:$AB$370,13,0),0)</f>
        <v>0</v>
      </c>
      <c r="J4375" s="2">
        <f t="shared" si="345"/>
        <v>0</v>
      </c>
      <c r="K4375" s="2">
        <f t="shared" si="346"/>
        <v>0</v>
      </c>
    </row>
    <row r="4376" spans="5:11">
      <c r="E4376" s="3" t="s">
        <v>2247</v>
      </c>
      <c r="F4376" s="3" t="s">
        <v>2248</v>
      </c>
      <c r="G4376" s="5" t="str">
        <f t="shared" si="344"/>
        <v>11-12</v>
      </c>
      <c r="H4376" s="1">
        <f>_xlfn.IFNA(VLOOKUP(Aragon!E4376,'Kilter Holds'!$P$36:$AB$370,5,0),0)</f>
        <v>0</v>
      </c>
      <c r="J4376" s="2">
        <f t="shared" ref="J4376:J4393" si="347">H4376*I4376</f>
        <v>0</v>
      </c>
      <c r="K4376" s="2">
        <f t="shared" ref="K4376:K4393" si="348">IF($V$11="Y",J4376*0.05,0)</f>
        <v>0</v>
      </c>
    </row>
    <row r="4377" spans="5:11">
      <c r="E4377" s="3" t="s">
        <v>2247</v>
      </c>
      <c r="F4377" s="3" t="s">
        <v>2248</v>
      </c>
      <c r="G4377" s="6" t="str">
        <f t="shared" si="344"/>
        <v>14-01</v>
      </c>
      <c r="H4377" s="1">
        <f>_xlfn.IFNA(VLOOKUP(Aragon!E4377,'Kilter Holds'!$P$36:$AB$370,6,0),0)</f>
        <v>0</v>
      </c>
      <c r="J4377" s="2">
        <f t="shared" si="347"/>
        <v>0</v>
      </c>
      <c r="K4377" s="2">
        <f t="shared" si="348"/>
        <v>0</v>
      </c>
    </row>
    <row r="4378" spans="5:11">
      <c r="E4378" s="3" t="s">
        <v>2247</v>
      </c>
      <c r="F4378" s="3" t="s">
        <v>2248</v>
      </c>
      <c r="G4378" s="7" t="str">
        <f t="shared" si="344"/>
        <v>15-12</v>
      </c>
      <c r="H4378" s="1">
        <f>_xlfn.IFNA(VLOOKUP(Aragon!E4378,'Kilter Holds'!$P$36:$AB$370,7,0),0)</f>
        <v>0</v>
      </c>
      <c r="J4378" s="2">
        <f t="shared" si="347"/>
        <v>0</v>
      </c>
      <c r="K4378" s="2">
        <f t="shared" si="348"/>
        <v>0</v>
      </c>
    </row>
    <row r="4379" spans="5:11">
      <c r="E4379" s="3" t="s">
        <v>2247</v>
      </c>
      <c r="F4379" s="3" t="s">
        <v>2248</v>
      </c>
      <c r="G4379" s="8" t="str">
        <f t="shared" si="344"/>
        <v>16-16</v>
      </c>
      <c r="H4379" s="1">
        <f>_xlfn.IFNA(VLOOKUP(Aragon!E4379,'Kilter Holds'!$P$36:$AB$370,8,0),0)</f>
        <v>0</v>
      </c>
      <c r="J4379" s="2">
        <f t="shared" si="347"/>
        <v>0</v>
      </c>
      <c r="K4379" s="2">
        <f t="shared" si="348"/>
        <v>0</v>
      </c>
    </row>
    <row r="4380" spans="5:11">
      <c r="E4380" s="3" t="s">
        <v>2247</v>
      </c>
      <c r="F4380" s="3" t="s">
        <v>2248</v>
      </c>
      <c r="G4380" s="9" t="str">
        <f t="shared" si="344"/>
        <v>13-01</v>
      </c>
      <c r="H4380" s="1">
        <f>_xlfn.IFNA(VLOOKUP(Aragon!E4380,'Kilter Holds'!$P$36:$AB$370,9,0),0)</f>
        <v>0</v>
      </c>
      <c r="J4380" s="2">
        <f t="shared" si="347"/>
        <v>0</v>
      </c>
      <c r="K4380" s="2">
        <f t="shared" si="348"/>
        <v>0</v>
      </c>
    </row>
    <row r="4381" spans="5:11">
      <c r="E4381" s="3" t="s">
        <v>2247</v>
      </c>
      <c r="F4381" s="3" t="s">
        <v>2248</v>
      </c>
      <c r="G4381" s="10" t="str">
        <f t="shared" si="344"/>
        <v>07-13</v>
      </c>
      <c r="H4381" s="1">
        <f>_xlfn.IFNA(VLOOKUP(Aragon!E4381,'Kilter Holds'!$P$36:$AB$370,10,0),0)</f>
        <v>0</v>
      </c>
      <c r="J4381" s="2">
        <f t="shared" si="347"/>
        <v>0</v>
      </c>
      <c r="K4381" s="2">
        <f t="shared" si="348"/>
        <v>0</v>
      </c>
    </row>
    <row r="4382" spans="5:11">
      <c r="E4382" s="3" t="s">
        <v>2247</v>
      </c>
      <c r="F4382" s="3" t="s">
        <v>2248</v>
      </c>
      <c r="G4382" s="11" t="str">
        <f t="shared" si="344"/>
        <v>11-25</v>
      </c>
      <c r="H4382" s="1">
        <f>_xlfn.IFNA(VLOOKUP(Aragon!E4382,'Kilter Holds'!$P$36:$AB$370,11,0),0)</f>
        <v>0</v>
      </c>
      <c r="J4382" s="2">
        <f t="shared" si="347"/>
        <v>0</v>
      </c>
      <c r="K4382" s="2">
        <f t="shared" si="348"/>
        <v>0</v>
      </c>
    </row>
    <row r="4383" spans="5:11">
      <c r="E4383" s="3" t="s">
        <v>2247</v>
      </c>
      <c r="F4383" s="3" t="s">
        <v>2248</v>
      </c>
      <c r="G4383" s="13" t="str">
        <f t="shared" si="344"/>
        <v>18-01</v>
      </c>
      <c r="H4383" s="1">
        <f>_xlfn.IFNA(VLOOKUP(Aragon!E4383,'Kilter Holds'!$P$36:$AB$370,12,0),0)</f>
        <v>0</v>
      </c>
      <c r="J4383" s="2">
        <f t="shared" si="347"/>
        <v>0</v>
      </c>
      <c r="K4383" s="2">
        <f t="shared" si="348"/>
        <v>0</v>
      </c>
    </row>
    <row r="4384" spans="5:11">
      <c r="E4384" s="3" t="s">
        <v>2247</v>
      </c>
      <c r="F4384" s="3" t="s">
        <v>2248</v>
      </c>
      <c r="G4384" s="12" t="str">
        <f t="shared" si="344"/>
        <v>12-01</v>
      </c>
      <c r="H4384" s="1">
        <f>_xlfn.IFNA(VLOOKUP(Aragon!E4384,'Kilter Holds'!$P$36:$AB$370,13,0),0)</f>
        <v>0</v>
      </c>
      <c r="J4384" s="2">
        <f t="shared" si="347"/>
        <v>0</v>
      </c>
      <c r="K4384" s="2">
        <f t="shared" si="348"/>
        <v>0</v>
      </c>
    </row>
    <row r="4385" spans="5:11">
      <c r="E4385" s="3" t="s">
        <v>2241</v>
      </c>
      <c r="F4385" s="3" t="s">
        <v>2249</v>
      </c>
      <c r="G4385" s="5" t="str">
        <f t="shared" si="344"/>
        <v>11-12</v>
      </c>
      <c r="H4385" s="1">
        <f>_xlfn.IFNA(VLOOKUP(Aragon!E4385,'Kilter Holds'!$P$36:$AB$370,5,0),0)</f>
        <v>0</v>
      </c>
      <c r="J4385" s="2">
        <f t="shared" si="347"/>
        <v>0</v>
      </c>
      <c r="K4385" s="2">
        <f t="shared" si="348"/>
        <v>0</v>
      </c>
    </row>
    <row r="4386" spans="5:11">
      <c r="E4386" s="3" t="s">
        <v>2241</v>
      </c>
      <c r="F4386" s="3" t="s">
        <v>2249</v>
      </c>
      <c r="G4386" s="6" t="str">
        <f t="shared" si="344"/>
        <v>14-01</v>
      </c>
      <c r="H4386" s="1">
        <f>_xlfn.IFNA(VLOOKUP(Aragon!E4386,'Kilter Holds'!$P$36:$AB$370,6,0),0)</f>
        <v>0</v>
      </c>
      <c r="J4386" s="2">
        <f t="shared" si="347"/>
        <v>0</v>
      </c>
      <c r="K4386" s="2">
        <f t="shared" si="348"/>
        <v>0</v>
      </c>
    </row>
    <row r="4387" spans="5:11">
      <c r="E4387" s="3" t="s">
        <v>2241</v>
      </c>
      <c r="F4387" s="3" t="s">
        <v>2249</v>
      </c>
      <c r="G4387" s="7" t="str">
        <f t="shared" si="344"/>
        <v>15-12</v>
      </c>
      <c r="H4387" s="1">
        <f>_xlfn.IFNA(VLOOKUP(Aragon!E4387,'Kilter Holds'!$P$36:$AB$370,7,0),0)</f>
        <v>0</v>
      </c>
      <c r="J4387" s="2">
        <f t="shared" si="347"/>
        <v>0</v>
      </c>
      <c r="K4387" s="2">
        <f t="shared" si="348"/>
        <v>0</v>
      </c>
    </row>
    <row r="4388" spans="5:11">
      <c r="E4388" s="3" t="s">
        <v>2241</v>
      </c>
      <c r="F4388" s="3" t="s">
        <v>2249</v>
      </c>
      <c r="G4388" s="8" t="str">
        <f t="shared" si="344"/>
        <v>16-16</v>
      </c>
      <c r="H4388" s="1">
        <f>_xlfn.IFNA(VLOOKUP(Aragon!E4388,'Kilter Holds'!$P$36:$AB$370,8,0),0)</f>
        <v>0</v>
      </c>
      <c r="J4388" s="2">
        <f t="shared" si="347"/>
        <v>0</v>
      </c>
      <c r="K4388" s="2">
        <f t="shared" si="348"/>
        <v>0</v>
      </c>
    </row>
    <row r="4389" spans="5:11">
      <c r="E4389" s="3" t="s">
        <v>2241</v>
      </c>
      <c r="F4389" s="3" t="s">
        <v>2249</v>
      </c>
      <c r="G4389" s="9" t="str">
        <f t="shared" si="344"/>
        <v>13-01</v>
      </c>
      <c r="H4389" s="1">
        <f>_xlfn.IFNA(VLOOKUP(Aragon!E4389,'Kilter Holds'!$P$36:$AB$370,9,0),0)</f>
        <v>0</v>
      </c>
      <c r="J4389" s="2">
        <f t="shared" si="347"/>
        <v>0</v>
      </c>
      <c r="K4389" s="2">
        <f t="shared" si="348"/>
        <v>0</v>
      </c>
    </row>
    <row r="4390" spans="5:11">
      <c r="E4390" s="3" t="s">
        <v>2241</v>
      </c>
      <c r="F4390" s="3" t="s">
        <v>2249</v>
      </c>
      <c r="G4390" s="10" t="str">
        <f t="shared" si="344"/>
        <v>07-13</v>
      </c>
      <c r="H4390" s="1">
        <f>_xlfn.IFNA(VLOOKUP(Aragon!E4390,'Kilter Holds'!$P$36:$AB$370,10,0),0)</f>
        <v>0</v>
      </c>
      <c r="J4390" s="2">
        <f t="shared" si="347"/>
        <v>0</v>
      </c>
      <c r="K4390" s="2">
        <f t="shared" si="348"/>
        <v>0</v>
      </c>
    </row>
    <row r="4391" spans="5:11">
      <c r="E4391" s="3" t="s">
        <v>2241</v>
      </c>
      <c r="F4391" s="3" t="s">
        <v>2249</v>
      </c>
      <c r="G4391" s="11" t="str">
        <f t="shared" si="344"/>
        <v>11-25</v>
      </c>
      <c r="H4391" s="1">
        <f>_xlfn.IFNA(VLOOKUP(Aragon!E4391,'Kilter Holds'!$P$36:$AB$370,11,0),0)</f>
        <v>0</v>
      </c>
      <c r="J4391" s="2">
        <f t="shared" si="347"/>
        <v>0</v>
      </c>
      <c r="K4391" s="2">
        <f t="shared" si="348"/>
        <v>0</v>
      </c>
    </row>
    <row r="4392" spans="5:11">
      <c r="E4392" s="3" t="s">
        <v>2241</v>
      </c>
      <c r="F4392" s="3" t="s">
        <v>2249</v>
      </c>
      <c r="G4392" s="13" t="str">
        <f t="shared" si="344"/>
        <v>18-01</v>
      </c>
      <c r="H4392" s="1">
        <f>_xlfn.IFNA(VLOOKUP(Aragon!E4392,'Kilter Holds'!$P$36:$AB$370,12,0),0)</f>
        <v>0</v>
      </c>
      <c r="J4392" s="2">
        <f t="shared" si="347"/>
        <v>0</v>
      </c>
      <c r="K4392" s="2">
        <f t="shared" si="348"/>
        <v>0</v>
      </c>
    </row>
    <row r="4393" spans="5:11">
      <c r="E4393" s="3" t="s">
        <v>2241</v>
      </c>
      <c r="F4393" s="3" t="s">
        <v>2249</v>
      </c>
      <c r="G4393" s="12" t="str">
        <f t="shared" si="344"/>
        <v>12-01</v>
      </c>
      <c r="H4393" s="1">
        <f>_xlfn.IFNA(VLOOKUP(Aragon!E4393,'Kilter Holds'!$P$36:$AB$370,13,0),0)</f>
        <v>0</v>
      </c>
      <c r="J4393" s="2">
        <f t="shared" si="347"/>
        <v>0</v>
      </c>
      <c r="K4393" s="2">
        <f t="shared" si="348"/>
        <v>0</v>
      </c>
    </row>
    <row r="4394" spans="5:11">
      <c r="E4394" s="3" t="s">
        <v>2807</v>
      </c>
      <c r="F4394" s="3" t="s">
        <v>2808</v>
      </c>
      <c r="G4394" s="5" t="str">
        <f t="shared" si="344"/>
        <v>11-12</v>
      </c>
      <c r="H4394" s="1">
        <f>_xlfn.IFNA(VLOOKUP(Aragon!E4394,'Kilter Holds'!$P$36:$AB$370,5,0),0)</f>
        <v>0</v>
      </c>
      <c r="J4394" s="2">
        <f t="shared" ref="J4394:J4402" si="349">H4394*I4394</f>
        <v>0</v>
      </c>
      <c r="K4394" s="2">
        <f t="shared" ref="K4394:K4402" si="350">IF($V$11="Y",J4394*0.05,0)</f>
        <v>0</v>
      </c>
    </row>
    <row r="4395" spans="5:11">
      <c r="E4395" s="3" t="s">
        <v>2807</v>
      </c>
      <c r="F4395" s="3" t="s">
        <v>2808</v>
      </c>
      <c r="G4395" s="6" t="str">
        <f t="shared" si="344"/>
        <v>14-01</v>
      </c>
      <c r="H4395" s="1">
        <f>_xlfn.IFNA(VLOOKUP(Aragon!E4395,'Kilter Holds'!$P$36:$AB$370,6,0),0)</f>
        <v>0</v>
      </c>
      <c r="J4395" s="2">
        <f t="shared" si="349"/>
        <v>0</v>
      </c>
      <c r="K4395" s="2">
        <f t="shared" si="350"/>
        <v>0</v>
      </c>
    </row>
    <row r="4396" spans="5:11">
      <c r="E4396" s="3" t="s">
        <v>2807</v>
      </c>
      <c r="F4396" s="3" t="s">
        <v>2808</v>
      </c>
      <c r="G4396" s="7" t="str">
        <f t="shared" si="344"/>
        <v>15-12</v>
      </c>
      <c r="H4396" s="1">
        <f>_xlfn.IFNA(VLOOKUP(Aragon!E4396,'Kilter Holds'!$P$36:$AB$370,7,0),0)</f>
        <v>0</v>
      </c>
      <c r="J4396" s="2">
        <f t="shared" si="349"/>
        <v>0</v>
      </c>
      <c r="K4396" s="2">
        <f t="shared" si="350"/>
        <v>0</v>
      </c>
    </row>
    <row r="4397" spans="5:11">
      <c r="E4397" s="3" t="s">
        <v>2807</v>
      </c>
      <c r="F4397" s="3" t="s">
        <v>2808</v>
      </c>
      <c r="G4397" s="8" t="str">
        <f t="shared" si="344"/>
        <v>16-16</v>
      </c>
      <c r="H4397" s="1">
        <f>_xlfn.IFNA(VLOOKUP(Aragon!E4397,'Kilter Holds'!$P$36:$AB$370,8,0),0)</f>
        <v>0</v>
      </c>
      <c r="J4397" s="2">
        <f t="shared" si="349"/>
        <v>0</v>
      </c>
      <c r="K4397" s="2">
        <f t="shared" si="350"/>
        <v>0</v>
      </c>
    </row>
    <row r="4398" spans="5:11">
      <c r="E4398" s="3" t="s">
        <v>2807</v>
      </c>
      <c r="F4398" s="3" t="s">
        <v>2808</v>
      </c>
      <c r="G4398" s="9" t="str">
        <f t="shared" si="344"/>
        <v>13-01</v>
      </c>
      <c r="H4398" s="1">
        <f>_xlfn.IFNA(VLOOKUP(Aragon!E4398,'Kilter Holds'!$P$36:$AB$370,9,0),0)</f>
        <v>0</v>
      </c>
      <c r="J4398" s="2">
        <f t="shared" si="349"/>
        <v>0</v>
      </c>
      <c r="K4398" s="2">
        <f t="shared" si="350"/>
        <v>0</v>
      </c>
    </row>
    <row r="4399" spans="5:11">
      <c r="E4399" s="3" t="s">
        <v>2807</v>
      </c>
      <c r="F4399" s="3" t="s">
        <v>2808</v>
      </c>
      <c r="G4399" s="10" t="str">
        <f t="shared" si="344"/>
        <v>07-13</v>
      </c>
      <c r="H4399" s="1">
        <f>_xlfn.IFNA(VLOOKUP(Aragon!E4399,'Kilter Holds'!$P$36:$AB$370,10,0),0)</f>
        <v>0</v>
      </c>
      <c r="J4399" s="2">
        <f t="shared" si="349"/>
        <v>0</v>
      </c>
      <c r="K4399" s="2">
        <f t="shared" si="350"/>
        <v>0</v>
      </c>
    </row>
    <row r="4400" spans="5:11">
      <c r="E4400" s="3" t="s">
        <v>2807</v>
      </c>
      <c r="F4400" s="3" t="s">
        <v>2808</v>
      </c>
      <c r="G4400" s="11" t="str">
        <f t="shared" si="344"/>
        <v>11-25</v>
      </c>
      <c r="H4400" s="1">
        <f>_xlfn.IFNA(VLOOKUP(Aragon!E4400,'Kilter Holds'!$P$36:$AB$370,11,0),0)</f>
        <v>0</v>
      </c>
      <c r="J4400" s="2">
        <f t="shared" si="349"/>
        <v>0</v>
      </c>
      <c r="K4400" s="2">
        <f t="shared" si="350"/>
        <v>0</v>
      </c>
    </row>
    <row r="4401" spans="5:11">
      <c r="E4401" s="3" t="s">
        <v>2807</v>
      </c>
      <c r="F4401" s="3" t="s">
        <v>2808</v>
      </c>
      <c r="G4401" s="13" t="str">
        <f t="shared" si="344"/>
        <v>18-01</v>
      </c>
      <c r="H4401" s="1">
        <f>_xlfn.IFNA(VLOOKUP(Aragon!E4401,'Kilter Holds'!$P$36:$AB$370,12,0),0)</f>
        <v>0</v>
      </c>
      <c r="J4401" s="2">
        <f t="shared" si="349"/>
        <v>0</v>
      </c>
      <c r="K4401" s="2">
        <f t="shared" si="350"/>
        <v>0</v>
      </c>
    </row>
    <row r="4402" spans="5:11">
      <c r="E4402" s="3" t="s">
        <v>2807</v>
      </c>
      <c r="F4402" s="3" t="s">
        <v>2808</v>
      </c>
      <c r="G4402" s="12" t="str">
        <f t="shared" si="344"/>
        <v>12-01</v>
      </c>
      <c r="H4402" s="1">
        <f>_xlfn.IFNA(VLOOKUP(Aragon!E4402,'Kilter Holds'!$P$36:$AB$370,13,0),0)</f>
        <v>0</v>
      </c>
      <c r="J4402" s="2">
        <f t="shared" si="349"/>
        <v>0</v>
      </c>
      <c r="K4402" s="2">
        <f t="shared" si="350"/>
        <v>0</v>
      </c>
    </row>
    <row r="4403" spans="5:11">
      <c r="E4403" t="s">
        <v>100</v>
      </c>
      <c r="F4403" t="s">
        <v>831</v>
      </c>
      <c r="G4403" s="5" t="str">
        <f t="shared" ref="G4403:G4411" si="351">G4205</f>
        <v>11-12</v>
      </c>
      <c r="H4403" s="1">
        <f>_xlfn.IFNA(VLOOKUP(Aragon!E4403,'Kilter Holds'!$P$36:$AB$370,5,0),0)</f>
        <v>0</v>
      </c>
      <c r="J4403" s="2">
        <f t="shared" si="321"/>
        <v>0</v>
      </c>
      <c r="K4403" s="2">
        <f t="shared" si="323"/>
        <v>0</v>
      </c>
    </row>
    <row r="4404" spans="5:11">
      <c r="E4404" t="s">
        <v>100</v>
      </c>
      <c r="F4404" t="s">
        <v>831</v>
      </c>
      <c r="G4404" s="6" t="str">
        <f t="shared" si="351"/>
        <v>14-01</v>
      </c>
      <c r="H4404" s="1">
        <f>_xlfn.IFNA(VLOOKUP(Aragon!E4404,'Kilter Holds'!$P$36:$AB$370,6,0),0)</f>
        <v>0</v>
      </c>
      <c r="J4404" s="2">
        <f t="shared" si="321"/>
        <v>0</v>
      </c>
      <c r="K4404" s="2">
        <f t="shared" si="323"/>
        <v>0</v>
      </c>
    </row>
    <row r="4405" spans="5:11">
      <c r="E4405" t="s">
        <v>100</v>
      </c>
      <c r="F4405" t="s">
        <v>831</v>
      </c>
      <c r="G4405" s="7" t="str">
        <f t="shared" si="351"/>
        <v>15-12</v>
      </c>
      <c r="H4405" s="1">
        <f>_xlfn.IFNA(VLOOKUP(Aragon!E4405,'Kilter Holds'!$P$36:$AB$370,7,0),0)</f>
        <v>0</v>
      </c>
      <c r="J4405" s="2">
        <f t="shared" si="321"/>
        <v>0</v>
      </c>
      <c r="K4405" s="2">
        <f t="shared" si="323"/>
        <v>0</v>
      </c>
    </row>
    <row r="4406" spans="5:11">
      <c r="E4406" t="s">
        <v>100</v>
      </c>
      <c r="F4406" t="s">
        <v>831</v>
      </c>
      <c r="G4406" s="8" t="str">
        <f t="shared" si="351"/>
        <v>16-16</v>
      </c>
      <c r="H4406" s="1">
        <f>_xlfn.IFNA(VLOOKUP(Aragon!E4406,'Kilter Holds'!$P$36:$AB$370,8,0),0)</f>
        <v>0</v>
      </c>
      <c r="J4406" s="2">
        <f t="shared" si="321"/>
        <v>0</v>
      </c>
      <c r="K4406" s="2">
        <f t="shared" si="323"/>
        <v>0</v>
      </c>
    </row>
    <row r="4407" spans="5:11">
      <c r="E4407" t="s">
        <v>100</v>
      </c>
      <c r="F4407" t="s">
        <v>831</v>
      </c>
      <c r="G4407" s="9" t="str">
        <f t="shared" si="351"/>
        <v>13-01</v>
      </c>
      <c r="H4407" s="1">
        <f>_xlfn.IFNA(VLOOKUP(Aragon!E4407,'Kilter Holds'!$P$36:$AB$370,9,0),0)</f>
        <v>0</v>
      </c>
      <c r="J4407" s="2">
        <f t="shared" si="321"/>
        <v>0</v>
      </c>
      <c r="K4407" s="2">
        <f t="shared" si="323"/>
        <v>0</v>
      </c>
    </row>
    <row r="4408" spans="5:11">
      <c r="E4408" t="s">
        <v>100</v>
      </c>
      <c r="F4408" t="s">
        <v>831</v>
      </c>
      <c r="G4408" s="10" t="str">
        <f t="shared" si="351"/>
        <v>07-13</v>
      </c>
      <c r="H4408" s="1">
        <f>_xlfn.IFNA(VLOOKUP(Aragon!E4408,'Kilter Holds'!$P$36:$AB$370,10,0),0)</f>
        <v>0</v>
      </c>
      <c r="J4408" s="2">
        <f t="shared" si="321"/>
        <v>0</v>
      </c>
      <c r="K4408" s="2">
        <f t="shared" si="323"/>
        <v>0</v>
      </c>
    </row>
    <row r="4409" spans="5:11">
      <c r="E4409" t="s">
        <v>100</v>
      </c>
      <c r="F4409" t="s">
        <v>831</v>
      </c>
      <c r="G4409" s="11" t="str">
        <f t="shared" si="351"/>
        <v>11-25</v>
      </c>
      <c r="H4409" s="1">
        <f>_xlfn.IFNA(VLOOKUP(Aragon!E4409,'Kilter Holds'!$P$36:$AB$370,11,0),0)</f>
        <v>0</v>
      </c>
      <c r="J4409" s="2">
        <f t="shared" si="321"/>
        <v>0</v>
      </c>
      <c r="K4409" s="2">
        <f t="shared" si="323"/>
        <v>0</v>
      </c>
    </row>
    <row r="4410" spans="5:11">
      <c r="E4410" t="s">
        <v>100</v>
      </c>
      <c r="F4410" t="s">
        <v>831</v>
      </c>
      <c r="G4410" s="13" t="str">
        <f t="shared" si="351"/>
        <v>18-01</v>
      </c>
      <c r="H4410" s="1">
        <f>_xlfn.IFNA(VLOOKUP(Aragon!E4410,'Kilter Holds'!$P$36:$AB$370,12,0),0)</f>
        <v>0</v>
      </c>
      <c r="J4410" s="2">
        <f t="shared" si="321"/>
        <v>0</v>
      </c>
      <c r="K4410" s="2">
        <f t="shared" si="323"/>
        <v>0</v>
      </c>
    </row>
    <row r="4411" spans="5:11">
      <c r="E4411" t="s">
        <v>100</v>
      </c>
      <c r="F4411" t="s">
        <v>831</v>
      </c>
      <c r="G4411" s="12" t="str">
        <f t="shared" si="351"/>
        <v>12-01</v>
      </c>
      <c r="H4411" s="1">
        <f>_xlfn.IFNA(VLOOKUP(Aragon!E4411,'Kilter Holds'!$P$36:$AB$370,13,0),0)</f>
        <v>0</v>
      </c>
      <c r="J4411" s="2">
        <f t="shared" si="321"/>
        <v>0</v>
      </c>
      <c r="K4411" s="2">
        <f t="shared" si="323"/>
        <v>0</v>
      </c>
    </row>
    <row r="4412" spans="5:11">
      <c r="E4412" t="s">
        <v>112</v>
      </c>
      <c r="F4412" t="s">
        <v>832</v>
      </c>
      <c r="G4412" s="5" t="str">
        <f t="shared" si="324"/>
        <v>11-12</v>
      </c>
      <c r="H4412" s="1">
        <f>_xlfn.IFNA(VLOOKUP(Aragon!E4412,'Kilter Holds'!$P$36:$AB$370,5,0),0)</f>
        <v>0</v>
      </c>
      <c r="J4412" s="2">
        <f t="shared" si="321"/>
        <v>0</v>
      </c>
      <c r="K4412" s="2">
        <f t="shared" si="323"/>
        <v>0</v>
      </c>
    </row>
    <row r="4413" spans="5:11">
      <c r="E4413" t="s">
        <v>112</v>
      </c>
      <c r="F4413" t="s">
        <v>832</v>
      </c>
      <c r="G4413" s="6" t="str">
        <f t="shared" si="324"/>
        <v>14-01</v>
      </c>
      <c r="H4413" s="1">
        <f>_xlfn.IFNA(VLOOKUP(Aragon!E4413,'Kilter Holds'!$P$36:$AB$370,6,0),0)</f>
        <v>0</v>
      </c>
      <c r="J4413" s="2">
        <f t="shared" si="321"/>
        <v>0</v>
      </c>
      <c r="K4413" s="2">
        <f t="shared" si="323"/>
        <v>0</v>
      </c>
    </row>
    <row r="4414" spans="5:11">
      <c r="E4414" t="s">
        <v>112</v>
      </c>
      <c r="F4414" t="s">
        <v>832</v>
      </c>
      <c r="G4414" s="7" t="str">
        <f t="shared" si="324"/>
        <v>15-12</v>
      </c>
      <c r="H4414" s="1">
        <f>_xlfn.IFNA(VLOOKUP(Aragon!E4414,'Kilter Holds'!$P$36:$AB$370,7,0),0)</f>
        <v>0</v>
      </c>
      <c r="J4414" s="2">
        <f t="shared" si="321"/>
        <v>0</v>
      </c>
      <c r="K4414" s="2">
        <f t="shared" si="323"/>
        <v>0</v>
      </c>
    </row>
    <row r="4415" spans="5:11">
      <c r="E4415" t="s">
        <v>112</v>
      </c>
      <c r="F4415" t="s">
        <v>832</v>
      </c>
      <c r="G4415" s="8" t="str">
        <f t="shared" si="324"/>
        <v>16-16</v>
      </c>
      <c r="H4415" s="1">
        <f>_xlfn.IFNA(VLOOKUP(Aragon!E4415,'Kilter Holds'!$P$36:$AB$370,8,0),0)</f>
        <v>0</v>
      </c>
      <c r="J4415" s="2">
        <f t="shared" si="321"/>
        <v>0</v>
      </c>
      <c r="K4415" s="2">
        <f t="shared" si="323"/>
        <v>0</v>
      </c>
    </row>
    <row r="4416" spans="5:11">
      <c r="E4416" t="s">
        <v>112</v>
      </c>
      <c r="F4416" t="s">
        <v>832</v>
      </c>
      <c r="G4416" s="9" t="str">
        <f t="shared" si="324"/>
        <v>13-01</v>
      </c>
      <c r="H4416" s="1">
        <f>_xlfn.IFNA(VLOOKUP(Aragon!E4416,'Kilter Holds'!$P$36:$AB$370,9,0),0)</f>
        <v>0</v>
      </c>
      <c r="J4416" s="2">
        <f t="shared" si="321"/>
        <v>0</v>
      </c>
      <c r="K4416" s="2">
        <f t="shared" si="323"/>
        <v>0</v>
      </c>
    </row>
    <row r="4417" spans="5:11">
      <c r="E4417" t="s">
        <v>112</v>
      </c>
      <c r="F4417" t="s">
        <v>832</v>
      </c>
      <c r="G4417" s="10" t="str">
        <f t="shared" si="324"/>
        <v>07-13</v>
      </c>
      <c r="H4417" s="1">
        <f>_xlfn.IFNA(VLOOKUP(Aragon!E4417,'Kilter Holds'!$P$36:$AB$370,10,0),0)</f>
        <v>0</v>
      </c>
      <c r="J4417" s="2">
        <f t="shared" si="321"/>
        <v>0</v>
      </c>
      <c r="K4417" s="2">
        <f t="shared" si="323"/>
        <v>0</v>
      </c>
    </row>
    <row r="4418" spans="5:11">
      <c r="E4418" t="s">
        <v>112</v>
      </c>
      <c r="F4418" t="s">
        <v>832</v>
      </c>
      <c r="G4418" s="11" t="str">
        <f t="shared" si="324"/>
        <v>11-25</v>
      </c>
      <c r="H4418" s="1">
        <f>_xlfn.IFNA(VLOOKUP(Aragon!E4418,'Kilter Holds'!$P$36:$AB$370,11,0),0)</f>
        <v>0</v>
      </c>
      <c r="J4418" s="2">
        <f t="shared" si="321"/>
        <v>0</v>
      </c>
      <c r="K4418" s="2">
        <f t="shared" si="323"/>
        <v>0</v>
      </c>
    </row>
    <row r="4419" spans="5:11">
      <c r="E4419" t="s">
        <v>112</v>
      </c>
      <c r="F4419" t="s">
        <v>832</v>
      </c>
      <c r="G4419" s="13" t="str">
        <f t="shared" si="324"/>
        <v>18-01</v>
      </c>
      <c r="H4419" s="1">
        <f>_xlfn.IFNA(VLOOKUP(Aragon!E4419,'Kilter Holds'!$P$36:$AB$370,12,0),0)</f>
        <v>0</v>
      </c>
      <c r="J4419" s="2">
        <f t="shared" si="321"/>
        <v>0</v>
      </c>
      <c r="K4419" s="2">
        <f t="shared" si="323"/>
        <v>0</v>
      </c>
    </row>
    <row r="4420" spans="5:11">
      <c r="E4420" t="s">
        <v>112</v>
      </c>
      <c r="F4420" t="s">
        <v>832</v>
      </c>
      <c r="G4420" s="12" t="str">
        <f t="shared" si="324"/>
        <v>12-01</v>
      </c>
      <c r="H4420" s="1">
        <f>_xlfn.IFNA(VLOOKUP(Aragon!E4420,'Kilter Holds'!$P$36:$AB$370,13,0),0)</f>
        <v>0</v>
      </c>
      <c r="J4420" s="2">
        <f t="shared" si="321"/>
        <v>0</v>
      </c>
      <c r="K4420" s="2">
        <f t="shared" si="323"/>
        <v>0</v>
      </c>
    </row>
    <row r="4421" spans="5:11">
      <c r="E4421" t="s">
        <v>111</v>
      </c>
      <c r="F4421" t="s">
        <v>833</v>
      </c>
      <c r="G4421" s="5" t="str">
        <f t="shared" si="324"/>
        <v>11-12</v>
      </c>
      <c r="H4421" s="1">
        <f>_xlfn.IFNA(VLOOKUP(Aragon!E4421,'Kilter Holds'!$P$36:$AB$370,5,0),0)</f>
        <v>0</v>
      </c>
      <c r="J4421" s="2">
        <f t="shared" si="321"/>
        <v>0</v>
      </c>
      <c r="K4421" s="2">
        <f t="shared" si="323"/>
        <v>0</v>
      </c>
    </row>
    <row r="4422" spans="5:11">
      <c r="E4422" t="s">
        <v>111</v>
      </c>
      <c r="F4422" t="s">
        <v>833</v>
      </c>
      <c r="G4422" s="6" t="str">
        <f t="shared" si="324"/>
        <v>14-01</v>
      </c>
      <c r="H4422" s="1">
        <f>_xlfn.IFNA(VLOOKUP(Aragon!E4422,'Kilter Holds'!$P$36:$AB$370,6,0),0)</f>
        <v>0</v>
      </c>
      <c r="J4422" s="2">
        <f t="shared" si="321"/>
        <v>0</v>
      </c>
      <c r="K4422" s="2">
        <f t="shared" si="323"/>
        <v>0</v>
      </c>
    </row>
    <row r="4423" spans="5:11">
      <c r="E4423" t="s">
        <v>111</v>
      </c>
      <c r="F4423" t="s">
        <v>833</v>
      </c>
      <c r="G4423" s="7" t="str">
        <f t="shared" si="324"/>
        <v>15-12</v>
      </c>
      <c r="H4423" s="1">
        <f>_xlfn.IFNA(VLOOKUP(Aragon!E4423,'Kilter Holds'!$P$36:$AB$370,7,0),0)</f>
        <v>0</v>
      </c>
      <c r="J4423" s="2">
        <f t="shared" si="321"/>
        <v>0</v>
      </c>
      <c r="K4423" s="2">
        <f t="shared" si="323"/>
        <v>0</v>
      </c>
    </row>
    <row r="4424" spans="5:11">
      <c r="E4424" t="s">
        <v>111</v>
      </c>
      <c r="F4424" t="s">
        <v>833</v>
      </c>
      <c r="G4424" s="8" t="str">
        <f t="shared" si="324"/>
        <v>16-16</v>
      </c>
      <c r="H4424" s="1">
        <f>_xlfn.IFNA(VLOOKUP(Aragon!E4424,'Kilter Holds'!$P$36:$AB$370,8,0),0)</f>
        <v>0</v>
      </c>
      <c r="J4424" s="2">
        <f t="shared" si="321"/>
        <v>0</v>
      </c>
      <c r="K4424" s="2">
        <f t="shared" si="323"/>
        <v>0</v>
      </c>
    </row>
    <row r="4425" spans="5:11">
      <c r="E4425" t="s">
        <v>111</v>
      </c>
      <c r="F4425" t="s">
        <v>833</v>
      </c>
      <c r="G4425" s="9" t="str">
        <f t="shared" si="324"/>
        <v>13-01</v>
      </c>
      <c r="H4425" s="1">
        <f>_xlfn.IFNA(VLOOKUP(Aragon!E4425,'Kilter Holds'!$P$36:$AB$370,9,0),0)</f>
        <v>0</v>
      </c>
      <c r="J4425" s="2">
        <f t="shared" si="321"/>
        <v>0</v>
      </c>
      <c r="K4425" s="2">
        <f t="shared" si="323"/>
        <v>0</v>
      </c>
    </row>
    <row r="4426" spans="5:11">
      <c r="E4426" t="s">
        <v>111</v>
      </c>
      <c r="F4426" t="s">
        <v>833</v>
      </c>
      <c r="G4426" s="10" t="str">
        <f t="shared" si="324"/>
        <v>07-13</v>
      </c>
      <c r="H4426" s="1">
        <f>_xlfn.IFNA(VLOOKUP(Aragon!E4426,'Kilter Holds'!$P$36:$AB$370,10,0),0)</f>
        <v>0</v>
      </c>
      <c r="J4426" s="2">
        <f t="shared" si="321"/>
        <v>0</v>
      </c>
      <c r="K4426" s="2">
        <f t="shared" si="323"/>
        <v>0</v>
      </c>
    </row>
    <row r="4427" spans="5:11">
      <c r="E4427" t="s">
        <v>111</v>
      </c>
      <c r="F4427" t="s">
        <v>833</v>
      </c>
      <c r="G4427" s="11" t="str">
        <f t="shared" si="324"/>
        <v>11-25</v>
      </c>
      <c r="H4427" s="1">
        <f>_xlfn.IFNA(VLOOKUP(Aragon!E4427,'Kilter Holds'!$P$36:$AB$370,11,0),0)</f>
        <v>0</v>
      </c>
      <c r="J4427" s="2">
        <f t="shared" si="321"/>
        <v>0</v>
      </c>
      <c r="K4427" s="2">
        <f t="shared" si="323"/>
        <v>0</v>
      </c>
    </row>
    <row r="4428" spans="5:11">
      <c r="E4428" t="s">
        <v>111</v>
      </c>
      <c r="F4428" t="s">
        <v>833</v>
      </c>
      <c r="G4428" s="13" t="str">
        <f t="shared" si="324"/>
        <v>18-01</v>
      </c>
      <c r="H4428" s="1">
        <f>_xlfn.IFNA(VLOOKUP(Aragon!E4428,'Kilter Holds'!$P$36:$AB$370,12,0),0)</f>
        <v>0</v>
      </c>
      <c r="J4428" s="2">
        <f t="shared" si="321"/>
        <v>0</v>
      </c>
      <c r="K4428" s="2">
        <f t="shared" si="323"/>
        <v>0</v>
      </c>
    </row>
    <row r="4429" spans="5:11">
      <c r="E4429" t="s">
        <v>111</v>
      </c>
      <c r="F4429" t="s">
        <v>833</v>
      </c>
      <c r="G4429" s="12" t="str">
        <f t="shared" si="324"/>
        <v>12-01</v>
      </c>
      <c r="H4429" s="1">
        <f>_xlfn.IFNA(VLOOKUP(Aragon!E4429,'Kilter Holds'!$P$36:$AB$370,13,0),0)</f>
        <v>0</v>
      </c>
      <c r="J4429" s="2">
        <f t="shared" si="321"/>
        <v>0</v>
      </c>
      <c r="K4429" s="2">
        <f t="shared" si="323"/>
        <v>0</v>
      </c>
    </row>
    <row r="4430" spans="5:11">
      <c r="E4430" t="s">
        <v>110</v>
      </c>
      <c r="F4430" t="s">
        <v>834</v>
      </c>
      <c r="G4430" s="5" t="str">
        <f t="shared" si="324"/>
        <v>11-12</v>
      </c>
      <c r="H4430" s="1">
        <f>_xlfn.IFNA(VLOOKUP(Aragon!E4430,'Kilter Holds'!$P$36:$AB$370,5,0),0)</f>
        <v>0</v>
      </c>
      <c r="J4430" s="2">
        <f t="shared" si="321"/>
        <v>0</v>
      </c>
      <c r="K4430" s="2">
        <f t="shared" si="323"/>
        <v>0</v>
      </c>
    </row>
    <row r="4431" spans="5:11">
      <c r="E4431" t="s">
        <v>110</v>
      </c>
      <c r="F4431" t="s">
        <v>834</v>
      </c>
      <c r="G4431" s="6" t="str">
        <f t="shared" si="324"/>
        <v>14-01</v>
      </c>
      <c r="H4431" s="1">
        <f>_xlfn.IFNA(VLOOKUP(Aragon!E4431,'Kilter Holds'!$P$36:$AB$370,6,0),0)</f>
        <v>0</v>
      </c>
      <c r="J4431" s="2">
        <f t="shared" si="321"/>
        <v>0</v>
      </c>
      <c r="K4431" s="2">
        <f t="shared" si="323"/>
        <v>0</v>
      </c>
    </row>
    <row r="4432" spans="5:11">
      <c r="E4432" t="s">
        <v>110</v>
      </c>
      <c r="F4432" t="s">
        <v>834</v>
      </c>
      <c r="G4432" s="7" t="str">
        <f t="shared" si="324"/>
        <v>15-12</v>
      </c>
      <c r="H4432" s="1">
        <f>_xlfn.IFNA(VLOOKUP(Aragon!E4432,'Kilter Holds'!$P$36:$AB$370,7,0),0)</f>
        <v>0</v>
      </c>
      <c r="J4432" s="2">
        <f t="shared" si="321"/>
        <v>0</v>
      </c>
      <c r="K4432" s="2">
        <f t="shared" si="323"/>
        <v>0</v>
      </c>
    </row>
    <row r="4433" spans="5:11">
      <c r="E4433" t="s">
        <v>110</v>
      </c>
      <c r="F4433" t="s">
        <v>834</v>
      </c>
      <c r="G4433" s="8" t="str">
        <f t="shared" si="324"/>
        <v>16-16</v>
      </c>
      <c r="H4433" s="1">
        <f>_xlfn.IFNA(VLOOKUP(Aragon!E4433,'Kilter Holds'!$P$36:$AB$370,8,0),0)</f>
        <v>0</v>
      </c>
      <c r="J4433" s="2">
        <f t="shared" si="321"/>
        <v>0</v>
      </c>
      <c r="K4433" s="2">
        <f t="shared" si="323"/>
        <v>0</v>
      </c>
    </row>
    <row r="4434" spans="5:11">
      <c r="E4434" t="s">
        <v>110</v>
      </c>
      <c r="F4434" t="s">
        <v>834</v>
      </c>
      <c r="G4434" s="9" t="str">
        <f t="shared" si="324"/>
        <v>13-01</v>
      </c>
      <c r="H4434" s="1">
        <f>_xlfn.IFNA(VLOOKUP(Aragon!E4434,'Kilter Holds'!$P$36:$AB$370,9,0),0)</f>
        <v>0</v>
      </c>
      <c r="J4434" s="2">
        <f t="shared" si="321"/>
        <v>0</v>
      </c>
      <c r="K4434" s="2">
        <f t="shared" si="323"/>
        <v>0</v>
      </c>
    </row>
    <row r="4435" spans="5:11">
      <c r="E4435" t="s">
        <v>110</v>
      </c>
      <c r="F4435" t="s">
        <v>834</v>
      </c>
      <c r="G4435" s="10" t="str">
        <f t="shared" si="324"/>
        <v>07-13</v>
      </c>
      <c r="H4435" s="1">
        <f>_xlfn.IFNA(VLOOKUP(Aragon!E4435,'Kilter Holds'!$P$36:$AB$370,10,0),0)</f>
        <v>0</v>
      </c>
      <c r="J4435" s="2">
        <f t="shared" si="321"/>
        <v>0</v>
      </c>
      <c r="K4435" s="2">
        <f t="shared" si="323"/>
        <v>0</v>
      </c>
    </row>
    <row r="4436" spans="5:11">
      <c r="E4436" t="s">
        <v>110</v>
      </c>
      <c r="F4436" t="s">
        <v>834</v>
      </c>
      <c r="G4436" s="11" t="str">
        <f t="shared" si="324"/>
        <v>11-25</v>
      </c>
      <c r="H4436" s="1">
        <f>_xlfn.IFNA(VLOOKUP(Aragon!E4436,'Kilter Holds'!$P$36:$AB$370,11,0),0)</f>
        <v>0</v>
      </c>
      <c r="J4436" s="2">
        <f t="shared" si="321"/>
        <v>0</v>
      </c>
      <c r="K4436" s="2">
        <f t="shared" si="323"/>
        <v>0</v>
      </c>
    </row>
    <row r="4437" spans="5:11">
      <c r="E4437" t="s">
        <v>110</v>
      </c>
      <c r="F4437" t="s">
        <v>834</v>
      </c>
      <c r="G4437" s="13" t="str">
        <f t="shared" si="324"/>
        <v>18-01</v>
      </c>
      <c r="H4437" s="1">
        <f>_xlfn.IFNA(VLOOKUP(Aragon!E4437,'Kilter Holds'!$P$36:$AB$370,12,0),0)</f>
        <v>0</v>
      </c>
      <c r="J4437" s="2">
        <f t="shared" si="321"/>
        <v>0</v>
      </c>
      <c r="K4437" s="2">
        <f t="shared" si="323"/>
        <v>0</v>
      </c>
    </row>
    <row r="4438" spans="5:11">
      <c r="E4438" t="s">
        <v>110</v>
      </c>
      <c r="F4438" t="s">
        <v>834</v>
      </c>
      <c r="G4438" s="12" t="str">
        <f t="shared" si="324"/>
        <v>12-01</v>
      </c>
      <c r="H4438" s="1">
        <f>_xlfn.IFNA(VLOOKUP(Aragon!E4438,'Kilter Holds'!$P$36:$AB$370,13,0),0)</f>
        <v>0</v>
      </c>
      <c r="J4438" s="2">
        <f t="shared" si="321"/>
        <v>0</v>
      </c>
      <c r="K4438" s="2">
        <f t="shared" si="323"/>
        <v>0</v>
      </c>
    </row>
    <row r="4439" spans="5:11">
      <c r="E4439" t="s">
        <v>109</v>
      </c>
      <c r="F4439" t="s">
        <v>835</v>
      </c>
      <c r="G4439" s="5" t="str">
        <f t="shared" si="324"/>
        <v>11-12</v>
      </c>
      <c r="H4439" s="1">
        <f>_xlfn.IFNA(VLOOKUP(Aragon!E4439,'Kilter Holds'!$P$36:$AB$370,5,0),0)</f>
        <v>0</v>
      </c>
      <c r="J4439" s="2">
        <f t="shared" si="321"/>
        <v>0</v>
      </c>
      <c r="K4439" s="2">
        <f t="shared" si="323"/>
        <v>0</v>
      </c>
    </row>
    <row r="4440" spans="5:11">
      <c r="E4440" t="s">
        <v>109</v>
      </c>
      <c r="F4440" t="s">
        <v>835</v>
      </c>
      <c r="G4440" s="6" t="str">
        <f t="shared" si="324"/>
        <v>14-01</v>
      </c>
      <c r="H4440" s="1">
        <f>_xlfn.IFNA(VLOOKUP(Aragon!E4440,'Kilter Holds'!$P$36:$AB$370,6,0),0)</f>
        <v>0</v>
      </c>
      <c r="J4440" s="2">
        <f t="shared" si="321"/>
        <v>0</v>
      </c>
      <c r="K4440" s="2">
        <f t="shared" si="323"/>
        <v>0</v>
      </c>
    </row>
    <row r="4441" spans="5:11">
      <c r="E4441" t="s">
        <v>109</v>
      </c>
      <c r="F4441" t="s">
        <v>835</v>
      </c>
      <c r="G4441" s="7" t="str">
        <f t="shared" si="324"/>
        <v>15-12</v>
      </c>
      <c r="H4441" s="1">
        <f>_xlfn.IFNA(VLOOKUP(Aragon!E4441,'Kilter Holds'!$P$36:$AB$370,7,0),0)</f>
        <v>0</v>
      </c>
      <c r="J4441" s="2">
        <f t="shared" si="321"/>
        <v>0</v>
      </c>
      <c r="K4441" s="2">
        <f t="shared" si="323"/>
        <v>0</v>
      </c>
    </row>
    <row r="4442" spans="5:11">
      <c r="E4442" t="s">
        <v>109</v>
      </c>
      <c r="F4442" t="s">
        <v>835</v>
      </c>
      <c r="G4442" s="8" t="str">
        <f t="shared" si="324"/>
        <v>16-16</v>
      </c>
      <c r="H4442" s="1">
        <f>_xlfn.IFNA(VLOOKUP(Aragon!E4442,'Kilter Holds'!$P$36:$AB$370,8,0),0)</f>
        <v>0</v>
      </c>
      <c r="J4442" s="2">
        <f t="shared" si="321"/>
        <v>0</v>
      </c>
      <c r="K4442" s="2">
        <f t="shared" si="323"/>
        <v>0</v>
      </c>
    </row>
    <row r="4443" spans="5:11">
      <c r="E4443" t="s">
        <v>109</v>
      </c>
      <c r="F4443" t="s">
        <v>835</v>
      </c>
      <c r="G4443" s="9" t="str">
        <f t="shared" si="324"/>
        <v>13-01</v>
      </c>
      <c r="H4443" s="1">
        <f>_xlfn.IFNA(VLOOKUP(Aragon!E4443,'Kilter Holds'!$P$36:$AB$370,9,0),0)</f>
        <v>0</v>
      </c>
      <c r="J4443" s="2">
        <f t="shared" si="321"/>
        <v>0</v>
      </c>
      <c r="K4443" s="2">
        <f t="shared" si="323"/>
        <v>0</v>
      </c>
    </row>
    <row r="4444" spans="5:11">
      <c r="E4444" t="s">
        <v>109</v>
      </c>
      <c r="F4444" t="s">
        <v>835</v>
      </c>
      <c r="G4444" s="10" t="str">
        <f t="shared" si="324"/>
        <v>07-13</v>
      </c>
      <c r="H4444" s="1">
        <f>_xlfn.IFNA(VLOOKUP(Aragon!E4444,'Kilter Holds'!$P$36:$AB$370,10,0),0)</f>
        <v>0</v>
      </c>
      <c r="J4444" s="2">
        <f t="shared" si="321"/>
        <v>0</v>
      </c>
      <c r="K4444" s="2">
        <f t="shared" si="323"/>
        <v>0</v>
      </c>
    </row>
    <row r="4445" spans="5:11">
      <c r="E4445" t="s">
        <v>109</v>
      </c>
      <c r="F4445" t="s">
        <v>835</v>
      </c>
      <c r="G4445" s="11" t="str">
        <f t="shared" si="324"/>
        <v>11-25</v>
      </c>
      <c r="H4445" s="1">
        <f>_xlfn.IFNA(VLOOKUP(Aragon!E4445,'Kilter Holds'!$P$36:$AB$370,11,0),0)</f>
        <v>0</v>
      </c>
      <c r="J4445" s="2">
        <f t="shared" si="321"/>
        <v>0</v>
      </c>
      <c r="K4445" s="2">
        <f t="shared" si="323"/>
        <v>0</v>
      </c>
    </row>
    <row r="4446" spans="5:11">
      <c r="E4446" t="s">
        <v>109</v>
      </c>
      <c r="F4446" t="s">
        <v>835</v>
      </c>
      <c r="G4446" s="13" t="str">
        <f t="shared" si="324"/>
        <v>18-01</v>
      </c>
      <c r="H4446" s="1">
        <f>_xlfn.IFNA(VLOOKUP(Aragon!E4446,'Kilter Holds'!$P$36:$AB$370,12,0),0)</f>
        <v>0</v>
      </c>
      <c r="J4446" s="2">
        <f t="shared" si="321"/>
        <v>0</v>
      </c>
      <c r="K4446" s="2">
        <f t="shared" si="323"/>
        <v>0</v>
      </c>
    </row>
    <row r="4447" spans="5:11">
      <c r="E4447" t="s">
        <v>109</v>
      </c>
      <c r="F4447" t="s">
        <v>835</v>
      </c>
      <c r="G4447" s="12" t="str">
        <f t="shared" si="324"/>
        <v>12-01</v>
      </c>
      <c r="H4447" s="1">
        <f>_xlfn.IFNA(VLOOKUP(Aragon!E4447,'Kilter Holds'!$P$36:$AB$370,13,0),0)</f>
        <v>0</v>
      </c>
      <c r="J4447" s="2">
        <f t="shared" si="321"/>
        <v>0</v>
      </c>
      <c r="K4447" s="2">
        <f t="shared" si="323"/>
        <v>0</v>
      </c>
    </row>
    <row r="4448" spans="5:11">
      <c r="E4448" t="s">
        <v>107</v>
      </c>
      <c r="F4448" t="s">
        <v>836</v>
      </c>
      <c r="G4448" s="5" t="str">
        <f t="shared" si="324"/>
        <v>11-12</v>
      </c>
      <c r="H4448" s="1">
        <f>_xlfn.IFNA(VLOOKUP(Aragon!E4448,'Kilter Holds'!$P$36:$AB$370,5,0),0)</f>
        <v>0</v>
      </c>
      <c r="J4448" s="2">
        <f t="shared" si="321"/>
        <v>0</v>
      </c>
      <c r="K4448" s="2">
        <f t="shared" si="323"/>
        <v>0</v>
      </c>
    </row>
    <row r="4449" spans="5:11">
      <c r="E4449" t="s">
        <v>107</v>
      </c>
      <c r="F4449" t="s">
        <v>836</v>
      </c>
      <c r="G4449" s="6" t="str">
        <f t="shared" si="324"/>
        <v>14-01</v>
      </c>
      <c r="H4449" s="1">
        <f>_xlfn.IFNA(VLOOKUP(Aragon!E4449,'Kilter Holds'!$P$36:$AB$370,6,0),0)</f>
        <v>0</v>
      </c>
      <c r="J4449" s="2">
        <f t="shared" si="321"/>
        <v>0</v>
      </c>
      <c r="K4449" s="2">
        <f t="shared" ref="K4449:K4512" si="352">IF($V$11="Y",J4449*0.05,0)</f>
        <v>0</v>
      </c>
    </row>
    <row r="4450" spans="5:11">
      <c r="E4450" t="s">
        <v>107</v>
      </c>
      <c r="F4450" t="s">
        <v>836</v>
      </c>
      <c r="G4450" s="7" t="str">
        <f t="shared" ref="G4450:G4513" si="353">G4441</f>
        <v>15-12</v>
      </c>
      <c r="H4450" s="1">
        <f>_xlfn.IFNA(VLOOKUP(Aragon!E4450,'Kilter Holds'!$P$36:$AB$370,7,0),0)</f>
        <v>0</v>
      </c>
      <c r="J4450" s="2">
        <f t="shared" si="321"/>
        <v>0</v>
      </c>
      <c r="K4450" s="2">
        <f t="shared" si="352"/>
        <v>0</v>
      </c>
    </row>
    <row r="4451" spans="5:11">
      <c r="E4451" t="s">
        <v>107</v>
      </c>
      <c r="F4451" t="s">
        <v>836</v>
      </c>
      <c r="G4451" s="8" t="str">
        <f t="shared" si="353"/>
        <v>16-16</v>
      </c>
      <c r="H4451" s="1">
        <f>_xlfn.IFNA(VLOOKUP(Aragon!E4451,'Kilter Holds'!$P$36:$AB$370,8,0),0)</f>
        <v>0</v>
      </c>
      <c r="J4451" s="2">
        <f t="shared" si="321"/>
        <v>0</v>
      </c>
      <c r="K4451" s="2">
        <f t="shared" si="352"/>
        <v>0</v>
      </c>
    </row>
    <row r="4452" spans="5:11">
      <c r="E4452" t="s">
        <v>107</v>
      </c>
      <c r="F4452" t="s">
        <v>836</v>
      </c>
      <c r="G4452" s="9" t="str">
        <f t="shared" si="353"/>
        <v>13-01</v>
      </c>
      <c r="H4452" s="1">
        <f>_xlfn.IFNA(VLOOKUP(Aragon!E4452,'Kilter Holds'!$P$36:$AB$370,9,0),0)</f>
        <v>0</v>
      </c>
      <c r="J4452" s="2">
        <f t="shared" si="321"/>
        <v>0</v>
      </c>
      <c r="K4452" s="2">
        <f t="shared" si="352"/>
        <v>0</v>
      </c>
    </row>
    <row r="4453" spans="5:11">
      <c r="E4453" t="s">
        <v>107</v>
      </c>
      <c r="F4453" t="s">
        <v>836</v>
      </c>
      <c r="G4453" s="10" t="str">
        <f t="shared" si="353"/>
        <v>07-13</v>
      </c>
      <c r="H4453" s="1">
        <f>_xlfn.IFNA(VLOOKUP(Aragon!E4453,'Kilter Holds'!$P$36:$AB$370,10,0),0)</f>
        <v>0</v>
      </c>
      <c r="J4453" s="2">
        <f t="shared" si="321"/>
        <v>0</v>
      </c>
      <c r="K4453" s="2">
        <f t="shared" si="352"/>
        <v>0</v>
      </c>
    </row>
    <row r="4454" spans="5:11">
      <c r="E4454" t="s">
        <v>107</v>
      </c>
      <c r="F4454" t="s">
        <v>836</v>
      </c>
      <c r="G4454" s="11" t="str">
        <f t="shared" si="353"/>
        <v>11-25</v>
      </c>
      <c r="H4454" s="1">
        <f>_xlfn.IFNA(VLOOKUP(Aragon!E4454,'Kilter Holds'!$P$36:$AB$370,11,0),0)</f>
        <v>0</v>
      </c>
      <c r="J4454" s="2">
        <f t="shared" si="321"/>
        <v>0</v>
      </c>
      <c r="K4454" s="2">
        <f t="shared" si="352"/>
        <v>0</v>
      </c>
    </row>
    <row r="4455" spans="5:11">
      <c r="E4455" t="s">
        <v>107</v>
      </c>
      <c r="F4455" t="s">
        <v>836</v>
      </c>
      <c r="G4455" s="13" t="str">
        <f t="shared" si="353"/>
        <v>18-01</v>
      </c>
      <c r="H4455" s="1">
        <f>_xlfn.IFNA(VLOOKUP(Aragon!E4455,'Kilter Holds'!$P$36:$AB$370,12,0),0)</f>
        <v>0</v>
      </c>
      <c r="J4455" s="2">
        <f t="shared" si="321"/>
        <v>0</v>
      </c>
      <c r="K4455" s="2">
        <f t="shared" si="352"/>
        <v>0</v>
      </c>
    </row>
    <row r="4456" spans="5:11">
      <c r="E4456" t="s">
        <v>107</v>
      </c>
      <c r="F4456" t="s">
        <v>836</v>
      </c>
      <c r="G4456" s="12" t="str">
        <f t="shared" si="353"/>
        <v>12-01</v>
      </c>
      <c r="H4456" s="1">
        <f>_xlfn.IFNA(VLOOKUP(Aragon!E4456,'Kilter Holds'!$P$36:$AB$370,13,0),0)</f>
        <v>0</v>
      </c>
      <c r="J4456" s="2">
        <f t="shared" ref="J4456:J4519" si="354">H4456*I4456</f>
        <v>0</v>
      </c>
      <c r="K4456" s="2">
        <f t="shared" si="352"/>
        <v>0</v>
      </c>
    </row>
    <row r="4457" spans="5:11">
      <c r="E4457" t="s">
        <v>108</v>
      </c>
      <c r="F4457" t="s">
        <v>837</v>
      </c>
      <c r="G4457" s="5" t="str">
        <f t="shared" si="353"/>
        <v>11-12</v>
      </c>
      <c r="H4457" s="1">
        <f>_xlfn.IFNA(VLOOKUP(Aragon!E4457,'Kilter Holds'!$P$36:$AB$370,5,0),0)</f>
        <v>0</v>
      </c>
      <c r="J4457" s="2">
        <f t="shared" si="354"/>
        <v>0</v>
      </c>
      <c r="K4457" s="2">
        <f t="shared" si="352"/>
        <v>0</v>
      </c>
    </row>
    <row r="4458" spans="5:11">
      <c r="E4458" t="s">
        <v>108</v>
      </c>
      <c r="F4458" t="s">
        <v>837</v>
      </c>
      <c r="G4458" s="6" t="str">
        <f t="shared" si="353"/>
        <v>14-01</v>
      </c>
      <c r="H4458" s="1">
        <f>_xlfn.IFNA(VLOOKUP(Aragon!E4458,'Kilter Holds'!$P$36:$AB$370,6,0),0)</f>
        <v>0</v>
      </c>
      <c r="J4458" s="2">
        <f t="shared" si="354"/>
        <v>0</v>
      </c>
      <c r="K4458" s="2">
        <f t="shared" si="352"/>
        <v>0</v>
      </c>
    </row>
    <row r="4459" spans="5:11">
      <c r="E4459" t="s">
        <v>108</v>
      </c>
      <c r="F4459" t="s">
        <v>837</v>
      </c>
      <c r="G4459" s="7" t="str">
        <f t="shared" si="353"/>
        <v>15-12</v>
      </c>
      <c r="H4459" s="1">
        <f>_xlfn.IFNA(VLOOKUP(Aragon!E4459,'Kilter Holds'!$P$36:$AB$370,7,0),0)</f>
        <v>0</v>
      </c>
      <c r="J4459" s="2">
        <f t="shared" si="354"/>
        <v>0</v>
      </c>
      <c r="K4459" s="2">
        <f t="shared" si="352"/>
        <v>0</v>
      </c>
    </row>
    <row r="4460" spans="5:11">
      <c r="E4460" t="s">
        <v>108</v>
      </c>
      <c r="F4460" t="s">
        <v>837</v>
      </c>
      <c r="G4460" s="8" t="str">
        <f t="shared" si="353"/>
        <v>16-16</v>
      </c>
      <c r="H4460" s="1">
        <f>_xlfn.IFNA(VLOOKUP(Aragon!E4460,'Kilter Holds'!$P$36:$AB$370,8,0),0)</f>
        <v>0</v>
      </c>
      <c r="J4460" s="2">
        <f t="shared" si="354"/>
        <v>0</v>
      </c>
      <c r="K4460" s="2">
        <f t="shared" si="352"/>
        <v>0</v>
      </c>
    </row>
    <row r="4461" spans="5:11">
      <c r="E4461" t="s">
        <v>108</v>
      </c>
      <c r="F4461" t="s">
        <v>837</v>
      </c>
      <c r="G4461" s="9" t="str">
        <f t="shared" si="353"/>
        <v>13-01</v>
      </c>
      <c r="H4461" s="1">
        <f>_xlfn.IFNA(VLOOKUP(Aragon!E4461,'Kilter Holds'!$P$36:$AB$370,9,0),0)</f>
        <v>0</v>
      </c>
      <c r="J4461" s="2">
        <f t="shared" si="354"/>
        <v>0</v>
      </c>
      <c r="K4461" s="2">
        <f t="shared" si="352"/>
        <v>0</v>
      </c>
    </row>
    <row r="4462" spans="5:11">
      <c r="E4462" t="s">
        <v>108</v>
      </c>
      <c r="F4462" t="s">
        <v>837</v>
      </c>
      <c r="G4462" s="10" t="str">
        <f t="shared" si="353"/>
        <v>07-13</v>
      </c>
      <c r="H4462" s="1">
        <f>_xlfn.IFNA(VLOOKUP(Aragon!E4462,'Kilter Holds'!$P$36:$AB$370,10,0),0)</f>
        <v>0</v>
      </c>
      <c r="J4462" s="2">
        <f t="shared" si="354"/>
        <v>0</v>
      </c>
      <c r="K4462" s="2">
        <f t="shared" si="352"/>
        <v>0</v>
      </c>
    </row>
    <row r="4463" spans="5:11">
      <c r="E4463" t="s">
        <v>108</v>
      </c>
      <c r="F4463" t="s">
        <v>837</v>
      </c>
      <c r="G4463" s="11" t="str">
        <f t="shared" si="353"/>
        <v>11-25</v>
      </c>
      <c r="H4463" s="1">
        <f>_xlfn.IFNA(VLOOKUP(Aragon!E4463,'Kilter Holds'!$P$36:$AB$370,11,0),0)</f>
        <v>0</v>
      </c>
      <c r="J4463" s="2">
        <f t="shared" si="354"/>
        <v>0</v>
      </c>
      <c r="K4463" s="2">
        <f t="shared" si="352"/>
        <v>0</v>
      </c>
    </row>
    <row r="4464" spans="5:11">
      <c r="E4464" t="s">
        <v>108</v>
      </c>
      <c r="F4464" t="s">
        <v>837</v>
      </c>
      <c r="G4464" s="13" t="str">
        <f t="shared" si="353"/>
        <v>18-01</v>
      </c>
      <c r="H4464" s="1">
        <f>_xlfn.IFNA(VLOOKUP(Aragon!E4464,'Kilter Holds'!$P$36:$AB$370,12,0),0)</f>
        <v>0</v>
      </c>
      <c r="J4464" s="2">
        <f t="shared" si="354"/>
        <v>0</v>
      </c>
      <c r="K4464" s="2">
        <f t="shared" si="352"/>
        <v>0</v>
      </c>
    </row>
    <row r="4465" spans="5:11">
      <c r="E4465" t="s">
        <v>108</v>
      </c>
      <c r="F4465" t="s">
        <v>837</v>
      </c>
      <c r="G4465" s="12" t="str">
        <f t="shared" si="353"/>
        <v>12-01</v>
      </c>
      <c r="H4465" s="1">
        <f>_xlfn.IFNA(VLOOKUP(Aragon!E4465,'Kilter Holds'!$P$36:$AB$370,13,0),0)</f>
        <v>0</v>
      </c>
      <c r="J4465" s="2">
        <f t="shared" si="354"/>
        <v>0</v>
      </c>
      <c r="K4465" s="2">
        <f t="shared" si="352"/>
        <v>0</v>
      </c>
    </row>
    <row r="4466" spans="5:11">
      <c r="E4466" t="s">
        <v>462</v>
      </c>
      <c r="F4466" t="s">
        <v>838</v>
      </c>
      <c r="G4466" s="5" t="str">
        <f t="shared" si="353"/>
        <v>11-12</v>
      </c>
      <c r="H4466" s="1">
        <f>_xlfn.IFNA(VLOOKUP(Aragon!E4466,'Kilter Holds'!$P$36:$AB$370,5,0),0)</f>
        <v>0</v>
      </c>
      <c r="J4466" s="2">
        <f t="shared" si="354"/>
        <v>0</v>
      </c>
      <c r="K4466" s="2">
        <f t="shared" si="352"/>
        <v>0</v>
      </c>
    </row>
    <row r="4467" spans="5:11">
      <c r="E4467" t="s">
        <v>462</v>
      </c>
      <c r="F4467" t="s">
        <v>838</v>
      </c>
      <c r="G4467" s="6" t="str">
        <f t="shared" si="353"/>
        <v>14-01</v>
      </c>
      <c r="H4467" s="1">
        <f>_xlfn.IFNA(VLOOKUP(Aragon!E4467,'Kilter Holds'!$P$36:$AB$370,6,0),0)</f>
        <v>0</v>
      </c>
      <c r="J4467" s="2">
        <f t="shared" si="354"/>
        <v>0</v>
      </c>
      <c r="K4467" s="2">
        <f t="shared" si="352"/>
        <v>0</v>
      </c>
    </row>
    <row r="4468" spans="5:11">
      <c r="E4468" t="s">
        <v>462</v>
      </c>
      <c r="F4468" t="s">
        <v>838</v>
      </c>
      <c r="G4468" s="7" t="str">
        <f t="shared" si="353"/>
        <v>15-12</v>
      </c>
      <c r="H4468" s="1">
        <f>_xlfn.IFNA(VLOOKUP(Aragon!E4468,'Kilter Holds'!$P$36:$AB$370,7,0),0)</f>
        <v>0</v>
      </c>
      <c r="J4468" s="2">
        <f t="shared" si="354"/>
        <v>0</v>
      </c>
      <c r="K4468" s="2">
        <f t="shared" si="352"/>
        <v>0</v>
      </c>
    </row>
    <row r="4469" spans="5:11">
      <c r="E4469" t="s">
        <v>462</v>
      </c>
      <c r="F4469" t="s">
        <v>838</v>
      </c>
      <c r="G4469" s="8" t="str">
        <f t="shared" si="353"/>
        <v>16-16</v>
      </c>
      <c r="H4469" s="1">
        <f>_xlfn.IFNA(VLOOKUP(Aragon!E4469,'Kilter Holds'!$P$36:$AB$370,8,0),0)</f>
        <v>0</v>
      </c>
      <c r="J4469" s="2">
        <f t="shared" si="354"/>
        <v>0</v>
      </c>
      <c r="K4469" s="2">
        <f t="shared" si="352"/>
        <v>0</v>
      </c>
    </row>
    <row r="4470" spans="5:11">
      <c r="E4470" t="s">
        <v>462</v>
      </c>
      <c r="F4470" t="s">
        <v>838</v>
      </c>
      <c r="G4470" s="9" t="str">
        <f t="shared" si="353"/>
        <v>13-01</v>
      </c>
      <c r="H4470" s="1">
        <f>_xlfn.IFNA(VLOOKUP(Aragon!E4470,'Kilter Holds'!$P$36:$AB$370,9,0),0)</f>
        <v>0</v>
      </c>
      <c r="J4470" s="2">
        <f t="shared" si="354"/>
        <v>0</v>
      </c>
      <c r="K4470" s="2">
        <f t="shared" si="352"/>
        <v>0</v>
      </c>
    </row>
    <row r="4471" spans="5:11">
      <c r="E4471" t="s">
        <v>462</v>
      </c>
      <c r="F4471" t="s">
        <v>838</v>
      </c>
      <c r="G4471" s="10" t="str">
        <f t="shared" si="353"/>
        <v>07-13</v>
      </c>
      <c r="H4471" s="1">
        <f>_xlfn.IFNA(VLOOKUP(Aragon!E4471,'Kilter Holds'!$P$36:$AB$370,10,0),0)</f>
        <v>0</v>
      </c>
      <c r="J4471" s="2">
        <f t="shared" si="354"/>
        <v>0</v>
      </c>
      <c r="K4471" s="2">
        <f t="shared" si="352"/>
        <v>0</v>
      </c>
    </row>
    <row r="4472" spans="5:11">
      <c r="E4472" t="s">
        <v>462</v>
      </c>
      <c r="F4472" t="s">
        <v>838</v>
      </c>
      <c r="G4472" s="11" t="str">
        <f t="shared" si="353"/>
        <v>11-25</v>
      </c>
      <c r="H4472" s="1">
        <f>_xlfn.IFNA(VLOOKUP(Aragon!E4472,'Kilter Holds'!$P$36:$AB$370,11,0),0)</f>
        <v>0</v>
      </c>
      <c r="J4472" s="2">
        <f t="shared" si="354"/>
        <v>0</v>
      </c>
      <c r="K4472" s="2">
        <f t="shared" si="352"/>
        <v>0</v>
      </c>
    </row>
    <row r="4473" spans="5:11">
      <c r="E4473" t="s">
        <v>462</v>
      </c>
      <c r="F4473" t="s">
        <v>838</v>
      </c>
      <c r="G4473" s="13" t="str">
        <f t="shared" si="353"/>
        <v>18-01</v>
      </c>
      <c r="H4473" s="1">
        <f>_xlfn.IFNA(VLOOKUP(Aragon!E4473,'Kilter Holds'!$P$36:$AB$370,12,0),0)</f>
        <v>0</v>
      </c>
      <c r="J4473" s="2">
        <f t="shared" si="354"/>
        <v>0</v>
      </c>
      <c r="K4473" s="2">
        <f t="shared" si="352"/>
        <v>0</v>
      </c>
    </row>
    <row r="4474" spans="5:11">
      <c r="E4474" t="s">
        <v>462</v>
      </c>
      <c r="F4474" t="s">
        <v>838</v>
      </c>
      <c r="G4474" s="12" t="str">
        <f t="shared" si="353"/>
        <v>12-01</v>
      </c>
      <c r="H4474" s="1">
        <f>_xlfn.IFNA(VLOOKUP(Aragon!E4474,'Kilter Holds'!$P$36:$AB$370,13,0),0)</f>
        <v>0</v>
      </c>
      <c r="J4474" s="2">
        <f t="shared" si="354"/>
        <v>0</v>
      </c>
      <c r="K4474" s="2">
        <f t="shared" si="352"/>
        <v>0</v>
      </c>
    </row>
    <row r="4475" spans="5:11">
      <c r="E4475" t="s">
        <v>463</v>
      </c>
      <c r="F4475" t="s">
        <v>839</v>
      </c>
      <c r="G4475" s="5" t="str">
        <f t="shared" si="353"/>
        <v>11-12</v>
      </c>
      <c r="H4475" s="1">
        <f>_xlfn.IFNA(VLOOKUP(Aragon!E4475,'Kilter Holds'!$P$36:$AB$370,5,0),0)</f>
        <v>0</v>
      </c>
      <c r="J4475" s="2">
        <f t="shared" si="354"/>
        <v>0</v>
      </c>
      <c r="K4475" s="2">
        <f t="shared" si="352"/>
        <v>0</v>
      </c>
    </row>
    <row r="4476" spans="5:11">
      <c r="E4476" t="s">
        <v>463</v>
      </c>
      <c r="F4476" t="s">
        <v>839</v>
      </c>
      <c r="G4476" s="6" t="str">
        <f t="shared" si="353"/>
        <v>14-01</v>
      </c>
      <c r="H4476" s="1">
        <f>_xlfn.IFNA(VLOOKUP(Aragon!E4476,'Kilter Holds'!$P$36:$AB$370,6,0),0)</f>
        <v>0</v>
      </c>
      <c r="J4476" s="2">
        <f t="shared" si="354"/>
        <v>0</v>
      </c>
      <c r="K4476" s="2">
        <f t="shared" si="352"/>
        <v>0</v>
      </c>
    </row>
    <row r="4477" spans="5:11">
      <c r="E4477" t="s">
        <v>463</v>
      </c>
      <c r="F4477" t="s">
        <v>839</v>
      </c>
      <c r="G4477" s="7" t="str">
        <f t="shared" si="353"/>
        <v>15-12</v>
      </c>
      <c r="H4477" s="1">
        <f>_xlfn.IFNA(VLOOKUP(Aragon!E4477,'Kilter Holds'!$P$36:$AB$370,7,0),0)</f>
        <v>0</v>
      </c>
      <c r="J4477" s="2">
        <f t="shared" si="354"/>
        <v>0</v>
      </c>
      <c r="K4477" s="2">
        <f t="shared" si="352"/>
        <v>0</v>
      </c>
    </row>
    <row r="4478" spans="5:11">
      <c r="E4478" t="s">
        <v>463</v>
      </c>
      <c r="F4478" t="s">
        <v>839</v>
      </c>
      <c r="G4478" s="8" t="str">
        <f t="shared" si="353"/>
        <v>16-16</v>
      </c>
      <c r="H4478" s="1">
        <f>_xlfn.IFNA(VLOOKUP(Aragon!E4478,'Kilter Holds'!$P$36:$AB$370,8,0),0)</f>
        <v>0</v>
      </c>
      <c r="J4478" s="2">
        <f t="shared" si="354"/>
        <v>0</v>
      </c>
      <c r="K4478" s="2">
        <f t="shared" si="352"/>
        <v>0</v>
      </c>
    </row>
    <row r="4479" spans="5:11">
      <c r="E4479" t="s">
        <v>463</v>
      </c>
      <c r="F4479" t="s">
        <v>839</v>
      </c>
      <c r="G4479" s="9" t="str">
        <f t="shared" si="353"/>
        <v>13-01</v>
      </c>
      <c r="H4479" s="1">
        <f>_xlfn.IFNA(VLOOKUP(Aragon!E4479,'Kilter Holds'!$P$36:$AB$370,9,0),0)</f>
        <v>0</v>
      </c>
      <c r="J4479" s="2">
        <f t="shared" si="354"/>
        <v>0</v>
      </c>
      <c r="K4479" s="2">
        <f t="shared" si="352"/>
        <v>0</v>
      </c>
    </row>
    <row r="4480" spans="5:11">
      <c r="E4480" t="s">
        <v>463</v>
      </c>
      <c r="F4480" t="s">
        <v>839</v>
      </c>
      <c r="G4480" s="10" t="str">
        <f t="shared" si="353"/>
        <v>07-13</v>
      </c>
      <c r="H4480" s="1">
        <f>_xlfn.IFNA(VLOOKUP(Aragon!E4480,'Kilter Holds'!$P$36:$AB$370,10,0),0)</f>
        <v>0</v>
      </c>
      <c r="J4480" s="2">
        <f t="shared" si="354"/>
        <v>0</v>
      </c>
      <c r="K4480" s="2">
        <f t="shared" si="352"/>
        <v>0</v>
      </c>
    </row>
    <row r="4481" spans="5:11">
      <c r="E4481" t="s">
        <v>463</v>
      </c>
      <c r="F4481" t="s">
        <v>839</v>
      </c>
      <c r="G4481" s="11" t="str">
        <f t="shared" si="353"/>
        <v>11-25</v>
      </c>
      <c r="H4481" s="1">
        <f>_xlfn.IFNA(VLOOKUP(Aragon!E4481,'Kilter Holds'!$P$36:$AB$370,11,0),0)</f>
        <v>0</v>
      </c>
      <c r="J4481" s="2">
        <f t="shared" si="354"/>
        <v>0</v>
      </c>
      <c r="K4481" s="2">
        <f t="shared" si="352"/>
        <v>0</v>
      </c>
    </row>
    <row r="4482" spans="5:11">
      <c r="E4482" t="s">
        <v>463</v>
      </c>
      <c r="F4482" t="s">
        <v>839</v>
      </c>
      <c r="G4482" s="13" t="str">
        <f t="shared" si="353"/>
        <v>18-01</v>
      </c>
      <c r="H4482" s="1">
        <f>_xlfn.IFNA(VLOOKUP(Aragon!E4482,'Kilter Holds'!$P$36:$AB$370,12,0),0)</f>
        <v>0</v>
      </c>
      <c r="J4482" s="2">
        <f t="shared" si="354"/>
        <v>0</v>
      </c>
      <c r="K4482" s="2">
        <f t="shared" si="352"/>
        <v>0</v>
      </c>
    </row>
    <row r="4483" spans="5:11">
      <c r="E4483" t="s">
        <v>463</v>
      </c>
      <c r="F4483" t="s">
        <v>839</v>
      </c>
      <c r="G4483" s="12" t="str">
        <f t="shared" si="353"/>
        <v>12-01</v>
      </c>
      <c r="H4483" s="1">
        <f>_xlfn.IFNA(VLOOKUP(Aragon!E4483,'Kilter Holds'!$P$36:$AB$370,13,0),0)</f>
        <v>0</v>
      </c>
      <c r="J4483" s="2">
        <f t="shared" si="354"/>
        <v>0</v>
      </c>
      <c r="K4483" s="2">
        <f t="shared" si="352"/>
        <v>0</v>
      </c>
    </row>
    <row r="4484" spans="5:11">
      <c r="E4484" t="s">
        <v>464</v>
      </c>
      <c r="F4484" t="s">
        <v>840</v>
      </c>
      <c r="G4484" s="5" t="str">
        <f t="shared" si="353"/>
        <v>11-12</v>
      </c>
      <c r="H4484" s="1">
        <f>_xlfn.IFNA(VLOOKUP(Aragon!E4484,'Kilter Holds'!$P$36:$AB$370,5,0),0)</f>
        <v>0</v>
      </c>
      <c r="J4484" s="2">
        <f t="shared" si="354"/>
        <v>0</v>
      </c>
      <c r="K4484" s="2">
        <f t="shared" si="352"/>
        <v>0</v>
      </c>
    </row>
    <row r="4485" spans="5:11">
      <c r="E4485" t="s">
        <v>464</v>
      </c>
      <c r="F4485" t="s">
        <v>840</v>
      </c>
      <c r="G4485" s="6" t="str">
        <f t="shared" si="353"/>
        <v>14-01</v>
      </c>
      <c r="H4485" s="1">
        <f>_xlfn.IFNA(VLOOKUP(Aragon!E4485,'Kilter Holds'!$P$36:$AB$370,6,0),0)</f>
        <v>0</v>
      </c>
      <c r="J4485" s="2">
        <f t="shared" si="354"/>
        <v>0</v>
      </c>
      <c r="K4485" s="2">
        <f t="shared" si="352"/>
        <v>0</v>
      </c>
    </row>
    <row r="4486" spans="5:11">
      <c r="E4486" t="s">
        <v>464</v>
      </c>
      <c r="F4486" t="s">
        <v>840</v>
      </c>
      <c r="G4486" s="7" t="str">
        <f t="shared" si="353"/>
        <v>15-12</v>
      </c>
      <c r="H4486" s="1">
        <f>_xlfn.IFNA(VLOOKUP(Aragon!E4486,'Kilter Holds'!$P$36:$AB$370,7,0),0)</f>
        <v>0</v>
      </c>
      <c r="J4486" s="2">
        <f t="shared" si="354"/>
        <v>0</v>
      </c>
      <c r="K4486" s="2">
        <f t="shared" si="352"/>
        <v>0</v>
      </c>
    </row>
    <row r="4487" spans="5:11">
      <c r="E4487" t="s">
        <v>464</v>
      </c>
      <c r="F4487" t="s">
        <v>840</v>
      </c>
      <c r="G4487" s="8" t="str">
        <f t="shared" si="353"/>
        <v>16-16</v>
      </c>
      <c r="H4487" s="1">
        <f>_xlfn.IFNA(VLOOKUP(Aragon!E4487,'Kilter Holds'!$P$36:$AB$370,8,0),0)</f>
        <v>0</v>
      </c>
      <c r="J4487" s="2">
        <f t="shared" si="354"/>
        <v>0</v>
      </c>
      <c r="K4487" s="2">
        <f t="shared" si="352"/>
        <v>0</v>
      </c>
    </row>
    <row r="4488" spans="5:11">
      <c r="E4488" t="s">
        <v>464</v>
      </c>
      <c r="F4488" t="s">
        <v>840</v>
      </c>
      <c r="G4488" s="9" t="str">
        <f t="shared" si="353"/>
        <v>13-01</v>
      </c>
      <c r="H4488" s="1">
        <f>_xlfn.IFNA(VLOOKUP(Aragon!E4488,'Kilter Holds'!$P$36:$AB$370,9,0),0)</f>
        <v>0</v>
      </c>
      <c r="J4488" s="2">
        <f t="shared" si="354"/>
        <v>0</v>
      </c>
      <c r="K4488" s="2">
        <f t="shared" si="352"/>
        <v>0</v>
      </c>
    </row>
    <row r="4489" spans="5:11">
      <c r="E4489" t="s">
        <v>464</v>
      </c>
      <c r="F4489" t="s">
        <v>840</v>
      </c>
      <c r="G4489" s="10" t="str">
        <f t="shared" si="353"/>
        <v>07-13</v>
      </c>
      <c r="H4489" s="1">
        <f>_xlfn.IFNA(VLOOKUP(Aragon!E4489,'Kilter Holds'!$P$36:$AB$370,10,0),0)</f>
        <v>0</v>
      </c>
      <c r="J4489" s="2">
        <f t="shared" si="354"/>
        <v>0</v>
      </c>
      <c r="K4489" s="2">
        <f t="shared" si="352"/>
        <v>0</v>
      </c>
    </row>
    <row r="4490" spans="5:11">
      <c r="E4490" t="s">
        <v>464</v>
      </c>
      <c r="F4490" t="s">
        <v>840</v>
      </c>
      <c r="G4490" s="11" t="str">
        <f t="shared" si="353"/>
        <v>11-25</v>
      </c>
      <c r="H4490" s="1">
        <f>_xlfn.IFNA(VLOOKUP(Aragon!E4490,'Kilter Holds'!$P$36:$AB$370,11,0),0)</f>
        <v>0</v>
      </c>
      <c r="J4490" s="2">
        <f t="shared" si="354"/>
        <v>0</v>
      </c>
      <c r="K4490" s="2">
        <f t="shared" si="352"/>
        <v>0</v>
      </c>
    </row>
    <row r="4491" spans="5:11">
      <c r="E4491" t="s">
        <v>464</v>
      </c>
      <c r="F4491" t="s">
        <v>840</v>
      </c>
      <c r="G4491" s="13" t="str">
        <f t="shared" si="353"/>
        <v>18-01</v>
      </c>
      <c r="H4491" s="1">
        <f>_xlfn.IFNA(VLOOKUP(Aragon!E4491,'Kilter Holds'!$P$36:$AB$370,12,0),0)</f>
        <v>0</v>
      </c>
      <c r="J4491" s="2">
        <f t="shared" si="354"/>
        <v>0</v>
      </c>
      <c r="K4491" s="2">
        <f t="shared" si="352"/>
        <v>0</v>
      </c>
    </row>
    <row r="4492" spans="5:11">
      <c r="E4492" t="s">
        <v>464</v>
      </c>
      <c r="F4492" t="s">
        <v>840</v>
      </c>
      <c r="G4492" s="12" t="str">
        <f t="shared" si="353"/>
        <v>12-01</v>
      </c>
      <c r="H4492" s="1">
        <f>_xlfn.IFNA(VLOOKUP(Aragon!E4492,'Kilter Holds'!$P$36:$AB$370,13,0),0)</f>
        <v>0</v>
      </c>
      <c r="J4492" s="2">
        <f t="shared" si="354"/>
        <v>0</v>
      </c>
      <c r="K4492" s="2">
        <f t="shared" si="352"/>
        <v>0</v>
      </c>
    </row>
    <row r="4493" spans="5:11">
      <c r="E4493" t="s">
        <v>465</v>
      </c>
      <c r="F4493" t="s">
        <v>841</v>
      </c>
      <c r="G4493" s="5" t="str">
        <f t="shared" si="353"/>
        <v>11-12</v>
      </c>
      <c r="H4493" s="1">
        <f>_xlfn.IFNA(VLOOKUP(Aragon!E4493,'Kilter Holds'!$P$36:$AB$370,5,0),0)</f>
        <v>0</v>
      </c>
      <c r="J4493" s="2">
        <f t="shared" si="354"/>
        <v>0</v>
      </c>
      <c r="K4493" s="2">
        <f t="shared" si="352"/>
        <v>0</v>
      </c>
    </row>
    <row r="4494" spans="5:11">
      <c r="E4494" t="s">
        <v>465</v>
      </c>
      <c r="F4494" t="s">
        <v>841</v>
      </c>
      <c r="G4494" s="6" t="str">
        <f t="shared" si="353"/>
        <v>14-01</v>
      </c>
      <c r="H4494" s="1">
        <f>_xlfn.IFNA(VLOOKUP(Aragon!E4494,'Kilter Holds'!$P$36:$AB$370,6,0),0)</f>
        <v>0</v>
      </c>
      <c r="J4494" s="2">
        <f t="shared" si="354"/>
        <v>0</v>
      </c>
      <c r="K4494" s="2">
        <f t="shared" si="352"/>
        <v>0</v>
      </c>
    </row>
    <row r="4495" spans="5:11">
      <c r="E4495" t="s">
        <v>465</v>
      </c>
      <c r="F4495" t="s">
        <v>841</v>
      </c>
      <c r="G4495" s="7" t="str">
        <f t="shared" si="353"/>
        <v>15-12</v>
      </c>
      <c r="H4495" s="1">
        <f>_xlfn.IFNA(VLOOKUP(Aragon!E4495,'Kilter Holds'!$P$36:$AB$370,7,0),0)</f>
        <v>0</v>
      </c>
      <c r="J4495" s="2">
        <f t="shared" si="354"/>
        <v>0</v>
      </c>
      <c r="K4495" s="2">
        <f t="shared" si="352"/>
        <v>0</v>
      </c>
    </row>
    <row r="4496" spans="5:11">
      <c r="E4496" t="s">
        <v>465</v>
      </c>
      <c r="F4496" t="s">
        <v>841</v>
      </c>
      <c r="G4496" s="8" t="str">
        <f t="shared" si="353"/>
        <v>16-16</v>
      </c>
      <c r="H4496" s="1">
        <f>_xlfn.IFNA(VLOOKUP(Aragon!E4496,'Kilter Holds'!$P$36:$AB$370,8,0),0)</f>
        <v>0</v>
      </c>
      <c r="J4496" s="2">
        <f t="shared" si="354"/>
        <v>0</v>
      </c>
      <c r="K4496" s="2">
        <f t="shared" si="352"/>
        <v>0</v>
      </c>
    </row>
    <row r="4497" spans="5:11">
      <c r="E4497" t="s">
        <v>465</v>
      </c>
      <c r="F4497" t="s">
        <v>841</v>
      </c>
      <c r="G4497" s="9" t="str">
        <f t="shared" si="353"/>
        <v>13-01</v>
      </c>
      <c r="H4497" s="1">
        <f>_xlfn.IFNA(VLOOKUP(Aragon!E4497,'Kilter Holds'!$P$36:$AB$370,9,0),0)</f>
        <v>0</v>
      </c>
      <c r="J4497" s="2">
        <f t="shared" si="354"/>
        <v>0</v>
      </c>
      <c r="K4497" s="2">
        <f t="shared" si="352"/>
        <v>0</v>
      </c>
    </row>
    <row r="4498" spans="5:11">
      <c r="E4498" t="s">
        <v>465</v>
      </c>
      <c r="F4498" t="s">
        <v>841</v>
      </c>
      <c r="G4498" s="10" t="str">
        <f t="shared" si="353"/>
        <v>07-13</v>
      </c>
      <c r="H4498" s="1">
        <f>_xlfn.IFNA(VLOOKUP(Aragon!E4498,'Kilter Holds'!$P$36:$AB$370,10,0),0)</f>
        <v>0</v>
      </c>
      <c r="J4498" s="2">
        <f t="shared" si="354"/>
        <v>0</v>
      </c>
      <c r="K4498" s="2">
        <f t="shared" si="352"/>
        <v>0</v>
      </c>
    </row>
    <row r="4499" spans="5:11">
      <c r="E4499" t="s">
        <v>465</v>
      </c>
      <c r="F4499" t="s">
        <v>841</v>
      </c>
      <c r="G4499" s="11" t="str">
        <f t="shared" si="353"/>
        <v>11-25</v>
      </c>
      <c r="H4499" s="1">
        <f>_xlfn.IFNA(VLOOKUP(Aragon!E4499,'Kilter Holds'!$P$36:$AB$370,11,0),0)</f>
        <v>0</v>
      </c>
      <c r="J4499" s="2">
        <f t="shared" si="354"/>
        <v>0</v>
      </c>
      <c r="K4499" s="2">
        <f t="shared" si="352"/>
        <v>0</v>
      </c>
    </row>
    <row r="4500" spans="5:11">
      <c r="E4500" t="s">
        <v>465</v>
      </c>
      <c r="F4500" t="s">
        <v>841</v>
      </c>
      <c r="G4500" s="13" t="str">
        <f t="shared" si="353"/>
        <v>18-01</v>
      </c>
      <c r="H4500" s="1">
        <f>_xlfn.IFNA(VLOOKUP(Aragon!E4500,'Kilter Holds'!$P$36:$AB$370,12,0),0)</f>
        <v>0</v>
      </c>
      <c r="J4500" s="2">
        <f t="shared" si="354"/>
        <v>0</v>
      </c>
      <c r="K4500" s="2">
        <f t="shared" si="352"/>
        <v>0</v>
      </c>
    </row>
    <row r="4501" spans="5:11">
      <c r="E4501" t="s">
        <v>465</v>
      </c>
      <c r="F4501" t="s">
        <v>841</v>
      </c>
      <c r="G4501" s="12" t="str">
        <f t="shared" si="353"/>
        <v>12-01</v>
      </c>
      <c r="H4501" s="1">
        <f>_xlfn.IFNA(VLOOKUP(Aragon!E4501,'Kilter Holds'!$P$36:$AB$370,13,0),0)</f>
        <v>0</v>
      </c>
      <c r="J4501" s="2">
        <f t="shared" si="354"/>
        <v>0</v>
      </c>
      <c r="K4501" s="2">
        <f t="shared" si="352"/>
        <v>0</v>
      </c>
    </row>
    <row r="4502" spans="5:11">
      <c r="E4502" t="s">
        <v>466</v>
      </c>
      <c r="F4502" t="s">
        <v>842</v>
      </c>
      <c r="G4502" s="5" t="str">
        <f t="shared" si="353"/>
        <v>11-12</v>
      </c>
      <c r="H4502" s="1">
        <f>_xlfn.IFNA(VLOOKUP(Aragon!E4502,'Kilter Holds'!$P$36:$AB$370,5,0),0)</f>
        <v>0</v>
      </c>
      <c r="J4502" s="2">
        <f t="shared" si="354"/>
        <v>0</v>
      </c>
      <c r="K4502" s="2">
        <f t="shared" si="352"/>
        <v>0</v>
      </c>
    </row>
    <row r="4503" spans="5:11">
      <c r="E4503" t="s">
        <v>466</v>
      </c>
      <c r="F4503" t="s">
        <v>842</v>
      </c>
      <c r="G4503" s="6" t="str">
        <f t="shared" si="353"/>
        <v>14-01</v>
      </c>
      <c r="H4503" s="1">
        <f>_xlfn.IFNA(VLOOKUP(Aragon!E4503,'Kilter Holds'!$P$36:$AB$370,6,0),0)</f>
        <v>0</v>
      </c>
      <c r="J4503" s="2">
        <f t="shared" si="354"/>
        <v>0</v>
      </c>
      <c r="K4503" s="2">
        <f t="shared" si="352"/>
        <v>0</v>
      </c>
    </row>
    <row r="4504" spans="5:11">
      <c r="E4504" t="s">
        <v>466</v>
      </c>
      <c r="F4504" t="s">
        <v>842</v>
      </c>
      <c r="G4504" s="7" t="str">
        <f t="shared" si="353"/>
        <v>15-12</v>
      </c>
      <c r="H4504" s="1">
        <f>_xlfn.IFNA(VLOOKUP(Aragon!E4504,'Kilter Holds'!$P$36:$AB$370,7,0),0)</f>
        <v>0</v>
      </c>
      <c r="J4504" s="2">
        <f t="shared" si="354"/>
        <v>0</v>
      </c>
      <c r="K4504" s="2">
        <f t="shared" si="352"/>
        <v>0</v>
      </c>
    </row>
    <row r="4505" spans="5:11">
      <c r="E4505" t="s">
        <v>466</v>
      </c>
      <c r="F4505" t="s">
        <v>842</v>
      </c>
      <c r="G4505" s="8" t="str">
        <f t="shared" si="353"/>
        <v>16-16</v>
      </c>
      <c r="H4505" s="1">
        <f>_xlfn.IFNA(VLOOKUP(Aragon!E4505,'Kilter Holds'!$P$36:$AB$370,8,0),0)</f>
        <v>0</v>
      </c>
      <c r="J4505" s="2">
        <f t="shared" si="354"/>
        <v>0</v>
      </c>
      <c r="K4505" s="2">
        <f t="shared" si="352"/>
        <v>0</v>
      </c>
    </row>
    <row r="4506" spans="5:11">
      <c r="E4506" t="s">
        <v>466</v>
      </c>
      <c r="F4506" t="s">
        <v>842</v>
      </c>
      <c r="G4506" s="9" t="str">
        <f t="shared" si="353"/>
        <v>13-01</v>
      </c>
      <c r="H4506" s="1">
        <f>_xlfn.IFNA(VLOOKUP(Aragon!E4506,'Kilter Holds'!$P$36:$AB$370,9,0),0)</f>
        <v>0</v>
      </c>
      <c r="J4506" s="2">
        <f t="shared" si="354"/>
        <v>0</v>
      </c>
      <c r="K4506" s="2">
        <f t="shared" si="352"/>
        <v>0</v>
      </c>
    </row>
    <row r="4507" spans="5:11">
      <c r="E4507" t="s">
        <v>466</v>
      </c>
      <c r="F4507" t="s">
        <v>842</v>
      </c>
      <c r="G4507" s="10" t="str">
        <f t="shared" si="353"/>
        <v>07-13</v>
      </c>
      <c r="H4507" s="1">
        <f>_xlfn.IFNA(VLOOKUP(Aragon!E4507,'Kilter Holds'!$P$36:$AB$370,10,0),0)</f>
        <v>0</v>
      </c>
      <c r="J4507" s="2">
        <f t="shared" si="354"/>
        <v>0</v>
      </c>
      <c r="K4507" s="2">
        <f t="shared" si="352"/>
        <v>0</v>
      </c>
    </row>
    <row r="4508" spans="5:11">
      <c r="E4508" t="s">
        <v>466</v>
      </c>
      <c r="F4508" t="s">
        <v>842</v>
      </c>
      <c r="G4508" s="11" t="str">
        <f t="shared" si="353"/>
        <v>11-25</v>
      </c>
      <c r="H4508" s="1">
        <f>_xlfn.IFNA(VLOOKUP(Aragon!E4508,'Kilter Holds'!$P$36:$AB$370,11,0),0)</f>
        <v>0</v>
      </c>
      <c r="J4508" s="2">
        <f t="shared" si="354"/>
        <v>0</v>
      </c>
      <c r="K4508" s="2">
        <f t="shared" si="352"/>
        <v>0</v>
      </c>
    </row>
    <row r="4509" spans="5:11">
      <c r="E4509" t="s">
        <v>466</v>
      </c>
      <c r="F4509" t="s">
        <v>842</v>
      </c>
      <c r="G4509" s="13" t="str">
        <f t="shared" si="353"/>
        <v>18-01</v>
      </c>
      <c r="H4509" s="1">
        <f>_xlfn.IFNA(VLOOKUP(Aragon!E4509,'Kilter Holds'!$P$36:$AB$370,12,0),0)</f>
        <v>0</v>
      </c>
      <c r="J4509" s="2">
        <f t="shared" si="354"/>
        <v>0</v>
      </c>
      <c r="K4509" s="2">
        <f t="shared" si="352"/>
        <v>0</v>
      </c>
    </row>
    <row r="4510" spans="5:11">
      <c r="E4510" t="s">
        <v>466</v>
      </c>
      <c r="F4510" t="s">
        <v>842</v>
      </c>
      <c r="G4510" s="12" t="str">
        <f t="shared" si="353"/>
        <v>12-01</v>
      </c>
      <c r="H4510" s="1">
        <f>_xlfn.IFNA(VLOOKUP(Aragon!E4510,'Kilter Holds'!$P$36:$AB$370,13,0),0)</f>
        <v>0</v>
      </c>
      <c r="J4510" s="2">
        <f t="shared" si="354"/>
        <v>0</v>
      </c>
      <c r="K4510" s="2">
        <f t="shared" si="352"/>
        <v>0</v>
      </c>
    </row>
    <row r="4511" spans="5:11">
      <c r="E4511" t="s">
        <v>98</v>
      </c>
      <c r="F4511" t="s">
        <v>843</v>
      </c>
      <c r="G4511" s="5" t="str">
        <f t="shared" si="353"/>
        <v>11-12</v>
      </c>
      <c r="H4511" s="1">
        <f>_xlfn.IFNA(VLOOKUP(Aragon!E4511,'Kilter Holds'!$P$36:$AB$370,5,0),0)</f>
        <v>0</v>
      </c>
      <c r="J4511" s="2">
        <f t="shared" si="354"/>
        <v>0</v>
      </c>
      <c r="K4511" s="2">
        <f t="shared" si="352"/>
        <v>0</v>
      </c>
    </row>
    <row r="4512" spans="5:11">
      <c r="E4512" t="s">
        <v>98</v>
      </c>
      <c r="F4512" t="s">
        <v>843</v>
      </c>
      <c r="G4512" s="6" t="str">
        <f t="shared" si="353"/>
        <v>14-01</v>
      </c>
      <c r="H4512" s="1">
        <f>_xlfn.IFNA(VLOOKUP(Aragon!E4512,'Kilter Holds'!$P$36:$AB$370,6,0),0)</f>
        <v>0</v>
      </c>
      <c r="J4512" s="2">
        <f t="shared" si="354"/>
        <v>0</v>
      </c>
      <c r="K4512" s="2">
        <f t="shared" si="352"/>
        <v>0</v>
      </c>
    </row>
    <row r="4513" spans="5:11">
      <c r="E4513" t="s">
        <v>98</v>
      </c>
      <c r="F4513" t="s">
        <v>843</v>
      </c>
      <c r="G4513" s="7" t="str">
        <f t="shared" si="353"/>
        <v>15-12</v>
      </c>
      <c r="H4513" s="1">
        <f>_xlfn.IFNA(VLOOKUP(Aragon!E4513,'Kilter Holds'!$P$36:$AB$370,7,0),0)</f>
        <v>0</v>
      </c>
      <c r="J4513" s="2">
        <f t="shared" si="354"/>
        <v>0</v>
      </c>
      <c r="K4513" s="2">
        <f t="shared" ref="K4513:K4576" si="355">IF($V$11="Y",J4513*0.05,0)</f>
        <v>0</v>
      </c>
    </row>
    <row r="4514" spans="5:11">
      <c r="E4514" t="s">
        <v>98</v>
      </c>
      <c r="F4514" t="s">
        <v>843</v>
      </c>
      <c r="G4514" s="8" t="str">
        <f t="shared" ref="G4514:G4577" si="356">G4505</f>
        <v>16-16</v>
      </c>
      <c r="H4514" s="1">
        <f>_xlfn.IFNA(VLOOKUP(Aragon!E4514,'Kilter Holds'!$P$36:$AB$370,8,0),0)</f>
        <v>0</v>
      </c>
      <c r="J4514" s="2">
        <f t="shared" si="354"/>
        <v>0</v>
      </c>
      <c r="K4514" s="2">
        <f t="shared" si="355"/>
        <v>0</v>
      </c>
    </row>
    <row r="4515" spans="5:11">
      <c r="E4515" t="s">
        <v>98</v>
      </c>
      <c r="F4515" t="s">
        <v>843</v>
      </c>
      <c r="G4515" s="9" t="str">
        <f t="shared" si="356"/>
        <v>13-01</v>
      </c>
      <c r="H4515" s="1">
        <f>_xlfn.IFNA(VLOOKUP(Aragon!E4515,'Kilter Holds'!$P$36:$AB$370,9,0),0)</f>
        <v>0</v>
      </c>
      <c r="J4515" s="2">
        <f t="shared" si="354"/>
        <v>0</v>
      </c>
      <c r="K4515" s="2">
        <f t="shared" si="355"/>
        <v>0</v>
      </c>
    </row>
    <row r="4516" spans="5:11">
      <c r="E4516" t="s">
        <v>98</v>
      </c>
      <c r="F4516" t="s">
        <v>843</v>
      </c>
      <c r="G4516" s="10" t="str">
        <f t="shared" si="356"/>
        <v>07-13</v>
      </c>
      <c r="H4516" s="1">
        <f>_xlfn.IFNA(VLOOKUP(Aragon!E4516,'Kilter Holds'!$P$36:$AB$370,10,0),0)</f>
        <v>0</v>
      </c>
      <c r="J4516" s="2">
        <f t="shared" si="354"/>
        <v>0</v>
      </c>
      <c r="K4516" s="2">
        <f t="shared" si="355"/>
        <v>0</v>
      </c>
    </row>
    <row r="4517" spans="5:11">
      <c r="E4517" t="s">
        <v>98</v>
      </c>
      <c r="F4517" t="s">
        <v>843</v>
      </c>
      <c r="G4517" s="11" t="str">
        <f t="shared" si="356"/>
        <v>11-25</v>
      </c>
      <c r="H4517" s="1">
        <f>_xlfn.IFNA(VLOOKUP(Aragon!E4517,'Kilter Holds'!$P$36:$AB$370,11,0),0)</f>
        <v>0</v>
      </c>
      <c r="J4517" s="2">
        <f t="shared" si="354"/>
        <v>0</v>
      </c>
      <c r="K4517" s="2">
        <f t="shared" si="355"/>
        <v>0</v>
      </c>
    </row>
    <row r="4518" spans="5:11">
      <c r="E4518" t="s">
        <v>98</v>
      </c>
      <c r="F4518" t="s">
        <v>843</v>
      </c>
      <c r="G4518" s="13" t="str">
        <f t="shared" si="356"/>
        <v>18-01</v>
      </c>
      <c r="H4518" s="1">
        <f>_xlfn.IFNA(VLOOKUP(Aragon!E4518,'Kilter Holds'!$P$36:$AB$370,12,0),0)</f>
        <v>0</v>
      </c>
      <c r="J4518" s="2">
        <f t="shared" si="354"/>
        <v>0</v>
      </c>
      <c r="K4518" s="2">
        <f t="shared" si="355"/>
        <v>0</v>
      </c>
    </row>
    <row r="4519" spans="5:11">
      <c r="E4519" t="s">
        <v>98</v>
      </c>
      <c r="F4519" t="s">
        <v>843</v>
      </c>
      <c r="G4519" s="12" t="str">
        <f t="shared" si="356"/>
        <v>12-01</v>
      </c>
      <c r="H4519" s="1">
        <f>_xlfn.IFNA(VLOOKUP(Aragon!E4519,'Kilter Holds'!$P$36:$AB$370,13,0),0)</f>
        <v>0</v>
      </c>
      <c r="J4519" s="2">
        <f t="shared" si="354"/>
        <v>0</v>
      </c>
      <c r="K4519" s="2">
        <f t="shared" si="355"/>
        <v>0</v>
      </c>
    </row>
    <row r="4520" spans="5:11">
      <c r="E4520" t="s">
        <v>72</v>
      </c>
      <c r="F4520" t="s">
        <v>844</v>
      </c>
      <c r="G4520" s="5" t="str">
        <f t="shared" si="356"/>
        <v>11-12</v>
      </c>
      <c r="H4520" s="1">
        <f>_xlfn.IFNA(VLOOKUP(Aragon!E4520,'Kilter Holds'!$P$36:$AB$370,5,0),0)</f>
        <v>0</v>
      </c>
      <c r="J4520" s="2">
        <f t="shared" ref="J4520:J4583" si="357">H4520*I4520</f>
        <v>0</v>
      </c>
      <c r="K4520" s="2">
        <f t="shared" si="355"/>
        <v>0</v>
      </c>
    </row>
    <row r="4521" spans="5:11">
      <c r="E4521" t="s">
        <v>72</v>
      </c>
      <c r="F4521" t="s">
        <v>844</v>
      </c>
      <c r="G4521" s="6" t="str">
        <f t="shared" si="356"/>
        <v>14-01</v>
      </c>
      <c r="H4521" s="1">
        <f>_xlfn.IFNA(VLOOKUP(Aragon!E4521,'Kilter Holds'!$P$36:$AB$370,6,0),0)</f>
        <v>0</v>
      </c>
      <c r="J4521" s="2">
        <f t="shared" si="357"/>
        <v>0</v>
      </c>
      <c r="K4521" s="2">
        <f t="shared" si="355"/>
        <v>0</v>
      </c>
    </row>
    <row r="4522" spans="5:11">
      <c r="E4522" t="s">
        <v>72</v>
      </c>
      <c r="F4522" t="s">
        <v>844</v>
      </c>
      <c r="G4522" s="7" t="str">
        <f t="shared" si="356"/>
        <v>15-12</v>
      </c>
      <c r="H4522" s="1">
        <f>_xlfn.IFNA(VLOOKUP(Aragon!E4522,'Kilter Holds'!$P$36:$AB$370,7,0),0)</f>
        <v>0</v>
      </c>
      <c r="J4522" s="2">
        <f t="shared" si="357"/>
        <v>0</v>
      </c>
      <c r="K4522" s="2">
        <f t="shared" si="355"/>
        <v>0</v>
      </c>
    </row>
    <row r="4523" spans="5:11">
      <c r="E4523" t="s">
        <v>72</v>
      </c>
      <c r="F4523" t="s">
        <v>844</v>
      </c>
      <c r="G4523" s="8" t="str">
        <f t="shared" si="356"/>
        <v>16-16</v>
      </c>
      <c r="H4523" s="1">
        <f>_xlfn.IFNA(VLOOKUP(Aragon!E4523,'Kilter Holds'!$P$36:$AB$370,8,0),0)</f>
        <v>0</v>
      </c>
      <c r="J4523" s="2">
        <f t="shared" si="357"/>
        <v>0</v>
      </c>
      <c r="K4523" s="2">
        <f t="shared" si="355"/>
        <v>0</v>
      </c>
    </row>
    <row r="4524" spans="5:11">
      <c r="E4524" t="s">
        <v>72</v>
      </c>
      <c r="F4524" t="s">
        <v>844</v>
      </c>
      <c r="G4524" s="9" t="str">
        <f t="shared" si="356"/>
        <v>13-01</v>
      </c>
      <c r="H4524" s="1">
        <f>_xlfn.IFNA(VLOOKUP(Aragon!E4524,'Kilter Holds'!$P$36:$AB$370,9,0),0)</f>
        <v>0</v>
      </c>
      <c r="J4524" s="2">
        <f t="shared" si="357"/>
        <v>0</v>
      </c>
      <c r="K4524" s="2">
        <f t="shared" si="355"/>
        <v>0</v>
      </c>
    </row>
    <row r="4525" spans="5:11">
      <c r="E4525" t="s">
        <v>72</v>
      </c>
      <c r="F4525" t="s">
        <v>844</v>
      </c>
      <c r="G4525" s="10" t="str">
        <f t="shared" si="356"/>
        <v>07-13</v>
      </c>
      <c r="H4525" s="1">
        <f>_xlfn.IFNA(VLOOKUP(Aragon!E4525,'Kilter Holds'!$P$36:$AB$370,10,0),0)</f>
        <v>0</v>
      </c>
      <c r="J4525" s="2">
        <f t="shared" si="357"/>
        <v>0</v>
      </c>
      <c r="K4525" s="2">
        <f t="shared" si="355"/>
        <v>0</v>
      </c>
    </row>
    <row r="4526" spans="5:11">
      <c r="E4526" t="s">
        <v>72</v>
      </c>
      <c r="F4526" t="s">
        <v>844</v>
      </c>
      <c r="G4526" s="11" t="str">
        <f t="shared" si="356"/>
        <v>11-25</v>
      </c>
      <c r="H4526" s="1">
        <f>_xlfn.IFNA(VLOOKUP(Aragon!E4526,'Kilter Holds'!$P$36:$AB$370,11,0),0)</f>
        <v>0</v>
      </c>
      <c r="J4526" s="2">
        <f t="shared" si="357"/>
        <v>0</v>
      </c>
      <c r="K4526" s="2">
        <f t="shared" si="355"/>
        <v>0</v>
      </c>
    </row>
    <row r="4527" spans="5:11">
      <c r="E4527" t="s">
        <v>72</v>
      </c>
      <c r="F4527" t="s">
        <v>844</v>
      </c>
      <c r="G4527" s="13" t="str">
        <f t="shared" si="356"/>
        <v>18-01</v>
      </c>
      <c r="H4527" s="1">
        <f>_xlfn.IFNA(VLOOKUP(Aragon!E4527,'Kilter Holds'!$P$36:$AB$370,12,0),0)</f>
        <v>0</v>
      </c>
      <c r="J4527" s="2">
        <f t="shared" si="357"/>
        <v>0</v>
      </c>
      <c r="K4527" s="2">
        <f t="shared" si="355"/>
        <v>0</v>
      </c>
    </row>
    <row r="4528" spans="5:11">
      <c r="E4528" t="s">
        <v>72</v>
      </c>
      <c r="F4528" t="s">
        <v>844</v>
      </c>
      <c r="G4528" s="12" t="str">
        <f t="shared" si="356"/>
        <v>12-01</v>
      </c>
      <c r="H4528" s="1">
        <f>_xlfn.IFNA(VLOOKUP(Aragon!E4528,'Kilter Holds'!$P$36:$AB$370,13,0),0)</f>
        <v>0</v>
      </c>
      <c r="J4528" s="2">
        <f t="shared" si="357"/>
        <v>0</v>
      </c>
      <c r="K4528" s="2">
        <f t="shared" si="355"/>
        <v>0</v>
      </c>
    </row>
    <row r="4529" spans="5:11">
      <c r="E4529" t="s">
        <v>83</v>
      </c>
      <c r="F4529" t="s">
        <v>845</v>
      </c>
      <c r="G4529" s="5" t="str">
        <f t="shared" si="356"/>
        <v>11-12</v>
      </c>
      <c r="H4529" s="1">
        <f>_xlfn.IFNA(VLOOKUP(Aragon!E4529,'Kilter Holds'!$P$36:$AB$370,5,0),0)</f>
        <v>0</v>
      </c>
      <c r="J4529" s="2">
        <f t="shared" si="357"/>
        <v>0</v>
      </c>
      <c r="K4529" s="2">
        <f t="shared" si="355"/>
        <v>0</v>
      </c>
    </row>
    <row r="4530" spans="5:11">
      <c r="E4530" t="s">
        <v>83</v>
      </c>
      <c r="F4530" t="s">
        <v>845</v>
      </c>
      <c r="G4530" s="6" t="str">
        <f t="shared" si="356"/>
        <v>14-01</v>
      </c>
      <c r="H4530" s="1">
        <f>_xlfn.IFNA(VLOOKUP(Aragon!E4530,'Kilter Holds'!$P$36:$AB$370,6,0),0)</f>
        <v>0</v>
      </c>
      <c r="J4530" s="2">
        <f t="shared" si="357"/>
        <v>0</v>
      </c>
      <c r="K4530" s="2">
        <f t="shared" si="355"/>
        <v>0</v>
      </c>
    </row>
    <row r="4531" spans="5:11">
      <c r="E4531" t="s">
        <v>83</v>
      </c>
      <c r="F4531" t="s">
        <v>845</v>
      </c>
      <c r="G4531" s="7" t="str">
        <f t="shared" si="356"/>
        <v>15-12</v>
      </c>
      <c r="H4531" s="1">
        <f>_xlfn.IFNA(VLOOKUP(Aragon!E4531,'Kilter Holds'!$P$36:$AB$370,7,0),0)</f>
        <v>0</v>
      </c>
      <c r="J4531" s="2">
        <f t="shared" si="357"/>
        <v>0</v>
      </c>
      <c r="K4531" s="2">
        <f t="shared" si="355"/>
        <v>0</v>
      </c>
    </row>
    <row r="4532" spans="5:11">
      <c r="E4532" t="s">
        <v>83</v>
      </c>
      <c r="F4532" t="s">
        <v>845</v>
      </c>
      <c r="G4532" s="8" t="str">
        <f t="shared" si="356"/>
        <v>16-16</v>
      </c>
      <c r="H4532" s="1">
        <f>_xlfn.IFNA(VLOOKUP(Aragon!E4532,'Kilter Holds'!$P$36:$AB$370,8,0),0)</f>
        <v>0</v>
      </c>
      <c r="J4532" s="2">
        <f t="shared" si="357"/>
        <v>0</v>
      </c>
      <c r="K4532" s="2">
        <f t="shared" si="355"/>
        <v>0</v>
      </c>
    </row>
    <row r="4533" spans="5:11">
      <c r="E4533" t="s">
        <v>83</v>
      </c>
      <c r="F4533" t="s">
        <v>845</v>
      </c>
      <c r="G4533" s="9" t="str">
        <f t="shared" si="356"/>
        <v>13-01</v>
      </c>
      <c r="H4533" s="1">
        <f>_xlfn.IFNA(VLOOKUP(Aragon!E4533,'Kilter Holds'!$P$36:$AB$370,9,0),0)</f>
        <v>0</v>
      </c>
      <c r="J4533" s="2">
        <f t="shared" si="357"/>
        <v>0</v>
      </c>
      <c r="K4533" s="2">
        <f t="shared" si="355"/>
        <v>0</v>
      </c>
    </row>
    <row r="4534" spans="5:11">
      <c r="E4534" t="s">
        <v>83</v>
      </c>
      <c r="F4534" t="s">
        <v>845</v>
      </c>
      <c r="G4534" s="10" t="str">
        <f t="shared" si="356"/>
        <v>07-13</v>
      </c>
      <c r="H4534" s="1">
        <f>_xlfn.IFNA(VLOOKUP(Aragon!E4534,'Kilter Holds'!$P$36:$AB$370,10,0),0)</f>
        <v>0</v>
      </c>
      <c r="J4534" s="2">
        <f t="shared" si="357"/>
        <v>0</v>
      </c>
      <c r="K4534" s="2">
        <f t="shared" si="355"/>
        <v>0</v>
      </c>
    </row>
    <row r="4535" spans="5:11">
      <c r="E4535" t="s">
        <v>83</v>
      </c>
      <c r="F4535" t="s">
        <v>845</v>
      </c>
      <c r="G4535" s="11" t="str">
        <f t="shared" si="356"/>
        <v>11-25</v>
      </c>
      <c r="H4535" s="1">
        <f>_xlfn.IFNA(VLOOKUP(Aragon!E4535,'Kilter Holds'!$P$36:$AB$370,11,0),0)</f>
        <v>0</v>
      </c>
      <c r="J4535" s="2">
        <f t="shared" si="357"/>
        <v>0</v>
      </c>
      <c r="K4535" s="2">
        <f t="shared" si="355"/>
        <v>0</v>
      </c>
    </row>
    <row r="4536" spans="5:11">
      <c r="E4536" t="s">
        <v>83</v>
      </c>
      <c r="F4536" t="s">
        <v>845</v>
      </c>
      <c r="G4536" s="13" t="str">
        <f t="shared" si="356"/>
        <v>18-01</v>
      </c>
      <c r="H4536" s="1">
        <f>_xlfn.IFNA(VLOOKUP(Aragon!E4536,'Kilter Holds'!$P$36:$AB$370,12,0),0)</f>
        <v>0</v>
      </c>
      <c r="J4536" s="2">
        <f t="shared" si="357"/>
        <v>0</v>
      </c>
      <c r="K4536" s="2">
        <f t="shared" si="355"/>
        <v>0</v>
      </c>
    </row>
    <row r="4537" spans="5:11">
      <c r="E4537" t="s">
        <v>83</v>
      </c>
      <c r="F4537" t="s">
        <v>845</v>
      </c>
      <c r="G4537" s="12" t="str">
        <f t="shared" si="356"/>
        <v>12-01</v>
      </c>
      <c r="H4537" s="1">
        <f>_xlfn.IFNA(VLOOKUP(Aragon!E4537,'Kilter Holds'!$P$36:$AB$370,13,0),0)</f>
        <v>0</v>
      </c>
      <c r="J4537" s="2">
        <f t="shared" si="357"/>
        <v>0</v>
      </c>
      <c r="K4537" s="2">
        <f t="shared" si="355"/>
        <v>0</v>
      </c>
    </row>
    <row r="4538" spans="5:11">
      <c r="E4538" t="s">
        <v>91</v>
      </c>
      <c r="F4538" t="s">
        <v>846</v>
      </c>
      <c r="G4538" s="5" t="str">
        <f t="shared" si="356"/>
        <v>11-12</v>
      </c>
      <c r="H4538" s="1">
        <f>_xlfn.IFNA(VLOOKUP(Aragon!E4538,'Kilter Holds'!$P$36:$AB$370,5,0),0)</f>
        <v>0</v>
      </c>
      <c r="J4538" s="2">
        <f t="shared" si="357"/>
        <v>0</v>
      </c>
      <c r="K4538" s="2">
        <f t="shared" si="355"/>
        <v>0</v>
      </c>
    </row>
    <row r="4539" spans="5:11">
      <c r="E4539" t="s">
        <v>91</v>
      </c>
      <c r="F4539" t="s">
        <v>846</v>
      </c>
      <c r="G4539" s="6" t="str">
        <f t="shared" si="356"/>
        <v>14-01</v>
      </c>
      <c r="H4539" s="1">
        <f>_xlfn.IFNA(VLOOKUP(Aragon!E4539,'Kilter Holds'!$P$36:$AB$370,6,0),0)</f>
        <v>0</v>
      </c>
      <c r="J4539" s="2">
        <f t="shared" si="357"/>
        <v>0</v>
      </c>
      <c r="K4539" s="2">
        <f t="shared" si="355"/>
        <v>0</v>
      </c>
    </row>
    <row r="4540" spans="5:11">
      <c r="E4540" t="s">
        <v>91</v>
      </c>
      <c r="F4540" t="s">
        <v>846</v>
      </c>
      <c r="G4540" s="7" t="str">
        <f t="shared" si="356"/>
        <v>15-12</v>
      </c>
      <c r="H4540" s="1">
        <f>_xlfn.IFNA(VLOOKUP(Aragon!E4540,'Kilter Holds'!$P$36:$AB$370,7,0),0)</f>
        <v>0</v>
      </c>
      <c r="J4540" s="2">
        <f t="shared" si="357"/>
        <v>0</v>
      </c>
      <c r="K4540" s="2">
        <f t="shared" si="355"/>
        <v>0</v>
      </c>
    </row>
    <row r="4541" spans="5:11">
      <c r="E4541" t="s">
        <v>91</v>
      </c>
      <c r="F4541" t="s">
        <v>846</v>
      </c>
      <c r="G4541" s="8" t="str">
        <f t="shared" si="356"/>
        <v>16-16</v>
      </c>
      <c r="H4541" s="1">
        <f>_xlfn.IFNA(VLOOKUP(Aragon!E4541,'Kilter Holds'!$P$36:$AB$370,8,0),0)</f>
        <v>0</v>
      </c>
      <c r="J4541" s="2">
        <f t="shared" si="357"/>
        <v>0</v>
      </c>
      <c r="K4541" s="2">
        <f t="shared" si="355"/>
        <v>0</v>
      </c>
    </row>
    <row r="4542" spans="5:11">
      <c r="E4542" t="s">
        <v>91</v>
      </c>
      <c r="F4542" t="s">
        <v>846</v>
      </c>
      <c r="G4542" s="9" t="str">
        <f t="shared" si="356"/>
        <v>13-01</v>
      </c>
      <c r="H4542" s="1">
        <f>_xlfn.IFNA(VLOOKUP(Aragon!E4542,'Kilter Holds'!$P$36:$AB$370,9,0),0)</f>
        <v>0</v>
      </c>
      <c r="J4542" s="2">
        <f t="shared" si="357"/>
        <v>0</v>
      </c>
      <c r="K4542" s="2">
        <f t="shared" si="355"/>
        <v>0</v>
      </c>
    </row>
    <row r="4543" spans="5:11">
      <c r="E4543" t="s">
        <v>91</v>
      </c>
      <c r="F4543" t="s">
        <v>846</v>
      </c>
      <c r="G4543" s="10" t="str">
        <f t="shared" si="356"/>
        <v>07-13</v>
      </c>
      <c r="H4543" s="1">
        <f>_xlfn.IFNA(VLOOKUP(Aragon!E4543,'Kilter Holds'!$P$36:$AB$370,10,0),0)</f>
        <v>0</v>
      </c>
      <c r="J4543" s="2">
        <f t="shared" si="357"/>
        <v>0</v>
      </c>
      <c r="K4543" s="2">
        <f t="shared" si="355"/>
        <v>0</v>
      </c>
    </row>
    <row r="4544" spans="5:11">
      <c r="E4544" t="s">
        <v>91</v>
      </c>
      <c r="F4544" t="s">
        <v>846</v>
      </c>
      <c r="G4544" s="11" t="str">
        <f t="shared" si="356"/>
        <v>11-25</v>
      </c>
      <c r="H4544" s="1">
        <f>_xlfn.IFNA(VLOOKUP(Aragon!E4544,'Kilter Holds'!$P$36:$AB$370,11,0),0)</f>
        <v>0</v>
      </c>
      <c r="J4544" s="2">
        <f t="shared" si="357"/>
        <v>0</v>
      </c>
      <c r="K4544" s="2">
        <f t="shared" si="355"/>
        <v>0</v>
      </c>
    </row>
    <row r="4545" spans="5:11">
      <c r="E4545" t="s">
        <v>91</v>
      </c>
      <c r="F4545" t="s">
        <v>846</v>
      </c>
      <c r="G4545" s="13" t="str">
        <f t="shared" si="356"/>
        <v>18-01</v>
      </c>
      <c r="H4545" s="1">
        <f>_xlfn.IFNA(VLOOKUP(Aragon!E4545,'Kilter Holds'!$P$36:$AB$370,12,0),0)</f>
        <v>0</v>
      </c>
      <c r="J4545" s="2">
        <f t="shared" si="357"/>
        <v>0</v>
      </c>
      <c r="K4545" s="2">
        <f t="shared" si="355"/>
        <v>0</v>
      </c>
    </row>
    <row r="4546" spans="5:11">
      <c r="E4546" t="s">
        <v>91</v>
      </c>
      <c r="F4546" t="s">
        <v>846</v>
      </c>
      <c r="G4546" s="12" t="str">
        <f t="shared" si="356"/>
        <v>12-01</v>
      </c>
      <c r="H4546" s="1">
        <f>_xlfn.IFNA(VLOOKUP(Aragon!E4546,'Kilter Holds'!$P$36:$AB$370,13,0),0)</f>
        <v>0</v>
      </c>
      <c r="J4546" s="2">
        <f t="shared" si="357"/>
        <v>0</v>
      </c>
      <c r="K4546" s="2">
        <f t="shared" si="355"/>
        <v>0</v>
      </c>
    </row>
    <row r="4547" spans="5:11">
      <c r="E4547" t="s">
        <v>89</v>
      </c>
      <c r="F4547" t="s">
        <v>847</v>
      </c>
      <c r="G4547" s="5" t="str">
        <f t="shared" si="356"/>
        <v>11-12</v>
      </c>
      <c r="H4547" s="1">
        <f>_xlfn.IFNA(VLOOKUP(Aragon!E4547,'Kilter Holds'!$P$36:$AB$370,5,0),0)</f>
        <v>0</v>
      </c>
      <c r="J4547" s="2">
        <f t="shared" si="357"/>
        <v>0</v>
      </c>
      <c r="K4547" s="2">
        <f t="shared" si="355"/>
        <v>0</v>
      </c>
    </row>
    <row r="4548" spans="5:11">
      <c r="E4548" t="s">
        <v>89</v>
      </c>
      <c r="F4548" t="s">
        <v>847</v>
      </c>
      <c r="G4548" s="6" t="str">
        <f t="shared" si="356"/>
        <v>14-01</v>
      </c>
      <c r="H4548" s="1">
        <f>_xlfn.IFNA(VLOOKUP(Aragon!E4548,'Kilter Holds'!$P$36:$AB$370,6,0),0)</f>
        <v>0</v>
      </c>
      <c r="J4548" s="2">
        <f t="shared" si="357"/>
        <v>0</v>
      </c>
      <c r="K4548" s="2">
        <f t="shared" si="355"/>
        <v>0</v>
      </c>
    </row>
    <row r="4549" spans="5:11">
      <c r="E4549" t="s">
        <v>89</v>
      </c>
      <c r="F4549" t="s">
        <v>847</v>
      </c>
      <c r="G4549" s="7" t="str">
        <f t="shared" si="356"/>
        <v>15-12</v>
      </c>
      <c r="H4549" s="1">
        <f>_xlfn.IFNA(VLOOKUP(Aragon!E4549,'Kilter Holds'!$P$36:$AB$370,7,0),0)</f>
        <v>0</v>
      </c>
      <c r="J4549" s="2">
        <f t="shared" si="357"/>
        <v>0</v>
      </c>
      <c r="K4549" s="2">
        <f t="shared" si="355"/>
        <v>0</v>
      </c>
    </row>
    <row r="4550" spans="5:11">
      <c r="E4550" t="s">
        <v>89</v>
      </c>
      <c r="F4550" t="s">
        <v>847</v>
      </c>
      <c r="G4550" s="8" t="str">
        <f t="shared" si="356"/>
        <v>16-16</v>
      </c>
      <c r="H4550" s="1">
        <f>_xlfn.IFNA(VLOOKUP(Aragon!E4550,'Kilter Holds'!$P$36:$AB$370,8,0),0)</f>
        <v>0</v>
      </c>
      <c r="J4550" s="2">
        <f t="shared" si="357"/>
        <v>0</v>
      </c>
      <c r="K4550" s="2">
        <f t="shared" si="355"/>
        <v>0</v>
      </c>
    </row>
    <row r="4551" spans="5:11">
      <c r="E4551" t="s">
        <v>89</v>
      </c>
      <c r="F4551" t="s">
        <v>847</v>
      </c>
      <c r="G4551" s="9" t="str">
        <f t="shared" si="356"/>
        <v>13-01</v>
      </c>
      <c r="H4551" s="1">
        <f>_xlfn.IFNA(VLOOKUP(Aragon!E4551,'Kilter Holds'!$P$36:$AB$370,9,0),0)</f>
        <v>0</v>
      </c>
      <c r="J4551" s="2">
        <f t="shared" si="357"/>
        <v>0</v>
      </c>
      <c r="K4551" s="2">
        <f t="shared" si="355"/>
        <v>0</v>
      </c>
    </row>
    <row r="4552" spans="5:11">
      <c r="E4552" t="s">
        <v>89</v>
      </c>
      <c r="F4552" t="s">
        <v>847</v>
      </c>
      <c r="G4552" s="10" t="str">
        <f t="shared" si="356"/>
        <v>07-13</v>
      </c>
      <c r="H4552" s="1">
        <f>_xlfn.IFNA(VLOOKUP(Aragon!E4552,'Kilter Holds'!$P$36:$AB$370,10,0),0)</f>
        <v>0</v>
      </c>
      <c r="J4552" s="2">
        <f t="shared" si="357"/>
        <v>0</v>
      </c>
      <c r="K4552" s="2">
        <f t="shared" si="355"/>
        <v>0</v>
      </c>
    </row>
    <row r="4553" spans="5:11">
      <c r="E4553" t="s">
        <v>89</v>
      </c>
      <c r="F4553" t="s">
        <v>847</v>
      </c>
      <c r="G4553" s="11" t="str">
        <f t="shared" si="356"/>
        <v>11-25</v>
      </c>
      <c r="H4553" s="1">
        <f>_xlfn.IFNA(VLOOKUP(Aragon!E4553,'Kilter Holds'!$P$36:$AB$370,11,0),0)</f>
        <v>0</v>
      </c>
      <c r="J4553" s="2">
        <f t="shared" si="357"/>
        <v>0</v>
      </c>
      <c r="K4553" s="2">
        <f t="shared" si="355"/>
        <v>0</v>
      </c>
    </row>
    <row r="4554" spans="5:11">
      <c r="E4554" t="s">
        <v>89</v>
      </c>
      <c r="F4554" t="s">
        <v>847</v>
      </c>
      <c r="G4554" s="13" t="str">
        <f t="shared" si="356"/>
        <v>18-01</v>
      </c>
      <c r="H4554" s="1">
        <f>_xlfn.IFNA(VLOOKUP(Aragon!E4554,'Kilter Holds'!$P$36:$AB$370,12,0),0)</f>
        <v>0</v>
      </c>
      <c r="J4554" s="2">
        <f t="shared" si="357"/>
        <v>0</v>
      </c>
      <c r="K4554" s="2">
        <f t="shared" si="355"/>
        <v>0</v>
      </c>
    </row>
    <row r="4555" spans="5:11">
      <c r="E4555" t="s">
        <v>89</v>
      </c>
      <c r="F4555" t="s">
        <v>847</v>
      </c>
      <c r="G4555" s="12" t="str">
        <f t="shared" si="356"/>
        <v>12-01</v>
      </c>
      <c r="H4555" s="1">
        <f>_xlfn.IFNA(VLOOKUP(Aragon!E4555,'Kilter Holds'!$P$36:$AB$370,13,0),0)</f>
        <v>0</v>
      </c>
      <c r="J4555" s="2">
        <f t="shared" si="357"/>
        <v>0</v>
      </c>
      <c r="K4555" s="2">
        <f t="shared" si="355"/>
        <v>0</v>
      </c>
    </row>
    <row r="4556" spans="5:11">
      <c r="E4556" t="s">
        <v>84</v>
      </c>
      <c r="F4556" t="s">
        <v>848</v>
      </c>
      <c r="G4556" s="5" t="str">
        <f t="shared" si="356"/>
        <v>11-12</v>
      </c>
      <c r="H4556" s="1">
        <f>_xlfn.IFNA(VLOOKUP(Aragon!E4556,'Kilter Holds'!$P$36:$AB$370,5,0),0)</f>
        <v>0</v>
      </c>
      <c r="J4556" s="2">
        <f t="shared" si="357"/>
        <v>0</v>
      </c>
      <c r="K4556" s="2">
        <f t="shared" si="355"/>
        <v>0</v>
      </c>
    </row>
    <row r="4557" spans="5:11">
      <c r="E4557" t="s">
        <v>84</v>
      </c>
      <c r="F4557" t="s">
        <v>848</v>
      </c>
      <c r="G4557" s="6" t="str">
        <f t="shared" si="356"/>
        <v>14-01</v>
      </c>
      <c r="H4557" s="1">
        <f>_xlfn.IFNA(VLOOKUP(Aragon!E4557,'Kilter Holds'!$P$36:$AB$370,6,0),0)</f>
        <v>0</v>
      </c>
      <c r="J4557" s="2">
        <f t="shared" si="357"/>
        <v>0</v>
      </c>
      <c r="K4557" s="2">
        <f t="shared" si="355"/>
        <v>0</v>
      </c>
    </row>
    <row r="4558" spans="5:11">
      <c r="E4558" t="s">
        <v>84</v>
      </c>
      <c r="F4558" t="s">
        <v>848</v>
      </c>
      <c r="G4558" s="7" t="str">
        <f t="shared" si="356"/>
        <v>15-12</v>
      </c>
      <c r="H4558" s="1">
        <f>_xlfn.IFNA(VLOOKUP(Aragon!E4558,'Kilter Holds'!$P$36:$AB$370,7,0),0)</f>
        <v>0</v>
      </c>
      <c r="J4558" s="2">
        <f t="shared" si="357"/>
        <v>0</v>
      </c>
      <c r="K4558" s="2">
        <f t="shared" si="355"/>
        <v>0</v>
      </c>
    </row>
    <row r="4559" spans="5:11">
      <c r="E4559" t="s">
        <v>84</v>
      </c>
      <c r="F4559" t="s">
        <v>848</v>
      </c>
      <c r="G4559" s="8" t="str">
        <f t="shared" si="356"/>
        <v>16-16</v>
      </c>
      <c r="H4559" s="1">
        <f>_xlfn.IFNA(VLOOKUP(Aragon!E4559,'Kilter Holds'!$P$36:$AB$370,8,0),0)</f>
        <v>0</v>
      </c>
      <c r="J4559" s="2">
        <f t="shared" si="357"/>
        <v>0</v>
      </c>
      <c r="K4559" s="2">
        <f t="shared" si="355"/>
        <v>0</v>
      </c>
    </row>
    <row r="4560" spans="5:11">
      <c r="E4560" t="s">
        <v>84</v>
      </c>
      <c r="F4560" t="s">
        <v>848</v>
      </c>
      <c r="G4560" s="9" t="str">
        <f t="shared" si="356"/>
        <v>13-01</v>
      </c>
      <c r="H4560" s="1">
        <f>_xlfn.IFNA(VLOOKUP(Aragon!E4560,'Kilter Holds'!$P$36:$AB$370,9,0),0)</f>
        <v>0</v>
      </c>
      <c r="J4560" s="2">
        <f t="shared" si="357"/>
        <v>0</v>
      </c>
      <c r="K4560" s="2">
        <f t="shared" si="355"/>
        <v>0</v>
      </c>
    </row>
    <row r="4561" spans="5:11">
      <c r="E4561" t="s">
        <v>84</v>
      </c>
      <c r="F4561" t="s">
        <v>848</v>
      </c>
      <c r="G4561" s="10" t="str">
        <f t="shared" si="356"/>
        <v>07-13</v>
      </c>
      <c r="H4561" s="1">
        <f>_xlfn.IFNA(VLOOKUP(Aragon!E4561,'Kilter Holds'!$P$36:$AB$370,10,0),0)</f>
        <v>0</v>
      </c>
      <c r="J4561" s="2">
        <f t="shared" si="357"/>
        <v>0</v>
      </c>
      <c r="K4561" s="2">
        <f t="shared" si="355"/>
        <v>0</v>
      </c>
    </row>
    <row r="4562" spans="5:11">
      <c r="E4562" t="s">
        <v>84</v>
      </c>
      <c r="F4562" t="s">
        <v>848</v>
      </c>
      <c r="G4562" s="11" t="str">
        <f t="shared" si="356"/>
        <v>11-25</v>
      </c>
      <c r="H4562" s="1">
        <f>_xlfn.IFNA(VLOOKUP(Aragon!E4562,'Kilter Holds'!$P$36:$AB$370,11,0),0)</f>
        <v>0</v>
      </c>
      <c r="J4562" s="2">
        <f t="shared" si="357"/>
        <v>0</v>
      </c>
      <c r="K4562" s="2">
        <f t="shared" si="355"/>
        <v>0</v>
      </c>
    </row>
    <row r="4563" spans="5:11">
      <c r="E4563" t="s">
        <v>84</v>
      </c>
      <c r="F4563" t="s">
        <v>848</v>
      </c>
      <c r="G4563" s="13" t="str">
        <f t="shared" si="356"/>
        <v>18-01</v>
      </c>
      <c r="H4563" s="1">
        <f>_xlfn.IFNA(VLOOKUP(Aragon!E4563,'Kilter Holds'!$P$36:$AB$370,12,0),0)</f>
        <v>0</v>
      </c>
      <c r="J4563" s="2">
        <f t="shared" si="357"/>
        <v>0</v>
      </c>
      <c r="K4563" s="2">
        <f t="shared" si="355"/>
        <v>0</v>
      </c>
    </row>
    <row r="4564" spans="5:11">
      <c r="E4564" t="s">
        <v>84</v>
      </c>
      <c r="F4564" t="s">
        <v>848</v>
      </c>
      <c r="G4564" s="12" t="str">
        <f t="shared" si="356"/>
        <v>12-01</v>
      </c>
      <c r="H4564" s="1">
        <f>_xlfn.IFNA(VLOOKUP(Aragon!E4564,'Kilter Holds'!$P$36:$AB$370,13,0),0)</f>
        <v>0</v>
      </c>
      <c r="J4564" s="2">
        <f t="shared" si="357"/>
        <v>0</v>
      </c>
      <c r="K4564" s="2">
        <f t="shared" si="355"/>
        <v>0</v>
      </c>
    </row>
    <row r="4565" spans="5:11">
      <c r="E4565" t="s">
        <v>85</v>
      </c>
      <c r="F4565" t="s">
        <v>849</v>
      </c>
      <c r="G4565" s="5" t="str">
        <f t="shared" si="356"/>
        <v>11-12</v>
      </c>
      <c r="H4565" s="1">
        <f>_xlfn.IFNA(VLOOKUP(Aragon!E4565,'Kilter Holds'!$P$36:$AB$370,5,0),0)</f>
        <v>0</v>
      </c>
      <c r="J4565" s="2">
        <f t="shared" si="357"/>
        <v>0</v>
      </c>
      <c r="K4565" s="2">
        <f t="shared" si="355"/>
        <v>0</v>
      </c>
    </row>
    <row r="4566" spans="5:11">
      <c r="E4566" t="s">
        <v>85</v>
      </c>
      <c r="F4566" t="s">
        <v>849</v>
      </c>
      <c r="G4566" s="6" t="str">
        <f t="shared" si="356"/>
        <v>14-01</v>
      </c>
      <c r="H4566" s="1">
        <f>_xlfn.IFNA(VLOOKUP(Aragon!E4566,'Kilter Holds'!$P$36:$AB$370,6,0),0)</f>
        <v>0</v>
      </c>
      <c r="J4566" s="2">
        <f t="shared" si="357"/>
        <v>0</v>
      </c>
      <c r="K4566" s="2">
        <f t="shared" si="355"/>
        <v>0</v>
      </c>
    </row>
    <row r="4567" spans="5:11">
      <c r="E4567" t="s">
        <v>85</v>
      </c>
      <c r="F4567" t="s">
        <v>849</v>
      </c>
      <c r="G4567" s="7" t="str">
        <f t="shared" si="356"/>
        <v>15-12</v>
      </c>
      <c r="H4567" s="1">
        <f>_xlfn.IFNA(VLOOKUP(Aragon!E4567,'Kilter Holds'!$P$36:$AB$370,7,0),0)</f>
        <v>0</v>
      </c>
      <c r="J4567" s="2">
        <f t="shared" si="357"/>
        <v>0</v>
      </c>
      <c r="K4567" s="2">
        <f t="shared" si="355"/>
        <v>0</v>
      </c>
    </row>
    <row r="4568" spans="5:11">
      <c r="E4568" t="s">
        <v>85</v>
      </c>
      <c r="F4568" t="s">
        <v>849</v>
      </c>
      <c r="G4568" s="8" t="str">
        <f t="shared" si="356"/>
        <v>16-16</v>
      </c>
      <c r="H4568" s="1">
        <f>_xlfn.IFNA(VLOOKUP(Aragon!E4568,'Kilter Holds'!$P$36:$AB$370,8,0),0)</f>
        <v>0</v>
      </c>
      <c r="J4568" s="2">
        <f t="shared" si="357"/>
        <v>0</v>
      </c>
      <c r="K4568" s="2">
        <f t="shared" si="355"/>
        <v>0</v>
      </c>
    </row>
    <row r="4569" spans="5:11">
      <c r="E4569" t="s">
        <v>85</v>
      </c>
      <c r="F4569" t="s">
        <v>849</v>
      </c>
      <c r="G4569" s="9" t="str">
        <f t="shared" si="356"/>
        <v>13-01</v>
      </c>
      <c r="H4569" s="1">
        <f>_xlfn.IFNA(VLOOKUP(Aragon!E4569,'Kilter Holds'!$P$36:$AB$370,9,0),0)</f>
        <v>0</v>
      </c>
      <c r="J4569" s="2">
        <f t="shared" si="357"/>
        <v>0</v>
      </c>
      <c r="K4569" s="2">
        <f t="shared" si="355"/>
        <v>0</v>
      </c>
    </row>
    <row r="4570" spans="5:11">
      <c r="E4570" t="s">
        <v>85</v>
      </c>
      <c r="F4570" t="s">
        <v>849</v>
      </c>
      <c r="G4570" s="10" t="str">
        <f t="shared" si="356"/>
        <v>07-13</v>
      </c>
      <c r="H4570" s="1">
        <f>_xlfn.IFNA(VLOOKUP(Aragon!E4570,'Kilter Holds'!$P$36:$AB$370,10,0),0)</f>
        <v>0</v>
      </c>
      <c r="J4570" s="2">
        <f t="shared" si="357"/>
        <v>0</v>
      </c>
      <c r="K4570" s="2">
        <f t="shared" si="355"/>
        <v>0</v>
      </c>
    </row>
    <row r="4571" spans="5:11">
      <c r="E4571" t="s">
        <v>85</v>
      </c>
      <c r="F4571" t="s">
        <v>849</v>
      </c>
      <c r="G4571" s="11" t="str">
        <f t="shared" si="356"/>
        <v>11-25</v>
      </c>
      <c r="H4571" s="1">
        <f>_xlfn.IFNA(VLOOKUP(Aragon!E4571,'Kilter Holds'!$P$36:$AB$370,11,0),0)</f>
        <v>0</v>
      </c>
      <c r="J4571" s="2">
        <f t="shared" si="357"/>
        <v>0</v>
      </c>
      <c r="K4571" s="2">
        <f t="shared" si="355"/>
        <v>0</v>
      </c>
    </row>
    <row r="4572" spans="5:11">
      <c r="E4572" t="s">
        <v>85</v>
      </c>
      <c r="F4572" t="s">
        <v>849</v>
      </c>
      <c r="G4572" s="13" t="str">
        <f t="shared" si="356"/>
        <v>18-01</v>
      </c>
      <c r="H4572" s="1">
        <f>_xlfn.IFNA(VLOOKUP(Aragon!E4572,'Kilter Holds'!$P$36:$AB$370,12,0),0)</f>
        <v>0</v>
      </c>
      <c r="J4572" s="2">
        <f t="shared" si="357"/>
        <v>0</v>
      </c>
      <c r="K4572" s="2">
        <f t="shared" si="355"/>
        <v>0</v>
      </c>
    </row>
    <row r="4573" spans="5:11">
      <c r="E4573" t="s">
        <v>85</v>
      </c>
      <c r="F4573" t="s">
        <v>849</v>
      </c>
      <c r="G4573" s="12" t="str">
        <f t="shared" si="356"/>
        <v>12-01</v>
      </c>
      <c r="H4573" s="1">
        <f>_xlfn.IFNA(VLOOKUP(Aragon!E4573,'Kilter Holds'!$P$36:$AB$370,13,0),0)</f>
        <v>0</v>
      </c>
      <c r="J4573" s="2">
        <f t="shared" si="357"/>
        <v>0</v>
      </c>
      <c r="K4573" s="2">
        <f t="shared" si="355"/>
        <v>0</v>
      </c>
    </row>
    <row r="4574" spans="5:11">
      <c r="E4574" t="s">
        <v>75</v>
      </c>
      <c r="F4574" t="s">
        <v>850</v>
      </c>
      <c r="G4574" s="5" t="str">
        <f t="shared" si="356"/>
        <v>11-12</v>
      </c>
      <c r="H4574" s="1">
        <f>_xlfn.IFNA(VLOOKUP(Aragon!E4574,'Kilter Holds'!$P$36:$AB$370,5,0),0)</f>
        <v>0</v>
      </c>
      <c r="J4574" s="2">
        <f t="shared" si="357"/>
        <v>0</v>
      </c>
      <c r="K4574" s="2">
        <f t="shared" si="355"/>
        <v>0</v>
      </c>
    </row>
    <row r="4575" spans="5:11">
      <c r="E4575" t="s">
        <v>75</v>
      </c>
      <c r="F4575" t="s">
        <v>850</v>
      </c>
      <c r="G4575" s="6" t="str">
        <f t="shared" si="356"/>
        <v>14-01</v>
      </c>
      <c r="H4575" s="1">
        <f>_xlfn.IFNA(VLOOKUP(Aragon!E4575,'Kilter Holds'!$P$36:$AB$370,6,0),0)</f>
        <v>0</v>
      </c>
      <c r="J4575" s="2">
        <f t="shared" si="357"/>
        <v>0</v>
      </c>
      <c r="K4575" s="2">
        <f t="shared" si="355"/>
        <v>0</v>
      </c>
    </row>
    <row r="4576" spans="5:11">
      <c r="E4576" t="s">
        <v>75</v>
      </c>
      <c r="F4576" t="s">
        <v>850</v>
      </c>
      <c r="G4576" s="7" t="str">
        <f t="shared" si="356"/>
        <v>15-12</v>
      </c>
      <c r="H4576" s="1">
        <f>_xlfn.IFNA(VLOOKUP(Aragon!E4576,'Kilter Holds'!$P$36:$AB$370,7,0),0)</f>
        <v>0</v>
      </c>
      <c r="J4576" s="2">
        <f t="shared" si="357"/>
        <v>0</v>
      </c>
      <c r="K4576" s="2">
        <f t="shared" si="355"/>
        <v>0</v>
      </c>
    </row>
    <row r="4577" spans="5:11">
      <c r="E4577" t="s">
        <v>75</v>
      </c>
      <c r="F4577" t="s">
        <v>850</v>
      </c>
      <c r="G4577" s="8" t="str">
        <f t="shared" si="356"/>
        <v>16-16</v>
      </c>
      <c r="H4577" s="1">
        <f>_xlfn.IFNA(VLOOKUP(Aragon!E4577,'Kilter Holds'!$P$36:$AB$370,8,0),0)</f>
        <v>0</v>
      </c>
      <c r="J4577" s="2">
        <f t="shared" si="357"/>
        <v>0</v>
      </c>
      <c r="K4577" s="2">
        <f t="shared" ref="K4577:K4640" si="358">IF($V$11="Y",J4577*0.05,0)</f>
        <v>0</v>
      </c>
    </row>
    <row r="4578" spans="5:11">
      <c r="E4578" t="s">
        <v>75</v>
      </c>
      <c r="F4578" t="s">
        <v>850</v>
      </c>
      <c r="G4578" s="9" t="str">
        <f t="shared" ref="G4578:G4641" si="359">G4569</f>
        <v>13-01</v>
      </c>
      <c r="H4578" s="1">
        <f>_xlfn.IFNA(VLOOKUP(Aragon!E4578,'Kilter Holds'!$P$36:$AB$370,9,0),0)</f>
        <v>0</v>
      </c>
      <c r="J4578" s="2">
        <f t="shared" si="357"/>
        <v>0</v>
      </c>
      <c r="K4578" s="2">
        <f t="shared" si="358"/>
        <v>0</v>
      </c>
    </row>
    <row r="4579" spans="5:11">
      <c r="E4579" t="s">
        <v>75</v>
      </c>
      <c r="F4579" t="s">
        <v>850</v>
      </c>
      <c r="G4579" s="10" t="str">
        <f t="shared" si="359"/>
        <v>07-13</v>
      </c>
      <c r="H4579" s="1">
        <f>_xlfn.IFNA(VLOOKUP(Aragon!E4579,'Kilter Holds'!$P$36:$AB$370,10,0),0)</f>
        <v>0</v>
      </c>
      <c r="J4579" s="2">
        <f t="shared" si="357"/>
        <v>0</v>
      </c>
      <c r="K4579" s="2">
        <f t="shared" si="358"/>
        <v>0</v>
      </c>
    </row>
    <row r="4580" spans="5:11">
      <c r="E4580" t="s">
        <v>75</v>
      </c>
      <c r="F4580" t="s">
        <v>850</v>
      </c>
      <c r="G4580" s="11" t="str">
        <f t="shared" si="359"/>
        <v>11-25</v>
      </c>
      <c r="H4580" s="1">
        <f>_xlfn.IFNA(VLOOKUP(Aragon!E4580,'Kilter Holds'!$P$36:$AB$370,11,0),0)</f>
        <v>0</v>
      </c>
      <c r="J4580" s="2">
        <f t="shared" si="357"/>
        <v>0</v>
      </c>
      <c r="K4580" s="2">
        <f t="shared" si="358"/>
        <v>0</v>
      </c>
    </row>
    <row r="4581" spans="5:11">
      <c r="E4581" t="s">
        <v>75</v>
      </c>
      <c r="F4581" t="s">
        <v>850</v>
      </c>
      <c r="G4581" s="13" t="str">
        <f t="shared" si="359"/>
        <v>18-01</v>
      </c>
      <c r="H4581" s="1">
        <f>_xlfn.IFNA(VLOOKUP(Aragon!E4581,'Kilter Holds'!$P$36:$AB$370,12,0),0)</f>
        <v>0</v>
      </c>
      <c r="J4581" s="2">
        <f t="shared" si="357"/>
        <v>0</v>
      </c>
      <c r="K4581" s="2">
        <f t="shared" si="358"/>
        <v>0</v>
      </c>
    </row>
    <row r="4582" spans="5:11">
      <c r="E4582" t="s">
        <v>75</v>
      </c>
      <c r="F4582" t="s">
        <v>850</v>
      </c>
      <c r="G4582" s="12" t="str">
        <f t="shared" si="359"/>
        <v>12-01</v>
      </c>
      <c r="H4582" s="1">
        <f>_xlfn.IFNA(VLOOKUP(Aragon!E4582,'Kilter Holds'!$P$36:$AB$370,13,0),0)</f>
        <v>0</v>
      </c>
      <c r="J4582" s="2">
        <f t="shared" si="357"/>
        <v>0</v>
      </c>
      <c r="K4582" s="2">
        <f t="shared" si="358"/>
        <v>0</v>
      </c>
    </row>
    <row r="4583" spans="5:11">
      <c r="E4583" t="s">
        <v>76</v>
      </c>
      <c r="F4583" t="s">
        <v>851</v>
      </c>
      <c r="G4583" s="5" t="str">
        <f t="shared" si="359"/>
        <v>11-12</v>
      </c>
      <c r="H4583" s="1">
        <f>_xlfn.IFNA(VLOOKUP(Aragon!E4583,'Kilter Holds'!$P$36:$AB$370,5,0),0)</f>
        <v>0</v>
      </c>
      <c r="J4583" s="2">
        <f t="shared" si="357"/>
        <v>0</v>
      </c>
      <c r="K4583" s="2">
        <f t="shared" si="358"/>
        <v>0</v>
      </c>
    </row>
    <row r="4584" spans="5:11">
      <c r="E4584" t="s">
        <v>76</v>
      </c>
      <c r="F4584" t="s">
        <v>851</v>
      </c>
      <c r="G4584" s="6" t="str">
        <f t="shared" si="359"/>
        <v>14-01</v>
      </c>
      <c r="H4584" s="1">
        <f>_xlfn.IFNA(VLOOKUP(Aragon!E4584,'Kilter Holds'!$P$36:$AB$370,6,0),0)</f>
        <v>0</v>
      </c>
      <c r="J4584" s="2">
        <f t="shared" ref="J4584:J4647" si="360">H4584*I4584</f>
        <v>0</v>
      </c>
      <c r="K4584" s="2">
        <f t="shared" si="358"/>
        <v>0</v>
      </c>
    </row>
    <row r="4585" spans="5:11">
      <c r="E4585" t="s">
        <v>76</v>
      </c>
      <c r="F4585" t="s">
        <v>851</v>
      </c>
      <c r="G4585" s="7" t="str">
        <f t="shared" si="359"/>
        <v>15-12</v>
      </c>
      <c r="H4585" s="1">
        <f>_xlfn.IFNA(VLOOKUP(Aragon!E4585,'Kilter Holds'!$P$36:$AB$370,7,0),0)</f>
        <v>0</v>
      </c>
      <c r="J4585" s="2">
        <f t="shared" si="360"/>
        <v>0</v>
      </c>
      <c r="K4585" s="2">
        <f t="shared" si="358"/>
        <v>0</v>
      </c>
    </row>
    <row r="4586" spans="5:11">
      <c r="E4586" t="s">
        <v>76</v>
      </c>
      <c r="F4586" t="s">
        <v>851</v>
      </c>
      <c r="G4586" s="8" t="str">
        <f t="shared" si="359"/>
        <v>16-16</v>
      </c>
      <c r="H4586" s="1">
        <f>_xlfn.IFNA(VLOOKUP(Aragon!E4586,'Kilter Holds'!$P$36:$AB$370,8,0),0)</f>
        <v>0</v>
      </c>
      <c r="J4586" s="2">
        <f t="shared" si="360"/>
        <v>0</v>
      </c>
      <c r="K4586" s="2">
        <f t="shared" si="358"/>
        <v>0</v>
      </c>
    </row>
    <row r="4587" spans="5:11">
      <c r="E4587" t="s">
        <v>76</v>
      </c>
      <c r="F4587" t="s">
        <v>851</v>
      </c>
      <c r="G4587" s="9" t="str">
        <f t="shared" si="359"/>
        <v>13-01</v>
      </c>
      <c r="H4587" s="1">
        <f>_xlfn.IFNA(VLOOKUP(Aragon!E4587,'Kilter Holds'!$P$36:$AB$370,9,0),0)</f>
        <v>0</v>
      </c>
      <c r="J4587" s="2">
        <f t="shared" si="360"/>
        <v>0</v>
      </c>
      <c r="K4587" s="2">
        <f t="shared" si="358"/>
        <v>0</v>
      </c>
    </row>
    <row r="4588" spans="5:11">
      <c r="E4588" t="s">
        <v>76</v>
      </c>
      <c r="F4588" t="s">
        <v>851</v>
      </c>
      <c r="G4588" s="10" t="str">
        <f t="shared" si="359"/>
        <v>07-13</v>
      </c>
      <c r="H4588" s="1">
        <f>_xlfn.IFNA(VLOOKUP(Aragon!E4588,'Kilter Holds'!$P$36:$AB$370,10,0),0)</f>
        <v>0</v>
      </c>
      <c r="J4588" s="2">
        <f t="shared" si="360"/>
        <v>0</v>
      </c>
      <c r="K4588" s="2">
        <f t="shared" si="358"/>
        <v>0</v>
      </c>
    </row>
    <row r="4589" spans="5:11">
      <c r="E4589" t="s">
        <v>76</v>
      </c>
      <c r="F4589" t="s">
        <v>851</v>
      </c>
      <c r="G4589" s="11" t="str">
        <f t="shared" si="359"/>
        <v>11-25</v>
      </c>
      <c r="H4589" s="1">
        <f>_xlfn.IFNA(VLOOKUP(Aragon!E4589,'Kilter Holds'!$P$36:$AB$370,11,0),0)</f>
        <v>0</v>
      </c>
      <c r="J4589" s="2">
        <f t="shared" si="360"/>
        <v>0</v>
      </c>
      <c r="K4589" s="2">
        <f t="shared" si="358"/>
        <v>0</v>
      </c>
    </row>
    <row r="4590" spans="5:11">
      <c r="E4590" t="s">
        <v>76</v>
      </c>
      <c r="F4590" t="s">
        <v>851</v>
      </c>
      <c r="G4590" s="13" t="str">
        <f t="shared" si="359"/>
        <v>18-01</v>
      </c>
      <c r="H4590" s="1">
        <f>_xlfn.IFNA(VLOOKUP(Aragon!E4590,'Kilter Holds'!$P$36:$AB$370,12,0),0)</f>
        <v>0</v>
      </c>
      <c r="J4590" s="2">
        <f t="shared" si="360"/>
        <v>0</v>
      </c>
      <c r="K4590" s="2">
        <f t="shared" si="358"/>
        <v>0</v>
      </c>
    </row>
    <row r="4591" spans="5:11">
      <c r="E4591" t="s">
        <v>76</v>
      </c>
      <c r="F4591" t="s">
        <v>851</v>
      </c>
      <c r="G4591" s="12" t="str">
        <f t="shared" si="359"/>
        <v>12-01</v>
      </c>
      <c r="H4591" s="1">
        <f>_xlfn.IFNA(VLOOKUP(Aragon!E4591,'Kilter Holds'!$P$36:$AB$370,13,0),0)</f>
        <v>0</v>
      </c>
      <c r="J4591" s="2">
        <f t="shared" si="360"/>
        <v>0</v>
      </c>
      <c r="K4591" s="2">
        <f t="shared" si="358"/>
        <v>0</v>
      </c>
    </row>
    <row r="4592" spans="5:11">
      <c r="E4592" t="s">
        <v>90</v>
      </c>
      <c r="F4592" t="s">
        <v>852</v>
      </c>
      <c r="G4592" s="5" t="str">
        <f t="shared" si="359"/>
        <v>11-12</v>
      </c>
      <c r="H4592" s="1">
        <f>_xlfn.IFNA(VLOOKUP(Aragon!E4592,'Kilter Holds'!$P$36:$AB$370,5,0),0)</f>
        <v>0</v>
      </c>
      <c r="J4592" s="2">
        <f t="shared" si="360"/>
        <v>0</v>
      </c>
      <c r="K4592" s="2">
        <f t="shared" si="358"/>
        <v>0</v>
      </c>
    </row>
    <row r="4593" spans="5:11">
      <c r="E4593" t="s">
        <v>90</v>
      </c>
      <c r="F4593" t="s">
        <v>852</v>
      </c>
      <c r="G4593" s="6" t="str">
        <f t="shared" si="359"/>
        <v>14-01</v>
      </c>
      <c r="H4593" s="1">
        <f>_xlfn.IFNA(VLOOKUP(Aragon!E4593,'Kilter Holds'!$P$36:$AB$370,6,0),0)</f>
        <v>0</v>
      </c>
      <c r="J4593" s="2">
        <f t="shared" si="360"/>
        <v>0</v>
      </c>
      <c r="K4593" s="2">
        <f t="shared" si="358"/>
        <v>0</v>
      </c>
    </row>
    <row r="4594" spans="5:11">
      <c r="E4594" t="s">
        <v>90</v>
      </c>
      <c r="F4594" t="s">
        <v>852</v>
      </c>
      <c r="G4594" s="7" t="str">
        <f t="shared" si="359"/>
        <v>15-12</v>
      </c>
      <c r="H4594" s="1">
        <f>_xlfn.IFNA(VLOOKUP(Aragon!E4594,'Kilter Holds'!$P$36:$AB$370,7,0),0)</f>
        <v>0</v>
      </c>
      <c r="J4594" s="2">
        <f t="shared" si="360"/>
        <v>0</v>
      </c>
      <c r="K4594" s="2">
        <f t="shared" si="358"/>
        <v>0</v>
      </c>
    </row>
    <row r="4595" spans="5:11">
      <c r="E4595" t="s">
        <v>90</v>
      </c>
      <c r="F4595" t="s">
        <v>852</v>
      </c>
      <c r="G4595" s="8" t="str">
        <f t="shared" si="359"/>
        <v>16-16</v>
      </c>
      <c r="H4595" s="1">
        <f>_xlfn.IFNA(VLOOKUP(Aragon!E4595,'Kilter Holds'!$P$36:$AB$370,8,0),0)</f>
        <v>0</v>
      </c>
      <c r="J4595" s="2">
        <f t="shared" si="360"/>
        <v>0</v>
      </c>
      <c r="K4595" s="2">
        <f t="shared" si="358"/>
        <v>0</v>
      </c>
    </row>
    <row r="4596" spans="5:11">
      <c r="E4596" t="s">
        <v>90</v>
      </c>
      <c r="F4596" t="s">
        <v>852</v>
      </c>
      <c r="G4596" s="9" t="str">
        <f t="shared" si="359"/>
        <v>13-01</v>
      </c>
      <c r="H4596" s="1">
        <f>_xlfn.IFNA(VLOOKUP(Aragon!E4596,'Kilter Holds'!$P$36:$AB$370,9,0),0)</f>
        <v>0</v>
      </c>
      <c r="J4596" s="2">
        <f t="shared" si="360"/>
        <v>0</v>
      </c>
      <c r="K4596" s="2">
        <f t="shared" si="358"/>
        <v>0</v>
      </c>
    </row>
    <row r="4597" spans="5:11">
      <c r="E4597" t="s">
        <v>90</v>
      </c>
      <c r="F4597" t="s">
        <v>852</v>
      </c>
      <c r="G4597" s="10" t="str">
        <f t="shared" si="359"/>
        <v>07-13</v>
      </c>
      <c r="H4597" s="1">
        <f>_xlfn.IFNA(VLOOKUP(Aragon!E4597,'Kilter Holds'!$P$36:$AB$370,10,0),0)</f>
        <v>0</v>
      </c>
      <c r="J4597" s="2">
        <f t="shared" si="360"/>
        <v>0</v>
      </c>
      <c r="K4597" s="2">
        <f t="shared" si="358"/>
        <v>0</v>
      </c>
    </row>
    <row r="4598" spans="5:11">
      <c r="E4598" t="s">
        <v>90</v>
      </c>
      <c r="F4598" t="s">
        <v>852</v>
      </c>
      <c r="G4598" s="11" t="str">
        <f t="shared" si="359"/>
        <v>11-25</v>
      </c>
      <c r="H4598" s="1">
        <f>_xlfn.IFNA(VLOOKUP(Aragon!E4598,'Kilter Holds'!$P$36:$AB$370,11,0),0)</f>
        <v>0</v>
      </c>
      <c r="J4598" s="2">
        <f t="shared" si="360"/>
        <v>0</v>
      </c>
      <c r="K4598" s="2">
        <f t="shared" si="358"/>
        <v>0</v>
      </c>
    </row>
    <row r="4599" spans="5:11">
      <c r="E4599" t="s">
        <v>90</v>
      </c>
      <c r="F4599" t="s">
        <v>852</v>
      </c>
      <c r="G4599" s="13" t="str">
        <f t="shared" si="359"/>
        <v>18-01</v>
      </c>
      <c r="H4599" s="1">
        <f>_xlfn.IFNA(VLOOKUP(Aragon!E4599,'Kilter Holds'!$P$36:$AB$370,12,0),0)</f>
        <v>0</v>
      </c>
      <c r="J4599" s="2">
        <f t="shared" si="360"/>
        <v>0</v>
      </c>
      <c r="K4599" s="2">
        <f t="shared" si="358"/>
        <v>0</v>
      </c>
    </row>
    <row r="4600" spans="5:11">
      <c r="E4600" t="s">
        <v>90</v>
      </c>
      <c r="F4600" t="s">
        <v>852</v>
      </c>
      <c r="G4600" s="12" t="str">
        <f t="shared" si="359"/>
        <v>12-01</v>
      </c>
      <c r="H4600" s="1">
        <f>_xlfn.IFNA(VLOOKUP(Aragon!E4600,'Kilter Holds'!$P$36:$AB$370,13,0),0)</f>
        <v>0</v>
      </c>
      <c r="J4600" s="2">
        <f t="shared" si="360"/>
        <v>0</v>
      </c>
      <c r="K4600" s="2">
        <f t="shared" si="358"/>
        <v>0</v>
      </c>
    </row>
    <row r="4601" spans="5:11">
      <c r="E4601" t="s">
        <v>77</v>
      </c>
      <c r="F4601" t="s">
        <v>853</v>
      </c>
      <c r="G4601" s="5" t="str">
        <f t="shared" si="359"/>
        <v>11-12</v>
      </c>
      <c r="H4601" s="1">
        <f>_xlfn.IFNA(VLOOKUP(Aragon!E4601,'Kilter Holds'!$P$36:$AB$370,5,0),0)</f>
        <v>0</v>
      </c>
      <c r="J4601" s="2">
        <f t="shared" si="360"/>
        <v>0</v>
      </c>
      <c r="K4601" s="2">
        <f t="shared" si="358"/>
        <v>0</v>
      </c>
    </row>
    <row r="4602" spans="5:11">
      <c r="E4602" t="s">
        <v>77</v>
      </c>
      <c r="F4602" t="s">
        <v>853</v>
      </c>
      <c r="G4602" s="6" t="str">
        <f t="shared" si="359"/>
        <v>14-01</v>
      </c>
      <c r="H4602" s="1">
        <f>_xlfn.IFNA(VLOOKUP(Aragon!E4602,'Kilter Holds'!$P$36:$AB$370,6,0),0)</f>
        <v>0</v>
      </c>
      <c r="J4602" s="2">
        <f t="shared" si="360"/>
        <v>0</v>
      </c>
      <c r="K4602" s="2">
        <f t="shared" si="358"/>
        <v>0</v>
      </c>
    </row>
    <row r="4603" spans="5:11">
      <c r="E4603" t="s">
        <v>77</v>
      </c>
      <c r="F4603" t="s">
        <v>853</v>
      </c>
      <c r="G4603" s="7" t="str">
        <f t="shared" si="359"/>
        <v>15-12</v>
      </c>
      <c r="H4603" s="1">
        <f>_xlfn.IFNA(VLOOKUP(Aragon!E4603,'Kilter Holds'!$P$36:$AB$370,7,0),0)</f>
        <v>0</v>
      </c>
      <c r="J4603" s="2">
        <f t="shared" si="360"/>
        <v>0</v>
      </c>
      <c r="K4603" s="2">
        <f t="shared" si="358"/>
        <v>0</v>
      </c>
    </row>
    <row r="4604" spans="5:11">
      <c r="E4604" t="s">
        <v>77</v>
      </c>
      <c r="F4604" t="s">
        <v>853</v>
      </c>
      <c r="G4604" s="8" t="str">
        <f t="shared" si="359"/>
        <v>16-16</v>
      </c>
      <c r="H4604" s="1">
        <f>_xlfn.IFNA(VLOOKUP(Aragon!E4604,'Kilter Holds'!$P$36:$AB$370,8,0),0)</f>
        <v>0</v>
      </c>
      <c r="J4604" s="2">
        <f t="shared" si="360"/>
        <v>0</v>
      </c>
      <c r="K4604" s="2">
        <f t="shared" si="358"/>
        <v>0</v>
      </c>
    </row>
    <row r="4605" spans="5:11">
      <c r="E4605" t="s">
        <v>77</v>
      </c>
      <c r="F4605" t="s">
        <v>853</v>
      </c>
      <c r="G4605" s="9" t="str">
        <f t="shared" si="359"/>
        <v>13-01</v>
      </c>
      <c r="H4605" s="1">
        <f>_xlfn.IFNA(VLOOKUP(Aragon!E4605,'Kilter Holds'!$P$36:$AB$370,9,0),0)</f>
        <v>0</v>
      </c>
      <c r="J4605" s="2">
        <f t="shared" si="360"/>
        <v>0</v>
      </c>
      <c r="K4605" s="2">
        <f t="shared" si="358"/>
        <v>0</v>
      </c>
    </row>
    <row r="4606" spans="5:11">
      <c r="E4606" t="s">
        <v>77</v>
      </c>
      <c r="F4606" t="s">
        <v>853</v>
      </c>
      <c r="G4606" s="10" t="str">
        <f t="shared" si="359"/>
        <v>07-13</v>
      </c>
      <c r="H4606" s="1">
        <f>_xlfn.IFNA(VLOOKUP(Aragon!E4606,'Kilter Holds'!$P$36:$AB$370,10,0),0)</f>
        <v>0</v>
      </c>
      <c r="J4606" s="2">
        <f t="shared" si="360"/>
        <v>0</v>
      </c>
      <c r="K4606" s="2">
        <f t="shared" si="358"/>
        <v>0</v>
      </c>
    </row>
    <row r="4607" spans="5:11">
      <c r="E4607" t="s">
        <v>77</v>
      </c>
      <c r="F4607" t="s">
        <v>853</v>
      </c>
      <c r="G4607" s="11" t="str">
        <f t="shared" si="359"/>
        <v>11-25</v>
      </c>
      <c r="H4607" s="1">
        <f>_xlfn.IFNA(VLOOKUP(Aragon!E4607,'Kilter Holds'!$P$36:$AB$370,11,0),0)</f>
        <v>0</v>
      </c>
      <c r="J4607" s="2">
        <f t="shared" si="360"/>
        <v>0</v>
      </c>
      <c r="K4607" s="2">
        <f t="shared" si="358"/>
        <v>0</v>
      </c>
    </row>
    <row r="4608" spans="5:11">
      <c r="E4608" t="s">
        <v>77</v>
      </c>
      <c r="F4608" t="s">
        <v>853</v>
      </c>
      <c r="G4608" s="13" t="str">
        <f t="shared" si="359"/>
        <v>18-01</v>
      </c>
      <c r="H4608" s="1">
        <f>_xlfn.IFNA(VLOOKUP(Aragon!E4608,'Kilter Holds'!$P$36:$AB$370,12,0),0)</f>
        <v>0</v>
      </c>
      <c r="J4608" s="2">
        <f t="shared" si="360"/>
        <v>0</v>
      </c>
      <c r="K4608" s="2">
        <f t="shared" si="358"/>
        <v>0</v>
      </c>
    </row>
    <row r="4609" spans="5:11">
      <c r="E4609" t="s">
        <v>77</v>
      </c>
      <c r="F4609" t="s">
        <v>853</v>
      </c>
      <c r="G4609" s="12" t="str">
        <f t="shared" si="359"/>
        <v>12-01</v>
      </c>
      <c r="H4609" s="1">
        <f>_xlfn.IFNA(VLOOKUP(Aragon!E4609,'Kilter Holds'!$P$36:$AB$370,13,0),0)</f>
        <v>0</v>
      </c>
      <c r="J4609" s="2">
        <f t="shared" si="360"/>
        <v>0</v>
      </c>
      <c r="K4609" s="2">
        <f t="shared" si="358"/>
        <v>0</v>
      </c>
    </row>
    <row r="4610" spans="5:11">
      <c r="E4610" t="s">
        <v>78</v>
      </c>
      <c r="F4610" t="s">
        <v>854</v>
      </c>
      <c r="G4610" s="5" t="str">
        <f t="shared" si="359"/>
        <v>11-12</v>
      </c>
      <c r="H4610" s="1">
        <f>_xlfn.IFNA(VLOOKUP(Aragon!E4610,'Kilter Holds'!$P$36:$AB$370,5,0),0)</f>
        <v>0</v>
      </c>
      <c r="J4610" s="2">
        <f t="shared" si="360"/>
        <v>0</v>
      </c>
      <c r="K4610" s="2">
        <f t="shared" si="358"/>
        <v>0</v>
      </c>
    </row>
    <row r="4611" spans="5:11">
      <c r="E4611" t="s">
        <v>78</v>
      </c>
      <c r="F4611" t="s">
        <v>854</v>
      </c>
      <c r="G4611" s="6" t="str">
        <f t="shared" si="359"/>
        <v>14-01</v>
      </c>
      <c r="H4611" s="1">
        <f>_xlfn.IFNA(VLOOKUP(Aragon!E4611,'Kilter Holds'!$P$36:$AB$370,6,0),0)</f>
        <v>0</v>
      </c>
      <c r="J4611" s="2">
        <f t="shared" si="360"/>
        <v>0</v>
      </c>
      <c r="K4611" s="2">
        <f t="shared" si="358"/>
        <v>0</v>
      </c>
    </row>
    <row r="4612" spans="5:11">
      <c r="E4612" t="s">
        <v>78</v>
      </c>
      <c r="F4612" t="s">
        <v>854</v>
      </c>
      <c r="G4612" s="7" t="str">
        <f t="shared" si="359"/>
        <v>15-12</v>
      </c>
      <c r="H4612" s="1">
        <f>_xlfn.IFNA(VLOOKUP(Aragon!E4612,'Kilter Holds'!$P$36:$AB$370,7,0),0)</f>
        <v>0</v>
      </c>
      <c r="J4612" s="2">
        <f t="shared" si="360"/>
        <v>0</v>
      </c>
      <c r="K4612" s="2">
        <f t="shared" si="358"/>
        <v>0</v>
      </c>
    </row>
    <row r="4613" spans="5:11">
      <c r="E4613" t="s">
        <v>78</v>
      </c>
      <c r="F4613" t="s">
        <v>854</v>
      </c>
      <c r="G4613" s="8" t="str">
        <f t="shared" si="359"/>
        <v>16-16</v>
      </c>
      <c r="H4613" s="1">
        <f>_xlfn.IFNA(VLOOKUP(Aragon!E4613,'Kilter Holds'!$P$36:$AB$370,8,0),0)</f>
        <v>0</v>
      </c>
      <c r="J4613" s="2">
        <f t="shared" si="360"/>
        <v>0</v>
      </c>
      <c r="K4613" s="2">
        <f t="shared" si="358"/>
        <v>0</v>
      </c>
    </row>
    <row r="4614" spans="5:11">
      <c r="E4614" t="s">
        <v>78</v>
      </c>
      <c r="F4614" t="s">
        <v>854</v>
      </c>
      <c r="G4614" s="9" t="str">
        <f t="shared" si="359"/>
        <v>13-01</v>
      </c>
      <c r="H4614" s="1">
        <f>_xlfn.IFNA(VLOOKUP(Aragon!E4614,'Kilter Holds'!$P$36:$AB$370,9,0),0)</f>
        <v>0</v>
      </c>
      <c r="J4614" s="2">
        <f t="shared" si="360"/>
        <v>0</v>
      </c>
      <c r="K4614" s="2">
        <f t="shared" si="358"/>
        <v>0</v>
      </c>
    </row>
    <row r="4615" spans="5:11">
      <c r="E4615" t="s">
        <v>78</v>
      </c>
      <c r="F4615" t="s">
        <v>854</v>
      </c>
      <c r="G4615" s="10" t="str">
        <f t="shared" si="359"/>
        <v>07-13</v>
      </c>
      <c r="H4615" s="1">
        <f>_xlfn.IFNA(VLOOKUP(Aragon!E4615,'Kilter Holds'!$P$36:$AB$370,10,0),0)</f>
        <v>0</v>
      </c>
      <c r="J4615" s="2">
        <f t="shared" si="360"/>
        <v>0</v>
      </c>
      <c r="K4615" s="2">
        <f t="shared" si="358"/>
        <v>0</v>
      </c>
    </row>
    <row r="4616" spans="5:11">
      <c r="E4616" t="s">
        <v>78</v>
      </c>
      <c r="F4616" t="s">
        <v>854</v>
      </c>
      <c r="G4616" s="11" t="str">
        <f t="shared" si="359"/>
        <v>11-25</v>
      </c>
      <c r="H4616" s="1">
        <f>_xlfn.IFNA(VLOOKUP(Aragon!E4616,'Kilter Holds'!$P$36:$AB$370,11,0),0)</f>
        <v>0</v>
      </c>
      <c r="J4616" s="2">
        <f t="shared" si="360"/>
        <v>0</v>
      </c>
      <c r="K4616" s="2">
        <f t="shared" si="358"/>
        <v>0</v>
      </c>
    </row>
    <row r="4617" spans="5:11">
      <c r="E4617" t="s">
        <v>78</v>
      </c>
      <c r="F4617" t="s">
        <v>854</v>
      </c>
      <c r="G4617" s="13" t="str">
        <f t="shared" si="359"/>
        <v>18-01</v>
      </c>
      <c r="H4617" s="1">
        <f>_xlfn.IFNA(VLOOKUP(Aragon!E4617,'Kilter Holds'!$P$36:$AB$370,12,0),0)</f>
        <v>0</v>
      </c>
      <c r="J4617" s="2">
        <f t="shared" si="360"/>
        <v>0</v>
      </c>
      <c r="K4617" s="2">
        <f t="shared" si="358"/>
        <v>0</v>
      </c>
    </row>
    <row r="4618" spans="5:11">
      <c r="E4618" t="s">
        <v>78</v>
      </c>
      <c r="F4618" t="s">
        <v>854</v>
      </c>
      <c r="G4618" s="12" t="str">
        <f t="shared" si="359"/>
        <v>12-01</v>
      </c>
      <c r="H4618" s="1">
        <f>_xlfn.IFNA(VLOOKUP(Aragon!E4618,'Kilter Holds'!$P$36:$AB$370,13,0),0)</f>
        <v>0</v>
      </c>
      <c r="J4618" s="2">
        <f t="shared" si="360"/>
        <v>0</v>
      </c>
      <c r="K4618" s="2">
        <f t="shared" si="358"/>
        <v>0</v>
      </c>
    </row>
    <row r="4619" spans="5:11">
      <c r="E4619" t="s">
        <v>68</v>
      </c>
      <c r="F4619" t="s">
        <v>855</v>
      </c>
      <c r="G4619" s="5" t="str">
        <f t="shared" si="359"/>
        <v>11-12</v>
      </c>
      <c r="H4619" s="1">
        <f>_xlfn.IFNA(VLOOKUP(Aragon!E4619,'Kilter Holds'!$P$36:$AB$370,5,0),0)</f>
        <v>0</v>
      </c>
      <c r="J4619" s="2">
        <f t="shared" si="360"/>
        <v>0</v>
      </c>
      <c r="K4619" s="2">
        <f t="shared" si="358"/>
        <v>0</v>
      </c>
    </row>
    <row r="4620" spans="5:11">
      <c r="E4620" t="s">
        <v>68</v>
      </c>
      <c r="F4620" t="s">
        <v>855</v>
      </c>
      <c r="G4620" s="6" t="str">
        <f t="shared" si="359"/>
        <v>14-01</v>
      </c>
      <c r="H4620" s="1">
        <f>_xlfn.IFNA(VLOOKUP(Aragon!E4620,'Kilter Holds'!$P$36:$AB$370,6,0),0)</f>
        <v>0</v>
      </c>
      <c r="J4620" s="2">
        <f t="shared" si="360"/>
        <v>0</v>
      </c>
      <c r="K4620" s="2">
        <f t="shared" si="358"/>
        <v>0</v>
      </c>
    </row>
    <row r="4621" spans="5:11">
      <c r="E4621" t="s">
        <v>68</v>
      </c>
      <c r="F4621" t="s">
        <v>855</v>
      </c>
      <c r="G4621" s="7" t="str">
        <f t="shared" si="359"/>
        <v>15-12</v>
      </c>
      <c r="H4621" s="1">
        <f>_xlfn.IFNA(VLOOKUP(Aragon!E4621,'Kilter Holds'!$P$36:$AB$370,7,0),0)</f>
        <v>0</v>
      </c>
      <c r="J4621" s="2">
        <f t="shared" si="360"/>
        <v>0</v>
      </c>
      <c r="K4621" s="2">
        <f t="shared" si="358"/>
        <v>0</v>
      </c>
    </row>
    <row r="4622" spans="5:11">
      <c r="E4622" t="s">
        <v>68</v>
      </c>
      <c r="F4622" t="s">
        <v>855</v>
      </c>
      <c r="G4622" s="8" t="str">
        <f t="shared" si="359"/>
        <v>16-16</v>
      </c>
      <c r="H4622" s="1">
        <f>_xlfn.IFNA(VLOOKUP(Aragon!E4622,'Kilter Holds'!$P$36:$AB$370,8,0),0)</f>
        <v>0</v>
      </c>
      <c r="J4622" s="2">
        <f t="shared" si="360"/>
        <v>0</v>
      </c>
      <c r="K4622" s="2">
        <f t="shared" si="358"/>
        <v>0</v>
      </c>
    </row>
    <row r="4623" spans="5:11">
      <c r="E4623" t="s">
        <v>68</v>
      </c>
      <c r="F4623" t="s">
        <v>855</v>
      </c>
      <c r="G4623" s="9" t="str">
        <f t="shared" si="359"/>
        <v>13-01</v>
      </c>
      <c r="H4623" s="1">
        <f>_xlfn.IFNA(VLOOKUP(Aragon!E4623,'Kilter Holds'!$P$36:$AB$370,9,0),0)</f>
        <v>0</v>
      </c>
      <c r="J4623" s="2">
        <f t="shared" si="360"/>
        <v>0</v>
      </c>
      <c r="K4623" s="2">
        <f t="shared" si="358"/>
        <v>0</v>
      </c>
    </row>
    <row r="4624" spans="5:11">
      <c r="E4624" t="s">
        <v>68</v>
      </c>
      <c r="F4624" t="s">
        <v>855</v>
      </c>
      <c r="G4624" s="10" t="str">
        <f t="shared" si="359"/>
        <v>07-13</v>
      </c>
      <c r="H4624" s="1">
        <f>_xlfn.IFNA(VLOOKUP(Aragon!E4624,'Kilter Holds'!$P$36:$AB$370,10,0),0)</f>
        <v>0</v>
      </c>
      <c r="J4624" s="2">
        <f t="shared" si="360"/>
        <v>0</v>
      </c>
      <c r="K4624" s="2">
        <f t="shared" si="358"/>
        <v>0</v>
      </c>
    </row>
    <row r="4625" spans="5:11">
      <c r="E4625" t="s">
        <v>68</v>
      </c>
      <c r="F4625" t="s">
        <v>855</v>
      </c>
      <c r="G4625" s="11" t="str">
        <f t="shared" si="359"/>
        <v>11-25</v>
      </c>
      <c r="H4625" s="1">
        <f>_xlfn.IFNA(VLOOKUP(Aragon!E4625,'Kilter Holds'!$P$36:$AB$370,11,0),0)</f>
        <v>0</v>
      </c>
      <c r="J4625" s="2">
        <f t="shared" si="360"/>
        <v>0</v>
      </c>
      <c r="K4625" s="2">
        <f t="shared" si="358"/>
        <v>0</v>
      </c>
    </row>
    <row r="4626" spans="5:11">
      <c r="E4626" t="s">
        <v>68</v>
      </c>
      <c r="F4626" t="s">
        <v>855</v>
      </c>
      <c r="G4626" s="13" t="str">
        <f t="shared" si="359"/>
        <v>18-01</v>
      </c>
      <c r="H4626" s="1">
        <f>_xlfn.IFNA(VLOOKUP(Aragon!E4626,'Kilter Holds'!$P$36:$AB$370,12,0),0)</f>
        <v>0</v>
      </c>
      <c r="J4626" s="2">
        <f t="shared" si="360"/>
        <v>0</v>
      </c>
      <c r="K4626" s="2">
        <f t="shared" si="358"/>
        <v>0</v>
      </c>
    </row>
    <row r="4627" spans="5:11">
      <c r="E4627" t="s">
        <v>68</v>
      </c>
      <c r="F4627" t="s">
        <v>855</v>
      </c>
      <c r="G4627" s="12" t="str">
        <f t="shared" si="359"/>
        <v>12-01</v>
      </c>
      <c r="H4627" s="1">
        <f>_xlfn.IFNA(VLOOKUP(Aragon!E4627,'Kilter Holds'!$P$36:$AB$370,13,0),0)</f>
        <v>0</v>
      </c>
      <c r="J4627" s="2">
        <f t="shared" si="360"/>
        <v>0</v>
      </c>
      <c r="K4627" s="2">
        <f t="shared" si="358"/>
        <v>0</v>
      </c>
    </row>
    <row r="4628" spans="5:11">
      <c r="E4628" t="s">
        <v>66</v>
      </c>
      <c r="F4628" t="s">
        <v>856</v>
      </c>
      <c r="G4628" s="5" t="str">
        <f t="shared" si="359"/>
        <v>11-12</v>
      </c>
      <c r="H4628" s="1">
        <f>_xlfn.IFNA(VLOOKUP(Aragon!E4628,'Kilter Holds'!$P$36:$AB$370,5,0),0)</f>
        <v>0</v>
      </c>
      <c r="J4628" s="2">
        <f t="shared" si="360"/>
        <v>0</v>
      </c>
      <c r="K4628" s="2">
        <f t="shared" si="358"/>
        <v>0</v>
      </c>
    </row>
    <row r="4629" spans="5:11">
      <c r="E4629" t="s">
        <v>66</v>
      </c>
      <c r="F4629" t="s">
        <v>856</v>
      </c>
      <c r="G4629" s="6" t="str">
        <f t="shared" si="359"/>
        <v>14-01</v>
      </c>
      <c r="H4629" s="1">
        <f>_xlfn.IFNA(VLOOKUP(Aragon!E4629,'Kilter Holds'!$P$36:$AB$370,6,0),0)</f>
        <v>0</v>
      </c>
      <c r="J4629" s="2">
        <f t="shared" si="360"/>
        <v>0</v>
      </c>
      <c r="K4629" s="2">
        <f t="shared" si="358"/>
        <v>0</v>
      </c>
    </row>
    <row r="4630" spans="5:11">
      <c r="E4630" t="s">
        <v>66</v>
      </c>
      <c r="F4630" t="s">
        <v>856</v>
      </c>
      <c r="G4630" s="7" t="str">
        <f t="shared" si="359"/>
        <v>15-12</v>
      </c>
      <c r="H4630" s="1">
        <f>_xlfn.IFNA(VLOOKUP(Aragon!E4630,'Kilter Holds'!$P$36:$AB$370,7,0),0)</f>
        <v>0</v>
      </c>
      <c r="J4630" s="2">
        <f t="shared" si="360"/>
        <v>0</v>
      </c>
      <c r="K4630" s="2">
        <f t="shared" si="358"/>
        <v>0</v>
      </c>
    </row>
    <row r="4631" spans="5:11">
      <c r="E4631" t="s">
        <v>66</v>
      </c>
      <c r="F4631" t="s">
        <v>856</v>
      </c>
      <c r="G4631" s="8" t="str">
        <f t="shared" si="359"/>
        <v>16-16</v>
      </c>
      <c r="H4631" s="1">
        <f>_xlfn.IFNA(VLOOKUP(Aragon!E4631,'Kilter Holds'!$P$36:$AB$370,8,0),0)</f>
        <v>0</v>
      </c>
      <c r="J4631" s="2">
        <f t="shared" si="360"/>
        <v>0</v>
      </c>
      <c r="K4631" s="2">
        <f t="shared" si="358"/>
        <v>0</v>
      </c>
    </row>
    <row r="4632" spans="5:11">
      <c r="E4632" t="s">
        <v>66</v>
      </c>
      <c r="F4632" t="s">
        <v>856</v>
      </c>
      <c r="G4632" s="9" t="str">
        <f t="shared" si="359"/>
        <v>13-01</v>
      </c>
      <c r="H4632" s="1">
        <f>_xlfn.IFNA(VLOOKUP(Aragon!E4632,'Kilter Holds'!$P$36:$AB$370,9,0),0)</f>
        <v>0</v>
      </c>
      <c r="J4632" s="2">
        <f t="shared" si="360"/>
        <v>0</v>
      </c>
      <c r="K4632" s="2">
        <f t="shared" si="358"/>
        <v>0</v>
      </c>
    </row>
    <row r="4633" spans="5:11">
      <c r="E4633" t="s">
        <v>66</v>
      </c>
      <c r="F4633" t="s">
        <v>856</v>
      </c>
      <c r="G4633" s="10" t="str">
        <f t="shared" si="359"/>
        <v>07-13</v>
      </c>
      <c r="H4633" s="1">
        <f>_xlfn.IFNA(VLOOKUP(Aragon!E4633,'Kilter Holds'!$P$36:$AB$370,10,0),0)</f>
        <v>0</v>
      </c>
      <c r="J4633" s="2">
        <f t="shared" si="360"/>
        <v>0</v>
      </c>
      <c r="K4633" s="2">
        <f t="shared" si="358"/>
        <v>0</v>
      </c>
    </row>
    <row r="4634" spans="5:11">
      <c r="E4634" t="s">
        <v>66</v>
      </c>
      <c r="F4634" t="s">
        <v>856</v>
      </c>
      <c r="G4634" s="11" t="str">
        <f t="shared" si="359"/>
        <v>11-25</v>
      </c>
      <c r="H4634" s="1">
        <f>_xlfn.IFNA(VLOOKUP(Aragon!E4634,'Kilter Holds'!$P$36:$AB$370,11,0),0)</f>
        <v>0</v>
      </c>
      <c r="J4634" s="2">
        <f t="shared" si="360"/>
        <v>0</v>
      </c>
      <c r="K4634" s="2">
        <f t="shared" si="358"/>
        <v>0</v>
      </c>
    </row>
    <row r="4635" spans="5:11">
      <c r="E4635" t="s">
        <v>66</v>
      </c>
      <c r="F4635" t="s">
        <v>856</v>
      </c>
      <c r="G4635" s="13" t="str">
        <f t="shared" si="359"/>
        <v>18-01</v>
      </c>
      <c r="H4635" s="1">
        <f>_xlfn.IFNA(VLOOKUP(Aragon!E4635,'Kilter Holds'!$P$36:$AB$370,12,0),0)</f>
        <v>0</v>
      </c>
      <c r="J4635" s="2">
        <f t="shared" si="360"/>
        <v>0</v>
      </c>
      <c r="K4635" s="2">
        <f t="shared" si="358"/>
        <v>0</v>
      </c>
    </row>
    <row r="4636" spans="5:11">
      <c r="E4636" t="s">
        <v>66</v>
      </c>
      <c r="F4636" t="s">
        <v>856</v>
      </c>
      <c r="G4636" s="12" t="str">
        <f t="shared" si="359"/>
        <v>12-01</v>
      </c>
      <c r="H4636" s="1">
        <f>_xlfn.IFNA(VLOOKUP(Aragon!E4636,'Kilter Holds'!$P$36:$AB$370,13,0),0)</f>
        <v>0</v>
      </c>
      <c r="J4636" s="2">
        <f t="shared" si="360"/>
        <v>0</v>
      </c>
      <c r="K4636" s="2">
        <f t="shared" si="358"/>
        <v>0</v>
      </c>
    </row>
    <row r="4637" spans="5:11">
      <c r="E4637" t="s">
        <v>875</v>
      </c>
      <c r="F4637" t="s">
        <v>912</v>
      </c>
      <c r="G4637" s="5" t="str">
        <f t="shared" si="359"/>
        <v>11-12</v>
      </c>
      <c r="H4637" s="1">
        <f>_xlfn.IFNA(VLOOKUP(Aragon!E4637,'Kilter Holds'!$P$36:$AB$370,5,0),0)</f>
        <v>0</v>
      </c>
      <c r="J4637" s="2">
        <f t="shared" si="360"/>
        <v>0</v>
      </c>
      <c r="K4637" s="2">
        <f t="shared" si="358"/>
        <v>0</v>
      </c>
    </row>
    <row r="4638" spans="5:11">
      <c r="E4638" t="s">
        <v>875</v>
      </c>
      <c r="F4638" t="s">
        <v>912</v>
      </c>
      <c r="G4638" s="6" t="str">
        <f t="shared" si="359"/>
        <v>14-01</v>
      </c>
      <c r="H4638" s="1">
        <f>_xlfn.IFNA(VLOOKUP(Aragon!E4638,'Kilter Holds'!$P$36:$AB$370,6,0),0)</f>
        <v>0</v>
      </c>
      <c r="J4638" s="2">
        <f t="shared" si="360"/>
        <v>0</v>
      </c>
      <c r="K4638" s="2">
        <f t="shared" si="358"/>
        <v>0</v>
      </c>
    </row>
    <row r="4639" spans="5:11">
      <c r="E4639" t="s">
        <v>875</v>
      </c>
      <c r="F4639" t="s">
        <v>912</v>
      </c>
      <c r="G4639" s="7" t="str">
        <f t="shared" si="359"/>
        <v>15-12</v>
      </c>
      <c r="H4639" s="1">
        <f>_xlfn.IFNA(VLOOKUP(Aragon!E4639,'Kilter Holds'!$P$36:$AB$370,7,0),0)</f>
        <v>0</v>
      </c>
      <c r="J4639" s="2">
        <f t="shared" si="360"/>
        <v>0</v>
      </c>
      <c r="K4639" s="2">
        <f t="shared" si="358"/>
        <v>0</v>
      </c>
    </row>
    <row r="4640" spans="5:11">
      <c r="E4640" t="s">
        <v>875</v>
      </c>
      <c r="F4640" t="s">
        <v>912</v>
      </c>
      <c r="G4640" s="8" t="str">
        <f t="shared" si="359"/>
        <v>16-16</v>
      </c>
      <c r="H4640" s="1">
        <f>_xlfn.IFNA(VLOOKUP(Aragon!E4640,'Kilter Holds'!$P$36:$AB$370,8,0),0)</f>
        <v>0</v>
      </c>
      <c r="J4640" s="2">
        <f t="shared" si="360"/>
        <v>0</v>
      </c>
      <c r="K4640" s="2">
        <f t="shared" si="358"/>
        <v>0</v>
      </c>
    </row>
    <row r="4641" spans="5:11">
      <c r="E4641" t="s">
        <v>875</v>
      </c>
      <c r="F4641" t="s">
        <v>912</v>
      </c>
      <c r="G4641" s="9" t="str">
        <f t="shared" si="359"/>
        <v>13-01</v>
      </c>
      <c r="H4641" s="1">
        <f>_xlfn.IFNA(VLOOKUP(Aragon!E4641,'Kilter Holds'!$P$36:$AB$370,9,0),0)</f>
        <v>0</v>
      </c>
      <c r="J4641" s="2">
        <f t="shared" si="360"/>
        <v>0</v>
      </c>
      <c r="K4641" s="2">
        <f t="shared" ref="K4641:K4704" si="361">IF($V$11="Y",J4641*0.05,0)</f>
        <v>0</v>
      </c>
    </row>
    <row r="4642" spans="5:11">
      <c r="E4642" t="s">
        <v>875</v>
      </c>
      <c r="F4642" t="s">
        <v>912</v>
      </c>
      <c r="G4642" s="10" t="str">
        <f t="shared" ref="G4642:G4705" si="362">G4633</f>
        <v>07-13</v>
      </c>
      <c r="H4642" s="1">
        <f>_xlfn.IFNA(VLOOKUP(Aragon!E4642,'Kilter Holds'!$P$36:$AB$370,10,0),0)</f>
        <v>0</v>
      </c>
      <c r="J4642" s="2">
        <f t="shared" si="360"/>
        <v>0</v>
      </c>
      <c r="K4642" s="2">
        <f t="shared" si="361"/>
        <v>0</v>
      </c>
    </row>
    <row r="4643" spans="5:11">
      <c r="E4643" t="s">
        <v>875</v>
      </c>
      <c r="F4643" t="s">
        <v>912</v>
      </c>
      <c r="G4643" s="11" t="str">
        <f t="shared" si="362"/>
        <v>11-25</v>
      </c>
      <c r="H4643" s="1">
        <f>_xlfn.IFNA(VLOOKUP(Aragon!E4643,'Kilter Holds'!$P$36:$AB$370,11,0),0)</f>
        <v>0</v>
      </c>
      <c r="J4643" s="2">
        <f t="shared" si="360"/>
        <v>0</v>
      </c>
      <c r="K4643" s="2">
        <f t="shared" si="361"/>
        <v>0</v>
      </c>
    </row>
    <row r="4644" spans="5:11">
      <c r="E4644" t="s">
        <v>875</v>
      </c>
      <c r="F4644" t="s">
        <v>912</v>
      </c>
      <c r="G4644" s="13" t="str">
        <f t="shared" si="362"/>
        <v>18-01</v>
      </c>
      <c r="H4644" s="1">
        <f>_xlfn.IFNA(VLOOKUP(Aragon!E4644,'Kilter Holds'!$P$36:$AB$370,12,0),0)</f>
        <v>0</v>
      </c>
      <c r="J4644" s="2">
        <f t="shared" si="360"/>
        <v>0</v>
      </c>
      <c r="K4644" s="2">
        <f t="shared" si="361"/>
        <v>0</v>
      </c>
    </row>
    <row r="4645" spans="5:11">
      <c r="E4645" t="s">
        <v>875</v>
      </c>
      <c r="F4645" t="s">
        <v>912</v>
      </c>
      <c r="G4645" s="12" t="str">
        <f t="shared" si="362"/>
        <v>12-01</v>
      </c>
      <c r="H4645" s="1">
        <f>_xlfn.IFNA(VLOOKUP(Aragon!E4645,'Kilter Holds'!$P$36:$AB$370,13,0),0)</f>
        <v>0</v>
      </c>
      <c r="J4645" s="2">
        <f t="shared" si="360"/>
        <v>0</v>
      </c>
      <c r="K4645" s="2">
        <f t="shared" si="361"/>
        <v>0</v>
      </c>
    </row>
    <row r="4646" spans="5:11">
      <c r="E4646" t="s">
        <v>61</v>
      </c>
      <c r="F4646" t="s">
        <v>857</v>
      </c>
      <c r="G4646" s="5" t="str">
        <f t="shared" si="362"/>
        <v>11-12</v>
      </c>
      <c r="H4646" s="1">
        <f>_xlfn.IFNA(VLOOKUP(Aragon!E4646,'Kilter Holds'!$P$36:$AB$370,5,0),0)</f>
        <v>0</v>
      </c>
      <c r="J4646" s="2">
        <f t="shared" si="360"/>
        <v>0</v>
      </c>
      <c r="K4646" s="2">
        <f t="shared" si="361"/>
        <v>0</v>
      </c>
    </row>
    <row r="4647" spans="5:11">
      <c r="E4647" t="s">
        <v>61</v>
      </c>
      <c r="F4647" t="s">
        <v>857</v>
      </c>
      <c r="G4647" s="6" t="str">
        <f t="shared" si="362"/>
        <v>14-01</v>
      </c>
      <c r="H4647" s="1">
        <f>_xlfn.IFNA(VLOOKUP(Aragon!E4647,'Kilter Holds'!$P$36:$AB$370,6,0),0)</f>
        <v>0</v>
      </c>
      <c r="J4647" s="2">
        <f t="shared" si="360"/>
        <v>0</v>
      </c>
      <c r="K4647" s="2">
        <f t="shared" si="361"/>
        <v>0</v>
      </c>
    </row>
    <row r="4648" spans="5:11">
      <c r="E4648" t="s">
        <v>61</v>
      </c>
      <c r="F4648" t="s">
        <v>857</v>
      </c>
      <c r="G4648" s="7" t="str">
        <f t="shared" si="362"/>
        <v>15-12</v>
      </c>
      <c r="H4648" s="1">
        <f>_xlfn.IFNA(VLOOKUP(Aragon!E4648,'Kilter Holds'!$P$36:$AB$370,7,0),0)</f>
        <v>0</v>
      </c>
      <c r="J4648" s="2">
        <f t="shared" ref="J4648:J4711" si="363">H4648*I4648</f>
        <v>0</v>
      </c>
      <c r="K4648" s="2">
        <f t="shared" si="361"/>
        <v>0</v>
      </c>
    </row>
    <row r="4649" spans="5:11">
      <c r="E4649" t="s">
        <v>61</v>
      </c>
      <c r="F4649" t="s">
        <v>857</v>
      </c>
      <c r="G4649" s="8" t="str">
        <f t="shared" si="362"/>
        <v>16-16</v>
      </c>
      <c r="H4649" s="1">
        <f>_xlfn.IFNA(VLOOKUP(Aragon!E4649,'Kilter Holds'!$P$36:$AB$370,8,0),0)</f>
        <v>0</v>
      </c>
      <c r="J4649" s="2">
        <f t="shared" si="363"/>
        <v>0</v>
      </c>
      <c r="K4649" s="2">
        <f t="shared" si="361"/>
        <v>0</v>
      </c>
    </row>
    <row r="4650" spans="5:11">
      <c r="E4650" t="s">
        <v>61</v>
      </c>
      <c r="F4650" t="s">
        <v>857</v>
      </c>
      <c r="G4650" s="9" t="str">
        <f t="shared" si="362"/>
        <v>13-01</v>
      </c>
      <c r="H4650" s="1">
        <f>_xlfn.IFNA(VLOOKUP(Aragon!E4650,'Kilter Holds'!$P$36:$AB$370,9,0),0)</f>
        <v>0</v>
      </c>
      <c r="J4650" s="2">
        <f t="shared" si="363"/>
        <v>0</v>
      </c>
      <c r="K4650" s="2">
        <f t="shared" si="361"/>
        <v>0</v>
      </c>
    </row>
    <row r="4651" spans="5:11">
      <c r="E4651" t="s">
        <v>61</v>
      </c>
      <c r="F4651" t="s">
        <v>857</v>
      </c>
      <c r="G4651" s="10" t="str">
        <f t="shared" si="362"/>
        <v>07-13</v>
      </c>
      <c r="H4651" s="1">
        <f>_xlfn.IFNA(VLOOKUP(Aragon!E4651,'Kilter Holds'!$P$36:$AB$370,10,0),0)</f>
        <v>0</v>
      </c>
      <c r="J4651" s="2">
        <f t="shared" si="363"/>
        <v>0</v>
      </c>
      <c r="K4651" s="2">
        <f t="shared" si="361"/>
        <v>0</v>
      </c>
    </row>
    <row r="4652" spans="5:11">
      <c r="E4652" t="s">
        <v>61</v>
      </c>
      <c r="F4652" t="s">
        <v>857</v>
      </c>
      <c r="G4652" s="11" t="str">
        <f t="shared" si="362"/>
        <v>11-25</v>
      </c>
      <c r="H4652" s="1">
        <f>_xlfn.IFNA(VLOOKUP(Aragon!E4652,'Kilter Holds'!$P$36:$AB$370,11,0),0)</f>
        <v>0</v>
      </c>
      <c r="J4652" s="2">
        <f t="shared" si="363"/>
        <v>0</v>
      </c>
      <c r="K4652" s="2">
        <f t="shared" si="361"/>
        <v>0</v>
      </c>
    </row>
    <row r="4653" spans="5:11">
      <c r="E4653" t="s">
        <v>61</v>
      </c>
      <c r="F4653" t="s">
        <v>857</v>
      </c>
      <c r="G4653" s="13" t="str">
        <f t="shared" si="362"/>
        <v>18-01</v>
      </c>
      <c r="H4653" s="1">
        <f>_xlfn.IFNA(VLOOKUP(Aragon!E4653,'Kilter Holds'!$P$36:$AB$370,12,0),0)</f>
        <v>0</v>
      </c>
      <c r="J4653" s="2">
        <f t="shared" si="363"/>
        <v>0</v>
      </c>
      <c r="K4653" s="2">
        <f t="shared" si="361"/>
        <v>0</v>
      </c>
    </row>
    <row r="4654" spans="5:11">
      <c r="E4654" t="s">
        <v>61</v>
      </c>
      <c r="F4654" t="s">
        <v>857</v>
      </c>
      <c r="G4654" s="12" t="str">
        <f t="shared" si="362"/>
        <v>12-01</v>
      </c>
      <c r="H4654" s="1">
        <f>_xlfn.IFNA(VLOOKUP(Aragon!E4654,'Kilter Holds'!$P$36:$AB$370,13,0),0)</f>
        <v>0</v>
      </c>
      <c r="J4654" s="2">
        <f t="shared" si="363"/>
        <v>0</v>
      </c>
      <c r="K4654" s="2">
        <f t="shared" si="361"/>
        <v>0</v>
      </c>
    </row>
    <row r="4655" spans="5:11">
      <c r="E4655" t="s">
        <v>62</v>
      </c>
      <c r="F4655" t="s">
        <v>858</v>
      </c>
      <c r="G4655" s="5" t="str">
        <f t="shared" si="362"/>
        <v>11-12</v>
      </c>
      <c r="H4655" s="1">
        <f>_xlfn.IFNA(VLOOKUP(Aragon!E4655,'Kilter Holds'!$P$36:$AB$370,5,0),0)</f>
        <v>0</v>
      </c>
      <c r="J4655" s="2">
        <f t="shared" si="363"/>
        <v>0</v>
      </c>
      <c r="K4655" s="2">
        <f t="shared" si="361"/>
        <v>0</v>
      </c>
    </row>
    <row r="4656" spans="5:11">
      <c r="E4656" t="s">
        <v>62</v>
      </c>
      <c r="F4656" t="s">
        <v>858</v>
      </c>
      <c r="G4656" s="6" t="str">
        <f t="shared" si="362"/>
        <v>14-01</v>
      </c>
      <c r="H4656" s="1">
        <f>_xlfn.IFNA(VLOOKUP(Aragon!E4656,'Kilter Holds'!$P$36:$AB$370,6,0),0)</f>
        <v>0</v>
      </c>
      <c r="J4656" s="2">
        <f t="shared" si="363"/>
        <v>0</v>
      </c>
      <c r="K4656" s="2">
        <f t="shared" si="361"/>
        <v>0</v>
      </c>
    </row>
    <row r="4657" spans="5:11">
      <c r="E4657" t="s">
        <v>62</v>
      </c>
      <c r="F4657" t="s">
        <v>858</v>
      </c>
      <c r="G4657" s="7" t="str">
        <f t="shared" si="362"/>
        <v>15-12</v>
      </c>
      <c r="H4657" s="1">
        <f>_xlfn.IFNA(VLOOKUP(Aragon!E4657,'Kilter Holds'!$P$36:$AB$370,7,0),0)</f>
        <v>0</v>
      </c>
      <c r="J4657" s="2">
        <f t="shared" si="363"/>
        <v>0</v>
      </c>
      <c r="K4657" s="2">
        <f t="shared" si="361"/>
        <v>0</v>
      </c>
    </row>
    <row r="4658" spans="5:11">
      <c r="E4658" t="s">
        <v>62</v>
      </c>
      <c r="F4658" t="s">
        <v>858</v>
      </c>
      <c r="G4658" s="8" t="str">
        <f t="shared" si="362"/>
        <v>16-16</v>
      </c>
      <c r="H4658" s="1">
        <f>_xlfn.IFNA(VLOOKUP(Aragon!E4658,'Kilter Holds'!$P$36:$AB$370,8,0),0)</f>
        <v>0</v>
      </c>
      <c r="J4658" s="2">
        <f t="shared" si="363"/>
        <v>0</v>
      </c>
      <c r="K4658" s="2">
        <f t="shared" si="361"/>
        <v>0</v>
      </c>
    </row>
    <row r="4659" spans="5:11">
      <c r="E4659" t="s">
        <v>62</v>
      </c>
      <c r="F4659" t="s">
        <v>858</v>
      </c>
      <c r="G4659" s="9" t="str">
        <f t="shared" si="362"/>
        <v>13-01</v>
      </c>
      <c r="H4659" s="1">
        <f>_xlfn.IFNA(VLOOKUP(Aragon!E4659,'Kilter Holds'!$P$36:$AB$370,9,0),0)</f>
        <v>0</v>
      </c>
      <c r="J4659" s="2">
        <f t="shared" si="363"/>
        <v>0</v>
      </c>
      <c r="K4659" s="2">
        <f t="shared" si="361"/>
        <v>0</v>
      </c>
    </row>
    <row r="4660" spans="5:11">
      <c r="E4660" t="s">
        <v>62</v>
      </c>
      <c r="F4660" t="s">
        <v>858</v>
      </c>
      <c r="G4660" s="10" t="str">
        <f t="shared" si="362"/>
        <v>07-13</v>
      </c>
      <c r="H4660" s="1">
        <f>_xlfn.IFNA(VLOOKUP(Aragon!E4660,'Kilter Holds'!$P$36:$AB$370,10,0),0)</f>
        <v>0</v>
      </c>
      <c r="J4660" s="2">
        <f t="shared" si="363"/>
        <v>0</v>
      </c>
      <c r="K4660" s="2">
        <f t="shared" si="361"/>
        <v>0</v>
      </c>
    </row>
    <row r="4661" spans="5:11">
      <c r="E4661" t="s">
        <v>62</v>
      </c>
      <c r="F4661" t="s">
        <v>858</v>
      </c>
      <c r="G4661" s="11" t="str">
        <f t="shared" si="362"/>
        <v>11-25</v>
      </c>
      <c r="H4661" s="1">
        <f>_xlfn.IFNA(VLOOKUP(Aragon!E4661,'Kilter Holds'!$P$36:$AB$370,11,0),0)</f>
        <v>0</v>
      </c>
      <c r="J4661" s="2">
        <f t="shared" si="363"/>
        <v>0</v>
      </c>
      <c r="K4661" s="2">
        <f t="shared" si="361"/>
        <v>0</v>
      </c>
    </row>
    <row r="4662" spans="5:11">
      <c r="E4662" t="s">
        <v>62</v>
      </c>
      <c r="F4662" t="s">
        <v>858</v>
      </c>
      <c r="G4662" s="13" t="str">
        <f t="shared" si="362"/>
        <v>18-01</v>
      </c>
      <c r="H4662" s="1">
        <f>_xlfn.IFNA(VLOOKUP(Aragon!E4662,'Kilter Holds'!$P$36:$AB$370,12,0),0)</f>
        <v>0</v>
      </c>
      <c r="J4662" s="2">
        <f t="shared" si="363"/>
        <v>0</v>
      </c>
      <c r="K4662" s="2">
        <f t="shared" si="361"/>
        <v>0</v>
      </c>
    </row>
    <row r="4663" spans="5:11">
      <c r="E4663" t="s">
        <v>62</v>
      </c>
      <c r="F4663" t="s">
        <v>858</v>
      </c>
      <c r="G4663" s="12" t="str">
        <f t="shared" si="362"/>
        <v>12-01</v>
      </c>
      <c r="H4663" s="1">
        <f>_xlfn.IFNA(VLOOKUP(Aragon!E4663,'Kilter Holds'!$P$36:$AB$370,13,0),0)</f>
        <v>0</v>
      </c>
      <c r="J4663" s="2">
        <f t="shared" si="363"/>
        <v>0</v>
      </c>
      <c r="K4663" s="2">
        <f t="shared" si="361"/>
        <v>0</v>
      </c>
    </row>
    <row r="4664" spans="5:11">
      <c r="E4664" t="s">
        <v>63</v>
      </c>
      <c r="F4664" t="s">
        <v>859</v>
      </c>
      <c r="G4664" s="5" t="str">
        <f t="shared" si="362"/>
        <v>11-12</v>
      </c>
      <c r="H4664" s="1">
        <f>_xlfn.IFNA(VLOOKUP(Aragon!E4664,'Kilter Holds'!$P$36:$AB$370,5,0),0)</f>
        <v>0</v>
      </c>
      <c r="J4664" s="2">
        <f t="shared" si="363"/>
        <v>0</v>
      </c>
      <c r="K4664" s="2">
        <f t="shared" si="361"/>
        <v>0</v>
      </c>
    </row>
    <row r="4665" spans="5:11">
      <c r="E4665" t="s">
        <v>63</v>
      </c>
      <c r="F4665" t="s">
        <v>859</v>
      </c>
      <c r="G4665" s="6" t="str">
        <f t="shared" si="362"/>
        <v>14-01</v>
      </c>
      <c r="H4665" s="1">
        <f>_xlfn.IFNA(VLOOKUP(Aragon!E4665,'Kilter Holds'!$P$36:$AB$370,6,0),0)</f>
        <v>0</v>
      </c>
      <c r="J4665" s="2">
        <f t="shared" si="363"/>
        <v>0</v>
      </c>
      <c r="K4665" s="2">
        <f t="shared" si="361"/>
        <v>0</v>
      </c>
    </row>
    <row r="4666" spans="5:11">
      <c r="E4666" t="s">
        <v>63</v>
      </c>
      <c r="F4666" t="s">
        <v>859</v>
      </c>
      <c r="G4666" s="7" t="str">
        <f t="shared" si="362"/>
        <v>15-12</v>
      </c>
      <c r="H4666" s="1">
        <f>_xlfn.IFNA(VLOOKUP(Aragon!E4666,'Kilter Holds'!$P$36:$AB$370,7,0),0)</f>
        <v>0</v>
      </c>
      <c r="J4666" s="2">
        <f t="shared" si="363"/>
        <v>0</v>
      </c>
      <c r="K4666" s="2">
        <f t="shared" si="361"/>
        <v>0</v>
      </c>
    </row>
    <row r="4667" spans="5:11">
      <c r="E4667" t="s">
        <v>63</v>
      </c>
      <c r="F4667" t="s">
        <v>859</v>
      </c>
      <c r="G4667" s="8" t="str">
        <f t="shared" si="362"/>
        <v>16-16</v>
      </c>
      <c r="H4667" s="1">
        <f>_xlfn.IFNA(VLOOKUP(Aragon!E4667,'Kilter Holds'!$P$36:$AB$370,8,0),0)</f>
        <v>0</v>
      </c>
      <c r="J4667" s="2">
        <f t="shared" si="363"/>
        <v>0</v>
      </c>
      <c r="K4667" s="2">
        <f t="shared" si="361"/>
        <v>0</v>
      </c>
    </row>
    <row r="4668" spans="5:11">
      <c r="E4668" t="s">
        <v>63</v>
      </c>
      <c r="F4668" t="s">
        <v>859</v>
      </c>
      <c r="G4668" s="9" t="str">
        <f t="shared" si="362"/>
        <v>13-01</v>
      </c>
      <c r="H4668" s="1">
        <f>_xlfn.IFNA(VLOOKUP(Aragon!E4668,'Kilter Holds'!$P$36:$AB$370,9,0),0)</f>
        <v>0</v>
      </c>
      <c r="J4668" s="2">
        <f t="shared" si="363"/>
        <v>0</v>
      </c>
      <c r="K4668" s="2">
        <f t="shared" si="361"/>
        <v>0</v>
      </c>
    </row>
    <row r="4669" spans="5:11">
      <c r="E4669" t="s">
        <v>63</v>
      </c>
      <c r="F4669" t="s">
        <v>859</v>
      </c>
      <c r="G4669" s="10" t="str">
        <f t="shared" si="362"/>
        <v>07-13</v>
      </c>
      <c r="H4669" s="1">
        <f>_xlfn.IFNA(VLOOKUP(Aragon!E4669,'Kilter Holds'!$P$36:$AB$370,10,0),0)</f>
        <v>0</v>
      </c>
      <c r="J4669" s="2">
        <f t="shared" si="363"/>
        <v>0</v>
      </c>
      <c r="K4669" s="2">
        <f t="shared" si="361"/>
        <v>0</v>
      </c>
    </row>
    <row r="4670" spans="5:11">
      <c r="E4670" t="s">
        <v>63</v>
      </c>
      <c r="F4670" t="s">
        <v>859</v>
      </c>
      <c r="G4670" s="11" t="str">
        <f t="shared" si="362"/>
        <v>11-25</v>
      </c>
      <c r="H4670" s="1">
        <f>_xlfn.IFNA(VLOOKUP(Aragon!E4670,'Kilter Holds'!$P$36:$AB$370,11,0),0)</f>
        <v>0</v>
      </c>
      <c r="J4670" s="2">
        <f t="shared" si="363"/>
        <v>0</v>
      </c>
      <c r="K4670" s="2">
        <f t="shared" si="361"/>
        <v>0</v>
      </c>
    </row>
    <row r="4671" spans="5:11">
      <c r="E4671" t="s">
        <v>63</v>
      </c>
      <c r="F4671" t="s">
        <v>859</v>
      </c>
      <c r="G4671" s="13" t="str">
        <f t="shared" si="362"/>
        <v>18-01</v>
      </c>
      <c r="H4671" s="1">
        <f>_xlfn.IFNA(VLOOKUP(Aragon!E4671,'Kilter Holds'!$P$36:$AB$370,12,0),0)</f>
        <v>0</v>
      </c>
      <c r="J4671" s="2">
        <f t="shared" si="363"/>
        <v>0</v>
      </c>
      <c r="K4671" s="2">
        <f t="shared" si="361"/>
        <v>0</v>
      </c>
    </row>
    <row r="4672" spans="5:11">
      <c r="E4672" t="s">
        <v>63</v>
      </c>
      <c r="F4672" t="s">
        <v>859</v>
      </c>
      <c r="G4672" s="12" t="str">
        <f t="shared" si="362"/>
        <v>12-01</v>
      </c>
      <c r="H4672" s="1">
        <f>_xlfn.IFNA(VLOOKUP(Aragon!E4672,'Kilter Holds'!$P$36:$AB$370,13,0),0)</f>
        <v>0</v>
      </c>
      <c r="J4672" s="2">
        <f t="shared" si="363"/>
        <v>0</v>
      </c>
      <c r="K4672" s="2">
        <f t="shared" si="361"/>
        <v>0</v>
      </c>
    </row>
    <row r="4673" spans="5:11">
      <c r="E4673" t="s">
        <v>67</v>
      </c>
      <c r="F4673" t="s">
        <v>860</v>
      </c>
      <c r="G4673" s="5" t="str">
        <f t="shared" si="362"/>
        <v>11-12</v>
      </c>
      <c r="H4673" s="1">
        <f>_xlfn.IFNA(VLOOKUP(Aragon!E4673,'Kilter Holds'!$P$36:$AB$370,5,0),0)</f>
        <v>0</v>
      </c>
      <c r="J4673" s="2">
        <f t="shared" si="363"/>
        <v>0</v>
      </c>
      <c r="K4673" s="2">
        <f t="shared" si="361"/>
        <v>0</v>
      </c>
    </row>
    <row r="4674" spans="5:11">
      <c r="E4674" t="s">
        <v>67</v>
      </c>
      <c r="F4674" t="s">
        <v>860</v>
      </c>
      <c r="G4674" s="6" t="str">
        <f t="shared" si="362"/>
        <v>14-01</v>
      </c>
      <c r="H4674" s="1">
        <f>_xlfn.IFNA(VLOOKUP(Aragon!E4674,'Kilter Holds'!$P$36:$AB$370,6,0),0)</f>
        <v>0</v>
      </c>
      <c r="J4674" s="2">
        <f t="shared" si="363"/>
        <v>0</v>
      </c>
      <c r="K4674" s="2">
        <f t="shared" si="361"/>
        <v>0</v>
      </c>
    </row>
    <row r="4675" spans="5:11">
      <c r="E4675" t="s">
        <v>67</v>
      </c>
      <c r="F4675" t="s">
        <v>860</v>
      </c>
      <c r="G4675" s="7" t="str">
        <f t="shared" si="362"/>
        <v>15-12</v>
      </c>
      <c r="H4675" s="1">
        <f>_xlfn.IFNA(VLOOKUP(Aragon!E4675,'Kilter Holds'!$P$36:$AB$370,7,0),0)</f>
        <v>0</v>
      </c>
      <c r="J4675" s="2">
        <f t="shared" si="363"/>
        <v>0</v>
      </c>
      <c r="K4675" s="2">
        <f t="shared" si="361"/>
        <v>0</v>
      </c>
    </row>
    <row r="4676" spans="5:11">
      <c r="E4676" t="s">
        <v>67</v>
      </c>
      <c r="F4676" t="s">
        <v>860</v>
      </c>
      <c r="G4676" s="8" t="str">
        <f t="shared" si="362"/>
        <v>16-16</v>
      </c>
      <c r="H4676" s="1">
        <f>_xlfn.IFNA(VLOOKUP(Aragon!E4676,'Kilter Holds'!$P$36:$AB$370,8,0),0)</f>
        <v>0</v>
      </c>
      <c r="J4676" s="2">
        <f t="shared" si="363"/>
        <v>0</v>
      </c>
      <c r="K4676" s="2">
        <f t="shared" si="361"/>
        <v>0</v>
      </c>
    </row>
    <row r="4677" spans="5:11">
      <c r="E4677" t="s">
        <v>67</v>
      </c>
      <c r="F4677" t="s">
        <v>860</v>
      </c>
      <c r="G4677" s="9" t="str">
        <f t="shared" si="362"/>
        <v>13-01</v>
      </c>
      <c r="H4677" s="1">
        <f>_xlfn.IFNA(VLOOKUP(Aragon!E4677,'Kilter Holds'!$P$36:$AB$370,9,0),0)</f>
        <v>0</v>
      </c>
      <c r="J4677" s="2">
        <f t="shared" si="363"/>
        <v>0</v>
      </c>
      <c r="K4677" s="2">
        <f t="shared" si="361"/>
        <v>0</v>
      </c>
    </row>
    <row r="4678" spans="5:11">
      <c r="E4678" t="s">
        <v>67</v>
      </c>
      <c r="F4678" t="s">
        <v>860</v>
      </c>
      <c r="G4678" s="10" t="str">
        <f t="shared" si="362"/>
        <v>07-13</v>
      </c>
      <c r="H4678" s="1">
        <f>_xlfn.IFNA(VLOOKUP(Aragon!E4678,'Kilter Holds'!$P$36:$AB$370,10,0),0)</f>
        <v>0</v>
      </c>
      <c r="J4678" s="2">
        <f t="shared" si="363"/>
        <v>0</v>
      </c>
      <c r="K4678" s="2">
        <f t="shared" si="361"/>
        <v>0</v>
      </c>
    </row>
    <row r="4679" spans="5:11">
      <c r="E4679" t="s">
        <v>67</v>
      </c>
      <c r="F4679" t="s">
        <v>860</v>
      </c>
      <c r="G4679" s="11" t="str">
        <f t="shared" si="362"/>
        <v>11-25</v>
      </c>
      <c r="H4679" s="1">
        <f>_xlfn.IFNA(VLOOKUP(Aragon!E4679,'Kilter Holds'!$P$36:$AB$370,11,0),0)</f>
        <v>0</v>
      </c>
      <c r="J4679" s="2">
        <f t="shared" si="363"/>
        <v>0</v>
      </c>
      <c r="K4679" s="2">
        <f t="shared" si="361"/>
        <v>0</v>
      </c>
    </row>
    <row r="4680" spans="5:11">
      <c r="E4680" t="s">
        <v>67</v>
      </c>
      <c r="F4680" t="s">
        <v>860</v>
      </c>
      <c r="G4680" s="13" t="str">
        <f t="shared" si="362"/>
        <v>18-01</v>
      </c>
      <c r="H4680" s="1">
        <f>_xlfn.IFNA(VLOOKUP(Aragon!E4680,'Kilter Holds'!$P$36:$AB$370,12,0),0)</f>
        <v>0</v>
      </c>
      <c r="J4680" s="2">
        <f t="shared" si="363"/>
        <v>0</v>
      </c>
      <c r="K4680" s="2">
        <f t="shared" si="361"/>
        <v>0</v>
      </c>
    </row>
    <row r="4681" spans="5:11">
      <c r="E4681" t="s">
        <v>67</v>
      </c>
      <c r="F4681" t="s">
        <v>860</v>
      </c>
      <c r="G4681" s="12" t="str">
        <f t="shared" si="362"/>
        <v>12-01</v>
      </c>
      <c r="H4681" s="1">
        <f>_xlfn.IFNA(VLOOKUP(Aragon!E4681,'Kilter Holds'!$P$36:$AB$370,13,0),0)</f>
        <v>0</v>
      </c>
      <c r="J4681" s="2">
        <f t="shared" si="363"/>
        <v>0</v>
      </c>
      <c r="K4681" s="2">
        <f t="shared" si="361"/>
        <v>0</v>
      </c>
    </row>
    <row r="4682" spans="5:11">
      <c r="E4682" t="s">
        <v>80</v>
      </c>
      <c r="F4682" t="s">
        <v>861</v>
      </c>
      <c r="G4682" s="5" t="str">
        <f t="shared" si="362"/>
        <v>11-12</v>
      </c>
      <c r="H4682" s="1">
        <f>_xlfn.IFNA(VLOOKUP(Aragon!E4682,'Kilter Holds'!$P$36:$AB$370,5,0),0)</f>
        <v>0</v>
      </c>
      <c r="J4682" s="2">
        <f t="shared" si="363"/>
        <v>0</v>
      </c>
      <c r="K4682" s="2">
        <f t="shared" si="361"/>
        <v>0</v>
      </c>
    </row>
    <row r="4683" spans="5:11">
      <c r="E4683" t="s">
        <v>80</v>
      </c>
      <c r="F4683" t="s">
        <v>861</v>
      </c>
      <c r="G4683" s="6" t="str">
        <f t="shared" si="362"/>
        <v>14-01</v>
      </c>
      <c r="H4683" s="1">
        <f>_xlfn.IFNA(VLOOKUP(Aragon!E4683,'Kilter Holds'!$P$36:$AB$370,6,0),0)</f>
        <v>0</v>
      </c>
      <c r="J4683" s="2">
        <f t="shared" si="363"/>
        <v>0</v>
      </c>
      <c r="K4683" s="2">
        <f t="shared" si="361"/>
        <v>0</v>
      </c>
    </row>
    <row r="4684" spans="5:11">
      <c r="E4684" t="s">
        <v>80</v>
      </c>
      <c r="F4684" t="s">
        <v>861</v>
      </c>
      <c r="G4684" s="7" t="str">
        <f t="shared" si="362"/>
        <v>15-12</v>
      </c>
      <c r="H4684" s="1">
        <f>_xlfn.IFNA(VLOOKUP(Aragon!E4684,'Kilter Holds'!$P$36:$AB$370,7,0),0)</f>
        <v>0</v>
      </c>
      <c r="J4684" s="2">
        <f t="shared" si="363"/>
        <v>0</v>
      </c>
      <c r="K4684" s="2">
        <f t="shared" si="361"/>
        <v>0</v>
      </c>
    </row>
    <row r="4685" spans="5:11">
      <c r="E4685" t="s">
        <v>80</v>
      </c>
      <c r="F4685" t="s">
        <v>861</v>
      </c>
      <c r="G4685" s="8" t="str">
        <f t="shared" si="362"/>
        <v>16-16</v>
      </c>
      <c r="H4685" s="1">
        <f>_xlfn.IFNA(VLOOKUP(Aragon!E4685,'Kilter Holds'!$P$36:$AB$370,8,0),0)</f>
        <v>0</v>
      </c>
      <c r="J4685" s="2">
        <f t="shared" si="363"/>
        <v>0</v>
      </c>
      <c r="K4685" s="2">
        <f t="shared" si="361"/>
        <v>0</v>
      </c>
    </row>
    <row r="4686" spans="5:11">
      <c r="E4686" t="s">
        <v>80</v>
      </c>
      <c r="F4686" t="s">
        <v>861</v>
      </c>
      <c r="G4686" s="9" t="str">
        <f t="shared" si="362"/>
        <v>13-01</v>
      </c>
      <c r="H4686" s="1">
        <f>_xlfn.IFNA(VLOOKUP(Aragon!E4686,'Kilter Holds'!$P$36:$AB$370,9,0),0)</f>
        <v>0</v>
      </c>
      <c r="J4686" s="2">
        <f t="shared" si="363"/>
        <v>0</v>
      </c>
      <c r="K4686" s="2">
        <f t="shared" si="361"/>
        <v>0</v>
      </c>
    </row>
    <row r="4687" spans="5:11">
      <c r="E4687" t="s">
        <v>80</v>
      </c>
      <c r="F4687" t="s">
        <v>861</v>
      </c>
      <c r="G4687" s="10" t="str">
        <f t="shared" si="362"/>
        <v>07-13</v>
      </c>
      <c r="H4687" s="1">
        <f>_xlfn.IFNA(VLOOKUP(Aragon!E4687,'Kilter Holds'!$P$36:$AB$370,10,0),0)</f>
        <v>0</v>
      </c>
      <c r="J4687" s="2">
        <f t="shared" si="363"/>
        <v>0</v>
      </c>
      <c r="K4687" s="2">
        <f t="shared" si="361"/>
        <v>0</v>
      </c>
    </row>
    <row r="4688" spans="5:11">
      <c r="E4688" t="s">
        <v>80</v>
      </c>
      <c r="F4688" t="s">
        <v>861</v>
      </c>
      <c r="G4688" s="11" t="str">
        <f t="shared" si="362"/>
        <v>11-25</v>
      </c>
      <c r="H4688" s="1">
        <f>_xlfn.IFNA(VLOOKUP(Aragon!E4688,'Kilter Holds'!$P$36:$AB$370,11,0),0)</f>
        <v>0</v>
      </c>
      <c r="J4688" s="2">
        <f t="shared" si="363"/>
        <v>0</v>
      </c>
      <c r="K4688" s="2">
        <f t="shared" si="361"/>
        <v>0</v>
      </c>
    </row>
    <row r="4689" spans="5:11">
      <c r="E4689" t="s">
        <v>80</v>
      </c>
      <c r="F4689" t="s">
        <v>861</v>
      </c>
      <c r="G4689" s="13" t="str">
        <f t="shared" si="362"/>
        <v>18-01</v>
      </c>
      <c r="H4689" s="1">
        <f>_xlfn.IFNA(VLOOKUP(Aragon!E4689,'Kilter Holds'!$P$36:$AB$370,12,0),0)</f>
        <v>0</v>
      </c>
      <c r="J4689" s="2">
        <f t="shared" si="363"/>
        <v>0</v>
      </c>
      <c r="K4689" s="2">
        <f t="shared" si="361"/>
        <v>0</v>
      </c>
    </row>
    <row r="4690" spans="5:11">
      <c r="E4690" t="s">
        <v>80</v>
      </c>
      <c r="F4690" t="s">
        <v>861</v>
      </c>
      <c r="G4690" s="12" t="str">
        <f t="shared" si="362"/>
        <v>12-01</v>
      </c>
      <c r="H4690" s="1">
        <f>_xlfn.IFNA(VLOOKUP(Aragon!E4690,'Kilter Holds'!$P$36:$AB$370,13,0),0)</f>
        <v>0</v>
      </c>
      <c r="J4690" s="2">
        <f t="shared" si="363"/>
        <v>0</v>
      </c>
      <c r="K4690" s="2">
        <f t="shared" si="361"/>
        <v>0</v>
      </c>
    </row>
    <row r="4691" spans="5:11">
      <c r="E4691" t="s">
        <v>69</v>
      </c>
      <c r="F4691" t="s">
        <v>862</v>
      </c>
      <c r="G4691" s="5" t="str">
        <f t="shared" si="362"/>
        <v>11-12</v>
      </c>
      <c r="H4691" s="1">
        <f>_xlfn.IFNA(VLOOKUP(Aragon!E4691,'Kilter Holds'!$P$36:$AB$370,5,0),0)</f>
        <v>0</v>
      </c>
      <c r="J4691" s="2">
        <f t="shared" si="363"/>
        <v>0</v>
      </c>
      <c r="K4691" s="2">
        <f t="shared" si="361"/>
        <v>0</v>
      </c>
    </row>
    <row r="4692" spans="5:11">
      <c r="E4692" t="s">
        <v>69</v>
      </c>
      <c r="F4692" t="s">
        <v>862</v>
      </c>
      <c r="G4692" s="6" t="str">
        <f t="shared" si="362"/>
        <v>14-01</v>
      </c>
      <c r="H4692" s="1">
        <f>_xlfn.IFNA(VLOOKUP(Aragon!E4692,'Kilter Holds'!$P$36:$AB$370,6,0),0)</f>
        <v>0</v>
      </c>
      <c r="J4692" s="2">
        <f t="shared" si="363"/>
        <v>0</v>
      </c>
      <c r="K4692" s="2">
        <f t="shared" si="361"/>
        <v>0</v>
      </c>
    </row>
    <row r="4693" spans="5:11">
      <c r="E4693" t="s">
        <v>69</v>
      </c>
      <c r="F4693" t="s">
        <v>862</v>
      </c>
      <c r="G4693" s="7" t="str">
        <f t="shared" si="362"/>
        <v>15-12</v>
      </c>
      <c r="H4693" s="1">
        <f>_xlfn.IFNA(VLOOKUP(Aragon!E4693,'Kilter Holds'!$P$36:$AB$370,7,0),0)</f>
        <v>0</v>
      </c>
      <c r="J4693" s="2">
        <f t="shared" si="363"/>
        <v>0</v>
      </c>
      <c r="K4693" s="2">
        <f t="shared" si="361"/>
        <v>0</v>
      </c>
    </row>
    <row r="4694" spans="5:11">
      <c r="E4694" t="s">
        <v>69</v>
      </c>
      <c r="F4694" t="s">
        <v>862</v>
      </c>
      <c r="G4694" s="8" t="str">
        <f t="shared" si="362"/>
        <v>16-16</v>
      </c>
      <c r="H4694" s="1">
        <f>_xlfn.IFNA(VLOOKUP(Aragon!E4694,'Kilter Holds'!$P$36:$AB$370,8,0),0)</f>
        <v>0</v>
      </c>
      <c r="J4694" s="2">
        <f t="shared" si="363"/>
        <v>0</v>
      </c>
      <c r="K4694" s="2">
        <f t="shared" si="361"/>
        <v>0</v>
      </c>
    </row>
    <row r="4695" spans="5:11">
      <c r="E4695" t="s">
        <v>69</v>
      </c>
      <c r="F4695" t="s">
        <v>862</v>
      </c>
      <c r="G4695" s="9" t="str">
        <f t="shared" si="362"/>
        <v>13-01</v>
      </c>
      <c r="H4695" s="1">
        <f>_xlfn.IFNA(VLOOKUP(Aragon!E4695,'Kilter Holds'!$P$36:$AB$370,9,0),0)</f>
        <v>0</v>
      </c>
      <c r="J4695" s="2">
        <f t="shared" si="363"/>
        <v>0</v>
      </c>
      <c r="K4695" s="2">
        <f t="shared" si="361"/>
        <v>0</v>
      </c>
    </row>
    <row r="4696" spans="5:11">
      <c r="E4696" t="s">
        <v>69</v>
      </c>
      <c r="F4696" t="s">
        <v>862</v>
      </c>
      <c r="G4696" s="10" t="str">
        <f t="shared" si="362"/>
        <v>07-13</v>
      </c>
      <c r="H4696" s="1">
        <f>_xlfn.IFNA(VLOOKUP(Aragon!E4696,'Kilter Holds'!$P$36:$AB$370,10,0),0)</f>
        <v>0</v>
      </c>
      <c r="J4696" s="2">
        <f t="shared" si="363"/>
        <v>0</v>
      </c>
      <c r="K4696" s="2">
        <f t="shared" si="361"/>
        <v>0</v>
      </c>
    </row>
    <row r="4697" spans="5:11">
      <c r="E4697" t="s">
        <v>69</v>
      </c>
      <c r="F4697" t="s">
        <v>862</v>
      </c>
      <c r="G4697" s="11" t="str">
        <f t="shared" si="362"/>
        <v>11-25</v>
      </c>
      <c r="H4697" s="1">
        <f>_xlfn.IFNA(VLOOKUP(Aragon!E4697,'Kilter Holds'!$P$36:$AB$370,11,0),0)</f>
        <v>0</v>
      </c>
      <c r="J4697" s="2">
        <f t="shared" si="363"/>
        <v>0</v>
      </c>
      <c r="K4697" s="2">
        <f t="shared" si="361"/>
        <v>0</v>
      </c>
    </row>
    <row r="4698" spans="5:11">
      <c r="E4698" t="s">
        <v>69</v>
      </c>
      <c r="F4698" t="s">
        <v>862</v>
      </c>
      <c r="G4698" s="13" t="str">
        <f t="shared" si="362"/>
        <v>18-01</v>
      </c>
      <c r="H4698" s="1">
        <f>_xlfn.IFNA(VLOOKUP(Aragon!E4698,'Kilter Holds'!$P$36:$AB$370,12,0),0)</f>
        <v>0</v>
      </c>
      <c r="J4698" s="2">
        <f t="shared" si="363"/>
        <v>0</v>
      </c>
      <c r="K4698" s="2">
        <f t="shared" si="361"/>
        <v>0</v>
      </c>
    </row>
    <row r="4699" spans="5:11">
      <c r="E4699" t="s">
        <v>69</v>
      </c>
      <c r="F4699" t="s">
        <v>862</v>
      </c>
      <c r="G4699" s="12" t="str">
        <f t="shared" si="362"/>
        <v>12-01</v>
      </c>
      <c r="H4699" s="1">
        <f>_xlfn.IFNA(VLOOKUP(Aragon!E4699,'Kilter Holds'!$P$36:$AB$370,13,0),0)</f>
        <v>0</v>
      </c>
      <c r="J4699" s="2">
        <f t="shared" si="363"/>
        <v>0</v>
      </c>
      <c r="K4699" s="2">
        <f t="shared" si="361"/>
        <v>0</v>
      </c>
    </row>
    <row r="4700" spans="5:11">
      <c r="E4700" t="s">
        <v>70</v>
      </c>
      <c r="F4700" t="s">
        <v>863</v>
      </c>
      <c r="G4700" s="5" t="str">
        <f t="shared" si="362"/>
        <v>11-12</v>
      </c>
      <c r="H4700" s="1">
        <f>_xlfn.IFNA(VLOOKUP(Aragon!E4700,'Kilter Holds'!$P$36:$AB$370,5,0),0)</f>
        <v>0</v>
      </c>
      <c r="J4700" s="2">
        <f t="shared" si="363"/>
        <v>0</v>
      </c>
      <c r="K4700" s="2">
        <f t="shared" si="361"/>
        <v>0</v>
      </c>
    </row>
    <row r="4701" spans="5:11">
      <c r="E4701" t="s">
        <v>70</v>
      </c>
      <c r="F4701" t="s">
        <v>863</v>
      </c>
      <c r="G4701" s="6" t="str">
        <f t="shared" si="362"/>
        <v>14-01</v>
      </c>
      <c r="H4701" s="1">
        <f>_xlfn.IFNA(VLOOKUP(Aragon!E4701,'Kilter Holds'!$P$36:$AB$370,6,0),0)</f>
        <v>0</v>
      </c>
      <c r="J4701" s="2">
        <f t="shared" si="363"/>
        <v>0</v>
      </c>
      <c r="K4701" s="2">
        <f t="shared" si="361"/>
        <v>0</v>
      </c>
    </row>
    <row r="4702" spans="5:11">
      <c r="E4702" t="s">
        <v>70</v>
      </c>
      <c r="F4702" t="s">
        <v>863</v>
      </c>
      <c r="G4702" s="7" t="str">
        <f t="shared" si="362"/>
        <v>15-12</v>
      </c>
      <c r="H4702" s="1">
        <f>_xlfn.IFNA(VLOOKUP(Aragon!E4702,'Kilter Holds'!$P$36:$AB$370,7,0),0)</f>
        <v>0</v>
      </c>
      <c r="J4702" s="2">
        <f t="shared" si="363"/>
        <v>0</v>
      </c>
      <c r="K4702" s="2">
        <f t="shared" si="361"/>
        <v>0</v>
      </c>
    </row>
    <row r="4703" spans="5:11">
      <c r="E4703" t="s">
        <v>70</v>
      </c>
      <c r="F4703" t="s">
        <v>863</v>
      </c>
      <c r="G4703" s="8" t="str">
        <f t="shared" si="362"/>
        <v>16-16</v>
      </c>
      <c r="H4703" s="1">
        <f>_xlfn.IFNA(VLOOKUP(Aragon!E4703,'Kilter Holds'!$P$36:$AB$370,8,0),0)</f>
        <v>0</v>
      </c>
      <c r="J4703" s="2">
        <f t="shared" si="363"/>
        <v>0</v>
      </c>
      <c r="K4703" s="2">
        <f t="shared" si="361"/>
        <v>0</v>
      </c>
    </row>
    <row r="4704" spans="5:11">
      <c r="E4704" t="s">
        <v>70</v>
      </c>
      <c r="F4704" t="s">
        <v>863</v>
      </c>
      <c r="G4704" s="9" t="str">
        <f t="shared" si="362"/>
        <v>13-01</v>
      </c>
      <c r="H4704" s="1">
        <f>_xlfn.IFNA(VLOOKUP(Aragon!E4704,'Kilter Holds'!$P$36:$AB$370,9,0),0)</f>
        <v>0</v>
      </c>
      <c r="J4704" s="2">
        <f t="shared" si="363"/>
        <v>0</v>
      </c>
      <c r="K4704" s="2">
        <f t="shared" si="361"/>
        <v>0</v>
      </c>
    </row>
    <row r="4705" spans="5:11">
      <c r="E4705" t="s">
        <v>70</v>
      </c>
      <c r="F4705" t="s">
        <v>863</v>
      </c>
      <c r="G4705" s="10" t="str">
        <f t="shared" si="362"/>
        <v>07-13</v>
      </c>
      <c r="H4705" s="1">
        <f>_xlfn.IFNA(VLOOKUP(Aragon!E4705,'Kilter Holds'!$P$36:$AB$370,10,0),0)</f>
        <v>0</v>
      </c>
      <c r="J4705" s="2">
        <f t="shared" si="363"/>
        <v>0</v>
      </c>
      <c r="K4705" s="2">
        <f t="shared" ref="K4705:K4726" si="364">IF($V$11="Y",J4705*0.05,0)</f>
        <v>0</v>
      </c>
    </row>
    <row r="4706" spans="5:11">
      <c r="E4706" t="s">
        <v>70</v>
      </c>
      <c r="F4706" t="s">
        <v>863</v>
      </c>
      <c r="G4706" s="11" t="str">
        <f t="shared" ref="G4706:G4823" si="365">G4697</f>
        <v>11-25</v>
      </c>
      <c r="H4706" s="1">
        <f>_xlfn.IFNA(VLOOKUP(Aragon!E4706,'Kilter Holds'!$P$36:$AB$370,11,0),0)</f>
        <v>0</v>
      </c>
      <c r="J4706" s="2">
        <f t="shared" si="363"/>
        <v>0</v>
      </c>
      <c r="K4706" s="2">
        <f t="shared" si="364"/>
        <v>0</v>
      </c>
    </row>
    <row r="4707" spans="5:11">
      <c r="E4707" t="s">
        <v>70</v>
      </c>
      <c r="F4707" t="s">
        <v>863</v>
      </c>
      <c r="G4707" s="13" t="str">
        <f t="shared" si="365"/>
        <v>18-01</v>
      </c>
      <c r="H4707" s="1">
        <f>_xlfn.IFNA(VLOOKUP(Aragon!E4707,'Kilter Holds'!$P$36:$AB$370,12,0),0)</f>
        <v>0</v>
      </c>
      <c r="J4707" s="2">
        <f t="shared" si="363"/>
        <v>0</v>
      </c>
      <c r="K4707" s="2">
        <f t="shared" si="364"/>
        <v>0</v>
      </c>
    </row>
    <row r="4708" spans="5:11">
      <c r="E4708" t="s">
        <v>70</v>
      </c>
      <c r="F4708" t="s">
        <v>863</v>
      </c>
      <c r="G4708" s="12" t="str">
        <f t="shared" si="365"/>
        <v>12-01</v>
      </c>
      <c r="H4708" s="1">
        <f>_xlfn.IFNA(VLOOKUP(Aragon!E4708,'Kilter Holds'!$P$36:$AB$370,13,0),0)</f>
        <v>0</v>
      </c>
      <c r="J4708" s="2">
        <f t="shared" si="363"/>
        <v>0</v>
      </c>
      <c r="K4708" s="2">
        <f t="shared" si="364"/>
        <v>0</v>
      </c>
    </row>
    <row r="4709" spans="5:11">
      <c r="E4709" t="s">
        <v>86</v>
      </c>
      <c r="F4709" t="s">
        <v>864</v>
      </c>
      <c r="G4709" s="5" t="str">
        <f t="shared" si="365"/>
        <v>11-12</v>
      </c>
      <c r="H4709" s="1">
        <f>_xlfn.IFNA(VLOOKUP(Aragon!E4709,'Kilter Holds'!$P$36:$AB$370,5,0),0)</f>
        <v>0</v>
      </c>
      <c r="J4709" s="2">
        <f t="shared" si="363"/>
        <v>0</v>
      </c>
      <c r="K4709" s="2">
        <f t="shared" si="364"/>
        <v>0</v>
      </c>
    </row>
    <row r="4710" spans="5:11">
      <c r="E4710" t="s">
        <v>86</v>
      </c>
      <c r="F4710" t="s">
        <v>864</v>
      </c>
      <c r="G4710" s="6" t="str">
        <f t="shared" si="365"/>
        <v>14-01</v>
      </c>
      <c r="H4710" s="1">
        <f>_xlfn.IFNA(VLOOKUP(Aragon!E4710,'Kilter Holds'!$P$36:$AB$370,6,0),0)</f>
        <v>0</v>
      </c>
      <c r="J4710" s="2">
        <f t="shared" si="363"/>
        <v>0</v>
      </c>
      <c r="K4710" s="2">
        <f t="shared" si="364"/>
        <v>0</v>
      </c>
    </row>
    <row r="4711" spans="5:11">
      <c r="E4711" t="s">
        <v>86</v>
      </c>
      <c r="F4711" t="s">
        <v>864</v>
      </c>
      <c r="G4711" s="7" t="str">
        <f t="shared" si="365"/>
        <v>15-12</v>
      </c>
      <c r="H4711" s="1">
        <f>_xlfn.IFNA(VLOOKUP(Aragon!E4711,'Kilter Holds'!$P$36:$AB$370,7,0),0)</f>
        <v>0</v>
      </c>
      <c r="J4711" s="2">
        <f t="shared" si="363"/>
        <v>0</v>
      </c>
      <c r="K4711" s="2">
        <f t="shared" si="364"/>
        <v>0</v>
      </c>
    </row>
    <row r="4712" spans="5:11">
      <c r="E4712" t="s">
        <v>86</v>
      </c>
      <c r="F4712" t="s">
        <v>864</v>
      </c>
      <c r="G4712" s="8" t="str">
        <f t="shared" si="365"/>
        <v>16-16</v>
      </c>
      <c r="H4712" s="1">
        <f>_xlfn.IFNA(VLOOKUP(Aragon!E4712,'Kilter Holds'!$P$36:$AB$370,8,0),0)</f>
        <v>0</v>
      </c>
      <c r="J4712" s="2">
        <f t="shared" ref="J4712:J4726" si="366">H4712*I4712</f>
        <v>0</v>
      </c>
      <c r="K4712" s="2">
        <f t="shared" si="364"/>
        <v>0</v>
      </c>
    </row>
    <row r="4713" spans="5:11">
      <c r="E4713" t="s">
        <v>86</v>
      </c>
      <c r="F4713" t="s">
        <v>864</v>
      </c>
      <c r="G4713" s="9" t="str">
        <f t="shared" si="365"/>
        <v>13-01</v>
      </c>
      <c r="H4713" s="1">
        <f>_xlfn.IFNA(VLOOKUP(Aragon!E4713,'Kilter Holds'!$P$36:$AB$370,9,0),0)</f>
        <v>0</v>
      </c>
      <c r="J4713" s="2">
        <f t="shared" si="366"/>
        <v>0</v>
      </c>
      <c r="K4713" s="2">
        <f t="shared" si="364"/>
        <v>0</v>
      </c>
    </row>
    <row r="4714" spans="5:11">
      <c r="E4714" t="s">
        <v>86</v>
      </c>
      <c r="F4714" t="s">
        <v>864</v>
      </c>
      <c r="G4714" s="10" t="str">
        <f t="shared" si="365"/>
        <v>07-13</v>
      </c>
      <c r="H4714" s="1">
        <f>_xlfn.IFNA(VLOOKUP(Aragon!E4714,'Kilter Holds'!$P$36:$AB$370,10,0),0)</f>
        <v>0</v>
      </c>
      <c r="J4714" s="2">
        <f t="shared" si="366"/>
        <v>0</v>
      </c>
      <c r="K4714" s="2">
        <f t="shared" si="364"/>
        <v>0</v>
      </c>
    </row>
    <row r="4715" spans="5:11">
      <c r="E4715" t="s">
        <v>86</v>
      </c>
      <c r="F4715" t="s">
        <v>864</v>
      </c>
      <c r="G4715" s="11" t="str">
        <f t="shared" si="365"/>
        <v>11-25</v>
      </c>
      <c r="H4715" s="1">
        <f>_xlfn.IFNA(VLOOKUP(Aragon!E4715,'Kilter Holds'!$P$36:$AB$370,11,0),0)</f>
        <v>0</v>
      </c>
      <c r="J4715" s="2">
        <f t="shared" si="366"/>
        <v>0</v>
      </c>
      <c r="K4715" s="2">
        <f t="shared" si="364"/>
        <v>0</v>
      </c>
    </row>
    <row r="4716" spans="5:11">
      <c r="E4716" t="s">
        <v>86</v>
      </c>
      <c r="F4716" t="s">
        <v>864</v>
      </c>
      <c r="G4716" s="13" t="str">
        <f t="shared" si="365"/>
        <v>18-01</v>
      </c>
      <c r="H4716" s="1">
        <f>_xlfn.IFNA(VLOOKUP(Aragon!E4716,'Kilter Holds'!$P$36:$AB$370,12,0),0)</f>
        <v>0</v>
      </c>
      <c r="J4716" s="2">
        <f t="shared" si="366"/>
        <v>0</v>
      </c>
      <c r="K4716" s="2">
        <f t="shared" si="364"/>
        <v>0</v>
      </c>
    </row>
    <row r="4717" spans="5:11">
      <c r="E4717" t="s">
        <v>86</v>
      </c>
      <c r="F4717" t="s">
        <v>864</v>
      </c>
      <c r="G4717" s="12" t="str">
        <f t="shared" si="365"/>
        <v>12-01</v>
      </c>
      <c r="H4717" s="1">
        <f>_xlfn.IFNA(VLOOKUP(Aragon!E4717,'Kilter Holds'!$P$36:$AB$370,13,0),0)</f>
        <v>0</v>
      </c>
      <c r="J4717" s="2">
        <f t="shared" si="366"/>
        <v>0</v>
      </c>
      <c r="K4717" s="2">
        <f t="shared" si="364"/>
        <v>0</v>
      </c>
    </row>
    <row r="4718" spans="5:11">
      <c r="E4718" t="s">
        <v>519</v>
      </c>
      <c r="F4718" t="s">
        <v>865</v>
      </c>
      <c r="G4718" s="5" t="str">
        <f t="shared" si="365"/>
        <v>11-12</v>
      </c>
      <c r="H4718" s="1">
        <f>_xlfn.IFNA(VLOOKUP(Aragon!E4718,'Kilter Holds'!$P$36:$AB$370,5,0),0)</f>
        <v>0</v>
      </c>
      <c r="J4718" s="2">
        <f t="shared" si="366"/>
        <v>0</v>
      </c>
      <c r="K4718" s="2">
        <f t="shared" si="364"/>
        <v>0</v>
      </c>
    </row>
    <row r="4719" spans="5:11">
      <c r="E4719" t="s">
        <v>519</v>
      </c>
      <c r="F4719" t="s">
        <v>865</v>
      </c>
      <c r="G4719" s="6" t="str">
        <f t="shared" si="365"/>
        <v>14-01</v>
      </c>
      <c r="H4719" s="1">
        <f>_xlfn.IFNA(VLOOKUP(Aragon!E4719,'Kilter Holds'!$P$36:$AB$370,6,0),0)</f>
        <v>0</v>
      </c>
      <c r="J4719" s="2">
        <f t="shared" si="366"/>
        <v>0</v>
      </c>
      <c r="K4719" s="2">
        <f t="shared" si="364"/>
        <v>0</v>
      </c>
    </row>
    <row r="4720" spans="5:11">
      <c r="E4720" t="s">
        <v>519</v>
      </c>
      <c r="F4720" t="s">
        <v>865</v>
      </c>
      <c r="G4720" s="7" t="str">
        <f t="shared" si="365"/>
        <v>15-12</v>
      </c>
      <c r="H4720" s="1">
        <f>_xlfn.IFNA(VLOOKUP(Aragon!E4720,'Kilter Holds'!$P$36:$AB$370,7,0),0)</f>
        <v>0</v>
      </c>
      <c r="J4720" s="2">
        <f t="shared" si="366"/>
        <v>0</v>
      </c>
      <c r="K4720" s="2">
        <f t="shared" si="364"/>
        <v>0</v>
      </c>
    </row>
    <row r="4721" spans="5:11">
      <c r="E4721" t="s">
        <v>519</v>
      </c>
      <c r="F4721" t="s">
        <v>865</v>
      </c>
      <c r="G4721" s="8" t="str">
        <f t="shared" si="365"/>
        <v>16-16</v>
      </c>
      <c r="H4721" s="1">
        <f>_xlfn.IFNA(VLOOKUP(Aragon!E4721,'Kilter Holds'!$P$36:$AB$370,8,0),0)</f>
        <v>0</v>
      </c>
      <c r="J4721" s="2">
        <f t="shared" si="366"/>
        <v>0</v>
      </c>
      <c r="K4721" s="2">
        <f t="shared" si="364"/>
        <v>0</v>
      </c>
    </row>
    <row r="4722" spans="5:11">
      <c r="E4722" t="s">
        <v>519</v>
      </c>
      <c r="F4722" t="s">
        <v>865</v>
      </c>
      <c r="G4722" s="9" t="str">
        <f t="shared" si="365"/>
        <v>13-01</v>
      </c>
      <c r="H4722" s="1">
        <f>_xlfn.IFNA(VLOOKUP(Aragon!E4722,'Kilter Holds'!$P$36:$AB$370,9,0),0)</f>
        <v>0</v>
      </c>
      <c r="J4722" s="2">
        <f t="shared" si="366"/>
        <v>0</v>
      </c>
      <c r="K4722" s="2">
        <f t="shared" si="364"/>
        <v>0</v>
      </c>
    </row>
    <row r="4723" spans="5:11">
      <c r="E4723" t="s">
        <v>519</v>
      </c>
      <c r="F4723" t="s">
        <v>865</v>
      </c>
      <c r="G4723" s="10" t="str">
        <f t="shared" si="365"/>
        <v>07-13</v>
      </c>
      <c r="H4723" s="1">
        <f>_xlfn.IFNA(VLOOKUP(Aragon!E4723,'Kilter Holds'!$P$36:$AB$370,10,0),0)</f>
        <v>0</v>
      </c>
      <c r="J4723" s="2">
        <f t="shared" si="366"/>
        <v>0</v>
      </c>
      <c r="K4723" s="2">
        <f t="shared" si="364"/>
        <v>0</v>
      </c>
    </row>
    <row r="4724" spans="5:11">
      <c r="E4724" t="s">
        <v>519</v>
      </c>
      <c r="F4724" t="s">
        <v>865</v>
      </c>
      <c r="G4724" s="11" t="str">
        <f t="shared" si="365"/>
        <v>11-25</v>
      </c>
      <c r="H4724" s="1">
        <f>_xlfn.IFNA(VLOOKUP(Aragon!E4724,'Kilter Holds'!$P$36:$AB$370,11,0),0)</f>
        <v>0</v>
      </c>
      <c r="J4724" s="2">
        <f t="shared" si="366"/>
        <v>0</v>
      </c>
      <c r="K4724" s="2">
        <f t="shared" si="364"/>
        <v>0</v>
      </c>
    </row>
    <row r="4725" spans="5:11">
      <c r="E4725" t="s">
        <v>519</v>
      </c>
      <c r="F4725" t="s">
        <v>865</v>
      </c>
      <c r="G4725" s="13" t="str">
        <f t="shared" si="365"/>
        <v>18-01</v>
      </c>
      <c r="H4725" s="1">
        <f>_xlfn.IFNA(VLOOKUP(Aragon!E4725,'Kilter Holds'!$P$36:$AB$370,12,0),0)</f>
        <v>0</v>
      </c>
      <c r="J4725" s="2">
        <f t="shared" si="366"/>
        <v>0</v>
      </c>
      <c r="K4725" s="2">
        <f t="shared" si="364"/>
        <v>0</v>
      </c>
    </row>
    <row r="4726" spans="5:11">
      <c r="E4726" t="s">
        <v>519</v>
      </c>
      <c r="F4726" t="s">
        <v>865</v>
      </c>
      <c r="G4726" s="12" t="str">
        <f t="shared" si="365"/>
        <v>12-01</v>
      </c>
      <c r="H4726" s="1">
        <f>_xlfn.IFNA(VLOOKUP(Aragon!E4726,'Kilter Holds'!$P$36:$AB$370,13,0),0)</f>
        <v>0</v>
      </c>
      <c r="J4726" s="2">
        <f t="shared" si="366"/>
        <v>0</v>
      </c>
      <c r="K4726" s="2">
        <f t="shared" si="364"/>
        <v>0</v>
      </c>
    </row>
    <row r="4727" spans="5:11">
      <c r="E4727" s="3" t="s">
        <v>2457</v>
      </c>
      <c r="F4727" s="3" t="s">
        <v>2459</v>
      </c>
      <c r="G4727" s="5" t="str">
        <f t="shared" si="365"/>
        <v>11-12</v>
      </c>
      <c r="H4727" s="1">
        <f>_xlfn.IFNA(VLOOKUP(Aragon!E4727,'Kilter Holds'!$P$36:$AB$370,5,0),0)</f>
        <v>0</v>
      </c>
      <c r="J4727" s="2">
        <f t="shared" ref="J4727:J4735" si="367">H4727*I4727</f>
        <v>0</v>
      </c>
      <c r="K4727" s="2">
        <f t="shared" ref="K4727:K4735" si="368">IF($V$11="Y",J4727*0.05,0)</f>
        <v>0</v>
      </c>
    </row>
    <row r="4728" spans="5:11">
      <c r="E4728" s="3" t="s">
        <v>2457</v>
      </c>
      <c r="F4728" s="3" t="s">
        <v>2459</v>
      </c>
      <c r="G4728" s="6" t="str">
        <f t="shared" si="365"/>
        <v>14-01</v>
      </c>
      <c r="H4728" s="1">
        <f>_xlfn.IFNA(VLOOKUP(Aragon!E4728,'Kilter Holds'!$P$36:$AB$370,6,0),0)</f>
        <v>0</v>
      </c>
      <c r="J4728" s="2">
        <f t="shared" si="367"/>
        <v>0</v>
      </c>
      <c r="K4728" s="2">
        <f t="shared" si="368"/>
        <v>0</v>
      </c>
    </row>
    <row r="4729" spans="5:11">
      <c r="E4729" s="3" t="s">
        <v>2457</v>
      </c>
      <c r="F4729" s="3" t="s">
        <v>2459</v>
      </c>
      <c r="G4729" s="7" t="str">
        <f t="shared" si="365"/>
        <v>15-12</v>
      </c>
      <c r="H4729" s="1">
        <f>_xlfn.IFNA(VLOOKUP(Aragon!E4729,'Kilter Holds'!$P$36:$AB$370,7,0),0)</f>
        <v>0</v>
      </c>
      <c r="J4729" s="2">
        <f t="shared" si="367"/>
        <v>0</v>
      </c>
      <c r="K4729" s="2">
        <f t="shared" si="368"/>
        <v>0</v>
      </c>
    </row>
    <row r="4730" spans="5:11">
      <c r="E4730" s="3" t="s">
        <v>2457</v>
      </c>
      <c r="F4730" s="3" t="s">
        <v>2459</v>
      </c>
      <c r="G4730" s="8" t="str">
        <f t="shared" si="365"/>
        <v>16-16</v>
      </c>
      <c r="H4730" s="1">
        <f>_xlfn.IFNA(VLOOKUP(Aragon!E4730,'Kilter Holds'!$P$36:$AB$370,8,0),0)</f>
        <v>0</v>
      </c>
      <c r="J4730" s="2">
        <f t="shared" si="367"/>
        <v>0</v>
      </c>
      <c r="K4730" s="2">
        <f t="shared" si="368"/>
        <v>0</v>
      </c>
    </row>
    <row r="4731" spans="5:11">
      <c r="E4731" s="3" t="s">
        <v>2457</v>
      </c>
      <c r="F4731" s="3" t="s">
        <v>2459</v>
      </c>
      <c r="G4731" s="9" t="str">
        <f t="shared" si="365"/>
        <v>13-01</v>
      </c>
      <c r="H4731" s="1">
        <f>_xlfn.IFNA(VLOOKUP(Aragon!E4731,'Kilter Holds'!$P$36:$AB$370,9,0),0)</f>
        <v>0</v>
      </c>
      <c r="J4731" s="2">
        <f t="shared" si="367"/>
        <v>0</v>
      </c>
      <c r="K4731" s="2">
        <f t="shared" si="368"/>
        <v>0</v>
      </c>
    </row>
    <row r="4732" spans="5:11">
      <c r="E4732" s="3" t="s">
        <v>2457</v>
      </c>
      <c r="F4732" s="3" t="s">
        <v>2459</v>
      </c>
      <c r="G4732" s="10" t="str">
        <f t="shared" si="365"/>
        <v>07-13</v>
      </c>
      <c r="H4732" s="1">
        <f>_xlfn.IFNA(VLOOKUP(Aragon!E4732,'Kilter Holds'!$P$36:$AB$370,10,0),0)</f>
        <v>0</v>
      </c>
      <c r="J4732" s="2">
        <f t="shared" si="367"/>
        <v>0</v>
      </c>
      <c r="K4732" s="2">
        <f t="shared" si="368"/>
        <v>0</v>
      </c>
    </row>
    <row r="4733" spans="5:11">
      <c r="E4733" s="3" t="s">
        <v>2457</v>
      </c>
      <c r="F4733" s="3" t="s">
        <v>2459</v>
      </c>
      <c r="G4733" s="11" t="str">
        <f t="shared" si="365"/>
        <v>11-25</v>
      </c>
      <c r="H4733" s="1">
        <f>_xlfn.IFNA(VLOOKUP(Aragon!E4733,'Kilter Holds'!$P$36:$AB$370,11,0),0)</f>
        <v>0</v>
      </c>
      <c r="J4733" s="2">
        <f t="shared" si="367"/>
        <v>0</v>
      </c>
      <c r="K4733" s="2">
        <f t="shared" si="368"/>
        <v>0</v>
      </c>
    </row>
    <row r="4734" spans="5:11">
      <c r="E4734" s="3" t="s">
        <v>2457</v>
      </c>
      <c r="F4734" s="3" t="s">
        <v>2459</v>
      </c>
      <c r="G4734" s="13" t="str">
        <f t="shared" si="365"/>
        <v>18-01</v>
      </c>
      <c r="H4734" s="1">
        <f>_xlfn.IFNA(VLOOKUP(Aragon!E4734,'Kilter Holds'!$P$36:$AB$370,12,0),0)</f>
        <v>0</v>
      </c>
      <c r="J4734" s="2">
        <f t="shared" si="367"/>
        <v>0</v>
      </c>
      <c r="K4734" s="2">
        <f t="shared" si="368"/>
        <v>0</v>
      </c>
    </row>
    <row r="4735" spans="5:11">
      <c r="E4735" s="3" t="s">
        <v>2457</v>
      </c>
      <c r="F4735" s="3" t="s">
        <v>2459</v>
      </c>
      <c r="G4735" s="12" t="str">
        <f t="shared" si="365"/>
        <v>12-01</v>
      </c>
      <c r="H4735" s="1">
        <f>_xlfn.IFNA(VLOOKUP(Aragon!E4735,'Kilter Holds'!$P$36:$AB$370,13,0),0)</f>
        <v>0</v>
      </c>
      <c r="J4735" s="2">
        <f t="shared" si="367"/>
        <v>0</v>
      </c>
      <c r="K4735" s="2">
        <f t="shared" si="368"/>
        <v>0</v>
      </c>
    </row>
    <row r="4736" spans="5:11">
      <c r="E4736" s="3" t="s">
        <v>2059</v>
      </c>
      <c r="F4736" s="3" t="s">
        <v>2060</v>
      </c>
      <c r="G4736" s="5" t="str">
        <f t="shared" ref="G4736:G4780" si="369">G4718</f>
        <v>11-12</v>
      </c>
      <c r="H4736" s="1">
        <f>_xlfn.IFNA(VLOOKUP(Aragon!E4736,'Kilter Holds'!$P$36:$AB$370,5,0),0)</f>
        <v>0</v>
      </c>
      <c r="J4736" s="2">
        <f t="shared" ref="J4736:J4744" si="370">H4736*I4736</f>
        <v>0</v>
      </c>
      <c r="K4736" s="2">
        <f t="shared" ref="K4736:K4744" si="371">IF($V$11="Y",J4736*0.05,0)</f>
        <v>0</v>
      </c>
    </row>
    <row r="4737" spans="5:11">
      <c r="E4737" s="3" t="s">
        <v>2059</v>
      </c>
      <c r="F4737" s="3" t="s">
        <v>2060</v>
      </c>
      <c r="G4737" s="6" t="str">
        <f t="shared" si="369"/>
        <v>14-01</v>
      </c>
      <c r="H4737" s="1">
        <f>_xlfn.IFNA(VLOOKUP(Aragon!E4737,'Kilter Holds'!$P$36:$AB$370,6,0),0)</f>
        <v>0</v>
      </c>
      <c r="J4737" s="2">
        <f t="shared" si="370"/>
        <v>0</v>
      </c>
      <c r="K4737" s="2">
        <f t="shared" si="371"/>
        <v>0</v>
      </c>
    </row>
    <row r="4738" spans="5:11">
      <c r="E4738" s="3" t="s">
        <v>2059</v>
      </c>
      <c r="F4738" s="3" t="s">
        <v>2060</v>
      </c>
      <c r="G4738" s="7" t="str">
        <f t="shared" si="369"/>
        <v>15-12</v>
      </c>
      <c r="H4738" s="1">
        <f>_xlfn.IFNA(VLOOKUP(Aragon!E4738,'Kilter Holds'!$P$36:$AB$370,7,0),0)</f>
        <v>0</v>
      </c>
      <c r="J4738" s="2">
        <f t="shared" si="370"/>
        <v>0</v>
      </c>
      <c r="K4738" s="2">
        <f t="shared" si="371"/>
        <v>0</v>
      </c>
    </row>
    <row r="4739" spans="5:11">
      <c r="E4739" s="3" t="s">
        <v>2059</v>
      </c>
      <c r="F4739" s="3" t="s">
        <v>2060</v>
      </c>
      <c r="G4739" s="8" t="str">
        <f t="shared" si="369"/>
        <v>16-16</v>
      </c>
      <c r="H4739" s="1">
        <f>_xlfn.IFNA(VLOOKUP(Aragon!E4739,'Kilter Holds'!$P$36:$AB$370,8,0),0)</f>
        <v>0</v>
      </c>
      <c r="J4739" s="2">
        <f t="shared" si="370"/>
        <v>0</v>
      </c>
      <c r="K4739" s="2">
        <f t="shared" si="371"/>
        <v>0</v>
      </c>
    </row>
    <row r="4740" spans="5:11">
      <c r="E4740" s="3" t="s">
        <v>2059</v>
      </c>
      <c r="F4740" s="3" t="s">
        <v>2060</v>
      </c>
      <c r="G4740" s="9" t="str">
        <f t="shared" si="369"/>
        <v>13-01</v>
      </c>
      <c r="H4740" s="1">
        <f>_xlfn.IFNA(VLOOKUP(Aragon!E4740,'Kilter Holds'!$P$36:$AB$370,9,0),0)</f>
        <v>0</v>
      </c>
      <c r="J4740" s="2">
        <f t="shared" si="370"/>
        <v>0</v>
      </c>
      <c r="K4740" s="2">
        <f t="shared" si="371"/>
        <v>0</v>
      </c>
    </row>
    <row r="4741" spans="5:11">
      <c r="E4741" s="3" t="s">
        <v>2059</v>
      </c>
      <c r="F4741" s="3" t="s">
        <v>2060</v>
      </c>
      <c r="G4741" s="10" t="str">
        <f t="shared" si="369"/>
        <v>07-13</v>
      </c>
      <c r="H4741" s="1">
        <f>_xlfn.IFNA(VLOOKUP(Aragon!E4741,'Kilter Holds'!$P$36:$AB$370,10,0),0)</f>
        <v>0</v>
      </c>
      <c r="J4741" s="2">
        <f t="shared" si="370"/>
        <v>0</v>
      </c>
      <c r="K4741" s="2">
        <f t="shared" si="371"/>
        <v>0</v>
      </c>
    </row>
    <row r="4742" spans="5:11">
      <c r="E4742" s="3" t="s">
        <v>2059</v>
      </c>
      <c r="F4742" s="3" t="s">
        <v>2060</v>
      </c>
      <c r="G4742" s="11" t="str">
        <f t="shared" si="369"/>
        <v>11-25</v>
      </c>
      <c r="H4742" s="1">
        <f>_xlfn.IFNA(VLOOKUP(Aragon!E4742,'Kilter Holds'!$P$36:$AB$370,11,0),0)</f>
        <v>0</v>
      </c>
      <c r="J4742" s="2">
        <f t="shared" si="370"/>
        <v>0</v>
      </c>
      <c r="K4742" s="2">
        <f t="shared" si="371"/>
        <v>0</v>
      </c>
    </row>
    <row r="4743" spans="5:11">
      <c r="E4743" s="3" t="s">
        <v>2059</v>
      </c>
      <c r="F4743" s="3" t="s">
        <v>2060</v>
      </c>
      <c r="G4743" s="13" t="str">
        <f t="shared" si="369"/>
        <v>18-01</v>
      </c>
      <c r="H4743" s="1">
        <f>_xlfn.IFNA(VLOOKUP(Aragon!E4743,'Kilter Holds'!$P$36:$AB$370,12,0),0)</f>
        <v>0</v>
      </c>
      <c r="J4743" s="2">
        <f t="shared" si="370"/>
        <v>0</v>
      </c>
      <c r="K4743" s="2">
        <f t="shared" si="371"/>
        <v>0</v>
      </c>
    </row>
    <row r="4744" spans="5:11">
      <c r="E4744" s="3" t="s">
        <v>2059</v>
      </c>
      <c r="F4744" s="3" t="s">
        <v>2060</v>
      </c>
      <c r="G4744" s="12" t="str">
        <f t="shared" si="369"/>
        <v>12-01</v>
      </c>
      <c r="H4744" s="1">
        <f>_xlfn.IFNA(VLOOKUP(Aragon!E4744,'Kilter Holds'!$P$36:$AB$370,13,0),0)</f>
        <v>0</v>
      </c>
      <c r="J4744" s="2">
        <f t="shared" si="370"/>
        <v>0</v>
      </c>
      <c r="K4744" s="2">
        <f t="shared" si="371"/>
        <v>0</v>
      </c>
    </row>
    <row r="4745" spans="5:11">
      <c r="E4745" s="3" t="s">
        <v>2702</v>
      </c>
      <c r="F4745" s="3" t="s">
        <v>3127</v>
      </c>
      <c r="G4745" s="5" t="str">
        <f t="shared" si="369"/>
        <v>11-12</v>
      </c>
      <c r="H4745" s="1">
        <f>_xlfn.IFNA(VLOOKUP(Aragon!E4745,'Kilter Holds'!$P$36:$AB$370,5,0),0)</f>
        <v>0</v>
      </c>
      <c r="J4745" s="2">
        <f t="shared" ref="J4745:J4753" si="372">H4745*I4745</f>
        <v>0</v>
      </c>
      <c r="K4745" s="2">
        <f t="shared" ref="K4745:K4753" si="373">IF($V$11="Y",J4745*0.05,0)</f>
        <v>0</v>
      </c>
    </row>
    <row r="4746" spans="5:11">
      <c r="E4746" s="3" t="s">
        <v>2702</v>
      </c>
      <c r="F4746" s="3" t="s">
        <v>3127</v>
      </c>
      <c r="G4746" s="6" t="str">
        <f t="shared" si="369"/>
        <v>14-01</v>
      </c>
      <c r="H4746" s="1">
        <f>_xlfn.IFNA(VLOOKUP(Aragon!E4746,'Kilter Holds'!$P$36:$AB$370,6,0),0)</f>
        <v>0</v>
      </c>
      <c r="J4746" s="2">
        <f t="shared" si="372"/>
        <v>0</v>
      </c>
      <c r="K4746" s="2">
        <f t="shared" si="373"/>
        <v>0</v>
      </c>
    </row>
    <row r="4747" spans="5:11">
      <c r="E4747" s="3" t="s">
        <v>2702</v>
      </c>
      <c r="F4747" s="3" t="s">
        <v>3127</v>
      </c>
      <c r="G4747" s="7" t="str">
        <f t="shared" si="369"/>
        <v>15-12</v>
      </c>
      <c r="H4747" s="1">
        <f>_xlfn.IFNA(VLOOKUP(Aragon!E4747,'Kilter Holds'!$P$36:$AB$370,7,0),0)</f>
        <v>0</v>
      </c>
      <c r="J4747" s="2">
        <f t="shared" si="372"/>
        <v>0</v>
      </c>
      <c r="K4747" s="2">
        <f t="shared" si="373"/>
        <v>0</v>
      </c>
    </row>
    <row r="4748" spans="5:11">
      <c r="E4748" s="3" t="s">
        <v>2702</v>
      </c>
      <c r="F4748" s="3" t="s">
        <v>3127</v>
      </c>
      <c r="G4748" s="8" t="str">
        <f t="shared" si="369"/>
        <v>16-16</v>
      </c>
      <c r="H4748" s="1">
        <f>_xlfn.IFNA(VLOOKUP(Aragon!E4748,'Kilter Holds'!$P$36:$AB$370,8,0),0)</f>
        <v>0</v>
      </c>
      <c r="J4748" s="2">
        <f t="shared" si="372"/>
        <v>0</v>
      </c>
      <c r="K4748" s="2">
        <f t="shared" si="373"/>
        <v>0</v>
      </c>
    </row>
    <row r="4749" spans="5:11">
      <c r="E4749" s="3" t="s">
        <v>2702</v>
      </c>
      <c r="F4749" s="3" t="s">
        <v>3127</v>
      </c>
      <c r="G4749" s="9" t="str">
        <f t="shared" si="369"/>
        <v>13-01</v>
      </c>
      <c r="H4749" s="1">
        <f>_xlfn.IFNA(VLOOKUP(Aragon!E4749,'Kilter Holds'!$P$36:$AB$370,9,0),0)</f>
        <v>0</v>
      </c>
      <c r="J4749" s="2">
        <f t="shared" si="372"/>
        <v>0</v>
      </c>
      <c r="K4749" s="2">
        <f t="shared" si="373"/>
        <v>0</v>
      </c>
    </row>
    <row r="4750" spans="5:11">
      <c r="E4750" s="3" t="s">
        <v>2702</v>
      </c>
      <c r="F4750" s="3" t="s">
        <v>3127</v>
      </c>
      <c r="G4750" s="10" t="str">
        <f t="shared" si="369"/>
        <v>07-13</v>
      </c>
      <c r="H4750" s="1">
        <f>_xlfn.IFNA(VLOOKUP(Aragon!E4750,'Kilter Holds'!$P$36:$AB$370,10,0),0)</f>
        <v>0</v>
      </c>
      <c r="J4750" s="2">
        <f t="shared" si="372"/>
        <v>0</v>
      </c>
      <c r="K4750" s="2">
        <f t="shared" si="373"/>
        <v>0</v>
      </c>
    </row>
    <row r="4751" spans="5:11">
      <c r="E4751" s="3" t="s">
        <v>2702</v>
      </c>
      <c r="F4751" s="3" t="s">
        <v>3127</v>
      </c>
      <c r="G4751" s="11" t="str">
        <f t="shared" si="369"/>
        <v>11-25</v>
      </c>
      <c r="H4751" s="1">
        <f>_xlfn.IFNA(VLOOKUP(Aragon!E4751,'Kilter Holds'!$P$36:$AB$370,11,0),0)</f>
        <v>0</v>
      </c>
      <c r="J4751" s="2">
        <f t="shared" si="372"/>
        <v>0</v>
      </c>
      <c r="K4751" s="2">
        <f t="shared" si="373"/>
        <v>0</v>
      </c>
    </row>
    <row r="4752" spans="5:11">
      <c r="E4752" s="3" t="s">
        <v>2702</v>
      </c>
      <c r="F4752" s="3" t="s">
        <v>3127</v>
      </c>
      <c r="G4752" s="13" t="str">
        <f t="shared" si="369"/>
        <v>18-01</v>
      </c>
      <c r="H4752" s="1">
        <f>_xlfn.IFNA(VLOOKUP(Aragon!E4752,'Kilter Holds'!$P$36:$AB$370,12,0),0)</f>
        <v>0</v>
      </c>
      <c r="J4752" s="2">
        <f t="shared" si="372"/>
        <v>0</v>
      </c>
      <c r="K4752" s="2">
        <f t="shared" si="373"/>
        <v>0</v>
      </c>
    </row>
    <row r="4753" spans="5:11">
      <c r="E4753" s="3" t="s">
        <v>2702</v>
      </c>
      <c r="F4753" s="3" t="s">
        <v>3127</v>
      </c>
      <c r="G4753" s="12" t="str">
        <f t="shared" si="369"/>
        <v>12-01</v>
      </c>
      <c r="H4753" s="1">
        <f>_xlfn.IFNA(VLOOKUP(Aragon!E4753,'Kilter Holds'!$P$36:$AB$370,13,0),0)</f>
        <v>0</v>
      </c>
      <c r="J4753" s="2">
        <f t="shared" si="372"/>
        <v>0</v>
      </c>
      <c r="K4753" s="2">
        <f t="shared" si="373"/>
        <v>0</v>
      </c>
    </row>
    <row r="4754" spans="5:11">
      <c r="E4754" s="3" t="s">
        <v>2707</v>
      </c>
      <c r="F4754" s="3" t="s">
        <v>3128</v>
      </c>
      <c r="G4754" s="5" t="str">
        <f t="shared" si="369"/>
        <v>11-12</v>
      </c>
      <c r="H4754" s="1">
        <f>_xlfn.IFNA(VLOOKUP(Aragon!E4754,'Kilter Holds'!$P$36:$AB$370,5,0),0)</f>
        <v>0</v>
      </c>
      <c r="J4754" s="2">
        <f t="shared" ref="J4754:J4762" si="374">H4754*I4754</f>
        <v>0</v>
      </c>
      <c r="K4754" s="2">
        <f t="shared" ref="K4754:K4762" si="375">IF($V$11="Y",J4754*0.05,0)</f>
        <v>0</v>
      </c>
    </row>
    <row r="4755" spans="5:11">
      <c r="E4755" s="3" t="s">
        <v>2707</v>
      </c>
      <c r="F4755" s="3" t="s">
        <v>3128</v>
      </c>
      <c r="G4755" s="6" t="str">
        <f t="shared" si="369"/>
        <v>14-01</v>
      </c>
      <c r="H4755" s="1">
        <f>_xlfn.IFNA(VLOOKUP(Aragon!E4755,'Kilter Holds'!$P$36:$AB$370,6,0),0)</f>
        <v>0</v>
      </c>
      <c r="J4755" s="2">
        <f t="shared" si="374"/>
        <v>0</v>
      </c>
      <c r="K4755" s="2">
        <f t="shared" si="375"/>
        <v>0</v>
      </c>
    </row>
    <row r="4756" spans="5:11">
      <c r="E4756" s="3" t="s">
        <v>2707</v>
      </c>
      <c r="F4756" s="3" t="s">
        <v>3128</v>
      </c>
      <c r="G4756" s="7" t="str">
        <f t="shared" si="369"/>
        <v>15-12</v>
      </c>
      <c r="H4756" s="1">
        <f>_xlfn.IFNA(VLOOKUP(Aragon!E4756,'Kilter Holds'!$P$36:$AB$370,7,0),0)</f>
        <v>0</v>
      </c>
      <c r="J4756" s="2">
        <f t="shared" si="374"/>
        <v>0</v>
      </c>
      <c r="K4756" s="2">
        <f t="shared" si="375"/>
        <v>0</v>
      </c>
    </row>
    <row r="4757" spans="5:11">
      <c r="E4757" s="3" t="s">
        <v>2707</v>
      </c>
      <c r="F4757" s="3" t="s">
        <v>3128</v>
      </c>
      <c r="G4757" s="8" t="str">
        <f t="shared" si="369"/>
        <v>16-16</v>
      </c>
      <c r="H4757" s="1">
        <f>_xlfn.IFNA(VLOOKUP(Aragon!E4757,'Kilter Holds'!$P$36:$AB$370,8,0),0)</f>
        <v>0</v>
      </c>
      <c r="J4757" s="2">
        <f t="shared" si="374"/>
        <v>0</v>
      </c>
      <c r="K4757" s="2">
        <f t="shared" si="375"/>
        <v>0</v>
      </c>
    </row>
    <row r="4758" spans="5:11">
      <c r="E4758" s="3" t="s">
        <v>2707</v>
      </c>
      <c r="F4758" s="3" t="s">
        <v>3128</v>
      </c>
      <c r="G4758" s="9" t="str">
        <f t="shared" si="369"/>
        <v>13-01</v>
      </c>
      <c r="H4758" s="1">
        <f>_xlfn.IFNA(VLOOKUP(Aragon!E4758,'Kilter Holds'!$P$36:$AB$370,9,0),0)</f>
        <v>0</v>
      </c>
      <c r="J4758" s="2">
        <f t="shared" si="374"/>
        <v>0</v>
      </c>
      <c r="K4758" s="2">
        <f t="shared" si="375"/>
        <v>0</v>
      </c>
    </row>
    <row r="4759" spans="5:11">
      <c r="E4759" s="3" t="s">
        <v>2707</v>
      </c>
      <c r="F4759" s="3" t="s">
        <v>3128</v>
      </c>
      <c r="G4759" s="10" t="str">
        <f t="shared" si="369"/>
        <v>07-13</v>
      </c>
      <c r="H4759" s="1">
        <f>_xlfn.IFNA(VLOOKUP(Aragon!E4759,'Kilter Holds'!$P$36:$AB$370,10,0),0)</f>
        <v>0</v>
      </c>
      <c r="J4759" s="2">
        <f t="shared" si="374"/>
        <v>0</v>
      </c>
      <c r="K4759" s="2">
        <f t="shared" si="375"/>
        <v>0</v>
      </c>
    </row>
    <row r="4760" spans="5:11">
      <c r="E4760" s="3" t="s">
        <v>2707</v>
      </c>
      <c r="F4760" s="3" t="s">
        <v>3128</v>
      </c>
      <c r="G4760" s="11" t="str">
        <f t="shared" si="369"/>
        <v>11-25</v>
      </c>
      <c r="H4760" s="1">
        <f>_xlfn.IFNA(VLOOKUP(Aragon!E4760,'Kilter Holds'!$P$36:$AB$370,11,0),0)</f>
        <v>0</v>
      </c>
      <c r="J4760" s="2">
        <f t="shared" si="374"/>
        <v>0</v>
      </c>
      <c r="K4760" s="2">
        <f t="shared" si="375"/>
        <v>0</v>
      </c>
    </row>
    <row r="4761" spans="5:11">
      <c r="E4761" s="3" t="s">
        <v>2707</v>
      </c>
      <c r="F4761" s="3" t="s">
        <v>3128</v>
      </c>
      <c r="G4761" s="13" t="str">
        <f t="shared" si="369"/>
        <v>18-01</v>
      </c>
      <c r="H4761" s="1">
        <f>_xlfn.IFNA(VLOOKUP(Aragon!E4761,'Kilter Holds'!$P$36:$AB$370,12,0),0)</f>
        <v>0</v>
      </c>
      <c r="J4761" s="2">
        <f t="shared" si="374"/>
        <v>0</v>
      </c>
      <c r="K4761" s="2">
        <f t="shared" si="375"/>
        <v>0</v>
      </c>
    </row>
    <row r="4762" spans="5:11">
      <c r="E4762" s="3" t="s">
        <v>2707</v>
      </c>
      <c r="F4762" s="3" t="s">
        <v>3128</v>
      </c>
      <c r="G4762" s="12" t="str">
        <f t="shared" si="369"/>
        <v>12-01</v>
      </c>
      <c r="H4762" s="1">
        <f>_xlfn.IFNA(VLOOKUP(Aragon!E4762,'Kilter Holds'!$P$36:$AB$370,13,0),0)</f>
        <v>0</v>
      </c>
      <c r="J4762" s="2">
        <f t="shared" si="374"/>
        <v>0</v>
      </c>
      <c r="K4762" s="2">
        <f t="shared" si="375"/>
        <v>0</v>
      </c>
    </row>
    <row r="4763" spans="5:11">
      <c r="E4763" s="3" t="s">
        <v>2980</v>
      </c>
      <c r="F4763" s="3" t="s">
        <v>2981</v>
      </c>
      <c r="G4763" s="5" t="str">
        <f t="shared" si="369"/>
        <v>11-12</v>
      </c>
      <c r="H4763" s="1">
        <f>_xlfn.IFNA(VLOOKUP(Aragon!E4763,'Kilter Holds'!$P$36:$AB$370,5,0),0)</f>
        <v>0</v>
      </c>
      <c r="J4763" s="2">
        <f t="shared" ref="J4763:J4780" si="376">H4763*I4763</f>
        <v>0</v>
      </c>
      <c r="K4763" s="2">
        <f t="shared" ref="K4763:K4780" si="377">IF($V$11="Y",J4763*0.05,0)</f>
        <v>0</v>
      </c>
    </row>
    <row r="4764" spans="5:11">
      <c r="E4764" s="3" t="s">
        <v>2980</v>
      </c>
      <c r="F4764" s="3" t="s">
        <v>2981</v>
      </c>
      <c r="G4764" s="6" t="str">
        <f t="shared" si="369"/>
        <v>14-01</v>
      </c>
      <c r="H4764" s="1">
        <f>_xlfn.IFNA(VLOOKUP(Aragon!E4764,'Kilter Holds'!$P$36:$AB$370,6,0),0)</f>
        <v>0</v>
      </c>
      <c r="J4764" s="2">
        <f t="shared" si="376"/>
        <v>0</v>
      </c>
      <c r="K4764" s="2">
        <f t="shared" si="377"/>
        <v>0</v>
      </c>
    </row>
    <row r="4765" spans="5:11">
      <c r="E4765" s="3" t="s">
        <v>2980</v>
      </c>
      <c r="F4765" s="3" t="s">
        <v>2981</v>
      </c>
      <c r="G4765" s="7" t="str">
        <f t="shared" si="369"/>
        <v>15-12</v>
      </c>
      <c r="H4765" s="1">
        <f>_xlfn.IFNA(VLOOKUP(Aragon!E4765,'Kilter Holds'!$P$36:$AB$370,7,0),0)</f>
        <v>0</v>
      </c>
      <c r="J4765" s="2">
        <f t="shared" si="376"/>
        <v>0</v>
      </c>
      <c r="K4765" s="2">
        <f t="shared" si="377"/>
        <v>0</v>
      </c>
    </row>
    <row r="4766" spans="5:11">
      <c r="E4766" s="3" t="s">
        <v>2980</v>
      </c>
      <c r="F4766" s="3" t="s">
        <v>2981</v>
      </c>
      <c r="G4766" s="8" t="str">
        <f t="shared" si="369"/>
        <v>16-16</v>
      </c>
      <c r="H4766" s="1">
        <f>_xlfn.IFNA(VLOOKUP(Aragon!E4766,'Kilter Holds'!$P$36:$AB$370,8,0),0)</f>
        <v>0</v>
      </c>
      <c r="J4766" s="2">
        <f t="shared" si="376"/>
        <v>0</v>
      </c>
      <c r="K4766" s="2">
        <f t="shared" si="377"/>
        <v>0</v>
      </c>
    </row>
    <row r="4767" spans="5:11">
      <c r="E4767" s="3" t="s">
        <v>2980</v>
      </c>
      <c r="F4767" s="3" t="s">
        <v>2981</v>
      </c>
      <c r="G4767" s="9" t="str">
        <f t="shared" si="369"/>
        <v>13-01</v>
      </c>
      <c r="H4767" s="1">
        <f>_xlfn.IFNA(VLOOKUP(Aragon!E4767,'Kilter Holds'!$P$36:$AB$370,9,0),0)</f>
        <v>0</v>
      </c>
      <c r="J4767" s="2">
        <f t="shared" si="376"/>
        <v>0</v>
      </c>
      <c r="K4767" s="2">
        <f t="shared" si="377"/>
        <v>0</v>
      </c>
    </row>
    <row r="4768" spans="5:11">
      <c r="E4768" s="3" t="s">
        <v>2980</v>
      </c>
      <c r="F4768" s="3" t="s">
        <v>2981</v>
      </c>
      <c r="G4768" s="10" t="str">
        <f t="shared" si="369"/>
        <v>07-13</v>
      </c>
      <c r="H4768" s="1">
        <f>_xlfn.IFNA(VLOOKUP(Aragon!E4768,'Kilter Holds'!$P$36:$AB$370,10,0),0)</f>
        <v>0</v>
      </c>
      <c r="J4768" s="2">
        <f t="shared" si="376"/>
        <v>0</v>
      </c>
      <c r="K4768" s="2">
        <f t="shared" si="377"/>
        <v>0</v>
      </c>
    </row>
    <row r="4769" spans="5:11">
      <c r="E4769" s="3" t="s">
        <v>2980</v>
      </c>
      <c r="F4769" s="3" t="s">
        <v>2981</v>
      </c>
      <c r="G4769" s="11" t="str">
        <f t="shared" si="369"/>
        <v>11-25</v>
      </c>
      <c r="H4769" s="1">
        <f>_xlfn.IFNA(VLOOKUP(Aragon!E4769,'Kilter Holds'!$P$36:$AB$370,11,0),0)</f>
        <v>0</v>
      </c>
      <c r="J4769" s="2">
        <f t="shared" si="376"/>
        <v>0</v>
      </c>
      <c r="K4769" s="2">
        <f t="shared" si="377"/>
        <v>0</v>
      </c>
    </row>
    <row r="4770" spans="5:11">
      <c r="E4770" s="3" t="s">
        <v>2980</v>
      </c>
      <c r="F4770" s="3" t="s">
        <v>2981</v>
      </c>
      <c r="G4770" s="13" t="str">
        <f t="shared" si="369"/>
        <v>18-01</v>
      </c>
      <c r="H4770" s="1">
        <f>_xlfn.IFNA(VLOOKUP(Aragon!E4770,'Kilter Holds'!$P$36:$AB$370,12,0),0)</f>
        <v>0</v>
      </c>
      <c r="J4770" s="2">
        <f t="shared" si="376"/>
        <v>0</v>
      </c>
      <c r="K4770" s="2">
        <f t="shared" si="377"/>
        <v>0</v>
      </c>
    </row>
    <row r="4771" spans="5:11">
      <c r="E4771" s="3" t="s">
        <v>2980</v>
      </c>
      <c r="F4771" s="3" t="s">
        <v>2981</v>
      </c>
      <c r="G4771" s="12" t="str">
        <f t="shared" si="369"/>
        <v>12-01</v>
      </c>
      <c r="H4771" s="1">
        <f>_xlfn.IFNA(VLOOKUP(Aragon!E4771,'Kilter Holds'!$P$36:$AB$370,13,0),0)</f>
        <v>0</v>
      </c>
      <c r="J4771" s="2">
        <f t="shared" si="376"/>
        <v>0</v>
      </c>
      <c r="K4771" s="2">
        <f t="shared" si="377"/>
        <v>0</v>
      </c>
    </row>
    <row r="4772" spans="5:11">
      <c r="E4772" s="3" t="s">
        <v>2982</v>
      </c>
      <c r="F4772" s="3" t="s">
        <v>2983</v>
      </c>
      <c r="G4772" s="5" t="str">
        <f t="shared" si="369"/>
        <v>11-12</v>
      </c>
      <c r="H4772" s="1">
        <f>_xlfn.IFNA(VLOOKUP(Aragon!E4772,'Kilter Holds'!$P$36:$AB$370,5,0),0)</f>
        <v>0</v>
      </c>
      <c r="J4772" s="2">
        <f t="shared" si="376"/>
        <v>0</v>
      </c>
      <c r="K4772" s="2">
        <f t="shared" si="377"/>
        <v>0</v>
      </c>
    </row>
    <row r="4773" spans="5:11">
      <c r="E4773" s="3" t="s">
        <v>2982</v>
      </c>
      <c r="F4773" s="3" t="s">
        <v>2983</v>
      </c>
      <c r="G4773" s="6" t="str">
        <f t="shared" si="369"/>
        <v>14-01</v>
      </c>
      <c r="H4773" s="1">
        <f>_xlfn.IFNA(VLOOKUP(Aragon!E4773,'Kilter Holds'!$P$36:$AB$370,6,0),0)</f>
        <v>0</v>
      </c>
      <c r="J4773" s="2">
        <f t="shared" si="376"/>
        <v>0</v>
      </c>
      <c r="K4773" s="2">
        <f t="shared" si="377"/>
        <v>0</v>
      </c>
    </row>
    <row r="4774" spans="5:11">
      <c r="E4774" s="3" t="s">
        <v>2982</v>
      </c>
      <c r="F4774" s="3" t="s">
        <v>2983</v>
      </c>
      <c r="G4774" s="7" t="str">
        <f t="shared" si="369"/>
        <v>15-12</v>
      </c>
      <c r="H4774" s="1">
        <f>_xlfn.IFNA(VLOOKUP(Aragon!E4774,'Kilter Holds'!$P$36:$AB$370,7,0),0)</f>
        <v>0</v>
      </c>
      <c r="J4774" s="2">
        <f t="shared" si="376"/>
        <v>0</v>
      </c>
      <c r="K4774" s="2">
        <f t="shared" si="377"/>
        <v>0</v>
      </c>
    </row>
    <row r="4775" spans="5:11">
      <c r="E4775" s="3" t="s">
        <v>2982</v>
      </c>
      <c r="F4775" s="3" t="s">
        <v>2983</v>
      </c>
      <c r="G4775" s="8" t="str">
        <f t="shared" si="369"/>
        <v>16-16</v>
      </c>
      <c r="H4775" s="1">
        <f>_xlfn.IFNA(VLOOKUP(Aragon!E4775,'Kilter Holds'!$P$36:$AB$370,8,0),0)</f>
        <v>0</v>
      </c>
      <c r="J4775" s="2">
        <f t="shared" si="376"/>
        <v>0</v>
      </c>
      <c r="K4775" s="2">
        <f t="shared" si="377"/>
        <v>0</v>
      </c>
    </row>
    <row r="4776" spans="5:11">
      <c r="E4776" s="3" t="s">
        <v>2982</v>
      </c>
      <c r="F4776" s="3" t="s">
        <v>2983</v>
      </c>
      <c r="G4776" s="9" t="str">
        <f t="shared" si="369"/>
        <v>13-01</v>
      </c>
      <c r="H4776" s="1">
        <f>_xlfn.IFNA(VLOOKUP(Aragon!E4776,'Kilter Holds'!$P$36:$AB$370,9,0),0)</f>
        <v>0</v>
      </c>
      <c r="J4776" s="2">
        <f t="shared" si="376"/>
        <v>0</v>
      </c>
      <c r="K4776" s="2">
        <f t="shared" si="377"/>
        <v>0</v>
      </c>
    </row>
    <row r="4777" spans="5:11">
      <c r="E4777" s="3" t="s">
        <v>2982</v>
      </c>
      <c r="F4777" s="3" t="s">
        <v>2983</v>
      </c>
      <c r="G4777" s="10" t="str">
        <f t="shared" si="369"/>
        <v>07-13</v>
      </c>
      <c r="H4777" s="1">
        <f>_xlfn.IFNA(VLOOKUP(Aragon!E4777,'Kilter Holds'!$P$36:$AB$370,10,0),0)</f>
        <v>0</v>
      </c>
      <c r="J4777" s="2">
        <f t="shared" si="376"/>
        <v>0</v>
      </c>
      <c r="K4777" s="2">
        <f t="shared" si="377"/>
        <v>0</v>
      </c>
    </row>
    <row r="4778" spans="5:11">
      <c r="E4778" s="3" t="s">
        <v>2982</v>
      </c>
      <c r="F4778" s="3" t="s">
        <v>2983</v>
      </c>
      <c r="G4778" s="11" t="str">
        <f t="shared" si="369"/>
        <v>11-25</v>
      </c>
      <c r="H4778" s="1">
        <f>_xlfn.IFNA(VLOOKUP(Aragon!E4778,'Kilter Holds'!$P$36:$AB$370,11,0),0)</f>
        <v>0</v>
      </c>
      <c r="J4778" s="2">
        <f t="shared" si="376"/>
        <v>0</v>
      </c>
      <c r="K4778" s="2">
        <f t="shared" si="377"/>
        <v>0</v>
      </c>
    </row>
    <row r="4779" spans="5:11">
      <c r="E4779" s="3" t="s">
        <v>2982</v>
      </c>
      <c r="F4779" s="3" t="s">
        <v>2983</v>
      </c>
      <c r="G4779" s="13" t="str">
        <f t="shared" si="369"/>
        <v>18-01</v>
      </c>
      <c r="H4779" s="1">
        <f>_xlfn.IFNA(VLOOKUP(Aragon!E4779,'Kilter Holds'!$P$36:$AB$370,12,0),0)</f>
        <v>0</v>
      </c>
      <c r="J4779" s="2">
        <f t="shared" si="376"/>
        <v>0</v>
      </c>
      <c r="K4779" s="2">
        <f t="shared" si="377"/>
        <v>0</v>
      </c>
    </row>
    <row r="4780" spans="5:11">
      <c r="E4780" s="3" t="s">
        <v>2982</v>
      </c>
      <c r="F4780" s="3" t="s">
        <v>2983</v>
      </c>
      <c r="G4780" s="12" t="str">
        <f t="shared" si="369"/>
        <v>12-01</v>
      </c>
      <c r="H4780" s="1">
        <f>_xlfn.IFNA(VLOOKUP(Aragon!E4780,'Kilter Holds'!$P$36:$AB$370,13,0),0)</f>
        <v>0</v>
      </c>
      <c r="J4780" s="2">
        <f t="shared" si="376"/>
        <v>0</v>
      </c>
      <c r="K4780" s="2">
        <f t="shared" si="377"/>
        <v>0</v>
      </c>
    </row>
    <row r="4781" spans="5:11">
      <c r="E4781" t="s">
        <v>1266</v>
      </c>
      <c r="F4781" t="s">
        <v>1448</v>
      </c>
      <c r="G4781" s="5" t="str">
        <f t="shared" ref="G4781:G4789" si="378">G4718</f>
        <v>11-12</v>
      </c>
      <c r="H4781" s="1">
        <f>_xlfn.IFNA(VLOOKUP(E4781,'Urban Plastix Holds'!$I$36:$U$498,5,0),0)</f>
        <v>0</v>
      </c>
      <c r="J4781" s="2">
        <f>H4781*I4781</f>
        <v>0</v>
      </c>
      <c r="K4781" s="2">
        <f>IF($V$11="Y",J4781*0.05,0)</f>
        <v>0</v>
      </c>
    </row>
    <row r="4782" spans="5:11">
      <c r="E4782" t="s">
        <v>1266</v>
      </c>
      <c r="F4782" t="s">
        <v>1448</v>
      </c>
      <c r="G4782" s="6" t="str">
        <f t="shared" si="378"/>
        <v>14-01</v>
      </c>
      <c r="H4782" s="1">
        <f>_xlfn.IFNA(VLOOKUP(E4782,'Urban Plastix Holds'!$I$36:$U$498,6,0),0)</f>
        <v>0</v>
      </c>
      <c r="J4782" s="2">
        <f t="shared" ref="J4782:J4845" si="379">H4782*I4782</f>
        <v>0</v>
      </c>
      <c r="K4782" s="2">
        <f t="shared" ref="K4782:K4845" si="380">IF($V$11="Y",J4782*0.05,0)</f>
        <v>0</v>
      </c>
    </row>
    <row r="4783" spans="5:11">
      <c r="E4783" t="s">
        <v>1266</v>
      </c>
      <c r="F4783" t="s">
        <v>1448</v>
      </c>
      <c r="G4783" s="7" t="str">
        <f t="shared" si="378"/>
        <v>15-12</v>
      </c>
      <c r="H4783" s="1">
        <f>_xlfn.IFNA(VLOOKUP(E4783,'Urban Plastix Holds'!$I$36:$U$498,7,0),0)</f>
        <v>0</v>
      </c>
      <c r="J4783" s="2">
        <f t="shared" si="379"/>
        <v>0</v>
      </c>
      <c r="K4783" s="2">
        <f t="shared" si="380"/>
        <v>0</v>
      </c>
    </row>
    <row r="4784" spans="5:11">
      <c r="E4784" t="s">
        <v>1266</v>
      </c>
      <c r="F4784" t="s">
        <v>1448</v>
      </c>
      <c r="G4784" s="8" t="str">
        <f t="shared" si="378"/>
        <v>16-16</v>
      </c>
      <c r="H4784" s="1">
        <f>_xlfn.IFNA(VLOOKUP(E4784,'Urban Plastix Holds'!$I$36:$U$498,8,0),0)</f>
        <v>0</v>
      </c>
      <c r="J4784" s="2">
        <f t="shared" si="379"/>
        <v>0</v>
      </c>
      <c r="K4784" s="2">
        <f t="shared" si="380"/>
        <v>0</v>
      </c>
    </row>
    <row r="4785" spans="5:11">
      <c r="E4785" t="s">
        <v>1266</v>
      </c>
      <c r="F4785" t="s">
        <v>1448</v>
      </c>
      <c r="G4785" s="9" t="str">
        <f t="shared" si="378"/>
        <v>13-01</v>
      </c>
      <c r="H4785" s="1">
        <f>_xlfn.IFNA(VLOOKUP(E4785,'Urban Plastix Holds'!$I$36:$U$498,9,0),0)</f>
        <v>0</v>
      </c>
      <c r="J4785" s="2">
        <f t="shared" si="379"/>
        <v>0</v>
      </c>
      <c r="K4785" s="2">
        <f t="shared" si="380"/>
        <v>0</v>
      </c>
    </row>
    <row r="4786" spans="5:11">
      <c r="E4786" t="s">
        <v>1266</v>
      </c>
      <c r="F4786" t="s">
        <v>1448</v>
      </c>
      <c r="G4786" s="10" t="str">
        <f t="shared" si="378"/>
        <v>07-13</v>
      </c>
      <c r="H4786" s="1">
        <f>_xlfn.IFNA(VLOOKUP(E4786,'Urban Plastix Holds'!$I$36:$U$498,10,0),0)</f>
        <v>0</v>
      </c>
      <c r="J4786" s="2">
        <f t="shared" si="379"/>
        <v>0</v>
      </c>
      <c r="K4786" s="2">
        <f t="shared" si="380"/>
        <v>0</v>
      </c>
    </row>
    <row r="4787" spans="5:11">
      <c r="E4787" t="s">
        <v>1266</v>
      </c>
      <c r="F4787" t="s">
        <v>1448</v>
      </c>
      <c r="G4787" s="11" t="str">
        <f t="shared" si="378"/>
        <v>11-25</v>
      </c>
      <c r="H4787" s="1">
        <f>_xlfn.IFNA(VLOOKUP(E4787,'Urban Plastix Holds'!$I$36:$U$498,11,0),0)</f>
        <v>0</v>
      </c>
      <c r="J4787" s="2">
        <f t="shared" si="379"/>
        <v>0</v>
      </c>
      <c r="K4787" s="2">
        <f t="shared" si="380"/>
        <v>0</v>
      </c>
    </row>
    <row r="4788" spans="5:11">
      <c r="E4788" t="s">
        <v>1266</v>
      </c>
      <c r="F4788" t="s">
        <v>1448</v>
      </c>
      <c r="G4788" s="13" t="str">
        <f t="shared" si="378"/>
        <v>18-01</v>
      </c>
      <c r="H4788" s="1">
        <f>_xlfn.IFNA(VLOOKUP(E4788,'Urban Plastix Holds'!$I$36:$U$498,12,0),0)</f>
        <v>0</v>
      </c>
      <c r="J4788" s="2">
        <f t="shared" si="379"/>
        <v>0</v>
      </c>
      <c r="K4788" s="2">
        <f t="shared" si="380"/>
        <v>0</v>
      </c>
    </row>
    <row r="4789" spans="5:11">
      <c r="E4789" t="s">
        <v>1266</v>
      </c>
      <c r="F4789" t="s">
        <v>1448</v>
      </c>
      <c r="G4789" s="12" t="str">
        <f t="shared" si="378"/>
        <v>12-01</v>
      </c>
      <c r="H4789" s="1">
        <f>_xlfn.IFNA(VLOOKUP(E4789,'Urban Plastix Holds'!$I$36:$U$498,13,0),0)</f>
        <v>0</v>
      </c>
      <c r="J4789" s="2">
        <f t="shared" si="379"/>
        <v>0</v>
      </c>
      <c r="K4789" s="2">
        <f t="shared" si="380"/>
        <v>0</v>
      </c>
    </row>
    <row r="4790" spans="5:11">
      <c r="E4790" t="s">
        <v>1298</v>
      </c>
      <c r="F4790" t="s">
        <v>1449</v>
      </c>
      <c r="G4790" s="5" t="str">
        <f t="shared" si="365"/>
        <v>11-12</v>
      </c>
      <c r="H4790" s="1">
        <f>_xlfn.IFNA(VLOOKUP(E4790,'Urban Plastix Holds'!$I$36:$U$498,5,0),0)</f>
        <v>0</v>
      </c>
      <c r="J4790" s="2">
        <f t="shared" si="379"/>
        <v>0</v>
      </c>
      <c r="K4790" s="2">
        <f t="shared" si="380"/>
        <v>0</v>
      </c>
    </row>
    <row r="4791" spans="5:11">
      <c r="E4791" t="s">
        <v>1298</v>
      </c>
      <c r="F4791" t="s">
        <v>1449</v>
      </c>
      <c r="G4791" s="6" t="str">
        <f t="shared" si="365"/>
        <v>14-01</v>
      </c>
      <c r="H4791" s="1">
        <f>_xlfn.IFNA(VLOOKUP(E4791,'Urban Plastix Holds'!$I$36:$U$498,6,0),0)</f>
        <v>0</v>
      </c>
      <c r="J4791" s="2">
        <f t="shared" si="379"/>
        <v>0</v>
      </c>
      <c r="K4791" s="2">
        <f t="shared" si="380"/>
        <v>0</v>
      </c>
    </row>
    <row r="4792" spans="5:11">
      <c r="E4792" t="s">
        <v>1298</v>
      </c>
      <c r="F4792" t="s">
        <v>1449</v>
      </c>
      <c r="G4792" s="7" t="str">
        <f t="shared" si="365"/>
        <v>15-12</v>
      </c>
      <c r="H4792" s="1">
        <f>_xlfn.IFNA(VLOOKUP(E4792,'Urban Plastix Holds'!$I$36:$U$498,7,0),0)</f>
        <v>0</v>
      </c>
      <c r="J4792" s="2">
        <f t="shared" si="379"/>
        <v>0</v>
      </c>
      <c r="K4792" s="2">
        <f t="shared" si="380"/>
        <v>0</v>
      </c>
    </row>
    <row r="4793" spans="5:11">
      <c r="E4793" t="s">
        <v>1298</v>
      </c>
      <c r="F4793" t="s">
        <v>1449</v>
      </c>
      <c r="G4793" s="8" t="str">
        <f t="shared" si="365"/>
        <v>16-16</v>
      </c>
      <c r="H4793" s="1">
        <f>_xlfn.IFNA(VLOOKUP(E4793,'Urban Plastix Holds'!$I$36:$U$498,8,0),0)</f>
        <v>0</v>
      </c>
      <c r="J4793" s="2">
        <f t="shared" si="379"/>
        <v>0</v>
      </c>
      <c r="K4793" s="2">
        <f t="shared" si="380"/>
        <v>0</v>
      </c>
    </row>
    <row r="4794" spans="5:11">
      <c r="E4794" t="s">
        <v>1298</v>
      </c>
      <c r="F4794" t="s">
        <v>1449</v>
      </c>
      <c r="G4794" s="9" t="str">
        <f t="shared" si="365"/>
        <v>13-01</v>
      </c>
      <c r="H4794" s="1">
        <f>_xlfn.IFNA(VLOOKUP(E4794,'Urban Plastix Holds'!$I$36:$U$498,9,0),0)</f>
        <v>0</v>
      </c>
      <c r="J4794" s="2">
        <f t="shared" si="379"/>
        <v>0</v>
      </c>
      <c r="K4794" s="2">
        <f t="shared" si="380"/>
        <v>0</v>
      </c>
    </row>
    <row r="4795" spans="5:11">
      <c r="E4795" t="s">
        <v>1298</v>
      </c>
      <c r="F4795" t="s">
        <v>1449</v>
      </c>
      <c r="G4795" s="10" t="str">
        <f t="shared" si="365"/>
        <v>07-13</v>
      </c>
      <c r="H4795" s="1">
        <f>_xlfn.IFNA(VLOOKUP(E4795,'Urban Plastix Holds'!$I$36:$U$498,10,0),0)</f>
        <v>0</v>
      </c>
      <c r="J4795" s="2">
        <f t="shared" si="379"/>
        <v>0</v>
      </c>
      <c r="K4795" s="2">
        <f t="shared" si="380"/>
        <v>0</v>
      </c>
    </row>
    <row r="4796" spans="5:11">
      <c r="E4796" t="s">
        <v>1298</v>
      </c>
      <c r="F4796" t="s">
        <v>1449</v>
      </c>
      <c r="G4796" s="11" t="str">
        <f t="shared" si="365"/>
        <v>11-25</v>
      </c>
      <c r="H4796" s="1">
        <f>_xlfn.IFNA(VLOOKUP(E4796,'Urban Plastix Holds'!$I$36:$U$498,11,0),0)</f>
        <v>0</v>
      </c>
      <c r="J4796" s="2">
        <f t="shared" si="379"/>
        <v>0</v>
      </c>
      <c r="K4796" s="2">
        <f t="shared" si="380"/>
        <v>0</v>
      </c>
    </row>
    <row r="4797" spans="5:11">
      <c r="E4797" t="s">
        <v>1298</v>
      </c>
      <c r="F4797" t="s">
        <v>1449</v>
      </c>
      <c r="G4797" s="13" t="str">
        <f t="shared" si="365"/>
        <v>18-01</v>
      </c>
      <c r="H4797" s="1">
        <f>_xlfn.IFNA(VLOOKUP(E4797,'Urban Plastix Holds'!$I$36:$U$498,12,0),0)</f>
        <v>0</v>
      </c>
      <c r="J4797" s="2">
        <f t="shared" si="379"/>
        <v>0</v>
      </c>
      <c r="K4797" s="2">
        <f t="shared" si="380"/>
        <v>0</v>
      </c>
    </row>
    <row r="4798" spans="5:11">
      <c r="E4798" t="s">
        <v>1298</v>
      </c>
      <c r="F4798" t="s">
        <v>1449</v>
      </c>
      <c r="G4798" s="12" t="str">
        <f t="shared" si="365"/>
        <v>12-01</v>
      </c>
      <c r="H4798" s="1">
        <f>_xlfn.IFNA(VLOOKUP(E4798,'Urban Plastix Holds'!$I$36:$U$498,13,0),0)</f>
        <v>0</v>
      </c>
      <c r="J4798" s="2">
        <f t="shared" si="379"/>
        <v>0</v>
      </c>
      <c r="K4798" s="2">
        <f t="shared" si="380"/>
        <v>0</v>
      </c>
    </row>
    <row r="4799" spans="5:11">
      <c r="E4799" t="s">
        <v>1297</v>
      </c>
      <c r="F4799" t="s">
        <v>1450</v>
      </c>
      <c r="G4799" s="5" t="str">
        <f t="shared" si="365"/>
        <v>11-12</v>
      </c>
      <c r="H4799" s="1">
        <f>_xlfn.IFNA(VLOOKUP(E4799,'Urban Plastix Holds'!$I$36:$U$498,5,0),0)</f>
        <v>0</v>
      </c>
      <c r="J4799" s="2">
        <f t="shared" si="379"/>
        <v>0</v>
      </c>
      <c r="K4799" s="2">
        <f t="shared" si="380"/>
        <v>0</v>
      </c>
    </row>
    <row r="4800" spans="5:11">
      <c r="E4800" t="s">
        <v>1297</v>
      </c>
      <c r="F4800" t="s">
        <v>1450</v>
      </c>
      <c r="G4800" s="6" t="str">
        <f t="shared" si="365"/>
        <v>14-01</v>
      </c>
      <c r="H4800" s="1">
        <f>_xlfn.IFNA(VLOOKUP(E4800,'Urban Plastix Holds'!$I$36:$U$498,6,0),0)</f>
        <v>0</v>
      </c>
      <c r="J4800" s="2">
        <f t="shared" si="379"/>
        <v>0</v>
      </c>
      <c r="K4800" s="2">
        <f t="shared" si="380"/>
        <v>0</v>
      </c>
    </row>
    <row r="4801" spans="5:11">
      <c r="E4801" t="s">
        <v>1297</v>
      </c>
      <c r="F4801" t="s">
        <v>1450</v>
      </c>
      <c r="G4801" s="7" t="str">
        <f t="shared" si="365"/>
        <v>15-12</v>
      </c>
      <c r="H4801" s="1">
        <f>_xlfn.IFNA(VLOOKUP(E4801,'Urban Plastix Holds'!$I$36:$U$498,7,0),0)</f>
        <v>0</v>
      </c>
      <c r="J4801" s="2">
        <f t="shared" si="379"/>
        <v>0</v>
      </c>
      <c r="K4801" s="2">
        <f t="shared" si="380"/>
        <v>0</v>
      </c>
    </row>
    <row r="4802" spans="5:11">
      <c r="E4802" t="s">
        <v>1297</v>
      </c>
      <c r="F4802" t="s">
        <v>1450</v>
      </c>
      <c r="G4802" s="8" t="str">
        <f t="shared" si="365"/>
        <v>16-16</v>
      </c>
      <c r="H4802" s="1">
        <f>_xlfn.IFNA(VLOOKUP(E4802,'Urban Plastix Holds'!$I$36:$U$498,8,0),0)</f>
        <v>0</v>
      </c>
      <c r="J4802" s="2">
        <f t="shared" si="379"/>
        <v>0</v>
      </c>
      <c r="K4802" s="2">
        <f t="shared" si="380"/>
        <v>0</v>
      </c>
    </row>
    <row r="4803" spans="5:11">
      <c r="E4803" t="s">
        <v>1297</v>
      </c>
      <c r="F4803" t="s">
        <v>1450</v>
      </c>
      <c r="G4803" s="9" t="str">
        <f t="shared" si="365"/>
        <v>13-01</v>
      </c>
      <c r="H4803" s="1">
        <f>_xlfn.IFNA(VLOOKUP(E4803,'Urban Plastix Holds'!$I$36:$U$498,9,0),0)</f>
        <v>0</v>
      </c>
      <c r="J4803" s="2">
        <f t="shared" si="379"/>
        <v>0</v>
      </c>
      <c r="K4803" s="2">
        <f t="shared" si="380"/>
        <v>0</v>
      </c>
    </row>
    <row r="4804" spans="5:11">
      <c r="E4804" t="s">
        <v>1297</v>
      </c>
      <c r="F4804" t="s">
        <v>1450</v>
      </c>
      <c r="G4804" s="10" t="str">
        <f t="shared" si="365"/>
        <v>07-13</v>
      </c>
      <c r="H4804" s="1">
        <f>_xlfn.IFNA(VLOOKUP(E4804,'Urban Plastix Holds'!$I$36:$U$498,10,0),0)</f>
        <v>0</v>
      </c>
      <c r="J4804" s="2">
        <f t="shared" si="379"/>
        <v>0</v>
      </c>
      <c r="K4804" s="2">
        <f t="shared" si="380"/>
        <v>0</v>
      </c>
    </row>
    <row r="4805" spans="5:11">
      <c r="E4805" t="s">
        <v>1297</v>
      </c>
      <c r="F4805" t="s">
        <v>1450</v>
      </c>
      <c r="G4805" s="11" t="str">
        <f t="shared" si="365"/>
        <v>11-25</v>
      </c>
      <c r="H4805" s="1">
        <f>_xlfn.IFNA(VLOOKUP(E4805,'Urban Plastix Holds'!$I$36:$U$498,11,0),0)</f>
        <v>0</v>
      </c>
      <c r="J4805" s="2">
        <f t="shared" si="379"/>
        <v>0</v>
      </c>
      <c r="K4805" s="2">
        <f t="shared" si="380"/>
        <v>0</v>
      </c>
    </row>
    <row r="4806" spans="5:11">
      <c r="E4806" t="s">
        <v>1297</v>
      </c>
      <c r="F4806" t="s">
        <v>1450</v>
      </c>
      <c r="G4806" s="13" t="str">
        <f t="shared" si="365"/>
        <v>18-01</v>
      </c>
      <c r="H4806" s="1">
        <f>_xlfn.IFNA(VLOOKUP(E4806,'Urban Plastix Holds'!$I$36:$U$498,12,0),0)</f>
        <v>0</v>
      </c>
      <c r="J4806" s="2">
        <f t="shared" si="379"/>
        <v>0</v>
      </c>
      <c r="K4806" s="2">
        <f t="shared" si="380"/>
        <v>0</v>
      </c>
    </row>
    <row r="4807" spans="5:11">
      <c r="E4807" t="s">
        <v>1297</v>
      </c>
      <c r="F4807" t="s">
        <v>1450</v>
      </c>
      <c r="G4807" s="12" t="str">
        <f t="shared" si="365"/>
        <v>12-01</v>
      </c>
      <c r="H4807" s="1">
        <f>_xlfn.IFNA(VLOOKUP(E4807,'Urban Plastix Holds'!$I$36:$U$498,13,0),0)</f>
        <v>0</v>
      </c>
      <c r="J4807" s="2">
        <f t="shared" si="379"/>
        <v>0</v>
      </c>
      <c r="K4807" s="2">
        <f t="shared" si="380"/>
        <v>0</v>
      </c>
    </row>
    <row r="4808" spans="5:11">
      <c r="E4808" t="s">
        <v>1231</v>
      </c>
      <c r="F4808" t="s">
        <v>1451</v>
      </c>
      <c r="G4808" s="5" t="str">
        <f t="shared" si="365"/>
        <v>11-12</v>
      </c>
      <c r="H4808" s="1">
        <f>_xlfn.IFNA(VLOOKUP(E4808,'Urban Plastix Holds'!$I$36:$U$498,5,0),0)</f>
        <v>0</v>
      </c>
      <c r="J4808" s="2">
        <f t="shared" si="379"/>
        <v>0</v>
      </c>
      <c r="K4808" s="2">
        <f t="shared" si="380"/>
        <v>0</v>
      </c>
    </row>
    <row r="4809" spans="5:11">
      <c r="E4809" t="s">
        <v>1231</v>
      </c>
      <c r="F4809" t="s">
        <v>1451</v>
      </c>
      <c r="G4809" s="6" t="str">
        <f t="shared" si="365"/>
        <v>14-01</v>
      </c>
      <c r="H4809" s="1">
        <f>_xlfn.IFNA(VLOOKUP(E4809,'Urban Plastix Holds'!$I$36:$U$498,6,0),0)</f>
        <v>0</v>
      </c>
      <c r="J4809" s="2">
        <f t="shared" si="379"/>
        <v>0</v>
      </c>
      <c r="K4809" s="2">
        <f t="shared" si="380"/>
        <v>0</v>
      </c>
    </row>
    <row r="4810" spans="5:11">
      <c r="E4810" t="s">
        <v>1231</v>
      </c>
      <c r="F4810" t="s">
        <v>1451</v>
      </c>
      <c r="G4810" s="7" t="str">
        <f t="shared" si="365"/>
        <v>15-12</v>
      </c>
      <c r="H4810" s="1">
        <f>_xlfn.IFNA(VLOOKUP(E4810,'Urban Plastix Holds'!$I$36:$U$498,7,0),0)</f>
        <v>0</v>
      </c>
      <c r="J4810" s="2">
        <f t="shared" si="379"/>
        <v>0</v>
      </c>
      <c r="K4810" s="2">
        <f t="shared" si="380"/>
        <v>0</v>
      </c>
    </row>
    <row r="4811" spans="5:11">
      <c r="E4811" t="s">
        <v>1231</v>
      </c>
      <c r="F4811" t="s">
        <v>1451</v>
      </c>
      <c r="G4811" s="8" t="str">
        <f t="shared" si="365"/>
        <v>16-16</v>
      </c>
      <c r="H4811" s="1">
        <f>_xlfn.IFNA(VLOOKUP(E4811,'Urban Plastix Holds'!$I$36:$U$498,8,0),0)</f>
        <v>0</v>
      </c>
      <c r="J4811" s="2">
        <f t="shared" si="379"/>
        <v>0</v>
      </c>
      <c r="K4811" s="2">
        <f t="shared" si="380"/>
        <v>0</v>
      </c>
    </row>
    <row r="4812" spans="5:11">
      <c r="E4812" t="s">
        <v>1231</v>
      </c>
      <c r="F4812" t="s">
        <v>1451</v>
      </c>
      <c r="G4812" s="9" t="str">
        <f t="shared" si="365"/>
        <v>13-01</v>
      </c>
      <c r="H4812" s="1">
        <f>_xlfn.IFNA(VLOOKUP(E4812,'Urban Plastix Holds'!$I$36:$U$498,9,0),0)</f>
        <v>0</v>
      </c>
      <c r="J4812" s="2">
        <f t="shared" si="379"/>
        <v>0</v>
      </c>
      <c r="K4812" s="2">
        <f t="shared" si="380"/>
        <v>0</v>
      </c>
    </row>
    <row r="4813" spans="5:11">
      <c r="E4813" t="s">
        <v>1231</v>
      </c>
      <c r="F4813" t="s">
        <v>1451</v>
      </c>
      <c r="G4813" s="10" t="str">
        <f t="shared" si="365"/>
        <v>07-13</v>
      </c>
      <c r="H4813" s="1">
        <f>_xlfn.IFNA(VLOOKUP(E4813,'Urban Plastix Holds'!$I$36:$U$498,10,0),0)</f>
        <v>0</v>
      </c>
      <c r="J4813" s="2">
        <f t="shared" si="379"/>
        <v>0</v>
      </c>
      <c r="K4813" s="2">
        <f t="shared" si="380"/>
        <v>0</v>
      </c>
    </row>
    <row r="4814" spans="5:11">
      <c r="E4814" t="s">
        <v>1231</v>
      </c>
      <c r="F4814" t="s">
        <v>1451</v>
      </c>
      <c r="G4814" s="11" t="str">
        <f t="shared" si="365"/>
        <v>11-25</v>
      </c>
      <c r="H4814" s="1">
        <f>_xlfn.IFNA(VLOOKUP(E4814,'Urban Plastix Holds'!$I$36:$U$498,11,0),0)</f>
        <v>0</v>
      </c>
      <c r="J4814" s="2">
        <f t="shared" si="379"/>
        <v>0</v>
      </c>
      <c r="K4814" s="2">
        <f t="shared" si="380"/>
        <v>0</v>
      </c>
    </row>
    <row r="4815" spans="5:11">
      <c r="E4815" t="s">
        <v>1231</v>
      </c>
      <c r="F4815" t="s">
        <v>1451</v>
      </c>
      <c r="G4815" s="13" t="str">
        <f t="shared" si="365"/>
        <v>18-01</v>
      </c>
      <c r="H4815" s="1">
        <f>_xlfn.IFNA(VLOOKUP(E4815,'Urban Plastix Holds'!$I$36:$U$498,12,0),0)</f>
        <v>0</v>
      </c>
      <c r="J4815" s="2">
        <f t="shared" si="379"/>
        <v>0</v>
      </c>
      <c r="K4815" s="2">
        <f t="shared" si="380"/>
        <v>0</v>
      </c>
    </row>
    <row r="4816" spans="5:11">
      <c r="E4816" t="s">
        <v>1231</v>
      </c>
      <c r="F4816" t="s">
        <v>1451</v>
      </c>
      <c r="G4816" s="12" t="str">
        <f t="shared" si="365"/>
        <v>12-01</v>
      </c>
      <c r="H4816" s="1">
        <f>_xlfn.IFNA(VLOOKUP(E4816,'Urban Plastix Holds'!$I$36:$U$498,13,0),0)</f>
        <v>0</v>
      </c>
      <c r="J4816" s="2">
        <f t="shared" si="379"/>
        <v>0</v>
      </c>
      <c r="K4816" s="2">
        <f t="shared" si="380"/>
        <v>0</v>
      </c>
    </row>
    <row r="4817" spans="5:11">
      <c r="E4817" t="s">
        <v>1232</v>
      </c>
      <c r="F4817" t="s">
        <v>1452</v>
      </c>
      <c r="G4817" s="5" t="str">
        <f t="shared" si="365"/>
        <v>11-12</v>
      </c>
      <c r="H4817" s="1">
        <f>_xlfn.IFNA(VLOOKUP(E4817,'Urban Plastix Holds'!$I$36:$U$498,5,0),0)</f>
        <v>0</v>
      </c>
      <c r="J4817" s="2">
        <f t="shared" si="379"/>
        <v>0</v>
      </c>
      <c r="K4817" s="2">
        <f t="shared" si="380"/>
        <v>0</v>
      </c>
    </row>
    <row r="4818" spans="5:11">
      <c r="E4818" t="s">
        <v>1232</v>
      </c>
      <c r="F4818" t="s">
        <v>1452</v>
      </c>
      <c r="G4818" s="6" t="str">
        <f t="shared" si="365"/>
        <v>14-01</v>
      </c>
      <c r="H4818" s="1">
        <f>_xlfn.IFNA(VLOOKUP(E4818,'Urban Plastix Holds'!$I$36:$U$498,6,0),0)</f>
        <v>0</v>
      </c>
      <c r="J4818" s="2">
        <f t="shared" si="379"/>
        <v>0</v>
      </c>
      <c r="K4818" s="2">
        <f t="shared" si="380"/>
        <v>0</v>
      </c>
    </row>
    <row r="4819" spans="5:11">
      <c r="E4819" t="s">
        <v>1232</v>
      </c>
      <c r="F4819" t="s">
        <v>1452</v>
      </c>
      <c r="G4819" s="7" t="str">
        <f t="shared" si="365"/>
        <v>15-12</v>
      </c>
      <c r="H4819" s="1">
        <f>_xlfn.IFNA(VLOOKUP(E4819,'Urban Plastix Holds'!$I$36:$U$498,7,0),0)</f>
        <v>0</v>
      </c>
      <c r="J4819" s="2">
        <f t="shared" si="379"/>
        <v>0</v>
      </c>
      <c r="K4819" s="2">
        <f t="shared" si="380"/>
        <v>0</v>
      </c>
    </row>
    <row r="4820" spans="5:11">
      <c r="E4820" t="s">
        <v>1232</v>
      </c>
      <c r="F4820" t="s">
        <v>1452</v>
      </c>
      <c r="G4820" s="8" t="str">
        <f t="shared" si="365"/>
        <v>16-16</v>
      </c>
      <c r="H4820" s="1">
        <f>_xlfn.IFNA(VLOOKUP(E4820,'Urban Plastix Holds'!$I$36:$U$498,8,0),0)</f>
        <v>0</v>
      </c>
      <c r="J4820" s="2">
        <f t="shared" si="379"/>
        <v>0</v>
      </c>
      <c r="K4820" s="2">
        <f t="shared" si="380"/>
        <v>0</v>
      </c>
    </row>
    <row r="4821" spans="5:11">
      <c r="E4821" t="s">
        <v>1232</v>
      </c>
      <c r="F4821" t="s">
        <v>1452</v>
      </c>
      <c r="G4821" s="9" t="str">
        <f t="shared" si="365"/>
        <v>13-01</v>
      </c>
      <c r="H4821" s="1">
        <f>_xlfn.IFNA(VLOOKUP(E4821,'Urban Plastix Holds'!$I$36:$U$498,9,0),0)</f>
        <v>0</v>
      </c>
      <c r="J4821" s="2">
        <f t="shared" si="379"/>
        <v>0</v>
      </c>
      <c r="K4821" s="2">
        <f t="shared" si="380"/>
        <v>0</v>
      </c>
    </row>
    <row r="4822" spans="5:11">
      <c r="E4822" t="s">
        <v>1232</v>
      </c>
      <c r="F4822" t="s">
        <v>1452</v>
      </c>
      <c r="G4822" s="10" t="str">
        <f t="shared" si="365"/>
        <v>07-13</v>
      </c>
      <c r="H4822" s="1">
        <f>_xlfn.IFNA(VLOOKUP(E4822,'Urban Plastix Holds'!$I$36:$U$498,10,0),0)</f>
        <v>0</v>
      </c>
      <c r="J4822" s="2">
        <f t="shared" si="379"/>
        <v>0</v>
      </c>
      <c r="K4822" s="2">
        <f t="shared" si="380"/>
        <v>0</v>
      </c>
    </row>
    <row r="4823" spans="5:11">
      <c r="E4823" t="s">
        <v>1232</v>
      </c>
      <c r="F4823" t="s">
        <v>1452</v>
      </c>
      <c r="G4823" s="11" t="str">
        <f t="shared" si="365"/>
        <v>11-25</v>
      </c>
      <c r="H4823" s="1">
        <f>_xlfn.IFNA(VLOOKUP(E4823,'Urban Plastix Holds'!$I$36:$U$498,11,0),0)</f>
        <v>0</v>
      </c>
      <c r="J4823" s="2">
        <f t="shared" si="379"/>
        <v>0</v>
      </c>
      <c r="K4823" s="2">
        <f t="shared" si="380"/>
        <v>0</v>
      </c>
    </row>
    <row r="4824" spans="5:11">
      <c r="E4824" t="s">
        <v>1232</v>
      </c>
      <c r="F4824" t="s">
        <v>1452</v>
      </c>
      <c r="G4824" s="13" t="str">
        <f t="shared" ref="G4824:G4887" si="381">G4815</f>
        <v>18-01</v>
      </c>
      <c r="H4824" s="1">
        <f>_xlfn.IFNA(VLOOKUP(E4824,'Urban Plastix Holds'!$I$36:$U$498,12,0),0)</f>
        <v>0</v>
      </c>
      <c r="J4824" s="2">
        <f t="shared" si="379"/>
        <v>0</v>
      </c>
      <c r="K4824" s="2">
        <f t="shared" si="380"/>
        <v>0</v>
      </c>
    </row>
    <row r="4825" spans="5:11">
      <c r="E4825" t="s">
        <v>1232</v>
      </c>
      <c r="F4825" t="s">
        <v>1452</v>
      </c>
      <c r="G4825" s="12" t="str">
        <f t="shared" si="381"/>
        <v>12-01</v>
      </c>
      <c r="H4825" s="1">
        <f>_xlfn.IFNA(VLOOKUP(E4825,'Urban Plastix Holds'!$I$36:$U$498,13,0),0)</f>
        <v>0</v>
      </c>
      <c r="J4825" s="2">
        <f t="shared" si="379"/>
        <v>0</v>
      </c>
      <c r="K4825" s="2">
        <f t="shared" si="380"/>
        <v>0</v>
      </c>
    </row>
    <row r="4826" spans="5:11">
      <c r="E4826" t="s">
        <v>1233</v>
      </c>
      <c r="F4826" t="s">
        <v>1453</v>
      </c>
      <c r="G4826" s="5" t="str">
        <f t="shared" si="381"/>
        <v>11-12</v>
      </c>
      <c r="H4826" s="1">
        <f>_xlfn.IFNA(VLOOKUP(E4826,'Urban Plastix Holds'!$I$36:$U$498,5,0),0)</f>
        <v>0</v>
      </c>
      <c r="J4826" s="2">
        <f t="shared" si="379"/>
        <v>0</v>
      </c>
      <c r="K4826" s="2">
        <f t="shared" si="380"/>
        <v>0</v>
      </c>
    </row>
    <row r="4827" spans="5:11">
      <c r="E4827" t="s">
        <v>1233</v>
      </c>
      <c r="F4827" t="s">
        <v>1453</v>
      </c>
      <c r="G4827" s="6" t="str">
        <f t="shared" si="381"/>
        <v>14-01</v>
      </c>
      <c r="H4827" s="1">
        <f>_xlfn.IFNA(VLOOKUP(E4827,'Urban Plastix Holds'!$I$36:$U$498,6,0),0)</f>
        <v>0</v>
      </c>
      <c r="J4827" s="2">
        <f t="shared" si="379"/>
        <v>0</v>
      </c>
      <c r="K4827" s="2">
        <f t="shared" si="380"/>
        <v>0</v>
      </c>
    </row>
    <row r="4828" spans="5:11">
      <c r="E4828" t="s">
        <v>1233</v>
      </c>
      <c r="F4828" t="s">
        <v>1453</v>
      </c>
      <c r="G4828" s="7" t="str">
        <f t="shared" si="381"/>
        <v>15-12</v>
      </c>
      <c r="H4828" s="1">
        <f>_xlfn.IFNA(VLOOKUP(E4828,'Urban Plastix Holds'!$I$36:$U$498,7,0),0)</f>
        <v>0</v>
      </c>
      <c r="J4828" s="2">
        <f t="shared" si="379"/>
        <v>0</v>
      </c>
      <c r="K4828" s="2">
        <f t="shared" si="380"/>
        <v>0</v>
      </c>
    </row>
    <row r="4829" spans="5:11">
      <c r="E4829" t="s">
        <v>1233</v>
      </c>
      <c r="F4829" t="s">
        <v>1453</v>
      </c>
      <c r="G4829" s="8" t="str">
        <f t="shared" si="381"/>
        <v>16-16</v>
      </c>
      <c r="H4829" s="1">
        <f>_xlfn.IFNA(VLOOKUP(E4829,'Urban Plastix Holds'!$I$36:$U$498,8,0),0)</f>
        <v>0</v>
      </c>
      <c r="J4829" s="2">
        <f t="shared" si="379"/>
        <v>0</v>
      </c>
      <c r="K4829" s="2">
        <f t="shared" si="380"/>
        <v>0</v>
      </c>
    </row>
    <row r="4830" spans="5:11">
      <c r="E4830" t="s">
        <v>1233</v>
      </c>
      <c r="F4830" t="s">
        <v>1453</v>
      </c>
      <c r="G4830" s="9" t="str">
        <f t="shared" si="381"/>
        <v>13-01</v>
      </c>
      <c r="H4830" s="1">
        <f>_xlfn.IFNA(VLOOKUP(E4830,'Urban Plastix Holds'!$I$36:$U$498,9,0),0)</f>
        <v>0</v>
      </c>
      <c r="J4830" s="2">
        <f t="shared" si="379"/>
        <v>0</v>
      </c>
      <c r="K4830" s="2">
        <f t="shared" si="380"/>
        <v>0</v>
      </c>
    </row>
    <row r="4831" spans="5:11">
      <c r="E4831" t="s">
        <v>1233</v>
      </c>
      <c r="F4831" t="s">
        <v>1453</v>
      </c>
      <c r="G4831" s="10" t="str">
        <f t="shared" si="381"/>
        <v>07-13</v>
      </c>
      <c r="H4831" s="1">
        <f>_xlfn.IFNA(VLOOKUP(E4831,'Urban Plastix Holds'!$I$36:$U$498,10,0),0)</f>
        <v>0</v>
      </c>
      <c r="J4831" s="2">
        <f t="shared" si="379"/>
        <v>0</v>
      </c>
      <c r="K4831" s="2">
        <f t="shared" si="380"/>
        <v>0</v>
      </c>
    </row>
    <row r="4832" spans="5:11">
      <c r="E4832" t="s">
        <v>1233</v>
      </c>
      <c r="F4832" t="s">
        <v>1453</v>
      </c>
      <c r="G4832" s="11" t="str">
        <f t="shared" si="381"/>
        <v>11-25</v>
      </c>
      <c r="H4832" s="1">
        <f>_xlfn.IFNA(VLOOKUP(E4832,'Urban Plastix Holds'!$I$36:$U$498,11,0),0)</f>
        <v>0</v>
      </c>
      <c r="J4832" s="2">
        <f t="shared" si="379"/>
        <v>0</v>
      </c>
      <c r="K4832" s="2">
        <f t="shared" si="380"/>
        <v>0</v>
      </c>
    </row>
    <row r="4833" spans="5:11">
      <c r="E4833" t="s">
        <v>1233</v>
      </c>
      <c r="F4833" t="s">
        <v>1453</v>
      </c>
      <c r="G4833" s="13" t="str">
        <f t="shared" si="381"/>
        <v>18-01</v>
      </c>
      <c r="H4833" s="1">
        <f>_xlfn.IFNA(VLOOKUP(E4833,'Urban Plastix Holds'!$I$36:$U$498,12,0),0)</f>
        <v>0</v>
      </c>
      <c r="J4833" s="2">
        <f t="shared" si="379"/>
        <v>0</v>
      </c>
      <c r="K4833" s="2">
        <f t="shared" si="380"/>
        <v>0</v>
      </c>
    </row>
    <row r="4834" spans="5:11">
      <c r="E4834" t="s">
        <v>1233</v>
      </c>
      <c r="F4834" t="s">
        <v>1453</v>
      </c>
      <c r="G4834" s="12" t="str">
        <f t="shared" si="381"/>
        <v>12-01</v>
      </c>
      <c r="H4834" s="1">
        <f>_xlfn.IFNA(VLOOKUP(E4834,'Urban Plastix Holds'!$I$36:$U$498,13,0),0)</f>
        <v>0</v>
      </c>
      <c r="J4834" s="2">
        <f t="shared" si="379"/>
        <v>0</v>
      </c>
      <c r="K4834" s="2">
        <f t="shared" si="380"/>
        <v>0</v>
      </c>
    </row>
    <row r="4835" spans="5:11">
      <c r="E4835" t="s">
        <v>1286</v>
      </c>
      <c r="F4835" t="s">
        <v>1454</v>
      </c>
      <c r="G4835" s="5" t="str">
        <f t="shared" si="381"/>
        <v>11-12</v>
      </c>
      <c r="H4835" s="1">
        <f>_xlfn.IFNA(VLOOKUP(E4835,'Urban Plastix Holds'!$I$36:$U$498,5,0),0)</f>
        <v>0</v>
      </c>
      <c r="J4835" s="2">
        <f t="shared" si="379"/>
        <v>0</v>
      </c>
      <c r="K4835" s="2">
        <f t="shared" si="380"/>
        <v>0</v>
      </c>
    </row>
    <row r="4836" spans="5:11">
      <c r="E4836" t="s">
        <v>1286</v>
      </c>
      <c r="F4836" t="s">
        <v>1454</v>
      </c>
      <c r="G4836" s="6" t="str">
        <f t="shared" si="381"/>
        <v>14-01</v>
      </c>
      <c r="H4836" s="1">
        <f>_xlfn.IFNA(VLOOKUP(E4836,'Urban Plastix Holds'!$I$36:$U$498,6,0),0)</f>
        <v>0</v>
      </c>
      <c r="J4836" s="2">
        <f t="shared" si="379"/>
        <v>0</v>
      </c>
      <c r="K4836" s="2">
        <f t="shared" si="380"/>
        <v>0</v>
      </c>
    </row>
    <row r="4837" spans="5:11">
      <c r="E4837" t="s">
        <v>1286</v>
      </c>
      <c r="F4837" t="s">
        <v>1454</v>
      </c>
      <c r="G4837" s="7" t="str">
        <f t="shared" si="381"/>
        <v>15-12</v>
      </c>
      <c r="H4837" s="1">
        <f>_xlfn.IFNA(VLOOKUP(E4837,'Urban Plastix Holds'!$I$36:$U$498,7,0),0)</f>
        <v>0</v>
      </c>
      <c r="J4837" s="2">
        <f t="shared" si="379"/>
        <v>0</v>
      </c>
      <c r="K4837" s="2">
        <f t="shared" si="380"/>
        <v>0</v>
      </c>
    </row>
    <row r="4838" spans="5:11">
      <c r="E4838" t="s">
        <v>1286</v>
      </c>
      <c r="F4838" t="s">
        <v>1454</v>
      </c>
      <c r="G4838" s="8" t="str">
        <f t="shared" si="381"/>
        <v>16-16</v>
      </c>
      <c r="H4838" s="1">
        <f>_xlfn.IFNA(VLOOKUP(E4838,'Urban Plastix Holds'!$I$36:$U$498,8,0),0)</f>
        <v>0</v>
      </c>
      <c r="J4838" s="2">
        <f t="shared" si="379"/>
        <v>0</v>
      </c>
      <c r="K4838" s="2">
        <f t="shared" si="380"/>
        <v>0</v>
      </c>
    </row>
    <row r="4839" spans="5:11">
      <c r="E4839" t="s">
        <v>1286</v>
      </c>
      <c r="F4839" t="s">
        <v>1454</v>
      </c>
      <c r="G4839" s="9" t="str">
        <f t="shared" si="381"/>
        <v>13-01</v>
      </c>
      <c r="H4839" s="1">
        <f>_xlfn.IFNA(VLOOKUP(E4839,'Urban Plastix Holds'!$I$36:$U$498,9,0),0)</f>
        <v>0</v>
      </c>
      <c r="J4839" s="2">
        <f t="shared" si="379"/>
        <v>0</v>
      </c>
      <c r="K4839" s="2">
        <f t="shared" si="380"/>
        <v>0</v>
      </c>
    </row>
    <row r="4840" spans="5:11">
      <c r="E4840" t="s">
        <v>1286</v>
      </c>
      <c r="F4840" t="s">
        <v>1454</v>
      </c>
      <c r="G4840" s="10" t="str">
        <f t="shared" si="381"/>
        <v>07-13</v>
      </c>
      <c r="H4840" s="1">
        <f>_xlfn.IFNA(VLOOKUP(E4840,'Urban Plastix Holds'!$I$36:$U$498,10,0),0)</f>
        <v>0</v>
      </c>
      <c r="J4840" s="2">
        <f t="shared" si="379"/>
        <v>0</v>
      </c>
      <c r="K4840" s="2">
        <f t="shared" si="380"/>
        <v>0</v>
      </c>
    </row>
    <row r="4841" spans="5:11">
      <c r="E4841" t="s">
        <v>1286</v>
      </c>
      <c r="F4841" t="s">
        <v>1454</v>
      </c>
      <c r="G4841" s="11" t="str">
        <f t="shared" si="381"/>
        <v>11-25</v>
      </c>
      <c r="H4841" s="1">
        <f>_xlfn.IFNA(VLOOKUP(E4841,'Urban Plastix Holds'!$I$36:$U$498,11,0),0)</f>
        <v>0</v>
      </c>
      <c r="J4841" s="2">
        <f t="shared" si="379"/>
        <v>0</v>
      </c>
      <c r="K4841" s="2">
        <f t="shared" si="380"/>
        <v>0</v>
      </c>
    </row>
    <row r="4842" spans="5:11">
      <c r="E4842" t="s">
        <v>1286</v>
      </c>
      <c r="F4842" t="s">
        <v>1454</v>
      </c>
      <c r="G4842" s="13" t="str">
        <f t="shared" si="381"/>
        <v>18-01</v>
      </c>
      <c r="H4842" s="1">
        <f>_xlfn.IFNA(VLOOKUP(E4842,'Urban Plastix Holds'!$I$36:$U$498,12,0),0)</f>
        <v>0</v>
      </c>
      <c r="J4842" s="2">
        <f t="shared" si="379"/>
        <v>0</v>
      </c>
      <c r="K4842" s="2">
        <f t="shared" si="380"/>
        <v>0</v>
      </c>
    </row>
    <row r="4843" spans="5:11">
      <c r="E4843" t="s">
        <v>1286</v>
      </c>
      <c r="F4843" t="s">
        <v>1454</v>
      </c>
      <c r="G4843" s="12" t="str">
        <f t="shared" si="381"/>
        <v>12-01</v>
      </c>
      <c r="H4843" s="1">
        <f>_xlfn.IFNA(VLOOKUP(E4843,'Urban Plastix Holds'!$I$36:$U$498,13,0),0)</f>
        <v>0</v>
      </c>
      <c r="J4843" s="2">
        <f t="shared" si="379"/>
        <v>0</v>
      </c>
      <c r="K4843" s="2">
        <f t="shared" si="380"/>
        <v>0</v>
      </c>
    </row>
    <row r="4844" spans="5:11">
      <c r="E4844" t="s">
        <v>1308</v>
      </c>
      <c r="F4844" t="s">
        <v>1455</v>
      </c>
      <c r="G4844" s="5" t="str">
        <f t="shared" si="381"/>
        <v>11-12</v>
      </c>
      <c r="H4844" s="1">
        <f>_xlfn.IFNA(VLOOKUP(E4844,'Urban Plastix Holds'!$I$36:$U$498,5,0),0)</f>
        <v>0</v>
      </c>
      <c r="J4844" s="2">
        <f t="shared" si="379"/>
        <v>0</v>
      </c>
      <c r="K4844" s="2">
        <f t="shared" si="380"/>
        <v>0</v>
      </c>
    </row>
    <row r="4845" spans="5:11">
      <c r="E4845" t="s">
        <v>1308</v>
      </c>
      <c r="F4845" t="s">
        <v>1455</v>
      </c>
      <c r="G4845" s="6" t="str">
        <f t="shared" si="381"/>
        <v>14-01</v>
      </c>
      <c r="H4845" s="1">
        <f>_xlfn.IFNA(VLOOKUP(E4845,'Urban Plastix Holds'!$I$36:$U$498,6,0),0)</f>
        <v>0</v>
      </c>
      <c r="J4845" s="2">
        <f t="shared" si="379"/>
        <v>0</v>
      </c>
      <c r="K4845" s="2">
        <f t="shared" si="380"/>
        <v>0</v>
      </c>
    </row>
    <row r="4846" spans="5:11">
      <c r="E4846" t="s">
        <v>1308</v>
      </c>
      <c r="F4846" t="s">
        <v>1455</v>
      </c>
      <c r="G4846" s="7" t="str">
        <f t="shared" si="381"/>
        <v>15-12</v>
      </c>
      <c r="H4846" s="1">
        <f>_xlfn.IFNA(VLOOKUP(E4846,'Urban Plastix Holds'!$I$36:$U$498,7,0),0)</f>
        <v>0</v>
      </c>
      <c r="J4846" s="2">
        <f t="shared" ref="J4846:J4909" si="382">H4846*I4846</f>
        <v>0</v>
      </c>
      <c r="K4846" s="2">
        <f t="shared" ref="K4846:K4909" si="383">IF($V$11="Y",J4846*0.05,0)</f>
        <v>0</v>
      </c>
    </row>
    <row r="4847" spans="5:11">
      <c r="E4847" t="s">
        <v>1308</v>
      </c>
      <c r="F4847" t="s">
        <v>1455</v>
      </c>
      <c r="G4847" s="8" t="str">
        <f t="shared" si="381"/>
        <v>16-16</v>
      </c>
      <c r="H4847" s="1">
        <f>_xlfn.IFNA(VLOOKUP(E4847,'Urban Plastix Holds'!$I$36:$U$498,8,0),0)</f>
        <v>0</v>
      </c>
      <c r="J4847" s="2">
        <f t="shared" si="382"/>
        <v>0</v>
      </c>
      <c r="K4847" s="2">
        <f t="shared" si="383"/>
        <v>0</v>
      </c>
    </row>
    <row r="4848" spans="5:11">
      <c r="E4848" t="s">
        <v>1308</v>
      </c>
      <c r="F4848" t="s">
        <v>1455</v>
      </c>
      <c r="G4848" s="9" t="str">
        <f t="shared" si="381"/>
        <v>13-01</v>
      </c>
      <c r="H4848" s="1">
        <f>_xlfn.IFNA(VLOOKUP(E4848,'Urban Plastix Holds'!$I$36:$U$498,9,0),0)</f>
        <v>0</v>
      </c>
      <c r="J4848" s="2">
        <f t="shared" si="382"/>
        <v>0</v>
      </c>
      <c r="K4848" s="2">
        <f t="shared" si="383"/>
        <v>0</v>
      </c>
    </row>
    <row r="4849" spans="5:11">
      <c r="E4849" t="s">
        <v>1308</v>
      </c>
      <c r="F4849" t="s">
        <v>1455</v>
      </c>
      <c r="G4849" s="10" t="str">
        <f t="shared" si="381"/>
        <v>07-13</v>
      </c>
      <c r="H4849" s="1">
        <f>_xlfn.IFNA(VLOOKUP(E4849,'Urban Plastix Holds'!$I$36:$U$498,10,0),0)</f>
        <v>0</v>
      </c>
      <c r="J4849" s="2">
        <f t="shared" si="382"/>
        <v>0</v>
      </c>
      <c r="K4849" s="2">
        <f t="shared" si="383"/>
        <v>0</v>
      </c>
    </row>
    <row r="4850" spans="5:11">
      <c r="E4850" t="s">
        <v>1308</v>
      </c>
      <c r="F4850" t="s">
        <v>1455</v>
      </c>
      <c r="G4850" s="11" t="str">
        <f t="shared" si="381"/>
        <v>11-25</v>
      </c>
      <c r="H4850" s="1">
        <f>_xlfn.IFNA(VLOOKUP(E4850,'Urban Plastix Holds'!$I$36:$U$498,11,0),0)</f>
        <v>0</v>
      </c>
      <c r="J4850" s="2">
        <f t="shared" si="382"/>
        <v>0</v>
      </c>
      <c r="K4850" s="2">
        <f t="shared" si="383"/>
        <v>0</v>
      </c>
    </row>
    <row r="4851" spans="5:11">
      <c r="E4851" t="s">
        <v>1308</v>
      </c>
      <c r="F4851" t="s">
        <v>1455</v>
      </c>
      <c r="G4851" s="13" t="str">
        <f t="shared" si="381"/>
        <v>18-01</v>
      </c>
      <c r="H4851" s="1">
        <f>_xlfn.IFNA(VLOOKUP(E4851,'Urban Plastix Holds'!$I$36:$U$498,12,0),0)</f>
        <v>0</v>
      </c>
      <c r="J4851" s="2">
        <f t="shared" si="382"/>
        <v>0</v>
      </c>
      <c r="K4851" s="2">
        <f t="shared" si="383"/>
        <v>0</v>
      </c>
    </row>
    <row r="4852" spans="5:11">
      <c r="E4852" t="s">
        <v>1308</v>
      </c>
      <c r="F4852" t="s">
        <v>1455</v>
      </c>
      <c r="G4852" s="12" t="str">
        <f t="shared" si="381"/>
        <v>12-01</v>
      </c>
      <c r="H4852" s="1">
        <f>_xlfn.IFNA(VLOOKUP(E4852,'Urban Plastix Holds'!$I$36:$U$498,13,0),0)</f>
        <v>0</v>
      </c>
      <c r="J4852" s="2">
        <f t="shared" si="382"/>
        <v>0</v>
      </c>
      <c r="K4852" s="2">
        <f t="shared" si="383"/>
        <v>0</v>
      </c>
    </row>
    <row r="4853" spans="5:11">
      <c r="E4853" t="s">
        <v>1311</v>
      </c>
      <c r="F4853" t="s">
        <v>1456</v>
      </c>
      <c r="G4853" s="5" t="str">
        <f t="shared" si="381"/>
        <v>11-12</v>
      </c>
      <c r="H4853" s="1">
        <f>_xlfn.IFNA(VLOOKUP(E4853,'Urban Plastix Holds'!$I$36:$U$498,5,0),0)</f>
        <v>0</v>
      </c>
      <c r="J4853" s="2">
        <f t="shared" si="382"/>
        <v>0</v>
      </c>
      <c r="K4853" s="2">
        <f t="shared" si="383"/>
        <v>0</v>
      </c>
    </row>
    <row r="4854" spans="5:11">
      <c r="E4854" t="s">
        <v>1311</v>
      </c>
      <c r="F4854" t="s">
        <v>1456</v>
      </c>
      <c r="G4854" s="6" t="str">
        <f t="shared" si="381"/>
        <v>14-01</v>
      </c>
      <c r="H4854" s="1">
        <f>_xlfn.IFNA(VLOOKUP(E4854,'Urban Plastix Holds'!$I$36:$U$498,6,0),0)</f>
        <v>0</v>
      </c>
      <c r="J4854" s="2">
        <f t="shared" si="382"/>
        <v>0</v>
      </c>
      <c r="K4854" s="2">
        <f t="shared" si="383"/>
        <v>0</v>
      </c>
    </row>
    <row r="4855" spans="5:11">
      <c r="E4855" t="s">
        <v>1311</v>
      </c>
      <c r="F4855" t="s">
        <v>1456</v>
      </c>
      <c r="G4855" s="7" t="str">
        <f t="shared" si="381"/>
        <v>15-12</v>
      </c>
      <c r="H4855" s="1">
        <f>_xlfn.IFNA(VLOOKUP(E4855,'Urban Plastix Holds'!$I$36:$U$498,7,0),0)</f>
        <v>0</v>
      </c>
      <c r="J4855" s="2">
        <f t="shared" si="382"/>
        <v>0</v>
      </c>
      <c r="K4855" s="2">
        <f t="shared" si="383"/>
        <v>0</v>
      </c>
    </row>
    <row r="4856" spans="5:11">
      <c r="E4856" t="s">
        <v>1311</v>
      </c>
      <c r="F4856" t="s">
        <v>1456</v>
      </c>
      <c r="G4856" s="8" t="str">
        <f t="shared" si="381"/>
        <v>16-16</v>
      </c>
      <c r="H4856" s="1">
        <f>_xlfn.IFNA(VLOOKUP(E4856,'Urban Plastix Holds'!$I$36:$U$498,8,0),0)</f>
        <v>0</v>
      </c>
      <c r="J4856" s="2">
        <f t="shared" si="382"/>
        <v>0</v>
      </c>
      <c r="K4856" s="2">
        <f t="shared" si="383"/>
        <v>0</v>
      </c>
    </row>
    <row r="4857" spans="5:11">
      <c r="E4857" t="s">
        <v>1311</v>
      </c>
      <c r="F4857" t="s">
        <v>1456</v>
      </c>
      <c r="G4857" s="9" t="str">
        <f t="shared" si="381"/>
        <v>13-01</v>
      </c>
      <c r="H4857" s="1">
        <f>_xlfn.IFNA(VLOOKUP(E4857,'Urban Plastix Holds'!$I$36:$U$498,9,0),0)</f>
        <v>0</v>
      </c>
      <c r="J4857" s="2">
        <f t="shared" si="382"/>
        <v>0</v>
      </c>
      <c r="K4857" s="2">
        <f t="shared" si="383"/>
        <v>0</v>
      </c>
    </row>
    <row r="4858" spans="5:11">
      <c r="E4858" t="s">
        <v>1311</v>
      </c>
      <c r="F4858" t="s">
        <v>1456</v>
      </c>
      <c r="G4858" s="10" t="str">
        <f t="shared" si="381"/>
        <v>07-13</v>
      </c>
      <c r="H4858" s="1">
        <f>_xlfn.IFNA(VLOOKUP(E4858,'Urban Plastix Holds'!$I$36:$U$498,10,0),0)</f>
        <v>0</v>
      </c>
      <c r="J4858" s="2">
        <f t="shared" si="382"/>
        <v>0</v>
      </c>
      <c r="K4858" s="2">
        <f t="shared" si="383"/>
        <v>0</v>
      </c>
    </row>
    <row r="4859" spans="5:11">
      <c r="E4859" t="s">
        <v>1311</v>
      </c>
      <c r="F4859" t="s">
        <v>1456</v>
      </c>
      <c r="G4859" s="11" t="str">
        <f t="shared" si="381"/>
        <v>11-25</v>
      </c>
      <c r="H4859" s="1">
        <f>_xlfn.IFNA(VLOOKUP(E4859,'Urban Plastix Holds'!$I$36:$U$498,11,0),0)</f>
        <v>0</v>
      </c>
      <c r="J4859" s="2">
        <f t="shared" si="382"/>
        <v>0</v>
      </c>
      <c r="K4859" s="2">
        <f t="shared" si="383"/>
        <v>0</v>
      </c>
    </row>
    <row r="4860" spans="5:11">
      <c r="E4860" t="s">
        <v>1311</v>
      </c>
      <c r="F4860" t="s">
        <v>1456</v>
      </c>
      <c r="G4860" s="13" t="str">
        <f t="shared" si="381"/>
        <v>18-01</v>
      </c>
      <c r="H4860" s="1">
        <f>_xlfn.IFNA(VLOOKUP(E4860,'Urban Plastix Holds'!$I$36:$U$498,12,0),0)</f>
        <v>0</v>
      </c>
      <c r="J4860" s="2">
        <f t="shared" si="382"/>
        <v>0</v>
      </c>
      <c r="K4860" s="2">
        <f t="shared" si="383"/>
        <v>0</v>
      </c>
    </row>
    <row r="4861" spans="5:11">
      <c r="E4861" t="s">
        <v>1311</v>
      </c>
      <c r="F4861" t="s">
        <v>1456</v>
      </c>
      <c r="G4861" s="12" t="str">
        <f t="shared" si="381"/>
        <v>12-01</v>
      </c>
      <c r="H4861" s="1">
        <f>_xlfn.IFNA(VLOOKUP(E4861,'Urban Plastix Holds'!$I$36:$U$498,13,0),0)</f>
        <v>0</v>
      </c>
      <c r="J4861" s="2">
        <f t="shared" si="382"/>
        <v>0</v>
      </c>
      <c r="K4861" s="2">
        <f t="shared" si="383"/>
        <v>0</v>
      </c>
    </row>
    <row r="4862" spans="5:11">
      <c r="E4862" t="s">
        <v>1253</v>
      </c>
      <c r="F4862" t="s">
        <v>1457</v>
      </c>
      <c r="G4862" s="5" t="str">
        <f t="shared" si="381"/>
        <v>11-12</v>
      </c>
      <c r="H4862" s="1">
        <f>_xlfn.IFNA(VLOOKUP(E4862,'Urban Plastix Holds'!$I$36:$U$498,5,0),0)</f>
        <v>0</v>
      </c>
      <c r="J4862" s="2">
        <f t="shared" si="382"/>
        <v>0</v>
      </c>
      <c r="K4862" s="2">
        <f t="shared" si="383"/>
        <v>0</v>
      </c>
    </row>
    <row r="4863" spans="5:11">
      <c r="E4863" t="s">
        <v>1253</v>
      </c>
      <c r="F4863" t="s">
        <v>1457</v>
      </c>
      <c r="G4863" s="6" t="str">
        <f t="shared" si="381"/>
        <v>14-01</v>
      </c>
      <c r="H4863" s="1">
        <f>_xlfn.IFNA(VLOOKUP(E4863,'Urban Plastix Holds'!$I$36:$U$498,6,0),0)</f>
        <v>0</v>
      </c>
      <c r="J4863" s="2">
        <f t="shared" si="382"/>
        <v>0</v>
      </c>
      <c r="K4863" s="2">
        <f t="shared" si="383"/>
        <v>0</v>
      </c>
    </row>
    <row r="4864" spans="5:11">
      <c r="E4864" t="s">
        <v>1253</v>
      </c>
      <c r="F4864" t="s">
        <v>1457</v>
      </c>
      <c r="G4864" s="7" t="str">
        <f t="shared" si="381"/>
        <v>15-12</v>
      </c>
      <c r="H4864" s="1">
        <f>_xlfn.IFNA(VLOOKUP(E4864,'Urban Plastix Holds'!$I$36:$U$498,7,0),0)</f>
        <v>0</v>
      </c>
      <c r="J4864" s="2">
        <f t="shared" si="382"/>
        <v>0</v>
      </c>
      <c r="K4864" s="2">
        <f t="shared" si="383"/>
        <v>0</v>
      </c>
    </row>
    <row r="4865" spans="5:11">
      <c r="E4865" t="s">
        <v>1253</v>
      </c>
      <c r="F4865" t="s">
        <v>1457</v>
      </c>
      <c r="G4865" s="8" t="str">
        <f t="shared" si="381"/>
        <v>16-16</v>
      </c>
      <c r="H4865" s="1">
        <f>_xlfn.IFNA(VLOOKUP(E4865,'Urban Plastix Holds'!$I$36:$U$498,8,0),0)</f>
        <v>0</v>
      </c>
      <c r="J4865" s="2">
        <f t="shared" si="382"/>
        <v>0</v>
      </c>
      <c r="K4865" s="2">
        <f t="shared" si="383"/>
        <v>0</v>
      </c>
    </row>
    <row r="4866" spans="5:11">
      <c r="E4866" t="s">
        <v>1253</v>
      </c>
      <c r="F4866" t="s">
        <v>1457</v>
      </c>
      <c r="G4866" s="9" t="str">
        <f t="shared" si="381"/>
        <v>13-01</v>
      </c>
      <c r="H4866" s="1">
        <f>_xlfn.IFNA(VLOOKUP(E4866,'Urban Plastix Holds'!$I$36:$U$498,9,0),0)</f>
        <v>0</v>
      </c>
      <c r="J4866" s="2">
        <f t="shared" si="382"/>
        <v>0</v>
      </c>
      <c r="K4866" s="2">
        <f t="shared" si="383"/>
        <v>0</v>
      </c>
    </row>
    <row r="4867" spans="5:11">
      <c r="E4867" t="s">
        <v>1253</v>
      </c>
      <c r="F4867" t="s">
        <v>1457</v>
      </c>
      <c r="G4867" s="10" t="str">
        <f t="shared" si="381"/>
        <v>07-13</v>
      </c>
      <c r="H4867" s="1">
        <f>_xlfn.IFNA(VLOOKUP(E4867,'Urban Plastix Holds'!$I$36:$U$498,10,0),0)</f>
        <v>0</v>
      </c>
      <c r="J4867" s="2">
        <f t="shared" si="382"/>
        <v>0</v>
      </c>
      <c r="K4867" s="2">
        <f t="shared" si="383"/>
        <v>0</v>
      </c>
    </row>
    <row r="4868" spans="5:11">
      <c r="E4868" t="s">
        <v>1253</v>
      </c>
      <c r="F4868" t="s">
        <v>1457</v>
      </c>
      <c r="G4868" s="11" t="str">
        <f t="shared" si="381"/>
        <v>11-25</v>
      </c>
      <c r="H4868" s="1">
        <f>_xlfn.IFNA(VLOOKUP(E4868,'Urban Plastix Holds'!$I$36:$U$498,11,0),0)</f>
        <v>0</v>
      </c>
      <c r="J4868" s="2">
        <f t="shared" si="382"/>
        <v>0</v>
      </c>
      <c r="K4868" s="2">
        <f t="shared" si="383"/>
        <v>0</v>
      </c>
    </row>
    <row r="4869" spans="5:11">
      <c r="E4869" t="s">
        <v>1253</v>
      </c>
      <c r="F4869" t="s">
        <v>1457</v>
      </c>
      <c r="G4869" s="13" t="str">
        <f t="shared" si="381"/>
        <v>18-01</v>
      </c>
      <c r="H4869" s="1">
        <f>_xlfn.IFNA(VLOOKUP(E4869,'Urban Plastix Holds'!$I$36:$U$498,12,0),0)</f>
        <v>0</v>
      </c>
      <c r="J4869" s="2">
        <f t="shared" si="382"/>
        <v>0</v>
      </c>
      <c r="K4869" s="2">
        <f t="shared" si="383"/>
        <v>0</v>
      </c>
    </row>
    <row r="4870" spans="5:11">
      <c r="E4870" t="s">
        <v>1253</v>
      </c>
      <c r="F4870" t="s">
        <v>1457</v>
      </c>
      <c r="G4870" s="12" t="str">
        <f t="shared" si="381"/>
        <v>12-01</v>
      </c>
      <c r="H4870" s="1">
        <f>_xlfn.IFNA(VLOOKUP(E4870,'Urban Plastix Holds'!$I$36:$U$498,13,0),0)</f>
        <v>0</v>
      </c>
      <c r="J4870" s="2">
        <f t="shared" si="382"/>
        <v>0</v>
      </c>
      <c r="K4870" s="2">
        <f t="shared" si="383"/>
        <v>0</v>
      </c>
    </row>
    <row r="4871" spans="5:11">
      <c r="E4871" t="s">
        <v>1289</v>
      </c>
      <c r="F4871" t="s">
        <v>1458</v>
      </c>
      <c r="G4871" s="5" t="str">
        <f t="shared" si="381"/>
        <v>11-12</v>
      </c>
      <c r="H4871" s="1">
        <f>_xlfn.IFNA(VLOOKUP(E4871,'Urban Plastix Holds'!$I$36:$U$498,5,0),0)</f>
        <v>0</v>
      </c>
      <c r="J4871" s="2">
        <f t="shared" si="382"/>
        <v>0</v>
      </c>
      <c r="K4871" s="2">
        <f t="shared" si="383"/>
        <v>0</v>
      </c>
    </row>
    <row r="4872" spans="5:11">
      <c r="E4872" t="s">
        <v>1289</v>
      </c>
      <c r="F4872" t="s">
        <v>1458</v>
      </c>
      <c r="G4872" s="6" t="str">
        <f t="shared" si="381"/>
        <v>14-01</v>
      </c>
      <c r="H4872" s="1">
        <f>_xlfn.IFNA(VLOOKUP(E4872,'Urban Plastix Holds'!$I$36:$U$498,6,0),0)</f>
        <v>0</v>
      </c>
      <c r="J4872" s="2">
        <f t="shared" si="382"/>
        <v>0</v>
      </c>
      <c r="K4872" s="2">
        <f t="shared" si="383"/>
        <v>0</v>
      </c>
    </row>
    <row r="4873" spans="5:11">
      <c r="E4873" t="s">
        <v>1289</v>
      </c>
      <c r="F4873" t="s">
        <v>1458</v>
      </c>
      <c r="G4873" s="7" t="str">
        <f t="shared" si="381"/>
        <v>15-12</v>
      </c>
      <c r="H4873" s="1">
        <f>_xlfn.IFNA(VLOOKUP(E4873,'Urban Plastix Holds'!$I$36:$U$498,7,0),0)</f>
        <v>0</v>
      </c>
      <c r="J4873" s="2">
        <f t="shared" si="382"/>
        <v>0</v>
      </c>
      <c r="K4873" s="2">
        <f t="shared" si="383"/>
        <v>0</v>
      </c>
    </row>
    <row r="4874" spans="5:11">
      <c r="E4874" t="s">
        <v>1289</v>
      </c>
      <c r="F4874" t="s">
        <v>1458</v>
      </c>
      <c r="G4874" s="8" t="str">
        <f t="shared" si="381"/>
        <v>16-16</v>
      </c>
      <c r="H4874" s="1">
        <f>_xlfn.IFNA(VLOOKUP(E4874,'Urban Plastix Holds'!$I$36:$U$498,8,0),0)</f>
        <v>0</v>
      </c>
      <c r="J4874" s="2">
        <f t="shared" si="382"/>
        <v>0</v>
      </c>
      <c r="K4874" s="2">
        <f t="shared" si="383"/>
        <v>0</v>
      </c>
    </row>
    <row r="4875" spans="5:11">
      <c r="E4875" t="s">
        <v>1289</v>
      </c>
      <c r="F4875" t="s">
        <v>1458</v>
      </c>
      <c r="G4875" s="9" t="str">
        <f t="shared" si="381"/>
        <v>13-01</v>
      </c>
      <c r="H4875" s="1">
        <f>_xlfn.IFNA(VLOOKUP(E4875,'Urban Plastix Holds'!$I$36:$U$498,9,0),0)</f>
        <v>0</v>
      </c>
      <c r="J4875" s="2">
        <f t="shared" si="382"/>
        <v>0</v>
      </c>
      <c r="K4875" s="2">
        <f t="shared" si="383"/>
        <v>0</v>
      </c>
    </row>
    <row r="4876" spans="5:11">
      <c r="E4876" t="s">
        <v>1289</v>
      </c>
      <c r="F4876" t="s">
        <v>1458</v>
      </c>
      <c r="G4876" s="10" t="str">
        <f t="shared" si="381"/>
        <v>07-13</v>
      </c>
      <c r="H4876" s="1">
        <f>_xlfn.IFNA(VLOOKUP(E4876,'Urban Plastix Holds'!$I$36:$U$498,10,0),0)</f>
        <v>0</v>
      </c>
      <c r="J4876" s="2">
        <f t="shared" si="382"/>
        <v>0</v>
      </c>
      <c r="K4876" s="2">
        <f t="shared" si="383"/>
        <v>0</v>
      </c>
    </row>
    <row r="4877" spans="5:11">
      <c r="E4877" t="s">
        <v>1289</v>
      </c>
      <c r="F4877" t="s">
        <v>1458</v>
      </c>
      <c r="G4877" s="11" t="str">
        <f t="shared" si="381"/>
        <v>11-25</v>
      </c>
      <c r="H4877" s="1">
        <f>_xlfn.IFNA(VLOOKUP(E4877,'Urban Plastix Holds'!$I$36:$U$498,11,0),0)</f>
        <v>0</v>
      </c>
      <c r="J4877" s="2">
        <f t="shared" si="382"/>
        <v>0</v>
      </c>
      <c r="K4877" s="2">
        <f t="shared" si="383"/>
        <v>0</v>
      </c>
    </row>
    <row r="4878" spans="5:11">
      <c r="E4878" t="s">
        <v>1289</v>
      </c>
      <c r="F4878" t="s">
        <v>1458</v>
      </c>
      <c r="G4878" s="13" t="str">
        <f t="shared" si="381"/>
        <v>18-01</v>
      </c>
      <c r="H4878" s="1">
        <f>_xlfn.IFNA(VLOOKUP(E4878,'Urban Plastix Holds'!$I$36:$U$498,12,0),0)</f>
        <v>0</v>
      </c>
      <c r="J4878" s="2">
        <f t="shared" si="382"/>
        <v>0</v>
      </c>
      <c r="K4878" s="2">
        <f t="shared" si="383"/>
        <v>0</v>
      </c>
    </row>
    <row r="4879" spans="5:11">
      <c r="E4879" t="s">
        <v>1289</v>
      </c>
      <c r="F4879" t="s">
        <v>1458</v>
      </c>
      <c r="G4879" s="12" t="str">
        <f t="shared" si="381"/>
        <v>12-01</v>
      </c>
      <c r="H4879" s="1">
        <f>_xlfn.IFNA(VLOOKUP(E4879,'Urban Plastix Holds'!$I$36:$U$498,13,0),0)</f>
        <v>0</v>
      </c>
      <c r="J4879" s="2">
        <f t="shared" si="382"/>
        <v>0</v>
      </c>
      <c r="K4879" s="2">
        <f t="shared" si="383"/>
        <v>0</v>
      </c>
    </row>
    <row r="4880" spans="5:11">
      <c r="E4880" t="s">
        <v>1270</v>
      </c>
      <c r="F4880" t="s">
        <v>1459</v>
      </c>
      <c r="G4880" s="5" t="str">
        <f t="shared" si="381"/>
        <v>11-12</v>
      </c>
      <c r="H4880" s="1">
        <f>_xlfn.IFNA(VLOOKUP(E4880,'Urban Plastix Holds'!$I$36:$U$498,5,0),0)</f>
        <v>0</v>
      </c>
      <c r="J4880" s="2">
        <f t="shared" si="382"/>
        <v>0</v>
      </c>
      <c r="K4880" s="2">
        <f t="shared" si="383"/>
        <v>0</v>
      </c>
    </row>
    <row r="4881" spans="5:11">
      <c r="E4881" t="s">
        <v>1270</v>
      </c>
      <c r="F4881" t="s">
        <v>1459</v>
      </c>
      <c r="G4881" s="6" t="str">
        <f t="shared" si="381"/>
        <v>14-01</v>
      </c>
      <c r="H4881" s="1">
        <f>_xlfn.IFNA(VLOOKUP(E4881,'Urban Plastix Holds'!$I$36:$U$498,6,0),0)</f>
        <v>0</v>
      </c>
      <c r="J4881" s="2">
        <f t="shared" si="382"/>
        <v>0</v>
      </c>
      <c r="K4881" s="2">
        <f t="shared" si="383"/>
        <v>0</v>
      </c>
    </row>
    <row r="4882" spans="5:11">
      <c r="E4882" t="s">
        <v>1270</v>
      </c>
      <c r="F4882" t="s">
        <v>1459</v>
      </c>
      <c r="G4882" s="7" t="str">
        <f t="shared" si="381"/>
        <v>15-12</v>
      </c>
      <c r="H4882" s="1">
        <f>_xlfn.IFNA(VLOOKUP(E4882,'Urban Plastix Holds'!$I$36:$U$498,7,0),0)</f>
        <v>0</v>
      </c>
      <c r="J4882" s="2">
        <f t="shared" si="382"/>
        <v>0</v>
      </c>
      <c r="K4882" s="2">
        <f t="shared" si="383"/>
        <v>0</v>
      </c>
    </row>
    <row r="4883" spans="5:11">
      <c r="E4883" t="s">
        <v>1270</v>
      </c>
      <c r="F4883" t="s">
        <v>1459</v>
      </c>
      <c r="G4883" s="8" t="str">
        <f t="shared" si="381"/>
        <v>16-16</v>
      </c>
      <c r="H4883" s="1">
        <f>_xlfn.IFNA(VLOOKUP(E4883,'Urban Plastix Holds'!$I$36:$U$498,8,0),0)</f>
        <v>0</v>
      </c>
      <c r="J4883" s="2">
        <f t="shared" si="382"/>
        <v>0</v>
      </c>
      <c r="K4883" s="2">
        <f t="shared" si="383"/>
        <v>0</v>
      </c>
    </row>
    <row r="4884" spans="5:11">
      <c r="E4884" t="s">
        <v>1270</v>
      </c>
      <c r="F4884" t="s">
        <v>1459</v>
      </c>
      <c r="G4884" s="9" t="str">
        <f t="shared" si="381"/>
        <v>13-01</v>
      </c>
      <c r="H4884" s="1">
        <f>_xlfn.IFNA(VLOOKUP(E4884,'Urban Plastix Holds'!$I$36:$U$498,9,0),0)</f>
        <v>0</v>
      </c>
      <c r="J4884" s="2">
        <f t="shared" si="382"/>
        <v>0</v>
      </c>
      <c r="K4884" s="2">
        <f t="shared" si="383"/>
        <v>0</v>
      </c>
    </row>
    <row r="4885" spans="5:11">
      <c r="E4885" t="s">
        <v>1270</v>
      </c>
      <c r="F4885" t="s">
        <v>1459</v>
      </c>
      <c r="G4885" s="10" t="str">
        <f t="shared" si="381"/>
        <v>07-13</v>
      </c>
      <c r="H4885" s="1">
        <f>_xlfn.IFNA(VLOOKUP(E4885,'Urban Plastix Holds'!$I$36:$U$498,10,0),0)</f>
        <v>0</v>
      </c>
      <c r="J4885" s="2">
        <f t="shared" si="382"/>
        <v>0</v>
      </c>
      <c r="K4885" s="2">
        <f t="shared" si="383"/>
        <v>0</v>
      </c>
    </row>
    <row r="4886" spans="5:11">
      <c r="E4886" t="s">
        <v>1270</v>
      </c>
      <c r="F4886" t="s">
        <v>1459</v>
      </c>
      <c r="G4886" s="11" t="str">
        <f t="shared" si="381"/>
        <v>11-25</v>
      </c>
      <c r="H4886" s="1">
        <f>_xlfn.IFNA(VLOOKUP(E4886,'Urban Plastix Holds'!$I$36:$U$498,11,0),0)</f>
        <v>0</v>
      </c>
      <c r="J4886" s="2">
        <f t="shared" si="382"/>
        <v>0</v>
      </c>
      <c r="K4886" s="2">
        <f t="shared" si="383"/>
        <v>0</v>
      </c>
    </row>
    <row r="4887" spans="5:11">
      <c r="E4887" t="s">
        <v>1270</v>
      </c>
      <c r="F4887" t="s">
        <v>1459</v>
      </c>
      <c r="G4887" s="13" t="str">
        <f t="shared" si="381"/>
        <v>18-01</v>
      </c>
      <c r="H4887" s="1">
        <f>_xlfn.IFNA(VLOOKUP(E4887,'Urban Plastix Holds'!$I$36:$U$498,12,0),0)</f>
        <v>0</v>
      </c>
      <c r="J4887" s="2">
        <f t="shared" si="382"/>
        <v>0</v>
      </c>
      <c r="K4887" s="2">
        <f t="shared" si="383"/>
        <v>0</v>
      </c>
    </row>
    <row r="4888" spans="5:11">
      <c r="E4888" t="s">
        <v>1270</v>
      </c>
      <c r="F4888" t="s">
        <v>1459</v>
      </c>
      <c r="G4888" s="12" t="str">
        <f t="shared" ref="G4888:G4951" si="384">G4879</f>
        <v>12-01</v>
      </c>
      <c r="H4888" s="1">
        <f>_xlfn.IFNA(VLOOKUP(E4888,'Urban Plastix Holds'!$I$36:$U$498,13,0),0)</f>
        <v>0</v>
      </c>
      <c r="J4888" s="2">
        <f t="shared" si="382"/>
        <v>0</v>
      </c>
      <c r="K4888" s="2">
        <f t="shared" si="383"/>
        <v>0</v>
      </c>
    </row>
    <row r="4889" spans="5:11">
      <c r="E4889" t="s">
        <v>1324</v>
      </c>
      <c r="F4889" t="s">
        <v>1460</v>
      </c>
      <c r="G4889" s="5" t="str">
        <f t="shared" si="384"/>
        <v>11-12</v>
      </c>
      <c r="H4889" s="1">
        <f>_xlfn.IFNA(VLOOKUP(E4889,'Urban Plastix Holds'!$I$36:$U$498,5,0),0)</f>
        <v>0</v>
      </c>
      <c r="J4889" s="2">
        <f t="shared" si="382"/>
        <v>0</v>
      </c>
      <c r="K4889" s="2">
        <f t="shared" si="383"/>
        <v>0</v>
      </c>
    </row>
    <row r="4890" spans="5:11">
      <c r="E4890" t="s">
        <v>1324</v>
      </c>
      <c r="F4890" t="s">
        <v>1460</v>
      </c>
      <c r="G4890" s="6" t="str">
        <f t="shared" si="384"/>
        <v>14-01</v>
      </c>
      <c r="H4890" s="1">
        <f>_xlfn.IFNA(VLOOKUP(E4890,'Urban Plastix Holds'!$I$36:$U$498,6,0),0)</f>
        <v>0</v>
      </c>
      <c r="J4890" s="2">
        <f t="shared" si="382"/>
        <v>0</v>
      </c>
      <c r="K4890" s="2">
        <f t="shared" si="383"/>
        <v>0</v>
      </c>
    </row>
    <row r="4891" spans="5:11">
      <c r="E4891" t="s">
        <v>1324</v>
      </c>
      <c r="F4891" t="s">
        <v>1460</v>
      </c>
      <c r="G4891" s="7" t="str">
        <f t="shared" si="384"/>
        <v>15-12</v>
      </c>
      <c r="H4891" s="1">
        <f>_xlfn.IFNA(VLOOKUP(E4891,'Urban Plastix Holds'!$I$36:$U$498,7,0),0)</f>
        <v>0</v>
      </c>
      <c r="J4891" s="2">
        <f t="shared" si="382"/>
        <v>0</v>
      </c>
      <c r="K4891" s="2">
        <f t="shared" si="383"/>
        <v>0</v>
      </c>
    </row>
    <row r="4892" spans="5:11">
      <c r="E4892" t="s">
        <v>1324</v>
      </c>
      <c r="F4892" t="s">
        <v>1460</v>
      </c>
      <c r="G4892" s="8" t="str">
        <f t="shared" si="384"/>
        <v>16-16</v>
      </c>
      <c r="H4892" s="1">
        <f>_xlfn.IFNA(VLOOKUP(E4892,'Urban Plastix Holds'!$I$36:$U$498,8,0),0)</f>
        <v>0</v>
      </c>
      <c r="J4892" s="2">
        <f t="shared" si="382"/>
        <v>0</v>
      </c>
      <c r="K4892" s="2">
        <f t="shared" si="383"/>
        <v>0</v>
      </c>
    </row>
    <row r="4893" spans="5:11">
      <c r="E4893" t="s">
        <v>1324</v>
      </c>
      <c r="F4893" t="s">
        <v>1460</v>
      </c>
      <c r="G4893" s="9" t="str">
        <f t="shared" si="384"/>
        <v>13-01</v>
      </c>
      <c r="H4893" s="1">
        <f>_xlfn.IFNA(VLOOKUP(E4893,'Urban Plastix Holds'!$I$36:$U$498,9,0),0)</f>
        <v>0</v>
      </c>
      <c r="J4893" s="2">
        <f t="shared" si="382"/>
        <v>0</v>
      </c>
      <c r="K4893" s="2">
        <f t="shared" si="383"/>
        <v>0</v>
      </c>
    </row>
    <row r="4894" spans="5:11">
      <c r="E4894" t="s">
        <v>1324</v>
      </c>
      <c r="F4894" t="s">
        <v>1460</v>
      </c>
      <c r="G4894" s="10" t="str">
        <f t="shared" si="384"/>
        <v>07-13</v>
      </c>
      <c r="H4894" s="1">
        <f>_xlfn.IFNA(VLOOKUP(E4894,'Urban Plastix Holds'!$I$36:$U$498,10,0),0)</f>
        <v>0</v>
      </c>
      <c r="J4894" s="2">
        <f t="shared" si="382"/>
        <v>0</v>
      </c>
      <c r="K4894" s="2">
        <f t="shared" si="383"/>
        <v>0</v>
      </c>
    </row>
    <row r="4895" spans="5:11">
      <c r="E4895" t="s">
        <v>1324</v>
      </c>
      <c r="F4895" t="s">
        <v>1460</v>
      </c>
      <c r="G4895" s="11" t="str">
        <f t="shared" si="384"/>
        <v>11-25</v>
      </c>
      <c r="H4895" s="1">
        <f>_xlfn.IFNA(VLOOKUP(E4895,'Urban Plastix Holds'!$I$36:$U$498,11,0),0)</f>
        <v>0</v>
      </c>
      <c r="J4895" s="2">
        <f t="shared" si="382"/>
        <v>0</v>
      </c>
      <c r="K4895" s="2">
        <f t="shared" si="383"/>
        <v>0</v>
      </c>
    </row>
    <row r="4896" spans="5:11">
      <c r="E4896" t="s">
        <v>1324</v>
      </c>
      <c r="F4896" t="s">
        <v>1460</v>
      </c>
      <c r="G4896" s="13" t="str">
        <f t="shared" si="384"/>
        <v>18-01</v>
      </c>
      <c r="H4896" s="1">
        <f>_xlfn.IFNA(VLOOKUP(E4896,'Urban Plastix Holds'!$I$36:$U$498,12,0),0)</f>
        <v>0</v>
      </c>
      <c r="J4896" s="2">
        <f t="shared" si="382"/>
        <v>0</v>
      </c>
      <c r="K4896" s="2">
        <f t="shared" si="383"/>
        <v>0</v>
      </c>
    </row>
    <row r="4897" spans="5:11">
      <c r="E4897" t="s">
        <v>1324</v>
      </c>
      <c r="F4897" t="s">
        <v>1460</v>
      </c>
      <c r="G4897" s="12" t="str">
        <f t="shared" si="384"/>
        <v>12-01</v>
      </c>
      <c r="H4897" s="1">
        <f>_xlfn.IFNA(VLOOKUP(E4897,'Urban Plastix Holds'!$I$36:$U$498,13,0),0)</f>
        <v>0</v>
      </c>
      <c r="J4897" s="2">
        <f t="shared" si="382"/>
        <v>0</v>
      </c>
      <c r="K4897" s="2">
        <f t="shared" si="383"/>
        <v>0</v>
      </c>
    </row>
    <row r="4898" spans="5:11">
      <c r="E4898" t="s">
        <v>1323</v>
      </c>
      <c r="F4898" t="s">
        <v>1461</v>
      </c>
      <c r="G4898" s="5" t="str">
        <f t="shared" si="384"/>
        <v>11-12</v>
      </c>
      <c r="H4898" s="1">
        <f>_xlfn.IFNA(VLOOKUP(E4898,'Urban Plastix Holds'!$I$36:$U$498,5,0),0)</f>
        <v>0</v>
      </c>
      <c r="J4898" s="2">
        <f t="shared" si="382"/>
        <v>0</v>
      </c>
      <c r="K4898" s="2">
        <f t="shared" si="383"/>
        <v>0</v>
      </c>
    </row>
    <row r="4899" spans="5:11">
      <c r="E4899" t="s">
        <v>1323</v>
      </c>
      <c r="F4899" t="s">
        <v>1461</v>
      </c>
      <c r="G4899" s="6" t="str">
        <f t="shared" si="384"/>
        <v>14-01</v>
      </c>
      <c r="H4899" s="1">
        <f>_xlfn.IFNA(VLOOKUP(E4899,'Urban Plastix Holds'!$I$36:$U$498,6,0),0)</f>
        <v>0</v>
      </c>
      <c r="J4899" s="2">
        <f t="shared" si="382"/>
        <v>0</v>
      </c>
      <c r="K4899" s="2">
        <f t="shared" si="383"/>
        <v>0</v>
      </c>
    </row>
    <row r="4900" spans="5:11">
      <c r="E4900" t="s">
        <v>1323</v>
      </c>
      <c r="F4900" t="s">
        <v>1461</v>
      </c>
      <c r="G4900" s="7" t="str">
        <f t="shared" si="384"/>
        <v>15-12</v>
      </c>
      <c r="H4900" s="1">
        <f>_xlfn.IFNA(VLOOKUP(E4900,'Urban Plastix Holds'!$I$36:$U$498,7,0),0)</f>
        <v>0</v>
      </c>
      <c r="J4900" s="2">
        <f t="shared" si="382"/>
        <v>0</v>
      </c>
      <c r="K4900" s="2">
        <f t="shared" si="383"/>
        <v>0</v>
      </c>
    </row>
    <row r="4901" spans="5:11">
      <c r="E4901" t="s">
        <v>1323</v>
      </c>
      <c r="F4901" t="s">
        <v>1461</v>
      </c>
      <c r="G4901" s="8" t="str">
        <f t="shared" si="384"/>
        <v>16-16</v>
      </c>
      <c r="H4901" s="1">
        <f>_xlfn.IFNA(VLOOKUP(E4901,'Urban Plastix Holds'!$I$36:$U$498,8,0),0)</f>
        <v>0</v>
      </c>
      <c r="J4901" s="2">
        <f t="shared" si="382"/>
        <v>0</v>
      </c>
      <c r="K4901" s="2">
        <f t="shared" si="383"/>
        <v>0</v>
      </c>
    </row>
    <row r="4902" spans="5:11">
      <c r="E4902" t="s">
        <v>1323</v>
      </c>
      <c r="F4902" t="s">
        <v>1461</v>
      </c>
      <c r="G4902" s="9" t="str">
        <f t="shared" si="384"/>
        <v>13-01</v>
      </c>
      <c r="H4902" s="1">
        <f>_xlfn.IFNA(VLOOKUP(E4902,'Urban Plastix Holds'!$I$36:$U$498,9,0),0)</f>
        <v>0</v>
      </c>
      <c r="J4902" s="2">
        <f t="shared" si="382"/>
        <v>0</v>
      </c>
      <c r="K4902" s="2">
        <f t="shared" si="383"/>
        <v>0</v>
      </c>
    </row>
    <row r="4903" spans="5:11">
      <c r="E4903" t="s">
        <v>1323</v>
      </c>
      <c r="F4903" t="s">
        <v>1461</v>
      </c>
      <c r="G4903" s="10" t="str">
        <f t="shared" si="384"/>
        <v>07-13</v>
      </c>
      <c r="H4903" s="1">
        <f>_xlfn.IFNA(VLOOKUP(E4903,'Urban Plastix Holds'!$I$36:$U$498,10,0),0)</f>
        <v>0</v>
      </c>
      <c r="J4903" s="2">
        <f t="shared" si="382"/>
        <v>0</v>
      </c>
      <c r="K4903" s="2">
        <f t="shared" si="383"/>
        <v>0</v>
      </c>
    </row>
    <row r="4904" spans="5:11">
      <c r="E4904" t="s">
        <v>1323</v>
      </c>
      <c r="F4904" t="s">
        <v>1461</v>
      </c>
      <c r="G4904" s="11" t="str">
        <f t="shared" si="384"/>
        <v>11-25</v>
      </c>
      <c r="H4904" s="1">
        <f>_xlfn.IFNA(VLOOKUP(E4904,'Urban Plastix Holds'!$I$36:$U$498,11,0),0)</f>
        <v>0</v>
      </c>
      <c r="J4904" s="2">
        <f t="shared" si="382"/>
        <v>0</v>
      </c>
      <c r="K4904" s="2">
        <f t="shared" si="383"/>
        <v>0</v>
      </c>
    </row>
    <row r="4905" spans="5:11">
      <c r="E4905" t="s">
        <v>1323</v>
      </c>
      <c r="F4905" t="s">
        <v>1461</v>
      </c>
      <c r="G4905" s="13" t="str">
        <f t="shared" si="384"/>
        <v>18-01</v>
      </c>
      <c r="H4905" s="1">
        <f>_xlfn.IFNA(VLOOKUP(E4905,'Urban Plastix Holds'!$I$36:$U$498,12,0),0)</f>
        <v>0</v>
      </c>
      <c r="J4905" s="2">
        <f t="shared" si="382"/>
        <v>0</v>
      </c>
      <c r="K4905" s="2">
        <f t="shared" si="383"/>
        <v>0</v>
      </c>
    </row>
    <row r="4906" spans="5:11">
      <c r="E4906" t="s">
        <v>1323</v>
      </c>
      <c r="F4906" t="s">
        <v>1461</v>
      </c>
      <c r="G4906" s="12" t="str">
        <f t="shared" si="384"/>
        <v>12-01</v>
      </c>
      <c r="H4906" s="1">
        <f>_xlfn.IFNA(VLOOKUP(E4906,'Urban Plastix Holds'!$I$36:$U$498,13,0),0)</f>
        <v>0</v>
      </c>
      <c r="J4906" s="2">
        <f t="shared" si="382"/>
        <v>0</v>
      </c>
      <c r="K4906" s="2">
        <f t="shared" si="383"/>
        <v>0</v>
      </c>
    </row>
    <row r="4907" spans="5:11">
      <c r="E4907" t="s">
        <v>1268</v>
      </c>
      <c r="F4907" t="s">
        <v>1462</v>
      </c>
      <c r="G4907" s="5" t="str">
        <f t="shared" si="384"/>
        <v>11-12</v>
      </c>
      <c r="H4907" s="1">
        <f>_xlfn.IFNA(VLOOKUP(E4907,'Urban Plastix Holds'!$I$36:$U$498,5,0),0)</f>
        <v>0</v>
      </c>
      <c r="J4907" s="2">
        <f t="shared" si="382"/>
        <v>0</v>
      </c>
      <c r="K4907" s="2">
        <f t="shared" si="383"/>
        <v>0</v>
      </c>
    </row>
    <row r="4908" spans="5:11">
      <c r="E4908" t="s">
        <v>1268</v>
      </c>
      <c r="F4908" t="s">
        <v>1462</v>
      </c>
      <c r="G4908" s="6" t="str">
        <f t="shared" si="384"/>
        <v>14-01</v>
      </c>
      <c r="H4908" s="1">
        <f>_xlfn.IFNA(VLOOKUP(E4908,'Urban Plastix Holds'!$I$36:$U$498,6,0),0)</f>
        <v>0</v>
      </c>
      <c r="J4908" s="2">
        <f t="shared" si="382"/>
        <v>0</v>
      </c>
      <c r="K4908" s="2">
        <f t="shared" si="383"/>
        <v>0</v>
      </c>
    </row>
    <row r="4909" spans="5:11">
      <c r="E4909" t="s">
        <v>1268</v>
      </c>
      <c r="F4909" t="s">
        <v>1462</v>
      </c>
      <c r="G4909" s="7" t="str">
        <f t="shared" si="384"/>
        <v>15-12</v>
      </c>
      <c r="H4909" s="1">
        <f>_xlfn.IFNA(VLOOKUP(E4909,'Urban Plastix Holds'!$I$36:$U$498,7,0),0)</f>
        <v>0</v>
      </c>
      <c r="J4909" s="2">
        <f t="shared" si="382"/>
        <v>0</v>
      </c>
      <c r="K4909" s="2">
        <f t="shared" si="383"/>
        <v>0</v>
      </c>
    </row>
    <row r="4910" spans="5:11">
      <c r="E4910" t="s">
        <v>1268</v>
      </c>
      <c r="F4910" t="s">
        <v>1462</v>
      </c>
      <c r="G4910" s="8" t="str">
        <f t="shared" si="384"/>
        <v>16-16</v>
      </c>
      <c r="H4910" s="1">
        <f>_xlfn.IFNA(VLOOKUP(E4910,'Urban Plastix Holds'!$I$36:$U$498,8,0),0)</f>
        <v>0</v>
      </c>
      <c r="J4910" s="2">
        <f t="shared" ref="J4910:J4973" si="385">H4910*I4910</f>
        <v>0</v>
      </c>
      <c r="K4910" s="2">
        <f t="shared" ref="K4910:K4973" si="386">IF($V$11="Y",J4910*0.05,0)</f>
        <v>0</v>
      </c>
    </row>
    <row r="4911" spans="5:11">
      <c r="E4911" t="s">
        <v>1268</v>
      </c>
      <c r="F4911" t="s">
        <v>1462</v>
      </c>
      <c r="G4911" s="9" t="str">
        <f t="shared" si="384"/>
        <v>13-01</v>
      </c>
      <c r="H4911" s="1">
        <f>_xlfn.IFNA(VLOOKUP(E4911,'Urban Plastix Holds'!$I$36:$U$498,9,0),0)</f>
        <v>0</v>
      </c>
      <c r="J4911" s="2">
        <f t="shared" si="385"/>
        <v>0</v>
      </c>
      <c r="K4911" s="2">
        <f t="shared" si="386"/>
        <v>0</v>
      </c>
    </row>
    <row r="4912" spans="5:11">
      <c r="E4912" t="s">
        <v>1268</v>
      </c>
      <c r="F4912" t="s">
        <v>1462</v>
      </c>
      <c r="G4912" s="10" t="str">
        <f t="shared" si="384"/>
        <v>07-13</v>
      </c>
      <c r="H4912" s="1">
        <f>_xlfn.IFNA(VLOOKUP(E4912,'Urban Plastix Holds'!$I$36:$U$498,10,0),0)</f>
        <v>0</v>
      </c>
      <c r="J4912" s="2">
        <f t="shared" si="385"/>
        <v>0</v>
      </c>
      <c r="K4912" s="2">
        <f t="shared" si="386"/>
        <v>0</v>
      </c>
    </row>
    <row r="4913" spans="5:11">
      <c r="E4913" t="s">
        <v>1268</v>
      </c>
      <c r="F4913" t="s">
        <v>1462</v>
      </c>
      <c r="G4913" s="11" t="str">
        <f t="shared" si="384"/>
        <v>11-25</v>
      </c>
      <c r="H4913" s="1">
        <f>_xlfn.IFNA(VLOOKUP(E4913,'Urban Plastix Holds'!$I$36:$U$498,11,0),0)</f>
        <v>0</v>
      </c>
      <c r="J4913" s="2">
        <f t="shared" si="385"/>
        <v>0</v>
      </c>
      <c r="K4913" s="2">
        <f t="shared" si="386"/>
        <v>0</v>
      </c>
    </row>
    <row r="4914" spans="5:11">
      <c r="E4914" t="s">
        <v>1268</v>
      </c>
      <c r="F4914" t="s">
        <v>1462</v>
      </c>
      <c r="G4914" s="13" t="str">
        <f t="shared" si="384"/>
        <v>18-01</v>
      </c>
      <c r="H4914" s="1">
        <f>_xlfn.IFNA(VLOOKUP(E4914,'Urban Plastix Holds'!$I$36:$U$498,12,0),0)</f>
        <v>0</v>
      </c>
      <c r="J4914" s="2">
        <f t="shared" si="385"/>
        <v>0</v>
      </c>
      <c r="K4914" s="2">
        <f t="shared" si="386"/>
        <v>0</v>
      </c>
    </row>
    <row r="4915" spans="5:11">
      <c r="E4915" t="s">
        <v>1268</v>
      </c>
      <c r="F4915" t="s">
        <v>1462</v>
      </c>
      <c r="G4915" s="12" t="str">
        <f t="shared" si="384"/>
        <v>12-01</v>
      </c>
      <c r="H4915" s="1">
        <f>_xlfn.IFNA(VLOOKUP(E4915,'Urban Plastix Holds'!$I$36:$U$498,13,0),0)</f>
        <v>0</v>
      </c>
      <c r="J4915" s="2">
        <f t="shared" si="385"/>
        <v>0</v>
      </c>
      <c r="K4915" s="2">
        <f t="shared" si="386"/>
        <v>0</v>
      </c>
    </row>
    <row r="4916" spans="5:11">
      <c r="E4916" t="s">
        <v>1312</v>
      </c>
      <c r="F4916" t="s">
        <v>1463</v>
      </c>
      <c r="G4916" s="5" t="str">
        <f t="shared" si="384"/>
        <v>11-12</v>
      </c>
      <c r="H4916" s="1">
        <f>_xlfn.IFNA(VLOOKUP(E4916,'Urban Plastix Holds'!$I$36:$U$498,5,0),0)</f>
        <v>0</v>
      </c>
      <c r="J4916" s="2">
        <f t="shared" si="385"/>
        <v>0</v>
      </c>
      <c r="K4916" s="2">
        <f t="shared" si="386"/>
        <v>0</v>
      </c>
    </row>
    <row r="4917" spans="5:11">
      <c r="E4917" t="s">
        <v>1312</v>
      </c>
      <c r="F4917" t="s">
        <v>1463</v>
      </c>
      <c r="G4917" s="6" t="str">
        <f t="shared" si="384"/>
        <v>14-01</v>
      </c>
      <c r="H4917" s="1">
        <f>_xlfn.IFNA(VLOOKUP(E4917,'Urban Plastix Holds'!$I$36:$U$498,6,0),0)</f>
        <v>0</v>
      </c>
      <c r="J4917" s="2">
        <f t="shared" si="385"/>
        <v>0</v>
      </c>
      <c r="K4917" s="2">
        <f t="shared" si="386"/>
        <v>0</v>
      </c>
    </row>
    <row r="4918" spans="5:11">
      <c r="E4918" t="s">
        <v>1312</v>
      </c>
      <c r="F4918" t="s">
        <v>1463</v>
      </c>
      <c r="G4918" s="7" t="str">
        <f t="shared" si="384"/>
        <v>15-12</v>
      </c>
      <c r="H4918" s="1">
        <f>_xlfn.IFNA(VLOOKUP(E4918,'Urban Plastix Holds'!$I$36:$U$498,7,0),0)</f>
        <v>0</v>
      </c>
      <c r="J4918" s="2">
        <f t="shared" si="385"/>
        <v>0</v>
      </c>
      <c r="K4918" s="2">
        <f t="shared" si="386"/>
        <v>0</v>
      </c>
    </row>
    <row r="4919" spans="5:11">
      <c r="E4919" t="s">
        <v>1312</v>
      </c>
      <c r="F4919" t="s">
        <v>1463</v>
      </c>
      <c r="G4919" s="8" t="str">
        <f t="shared" si="384"/>
        <v>16-16</v>
      </c>
      <c r="H4919" s="1">
        <f>_xlfn.IFNA(VLOOKUP(E4919,'Urban Plastix Holds'!$I$36:$U$498,8,0),0)</f>
        <v>0</v>
      </c>
      <c r="J4919" s="2">
        <f t="shared" si="385"/>
        <v>0</v>
      </c>
      <c r="K4919" s="2">
        <f t="shared" si="386"/>
        <v>0</v>
      </c>
    </row>
    <row r="4920" spans="5:11">
      <c r="E4920" t="s">
        <v>1312</v>
      </c>
      <c r="F4920" t="s">
        <v>1463</v>
      </c>
      <c r="G4920" s="9" t="str">
        <f t="shared" si="384"/>
        <v>13-01</v>
      </c>
      <c r="H4920" s="1">
        <f>_xlfn.IFNA(VLOOKUP(E4920,'Urban Plastix Holds'!$I$36:$U$498,9,0),0)</f>
        <v>0</v>
      </c>
      <c r="J4920" s="2">
        <f t="shared" si="385"/>
        <v>0</v>
      </c>
      <c r="K4920" s="2">
        <f t="shared" si="386"/>
        <v>0</v>
      </c>
    </row>
    <row r="4921" spans="5:11">
      <c r="E4921" t="s">
        <v>1312</v>
      </c>
      <c r="F4921" t="s">
        <v>1463</v>
      </c>
      <c r="G4921" s="10" t="str">
        <f t="shared" si="384"/>
        <v>07-13</v>
      </c>
      <c r="H4921" s="1">
        <f>_xlfn.IFNA(VLOOKUP(E4921,'Urban Plastix Holds'!$I$36:$U$498,10,0),0)</f>
        <v>0</v>
      </c>
      <c r="J4921" s="2">
        <f t="shared" si="385"/>
        <v>0</v>
      </c>
      <c r="K4921" s="2">
        <f t="shared" si="386"/>
        <v>0</v>
      </c>
    </row>
    <row r="4922" spans="5:11">
      <c r="E4922" t="s">
        <v>1312</v>
      </c>
      <c r="F4922" t="s">
        <v>1463</v>
      </c>
      <c r="G4922" s="11" t="str">
        <f t="shared" si="384"/>
        <v>11-25</v>
      </c>
      <c r="H4922" s="1">
        <f>_xlfn.IFNA(VLOOKUP(E4922,'Urban Plastix Holds'!$I$36:$U$498,11,0),0)</f>
        <v>0</v>
      </c>
      <c r="J4922" s="2">
        <f t="shared" si="385"/>
        <v>0</v>
      </c>
      <c r="K4922" s="2">
        <f t="shared" si="386"/>
        <v>0</v>
      </c>
    </row>
    <row r="4923" spans="5:11">
      <c r="E4923" t="s">
        <v>1312</v>
      </c>
      <c r="F4923" t="s">
        <v>1463</v>
      </c>
      <c r="G4923" s="13" t="str">
        <f t="shared" si="384"/>
        <v>18-01</v>
      </c>
      <c r="H4923" s="1">
        <f>_xlfn.IFNA(VLOOKUP(E4923,'Urban Plastix Holds'!$I$36:$U$498,12,0),0)</f>
        <v>0</v>
      </c>
      <c r="J4923" s="2">
        <f t="shared" si="385"/>
        <v>0</v>
      </c>
      <c r="K4923" s="2">
        <f t="shared" si="386"/>
        <v>0</v>
      </c>
    </row>
    <row r="4924" spans="5:11">
      <c r="E4924" t="s">
        <v>1312</v>
      </c>
      <c r="F4924" t="s">
        <v>1463</v>
      </c>
      <c r="G4924" s="12" t="str">
        <f t="shared" si="384"/>
        <v>12-01</v>
      </c>
      <c r="H4924" s="1">
        <f>_xlfn.IFNA(VLOOKUP(E4924,'Urban Plastix Holds'!$I$36:$U$498,13,0),0)</f>
        <v>0</v>
      </c>
      <c r="J4924" s="2">
        <f t="shared" si="385"/>
        <v>0</v>
      </c>
      <c r="K4924" s="2">
        <f t="shared" si="386"/>
        <v>0</v>
      </c>
    </row>
    <row r="4925" spans="5:11">
      <c r="E4925" t="s">
        <v>1264</v>
      </c>
      <c r="F4925" t="s">
        <v>1464</v>
      </c>
      <c r="G4925" s="5" t="str">
        <f t="shared" si="384"/>
        <v>11-12</v>
      </c>
      <c r="H4925" s="1">
        <f>_xlfn.IFNA(VLOOKUP(E4925,'Urban Plastix Holds'!$I$36:$U$498,5,0),0)</f>
        <v>0</v>
      </c>
      <c r="J4925" s="2">
        <f t="shared" si="385"/>
        <v>0</v>
      </c>
      <c r="K4925" s="2">
        <f t="shared" si="386"/>
        <v>0</v>
      </c>
    </row>
    <row r="4926" spans="5:11">
      <c r="E4926" t="s">
        <v>1264</v>
      </c>
      <c r="F4926" t="s">
        <v>1464</v>
      </c>
      <c r="G4926" s="6" t="str">
        <f t="shared" si="384"/>
        <v>14-01</v>
      </c>
      <c r="H4926" s="1">
        <f>_xlfn.IFNA(VLOOKUP(E4926,'Urban Plastix Holds'!$I$36:$U$498,6,0),0)</f>
        <v>0</v>
      </c>
      <c r="J4926" s="2">
        <f t="shared" si="385"/>
        <v>0</v>
      </c>
      <c r="K4926" s="2">
        <f t="shared" si="386"/>
        <v>0</v>
      </c>
    </row>
    <row r="4927" spans="5:11">
      <c r="E4927" t="s">
        <v>1264</v>
      </c>
      <c r="F4927" t="s">
        <v>1464</v>
      </c>
      <c r="G4927" s="7" t="str">
        <f t="shared" si="384"/>
        <v>15-12</v>
      </c>
      <c r="H4927" s="1">
        <f>_xlfn.IFNA(VLOOKUP(E4927,'Urban Plastix Holds'!$I$36:$U$498,7,0),0)</f>
        <v>0</v>
      </c>
      <c r="J4927" s="2">
        <f t="shared" si="385"/>
        <v>0</v>
      </c>
      <c r="K4927" s="2">
        <f t="shared" si="386"/>
        <v>0</v>
      </c>
    </row>
    <row r="4928" spans="5:11">
      <c r="E4928" t="s">
        <v>1264</v>
      </c>
      <c r="F4928" t="s">
        <v>1464</v>
      </c>
      <c r="G4928" s="8" t="str">
        <f t="shared" si="384"/>
        <v>16-16</v>
      </c>
      <c r="H4928" s="1">
        <f>_xlfn.IFNA(VLOOKUP(E4928,'Urban Plastix Holds'!$I$36:$U$498,8,0),0)</f>
        <v>0</v>
      </c>
      <c r="J4928" s="2">
        <f t="shared" si="385"/>
        <v>0</v>
      </c>
      <c r="K4928" s="2">
        <f t="shared" si="386"/>
        <v>0</v>
      </c>
    </row>
    <row r="4929" spans="5:11">
      <c r="E4929" t="s">
        <v>1264</v>
      </c>
      <c r="F4929" t="s">
        <v>1464</v>
      </c>
      <c r="G4929" s="9" t="str">
        <f t="shared" si="384"/>
        <v>13-01</v>
      </c>
      <c r="H4929" s="1">
        <f>_xlfn.IFNA(VLOOKUP(E4929,'Urban Plastix Holds'!$I$36:$U$498,9,0),0)</f>
        <v>0</v>
      </c>
      <c r="J4929" s="2">
        <f t="shared" si="385"/>
        <v>0</v>
      </c>
      <c r="K4929" s="2">
        <f t="shared" si="386"/>
        <v>0</v>
      </c>
    </row>
    <row r="4930" spans="5:11">
      <c r="E4930" t="s">
        <v>1264</v>
      </c>
      <c r="F4930" t="s">
        <v>1464</v>
      </c>
      <c r="G4930" s="10" t="str">
        <f t="shared" si="384"/>
        <v>07-13</v>
      </c>
      <c r="H4930" s="1">
        <f>_xlfn.IFNA(VLOOKUP(E4930,'Urban Plastix Holds'!$I$36:$U$498,10,0),0)</f>
        <v>0</v>
      </c>
      <c r="J4930" s="2">
        <f t="shared" si="385"/>
        <v>0</v>
      </c>
      <c r="K4930" s="2">
        <f t="shared" si="386"/>
        <v>0</v>
      </c>
    </row>
    <row r="4931" spans="5:11">
      <c r="E4931" t="s">
        <v>1264</v>
      </c>
      <c r="F4931" t="s">
        <v>1464</v>
      </c>
      <c r="G4931" s="11" t="str">
        <f t="shared" si="384"/>
        <v>11-25</v>
      </c>
      <c r="H4931" s="1">
        <f>_xlfn.IFNA(VLOOKUP(E4931,'Urban Plastix Holds'!$I$36:$U$498,11,0),0)</f>
        <v>0</v>
      </c>
      <c r="J4931" s="2">
        <f t="shared" si="385"/>
        <v>0</v>
      </c>
      <c r="K4931" s="2">
        <f t="shared" si="386"/>
        <v>0</v>
      </c>
    </row>
    <row r="4932" spans="5:11">
      <c r="E4932" t="s">
        <v>1264</v>
      </c>
      <c r="F4932" t="s">
        <v>1464</v>
      </c>
      <c r="G4932" s="13" t="str">
        <f t="shared" si="384"/>
        <v>18-01</v>
      </c>
      <c r="H4932" s="1">
        <f>_xlfn.IFNA(VLOOKUP(E4932,'Urban Plastix Holds'!$I$36:$U$498,12,0),0)</f>
        <v>0</v>
      </c>
      <c r="J4932" s="2">
        <f t="shared" si="385"/>
        <v>0</v>
      </c>
      <c r="K4932" s="2">
        <f t="shared" si="386"/>
        <v>0</v>
      </c>
    </row>
    <row r="4933" spans="5:11">
      <c r="E4933" t="s">
        <v>1264</v>
      </c>
      <c r="F4933" t="s">
        <v>1464</v>
      </c>
      <c r="G4933" s="12" t="str">
        <f t="shared" si="384"/>
        <v>12-01</v>
      </c>
      <c r="H4933" s="1">
        <f>_xlfn.IFNA(VLOOKUP(E4933,'Urban Plastix Holds'!$I$36:$U$498,13,0),0)</f>
        <v>0</v>
      </c>
      <c r="J4933" s="2">
        <f t="shared" si="385"/>
        <v>0</v>
      </c>
      <c r="K4933" s="2">
        <f t="shared" si="386"/>
        <v>0</v>
      </c>
    </row>
    <row r="4934" spans="5:11">
      <c r="E4934" t="s">
        <v>1296</v>
      </c>
      <c r="F4934" t="s">
        <v>1465</v>
      </c>
      <c r="G4934" s="5" t="str">
        <f t="shared" si="384"/>
        <v>11-12</v>
      </c>
      <c r="H4934" s="1">
        <f>_xlfn.IFNA(VLOOKUP(E4934,'Urban Plastix Holds'!$I$36:$U$498,5,0),0)</f>
        <v>0</v>
      </c>
      <c r="J4934" s="2">
        <f t="shared" si="385"/>
        <v>0</v>
      </c>
      <c r="K4934" s="2">
        <f t="shared" si="386"/>
        <v>0</v>
      </c>
    </row>
    <row r="4935" spans="5:11">
      <c r="E4935" t="s">
        <v>1296</v>
      </c>
      <c r="F4935" t="s">
        <v>1465</v>
      </c>
      <c r="G4935" s="6" t="str">
        <f t="shared" si="384"/>
        <v>14-01</v>
      </c>
      <c r="H4935" s="1">
        <f>_xlfn.IFNA(VLOOKUP(E4935,'Urban Plastix Holds'!$I$36:$U$498,6,0),0)</f>
        <v>0</v>
      </c>
      <c r="J4935" s="2">
        <f t="shared" si="385"/>
        <v>0</v>
      </c>
      <c r="K4935" s="2">
        <f t="shared" si="386"/>
        <v>0</v>
      </c>
    </row>
    <row r="4936" spans="5:11">
      <c r="E4936" t="s">
        <v>1296</v>
      </c>
      <c r="F4936" t="s">
        <v>1465</v>
      </c>
      <c r="G4936" s="7" t="str">
        <f t="shared" si="384"/>
        <v>15-12</v>
      </c>
      <c r="H4936" s="1">
        <f>_xlfn.IFNA(VLOOKUP(E4936,'Urban Plastix Holds'!$I$36:$U$498,7,0),0)</f>
        <v>0</v>
      </c>
      <c r="J4936" s="2">
        <f t="shared" si="385"/>
        <v>0</v>
      </c>
      <c r="K4936" s="2">
        <f t="shared" si="386"/>
        <v>0</v>
      </c>
    </row>
    <row r="4937" spans="5:11">
      <c r="E4937" t="s">
        <v>1296</v>
      </c>
      <c r="F4937" t="s">
        <v>1465</v>
      </c>
      <c r="G4937" s="8" t="str">
        <f t="shared" si="384"/>
        <v>16-16</v>
      </c>
      <c r="H4937" s="1">
        <f>_xlfn.IFNA(VLOOKUP(E4937,'Urban Plastix Holds'!$I$36:$U$498,8,0),0)</f>
        <v>0</v>
      </c>
      <c r="J4937" s="2">
        <f t="shared" si="385"/>
        <v>0</v>
      </c>
      <c r="K4937" s="2">
        <f t="shared" si="386"/>
        <v>0</v>
      </c>
    </row>
    <row r="4938" spans="5:11">
      <c r="E4938" t="s">
        <v>1296</v>
      </c>
      <c r="F4938" t="s">
        <v>1465</v>
      </c>
      <c r="G4938" s="9" t="str">
        <f t="shared" si="384"/>
        <v>13-01</v>
      </c>
      <c r="H4938" s="1">
        <f>_xlfn.IFNA(VLOOKUP(E4938,'Urban Plastix Holds'!$I$36:$U$498,9,0),0)</f>
        <v>0</v>
      </c>
      <c r="J4938" s="2">
        <f t="shared" si="385"/>
        <v>0</v>
      </c>
      <c r="K4938" s="2">
        <f t="shared" si="386"/>
        <v>0</v>
      </c>
    </row>
    <row r="4939" spans="5:11">
      <c r="E4939" t="s">
        <v>1296</v>
      </c>
      <c r="F4939" t="s">
        <v>1465</v>
      </c>
      <c r="G4939" s="10" t="str">
        <f t="shared" si="384"/>
        <v>07-13</v>
      </c>
      <c r="H4939" s="1">
        <f>_xlfn.IFNA(VLOOKUP(E4939,'Urban Plastix Holds'!$I$36:$U$498,10,0),0)</f>
        <v>0</v>
      </c>
      <c r="J4939" s="2">
        <f t="shared" si="385"/>
        <v>0</v>
      </c>
      <c r="K4939" s="2">
        <f t="shared" si="386"/>
        <v>0</v>
      </c>
    </row>
    <row r="4940" spans="5:11">
      <c r="E4940" t="s">
        <v>1296</v>
      </c>
      <c r="F4940" t="s">
        <v>1465</v>
      </c>
      <c r="G4940" s="11" t="str">
        <f t="shared" si="384"/>
        <v>11-25</v>
      </c>
      <c r="H4940" s="1">
        <f>_xlfn.IFNA(VLOOKUP(E4940,'Urban Plastix Holds'!$I$36:$U$498,11,0),0)</f>
        <v>0</v>
      </c>
      <c r="J4940" s="2">
        <f t="shared" si="385"/>
        <v>0</v>
      </c>
      <c r="K4940" s="2">
        <f t="shared" si="386"/>
        <v>0</v>
      </c>
    </row>
    <row r="4941" spans="5:11">
      <c r="E4941" t="s">
        <v>1296</v>
      </c>
      <c r="F4941" t="s">
        <v>1465</v>
      </c>
      <c r="G4941" s="13" t="str">
        <f t="shared" si="384"/>
        <v>18-01</v>
      </c>
      <c r="H4941" s="1">
        <f>_xlfn.IFNA(VLOOKUP(E4941,'Urban Plastix Holds'!$I$36:$U$498,12,0),0)</f>
        <v>0</v>
      </c>
      <c r="J4941" s="2">
        <f t="shared" si="385"/>
        <v>0</v>
      </c>
      <c r="K4941" s="2">
        <f t="shared" si="386"/>
        <v>0</v>
      </c>
    </row>
    <row r="4942" spans="5:11">
      <c r="E4942" t="s">
        <v>1296</v>
      </c>
      <c r="F4942" t="s">
        <v>1465</v>
      </c>
      <c r="G4942" s="12" t="str">
        <f t="shared" si="384"/>
        <v>12-01</v>
      </c>
      <c r="H4942" s="1">
        <f>_xlfn.IFNA(VLOOKUP(E4942,'Urban Plastix Holds'!$I$36:$U$498,13,0),0)</f>
        <v>0</v>
      </c>
      <c r="J4942" s="2">
        <f t="shared" si="385"/>
        <v>0</v>
      </c>
      <c r="K4942" s="2">
        <f t="shared" si="386"/>
        <v>0</v>
      </c>
    </row>
    <row r="4943" spans="5:11">
      <c r="E4943" t="s">
        <v>1242</v>
      </c>
      <c r="F4943" t="s">
        <v>1466</v>
      </c>
      <c r="G4943" s="5" t="str">
        <f t="shared" si="384"/>
        <v>11-12</v>
      </c>
      <c r="H4943" s="1">
        <f>_xlfn.IFNA(VLOOKUP(E4943,'Urban Plastix Holds'!$I$36:$U$498,5,0),0)</f>
        <v>0</v>
      </c>
      <c r="J4943" s="2">
        <f t="shared" si="385"/>
        <v>0</v>
      </c>
      <c r="K4943" s="2">
        <f t="shared" si="386"/>
        <v>0</v>
      </c>
    </row>
    <row r="4944" spans="5:11">
      <c r="E4944" t="s">
        <v>1242</v>
      </c>
      <c r="F4944" t="s">
        <v>1466</v>
      </c>
      <c r="G4944" s="6" t="str">
        <f t="shared" si="384"/>
        <v>14-01</v>
      </c>
      <c r="H4944" s="1">
        <f>_xlfn.IFNA(VLOOKUP(E4944,'Urban Plastix Holds'!$I$36:$U$498,6,0),0)</f>
        <v>0</v>
      </c>
      <c r="J4944" s="2">
        <f t="shared" si="385"/>
        <v>0</v>
      </c>
      <c r="K4944" s="2">
        <f t="shared" si="386"/>
        <v>0</v>
      </c>
    </row>
    <row r="4945" spans="5:11">
      <c r="E4945" t="s">
        <v>1242</v>
      </c>
      <c r="F4945" t="s">
        <v>1466</v>
      </c>
      <c r="G4945" s="7" t="str">
        <f t="shared" si="384"/>
        <v>15-12</v>
      </c>
      <c r="H4945" s="1">
        <f>_xlfn.IFNA(VLOOKUP(E4945,'Urban Plastix Holds'!$I$36:$U$498,7,0),0)</f>
        <v>0</v>
      </c>
      <c r="J4945" s="2">
        <f t="shared" si="385"/>
        <v>0</v>
      </c>
      <c r="K4945" s="2">
        <f t="shared" si="386"/>
        <v>0</v>
      </c>
    </row>
    <row r="4946" spans="5:11">
      <c r="E4946" t="s">
        <v>1242</v>
      </c>
      <c r="F4946" t="s">
        <v>1466</v>
      </c>
      <c r="G4946" s="8" t="str">
        <f t="shared" si="384"/>
        <v>16-16</v>
      </c>
      <c r="H4946" s="1">
        <f>_xlfn.IFNA(VLOOKUP(E4946,'Urban Plastix Holds'!$I$36:$U$498,8,0),0)</f>
        <v>0</v>
      </c>
      <c r="J4946" s="2">
        <f t="shared" si="385"/>
        <v>0</v>
      </c>
      <c r="K4946" s="2">
        <f t="shared" si="386"/>
        <v>0</v>
      </c>
    </row>
    <row r="4947" spans="5:11">
      <c r="E4947" t="s">
        <v>1242</v>
      </c>
      <c r="F4947" t="s">
        <v>1466</v>
      </c>
      <c r="G4947" s="9" t="str">
        <f t="shared" si="384"/>
        <v>13-01</v>
      </c>
      <c r="H4947" s="1">
        <f>_xlfn.IFNA(VLOOKUP(E4947,'Urban Plastix Holds'!$I$36:$U$498,9,0),0)</f>
        <v>0</v>
      </c>
      <c r="J4947" s="2">
        <f t="shared" si="385"/>
        <v>0</v>
      </c>
      <c r="K4947" s="2">
        <f t="shared" si="386"/>
        <v>0</v>
      </c>
    </row>
    <row r="4948" spans="5:11">
      <c r="E4948" t="s">
        <v>1242</v>
      </c>
      <c r="F4948" t="s">
        <v>1466</v>
      </c>
      <c r="G4948" s="10" t="str">
        <f t="shared" si="384"/>
        <v>07-13</v>
      </c>
      <c r="H4948" s="1">
        <f>_xlfn.IFNA(VLOOKUP(E4948,'Urban Plastix Holds'!$I$36:$U$498,10,0),0)</f>
        <v>0</v>
      </c>
      <c r="J4948" s="2">
        <f t="shared" si="385"/>
        <v>0</v>
      </c>
      <c r="K4948" s="2">
        <f t="shared" si="386"/>
        <v>0</v>
      </c>
    </row>
    <row r="4949" spans="5:11">
      <c r="E4949" t="s">
        <v>1242</v>
      </c>
      <c r="F4949" t="s">
        <v>1466</v>
      </c>
      <c r="G4949" s="11" t="str">
        <f t="shared" si="384"/>
        <v>11-25</v>
      </c>
      <c r="H4949" s="1">
        <f>_xlfn.IFNA(VLOOKUP(E4949,'Urban Plastix Holds'!$I$36:$U$498,11,0),0)</f>
        <v>0</v>
      </c>
      <c r="J4949" s="2">
        <f t="shared" si="385"/>
        <v>0</v>
      </c>
      <c r="K4949" s="2">
        <f t="shared" si="386"/>
        <v>0</v>
      </c>
    </row>
    <row r="4950" spans="5:11">
      <c r="E4950" t="s">
        <v>1242</v>
      </c>
      <c r="F4950" t="s">
        <v>1466</v>
      </c>
      <c r="G4950" s="13" t="str">
        <f t="shared" si="384"/>
        <v>18-01</v>
      </c>
      <c r="H4950" s="1">
        <f>_xlfn.IFNA(VLOOKUP(E4950,'Urban Plastix Holds'!$I$36:$U$498,12,0),0)</f>
        <v>0</v>
      </c>
      <c r="J4950" s="2">
        <f t="shared" si="385"/>
        <v>0</v>
      </c>
      <c r="K4950" s="2">
        <f t="shared" si="386"/>
        <v>0</v>
      </c>
    </row>
    <row r="4951" spans="5:11">
      <c r="E4951" t="s">
        <v>1242</v>
      </c>
      <c r="F4951" t="s">
        <v>1466</v>
      </c>
      <c r="G4951" s="12" t="str">
        <f t="shared" si="384"/>
        <v>12-01</v>
      </c>
      <c r="H4951" s="1">
        <f>_xlfn.IFNA(VLOOKUP(E4951,'Urban Plastix Holds'!$I$36:$U$498,13,0),0)</f>
        <v>0</v>
      </c>
      <c r="J4951" s="2">
        <f t="shared" si="385"/>
        <v>0</v>
      </c>
      <c r="K4951" s="2">
        <f t="shared" si="386"/>
        <v>0</v>
      </c>
    </row>
    <row r="4952" spans="5:11">
      <c r="E4952" t="s">
        <v>1261</v>
      </c>
      <c r="F4952" t="s">
        <v>1467</v>
      </c>
      <c r="G4952" s="5" t="str">
        <f t="shared" ref="G4952:G5015" si="387">G4943</f>
        <v>11-12</v>
      </c>
      <c r="H4952" s="1">
        <f>_xlfn.IFNA(VLOOKUP(E4952,'Urban Plastix Holds'!$I$36:$U$498,5,0),0)</f>
        <v>0</v>
      </c>
      <c r="J4952" s="2">
        <f t="shared" si="385"/>
        <v>0</v>
      </c>
      <c r="K4952" s="2">
        <f t="shared" si="386"/>
        <v>0</v>
      </c>
    </row>
    <row r="4953" spans="5:11">
      <c r="E4953" t="s">
        <v>1261</v>
      </c>
      <c r="F4953" t="s">
        <v>1467</v>
      </c>
      <c r="G4953" s="6" t="str">
        <f t="shared" si="387"/>
        <v>14-01</v>
      </c>
      <c r="H4953" s="1">
        <f>_xlfn.IFNA(VLOOKUP(E4953,'Urban Plastix Holds'!$I$36:$U$498,6,0),0)</f>
        <v>0</v>
      </c>
      <c r="J4953" s="2">
        <f t="shared" si="385"/>
        <v>0</v>
      </c>
      <c r="K4953" s="2">
        <f t="shared" si="386"/>
        <v>0</v>
      </c>
    </row>
    <row r="4954" spans="5:11">
      <c r="E4954" t="s">
        <v>1261</v>
      </c>
      <c r="F4954" t="s">
        <v>1467</v>
      </c>
      <c r="G4954" s="7" t="str">
        <f t="shared" si="387"/>
        <v>15-12</v>
      </c>
      <c r="H4954" s="1">
        <f>_xlfn.IFNA(VLOOKUP(E4954,'Urban Plastix Holds'!$I$36:$U$498,7,0),0)</f>
        <v>0</v>
      </c>
      <c r="J4954" s="2">
        <f t="shared" si="385"/>
        <v>0</v>
      </c>
      <c r="K4954" s="2">
        <f t="shared" si="386"/>
        <v>0</v>
      </c>
    </row>
    <row r="4955" spans="5:11">
      <c r="E4955" t="s">
        <v>1261</v>
      </c>
      <c r="F4955" t="s">
        <v>1467</v>
      </c>
      <c r="G4955" s="8" t="str">
        <f t="shared" si="387"/>
        <v>16-16</v>
      </c>
      <c r="H4955" s="1">
        <f>_xlfn.IFNA(VLOOKUP(E4955,'Urban Plastix Holds'!$I$36:$U$498,8,0),0)</f>
        <v>0</v>
      </c>
      <c r="J4955" s="2">
        <f t="shared" si="385"/>
        <v>0</v>
      </c>
      <c r="K4955" s="2">
        <f t="shared" si="386"/>
        <v>0</v>
      </c>
    </row>
    <row r="4956" spans="5:11">
      <c r="E4956" t="s">
        <v>1261</v>
      </c>
      <c r="F4956" t="s">
        <v>1467</v>
      </c>
      <c r="G4956" s="9" t="str">
        <f t="shared" si="387"/>
        <v>13-01</v>
      </c>
      <c r="H4956" s="1">
        <f>_xlfn.IFNA(VLOOKUP(E4956,'Urban Plastix Holds'!$I$36:$U$498,9,0),0)</f>
        <v>0</v>
      </c>
      <c r="J4956" s="2">
        <f t="shared" si="385"/>
        <v>0</v>
      </c>
      <c r="K4956" s="2">
        <f t="shared" si="386"/>
        <v>0</v>
      </c>
    </row>
    <row r="4957" spans="5:11">
      <c r="E4957" t="s">
        <v>1261</v>
      </c>
      <c r="F4957" t="s">
        <v>1467</v>
      </c>
      <c r="G4957" s="10" t="str">
        <f t="shared" si="387"/>
        <v>07-13</v>
      </c>
      <c r="H4957" s="1">
        <f>_xlfn.IFNA(VLOOKUP(E4957,'Urban Plastix Holds'!$I$36:$U$498,10,0),0)</f>
        <v>0</v>
      </c>
      <c r="J4957" s="2">
        <f t="shared" si="385"/>
        <v>0</v>
      </c>
      <c r="K4957" s="2">
        <f t="shared" si="386"/>
        <v>0</v>
      </c>
    </row>
    <row r="4958" spans="5:11">
      <c r="E4958" t="s">
        <v>1261</v>
      </c>
      <c r="F4958" t="s">
        <v>1467</v>
      </c>
      <c r="G4958" s="11" t="str">
        <f t="shared" si="387"/>
        <v>11-25</v>
      </c>
      <c r="H4958" s="1">
        <f>_xlfn.IFNA(VLOOKUP(E4958,'Urban Plastix Holds'!$I$36:$U$498,11,0),0)</f>
        <v>0</v>
      </c>
      <c r="J4958" s="2">
        <f t="shared" si="385"/>
        <v>0</v>
      </c>
      <c r="K4958" s="2">
        <f t="shared" si="386"/>
        <v>0</v>
      </c>
    </row>
    <row r="4959" spans="5:11">
      <c r="E4959" t="s">
        <v>1261</v>
      </c>
      <c r="F4959" t="s">
        <v>1467</v>
      </c>
      <c r="G4959" s="13" t="str">
        <f t="shared" si="387"/>
        <v>18-01</v>
      </c>
      <c r="H4959" s="1">
        <f>_xlfn.IFNA(VLOOKUP(E4959,'Urban Plastix Holds'!$I$36:$U$498,12,0),0)</f>
        <v>0</v>
      </c>
      <c r="J4959" s="2">
        <f t="shared" si="385"/>
        <v>0</v>
      </c>
      <c r="K4959" s="2">
        <f t="shared" si="386"/>
        <v>0</v>
      </c>
    </row>
    <row r="4960" spans="5:11">
      <c r="E4960" t="s">
        <v>1261</v>
      </c>
      <c r="F4960" t="s">
        <v>1467</v>
      </c>
      <c r="G4960" s="12" t="str">
        <f t="shared" si="387"/>
        <v>12-01</v>
      </c>
      <c r="H4960" s="1">
        <f>_xlfn.IFNA(VLOOKUP(E4960,'Urban Plastix Holds'!$I$36:$U$498,13,0),0)</f>
        <v>0</v>
      </c>
      <c r="J4960" s="2">
        <f t="shared" si="385"/>
        <v>0</v>
      </c>
      <c r="K4960" s="2">
        <f t="shared" si="386"/>
        <v>0</v>
      </c>
    </row>
    <row r="4961" spans="5:11">
      <c r="E4961" t="s">
        <v>1262</v>
      </c>
      <c r="F4961" t="s">
        <v>1468</v>
      </c>
      <c r="G4961" s="5" t="str">
        <f t="shared" si="387"/>
        <v>11-12</v>
      </c>
      <c r="H4961" s="1">
        <f>_xlfn.IFNA(VLOOKUP(E4961,'Urban Plastix Holds'!$I$36:$U$498,5,0),0)</f>
        <v>0</v>
      </c>
      <c r="J4961" s="2">
        <f t="shared" si="385"/>
        <v>0</v>
      </c>
      <c r="K4961" s="2">
        <f t="shared" si="386"/>
        <v>0</v>
      </c>
    </row>
    <row r="4962" spans="5:11">
      <c r="E4962" t="s">
        <v>1262</v>
      </c>
      <c r="F4962" t="s">
        <v>1468</v>
      </c>
      <c r="G4962" s="6" t="str">
        <f t="shared" si="387"/>
        <v>14-01</v>
      </c>
      <c r="H4962" s="1">
        <f>_xlfn.IFNA(VLOOKUP(E4962,'Urban Plastix Holds'!$I$36:$U$498,6,0),0)</f>
        <v>0</v>
      </c>
      <c r="J4962" s="2">
        <f t="shared" si="385"/>
        <v>0</v>
      </c>
      <c r="K4962" s="2">
        <f t="shared" si="386"/>
        <v>0</v>
      </c>
    </row>
    <row r="4963" spans="5:11">
      <c r="E4963" t="s">
        <v>1262</v>
      </c>
      <c r="F4963" t="s">
        <v>1468</v>
      </c>
      <c r="G4963" s="7" t="str">
        <f t="shared" si="387"/>
        <v>15-12</v>
      </c>
      <c r="H4963" s="1">
        <f>_xlfn.IFNA(VLOOKUP(E4963,'Urban Plastix Holds'!$I$36:$U$498,7,0),0)</f>
        <v>0</v>
      </c>
      <c r="J4963" s="2">
        <f t="shared" si="385"/>
        <v>0</v>
      </c>
      <c r="K4963" s="2">
        <f t="shared" si="386"/>
        <v>0</v>
      </c>
    </row>
    <row r="4964" spans="5:11">
      <c r="E4964" t="s">
        <v>1262</v>
      </c>
      <c r="F4964" t="s">
        <v>1468</v>
      </c>
      <c r="G4964" s="8" t="str">
        <f t="shared" si="387"/>
        <v>16-16</v>
      </c>
      <c r="H4964" s="1">
        <f>_xlfn.IFNA(VLOOKUP(E4964,'Urban Plastix Holds'!$I$36:$U$498,8,0),0)</f>
        <v>0</v>
      </c>
      <c r="J4964" s="2">
        <f t="shared" si="385"/>
        <v>0</v>
      </c>
      <c r="K4964" s="2">
        <f t="shared" si="386"/>
        <v>0</v>
      </c>
    </row>
    <row r="4965" spans="5:11">
      <c r="E4965" t="s">
        <v>1262</v>
      </c>
      <c r="F4965" t="s">
        <v>1468</v>
      </c>
      <c r="G4965" s="9" t="str">
        <f t="shared" si="387"/>
        <v>13-01</v>
      </c>
      <c r="H4965" s="1">
        <f>_xlfn.IFNA(VLOOKUP(E4965,'Urban Plastix Holds'!$I$36:$U$498,9,0),0)</f>
        <v>0</v>
      </c>
      <c r="J4965" s="2">
        <f t="shared" si="385"/>
        <v>0</v>
      </c>
      <c r="K4965" s="2">
        <f t="shared" si="386"/>
        <v>0</v>
      </c>
    </row>
    <row r="4966" spans="5:11">
      <c r="E4966" t="s">
        <v>1262</v>
      </c>
      <c r="F4966" t="s">
        <v>1468</v>
      </c>
      <c r="G4966" s="10" t="str">
        <f t="shared" si="387"/>
        <v>07-13</v>
      </c>
      <c r="H4966" s="1">
        <f>_xlfn.IFNA(VLOOKUP(E4966,'Urban Plastix Holds'!$I$36:$U$498,10,0),0)</f>
        <v>0</v>
      </c>
      <c r="J4966" s="2">
        <f t="shared" si="385"/>
        <v>0</v>
      </c>
      <c r="K4966" s="2">
        <f t="shared" si="386"/>
        <v>0</v>
      </c>
    </row>
    <row r="4967" spans="5:11">
      <c r="E4967" t="s">
        <v>1262</v>
      </c>
      <c r="F4967" t="s">
        <v>1468</v>
      </c>
      <c r="G4967" s="11" t="str">
        <f t="shared" si="387"/>
        <v>11-25</v>
      </c>
      <c r="H4967" s="1">
        <f>_xlfn.IFNA(VLOOKUP(E4967,'Urban Plastix Holds'!$I$36:$U$498,11,0),0)</f>
        <v>0</v>
      </c>
      <c r="J4967" s="2">
        <f t="shared" si="385"/>
        <v>0</v>
      </c>
      <c r="K4967" s="2">
        <f t="shared" si="386"/>
        <v>0</v>
      </c>
    </row>
    <row r="4968" spans="5:11">
      <c r="E4968" t="s">
        <v>1262</v>
      </c>
      <c r="F4968" t="s">
        <v>1468</v>
      </c>
      <c r="G4968" s="13" t="str">
        <f t="shared" si="387"/>
        <v>18-01</v>
      </c>
      <c r="H4968" s="1">
        <f>_xlfn.IFNA(VLOOKUP(E4968,'Urban Plastix Holds'!$I$36:$U$498,12,0),0)</f>
        <v>0</v>
      </c>
      <c r="J4968" s="2">
        <f t="shared" si="385"/>
        <v>0</v>
      </c>
      <c r="K4968" s="2">
        <f t="shared" si="386"/>
        <v>0</v>
      </c>
    </row>
    <row r="4969" spans="5:11">
      <c r="E4969" t="s">
        <v>1262</v>
      </c>
      <c r="F4969" t="s">
        <v>1468</v>
      </c>
      <c r="G4969" s="12" t="str">
        <f t="shared" si="387"/>
        <v>12-01</v>
      </c>
      <c r="H4969" s="1">
        <f>_xlfn.IFNA(VLOOKUP(E4969,'Urban Plastix Holds'!$I$36:$U$498,13,0),0)</f>
        <v>0</v>
      </c>
      <c r="J4969" s="2">
        <f t="shared" si="385"/>
        <v>0</v>
      </c>
      <c r="K4969" s="2">
        <f t="shared" si="386"/>
        <v>0</v>
      </c>
    </row>
    <row r="4970" spans="5:11">
      <c r="E4970" t="s">
        <v>1263</v>
      </c>
      <c r="F4970" t="s">
        <v>1469</v>
      </c>
      <c r="G4970" s="5" t="str">
        <f t="shared" si="387"/>
        <v>11-12</v>
      </c>
      <c r="H4970" s="1">
        <f>_xlfn.IFNA(VLOOKUP(E4970,'Urban Plastix Holds'!$I$36:$U$498,5,0),0)</f>
        <v>0</v>
      </c>
      <c r="J4970" s="2">
        <f t="shared" si="385"/>
        <v>0</v>
      </c>
      <c r="K4970" s="2">
        <f t="shared" si="386"/>
        <v>0</v>
      </c>
    </row>
    <row r="4971" spans="5:11">
      <c r="E4971" t="s">
        <v>1263</v>
      </c>
      <c r="F4971" t="s">
        <v>1469</v>
      </c>
      <c r="G4971" s="6" t="str">
        <f t="shared" si="387"/>
        <v>14-01</v>
      </c>
      <c r="H4971" s="1">
        <f>_xlfn.IFNA(VLOOKUP(E4971,'Urban Plastix Holds'!$I$36:$U$498,6,0),0)</f>
        <v>0</v>
      </c>
      <c r="J4971" s="2">
        <f t="shared" si="385"/>
        <v>0</v>
      </c>
      <c r="K4971" s="2">
        <f t="shared" si="386"/>
        <v>0</v>
      </c>
    </row>
    <row r="4972" spans="5:11">
      <c r="E4972" t="s">
        <v>1263</v>
      </c>
      <c r="F4972" t="s">
        <v>1469</v>
      </c>
      <c r="G4972" s="7" t="str">
        <f t="shared" si="387"/>
        <v>15-12</v>
      </c>
      <c r="H4972" s="1">
        <f>_xlfn.IFNA(VLOOKUP(E4972,'Urban Plastix Holds'!$I$36:$U$498,7,0),0)</f>
        <v>0</v>
      </c>
      <c r="J4972" s="2">
        <f t="shared" si="385"/>
        <v>0</v>
      </c>
      <c r="K4972" s="2">
        <f t="shared" si="386"/>
        <v>0</v>
      </c>
    </row>
    <row r="4973" spans="5:11">
      <c r="E4973" t="s">
        <v>1263</v>
      </c>
      <c r="F4973" t="s">
        <v>1469</v>
      </c>
      <c r="G4973" s="8" t="str">
        <f t="shared" si="387"/>
        <v>16-16</v>
      </c>
      <c r="H4973" s="1">
        <f>_xlfn.IFNA(VLOOKUP(E4973,'Urban Plastix Holds'!$I$36:$U$498,8,0),0)</f>
        <v>0</v>
      </c>
      <c r="J4973" s="2">
        <f t="shared" si="385"/>
        <v>0</v>
      </c>
      <c r="K4973" s="2">
        <f t="shared" si="386"/>
        <v>0</v>
      </c>
    </row>
    <row r="4974" spans="5:11">
      <c r="E4974" t="s">
        <v>1263</v>
      </c>
      <c r="F4974" t="s">
        <v>1469</v>
      </c>
      <c r="G4974" s="9" t="str">
        <f t="shared" si="387"/>
        <v>13-01</v>
      </c>
      <c r="H4974" s="1">
        <f>_xlfn.IFNA(VLOOKUP(E4974,'Urban Plastix Holds'!$I$36:$U$498,9,0),0)</f>
        <v>0</v>
      </c>
      <c r="J4974" s="2">
        <f t="shared" ref="J4974:J5037" si="388">H4974*I4974</f>
        <v>0</v>
      </c>
      <c r="K4974" s="2">
        <f t="shared" ref="K4974:K5037" si="389">IF($V$11="Y",J4974*0.05,0)</f>
        <v>0</v>
      </c>
    </row>
    <row r="4975" spans="5:11">
      <c r="E4975" t="s">
        <v>1263</v>
      </c>
      <c r="F4975" t="s">
        <v>1469</v>
      </c>
      <c r="G4975" s="10" t="str">
        <f t="shared" si="387"/>
        <v>07-13</v>
      </c>
      <c r="H4975" s="1">
        <f>_xlfn.IFNA(VLOOKUP(E4975,'Urban Plastix Holds'!$I$36:$U$498,10,0),0)</f>
        <v>0</v>
      </c>
      <c r="J4975" s="2">
        <f t="shared" si="388"/>
        <v>0</v>
      </c>
      <c r="K4975" s="2">
        <f t="shared" si="389"/>
        <v>0</v>
      </c>
    </row>
    <row r="4976" spans="5:11">
      <c r="E4976" t="s">
        <v>1263</v>
      </c>
      <c r="F4976" t="s">
        <v>1469</v>
      </c>
      <c r="G4976" s="11" t="str">
        <f t="shared" si="387"/>
        <v>11-25</v>
      </c>
      <c r="H4976" s="1">
        <f>_xlfn.IFNA(VLOOKUP(E4976,'Urban Plastix Holds'!$I$36:$U$498,11,0),0)</f>
        <v>0</v>
      </c>
      <c r="J4976" s="2">
        <f t="shared" si="388"/>
        <v>0</v>
      </c>
      <c r="K4976" s="2">
        <f t="shared" si="389"/>
        <v>0</v>
      </c>
    </row>
    <row r="4977" spans="5:11">
      <c r="E4977" t="s">
        <v>1263</v>
      </c>
      <c r="F4977" t="s">
        <v>1469</v>
      </c>
      <c r="G4977" s="13" t="str">
        <f t="shared" si="387"/>
        <v>18-01</v>
      </c>
      <c r="H4977" s="1">
        <f>_xlfn.IFNA(VLOOKUP(E4977,'Urban Plastix Holds'!$I$36:$U$498,12,0),0)</f>
        <v>0</v>
      </c>
      <c r="J4977" s="2">
        <f t="shared" si="388"/>
        <v>0</v>
      </c>
      <c r="K4977" s="2">
        <f t="shared" si="389"/>
        <v>0</v>
      </c>
    </row>
    <row r="4978" spans="5:11">
      <c r="E4978" t="s">
        <v>1263</v>
      </c>
      <c r="F4978" t="s">
        <v>1469</v>
      </c>
      <c r="G4978" s="12" t="str">
        <f t="shared" si="387"/>
        <v>12-01</v>
      </c>
      <c r="H4978" s="1">
        <f>_xlfn.IFNA(VLOOKUP(E4978,'Urban Plastix Holds'!$I$36:$U$498,13,0),0)</f>
        <v>0</v>
      </c>
      <c r="J4978" s="2">
        <f t="shared" si="388"/>
        <v>0</v>
      </c>
      <c r="K4978" s="2">
        <f t="shared" si="389"/>
        <v>0</v>
      </c>
    </row>
    <row r="4979" spans="5:11">
      <c r="E4979" t="s">
        <v>1295</v>
      </c>
      <c r="F4979" t="s">
        <v>1470</v>
      </c>
      <c r="G4979" s="5" t="str">
        <f t="shared" si="387"/>
        <v>11-12</v>
      </c>
      <c r="H4979" s="1">
        <f>_xlfn.IFNA(VLOOKUP(E4979,'Urban Plastix Holds'!$I$36:$U$498,5,0),0)</f>
        <v>0</v>
      </c>
      <c r="J4979" s="2">
        <f t="shared" si="388"/>
        <v>0</v>
      </c>
      <c r="K4979" s="2">
        <f t="shared" si="389"/>
        <v>0</v>
      </c>
    </row>
    <row r="4980" spans="5:11">
      <c r="E4980" t="s">
        <v>1295</v>
      </c>
      <c r="F4980" t="s">
        <v>1470</v>
      </c>
      <c r="G4980" s="6" t="str">
        <f t="shared" si="387"/>
        <v>14-01</v>
      </c>
      <c r="H4980" s="1">
        <f>_xlfn.IFNA(VLOOKUP(E4980,'Urban Plastix Holds'!$I$36:$U$498,6,0),0)</f>
        <v>0</v>
      </c>
      <c r="J4980" s="2">
        <f t="shared" si="388"/>
        <v>0</v>
      </c>
      <c r="K4980" s="2">
        <f t="shared" si="389"/>
        <v>0</v>
      </c>
    </row>
    <row r="4981" spans="5:11">
      <c r="E4981" t="s">
        <v>1295</v>
      </c>
      <c r="F4981" t="s">
        <v>1470</v>
      </c>
      <c r="G4981" s="7" t="str">
        <f t="shared" si="387"/>
        <v>15-12</v>
      </c>
      <c r="H4981" s="1">
        <f>_xlfn.IFNA(VLOOKUP(E4981,'Urban Plastix Holds'!$I$36:$U$498,7,0),0)</f>
        <v>0</v>
      </c>
      <c r="J4981" s="2">
        <f t="shared" si="388"/>
        <v>0</v>
      </c>
      <c r="K4981" s="2">
        <f t="shared" si="389"/>
        <v>0</v>
      </c>
    </row>
    <row r="4982" spans="5:11">
      <c r="E4982" t="s">
        <v>1295</v>
      </c>
      <c r="F4982" t="s">
        <v>1470</v>
      </c>
      <c r="G4982" s="8" t="str">
        <f t="shared" si="387"/>
        <v>16-16</v>
      </c>
      <c r="H4982" s="1">
        <f>_xlfn.IFNA(VLOOKUP(E4982,'Urban Plastix Holds'!$I$36:$U$498,8,0),0)</f>
        <v>0</v>
      </c>
      <c r="J4982" s="2">
        <f t="shared" si="388"/>
        <v>0</v>
      </c>
      <c r="K4982" s="2">
        <f t="shared" si="389"/>
        <v>0</v>
      </c>
    </row>
    <row r="4983" spans="5:11">
      <c r="E4983" t="s">
        <v>1295</v>
      </c>
      <c r="F4983" t="s">
        <v>1470</v>
      </c>
      <c r="G4983" s="9" t="str">
        <f t="shared" si="387"/>
        <v>13-01</v>
      </c>
      <c r="H4983" s="1">
        <f>_xlfn.IFNA(VLOOKUP(E4983,'Urban Plastix Holds'!$I$36:$U$498,9,0),0)</f>
        <v>0</v>
      </c>
      <c r="J4983" s="2">
        <f t="shared" si="388"/>
        <v>0</v>
      </c>
      <c r="K4983" s="2">
        <f t="shared" si="389"/>
        <v>0</v>
      </c>
    </row>
    <row r="4984" spans="5:11">
      <c r="E4984" t="s">
        <v>1295</v>
      </c>
      <c r="F4984" t="s">
        <v>1470</v>
      </c>
      <c r="G4984" s="10" t="str">
        <f t="shared" si="387"/>
        <v>07-13</v>
      </c>
      <c r="H4984" s="1">
        <f>_xlfn.IFNA(VLOOKUP(E4984,'Urban Plastix Holds'!$I$36:$U$498,10,0),0)</f>
        <v>0</v>
      </c>
      <c r="J4984" s="2">
        <f t="shared" si="388"/>
        <v>0</v>
      </c>
      <c r="K4984" s="2">
        <f t="shared" si="389"/>
        <v>0</v>
      </c>
    </row>
    <row r="4985" spans="5:11">
      <c r="E4985" t="s">
        <v>1295</v>
      </c>
      <c r="F4985" t="s">
        <v>1470</v>
      </c>
      <c r="G4985" s="11" t="str">
        <f t="shared" si="387"/>
        <v>11-25</v>
      </c>
      <c r="H4985" s="1">
        <f>_xlfn.IFNA(VLOOKUP(E4985,'Urban Plastix Holds'!$I$36:$U$498,11,0),0)</f>
        <v>0</v>
      </c>
      <c r="J4985" s="2">
        <f t="shared" si="388"/>
        <v>0</v>
      </c>
      <c r="K4985" s="2">
        <f t="shared" si="389"/>
        <v>0</v>
      </c>
    </row>
    <row r="4986" spans="5:11">
      <c r="E4986" t="s">
        <v>1295</v>
      </c>
      <c r="F4986" t="s">
        <v>1470</v>
      </c>
      <c r="G4986" s="13" t="str">
        <f t="shared" si="387"/>
        <v>18-01</v>
      </c>
      <c r="H4986" s="1">
        <f>_xlfn.IFNA(VLOOKUP(E4986,'Urban Plastix Holds'!$I$36:$U$498,12,0),0)</f>
        <v>0</v>
      </c>
      <c r="J4986" s="2">
        <f t="shared" si="388"/>
        <v>0</v>
      </c>
      <c r="K4986" s="2">
        <f t="shared" si="389"/>
        <v>0</v>
      </c>
    </row>
    <row r="4987" spans="5:11">
      <c r="E4987" t="s">
        <v>1295</v>
      </c>
      <c r="F4987" t="s">
        <v>1470</v>
      </c>
      <c r="G4987" s="12" t="str">
        <f t="shared" si="387"/>
        <v>12-01</v>
      </c>
      <c r="H4987" s="1">
        <f>_xlfn.IFNA(VLOOKUP(E4987,'Urban Plastix Holds'!$I$36:$U$498,13,0),0)</f>
        <v>0</v>
      </c>
      <c r="J4987" s="2">
        <f t="shared" si="388"/>
        <v>0</v>
      </c>
      <c r="K4987" s="2">
        <f t="shared" si="389"/>
        <v>0</v>
      </c>
    </row>
    <row r="4988" spans="5:11">
      <c r="E4988" t="s">
        <v>1285</v>
      </c>
      <c r="F4988" t="s">
        <v>1471</v>
      </c>
      <c r="G4988" s="5" t="str">
        <f t="shared" si="387"/>
        <v>11-12</v>
      </c>
      <c r="H4988" s="1">
        <f>_xlfn.IFNA(VLOOKUP(E4988,'Urban Plastix Holds'!$I$36:$U$498,5,0),0)</f>
        <v>0</v>
      </c>
      <c r="J4988" s="2">
        <f t="shared" si="388"/>
        <v>0</v>
      </c>
      <c r="K4988" s="2">
        <f t="shared" si="389"/>
        <v>0</v>
      </c>
    </row>
    <row r="4989" spans="5:11">
      <c r="E4989" t="s">
        <v>1285</v>
      </c>
      <c r="F4989" t="s">
        <v>1471</v>
      </c>
      <c r="G4989" s="6" t="str">
        <f t="shared" si="387"/>
        <v>14-01</v>
      </c>
      <c r="H4989" s="1">
        <f>_xlfn.IFNA(VLOOKUP(E4989,'Urban Plastix Holds'!$I$36:$U$498,6,0),0)</f>
        <v>0</v>
      </c>
      <c r="J4989" s="2">
        <f t="shared" si="388"/>
        <v>0</v>
      </c>
      <c r="K4989" s="2">
        <f t="shared" si="389"/>
        <v>0</v>
      </c>
    </row>
    <row r="4990" spans="5:11">
      <c r="E4990" t="s">
        <v>1285</v>
      </c>
      <c r="F4990" t="s">
        <v>1471</v>
      </c>
      <c r="G4990" s="7" t="str">
        <f t="shared" si="387"/>
        <v>15-12</v>
      </c>
      <c r="H4990" s="1">
        <f>_xlfn.IFNA(VLOOKUP(E4990,'Urban Plastix Holds'!$I$36:$U$498,7,0),0)</f>
        <v>0</v>
      </c>
      <c r="J4990" s="2">
        <f t="shared" si="388"/>
        <v>0</v>
      </c>
      <c r="K4990" s="2">
        <f t="shared" si="389"/>
        <v>0</v>
      </c>
    </row>
    <row r="4991" spans="5:11">
      <c r="E4991" t="s">
        <v>1285</v>
      </c>
      <c r="F4991" t="s">
        <v>1471</v>
      </c>
      <c r="G4991" s="8" t="str">
        <f t="shared" si="387"/>
        <v>16-16</v>
      </c>
      <c r="H4991" s="1">
        <f>_xlfn.IFNA(VLOOKUP(E4991,'Urban Plastix Holds'!$I$36:$U$498,8,0),0)</f>
        <v>0</v>
      </c>
      <c r="J4991" s="2">
        <f t="shared" si="388"/>
        <v>0</v>
      </c>
      <c r="K4991" s="2">
        <f t="shared" si="389"/>
        <v>0</v>
      </c>
    </row>
    <row r="4992" spans="5:11">
      <c r="E4992" t="s">
        <v>1285</v>
      </c>
      <c r="F4992" t="s">
        <v>1471</v>
      </c>
      <c r="G4992" s="9" t="str">
        <f t="shared" si="387"/>
        <v>13-01</v>
      </c>
      <c r="H4992" s="1">
        <f>_xlfn.IFNA(VLOOKUP(E4992,'Urban Plastix Holds'!$I$36:$U$498,9,0),0)</f>
        <v>0</v>
      </c>
      <c r="J4992" s="2">
        <f t="shared" si="388"/>
        <v>0</v>
      </c>
      <c r="K4992" s="2">
        <f t="shared" si="389"/>
        <v>0</v>
      </c>
    </row>
    <row r="4993" spans="5:11">
      <c r="E4993" t="s">
        <v>1285</v>
      </c>
      <c r="F4993" t="s">
        <v>1471</v>
      </c>
      <c r="G4993" s="10" t="str">
        <f t="shared" si="387"/>
        <v>07-13</v>
      </c>
      <c r="H4993" s="1">
        <f>_xlfn.IFNA(VLOOKUP(E4993,'Urban Plastix Holds'!$I$36:$U$498,10,0),0)</f>
        <v>0</v>
      </c>
      <c r="J4993" s="2">
        <f t="shared" si="388"/>
        <v>0</v>
      </c>
      <c r="K4993" s="2">
        <f t="shared" si="389"/>
        <v>0</v>
      </c>
    </row>
    <row r="4994" spans="5:11">
      <c r="E4994" t="s">
        <v>1285</v>
      </c>
      <c r="F4994" t="s">
        <v>1471</v>
      </c>
      <c r="G4994" s="11" t="str">
        <f t="shared" si="387"/>
        <v>11-25</v>
      </c>
      <c r="H4994" s="1">
        <f>_xlfn.IFNA(VLOOKUP(E4994,'Urban Plastix Holds'!$I$36:$U$498,11,0),0)</f>
        <v>0</v>
      </c>
      <c r="J4994" s="2">
        <f t="shared" si="388"/>
        <v>0</v>
      </c>
      <c r="K4994" s="2">
        <f t="shared" si="389"/>
        <v>0</v>
      </c>
    </row>
    <row r="4995" spans="5:11">
      <c r="E4995" t="s">
        <v>1285</v>
      </c>
      <c r="F4995" t="s">
        <v>1471</v>
      </c>
      <c r="G4995" s="13" t="str">
        <f t="shared" si="387"/>
        <v>18-01</v>
      </c>
      <c r="H4995" s="1">
        <f>_xlfn.IFNA(VLOOKUP(E4995,'Urban Plastix Holds'!$I$36:$U$498,12,0),0)</f>
        <v>0</v>
      </c>
      <c r="J4995" s="2">
        <f t="shared" si="388"/>
        <v>0</v>
      </c>
      <c r="K4995" s="2">
        <f t="shared" si="389"/>
        <v>0</v>
      </c>
    </row>
    <row r="4996" spans="5:11">
      <c r="E4996" t="s">
        <v>1285</v>
      </c>
      <c r="F4996" t="s">
        <v>1471</v>
      </c>
      <c r="G4996" s="12" t="str">
        <f t="shared" si="387"/>
        <v>12-01</v>
      </c>
      <c r="H4996" s="1">
        <f>_xlfn.IFNA(VLOOKUP(E4996,'Urban Plastix Holds'!$I$36:$U$498,13,0),0)</f>
        <v>0</v>
      </c>
      <c r="J4996" s="2">
        <f t="shared" si="388"/>
        <v>0</v>
      </c>
      <c r="K4996" s="2">
        <f t="shared" si="389"/>
        <v>0</v>
      </c>
    </row>
    <row r="4997" spans="5:11">
      <c r="E4997" t="s">
        <v>1310</v>
      </c>
      <c r="F4997" t="s">
        <v>1472</v>
      </c>
      <c r="G4997" s="5" t="str">
        <f t="shared" si="387"/>
        <v>11-12</v>
      </c>
      <c r="H4997" s="1">
        <f>_xlfn.IFNA(VLOOKUP(E4997,'Urban Plastix Holds'!$I$36:$U$498,5,0),0)</f>
        <v>0</v>
      </c>
      <c r="J4997" s="2">
        <f t="shared" si="388"/>
        <v>0</v>
      </c>
      <c r="K4997" s="2">
        <f t="shared" si="389"/>
        <v>0</v>
      </c>
    </row>
    <row r="4998" spans="5:11">
      <c r="E4998" t="s">
        <v>1310</v>
      </c>
      <c r="F4998" t="s">
        <v>1472</v>
      </c>
      <c r="G4998" s="6" t="str">
        <f t="shared" si="387"/>
        <v>14-01</v>
      </c>
      <c r="H4998" s="1">
        <f>_xlfn.IFNA(VLOOKUP(E4998,'Urban Plastix Holds'!$I$36:$U$498,6,0),0)</f>
        <v>0</v>
      </c>
      <c r="J4998" s="2">
        <f t="shared" si="388"/>
        <v>0</v>
      </c>
      <c r="K4998" s="2">
        <f t="shared" si="389"/>
        <v>0</v>
      </c>
    </row>
    <row r="4999" spans="5:11">
      <c r="E4999" t="s">
        <v>1310</v>
      </c>
      <c r="F4999" t="s">
        <v>1472</v>
      </c>
      <c r="G4999" s="7" t="str">
        <f t="shared" si="387"/>
        <v>15-12</v>
      </c>
      <c r="H4999" s="1">
        <f>_xlfn.IFNA(VLOOKUP(E4999,'Urban Plastix Holds'!$I$36:$U$498,7,0),0)</f>
        <v>0</v>
      </c>
      <c r="J4999" s="2">
        <f t="shared" si="388"/>
        <v>0</v>
      </c>
      <c r="K4999" s="2">
        <f t="shared" si="389"/>
        <v>0</v>
      </c>
    </row>
    <row r="5000" spans="5:11">
      <c r="E5000" t="s">
        <v>1310</v>
      </c>
      <c r="F5000" t="s">
        <v>1472</v>
      </c>
      <c r="G5000" s="8" t="str">
        <f t="shared" si="387"/>
        <v>16-16</v>
      </c>
      <c r="H5000" s="1">
        <f>_xlfn.IFNA(VLOOKUP(E5000,'Urban Plastix Holds'!$I$36:$U$498,8,0),0)</f>
        <v>0</v>
      </c>
      <c r="J5000" s="2">
        <f t="shared" si="388"/>
        <v>0</v>
      </c>
      <c r="K5000" s="2">
        <f t="shared" si="389"/>
        <v>0</v>
      </c>
    </row>
    <row r="5001" spans="5:11">
      <c r="E5001" t="s">
        <v>1310</v>
      </c>
      <c r="F5001" t="s">
        <v>1472</v>
      </c>
      <c r="G5001" s="9" t="str">
        <f t="shared" si="387"/>
        <v>13-01</v>
      </c>
      <c r="H5001" s="1">
        <f>_xlfn.IFNA(VLOOKUP(E5001,'Urban Plastix Holds'!$I$36:$U$498,9,0),0)</f>
        <v>0</v>
      </c>
      <c r="J5001" s="2">
        <f t="shared" si="388"/>
        <v>0</v>
      </c>
      <c r="K5001" s="2">
        <f t="shared" si="389"/>
        <v>0</v>
      </c>
    </row>
    <row r="5002" spans="5:11">
      <c r="E5002" t="s">
        <v>1310</v>
      </c>
      <c r="F5002" t="s">
        <v>1472</v>
      </c>
      <c r="G5002" s="10" t="str">
        <f t="shared" si="387"/>
        <v>07-13</v>
      </c>
      <c r="H5002" s="1">
        <f>_xlfn.IFNA(VLOOKUP(E5002,'Urban Plastix Holds'!$I$36:$U$498,10,0),0)</f>
        <v>0</v>
      </c>
      <c r="J5002" s="2">
        <f t="shared" si="388"/>
        <v>0</v>
      </c>
      <c r="K5002" s="2">
        <f t="shared" si="389"/>
        <v>0</v>
      </c>
    </row>
    <row r="5003" spans="5:11">
      <c r="E5003" t="s">
        <v>1310</v>
      </c>
      <c r="F5003" t="s">
        <v>1472</v>
      </c>
      <c r="G5003" s="11" t="str">
        <f t="shared" si="387"/>
        <v>11-25</v>
      </c>
      <c r="H5003" s="1">
        <f>_xlfn.IFNA(VLOOKUP(E5003,'Urban Plastix Holds'!$I$36:$U$498,11,0),0)</f>
        <v>0</v>
      </c>
      <c r="J5003" s="2">
        <f t="shared" si="388"/>
        <v>0</v>
      </c>
      <c r="K5003" s="2">
        <f t="shared" si="389"/>
        <v>0</v>
      </c>
    </row>
    <row r="5004" spans="5:11">
      <c r="E5004" t="s">
        <v>1310</v>
      </c>
      <c r="F5004" t="s">
        <v>1472</v>
      </c>
      <c r="G5004" s="13" t="str">
        <f t="shared" si="387"/>
        <v>18-01</v>
      </c>
      <c r="H5004" s="1">
        <f>_xlfn.IFNA(VLOOKUP(E5004,'Urban Plastix Holds'!$I$36:$U$498,12,0),0)</f>
        <v>0</v>
      </c>
      <c r="J5004" s="2">
        <f t="shared" si="388"/>
        <v>0</v>
      </c>
      <c r="K5004" s="2">
        <f t="shared" si="389"/>
        <v>0</v>
      </c>
    </row>
    <row r="5005" spans="5:11">
      <c r="E5005" t="s">
        <v>1310</v>
      </c>
      <c r="F5005" t="s">
        <v>1472</v>
      </c>
      <c r="G5005" s="12" t="str">
        <f t="shared" si="387"/>
        <v>12-01</v>
      </c>
      <c r="H5005" s="1">
        <f>_xlfn.IFNA(VLOOKUP(E5005,'Urban Plastix Holds'!$I$36:$U$498,13,0),0)</f>
        <v>0</v>
      </c>
      <c r="J5005" s="2">
        <f t="shared" si="388"/>
        <v>0</v>
      </c>
      <c r="K5005" s="2">
        <f t="shared" si="389"/>
        <v>0</v>
      </c>
    </row>
    <row r="5006" spans="5:11">
      <c r="E5006" t="s">
        <v>1254</v>
      </c>
      <c r="F5006" t="s">
        <v>1473</v>
      </c>
      <c r="G5006" s="5" t="str">
        <f t="shared" si="387"/>
        <v>11-12</v>
      </c>
      <c r="H5006" s="1">
        <f>_xlfn.IFNA(VLOOKUP(E5006,'Urban Plastix Holds'!$I$36:$U$498,5,0),0)</f>
        <v>0</v>
      </c>
      <c r="J5006" s="2">
        <f t="shared" si="388"/>
        <v>0</v>
      </c>
      <c r="K5006" s="2">
        <f t="shared" si="389"/>
        <v>0</v>
      </c>
    </row>
    <row r="5007" spans="5:11">
      <c r="E5007" t="s">
        <v>1254</v>
      </c>
      <c r="F5007" t="s">
        <v>1473</v>
      </c>
      <c r="G5007" s="6" t="str">
        <f t="shared" si="387"/>
        <v>14-01</v>
      </c>
      <c r="H5007" s="1">
        <f>_xlfn.IFNA(VLOOKUP(E5007,'Urban Plastix Holds'!$I$36:$U$498,6,0),0)</f>
        <v>0</v>
      </c>
      <c r="J5007" s="2">
        <f t="shared" si="388"/>
        <v>0</v>
      </c>
      <c r="K5007" s="2">
        <f t="shared" si="389"/>
        <v>0</v>
      </c>
    </row>
    <row r="5008" spans="5:11">
      <c r="E5008" t="s">
        <v>1254</v>
      </c>
      <c r="F5008" t="s">
        <v>1473</v>
      </c>
      <c r="G5008" s="7" t="str">
        <f t="shared" si="387"/>
        <v>15-12</v>
      </c>
      <c r="H5008" s="1">
        <f>_xlfn.IFNA(VLOOKUP(E5008,'Urban Plastix Holds'!$I$36:$U$498,7,0),0)</f>
        <v>0</v>
      </c>
      <c r="J5008" s="2">
        <f t="shared" si="388"/>
        <v>0</v>
      </c>
      <c r="K5008" s="2">
        <f t="shared" si="389"/>
        <v>0</v>
      </c>
    </row>
    <row r="5009" spans="5:11">
      <c r="E5009" t="s">
        <v>1254</v>
      </c>
      <c r="F5009" t="s">
        <v>1473</v>
      </c>
      <c r="G5009" s="8" t="str">
        <f t="shared" si="387"/>
        <v>16-16</v>
      </c>
      <c r="H5009" s="1">
        <f>_xlfn.IFNA(VLOOKUP(E5009,'Urban Plastix Holds'!$I$36:$U$498,8,0),0)</f>
        <v>0</v>
      </c>
      <c r="J5009" s="2">
        <f t="shared" si="388"/>
        <v>0</v>
      </c>
      <c r="K5009" s="2">
        <f t="shared" si="389"/>
        <v>0</v>
      </c>
    </row>
    <row r="5010" spans="5:11">
      <c r="E5010" t="s">
        <v>1254</v>
      </c>
      <c r="F5010" t="s">
        <v>1473</v>
      </c>
      <c r="G5010" s="9" t="str">
        <f t="shared" si="387"/>
        <v>13-01</v>
      </c>
      <c r="H5010" s="1">
        <f>_xlfn.IFNA(VLOOKUP(E5010,'Urban Plastix Holds'!$I$36:$U$498,9,0),0)</f>
        <v>0</v>
      </c>
      <c r="J5010" s="2">
        <f t="shared" si="388"/>
        <v>0</v>
      </c>
      <c r="K5010" s="2">
        <f t="shared" si="389"/>
        <v>0</v>
      </c>
    </row>
    <row r="5011" spans="5:11">
      <c r="E5011" t="s">
        <v>1254</v>
      </c>
      <c r="F5011" t="s">
        <v>1473</v>
      </c>
      <c r="G5011" s="10" t="str">
        <f t="shared" si="387"/>
        <v>07-13</v>
      </c>
      <c r="H5011" s="1">
        <f>_xlfn.IFNA(VLOOKUP(E5011,'Urban Plastix Holds'!$I$36:$U$498,10,0),0)</f>
        <v>0</v>
      </c>
      <c r="J5011" s="2">
        <f t="shared" si="388"/>
        <v>0</v>
      </c>
      <c r="K5011" s="2">
        <f t="shared" si="389"/>
        <v>0</v>
      </c>
    </row>
    <row r="5012" spans="5:11">
      <c r="E5012" t="s">
        <v>1254</v>
      </c>
      <c r="F5012" t="s">
        <v>1473</v>
      </c>
      <c r="G5012" s="11" t="str">
        <f t="shared" si="387"/>
        <v>11-25</v>
      </c>
      <c r="H5012" s="1">
        <f>_xlfn.IFNA(VLOOKUP(E5012,'Urban Plastix Holds'!$I$36:$U$498,11,0),0)</f>
        <v>0</v>
      </c>
      <c r="J5012" s="2">
        <f t="shared" si="388"/>
        <v>0</v>
      </c>
      <c r="K5012" s="2">
        <f t="shared" si="389"/>
        <v>0</v>
      </c>
    </row>
    <row r="5013" spans="5:11">
      <c r="E5013" t="s">
        <v>1254</v>
      </c>
      <c r="F5013" t="s">
        <v>1473</v>
      </c>
      <c r="G5013" s="13" t="str">
        <f t="shared" si="387"/>
        <v>18-01</v>
      </c>
      <c r="H5013" s="1">
        <f>_xlfn.IFNA(VLOOKUP(E5013,'Urban Plastix Holds'!$I$36:$U$498,12,0),0)</f>
        <v>0</v>
      </c>
      <c r="J5013" s="2">
        <f t="shared" si="388"/>
        <v>0</v>
      </c>
      <c r="K5013" s="2">
        <f t="shared" si="389"/>
        <v>0</v>
      </c>
    </row>
    <row r="5014" spans="5:11">
      <c r="E5014" t="s">
        <v>1254</v>
      </c>
      <c r="F5014" t="s">
        <v>1473</v>
      </c>
      <c r="G5014" s="12" t="str">
        <f t="shared" si="387"/>
        <v>12-01</v>
      </c>
      <c r="H5014" s="1">
        <f>_xlfn.IFNA(VLOOKUP(E5014,'Urban Plastix Holds'!$I$36:$U$498,13,0),0)</f>
        <v>0</v>
      </c>
      <c r="J5014" s="2">
        <f t="shared" si="388"/>
        <v>0</v>
      </c>
      <c r="K5014" s="2">
        <f t="shared" si="389"/>
        <v>0</v>
      </c>
    </row>
    <row r="5015" spans="5:11">
      <c r="E5015" t="s">
        <v>1288</v>
      </c>
      <c r="F5015" t="s">
        <v>1474</v>
      </c>
      <c r="G5015" s="5" t="str">
        <f t="shared" si="387"/>
        <v>11-12</v>
      </c>
      <c r="H5015" s="1">
        <f>_xlfn.IFNA(VLOOKUP(E5015,'Urban Plastix Holds'!$I$36:$U$498,5,0),0)</f>
        <v>0</v>
      </c>
      <c r="J5015" s="2">
        <f t="shared" si="388"/>
        <v>0</v>
      </c>
      <c r="K5015" s="2">
        <f t="shared" si="389"/>
        <v>0</v>
      </c>
    </row>
    <row r="5016" spans="5:11">
      <c r="E5016" t="s">
        <v>1288</v>
      </c>
      <c r="F5016" t="s">
        <v>1474</v>
      </c>
      <c r="G5016" s="6" t="str">
        <f t="shared" ref="G5016:G5079" si="390">G5007</f>
        <v>14-01</v>
      </c>
      <c r="H5016" s="1">
        <f>_xlfn.IFNA(VLOOKUP(E5016,'Urban Plastix Holds'!$I$36:$U$498,6,0),0)</f>
        <v>0</v>
      </c>
      <c r="J5016" s="2">
        <f t="shared" si="388"/>
        <v>0</v>
      </c>
      <c r="K5016" s="2">
        <f t="shared" si="389"/>
        <v>0</v>
      </c>
    </row>
    <row r="5017" spans="5:11">
      <c r="E5017" t="s">
        <v>1288</v>
      </c>
      <c r="F5017" t="s">
        <v>1474</v>
      </c>
      <c r="G5017" s="7" t="str">
        <f t="shared" si="390"/>
        <v>15-12</v>
      </c>
      <c r="H5017" s="1">
        <f>_xlfn.IFNA(VLOOKUP(E5017,'Urban Plastix Holds'!$I$36:$U$498,7,0),0)</f>
        <v>0</v>
      </c>
      <c r="J5017" s="2">
        <f t="shared" si="388"/>
        <v>0</v>
      </c>
      <c r="K5017" s="2">
        <f t="shared" si="389"/>
        <v>0</v>
      </c>
    </row>
    <row r="5018" spans="5:11">
      <c r="E5018" t="s">
        <v>1288</v>
      </c>
      <c r="F5018" t="s">
        <v>1474</v>
      </c>
      <c r="G5018" s="8" t="str">
        <f t="shared" si="390"/>
        <v>16-16</v>
      </c>
      <c r="H5018" s="1">
        <f>_xlfn.IFNA(VLOOKUP(E5018,'Urban Plastix Holds'!$I$36:$U$498,8,0),0)</f>
        <v>0</v>
      </c>
      <c r="J5018" s="2">
        <f t="shared" si="388"/>
        <v>0</v>
      </c>
      <c r="K5018" s="2">
        <f t="shared" si="389"/>
        <v>0</v>
      </c>
    </row>
    <row r="5019" spans="5:11">
      <c r="E5019" t="s">
        <v>1288</v>
      </c>
      <c r="F5019" t="s">
        <v>1474</v>
      </c>
      <c r="G5019" s="9" t="str">
        <f t="shared" si="390"/>
        <v>13-01</v>
      </c>
      <c r="H5019" s="1">
        <f>_xlfn.IFNA(VLOOKUP(E5019,'Urban Plastix Holds'!$I$36:$U$498,9,0),0)</f>
        <v>0</v>
      </c>
      <c r="J5019" s="2">
        <f t="shared" si="388"/>
        <v>0</v>
      </c>
      <c r="K5019" s="2">
        <f t="shared" si="389"/>
        <v>0</v>
      </c>
    </row>
    <row r="5020" spans="5:11">
      <c r="E5020" t="s">
        <v>1288</v>
      </c>
      <c r="F5020" t="s">
        <v>1474</v>
      </c>
      <c r="G5020" s="10" t="str">
        <f t="shared" si="390"/>
        <v>07-13</v>
      </c>
      <c r="H5020" s="1">
        <f>_xlfn.IFNA(VLOOKUP(E5020,'Urban Plastix Holds'!$I$36:$U$498,10,0),0)</f>
        <v>0</v>
      </c>
      <c r="J5020" s="2">
        <f t="shared" si="388"/>
        <v>0</v>
      </c>
      <c r="K5020" s="2">
        <f t="shared" si="389"/>
        <v>0</v>
      </c>
    </row>
    <row r="5021" spans="5:11">
      <c r="E5021" t="s">
        <v>1288</v>
      </c>
      <c r="F5021" t="s">
        <v>1474</v>
      </c>
      <c r="G5021" s="11" t="str">
        <f t="shared" si="390"/>
        <v>11-25</v>
      </c>
      <c r="H5021" s="1">
        <f>_xlfn.IFNA(VLOOKUP(E5021,'Urban Plastix Holds'!$I$36:$U$498,11,0),0)</f>
        <v>0</v>
      </c>
      <c r="J5021" s="2">
        <f t="shared" si="388"/>
        <v>0</v>
      </c>
      <c r="K5021" s="2">
        <f t="shared" si="389"/>
        <v>0</v>
      </c>
    </row>
    <row r="5022" spans="5:11">
      <c r="E5022" t="s">
        <v>1288</v>
      </c>
      <c r="F5022" t="s">
        <v>1474</v>
      </c>
      <c r="G5022" s="13" t="str">
        <f t="shared" si="390"/>
        <v>18-01</v>
      </c>
      <c r="H5022" s="1">
        <f>_xlfn.IFNA(VLOOKUP(E5022,'Urban Plastix Holds'!$I$36:$U$498,12,0),0)</f>
        <v>0</v>
      </c>
      <c r="J5022" s="2">
        <f t="shared" si="388"/>
        <v>0</v>
      </c>
      <c r="K5022" s="2">
        <f t="shared" si="389"/>
        <v>0</v>
      </c>
    </row>
    <row r="5023" spans="5:11">
      <c r="E5023" t="s">
        <v>1288</v>
      </c>
      <c r="F5023" t="s">
        <v>1474</v>
      </c>
      <c r="G5023" s="12" t="str">
        <f t="shared" si="390"/>
        <v>12-01</v>
      </c>
      <c r="H5023" s="1">
        <f>_xlfn.IFNA(VLOOKUP(E5023,'Urban Plastix Holds'!$I$36:$U$498,13,0),0)</f>
        <v>0</v>
      </c>
      <c r="J5023" s="2">
        <f t="shared" si="388"/>
        <v>0</v>
      </c>
      <c r="K5023" s="2">
        <f t="shared" si="389"/>
        <v>0</v>
      </c>
    </row>
    <row r="5024" spans="5:11">
      <c r="E5024" t="s">
        <v>1250</v>
      </c>
      <c r="F5024" t="s">
        <v>1475</v>
      </c>
      <c r="G5024" s="5" t="str">
        <f t="shared" si="390"/>
        <v>11-12</v>
      </c>
      <c r="H5024" s="1">
        <f>_xlfn.IFNA(VLOOKUP(E5024,'Urban Plastix Holds'!$I$36:$U$498,5,0),0)</f>
        <v>0</v>
      </c>
      <c r="J5024" s="2">
        <f t="shared" si="388"/>
        <v>0</v>
      </c>
      <c r="K5024" s="2">
        <f t="shared" si="389"/>
        <v>0</v>
      </c>
    </row>
    <row r="5025" spans="5:11">
      <c r="E5025" t="s">
        <v>1250</v>
      </c>
      <c r="F5025" t="s">
        <v>1475</v>
      </c>
      <c r="G5025" s="6" t="str">
        <f t="shared" si="390"/>
        <v>14-01</v>
      </c>
      <c r="H5025" s="1">
        <f>_xlfn.IFNA(VLOOKUP(E5025,'Urban Plastix Holds'!$I$36:$U$498,6,0),0)</f>
        <v>0</v>
      </c>
      <c r="J5025" s="2">
        <f t="shared" si="388"/>
        <v>0</v>
      </c>
      <c r="K5025" s="2">
        <f t="shared" si="389"/>
        <v>0</v>
      </c>
    </row>
    <row r="5026" spans="5:11">
      <c r="E5026" t="s">
        <v>1250</v>
      </c>
      <c r="F5026" t="s">
        <v>1475</v>
      </c>
      <c r="G5026" s="7" t="str">
        <f t="shared" si="390"/>
        <v>15-12</v>
      </c>
      <c r="H5026" s="1">
        <f>_xlfn.IFNA(VLOOKUP(E5026,'Urban Plastix Holds'!$I$36:$U$498,7,0),0)</f>
        <v>0</v>
      </c>
      <c r="J5026" s="2">
        <f t="shared" si="388"/>
        <v>0</v>
      </c>
      <c r="K5026" s="2">
        <f t="shared" si="389"/>
        <v>0</v>
      </c>
    </row>
    <row r="5027" spans="5:11">
      <c r="E5027" t="s">
        <v>1250</v>
      </c>
      <c r="F5027" t="s">
        <v>1475</v>
      </c>
      <c r="G5027" s="8" t="str">
        <f t="shared" si="390"/>
        <v>16-16</v>
      </c>
      <c r="H5027" s="1">
        <f>_xlfn.IFNA(VLOOKUP(E5027,'Urban Plastix Holds'!$I$36:$U$498,8,0),0)</f>
        <v>0</v>
      </c>
      <c r="J5027" s="2">
        <f t="shared" si="388"/>
        <v>0</v>
      </c>
      <c r="K5027" s="2">
        <f t="shared" si="389"/>
        <v>0</v>
      </c>
    </row>
    <row r="5028" spans="5:11">
      <c r="E5028" t="s">
        <v>1250</v>
      </c>
      <c r="F5028" t="s">
        <v>1475</v>
      </c>
      <c r="G5028" s="9" t="str">
        <f t="shared" si="390"/>
        <v>13-01</v>
      </c>
      <c r="H5028" s="1">
        <f>_xlfn.IFNA(VLOOKUP(E5028,'Urban Plastix Holds'!$I$36:$U$498,9,0),0)</f>
        <v>0</v>
      </c>
      <c r="J5028" s="2">
        <f t="shared" si="388"/>
        <v>0</v>
      </c>
      <c r="K5028" s="2">
        <f t="shared" si="389"/>
        <v>0</v>
      </c>
    </row>
    <row r="5029" spans="5:11">
      <c r="E5029" t="s">
        <v>1250</v>
      </c>
      <c r="F5029" t="s">
        <v>1475</v>
      </c>
      <c r="G5029" s="10" t="str">
        <f t="shared" si="390"/>
        <v>07-13</v>
      </c>
      <c r="H5029" s="1">
        <f>_xlfn.IFNA(VLOOKUP(E5029,'Urban Plastix Holds'!$I$36:$U$498,10,0),0)</f>
        <v>0</v>
      </c>
      <c r="J5029" s="2">
        <f t="shared" si="388"/>
        <v>0</v>
      </c>
      <c r="K5029" s="2">
        <f t="shared" si="389"/>
        <v>0</v>
      </c>
    </row>
    <row r="5030" spans="5:11">
      <c r="E5030" t="s">
        <v>1250</v>
      </c>
      <c r="F5030" t="s">
        <v>1475</v>
      </c>
      <c r="G5030" s="11" t="str">
        <f t="shared" si="390"/>
        <v>11-25</v>
      </c>
      <c r="H5030" s="1">
        <f>_xlfn.IFNA(VLOOKUP(E5030,'Urban Plastix Holds'!$I$36:$U$498,11,0),0)</f>
        <v>0</v>
      </c>
      <c r="J5030" s="2">
        <f t="shared" si="388"/>
        <v>0</v>
      </c>
      <c r="K5030" s="2">
        <f t="shared" si="389"/>
        <v>0</v>
      </c>
    </row>
    <row r="5031" spans="5:11">
      <c r="E5031" t="s">
        <v>1250</v>
      </c>
      <c r="F5031" t="s">
        <v>1475</v>
      </c>
      <c r="G5031" s="13" t="str">
        <f t="shared" si="390"/>
        <v>18-01</v>
      </c>
      <c r="H5031" s="1">
        <f>_xlfn.IFNA(VLOOKUP(E5031,'Urban Plastix Holds'!$I$36:$U$498,12,0),0)</f>
        <v>0</v>
      </c>
      <c r="J5031" s="2">
        <f t="shared" si="388"/>
        <v>0</v>
      </c>
      <c r="K5031" s="2">
        <f t="shared" si="389"/>
        <v>0</v>
      </c>
    </row>
    <row r="5032" spans="5:11">
      <c r="E5032" t="s">
        <v>1250</v>
      </c>
      <c r="F5032" t="s">
        <v>1475</v>
      </c>
      <c r="G5032" s="12" t="str">
        <f t="shared" si="390"/>
        <v>12-01</v>
      </c>
      <c r="H5032" s="1">
        <f>_xlfn.IFNA(VLOOKUP(E5032,'Urban Plastix Holds'!$I$36:$U$498,13,0),0)</f>
        <v>0</v>
      </c>
      <c r="J5032" s="2">
        <f t="shared" si="388"/>
        <v>0</v>
      </c>
      <c r="K5032" s="2">
        <f t="shared" si="389"/>
        <v>0</v>
      </c>
    </row>
    <row r="5033" spans="5:11">
      <c r="E5033" t="s">
        <v>1249</v>
      </c>
      <c r="F5033" t="s">
        <v>1566</v>
      </c>
      <c r="G5033" s="5" t="str">
        <f t="shared" si="390"/>
        <v>11-12</v>
      </c>
      <c r="H5033" s="1">
        <f>_xlfn.IFNA(VLOOKUP(E5033,'Urban Plastix Holds'!$I$36:$U$498,5,0),0)</f>
        <v>0</v>
      </c>
      <c r="J5033" s="2">
        <f t="shared" si="388"/>
        <v>0</v>
      </c>
      <c r="K5033" s="2">
        <f t="shared" si="389"/>
        <v>0</v>
      </c>
    </row>
    <row r="5034" spans="5:11">
      <c r="E5034" t="s">
        <v>1249</v>
      </c>
      <c r="F5034" t="s">
        <v>1566</v>
      </c>
      <c r="G5034" s="6" t="str">
        <f t="shared" si="390"/>
        <v>14-01</v>
      </c>
      <c r="H5034" s="1">
        <f>_xlfn.IFNA(VLOOKUP(E5034,'Urban Plastix Holds'!$I$36:$U$498,6,0),0)</f>
        <v>0</v>
      </c>
      <c r="J5034" s="2">
        <f t="shared" si="388"/>
        <v>0</v>
      </c>
      <c r="K5034" s="2">
        <f t="shared" si="389"/>
        <v>0</v>
      </c>
    </row>
    <row r="5035" spans="5:11">
      <c r="E5035" t="s">
        <v>1249</v>
      </c>
      <c r="F5035" t="s">
        <v>1566</v>
      </c>
      <c r="G5035" s="7" t="str">
        <f t="shared" si="390"/>
        <v>15-12</v>
      </c>
      <c r="H5035" s="1">
        <f>_xlfn.IFNA(VLOOKUP(E5035,'Urban Plastix Holds'!$I$36:$U$498,7,0),0)</f>
        <v>0</v>
      </c>
      <c r="J5035" s="2">
        <f t="shared" si="388"/>
        <v>0</v>
      </c>
      <c r="K5035" s="2">
        <f t="shared" si="389"/>
        <v>0</v>
      </c>
    </row>
    <row r="5036" spans="5:11">
      <c r="E5036" t="s">
        <v>1249</v>
      </c>
      <c r="F5036" t="s">
        <v>1566</v>
      </c>
      <c r="G5036" s="8" t="str">
        <f t="shared" si="390"/>
        <v>16-16</v>
      </c>
      <c r="H5036" s="1">
        <f>_xlfn.IFNA(VLOOKUP(E5036,'Urban Plastix Holds'!$I$36:$U$498,8,0),0)</f>
        <v>0</v>
      </c>
      <c r="J5036" s="2">
        <f t="shared" si="388"/>
        <v>0</v>
      </c>
      <c r="K5036" s="2">
        <f t="shared" si="389"/>
        <v>0</v>
      </c>
    </row>
    <row r="5037" spans="5:11">
      <c r="E5037" t="s">
        <v>1249</v>
      </c>
      <c r="F5037" t="s">
        <v>1566</v>
      </c>
      <c r="G5037" s="9" t="str">
        <f t="shared" si="390"/>
        <v>13-01</v>
      </c>
      <c r="H5037" s="1">
        <f>_xlfn.IFNA(VLOOKUP(E5037,'Urban Plastix Holds'!$I$36:$U$498,9,0),0)</f>
        <v>0</v>
      </c>
      <c r="J5037" s="2">
        <f t="shared" si="388"/>
        <v>0</v>
      </c>
      <c r="K5037" s="2">
        <f t="shared" si="389"/>
        <v>0</v>
      </c>
    </row>
    <row r="5038" spans="5:11">
      <c r="E5038" t="s">
        <v>1249</v>
      </c>
      <c r="F5038" t="s">
        <v>1566</v>
      </c>
      <c r="G5038" s="10" t="str">
        <f t="shared" si="390"/>
        <v>07-13</v>
      </c>
      <c r="H5038" s="1">
        <f>_xlfn.IFNA(VLOOKUP(E5038,'Urban Plastix Holds'!$I$36:$U$498,10,0),0)</f>
        <v>0</v>
      </c>
      <c r="J5038" s="2">
        <f t="shared" ref="J5038:J5101" si="391">H5038*I5038</f>
        <v>0</v>
      </c>
      <c r="K5038" s="2">
        <f t="shared" ref="K5038:K5101" si="392">IF($V$11="Y",J5038*0.05,0)</f>
        <v>0</v>
      </c>
    </row>
    <row r="5039" spans="5:11">
      <c r="E5039" t="s">
        <v>1249</v>
      </c>
      <c r="F5039" t="s">
        <v>1566</v>
      </c>
      <c r="G5039" s="11" t="str">
        <f t="shared" si="390"/>
        <v>11-25</v>
      </c>
      <c r="H5039" s="1">
        <f>_xlfn.IFNA(VLOOKUP(E5039,'Urban Plastix Holds'!$I$36:$U$498,11,0),0)</f>
        <v>0</v>
      </c>
      <c r="J5039" s="2">
        <f t="shared" si="391"/>
        <v>0</v>
      </c>
      <c r="K5039" s="2">
        <f t="shared" si="392"/>
        <v>0</v>
      </c>
    </row>
    <row r="5040" spans="5:11">
      <c r="E5040" t="s">
        <v>1249</v>
      </c>
      <c r="F5040" t="s">
        <v>1566</v>
      </c>
      <c r="G5040" s="13" t="str">
        <f t="shared" si="390"/>
        <v>18-01</v>
      </c>
      <c r="H5040" s="1">
        <f>_xlfn.IFNA(VLOOKUP(E5040,'Urban Plastix Holds'!$I$36:$U$498,12,0),0)</f>
        <v>0</v>
      </c>
      <c r="J5040" s="2">
        <f t="shared" si="391"/>
        <v>0</v>
      </c>
      <c r="K5040" s="2">
        <f t="shared" si="392"/>
        <v>0</v>
      </c>
    </row>
    <row r="5041" spans="5:11">
      <c r="E5041" t="s">
        <v>1249</v>
      </c>
      <c r="F5041" t="s">
        <v>1566</v>
      </c>
      <c r="G5041" s="12" t="str">
        <f t="shared" si="390"/>
        <v>12-01</v>
      </c>
      <c r="H5041" s="1">
        <f>_xlfn.IFNA(VLOOKUP(E5041,'Urban Plastix Holds'!$I$36:$U$498,13,0),0)</f>
        <v>0</v>
      </c>
      <c r="J5041" s="2">
        <f t="shared" si="391"/>
        <v>0</v>
      </c>
      <c r="K5041" s="2">
        <f t="shared" si="392"/>
        <v>0</v>
      </c>
    </row>
    <row r="5042" spans="5:11">
      <c r="E5042" t="s">
        <v>1435</v>
      </c>
      <c r="F5042" t="s">
        <v>1476</v>
      </c>
      <c r="G5042" s="5" t="str">
        <f t="shared" si="390"/>
        <v>11-12</v>
      </c>
      <c r="H5042" s="1">
        <f>_xlfn.IFNA(VLOOKUP(E5042,'Urban Plastix Holds'!$I$36:$U$498,5,0),0)</f>
        <v>0</v>
      </c>
      <c r="J5042" s="2">
        <f t="shared" si="391"/>
        <v>0</v>
      </c>
      <c r="K5042" s="2">
        <f t="shared" si="392"/>
        <v>0</v>
      </c>
    </row>
    <row r="5043" spans="5:11">
      <c r="E5043" t="s">
        <v>1435</v>
      </c>
      <c r="F5043" t="s">
        <v>1476</v>
      </c>
      <c r="G5043" s="6" t="str">
        <f t="shared" si="390"/>
        <v>14-01</v>
      </c>
      <c r="H5043" s="1">
        <f>_xlfn.IFNA(VLOOKUP(E5043,'Urban Plastix Holds'!$I$36:$U$498,6,0),0)</f>
        <v>0</v>
      </c>
      <c r="J5043" s="2">
        <f t="shared" si="391"/>
        <v>0</v>
      </c>
      <c r="K5043" s="2">
        <f t="shared" si="392"/>
        <v>0</v>
      </c>
    </row>
    <row r="5044" spans="5:11">
      <c r="E5044" t="s">
        <v>1435</v>
      </c>
      <c r="F5044" t="s">
        <v>1476</v>
      </c>
      <c r="G5044" s="7" t="str">
        <f t="shared" si="390"/>
        <v>15-12</v>
      </c>
      <c r="H5044" s="1">
        <f>_xlfn.IFNA(VLOOKUP(E5044,'Urban Plastix Holds'!$I$36:$U$498,7,0),0)</f>
        <v>0</v>
      </c>
      <c r="J5044" s="2">
        <f t="shared" si="391"/>
        <v>0</v>
      </c>
      <c r="K5044" s="2">
        <f t="shared" si="392"/>
        <v>0</v>
      </c>
    </row>
    <row r="5045" spans="5:11">
      <c r="E5045" t="s">
        <v>1435</v>
      </c>
      <c r="F5045" t="s">
        <v>1476</v>
      </c>
      <c r="G5045" s="8" t="str">
        <f t="shared" si="390"/>
        <v>16-16</v>
      </c>
      <c r="H5045" s="1">
        <f>_xlfn.IFNA(VLOOKUP(E5045,'Urban Plastix Holds'!$I$36:$U$498,8,0),0)</f>
        <v>0</v>
      </c>
      <c r="J5045" s="2">
        <f t="shared" si="391"/>
        <v>0</v>
      </c>
      <c r="K5045" s="2">
        <f t="shared" si="392"/>
        <v>0</v>
      </c>
    </row>
    <row r="5046" spans="5:11">
      <c r="E5046" t="s">
        <v>1435</v>
      </c>
      <c r="F5046" t="s">
        <v>1476</v>
      </c>
      <c r="G5046" s="9" t="str">
        <f t="shared" si="390"/>
        <v>13-01</v>
      </c>
      <c r="H5046" s="1">
        <f>_xlfn.IFNA(VLOOKUP(E5046,'Urban Plastix Holds'!$I$36:$U$498,9,0),0)</f>
        <v>0</v>
      </c>
      <c r="J5046" s="2">
        <f t="shared" si="391"/>
        <v>0</v>
      </c>
      <c r="K5046" s="2">
        <f t="shared" si="392"/>
        <v>0</v>
      </c>
    </row>
    <row r="5047" spans="5:11">
      <c r="E5047" t="s">
        <v>1435</v>
      </c>
      <c r="F5047" t="s">
        <v>1476</v>
      </c>
      <c r="G5047" s="10" t="str">
        <f t="shared" si="390"/>
        <v>07-13</v>
      </c>
      <c r="H5047" s="1">
        <f>_xlfn.IFNA(VLOOKUP(E5047,'Urban Plastix Holds'!$I$36:$U$498,10,0),0)</f>
        <v>0</v>
      </c>
      <c r="J5047" s="2">
        <f t="shared" si="391"/>
        <v>0</v>
      </c>
      <c r="K5047" s="2">
        <f t="shared" si="392"/>
        <v>0</v>
      </c>
    </row>
    <row r="5048" spans="5:11">
      <c r="E5048" t="s">
        <v>1435</v>
      </c>
      <c r="F5048" t="s">
        <v>1476</v>
      </c>
      <c r="G5048" s="11" t="str">
        <f t="shared" si="390"/>
        <v>11-25</v>
      </c>
      <c r="H5048" s="1">
        <f>_xlfn.IFNA(VLOOKUP(E5048,'Urban Plastix Holds'!$I$36:$U$498,11,0),0)</f>
        <v>0</v>
      </c>
      <c r="J5048" s="2">
        <f t="shared" si="391"/>
        <v>0</v>
      </c>
      <c r="K5048" s="2">
        <f t="shared" si="392"/>
        <v>0</v>
      </c>
    </row>
    <row r="5049" spans="5:11">
      <c r="E5049" t="s">
        <v>1435</v>
      </c>
      <c r="F5049" t="s">
        <v>1476</v>
      </c>
      <c r="G5049" s="13" t="str">
        <f t="shared" si="390"/>
        <v>18-01</v>
      </c>
      <c r="H5049" s="1">
        <f>_xlfn.IFNA(VLOOKUP(E5049,'Urban Plastix Holds'!$I$36:$U$498,12,0),0)</f>
        <v>0</v>
      </c>
      <c r="J5049" s="2">
        <f t="shared" si="391"/>
        <v>0</v>
      </c>
      <c r="K5049" s="2">
        <f t="shared" si="392"/>
        <v>0</v>
      </c>
    </row>
    <row r="5050" spans="5:11">
      <c r="E5050" t="s">
        <v>1435</v>
      </c>
      <c r="F5050" t="s">
        <v>1476</v>
      </c>
      <c r="G5050" s="12" t="str">
        <f t="shared" si="390"/>
        <v>12-01</v>
      </c>
      <c r="H5050" s="1">
        <f>_xlfn.IFNA(VLOOKUP(E5050,'Urban Plastix Holds'!$I$36:$U$498,13,0),0)</f>
        <v>0</v>
      </c>
      <c r="J5050" s="2">
        <f t="shared" si="391"/>
        <v>0</v>
      </c>
      <c r="K5050" s="2">
        <f t="shared" si="392"/>
        <v>0</v>
      </c>
    </row>
    <row r="5051" spans="5:11">
      <c r="E5051" t="s">
        <v>1436</v>
      </c>
      <c r="F5051" t="s">
        <v>1477</v>
      </c>
      <c r="G5051" s="5" t="str">
        <f t="shared" si="390"/>
        <v>11-12</v>
      </c>
      <c r="H5051" s="1">
        <f>_xlfn.IFNA(VLOOKUP(E5051,'Urban Plastix Holds'!$I$36:$U$498,5,0),0)</f>
        <v>0</v>
      </c>
      <c r="J5051" s="2">
        <f t="shared" si="391"/>
        <v>0</v>
      </c>
      <c r="K5051" s="2">
        <f t="shared" si="392"/>
        <v>0</v>
      </c>
    </row>
    <row r="5052" spans="5:11">
      <c r="E5052" t="s">
        <v>1436</v>
      </c>
      <c r="F5052" t="s">
        <v>1477</v>
      </c>
      <c r="G5052" s="6" t="str">
        <f t="shared" si="390"/>
        <v>14-01</v>
      </c>
      <c r="H5052" s="1">
        <f>_xlfn.IFNA(VLOOKUP(E5052,'Urban Plastix Holds'!$I$36:$U$498,6,0),0)</f>
        <v>0</v>
      </c>
      <c r="J5052" s="2">
        <f t="shared" si="391"/>
        <v>0</v>
      </c>
      <c r="K5052" s="2">
        <f t="shared" si="392"/>
        <v>0</v>
      </c>
    </row>
    <row r="5053" spans="5:11">
      <c r="E5053" t="s">
        <v>1436</v>
      </c>
      <c r="F5053" t="s">
        <v>1477</v>
      </c>
      <c r="G5053" s="7" t="str">
        <f t="shared" si="390"/>
        <v>15-12</v>
      </c>
      <c r="H5053" s="1">
        <f>_xlfn.IFNA(VLOOKUP(E5053,'Urban Plastix Holds'!$I$36:$U$498,7,0),0)</f>
        <v>0</v>
      </c>
      <c r="J5053" s="2">
        <f t="shared" si="391"/>
        <v>0</v>
      </c>
      <c r="K5053" s="2">
        <f t="shared" si="392"/>
        <v>0</v>
      </c>
    </row>
    <row r="5054" spans="5:11">
      <c r="E5054" t="s">
        <v>1436</v>
      </c>
      <c r="F5054" t="s">
        <v>1477</v>
      </c>
      <c r="G5054" s="8" t="str">
        <f t="shared" si="390"/>
        <v>16-16</v>
      </c>
      <c r="H5054" s="1">
        <f>_xlfn.IFNA(VLOOKUP(E5054,'Urban Plastix Holds'!$I$36:$U$498,8,0),0)</f>
        <v>0</v>
      </c>
      <c r="J5054" s="2">
        <f t="shared" si="391"/>
        <v>0</v>
      </c>
      <c r="K5054" s="2">
        <f t="shared" si="392"/>
        <v>0</v>
      </c>
    </row>
    <row r="5055" spans="5:11">
      <c r="E5055" t="s">
        <v>1436</v>
      </c>
      <c r="F5055" t="s">
        <v>1477</v>
      </c>
      <c r="G5055" s="9" t="str">
        <f t="shared" si="390"/>
        <v>13-01</v>
      </c>
      <c r="H5055" s="1">
        <f>_xlfn.IFNA(VLOOKUP(E5055,'Urban Plastix Holds'!$I$36:$U$498,9,0),0)</f>
        <v>0</v>
      </c>
      <c r="J5055" s="2">
        <f t="shared" si="391"/>
        <v>0</v>
      </c>
      <c r="K5055" s="2">
        <f t="shared" si="392"/>
        <v>0</v>
      </c>
    </row>
    <row r="5056" spans="5:11">
      <c r="E5056" t="s">
        <v>1436</v>
      </c>
      <c r="F5056" t="s">
        <v>1477</v>
      </c>
      <c r="G5056" s="10" t="str">
        <f t="shared" si="390"/>
        <v>07-13</v>
      </c>
      <c r="H5056" s="1">
        <f>_xlfn.IFNA(VLOOKUP(E5056,'Urban Plastix Holds'!$I$36:$U$498,10,0),0)</f>
        <v>0</v>
      </c>
      <c r="J5056" s="2">
        <f t="shared" si="391"/>
        <v>0</v>
      </c>
      <c r="K5056" s="2">
        <f t="shared" si="392"/>
        <v>0</v>
      </c>
    </row>
    <row r="5057" spans="5:11">
      <c r="E5057" t="s">
        <v>1436</v>
      </c>
      <c r="F5057" t="s">
        <v>1477</v>
      </c>
      <c r="G5057" s="11" t="str">
        <f t="shared" si="390"/>
        <v>11-25</v>
      </c>
      <c r="H5057" s="1">
        <f>_xlfn.IFNA(VLOOKUP(E5057,'Urban Plastix Holds'!$I$36:$U$498,11,0),0)</f>
        <v>0</v>
      </c>
      <c r="J5057" s="2">
        <f t="shared" si="391"/>
        <v>0</v>
      </c>
      <c r="K5057" s="2">
        <f t="shared" si="392"/>
        <v>0</v>
      </c>
    </row>
    <row r="5058" spans="5:11">
      <c r="E5058" t="s">
        <v>1436</v>
      </c>
      <c r="F5058" t="s">
        <v>1477</v>
      </c>
      <c r="G5058" s="13" t="str">
        <f t="shared" si="390"/>
        <v>18-01</v>
      </c>
      <c r="H5058" s="1">
        <f>_xlfn.IFNA(VLOOKUP(E5058,'Urban Plastix Holds'!$I$36:$U$498,12,0),0)</f>
        <v>0</v>
      </c>
      <c r="J5058" s="2">
        <f t="shared" si="391"/>
        <v>0</v>
      </c>
      <c r="K5058" s="2">
        <f t="shared" si="392"/>
        <v>0</v>
      </c>
    </row>
    <row r="5059" spans="5:11">
      <c r="E5059" t="s">
        <v>1436</v>
      </c>
      <c r="F5059" t="s">
        <v>1477</v>
      </c>
      <c r="G5059" s="12" t="str">
        <f t="shared" si="390"/>
        <v>12-01</v>
      </c>
      <c r="H5059" s="1">
        <f>_xlfn.IFNA(VLOOKUP(E5059,'Urban Plastix Holds'!$I$36:$U$498,13,0),0)</f>
        <v>0</v>
      </c>
      <c r="J5059" s="2">
        <f t="shared" si="391"/>
        <v>0</v>
      </c>
      <c r="K5059" s="2">
        <f t="shared" si="392"/>
        <v>0</v>
      </c>
    </row>
    <row r="5060" spans="5:11">
      <c r="E5060" t="s">
        <v>1437</v>
      </c>
      <c r="F5060" t="s">
        <v>1478</v>
      </c>
      <c r="G5060" s="5" t="str">
        <f t="shared" si="390"/>
        <v>11-12</v>
      </c>
      <c r="H5060" s="1">
        <f>_xlfn.IFNA(VLOOKUP(E5060,'Urban Plastix Holds'!$I$36:$U$498,5,0),0)</f>
        <v>0</v>
      </c>
      <c r="J5060" s="2">
        <f t="shared" si="391"/>
        <v>0</v>
      </c>
      <c r="K5060" s="2">
        <f t="shared" si="392"/>
        <v>0</v>
      </c>
    </row>
    <row r="5061" spans="5:11">
      <c r="E5061" t="s">
        <v>1437</v>
      </c>
      <c r="F5061" t="s">
        <v>1478</v>
      </c>
      <c r="G5061" s="6" t="str">
        <f t="shared" si="390"/>
        <v>14-01</v>
      </c>
      <c r="H5061" s="1">
        <f>_xlfn.IFNA(VLOOKUP(E5061,'Urban Plastix Holds'!$I$36:$U$498,6,0),0)</f>
        <v>0</v>
      </c>
      <c r="J5061" s="2">
        <f t="shared" si="391"/>
        <v>0</v>
      </c>
      <c r="K5061" s="2">
        <f t="shared" si="392"/>
        <v>0</v>
      </c>
    </row>
    <row r="5062" spans="5:11">
      <c r="E5062" t="s">
        <v>1437</v>
      </c>
      <c r="F5062" t="s">
        <v>1478</v>
      </c>
      <c r="G5062" s="7" t="str">
        <f t="shared" si="390"/>
        <v>15-12</v>
      </c>
      <c r="H5062" s="1">
        <f>_xlfn.IFNA(VLOOKUP(E5062,'Urban Plastix Holds'!$I$36:$U$498,7,0),0)</f>
        <v>0</v>
      </c>
      <c r="J5062" s="2">
        <f t="shared" si="391"/>
        <v>0</v>
      </c>
      <c r="K5062" s="2">
        <f t="shared" si="392"/>
        <v>0</v>
      </c>
    </row>
    <row r="5063" spans="5:11">
      <c r="E5063" t="s">
        <v>1437</v>
      </c>
      <c r="F5063" t="s">
        <v>1478</v>
      </c>
      <c r="G5063" s="8" t="str">
        <f t="shared" si="390"/>
        <v>16-16</v>
      </c>
      <c r="H5063" s="1">
        <f>_xlfn.IFNA(VLOOKUP(E5063,'Urban Plastix Holds'!$I$36:$U$498,8,0),0)</f>
        <v>0</v>
      </c>
      <c r="J5063" s="2">
        <f t="shared" si="391"/>
        <v>0</v>
      </c>
      <c r="K5063" s="2">
        <f t="shared" si="392"/>
        <v>0</v>
      </c>
    </row>
    <row r="5064" spans="5:11">
      <c r="E5064" t="s">
        <v>1437</v>
      </c>
      <c r="F5064" t="s">
        <v>1478</v>
      </c>
      <c r="G5064" s="9" t="str">
        <f t="shared" si="390"/>
        <v>13-01</v>
      </c>
      <c r="H5064" s="1">
        <f>_xlfn.IFNA(VLOOKUP(E5064,'Urban Plastix Holds'!$I$36:$U$498,9,0),0)</f>
        <v>0</v>
      </c>
      <c r="J5064" s="2">
        <f t="shared" si="391"/>
        <v>0</v>
      </c>
      <c r="K5064" s="2">
        <f t="shared" si="392"/>
        <v>0</v>
      </c>
    </row>
    <row r="5065" spans="5:11">
      <c r="E5065" t="s">
        <v>1437</v>
      </c>
      <c r="F5065" t="s">
        <v>1478</v>
      </c>
      <c r="G5065" s="10" t="str">
        <f t="shared" si="390"/>
        <v>07-13</v>
      </c>
      <c r="H5065" s="1">
        <f>_xlfn.IFNA(VLOOKUP(E5065,'Urban Plastix Holds'!$I$36:$U$498,10,0),0)</f>
        <v>0</v>
      </c>
      <c r="J5065" s="2">
        <f t="shared" si="391"/>
        <v>0</v>
      </c>
      <c r="K5065" s="2">
        <f t="shared" si="392"/>
        <v>0</v>
      </c>
    </row>
    <row r="5066" spans="5:11">
      <c r="E5066" t="s">
        <v>1437</v>
      </c>
      <c r="F5066" t="s">
        <v>1478</v>
      </c>
      <c r="G5066" s="11" t="str">
        <f t="shared" si="390"/>
        <v>11-25</v>
      </c>
      <c r="H5066" s="1">
        <f>_xlfn.IFNA(VLOOKUP(E5066,'Urban Plastix Holds'!$I$36:$U$498,11,0),0)</f>
        <v>0</v>
      </c>
      <c r="J5066" s="2">
        <f t="shared" si="391"/>
        <v>0</v>
      </c>
      <c r="K5066" s="2">
        <f t="shared" si="392"/>
        <v>0</v>
      </c>
    </row>
    <row r="5067" spans="5:11">
      <c r="E5067" t="s">
        <v>1437</v>
      </c>
      <c r="F5067" t="s">
        <v>1478</v>
      </c>
      <c r="G5067" s="13" t="str">
        <f t="shared" si="390"/>
        <v>18-01</v>
      </c>
      <c r="H5067" s="1">
        <f>_xlfn.IFNA(VLOOKUP(E5067,'Urban Plastix Holds'!$I$36:$U$498,12,0),0)</f>
        <v>0</v>
      </c>
      <c r="J5067" s="2">
        <f t="shared" si="391"/>
        <v>0</v>
      </c>
      <c r="K5067" s="2">
        <f t="shared" si="392"/>
        <v>0</v>
      </c>
    </row>
    <row r="5068" spans="5:11">
      <c r="E5068" t="s">
        <v>1437</v>
      </c>
      <c r="F5068" t="s">
        <v>1478</v>
      </c>
      <c r="G5068" s="12" t="str">
        <f t="shared" si="390"/>
        <v>12-01</v>
      </c>
      <c r="H5068" s="1">
        <f>_xlfn.IFNA(VLOOKUP(E5068,'Urban Plastix Holds'!$I$36:$U$498,13,0),0)</f>
        <v>0</v>
      </c>
      <c r="J5068" s="2">
        <f t="shared" si="391"/>
        <v>0</v>
      </c>
      <c r="K5068" s="2">
        <f t="shared" si="392"/>
        <v>0</v>
      </c>
    </row>
    <row r="5069" spans="5:11">
      <c r="E5069" t="s">
        <v>1438</v>
      </c>
      <c r="F5069" t="s">
        <v>1479</v>
      </c>
      <c r="G5069" s="5" t="str">
        <f t="shared" si="390"/>
        <v>11-12</v>
      </c>
      <c r="H5069" s="1">
        <f>_xlfn.IFNA(VLOOKUP(E5069,'Urban Plastix Holds'!$I$36:$U$498,5,0),0)</f>
        <v>0</v>
      </c>
      <c r="J5069" s="2">
        <f t="shared" si="391"/>
        <v>0</v>
      </c>
      <c r="K5069" s="2">
        <f t="shared" si="392"/>
        <v>0</v>
      </c>
    </row>
    <row r="5070" spans="5:11">
      <c r="E5070" t="s">
        <v>1438</v>
      </c>
      <c r="F5070" t="s">
        <v>1479</v>
      </c>
      <c r="G5070" s="6" t="str">
        <f t="shared" si="390"/>
        <v>14-01</v>
      </c>
      <c r="H5070" s="1">
        <f>_xlfn.IFNA(VLOOKUP(E5070,'Urban Plastix Holds'!$I$36:$U$498,6,0),0)</f>
        <v>0</v>
      </c>
      <c r="J5070" s="2">
        <f t="shared" si="391"/>
        <v>0</v>
      </c>
      <c r="K5070" s="2">
        <f t="shared" si="392"/>
        <v>0</v>
      </c>
    </row>
    <row r="5071" spans="5:11">
      <c r="E5071" t="s">
        <v>1438</v>
      </c>
      <c r="F5071" t="s">
        <v>1479</v>
      </c>
      <c r="G5071" s="7" t="str">
        <f t="shared" si="390"/>
        <v>15-12</v>
      </c>
      <c r="H5071" s="1">
        <f>_xlfn.IFNA(VLOOKUP(E5071,'Urban Plastix Holds'!$I$36:$U$498,7,0),0)</f>
        <v>0</v>
      </c>
      <c r="J5071" s="2">
        <f t="shared" si="391"/>
        <v>0</v>
      </c>
      <c r="K5071" s="2">
        <f t="shared" si="392"/>
        <v>0</v>
      </c>
    </row>
    <row r="5072" spans="5:11">
      <c r="E5072" t="s">
        <v>1438</v>
      </c>
      <c r="F5072" t="s">
        <v>1479</v>
      </c>
      <c r="G5072" s="8" t="str">
        <f t="shared" si="390"/>
        <v>16-16</v>
      </c>
      <c r="H5072" s="1">
        <f>_xlfn.IFNA(VLOOKUP(E5072,'Urban Plastix Holds'!$I$36:$U$498,8,0),0)</f>
        <v>0</v>
      </c>
      <c r="J5072" s="2">
        <f t="shared" si="391"/>
        <v>0</v>
      </c>
      <c r="K5072" s="2">
        <f t="shared" si="392"/>
        <v>0</v>
      </c>
    </row>
    <row r="5073" spans="5:11">
      <c r="E5073" t="s">
        <v>1438</v>
      </c>
      <c r="F5073" t="s">
        <v>1479</v>
      </c>
      <c r="G5073" s="9" t="str">
        <f t="shared" si="390"/>
        <v>13-01</v>
      </c>
      <c r="H5073" s="1">
        <f>_xlfn.IFNA(VLOOKUP(E5073,'Urban Plastix Holds'!$I$36:$U$498,9,0),0)</f>
        <v>0</v>
      </c>
      <c r="J5073" s="2">
        <f t="shared" si="391"/>
        <v>0</v>
      </c>
      <c r="K5073" s="2">
        <f t="shared" si="392"/>
        <v>0</v>
      </c>
    </row>
    <row r="5074" spans="5:11">
      <c r="E5074" t="s">
        <v>1438</v>
      </c>
      <c r="F5074" t="s">
        <v>1479</v>
      </c>
      <c r="G5074" s="10" t="str">
        <f t="shared" si="390"/>
        <v>07-13</v>
      </c>
      <c r="H5074" s="1">
        <f>_xlfn.IFNA(VLOOKUP(E5074,'Urban Plastix Holds'!$I$36:$U$498,10,0),0)</f>
        <v>0</v>
      </c>
      <c r="J5074" s="2">
        <f t="shared" si="391"/>
        <v>0</v>
      </c>
      <c r="K5074" s="2">
        <f t="shared" si="392"/>
        <v>0</v>
      </c>
    </row>
    <row r="5075" spans="5:11">
      <c r="E5075" t="s">
        <v>1438</v>
      </c>
      <c r="F5075" t="s">
        <v>1479</v>
      </c>
      <c r="G5075" s="11" t="str">
        <f t="shared" si="390"/>
        <v>11-25</v>
      </c>
      <c r="H5075" s="1">
        <f>_xlfn.IFNA(VLOOKUP(E5075,'Urban Plastix Holds'!$I$36:$U$498,11,0),0)</f>
        <v>0</v>
      </c>
      <c r="J5075" s="2">
        <f t="shared" si="391"/>
        <v>0</v>
      </c>
      <c r="K5075" s="2">
        <f t="shared" si="392"/>
        <v>0</v>
      </c>
    </row>
    <row r="5076" spans="5:11">
      <c r="E5076" t="s">
        <v>1438</v>
      </c>
      <c r="F5076" t="s">
        <v>1479</v>
      </c>
      <c r="G5076" s="13" t="str">
        <f t="shared" si="390"/>
        <v>18-01</v>
      </c>
      <c r="H5076" s="1">
        <f>_xlfn.IFNA(VLOOKUP(E5076,'Urban Plastix Holds'!$I$36:$U$498,12,0),0)</f>
        <v>0</v>
      </c>
      <c r="J5076" s="2">
        <f t="shared" si="391"/>
        <v>0</v>
      </c>
      <c r="K5076" s="2">
        <f t="shared" si="392"/>
        <v>0</v>
      </c>
    </row>
    <row r="5077" spans="5:11">
      <c r="E5077" t="s">
        <v>1438</v>
      </c>
      <c r="F5077" t="s">
        <v>1479</v>
      </c>
      <c r="G5077" s="12" t="str">
        <f t="shared" si="390"/>
        <v>12-01</v>
      </c>
      <c r="H5077" s="1">
        <f>_xlfn.IFNA(VLOOKUP(E5077,'Urban Plastix Holds'!$I$36:$U$498,13,0),0)</f>
        <v>0</v>
      </c>
      <c r="J5077" s="2">
        <f t="shared" si="391"/>
        <v>0</v>
      </c>
      <c r="K5077" s="2">
        <f t="shared" si="392"/>
        <v>0</v>
      </c>
    </row>
    <row r="5078" spans="5:11">
      <c r="E5078" t="s">
        <v>1439</v>
      </c>
      <c r="F5078" t="s">
        <v>1480</v>
      </c>
      <c r="G5078" s="5" t="str">
        <f t="shared" si="390"/>
        <v>11-12</v>
      </c>
      <c r="H5078" s="1">
        <f>_xlfn.IFNA(VLOOKUP(E5078,'Urban Plastix Holds'!$I$36:$U$498,5,0),0)</f>
        <v>0</v>
      </c>
      <c r="J5078" s="2">
        <f t="shared" si="391"/>
        <v>0</v>
      </c>
      <c r="K5078" s="2">
        <f t="shared" si="392"/>
        <v>0</v>
      </c>
    </row>
    <row r="5079" spans="5:11">
      <c r="E5079" t="s">
        <v>1439</v>
      </c>
      <c r="F5079" t="s">
        <v>1480</v>
      </c>
      <c r="G5079" s="6" t="str">
        <f t="shared" si="390"/>
        <v>14-01</v>
      </c>
      <c r="H5079" s="1">
        <f>_xlfn.IFNA(VLOOKUP(E5079,'Urban Plastix Holds'!$I$36:$U$498,6,0),0)</f>
        <v>0</v>
      </c>
      <c r="J5079" s="2">
        <f t="shared" si="391"/>
        <v>0</v>
      </c>
      <c r="K5079" s="2">
        <f t="shared" si="392"/>
        <v>0</v>
      </c>
    </row>
    <row r="5080" spans="5:11">
      <c r="E5080" t="s">
        <v>1439</v>
      </c>
      <c r="F5080" t="s">
        <v>1480</v>
      </c>
      <c r="G5080" s="7" t="str">
        <f t="shared" ref="G5080:G5143" si="393">G5071</f>
        <v>15-12</v>
      </c>
      <c r="H5080" s="1">
        <f>_xlfn.IFNA(VLOOKUP(E5080,'Urban Plastix Holds'!$I$36:$U$498,7,0),0)</f>
        <v>0</v>
      </c>
      <c r="J5080" s="2">
        <f t="shared" si="391"/>
        <v>0</v>
      </c>
      <c r="K5080" s="2">
        <f t="shared" si="392"/>
        <v>0</v>
      </c>
    </row>
    <row r="5081" spans="5:11">
      <c r="E5081" t="s">
        <v>1439</v>
      </c>
      <c r="F5081" t="s">
        <v>1480</v>
      </c>
      <c r="G5081" s="8" t="str">
        <f t="shared" si="393"/>
        <v>16-16</v>
      </c>
      <c r="H5081" s="1">
        <f>_xlfn.IFNA(VLOOKUP(E5081,'Urban Plastix Holds'!$I$36:$U$498,8,0),0)</f>
        <v>0</v>
      </c>
      <c r="J5081" s="2">
        <f t="shared" si="391"/>
        <v>0</v>
      </c>
      <c r="K5081" s="2">
        <f t="shared" si="392"/>
        <v>0</v>
      </c>
    </row>
    <row r="5082" spans="5:11">
      <c r="E5082" t="s">
        <v>1439</v>
      </c>
      <c r="F5082" t="s">
        <v>1480</v>
      </c>
      <c r="G5082" s="9" t="str">
        <f t="shared" si="393"/>
        <v>13-01</v>
      </c>
      <c r="H5082" s="1">
        <f>_xlfn.IFNA(VLOOKUP(E5082,'Urban Plastix Holds'!$I$36:$U$498,9,0),0)</f>
        <v>0</v>
      </c>
      <c r="J5082" s="2">
        <f t="shared" si="391"/>
        <v>0</v>
      </c>
      <c r="K5082" s="2">
        <f t="shared" si="392"/>
        <v>0</v>
      </c>
    </row>
    <row r="5083" spans="5:11">
      <c r="E5083" t="s">
        <v>1439</v>
      </c>
      <c r="F5083" t="s">
        <v>1480</v>
      </c>
      <c r="G5083" s="10" t="str">
        <f t="shared" si="393"/>
        <v>07-13</v>
      </c>
      <c r="H5083" s="1">
        <f>_xlfn.IFNA(VLOOKUP(E5083,'Urban Plastix Holds'!$I$36:$U$498,10,0),0)</f>
        <v>0</v>
      </c>
      <c r="J5083" s="2">
        <f t="shared" si="391"/>
        <v>0</v>
      </c>
      <c r="K5083" s="2">
        <f t="shared" si="392"/>
        <v>0</v>
      </c>
    </row>
    <row r="5084" spans="5:11">
      <c r="E5084" t="s">
        <v>1439</v>
      </c>
      <c r="F5084" t="s">
        <v>1480</v>
      </c>
      <c r="G5084" s="11" t="str">
        <f t="shared" si="393"/>
        <v>11-25</v>
      </c>
      <c r="H5084" s="1">
        <f>_xlfn.IFNA(VLOOKUP(E5084,'Urban Plastix Holds'!$I$36:$U$498,11,0),0)</f>
        <v>0</v>
      </c>
      <c r="J5084" s="2">
        <f t="shared" si="391"/>
        <v>0</v>
      </c>
      <c r="K5084" s="2">
        <f t="shared" si="392"/>
        <v>0</v>
      </c>
    </row>
    <row r="5085" spans="5:11">
      <c r="E5085" t="s">
        <v>1439</v>
      </c>
      <c r="F5085" t="s">
        <v>1480</v>
      </c>
      <c r="G5085" s="13" t="str">
        <f t="shared" si="393"/>
        <v>18-01</v>
      </c>
      <c r="H5085" s="1">
        <f>_xlfn.IFNA(VLOOKUP(E5085,'Urban Plastix Holds'!$I$36:$U$498,12,0),0)</f>
        <v>0</v>
      </c>
      <c r="J5085" s="2">
        <f t="shared" si="391"/>
        <v>0</v>
      </c>
      <c r="K5085" s="2">
        <f t="shared" si="392"/>
        <v>0</v>
      </c>
    </row>
    <row r="5086" spans="5:11">
      <c r="E5086" t="s">
        <v>1439</v>
      </c>
      <c r="F5086" t="s">
        <v>1480</v>
      </c>
      <c r="G5086" s="12" t="str">
        <f t="shared" si="393"/>
        <v>12-01</v>
      </c>
      <c r="H5086" s="1">
        <f>_xlfn.IFNA(VLOOKUP(E5086,'Urban Plastix Holds'!$I$36:$U$498,13,0),0)</f>
        <v>0</v>
      </c>
      <c r="J5086" s="2">
        <f t="shared" si="391"/>
        <v>0</v>
      </c>
      <c r="K5086" s="2">
        <f t="shared" si="392"/>
        <v>0</v>
      </c>
    </row>
    <row r="5087" spans="5:11">
      <c r="E5087" t="s">
        <v>1440</v>
      </c>
      <c r="F5087" t="s">
        <v>1481</v>
      </c>
      <c r="G5087" s="5" t="str">
        <f t="shared" si="393"/>
        <v>11-12</v>
      </c>
      <c r="H5087" s="1">
        <f>_xlfn.IFNA(VLOOKUP(E5087,'Urban Plastix Holds'!$I$36:$U$498,5,0),0)</f>
        <v>0</v>
      </c>
      <c r="J5087" s="2">
        <f t="shared" si="391"/>
        <v>0</v>
      </c>
      <c r="K5087" s="2">
        <f t="shared" si="392"/>
        <v>0</v>
      </c>
    </row>
    <row r="5088" spans="5:11">
      <c r="E5088" t="s">
        <v>1440</v>
      </c>
      <c r="F5088" t="s">
        <v>1481</v>
      </c>
      <c r="G5088" s="6" t="str">
        <f t="shared" si="393"/>
        <v>14-01</v>
      </c>
      <c r="H5088" s="1">
        <f>_xlfn.IFNA(VLOOKUP(E5088,'Urban Plastix Holds'!$I$36:$U$498,6,0),0)</f>
        <v>0</v>
      </c>
      <c r="J5088" s="2">
        <f t="shared" si="391"/>
        <v>0</v>
      </c>
      <c r="K5088" s="2">
        <f t="shared" si="392"/>
        <v>0</v>
      </c>
    </row>
    <row r="5089" spans="5:11">
      <c r="E5089" t="s">
        <v>1440</v>
      </c>
      <c r="F5089" t="s">
        <v>1481</v>
      </c>
      <c r="G5089" s="7" t="str">
        <f t="shared" si="393"/>
        <v>15-12</v>
      </c>
      <c r="H5089" s="1">
        <f>_xlfn.IFNA(VLOOKUP(E5089,'Urban Plastix Holds'!$I$36:$U$498,7,0),0)</f>
        <v>0</v>
      </c>
      <c r="J5089" s="2">
        <f t="shared" si="391"/>
        <v>0</v>
      </c>
      <c r="K5089" s="2">
        <f t="shared" si="392"/>
        <v>0</v>
      </c>
    </row>
    <row r="5090" spans="5:11">
      <c r="E5090" t="s">
        <v>1440</v>
      </c>
      <c r="F5090" t="s">
        <v>1481</v>
      </c>
      <c r="G5090" s="8" t="str">
        <f t="shared" si="393"/>
        <v>16-16</v>
      </c>
      <c r="H5090" s="1">
        <f>_xlfn.IFNA(VLOOKUP(E5090,'Urban Plastix Holds'!$I$36:$U$498,8,0),0)</f>
        <v>0</v>
      </c>
      <c r="J5090" s="2">
        <f t="shared" si="391"/>
        <v>0</v>
      </c>
      <c r="K5090" s="2">
        <f t="shared" si="392"/>
        <v>0</v>
      </c>
    </row>
    <row r="5091" spans="5:11">
      <c r="E5091" t="s">
        <v>1440</v>
      </c>
      <c r="F5091" t="s">
        <v>1481</v>
      </c>
      <c r="G5091" s="9" t="str">
        <f t="shared" si="393"/>
        <v>13-01</v>
      </c>
      <c r="H5091" s="1">
        <f>_xlfn.IFNA(VLOOKUP(E5091,'Urban Plastix Holds'!$I$36:$U$498,9,0),0)</f>
        <v>0</v>
      </c>
      <c r="J5091" s="2">
        <f t="shared" si="391"/>
        <v>0</v>
      </c>
      <c r="K5091" s="2">
        <f t="shared" si="392"/>
        <v>0</v>
      </c>
    </row>
    <row r="5092" spans="5:11">
      <c r="E5092" t="s">
        <v>1440</v>
      </c>
      <c r="F5092" t="s">
        <v>1481</v>
      </c>
      <c r="G5092" s="10" t="str">
        <f t="shared" si="393"/>
        <v>07-13</v>
      </c>
      <c r="H5092" s="1">
        <f>_xlfn.IFNA(VLOOKUP(E5092,'Urban Plastix Holds'!$I$36:$U$498,10,0),0)</f>
        <v>0</v>
      </c>
      <c r="J5092" s="2">
        <f t="shared" si="391"/>
        <v>0</v>
      </c>
      <c r="K5092" s="2">
        <f t="shared" si="392"/>
        <v>0</v>
      </c>
    </row>
    <row r="5093" spans="5:11">
      <c r="E5093" t="s">
        <v>1440</v>
      </c>
      <c r="F5093" t="s">
        <v>1481</v>
      </c>
      <c r="G5093" s="11" t="str">
        <f t="shared" si="393"/>
        <v>11-25</v>
      </c>
      <c r="H5093" s="1">
        <f>_xlfn.IFNA(VLOOKUP(E5093,'Urban Plastix Holds'!$I$36:$U$498,11,0),0)</f>
        <v>0</v>
      </c>
      <c r="J5093" s="2">
        <f t="shared" si="391"/>
        <v>0</v>
      </c>
      <c r="K5093" s="2">
        <f t="shared" si="392"/>
        <v>0</v>
      </c>
    </row>
    <row r="5094" spans="5:11">
      <c r="E5094" t="s">
        <v>1440</v>
      </c>
      <c r="F5094" t="s">
        <v>1481</v>
      </c>
      <c r="G5094" s="13" t="str">
        <f t="shared" si="393"/>
        <v>18-01</v>
      </c>
      <c r="H5094" s="1">
        <f>_xlfn.IFNA(VLOOKUP(E5094,'Urban Plastix Holds'!$I$36:$U$498,12,0),0)</f>
        <v>0</v>
      </c>
      <c r="J5094" s="2">
        <f t="shared" si="391"/>
        <v>0</v>
      </c>
      <c r="K5094" s="2">
        <f t="shared" si="392"/>
        <v>0</v>
      </c>
    </row>
    <row r="5095" spans="5:11">
      <c r="E5095" t="s">
        <v>1440</v>
      </c>
      <c r="F5095" t="s">
        <v>1481</v>
      </c>
      <c r="G5095" s="12" t="str">
        <f t="shared" si="393"/>
        <v>12-01</v>
      </c>
      <c r="H5095" s="1">
        <f>_xlfn.IFNA(VLOOKUP(E5095,'Urban Plastix Holds'!$I$36:$U$498,13,0),0)</f>
        <v>0</v>
      </c>
      <c r="J5095" s="2">
        <f t="shared" si="391"/>
        <v>0</v>
      </c>
      <c r="K5095" s="2">
        <f t="shared" si="392"/>
        <v>0</v>
      </c>
    </row>
    <row r="5096" spans="5:11">
      <c r="E5096" t="s">
        <v>1441</v>
      </c>
      <c r="F5096" t="s">
        <v>1482</v>
      </c>
      <c r="G5096" s="5" t="str">
        <f t="shared" si="393"/>
        <v>11-12</v>
      </c>
      <c r="H5096" s="1">
        <f>_xlfn.IFNA(VLOOKUP(E5096,'Urban Plastix Holds'!$I$36:$U$498,5,0),0)</f>
        <v>0</v>
      </c>
      <c r="J5096" s="2">
        <f t="shared" si="391"/>
        <v>0</v>
      </c>
      <c r="K5096" s="2">
        <f t="shared" si="392"/>
        <v>0</v>
      </c>
    </row>
    <row r="5097" spans="5:11">
      <c r="E5097" t="s">
        <v>1441</v>
      </c>
      <c r="F5097" t="s">
        <v>1482</v>
      </c>
      <c r="G5097" s="6" t="str">
        <f t="shared" si="393"/>
        <v>14-01</v>
      </c>
      <c r="H5097" s="1">
        <f>_xlfn.IFNA(VLOOKUP(E5097,'Urban Plastix Holds'!$I$36:$U$498,6,0),0)</f>
        <v>0</v>
      </c>
      <c r="J5097" s="2">
        <f t="shared" si="391"/>
        <v>0</v>
      </c>
      <c r="K5097" s="2">
        <f t="shared" si="392"/>
        <v>0</v>
      </c>
    </row>
    <row r="5098" spans="5:11">
      <c r="E5098" t="s">
        <v>1441</v>
      </c>
      <c r="F5098" t="s">
        <v>1482</v>
      </c>
      <c r="G5098" s="7" t="str">
        <f t="shared" si="393"/>
        <v>15-12</v>
      </c>
      <c r="H5098" s="1">
        <f>_xlfn.IFNA(VLOOKUP(E5098,'Urban Plastix Holds'!$I$36:$U$498,7,0),0)</f>
        <v>0</v>
      </c>
      <c r="J5098" s="2">
        <f t="shared" si="391"/>
        <v>0</v>
      </c>
      <c r="K5098" s="2">
        <f t="shared" si="392"/>
        <v>0</v>
      </c>
    </row>
    <row r="5099" spans="5:11">
      <c r="E5099" t="s">
        <v>1441</v>
      </c>
      <c r="F5099" t="s">
        <v>1482</v>
      </c>
      <c r="G5099" s="8" t="str">
        <f t="shared" si="393"/>
        <v>16-16</v>
      </c>
      <c r="H5099" s="1">
        <f>_xlfn.IFNA(VLOOKUP(E5099,'Urban Plastix Holds'!$I$36:$U$498,8,0),0)</f>
        <v>0</v>
      </c>
      <c r="J5099" s="2">
        <f t="shared" si="391"/>
        <v>0</v>
      </c>
      <c r="K5099" s="2">
        <f t="shared" si="392"/>
        <v>0</v>
      </c>
    </row>
    <row r="5100" spans="5:11">
      <c r="E5100" t="s">
        <v>1441</v>
      </c>
      <c r="F5100" t="s">
        <v>1482</v>
      </c>
      <c r="G5100" s="9" t="str">
        <f t="shared" si="393"/>
        <v>13-01</v>
      </c>
      <c r="H5100" s="1">
        <f>_xlfn.IFNA(VLOOKUP(E5100,'Urban Plastix Holds'!$I$36:$U$498,9,0),0)</f>
        <v>0</v>
      </c>
      <c r="J5100" s="2">
        <f t="shared" si="391"/>
        <v>0</v>
      </c>
      <c r="K5100" s="2">
        <f t="shared" si="392"/>
        <v>0</v>
      </c>
    </row>
    <row r="5101" spans="5:11">
      <c r="E5101" t="s">
        <v>1441</v>
      </c>
      <c r="F5101" t="s">
        <v>1482</v>
      </c>
      <c r="G5101" s="10" t="str">
        <f t="shared" si="393"/>
        <v>07-13</v>
      </c>
      <c r="H5101" s="1">
        <f>_xlfn.IFNA(VLOOKUP(E5101,'Urban Plastix Holds'!$I$36:$U$498,10,0),0)</f>
        <v>0</v>
      </c>
      <c r="J5101" s="2">
        <f t="shared" si="391"/>
        <v>0</v>
      </c>
      <c r="K5101" s="2">
        <f t="shared" si="392"/>
        <v>0</v>
      </c>
    </row>
    <row r="5102" spans="5:11">
      <c r="E5102" t="s">
        <v>1441</v>
      </c>
      <c r="F5102" t="s">
        <v>1482</v>
      </c>
      <c r="G5102" s="11" t="str">
        <f t="shared" si="393"/>
        <v>11-25</v>
      </c>
      <c r="H5102" s="1">
        <f>_xlfn.IFNA(VLOOKUP(E5102,'Urban Plastix Holds'!$I$36:$U$498,11,0),0)</f>
        <v>0</v>
      </c>
      <c r="J5102" s="2">
        <f t="shared" ref="J5102:J5165" si="394">H5102*I5102</f>
        <v>0</v>
      </c>
      <c r="K5102" s="2">
        <f t="shared" ref="K5102:K5165" si="395">IF($V$11="Y",J5102*0.05,0)</f>
        <v>0</v>
      </c>
    </row>
    <row r="5103" spans="5:11">
      <c r="E5103" t="s">
        <v>1441</v>
      </c>
      <c r="F5103" t="s">
        <v>1482</v>
      </c>
      <c r="G5103" s="13" t="str">
        <f t="shared" si="393"/>
        <v>18-01</v>
      </c>
      <c r="H5103" s="1">
        <f>_xlfn.IFNA(VLOOKUP(E5103,'Urban Plastix Holds'!$I$36:$U$498,12,0),0)</f>
        <v>0</v>
      </c>
      <c r="J5103" s="2">
        <f t="shared" si="394"/>
        <v>0</v>
      </c>
      <c r="K5103" s="2">
        <f t="shared" si="395"/>
        <v>0</v>
      </c>
    </row>
    <row r="5104" spans="5:11">
      <c r="E5104" t="s">
        <v>1441</v>
      </c>
      <c r="F5104" t="s">
        <v>1482</v>
      </c>
      <c r="G5104" s="12" t="str">
        <f t="shared" si="393"/>
        <v>12-01</v>
      </c>
      <c r="H5104" s="1">
        <f>_xlfn.IFNA(VLOOKUP(E5104,'Urban Plastix Holds'!$I$36:$U$498,13,0),0)</f>
        <v>0</v>
      </c>
      <c r="J5104" s="2">
        <f t="shared" si="394"/>
        <v>0</v>
      </c>
      <c r="K5104" s="2">
        <f t="shared" si="395"/>
        <v>0</v>
      </c>
    </row>
    <row r="5105" spans="5:11">
      <c r="E5105" t="s">
        <v>1322</v>
      </c>
      <c r="F5105" t="s">
        <v>1483</v>
      </c>
      <c r="G5105" s="5" t="str">
        <f t="shared" si="393"/>
        <v>11-12</v>
      </c>
      <c r="H5105" s="1">
        <f>_xlfn.IFNA(VLOOKUP(E5105,'Urban Plastix Holds'!$I$36:$U$498,5,0),0)</f>
        <v>0</v>
      </c>
      <c r="J5105" s="2">
        <f t="shared" si="394"/>
        <v>0</v>
      </c>
      <c r="K5105" s="2">
        <f t="shared" si="395"/>
        <v>0</v>
      </c>
    </row>
    <row r="5106" spans="5:11">
      <c r="E5106" t="s">
        <v>1322</v>
      </c>
      <c r="F5106" t="s">
        <v>1483</v>
      </c>
      <c r="G5106" s="6" t="str">
        <f t="shared" si="393"/>
        <v>14-01</v>
      </c>
      <c r="H5106" s="1">
        <f>_xlfn.IFNA(VLOOKUP(E5106,'Urban Plastix Holds'!$I$36:$U$498,6,0),0)</f>
        <v>0</v>
      </c>
      <c r="J5106" s="2">
        <f t="shared" si="394"/>
        <v>0</v>
      </c>
      <c r="K5106" s="2">
        <f t="shared" si="395"/>
        <v>0</v>
      </c>
    </row>
    <row r="5107" spans="5:11">
      <c r="E5107" t="s">
        <v>1322</v>
      </c>
      <c r="F5107" t="s">
        <v>1483</v>
      </c>
      <c r="G5107" s="7" t="str">
        <f t="shared" si="393"/>
        <v>15-12</v>
      </c>
      <c r="H5107" s="1">
        <f>_xlfn.IFNA(VLOOKUP(E5107,'Urban Plastix Holds'!$I$36:$U$498,7,0),0)</f>
        <v>0</v>
      </c>
      <c r="J5107" s="2">
        <f t="shared" si="394"/>
        <v>0</v>
      </c>
      <c r="K5107" s="2">
        <f t="shared" si="395"/>
        <v>0</v>
      </c>
    </row>
    <row r="5108" spans="5:11">
      <c r="E5108" t="s">
        <v>1322</v>
      </c>
      <c r="F5108" t="s">
        <v>1483</v>
      </c>
      <c r="G5108" s="8" t="str">
        <f t="shared" si="393"/>
        <v>16-16</v>
      </c>
      <c r="H5108" s="1">
        <f>_xlfn.IFNA(VLOOKUP(E5108,'Urban Plastix Holds'!$I$36:$U$498,8,0),0)</f>
        <v>0</v>
      </c>
      <c r="J5108" s="2">
        <f t="shared" si="394"/>
        <v>0</v>
      </c>
      <c r="K5108" s="2">
        <f t="shared" si="395"/>
        <v>0</v>
      </c>
    </row>
    <row r="5109" spans="5:11">
      <c r="E5109" t="s">
        <v>1322</v>
      </c>
      <c r="F5109" t="s">
        <v>1483</v>
      </c>
      <c r="G5109" s="9" t="str">
        <f t="shared" si="393"/>
        <v>13-01</v>
      </c>
      <c r="H5109" s="1">
        <f>_xlfn.IFNA(VLOOKUP(E5109,'Urban Plastix Holds'!$I$36:$U$498,9,0),0)</f>
        <v>0</v>
      </c>
      <c r="J5109" s="2">
        <f t="shared" si="394"/>
        <v>0</v>
      </c>
      <c r="K5109" s="2">
        <f t="shared" si="395"/>
        <v>0</v>
      </c>
    </row>
    <row r="5110" spans="5:11">
      <c r="E5110" t="s">
        <v>1322</v>
      </c>
      <c r="F5110" t="s">
        <v>1483</v>
      </c>
      <c r="G5110" s="10" t="str">
        <f t="shared" si="393"/>
        <v>07-13</v>
      </c>
      <c r="H5110" s="1">
        <f>_xlfn.IFNA(VLOOKUP(E5110,'Urban Plastix Holds'!$I$36:$U$498,10,0),0)</f>
        <v>0</v>
      </c>
      <c r="J5110" s="2">
        <f t="shared" si="394"/>
        <v>0</v>
      </c>
      <c r="K5110" s="2">
        <f t="shared" si="395"/>
        <v>0</v>
      </c>
    </row>
    <row r="5111" spans="5:11">
      <c r="E5111" t="s">
        <v>1322</v>
      </c>
      <c r="F5111" t="s">
        <v>1483</v>
      </c>
      <c r="G5111" s="11" t="str">
        <f t="shared" si="393"/>
        <v>11-25</v>
      </c>
      <c r="H5111" s="1">
        <f>_xlfn.IFNA(VLOOKUP(E5111,'Urban Plastix Holds'!$I$36:$U$498,11,0),0)</f>
        <v>0</v>
      </c>
      <c r="J5111" s="2">
        <f t="shared" si="394"/>
        <v>0</v>
      </c>
      <c r="K5111" s="2">
        <f t="shared" si="395"/>
        <v>0</v>
      </c>
    </row>
    <row r="5112" spans="5:11">
      <c r="E5112" t="s">
        <v>1322</v>
      </c>
      <c r="F5112" t="s">
        <v>1483</v>
      </c>
      <c r="G5112" s="13" t="str">
        <f t="shared" si="393"/>
        <v>18-01</v>
      </c>
      <c r="H5112" s="1">
        <f>_xlfn.IFNA(VLOOKUP(E5112,'Urban Plastix Holds'!$I$36:$U$498,12,0),0)</f>
        <v>0</v>
      </c>
      <c r="J5112" s="2">
        <f t="shared" si="394"/>
        <v>0</v>
      </c>
      <c r="K5112" s="2">
        <f t="shared" si="395"/>
        <v>0</v>
      </c>
    </row>
    <row r="5113" spans="5:11">
      <c r="E5113" t="s">
        <v>1322</v>
      </c>
      <c r="F5113" t="s">
        <v>1483</v>
      </c>
      <c r="G5113" s="12" t="str">
        <f t="shared" si="393"/>
        <v>12-01</v>
      </c>
      <c r="H5113" s="1">
        <f>_xlfn.IFNA(VLOOKUP(E5113,'Urban Plastix Holds'!$I$36:$U$498,13,0),0)</f>
        <v>0</v>
      </c>
      <c r="J5113" s="2">
        <f t="shared" si="394"/>
        <v>0</v>
      </c>
      <c r="K5113" s="2">
        <f t="shared" si="395"/>
        <v>0</v>
      </c>
    </row>
    <row r="5114" spans="5:11">
      <c r="E5114" t="s">
        <v>1244</v>
      </c>
      <c r="F5114" t="s">
        <v>1484</v>
      </c>
      <c r="G5114" s="5" t="str">
        <f t="shared" si="393"/>
        <v>11-12</v>
      </c>
      <c r="H5114" s="1">
        <f>_xlfn.IFNA(VLOOKUP(E5114,'Urban Plastix Holds'!$I$36:$U$498,5,0),0)</f>
        <v>0</v>
      </c>
      <c r="J5114" s="2">
        <f t="shared" si="394"/>
        <v>0</v>
      </c>
      <c r="K5114" s="2">
        <f t="shared" si="395"/>
        <v>0</v>
      </c>
    </row>
    <row r="5115" spans="5:11">
      <c r="E5115" t="s">
        <v>1244</v>
      </c>
      <c r="F5115" t="s">
        <v>1484</v>
      </c>
      <c r="G5115" s="6" t="str">
        <f t="shared" si="393"/>
        <v>14-01</v>
      </c>
      <c r="H5115" s="1">
        <f>_xlfn.IFNA(VLOOKUP(E5115,'Urban Plastix Holds'!$I$36:$U$498,6,0),0)</f>
        <v>0</v>
      </c>
      <c r="J5115" s="2">
        <f t="shared" si="394"/>
        <v>0</v>
      </c>
      <c r="K5115" s="2">
        <f t="shared" si="395"/>
        <v>0</v>
      </c>
    </row>
    <row r="5116" spans="5:11">
      <c r="E5116" t="s">
        <v>1244</v>
      </c>
      <c r="F5116" t="s">
        <v>1484</v>
      </c>
      <c r="G5116" s="7" t="str">
        <f t="shared" si="393"/>
        <v>15-12</v>
      </c>
      <c r="H5116" s="1">
        <f>_xlfn.IFNA(VLOOKUP(E5116,'Urban Plastix Holds'!$I$36:$U$498,7,0),0)</f>
        <v>0</v>
      </c>
      <c r="J5116" s="2">
        <f t="shared" si="394"/>
        <v>0</v>
      </c>
      <c r="K5116" s="2">
        <f t="shared" si="395"/>
        <v>0</v>
      </c>
    </row>
    <row r="5117" spans="5:11">
      <c r="E5117" t="s">
        <v>1244</v>
      </c>
      <c r="F5117" t="s">
        <v>1484</v>
      </c>
      <c r="G5117" s="8" t="str">
        <f t="shared" si="393"/>
        <v>16-16</v>
      </c>
      <c r="H5117" s="1">
        <f>_xlfn.IFNA(VLOOKUP(E5117,'Urban Plastix Holds'!$I$36:$U$498,8,0),0)</f>
        <v>0</v>
      </c>
      <c r="J5117" s="2">
        <f t="shared" si="394"/>
        <v>0</v>
      </c>
      <c r="K5117" s="2">
        <f t="shared" si="395"/>
        <v>0</v>
      </c>
    </row>
    <row r="5118" spans="5:11">
      <c r="E5118" t="s">
        <v>1244</v>
      </c>
      <c r="F5118" t="s">
        <v>1484</v>
      </c>
      <c r="G5118" s="9" t="str">
        <f t="shared" si="393"/>
        <v>13-01</v>
      </c>
      <c r="H5118" s="1">
        <f>_xlfn.IFNA(VLOOKUP(E5118,'Urban Plastix Holds'!$I$36:$U$498,9,0),0)</f>
        <v>0</v>
      </c>
      <c r="J5118" s="2">
        <f t="shared" si="394"/>
        <v>0</v>
      </c>
      <c r="K5118" s="2">
        <f t="shared" si="395"/>
        <v>0</v>
      </c>
    </row>
    <row r="5119" spans="5:11">
      <c r="E5119" t="s">
        <v>1244</v>
      </c>
      <c r="F5119" t="s">
        <v>1484</v>
      </c>
      <c r="G5119" s="10" t="str">
        <f t="shared" si="393"/>
        <v>07-13</v>
      </c>
      <c r="H5119" s="1">
        <f>_xlfn.IFNA(VLOOKUP(E5119,'Urban Plastix Holds'!$I$36:$U$498,10,0),0)</f>
        <v>0</v>
      </c>
      <c r="J5119" s="2">
        <f t="shared" si="394"/>
        <v>0</v>
      </c>
      <c r="K5119" s="2">
        <f t="shared" si="395"/>
        <v>0</v>
      </c>
    </row>
    <row r="5120" spans="5:11">
      <c r="E5120" t="s">
        <v>1244</v>
      </c>
      <c r="F5120" t="s">
        <v>1484</v>
      </c>
      <c r="G5120" s="11" t="str">
        <f t="shared" si="393"/>
        <v>11-25</v>
      </c>
      <c r="H5120" s="1">
        <f>_xlfn.IFNA(VLOOKUP(E5120,'Urban Plastix Holds'!$I$36:$U$498,11,0),0)</f>
        <v>0</v>
      </c>
      <c r="J5120" s="2">
        <f t="shared" si="394"/>
        <v>0</v>
      </c>
      <c r="K5120" s="2">
        <f t="shared" si="395"/>
        <v>0</v>
      </c>
    </row>
    <row r="5121" spans="5:11">
      <c r="E5121" t="s">
        <v>1244</v>
      </c>
      <c r="F5121" t="s">
        <v>1484</v>
      </c>
      <c r="G5121" s="13" t="str">
        <f t="shared" si="393"/>
        <v>18-01</v>
      </c>
      <c r="H5121" s="1">
        <f>_xlfn.IFNA(VLOOKUP(E5121,'Urban Plastix Holds'!$I$36:$U$498,12,0),0)</f>
        <v>0</v>
      </c>
      <c r="J5121" s="2">
        <f t="shared" si="394"/>
        <v>0</v>
      </c>
      <c r="K5121" s="2">
        <f t="shared" si="395"/>
        <v>0</v>
      </c>
    </row>
    <row r="5122" spans="5:11">
      <c r="E5122" t="s">
        <v>1244</v>
      </c>
      <c r="F5122" t="s">
        <v>1484</v>
      </c>
      <c r="G5122" s="12" t="str">
        <f t="shared" si="393"/>
        <v>12-01</v>
      </c>
      <c r="H5122" s="1">
        <f>_xlfn.IFNA(VLOOKUP(E5122,'Urban Plastix Holds'!$I$36:$U$498,13,0),0)</f>
        <v>0</v>
      </c>
      <c r="J5122" s="2">
        <f t="shared" si="394"/>
        <v>0</v>
      </c>
      <c r="K5122" s="2">
        <f t="shared" si="395"/>
        <v>0</v>
      </c>
    </row>
    <row r="5123" spans="5:11">
      <c r="E5123" t="s">
        <v>1237</v>
      </c>
      <c r="F5123" t="s">
        <v>1485</v>
      </c>
      <c r="G5123" s="5" t="str">
        <f t="shared" si="393"/>
        <v>11-12</v>
      </c>
      <c r="H5123" s="1">
        <f>_xlfn.IFNA(VLOOKUP(E5123,'Urban Plastix Holds'!$I$36:$U$498,5,0),0)</f>
        <v>0</v>
      </c>
      <c r="J5123" s="2">
        <f t="shared" si="394"/>
        <v>0</v>
      </c>
      <c r="K5123" s="2">
        <f t="shared" si="395"/>
        <v>0</v>
      </c>
    </row>
    <row r="5124" spans="5:11">
      <c r="E5124" t="s">
        <v>1237</v>
      </c>
      <c r="F5124" t="s">
        <v>1485</v>
      </c>
      <c r="G5124" s="6" t="str">
        <f t="shared" si="393"/>
        <v>14-01</v>
      </c>
      <c r="H5124" s="1">
        <f>_xlfn.IFNA(VLOOKUP(E5124,'Urban Plastix Holds'!$I$36:$U$498,6,0),0)</f>
        <v>0</v>
      </c>
      <c r="J5124" s="2">
        <f t="shared" si="394"/>
        <v>0</v>
      </c>
      <c r="K5124" s="2">
        <f t="shared" si="395"/>
        <v>0</v>
      </c>
    </row>
    <row r="5125" spans="5:11">
      <c r="E5125" t="s">
        <v>1237</v>
      </c>
      <c r="F5125" t="s">
        <v>1485</v>
      </c>
      <c r="G5125" s="7" t="str">
        <f t="shared" si="393"/>
        <v>15-12</v>
      </c>
      <c r="H5125" s="1">
        <f>_xlfn.IFNA(VLOOKUP(E5125,'Urban Plastix Holds'!$I$36:$U$498,7,0),0)</f>
        <v>0</v>
      </c>
      <c r="J5125" s="2">
        <f t="shared" si="394"/>
        <v>0</v>
      </c>
      <c r="K5125" s="2">
        <f t="shared" si="395"/>
        <v>0</v>
      </c>
    </row>
    <row r="5126" spans="5:11">
      <c r="E5126" t="s">
        <v>1237</v>
      </c>
      <c r="F5126" t="s">
        <v>1485</v>
      </c>
      <c r="G5126" s="8" t="str">
        <f t="shared" si="393"/>
        <v>16-16</v>
      </c>
      <c r="H5126" s="1">
        <f>_xlfn.IFNA(VLOOKUP(E5126,'Urban Plastix Holds'!$I$36:$U$498,8,0),0)</f>
        <v>0</v>
      </c>
      <c r="J5126" s="2">
        <f t="shared" si="394"/>
        <v>0</v>
      </c>
      <c r="K5126" s="2">
        <f t="shared" si="395"/>
        <v>0</v>
      </c>
    </row>
    <row r="5127" spans="5:11">
      <c r="E5127" t="s">
        <v>1237</v>
      </c>
      <c r="F5127" t="s">
        <v>1485</v>
      </c>
      <c r="G5127" s="9" t="str">
        <f t="shared" si="393"/>
        <v>13-01</v>
      </c>
      <c r="H5127" s="1">
        <f>_xlfn.IFNA(VLOOKUP(E5127,'Urban Plastix Holds'!$I$36:$U$498,9,0),0)</f>
        <v>0</v>
      </c>
      <c r="J5127" s="2">
        <f t="shared" si="394"/>
        <v>0</v>
      </c>
      <c r="K5127" s="2">
        <f t="shared" si="395"/>
        <v>0</v>
      </c>
    </row>
    <row r="5128" spans="5:11">
      <c r="E5128" t="s">
        <v>1237</v>
      </c>
      <c r="F5128" t="s">
        <v>1485</v>
      </c>
      <c r="G5128" s="10" t="str">
        <f t="shared" si="393"/>
        <v>07-13</v>
      </c>
      <c r="H5128" s="1">
        <f>_xlfn.IFNA(VLOOKUP(E5128,'Urban Plastix Holds'!$I$36:$U$498,10,0),0)</f>
        <v>0</v>
      </c>
      <c r="J5128" s="2">
        <f t="shared" si="394"/>
        <v>0</v>
      </c>
      <c r="K5128" s="2">
        <f t="shared" si="395"/>
        <v>0</v>
      </c>
    </row>
    <row r="5129" spans="5:11">
      <c r="E5129" t="s">
        <v>1237</v>
      </c>
      <c r="F5129" t="s">
        <v>1485</v>
      </c>
      <c r="G5129" s="11" t="str">
        <f t="shared" si="393"/>
        <v>11-25</v>
      </c>
      <c r="H5129" s="1">
        <f>_xlfn.IFNA(VLOOKUP(E5129,'Urban Plastix Holds'!$I$36:$U$498,11,0),0)</f>
        <v>0</v>
      </c>
      <c r="J5129" s="2">
        <f t="shared" si="394"/>
        <v>0</v>
      </c>
      <c r="K5129" s="2">
        <f t="shared" si="395"/>
        <v>0</v>
      </c>
    </row>
    <row r="5130" spans="5:11">
      <c r="E5130" t="s">
        <v>1237</v>
      </c>
      <c r="F5130" t="s">
        <v>1485</v>
      </c>
      <c r="G5130" s="13" t="str">
        <f t="shared" si="393"/>
        <v>18-01</v>
      </c>
      <c r="H5130" s="1">
        <f>_xlfn.IFNA(VLOOKUP(E5130,'Urban Plastix Holds'!$I$36:$U$498,12,0),0)</f>
        <v>0</v>
      </c>
      <c r="J5130" s="2">
        <f t="shared" si="394"/>
        <v>0</v>
      </c>
      <c r="K5130" s="2">
        <f t="shared" si="395"/>
        <v>0</v>
      </c>
    </row>
    <row r="5131" spans="5:11">
      <c r="E5131" t="s">
        <v>1237</v>
      </c>
      <c r="F5131" t="s">
        <v>1485</v>
      </c>
      <c r="G5131" s="12" t="str">
        <f t="shared" si="393"/>
        <v>12-01</v>
      </c>
      <c r="H5131" s="1">
        <f>_xlfn.IFNA(VLOOKUP(E5131,'Urban Plastix Holds'!$I$36:$U$498,13,0),0)</f>
        <v>0</v>
      </c>
      <c r="J5131" s="2">
        <f t="shared" si="394"/>
        <v>0</v>
      </c>
      <c r="K5131" s="2">
        <f t="shared" si="395"/>
        <v>0</v>
      </c>
    </row>
    <row r="5132" spans="5:11">
      <c r="E5132" t="s">
        <v>1304</v>
      </c>
      <c r="F5132" t="s">
        <v>1486</v>
      </c>
      <c r="G5132" s="5" t="str">
        <f t="shared" si="393"/>
        <v>11-12</v>
      </c>
      <c r="H5132" s="1">
        <f>_xlfn.IFNA(VLOOKUP(E5132,'Urban Plastix Holds'!$I$36:$U$498,5,0),0)</f>
        <v>0</v>
      </c>
      <c r="J5132" s="2">
        <f t="shared" si="394"/>
        <v>0</v>
      </c>
      <c r="K5132" s="2">
        <f t="shared" si="395"/>
        <v>0</v>
      </c>
    </row>
    <row r="5133" spans="5:11">
      <c r="E5133" t="s">
        <v>1304</v>
      </c>
      <c r="F5133" t="s">
        <v>1486</v>
      </c>
      <c r="G5133" s="6" t="str">
        <f t="shared" si="393"/>
        <v>14-01</v>
      </c>
      <c r="H5133" s="1">
        <f>_xlfn.IFNA(VLOOKUP(E5133,'Urban Plastix Holds'!$I$36:$U$498,6,0),0)</f>
        <v>0</v>
      </c>
      <c r="J5133" s="2">
        <f t="shared" si="394"/>
        <v>0</v>
      </c>
      <c r="K5133" s="2">
        <f t="shared" si="395"/>
        <v>0</v>
      </c>
    </row>
    <row r="5134" spans="5:11">
      <c r="E5134" t="s">
        <v>1304</v>
      </c>
      <c r="F5134" t="s">
        <v>1486</v>
      </c>
      <c r="G5134" s="7" t="str">
        <f t="shared" si="393"/>
        <v>15-12</v>
      </c>
      <c r="H5134" s="1">
        <f>_xlfn.IFNA(VLOOKUP(E5134,'Urban Plastix Holds'!$I$36:$U$498,7,0),0)</f>
        <v>0</v>
      </c>
      <c r="J5134" s="2">
        <f t="shared" si="394"/>
        <v>0</v>
      </c>
      <c r="K5134" s="2">
        <f t="shared" si="395"/>
        <v>0</v>
      </c>
    </row>
    <row r="5135" spans="5:11">
      <c r="E5135" t="s">
        <v>1304</v>
      </c>
      <c r="F5135" t="s">
        <v>1486</v>
      </c>
      <c r="G5135" s="8" t="str">
        <f t="shared" si="393"/>
        <v>16-16</v>
      </c>
      <c r="H5135" s="1">
        <f>_xlfn.IFNA(VLOOKUP(E5135,'Urban Plastix Holds'!$I$36:$U$498,8,0),0)</f>
        <v>0</v>
      </c>
      <c r="J5135" s="2">
        <f t="shared" si="394"/>
        <v>0</v>
      </c>
      <c r="K5135" s="2">
        <f t="shared" si="395"/>
        <v>0</v>
      </c>
    </row>
    <row r="5136" spans="5:11">
      <c r="E5136" t="s">
        <v>1304</v>
      </c>
      <c r="F5136" t="s">
        <v>1486</v>
      </c>
      <c r="G5136" s="9" t="str">
        <f t="shared" si="393"/>
        <v>13-01</v>
      </c>
      <c r="H5136" s="1">
        <f>_xlfn.IFNA(VLOOKUP(E5136,'Urban Plastix Holds'!$I$36:$U$498,9,0),0)</f>
        <v>0</v>
      </c>
      <c r="J5136" s="2">
        <f t="shared" si="394"/>
        <v>0</v>
      </c>
      <c r="K5136" s="2">
        <f t="shared" si="395"/>
        <v>0</v>
      </c>
    </row>
    <row r="5137" spans="5:11">
      <c r="E5137" t="s">
        <v>1304</v>
      </c>
      <c r="F5137" t="s">
        <v>1486</v>
      </c>
      <c r="G5137" s="10" t="str">
        <f t="shared" si="393"/>
        <v>07-13</v>
      </c>
      <c r="H5137" s="1">
        <f>_xlfn.IFNA(VLOOKUP(E5137,'Urban Plastix Holds'!$I$36:$U$498,10,0),0)</f>
        <v>0</v>
      </c>
      <c r="J5137" s="2">
        <f t="shared" si="394"/>
        <v>0</v>
      </c>
      <c r="K5137" s="2">
        <f t="shared" si="395"/>
        <v>0</v>
      </c>
    </row>
    <row r="5138" spans="5:11">
      <c r="E5138" t="s">
        <v>1304</v>
      </c>
      <c r="F5138" t="s">
        <v>1486</v>
      </c>
      <c r="G5138" s="11" t="str">
        <f t="shared" si="393"/>
        <v>11-25</v>
      </c>
      <c r="H5138" s="1">
        <f>_xlfn.IFNA(VLOOKUP(E5138,'Urban Plastix Holds'!$I$36:$U$498,11,0),0)</f>
        <v>0</v>
      </c>
      <c r="J5138" s="2">
        <f t="shared" si="394"/>
        <v>0</v>
      </c>
      <c r="K5138" s="2">
        <f t="shared" si="395"/>
        <v>0</v>
      </c>
    </row>
    <row r="5139" spans="5:11">
      <c r="E5139" t="s">
        <v>1304</v>
      </c>
      <c r="F5139" t="s">
        <v>1486</v>
      </c>
      <c r="G5139" s="13" t="str">
        <f t="shared" si="393"/>
        <v>18-01</v>
      </c>
      <c r="H5139" s="1">
        <f>_xlfn.IFNA(VLOOKUP(E5139,'Urban Plastix Holds'!$I$36:$U$498,12,0),0)</f>
        <v>0</v>
      </c>
      <c r="J5139" s="2">
        <f t="shared" si="394"/>
        <v>0</v>
      </c>
      <c r="K5139" s="2">
        <f t="shared" si="395"/>
        <v>0</v>
      </c>
    </row>
    <row r="5140" spans="5:11">
      <c r="E5140" t="s">
        <v>1304</v>
      </c>
      <c r="F5140" t="s">
        <v>1486</v>
      </c>
      <c r="G5140" s="12" t="str">
        <f t="shared" si="393"/>
        <v>12-01</v>
      </c>
      <c r="H5140" s="1">
        <f>_xlfn.IFNA(VLOOKUP(E5140,'Urban Plastix Holds'!$I$36:$U$498,13,0),0)</f>
        <v>0</v>
      </c>
      <c r="J5140" s="2">
        <f t="shared" si="394"/>
        <v>0</v>
      </c>
      <c r="K5140" s="2">
        <f t="shared" si="395"/>
        <v>0</v>
      </c>
    </row>
    <row r="5141" spans="5:11">
      <c r="E5141" t="s">
        <v>1248</v>
      </c>
      <c r="F5141" t="s">
        <v>1487</v>
      </c>
      <c r="G5141" s="5" t="str">
        <f t="shared" si="393"/>
        <v>11-12</v>
      </c>
      <c r="H5141" s="1">
        <f>_xlfn.IFNA(VLOOKUP(E5141,'Urban Plastix Holds'!$I$36:$U$498,5,0),0)</f>
        <v>0</v>
      </c>
      <c r="J5141" s="2">
        <f t="shared" si="394"/>
        <v>0</v>
      </c>
      <c r="K5141" s="2">
        <f t="shared" si="395"/>
        <v>0</v>
      </c>
    </row>
    <row r="5142" spans="5:11">
      <c r="E5142" t="s">
        <v>1248</v>
      </c>
      <c r="F5142" t="s">
        <v>1487</v>
      </c>
      <c r="G5142" s="6" t="str">
        <f t="shared" si="393"/>
        <v>14-01</v>
      </c>
      <c r="H5142" s="1">
        <f>_xlfn.IFNA(VLOOKUP(E5142,'Urban Plastix Holds'!$I$36:$U$498,6,0),0)</f>
        <v>0</v>
      </c>
      <c r="J5142" s="2">
        <f t="shared" si="394"/>
        <v>0</v>
      </c>
      <c r="K5142" s="2">
        <f t="shared" si="395"/>
        <v>0</v>
      </c>
    </row>
    <row r="5143" spans="5:11">
      <c r="E5143" t="s">
        <v>1248</v>
      </c>
      <c r="F5143" t="s">
        <v>1487</v>
      </c>
      <c r="G5143" s="7" t="str">
        <f t="shared" si="393"/>
        <v>15-12</v>
      </c>
      <c r="H5143" s="1">
        <f>_xlfn.IFNA(VLOOKUP(E5143,'Urban Plastix Holds'!$I$36:$U$498,7,0),0)</f>
        <v>0</v>
      </c>
      <c r="J5143" s="2">
        <f t="shared" si="394"/>
        <v>0</v>
      </c>
      <c r="K5143" s="2">
        <f t="shared" si="395"/>
        <v>0</v>
      </c>
    </row>
    <row r="5144" spans="5:11">
      <c r="E5144" t="s">
        <v>1248</v>
      </c>
      <c r="F5144" t="s">
        <v>1487</v>
      </c>
      <c r="G5144" s="8" t="str">
        <f t="shared" ref="G5144:G5207" si="396">G5135</f>
        <v>16-16</v>
      </c>
      <c r="H5144" s="1">
        <f>_xlfn.IFNA(VLOOKUP(E5144,'Urban Plastix Holds'!$I$36:$U$498,8,0),0)</f>
        <v>0</v>
      </c>
      <c r="J5144" s="2">
        <f t="shared" si="394"/>
        <v>0</v>
      </c>
      <c r="K5144" s="2">
        <f t="shared" si="395"/>
        <v>0</v>
      </c>
    </row>
    <row r="5145" spans="5:11">
      <c r="E5145" t="s">
        <v>1248</v>
      </c>
      <c r="F5145" t="s">
        <v>1487</v>
      </c>
      <c r="G5145" s="9" t="str">
        <f t="shared" si="396"/>
        <v>13-01</v>
      </c>
      <c r="H5145" s="1">
        <f>_xlfn.IFNA(VLOOKUP(E5145,'Urban Plastix Holds'!$I$36:$U$498,9,0),0)</f>
        <v>0</v>
      </c>
      <c r="J5145" s="2">
        <f t="shared" si="394"/>
        <v>0</v>
      </c>
      <c r="K5145" s="2">
        <f t="shared" si="395"/>
        <v>0</v>
      </c>
    </row>
    <row r="5146" spans="5:11">
      <c r="E5146" t="s">
        <v>1248</v>
      </c>
      <c r="F5146" t="s">
        <v>1487</v>
      </c>
      <c r="G5146" s="10" t="str">
        <f t="shared" si="396"/>
        <v>07-13</v>
      </c>
      <c r="H5146" s="1">
        <f>_xlfn.IFNA(VLOOKUP(E5146,'Urban Plastix Holds'!$I$36:$U$498,10,0),0)</f>
        <v>0</v>
      </c>
      <c r="J5146" s="2">
        <f t="shared" si="394"/>
        <v>0</v>
      </c>
      <c r="K5146" s="2">
        <f t="shared" si="395"/>
        <v>0</v>
      </c>
    </row>
    <row r="5147" spans="5:11">
      <c r="E5147" t="s">
        <v>1248</v>
      </c>
      <c r="F5147" t="s">
        <v>1487</v>
      </c>
      <c r="G5147" s="11" t="str">
        <f t="shared" si="396"/>
        <v>11-25</v>
      </c>
      <c r="H5147" s="1">
        <f>_xlfn.IFNA(VLOOKUP(E5147,'Urban Plastix Holds'!$I$36:$U$498,11,0),0)</f>
        <v>0</v>
      </c>
      <c r="J5147" s="2">
        <f t="shared" si="394"/>
        <v>0</v>
      </c>
      <c r="K5147" s="2">
        <f t="shared" si="395"/>
        <v>0</v>
      </c>
    </row>
    <row r="5148" spans="5:11">
      <c r="E5148" t="s">
        <v>1248</v>
      </c>
      <c r="F5148" t="s">
        <v>1487</v>
      </c>
      <c r="G5148" s="13" t="str">
        <f t="shared" si="396"/>
        <v>18-01</v>
      </c>
      <c r="H5148" s="1">
        <f>_xlfn.IFNA(VLOOKUP(E5148,'Urban Plastix Holds'!$I$36:$U$498,12,0),0)</f>
        <v>0</v>
      </c>
      <c r="J5148" s="2">
        <f t="shared" si="394"/>
        <v>0</v>
      </c>
      <c r="K5148" s="2">
        <f t="shared" si="395"/>
        <v>0</v>
      </c>
    </row>
    <row r="5149" spans="5:11">
      <c r="E5149" t="s">
        <v>1248</v>
      </c>
      <c r="F5149" t="s">
        <v>1487</v>
      </c>
      <c r="G5149" s="12" t="str">
        <f t="shared" si="396"/>
        <v>12-01</v>
      </c>
      <c r="H5149" s="1">
        <f>_xlfn.IFNA(VLOOKUP(E5149,'Urban Plastix Holds'!$I$36:$U$498,13,0),0)</f>
        <v>0</v>
      </c>
      <c r="J5149" s="2">
        <f t="shared" si="394"/>
        <v>0</v>
      </c>
      <c r="K5149" s="2">
        <f t="shared" si="395"/>
        <v>0</v>
      </c>
    </row>
    <row r="5150" spans="5:11">
      <c r="E5150" t="s">
        <v>1300</v>
      </c>
      <c r="F5150" t="s">
        <v>1488</v>
      </c>
      <c r="G5150" s="5" t="str">
        <f t="shared" si="396"/>
        <v>11-12</v>
      </c>
      <c r="H5150" s="1">
        <f>_xlfn.IFNA(VLOOKUP(E5150,'Urban Plastix Holds'!$I$36:$U$498,5,0),0)</f>
        <v>0</v>
      </c>
      <c r="J5150" s="2">
        <f t="shared" si="394"/>
        <v>0</v>
      </c>
      <c r="K5150" s="2">
        <f t="shared" si="395"/>
        <v>0</v>
      </c>
    </row>
    <row r="5151" spans="5:11">
      <c r="E5151" t="s">
        <v>1300</v>
      </c>
      <c r="F5151" t="s">
        <v>1488</v>
      </c>
      <c r="G5151" s="6" t="str">
        <f t="shared" si="396"/>
        <v>14-01</v>
      </c>
      <c r="H5151" s="1">
        <f>_xlfn.IFNA(VLOOKUP(E5151,'Urban Plastix Holds'!$I$36:$U$498,6,0),0)</f>
        <v>0</v>
      </c>
      <c r="J5151" s="2">
        <f t="shared" si="394"/>
        <v>0</v>
      </c>
      <c r="K5151" s="2">
        <f t="shared" si="395"/>
        <v>0</v>
      </c>
    </row>
    <row r="5152" spans="5:11">
      <c r="E5152" t="s">
        <v>1300</v>
      </c>
      <c r="F5152" t="s">
        <v>1488</v>
      </c>
      <c r="G5152" s="7" t="str">
        <f t="shared" si="396"/>
        <v>15-12</v>
      </c>
      <c r="H5152" s="1">
        <f>_xlfn.IFNA(VLOOKUP(E5152,'Urban Plastix Holds'!$I$36:$U$498,7,0),0)</f>
        <v>0</v>
      </c>
      <c r="J5152" s="2">
        <f t="shared" si="394"/>
        <v>0</v>
      </c>
      <c r="K5152" s="2">
        <f t="shared" si="395"/>
        <v>0</v>
      </c>
    </row>
    <row r="5153" spans="5:11">
      <c r="E5153" t="s">
        <v>1300</v>
      </c>
      <c r="F5153" t="s">
        <v>1488</v>
      </c>
      <c r="G5153" s="8" t="str">
        <f t="shared" si="396"/>
        <v>16-16</v>
      </c>
      <c r="H5153" s="1">
        <f>_xlfn.IFNA(VLOOKUP(E5153,'Urban Plastix Holds'!$I$36:$U$498,8,0),0)</f>
        <v>0</v>
      </c>
      <c r="J5153" s="2">
        <f t="shared" si="394"/>
        <v>0</v>
      </c>
      <c r="K5153" s="2">
        <f t="shared" si="395"/>
        <v>0</v>
      </c>
    </row>
    <row r="5154" spans="5:11">
      <c r="E5154" t="s">
        <v>1300</v>
      </c>
      <c r="F5154" t="s">
        <v>1488</v>
      </c>
      <c r="G5154" s="9" t="str">
        <f t="shared" si="396"/>
        <v>13-01</v>
      </c>
      <c r="H5154" s="1">
        <f>_xlfn.IFNA(VLOOKUP(E5154,'Urban Plastix Holds'!$I$36:$U$498,9,0),0)</f>
        <v>0</v>
      </c>
      <c r="J5154" s="2">
        <f t="shared" si="394"/>
        <v>0</v>
      </c>
      <c r="K5154" s="2">
        <f t="shared" si="395"/>
        <v>0</v>
      </c>
    </row>
    <row r="5155" spans="5:11">
      <c r="E5155" t="s">
        <v>1300</v>
      </c>
      <c r="F5155" t="s">
        <v>1488</v>
      </c>
      <c r="G5155" s="10" t="str">
        <f t="shared" si="396"/>
        <v>07-13</v>
      </c>
      <c r="H5155" s="1">
        <f>_xlfn.IFNA(VLOOKUP(E5155,'Urban Plastix Holds'!$I$36:$U$498,10,0),0)</f>
        <v>0</v>
      </c>
      <c r="J5155" s="2">
        <f t="shared" si="394"/>
        <v>0</v>
      </c>
      <c r="K5155" s="2">
        <f t="shared" si="395"/>
        <v>0</v>
      </c>
    </row>
    <row r="5156" spans="5:11">
      <c r="E5156" t="s">
        <v>1300</v>
      </c>
      <c r="F5156" t="s">
        <v>1488</v>
      </c>
      <c r="G5156" s="11" t="str">
        <f t="shared" si="396"/>
        <v>11-25</v>
      </c>
      <c r="H5156" s="1">
        <f>_xlfn.IFNA(VLOOKUP(E5156,'Urban Plastix Holds'!$I$36:$U$498,11,0),0)</f>
        <v>0</v>
      </c>
      <c r="J5156" s="2">
        <f t="shared" si="394"/>
        <v>0</v>
      </c>
      <c r="K5156" s="2">
        <f t="shared" si="395"/>
        <v>0</v>
      </c>
    </row>
    <row r="5157" spans="5:11">
      <c r="E5157" t="s">
        <v>1300</v>
      </c>
      <c r="F5157" t="s">
        <v>1488</v>
      </c>
      <c r="G5157" s="13" t="str">
        <f t="shared" si="396"/>
        <v>18-01</v>
      </c>
      <c r="H5157" s="1">
        <f>_xlfn.IFNA(VLOOKUP(E5157,'Urban Plastix Holds'!$I$36:$U$498,12,0),0)</f>
        <v>0</v>
      </c>
      <c r="J5157" s="2">
        <f t="shared" si="394"/>
        <v>0</v>
      </c>
      <c r="K5157" s="2">
        <f t="shared" si="395"/>
        <v>0</v>
      </c>
    </row>
    <row r="5158" spans="5:11">
      <c r="E5158" t="s">
        <v>1300</v>
      </c>
      <c r="F5158" t="s">
        <v>1488</v>
      </c>
      <c r="G5158" s="12" t="str">
        <f t="shared" si="396"/>
        <v>12-01</v>
      </c>
      <c r="H5158" s="1">
        <f>_xlfn.IFNA(VLOOKUP(E5158,'Urban Plastix Holds'!$I$36:$U$498,13,0),0)</f>
        <v>0</v>
      </c>
      <c r="J5158" s="2">
        <f t="shared" si="394"/>
        <v>0</v>
      </c>
      <c r="K5158" s="2">
        <f t="shared" si="395"/>
        <v>0</v>
      </c>
    </row>
    <row r="5159" spans="5:11">
      <c r="E5159" t="s">
        <v>1273</v>
      </c>
      <c r="F5159" t="s">
        <v>1489</v>
      </c>
      <c r="G5159" s="5" t="str">
        <f t="shared" si="396"/>
        <v>11-12</v>
      </c>
      <c r="H5159" s="1">
        <f>_xlfn.IFNA(VLOOKUP(E5159,'Urban Plastix Holds'!$I$36:$U$498,5,0),0)</f>
        <v>0</v>
      </c>
      <c r="J5159" s="2">
        <f t="shared" si="394"/>
        <v>0</v>
      </c>
      <c r="K5159" s="2">
        <f t="shared" si="395"/>
        <v>0</v>
      </c>
    </row>
    <row r="5160" spans="5:11">
      <c r="E5160" t="s">
        <v>1273</v>
      </c>
      <c r="F5160" t="s">
        <v>1489</v>
      </c>
      <c r="G5160" s="6" t="str">
        <f t="shared" si="396"/>
        <v>14-01</v>
      </c>
      <c r="H5160" s="1">
        <f>_xlfn.IFNA(VLOOKUP(E5160,'Urban Plastix Holds'!$I$36:$U$498,6,0),0)</f>
        <v>0</v>
      </c>
      <c r="J5160" s="2">
        <f t="shared" si="394"/>
        <v>0</v>
      </c>
      <c r="K5160" s="2">
        <f t="shared" si="395"/>
        <v>0</v>
      </c>
    </row>
    <row r="5161" spans="5:11">
      <c r="E5161" t="s">
        <v>1273</v>
      </c>
      <c r="F5161" t="s">
        <v>1489</v>
      </c>
      <c r="G5161" s="7" t="str">
        <f t="shared" si="396"/>
        <v>15-12</v>
      </c>
      <c r="H5161" s="1">
        <f>_xlfn.IFNA(VLOOKUP(E5161,'Urban Plastix Holds'!$I$36:$U$498,7,0),0)</f>
        <v>0</v>
      </c>
      <c r="J5161" s="2">
        <f t="shared" si="394"/>
        <v>0</v>
      </c>
      <c r="K5161" s="2">
        <f t="shared" si="395"/>
        <v>0</v>
      </c>
    </row>
    <row r="5162" spans="5:11">
      <c r="E5162" t="s">
        <v>1273</v>
      </c>
      <c r="F5162" t="s">
        <v>1489</v>
      </c>
      <c r="G5162" s="8" t="str">
        <f t="shared" si="396"/>
        <v>16-16</v>
      </c>
      <c r="H5162" s="1">
        <f>_xlfn.IFNA(VLOOKUP(E5162,'Urban Plastix Holds'!$I$36:$U$498,8,0),0)</f>
        <v>0</v>
      </c>
      <c r="J5162" s="2">
        <f t="shared" si="394"/>
        <v>0</v>
      </c>
      <c r="K5162" s="2">
        <f t="shared" si="395"/>
        <v>0</v>
      </c>
    </row>
    <row r="5163" spans="5:11">
      <c r="E5163" t="s">
        <v>1273</v>
      </c>
      <c r="F5163" t="s">
        <v>1489</v>
      </c>
      <c r="G5163" s="9" t="str">
        <f t="shared" si="396"/>
        <v>13-01</v>
      </c>
      <c r="H5163" s="1">
        <f>_xlfn.IFNA(VLOOKUP(E5163,'Urban Plastix Holds'!$I$36:$U$498,9,0),0)</f>
        <v>0</v>
      </c>
      <c r="J5163" s="2">
        <f t="shared" si="394"/>
        <v>0</v>
      </c>
      <c r="K5163" s="2">
        <f t="shared" si="395"/>
        <v>0</v>
      </c>
    </row>
    <row r="5164" spans="5:11">
      <c r="E5164" t="s">
        <v>1273</v>
      </c>
      <c r="F5164" t="s">
        <v>1489</v>
      </c>
      <c r="G5164" s="10" t="str">
        <f t="shared" si="396"/>
        <v>07-13</v>
      </c>
      <c r="H5164" s="1">
        <f>_xlfn.IFNA(VLOOKUP(E5164,'Urban Plastix Holds'!$I$36:$U$498,10,0),0)</f>
        <v>0</v>
      </c>
      <c r="J5164" s="2">
        <f t="shared" si="394"/>
        <v>0</v>
      </c>
      <c r="K5164" s="2">
        <f t="shared" si="395"/>
        <v>0</v>
      </c>
    </row>
    <row r="5165" spans="5:11">
      <c r="E5165" t="s">
        <v>1273</v>
      </c>
      <c r="F5165" t="s">
        <v>1489</v>
      </c>
      <c r="G5165" s="11" t="str">
        <f t="shared" si="396"/>
        <v>11-25</v>
      </c>
      <c r="H5165" s="1">
        <f>_xlfn.IFNA(VLOOKUP(E5165,'Urban Plastix Holds'!$I$36:$U$498,11,0),0)</f>
        <v>0</v>
      </c>
      <c r="J5165" s="2">
        <f t="shared" si="394"/>
        <v>0</v>
      </c>
      <c r="K5165" s="2">
        <f t="shared" si="395"/>
        <v>0</v>
      </c>
    </row>
    <row r="5166" spans="5:11">
      <c r="E5166" t="s">
        <v>1273</v>
      </c>
      <c r="F5166" t="s">
        <v>1489</v>
      </c>
      <c r="G5166" s="13" t="str">
        <f t="shared" si="396"/>
        <v>18-01</v>
      </c>
      <c r="H5166" s="1">
        <f>_xlfn.IFNA(VLOOKUP(E5166,'Urban Plastix Holds'!$I$36:$U$498,12,0),0)</f>
        <v>0</v>
      </c>
      <c r="J5166" s="2">
        <f t="shared" ref="J5166:J5229" si="397">H5166*I5166</f>
        <v>0</v>
      </c>
      <c r="K5166" s="2">
        <f t="shared" ref="K5166:K5229" si="398">IF($V$11="Y",J5166*0.05,0)</f>
        <v>0</v>
      </c>
    </row>
    <row r="5167" spans="5:11">
      <c r="E5167" t="s">
        <v>1273</v>
      </c>
      <c r="F5167" t="s">
        <v>1489</v>
      </c>
      <c r="G5167" s="12" t="str">
        <f t="shared" si="396"/>
        <v>12-01</v>
      </c>
      <c r="H5167" s="1">
        <f>_xlfn.IFNA(VLOOKUP(E5167,'Urban Plastix Holds'!$I$36:$U$498,13,0),0)</f>
        <v>0</v>
      </c>
      <c r="J5167" s="2">
        <f t="shared" si="397"/>
        <v>0</v>
      </c>
      <c r="K5167" s="2">
        <f t="shared" si="398"/>
        <v>0</v>
      </c>
    </row>
    <row r="5168" spans="5:11">
      <c r="E5168" t="s">
        <v>1302</v>
      </c>
      <c r="F5168" t="s">
        <v>1490</v>
      </c>
      <c r="G5168" s="5" t="str">
        <f t="shared" si="396"/>
        <v>11-12</v>
      </c>
      <c r="H5168" s="1">
        <f>_xlfn.IFNA(VLOOKUP(E5168,'Urban Plastix Holds'!$I$36:$U$498,5,0),0)</f>
        <v>0</v>
      </c>
      <c r="J5168" s="2">
        <f t="shared" si="397"/>
        <v>0</v>
      </c>
      <c r="K5168" s="2">
        <f t="shared" si="398"/>
        <v>0</v>
      </c>
    </row>
    <row r="5169" spans="5:11">
      <c r="E5169" t="s">
        <v>1302</v>
      </c>
      <c r="F5169" t="s">
        <v>1490</v>
      </c>
      <c r="G5169" s="6" t="str">
        <f t="shared" si="396"/>
        <v>14-01</v>
      </c>
      <c r="H5169" s="1">
        <f>_xlfn.IFNA(VLOOKUP(E5169,'Urban Plastix Holds'!$I$36:$U$498,6,0),0)</f>
        <v>0</v>
      </c>
      <c r="J5169" s="2">
        <f t="shared" si="397"/>
        <v>0</v>
      </c>
      <c r="K5169" s="2">
        <f t="shared" si="398"/>
        <v>0</v>
      </c>
    </row>
    <row r="5170" spans="5:11">
      <c r="E5170" t="s">
        <v>1302</v>
      </c>
      <c r="F5170" t="s">
        <v>1490</v>
      </c>
      <c r="G5170" s="7" t="str">
        <f t="shared" si="396"/>
        <v>15-12</v>
      </c>
      <c r="H5170" s="1">
        <f>_xlfn.IFNA(VLOOKUP(E5170,'Urban Plastix Holds'!$I$36:$U$498,7,0),0)</f>
        <v>0</v>
      </c>
      <c r="J5170" s="2">
        <f t="shared" si="397"/>
        <v>0</v>
      </c>
      <c r="K5170" s="2">
        <f t="shared" si="398"/>
        <v>0</v>
      </c>
    </row>
    <row r="5171" spans="5:11">
      <c r="E5171" t="s">
        <v>1302</v>
      </c>
      <c r="F5171" t="s">
        <v>1490</v>
      </c>
      <c r="G5171" s="8" t="str">
        <f t="shared" si="396"/>
        <v>16-16</v>
      </c>
      <c r="H5171" s="1">
        <f>_xlfn.IFNA(VLOOKUP(E5171,'Urban Plastix Holds'!$I$36:$U$498,8,0),0)</f>
        <v>0</v>
      </c>
      <c r="J5171" s="2">
        <f t="shared" si="397"/>
        <v>0</v>
      </c>
      <c r="K5171" s="2">
        <f t="shared" si="398"/>
        <v>0</v>
      </c>
    </row>
    <row r="5172" spans="5:11">
      <c r="E5172" t="s">
        <v>1302</v>
      </c>
      <c r="F5172" t="s">
        <v>1490</v>
      </c>
      <c r="G5172" s="9" t="str">
        <f t="shared" si="396"/>
        <v>13-01</v>
      </c>
      <c r="H5172" s="1">
        <f>_xlfn.IFNA(VLOOKUP(E5172,'Urban Plastix Holds'!$I$36:$U$498,9,0),0)</f>
        <v>0</v>
      </c>
      <c r="J5172" s="2">
        <f t="shared" si="397"/>
        <v>0</v>
      </c>
      <c r="K5172" s="2">
        <f t="shared" si="398"/>
        <v>0</v>
      </c>
    </row>
    <row r="5173" spans="5:11">
      <c r="E5173" t="s">
        <v>1302</v>
      </c>
      <c r="F5173" t="s">
        <v>1490</v>
      </c>
      <c r="G5173" s="10" t="str">
        <f t="shared" si="396"/>
        <v>07-13</v>
      </c>
      <c r="H5173" s="1">
        <f>_xlfn.IFNA(VLOOKUP(E5173,'Urban Plastix Holds'!$I$36:$U$498,10,0),0)</f>
        <v>0</v>
      </c>
      <c r="J5173" s="2">
        <f t="shared" si="397"/>
        <v>0</v>
      </c>
      <c r="K5173" s="2">
        <f t="shared" si="398"/>
        <v>0</v>
      </c>
    </row>
    <row r="5174" spans="5:11">
      <c r="E5174" t="s">
        <v>1302</v>
      </c>
      <c r="F5174" t="s">
        <v>1490</v>
      </c>
      <c r="G5174" s="11" t="str">
        <f t="shared" si="396"/>
        <v>11-25</v>
      </c>
      <c r="H5174" s="1">
        <f>_xlfn.IFNA(VLOOKUP(E5174,'Urban Plastix Holds'!$I$36:$U$498,11,0),0)</f>
        <v>0</v>
      </c>
      <c r="J5174" s="2">
        <f t="shared" si="397"/>
        <v>0</v>
      </c>
      <c r="K5174" s="2">
        <f t="shared" si="398"/>
        <v>0</v>
      </c>
    </row>
    <row r="5175" spans="5:11">
      <c r="E5175" t="s">
        <v>1302</v>
      </c>
      <c r="F5175" t="s">
        <v>1490</v>
      </c>
      <c r="G5175" s="13" t="str">
        <f t="shared" si="396"/>
        <v>18-01</v>
      </c>
      <c r="H5175" s="1">
        <f>_xlfn.IFNA(VLOOKUP(E5175,'Urban Plastix Holds'!$I$36:$U$498,12,0),0)</f>
        <v>0</v>
      </c>
      <c r="J5175" s="2">
        <f t="shared" si="397"/>
        <v>0</v>
      </c>
      <c r="K5175" s="2">
        <f t="shared" si="398"/>
        <v>0</v>
      </c>
    </row>
    <row r="5176" spans="5:11">
      <c r="E5176" t="s">
        <v>1302</v>
      </c>
      <c r="F5176" t="s">
        <v>1490</v>
      </c>
      <c r="G5176" s="12" t="str">
        <f t="shared" si="396"/>
        <v>12-01</v>
      </c>
      <c r="H5176" s="1">
        <f>_xlfn.IFNA(VLOOKUP(E5176,'Urban Plastix Holds'!$I$36:$U$498,13,0),0)</f>
        <v>0</v>
      </c>
      <c r="J5176" s="2">
        <f t="shared" si="397"/>
        <v>0</v>
      </c>
      <c r="K5176" s="2">
        <f t="shared" si="398"/>
        <v>0</v>
      </c>
    </row>
    <row r="5177" spans="5:11">
      <c r="E5177" t="s">
        <v>1305</v>
      </c>
      <c r="F5177" t="s">
        <v>1491</v>
      </c>
      <c r="G5177" s="5" t="str">
        <f t="shared" si="396"/>
        <v>11-12</v>
      </c>
      <c r="H5177" s="1">
        <f>_xlfn.IFNA(VLOOKUP(E5177,'Urban Plastix Holds'!$I$36:$U$498,5,0),0)</f>
        <v>0</v>
      </c>
      <c r="J5177" s="2">
        <f t="shared" si="397"/>
        <v>0</v>
      </c>
      <c r="K5177" s="2">
        <f t="shared" si="398"/>
        <v>0</v>
      </c>
    </row>
    <row r="5178" spans="5:11">
      <c r="E5178" t="s">
        <v>1305</v>
      </c>
      <c r="F5178" t="s">
        <v>1491</v>
      </c>
      <c r="G5178" s="6" t="str">
        <f t="shared" si="396"/>
        <v>14-01</v>
      </c>
      <c r="H5178" s="1">
        <f>_xlfn.IFNA(VLOOKUP(E5178,'Urban Plastix Holds'!$I$36:$U$498,6,0),0)</f>
        <v>0</v>
      </c>
      <c r="J5178" s="2">
        <f t="shared" si="397"/>
        <v>0</v>
      </c>
      <c r="K5178" s="2">
        <f t="shared" si="398"/>
        <v>0</v>
      </c>
    </row>
    <row r="5179" spans="5:11">
      <c r="E5179" t="s">
        <v>1305</v>
      </c>
      <c r="F5179" t="s">
        <v>1491</v>
      </c>
      <c r="G5179" s="7" t="str">
        <f t="shared" si="396"/>
        <v>15-12</v>
      </c>
      <c r="H5179" s="1">
        <f>_xlfn.IFNA(VLOOKUP(E5179,'Urban Plastix Holds'!$I$36:$U$498,7,0),0)</f>
        <v>0</v>
      </c>
      <c r="J5179" s="2">
        <f t="shared" si="397"/>
        <v>0</v>
      </c>
      <c r="K5179" s="2">
        <f t="shared" si="398"/>
        <v>0</v>
      </c>
    </row>
    <row r="5180" spans="5:11">
      <c r="E5180" t="s">
        <v>1305</v>
      </c>
      <c r="F5180" t="s">
        <v>1491</v>
      </c>
      <c r="G5180" s="8" t="str">
        <f t="shared" si="396"/>
        <v>16-16</v>
      </c>
      <c r="H5180" s="1">
        <f>_xlfn.IFNA(VLOOKUP(E5180,'Urban Plastix Holds'!$I$36:$U$498,8,0),0)</f>
        <v>0</v>
      </c>
      <c r="J5180" s="2">
        <f t="shared" si="397"/>
        <v>0</v>
      </c>
      <c r="K5180" s="2">
        <f t="shared" si="398"/>
        <v>0</v>
      </c>
    </row>
    <row r="5181" spans="5:11">
      <c r="E5181" t="s">
        <v>1305</v>
      </c>
      <c r="F5181" t="s">
        <v>1491</v>
      </c>
      <c r="G5181" s="9" t="str">
        <f t="shared" si="396"/>
        <v>13-01</v>
      </c>
      <c r="H5181" s="1">
        <f>_xlfn.IFNA(VLOOKUP(E5181,'Urban Plastix Holds'!$I$36:$U$498,9,0),0)</f>
        <v>0</v>
      </c>
      <c r="J5181" s="2">
        <f t="shared" si="397"/>
        <v>0</v>
      </c>
      <c r="K5181" s="2">
        <f t="shared" si="398"/>
        <v>0</v>
      </c>
    </row>
    <row r="5182" spans="5:11">
      <c r="E5182" t="s">
        <v>1305</v>
      </c>
      <c r="F5182" t="s">
        <v>1491</v>
      </c>
      <c r="G5182" s="10" t="str">
        <f t="shared" si="396"/>
        <v>07-13</v>
      </c>
      <c r="H5182" s="1">
        <f>_xlfn.IFNA(VLOOKUP(E5182,'Urban Plastix Holds'!$I$36:$U$498,10,0),0)</f>
        <v>0</v>
      </c>
      <c r="J5182" s="2">
        <f t="shared" si="397"/>
        <v>0</v>
      </c>
      <c r="K5182" s="2">
        <f t="shared" si="398"/>
        <v>0</v>
      </c>
    </row>
    <row r="5183" spans="5:11">
      <c r="E5183" t="s">
        <v>1305</v>
      </c>
      <c r="F5183" t="s">
        <v>1491</v>
      </c>
      <c r="G5183" s="11" t="str">
        <f t="shared" si="396"/>
        <v>11-25</v>
      </c>
      <c r="H5183" s="1">
        <f>_xlfn.IFNA(VLOOKUP(E5183,'Urban Plastix Holds'!$I$36:$U$498,11,0),0)</f>
        <v>0</v>
      </c>
      <c r="J5183" s="2">
        <f t="shared" si="397"/>
        <v>0</v>
      </c>
      <c r="K5183" s="2">
        <f t="shared" si="398"/>
        <v>0</v>
      </c>
    </row>
    <row r="5184" spans="5:11">
      <c r="E5184" t="s">
        <v>1305</v>
      </c>
      <c r="F5184" t="s">
        <v>1491</v>
      </c>
      <c r="G5184" s="13" t="str">
        <f t="shared" si="396"/>
        <v>18-01</v>
      </c>
      <c r="H5184" s="1">
        <f>_xlfn.IFNA(VLOOKUP(E5184,'Urban Plastix Holds'!$I$36:$U$498,12,0),0)</f>
        <v>0</v>
      </c>
      <c r="J5184" s="2">
        <f t="shared" si="397"/>
        <v>0</v>
      </c>
      <c r="K5184" s="2">
        <f t="shared" si="398"/>
        <v>0</v>
      </c>
    </row>
    <row r="5185" spans="5:11">
      <c r="E5185" t="s">
        <v>1305</v>
      </c>
      <c r="F5185" t="s">
        <v>1491</v>
      </c>
      <c r="G5185" s="12" t="str">
        <f t="shared" si="396"/>
        <v>12-01</v>
      </c>
      <c r="H5185" s="1">
        <f>_xlfn.IFNA(VLOOKUP(E5185,'Urban Plastix Holds'!$I$36:$U$498,13,0),0)</f>
        <v>0</v>
      </c>
      <c r="J5185" s="2">
        <f t="shared" si="397"/>
        <v>0</v>
      </c>
      <c r="K5185" s="2">
        <f t="shared" si="398"/>
        <v>0</v>
      </c>
    </row>
    <row r="5186" spans="5:11">
      <c r="E5186" t="s">
        <v>1241</v>
      </c>
      <c r="F5186" t="s">
        <v>1492</v>
      </c>
      <c r="G5186" s="5" t="str">
        <f t="shared" si="396"/>
        <v>11-12</v>
      </c>
      <c r="H5186" s="1">
        <f>_xlfn.IFNA(VLOOKUP(E5186,'Urban Plastix Holds'!$I$36:$U$498,5,0),0)</f>
        <v>0</v>
      </c>
      <c r="J5186" s="2">
        <f t="shared" si="397"/>
        <v>0</v>
      </c>
      <c r="K5186" s="2">
        <f t="shared" si="398"/>
        <v>0</v>
      </c>
    </row>
    <row r="5187" spans="5:11">
      <c r="E5187" t="s">
        <v>1241</v>
      </c>
      <c r="F5187" t="s">
        <v>1492</v>
      </c>
      <c r="G5187" s="6" t="str">
        <f t="shared" si="396"/>
        <v>14-01</v>
      </c>
      <c r="H5187" s="1">
        <f>_xlfn.IFNA(VLOOKUP(E5187,'Urban Plastix Holds'!$I$36:$U$498,6,0),0)</f>
        <v>0</v>
      </c>
      <c r="J5187" s="2">
        <f t="shared" si="397"/>
        <v>0</v>
      </c>
      <c r="K5187" s="2">
        <f t="shared" si="398"/>
        <v>0</v>
      </c>
    </row>
    <row r="5188" spans="5:11">
      <c r="E5188" t="s">
        <v>1241</v>
      </c>
      <c r="F5188" t="s">
        <v>1492</v>
      </c>
      <c r="G5188" s="7" t="str">
        <f t="shared" si="396"/>
        <v>15-12</v>
      </c>
      <c r="H5188" s="1">
        <f>_xlfn.IFNA(VLOOKUP(E5188,'Urban Plastix Holds'!$I$36:$U$498,7,0),0)</f>
        <v>0</v>
      </c>
      <c r="J5188" s="2">
        <f t="shared" si="397"/>
        <v>0</v>
      </c>
      <c r="K5188" s="2">
        <f t="shared" si="398"/>
        <v>0</v>
      </c>
    </row>
    <row r="5189" spans="5:11">
      <c r="E5189" t="s">
        <v>1241</v>
      </c>
      <c r="F5189" t="s">
        <v>1492</v>
      </c>
      <c r="G5189" s="8" t="str">
        <f t="shared" si="396"/>
        <v>16-16</v>
      </c>
      <c r="H5189" s="1">
        <f>_xlfn.IFNA(VLOOKUP(E5189,'Urban Plastix Holds'!$I$36:$U$498,8,0),0)</f>
        <v>0</v>
      </c>
      <c r="J5189" s="2">
        <f t="shared" si="397"/>
        <v>0</v>
      </c>
      <c r="K5189" s="2">
        <f t="shared" si="398"/>
        <v>0</v>
      </c>
    </row>
    <row r="5190" spans="5:11">
      <c r="E5190" t="s">
        <v>1241</v>
      </c>
      <c r="F5190" t="s">
        <v>1492</v>
      </c>
      <c r="G5190" s="9" t="str">
        <f t="shared" si="396"/>
        <v>13-01</v>
      </c>
      <c r="H5190" s="1">
        <f>_xlfn.IFNA(VLOOKUP(E5190,'Urban Plastix Holds'!$I$36:$U$498,9,0),0)</f>
        <v>0</v>
      </c>
      <c r="J5190" s="2">
        <f t="shared" si="397"/>
        <v>0</v>
      </c>
      <c r="K5190" s="2">
        <f t="shared" si="398"/>
        <v>0</v>
      </c>
    </row>
    <row r="5191" spans="5:11">
      <c r="E5191" t="s">
        <v>1241</v>
      </c>
      <c r="F5191" t="s">
        <v>1492</v>
      </c>
      <c r="G5191" s="10" t="str">
        <f t="shared" si="396"/>
        <v>07-13</v>
      </c>
      <c r="H5191" s="1">
        <f>_xlfn.IFNA(VLOOKUP(E5191,'Urban Plastix Holds'!$I$36:$U$498,10,0),0)</f>
        <v>0</v>
      </c>
      <c r="J5191" s="2">
        <f t="shared" si="397"/>
        <v>0</v>
      </c>
      <c r="K5191" s="2">
        <f t="shared" si="398"/>
        <v>0</v>
      </c>
    </row>
    <row r="5192" spans="5:11">
      <c r="E5192" t="s">
        <v>1241</v>
      </c>
      <c r="F5192" t="s">
        <v>1492</v>
      </c>
      <c r="G5192" s="11" t="str">
        <f t="shared" si="396"/>
        <v>11-25</v>
      </c>
      <c r="H5192" s="1">
        <f>_xlfn.IFNA(VLOOKUP(E5192,'Urban Plastix Holds'!$I$36:$U$498,11,0),0)</f>
        <v>0</v>
      </c>
      <c r="J5192" s="2">
        <f t="shared" si="397"/>
        <v>0</v>
      </c>
      <c r="K5192" s="2">
        <f t="shared" si="398"/>
        <v>0</v>
      </c>
    </row>
    <row r="5193" spans="5:11">
      <c r="E5193" t="s">
        <v>1241</v>
      </c>
      <c r="F5193" t="s">
        <v>1492</v>
      </c>
      <c r="G5193" s="13" t="str">
        <f t="shared" si="396"/>
        <v>18-01</v>
      </c>
      <c r="H5193" s="1">
        <f>_xlfn.IFNA(VLOOKUP(E5193,'Urban Plastix Holds'!$I$36:$U$498,12,0),0)</f>
        <v>0</v>
      </c>
      <c r="J5193" s="2">
        <f t="shared" si="397"/>
        <v>0</v>
      </c>
      <c r="K5193" s="2">
        <f t="shared" si="398"/>
        <v>0</v>
      </c>
    </row>
    <row r="5194" spans="5:11">
      <c r="E5194" t="s">
        <v>1241</v>
      </c>
      <c r="F5194" t="s">
        <v>1492</v>
      </c>
      <c r="G5194" s="12" t="str">
        <f t="shared" si="396"/>
        <v>12-01</v>
      </c>
      <c r="H5194" s="1">
        <f>_xlfn.IFNA(VLOOKUP(E5194,'Urban Plastix Holds'!$I$36:$U$498,13,0),0)</f>
        <v>0</v>
      </c>
      <c r="J5194" s="2">
        <f t="shared" si="397"/>
        <v>0</v>
      </c>
      <c r="K5194" s="2">
        <f t="shared" si="398"/>
        <v>0</v>
      </c>
    </row>
    <row r="5195" spans="5:11">
      <c r="E5195" t="s">
        <v>1299</v>
      </c>
      <c r="F5195" t="s">
        <v>1550</v>
      </c>
      <c r="G5195" s="5" t="str">
        <f t="shared" si="396"/>
        <v>11-12</v>
      </c>
      <c r="H5195" s="1">
        <f>_xlfn.IFNA(VLOOKUP(E5195,'Urban Plastix Holds'!$I$36:$U$498,5,0),0)</f>
        <v>0</v>
      </c>
      <c r="J5195" s="2">
        <f t="shared" si="397"/>
        <v>0</v>
      </c>
      <c r="K5195" s="2">
        <f t="shared" si="398"/>
        <v>0</v>
      </c>
    </row>
    <row r="5196" spans="5:11">
      <c r="E5196" t="s">
        <v>1299</v>
      </c>
      <c r="F5196" t="s">
        <v>1550</v>
      </c>
      <c r="G5196" s="6" t="str">
        <f t="shared" si="396"/>
        <v>14-01</v>
      </c>
      <c r="H5196" s="1">
        <f>_xlfn.IFNA(VLOOKUP(E5196,'Urban Plastix Holds'!$I$36:$U$498,6,0),0)</f>
        <v>0</v>
      </c>
      <c r="J5196" s="2">
        <f t="shared" si="397"/>
        <v>0</v>
      </c>
      <c r="K5196" s="2">
        <f t="shared" si="398"/>
        <v>0</v>
      </c>
    </row>
    <row r="5197" spans="5:11">
      <c r="E5197" t="s">
        <v>1299</v>
      </c>
      <c r="F5197" t="s">
        <v>1550</v>
      </c>
      <c r="G5197" s="7" t="str">
        <f t="shared" si="396"/>
        <v>15-12</v>
      </c>
      <c r="H5197" s="1">
        <f>_xlfn.IFNA(VLOOKUP(E5197,'Urban Plastix Holds'!$I$36:$U$498,7,0),0)</f>
        <v>0</v>
      </c>
      <c r="J5197" s="2">
        <f t="shared" si="397"/>
        <v>0</v>
      </c>
      <c r="K5197" s="2">
        <f t="shared" si="398"/>
        <v>0</v>
      </c>
    </row>
    <row r="5198" spans="5:11">
      <c r="E5198" t="s">
        <v>1299</v>
      </c>
      <c r="F5198" t="s">
        <v>1550</v>
      </c>
      <c r="G5198" s="8" t="str">
        <f t="shared" si="396"/>
        <v>16-16</v>
      </c>
      <c r="H5198" s="1">
        <f>_xlfn.IFNA(VLOOKUP(E5198,'Urban Plastix Holds'!$I$36:$U$498,8,0),0)</f>
        <v>0</v>
      </c>
      <c r="J5198" s="2">
        <f t="shared" si="397"/>
        <v>0</v>
      </c>
      <c r="K5198" s="2">
        <f t="shared" si="398"/>
        <v>0</v>
      </c>
    </row>
    <row r="5199" spans="5:11">
      <c r="E5199" t="s">
        <v>1299</v>
      </c>
      <c r="F5199" t="s">
        <v>1550</v>
      </c>
      <c r="G5199" s="9" t="str">
        <f t="shared" si="396"/>
        <v>13-01</v>
      </c>
      <c r="H5199" s="1">
        <f>_xlfn.IFNA(VLOOKUP(E5199,'Urban Plastix Holds'!$I$36:$U$498,9,0),0)</f>
        <v>0</v>
      </c>
      <c r="J5199" s="2">
        <f t="shared" si="397"/>
        <v>0</v>
      </c>
      <c r="K5199" s="2">
        <f t="shared" si="398"/>
        <v>0</v>
      </c>
    </row>
    <row r="5200" spans="5:11">
      <c r="E5200" t="s">
        <v>1299</v>
      </c>
      <c r="F5200" t="s">
        <v>1550</v>
      </c>
      <c r="G5200" s="10" t="str">
        <f t="shared" si="396"/>
        <v>07-13</v>
      </c>
      <c r="H5200" s="1">
        <f>_xlfn.IFNA(VLOOKUP(E5200,'Urban Plastix Holds'!$I$36:$U$498,10,0),0)</f>
        <v>0</v>
      </c>
      <c r="J5200" s="2">
        <f t="shared" si="397"/>
        <v>0</v>
      </c>
      <c r="K5200" s="2">
        <f t="shared" si="398"/>
        <v>0</v>
      </c>
    </row>
    <row r="5201" spans="5:11">
      <c r="E5201" t="s">
        <v>1299</v>
      </c>
      <c r="F5201" t="s">
        <v>1550</v>
      </c>
      <c r="G5201" s="11" t="str">
        <f t="shared" si="396"/>
        <v>11-25</v>
      </c>
      <c r="H5201" s="1">
        <f>_xlfn.IFNA(VLOOKUP(E5201,'Urban Plastix Holds'!$I$36:$U$498,11,0),0)</f>
        <v>0</v>
      </c>
      <c r="J5201" s="2">
        <f t="shared" si="397"/>
        <v>0</v>
      </c>
      <c r="K5201" s="2">
        <f t="shared" si="398"/>
        <v>0</v>
      </c>
    </row>
    <row r="5202" spans="5:11">
      <c r="E5202" t="s">
        <v>1299</v>
      </c>
      <c r="F5202" t="s">
        <v>1550</v>
      </c>
      <c r="G5202" s="13" t="str">
        <f t="shared" si="396"/>
        <v>18-01</v>
      </c>
      <c r="H5202" s="1">
        <f>_xlfn.IFNA(VLOOKUP(E5202,'Urban Plastix Holds'!$I$36:$U$498,12,0),0)</f>
        <v>0</v>
      </c>
      <c r="J5202" s="2">
        <f t="shared" si="397"/>
        <v>0</v>
      </c>
      <c r="K5202" s="2">
        <f t="shared" si="398"/>
        <v>0</v>
      </c>
    </row>
    <row r="5203" spans="5:11">
      <c r="E5203" t="s">
        <v>1299</v>
      </c>
      <c r="F5203" t="s">
        <v>1550</v>
      </c>
      <c r="G5203" s="12" t="str">
        <f t="shared" si="396"/>
        <v>12-01</v>
      </c>
      <c r="H5203" s="1">
        <f>_xlfn.IFNA(VLOOKUP(E5203,'Urban Plastix Holds'!$I$36:$U$498,13,0),0)</f>
        <v>0</v>
      </c>
      <c r="J5203" s="2">
        <f t="shared" si="397"/>
        <v>0</v>
      </c>
      <c r="K5203" s="2">
        <f t="shared" si="398"/>
        <v>0</v>
      </c>
    </row>
    <row r="5204" spans="5:11">
      <c r="E5204" t="s">
        <v>1251</v>
      </c>
      <c r="F5204" t="s">
        <v>1551</v>
      </c>
      <c r="G5204" s="5" t="str">
        <f t="shared" si="396"/>
        <v>11-12</v>
      </c>
      <c r="H5204" s="1">
        <f>_xlfn.IFNA(VLOOKUP(E5204,'Urban Plastix Holds'!$I$36:$U$498,5,0),0)</f>
        <v>0</v>
      </c>
      <c r="J5204" s="2">
        <f t="shared" si="397"/>
        <v>0</v>
      </c>
      <c r="K5204" s="2">
        <f t="shared" si="398"/>
        <v>0</v>
      </c>
    </row>
    <row r="5205" spans="5:11">
      <c r="E5205" t="s">
        <v>1251</v>
      </c>
      <c r="F5205" t="s">
        <v>1551</v>
      </c>
      <c r="G5205" s="6" t="str">
        <f t="shared" si="396"/>
        <v>14-01</v>
      </c>
      <c r="H5205" s="1">
        <f>_xlfn.IFNA(VLOOKUP(E5205,'Urban Plastix Holds'!$I$36:$U$498,6,0),0)</f>
        <v>0</v>
      </c>
      <c r="J5205" s="2">
        <f t="shared" si="397"/>
        <v>0</v>
      </c>
      <c r="K5205" s="2">
        <f t="shared" si="398"/>
        <v>0</v>
      </c>
    </row>
    <row r="5206" spans="5:11">
      <c r="E5206" t="s">
        <v>1251</v>
      </c>
      <c r="F5206" t="s">
        <v>1551</v>
      </c>
      <c r="G5206" s="7" t="str">
        <f t="shared" si="396"/>
        <v>15-12</v>
      </c>
      <c r="H5206" s="1">
        <f>_xlfn.IFNA(VLOOKUP(E5206,'Urban Plastix Holds'!$I$36:$U$498,7,0),0)</f>
        <v>0</v>
      </c>
      <c r="J5206" s="2">
        <f t="shared" si="397"/>
        <v>0</v>
      </c>
      <c r="K5206" s="2">
        <f t="shared" si="398"/>
        <v>0</v>
      </c>
    </row>
    <row r="5207" spans="5:11">
      <c r="E5207" t="s">
        <v>1251</v>
      </c>
      <c r="F5207" t="s">
        <v>1551</v>
      </c>
      <c r="G5207" s="8" t="str">
        <f t="shared" si="396"/>
        <v>16-16</v>
      </c>
      <c r="H5207" s="1">
        <f>_xlfn.IFNA(VLOOKUP(E5207,'Urban Plastix Holds'!$I$36:$U$498,8,0),0)</f>
        <v>0</v>
      </c>
      <c r="J5207" s="2">
        <f t="shared" si="397"/>
        <v>0</v>
      </c>
      <c r="K5207" s="2">
        <f t="shared" si="398"/>
        <v>0</v>
      </c>
    </row>
    <row r="5208" spans="5:11">
      <c r="E5208" t="s">
        <v>1251</v>
      </c>
      <c r="F5208" t="s">
        <v>1551</v>
      </c>
      <c r="G5208" s="9" t="str">
        <f t="shared" ref="G5208:G5271" si="399">G5199</f>
        <v>13-01</v>
      </c>
      <c r="H5208" s="1">
        <f>_xlfn.IFNA(VLOOKUP(E5208,'Urban Plastix Holds'!$I$36:$U$498,9,0),0)</f>
        <v>0</v>
      </c>
      <c r="J5208" s="2">
        <f t="shared" si="397"/>
        <v>0</v>
      </c>
      <c r="K5208" s="2">
        <f t="shared" si="398"/>
        <v>0</v>
      </c>
    </row>
    <row r="5209" spans="5:11">
      <c r="E5209" t="s">
        <v>1251</v>
      </c>
      <c r="F5209" t="s">
        <v>1551</v>
      </c>
      <c r="G5209" s="10" t="str">
        <f t="shared" si="399"/>
        <v>07-13</v>
      </c>
      <c r="H5209" s="1">
        <f>_xlfn.IFNA(VLOOKUP(E5209,'Urban Plastix Holds'!$I$36:$U$498,10,0),0)</f>
        <v>0</v>
      </c>
      <c r="J5209" s="2">
        <f t="shared" si="397"/>
        <v>0</v>
      </c>
      <c r="K5209" s="2">
        <f t="shared" si="398"/>
        <v>0</v>
      </c>
    </row>
    <row r="5210" spans="5:11">
      <c r="E5210" t="s">
        <v>1251</v>
      </c>
      <c r="F5210" t="s">
        <v>1551</v>
      </c>
      <c r="G5210" s="11" t="str">
        <f t="shared" si="399"/>
        <v>11-25</v>
      </c>
      <c r="H5210" s="1">
        <f>_xlfn.IFNA(VLOOKUP(E5210,'Urban Plastix Holds'!$I$36:$U$498,11,0),0)</f>
        <v>0</v>
      </c>
      <c r="J5210" s="2">
        <f t="shared" si="397"/>
        <v>0</v>
      </c>
      <c r="K5210" s="2">
        <f t="shared" si="398"/>
        <v>0</v>
      </c>
    </row>
    <row r="5211" spans="5:11">
      <c r="E5211" t="s">
        <v>1251</v>
      </c>
      <c r="F5211" t="s">
        <v>1551</v>
      </c>
      <c r="G5211" s="13" t="str">
        <f t="shared" si="399"/>
        <v>18-01</v>
      </c>
      <c r="H5211" s="1">
        <f>_xlfn.IFNA(VLOOKUP(E5211,'Urban Plastix Holds'!$I$36:$U$498,12,0),0)</f>
        <v>0</v>
      </c>
      <c r="J5211" s="2">
        <f t="shared" si="397"/>
        <v>0</v>
      </c>
      <c r="K5211" s="2">
        <f t="shared" si="398"/>
        <v>0</v>
      </c>
    </row>
    <row r="5212" spans="5:11">
      <c r="E5212" t="s">
        <v>1251</v>
      </c>
      <c r="F5212" t="s">
        <v>1551</v>
      </c>
      <c r="G5212" s="12" t="str">
        <f t="shared" si="399"/>
        <v>12-01</v>
      </c>
      <c r="H5212" s="1">
        <f>_xlfn.IFNA(VLOOKUP(E5212,'Urban Plastix Holds'!$I$36:$U$498,13,0),0)</f>
        <v>0</v>
      </c>
      <c r="J5212" s="2">
        <f t="shared" si="397"/>
        <v>0</v>
      </c>
      <c r="K5212" s="2">
        <f t="shared" si="398"/>
        <v>0</v>
      </c>
    </row>
    <row r="5213" spans="5:11">
      <c r="E5213" t="s">
        <v>1269</v>
      </c>
      <c r="F5213" t="s">
        <v>1552</v>
      </c>
      <c r="G5213" s="5" t="str">
        <f t="shared" si="399"/>
        <v>11-12</v>
      </c>
      <c r="H5213" s="1">
        <f>_xlfn.IFNA(VLOOKUP(E5213,'Urban Plastix Holds'!$I$36:$U$498,5,0),0)</f>
        <v>0</v>
      </c>
      <c r="J5213" s="2">
        <f t="shared" si="397"/>
        <v>0</v>
      </c>
      <c r="K5213" s="2">
        <f t="shared" si="398"/>
        <v>0</v>
      </c>
    </row>
    <row r="5214" spans="5:11">
      <c r="E5214" t="s">
        <v>1269</v>
      </c>
      <c r="F5214" t="s">
        <v>1552</v>
      </c>
      <c r="G5214" s="6" t="str">
        <f t="shared" si="399"/>
        <v>14-01</v>
      </c>
      <c r="H5214" s="1">
        <f>_xlfn.IFNA(VLOOKUP(E5214,'Urban Plastix Holds'!$I$36:$U$498,6,0),0)</f>
        <v>0</v>
      </c>
      <c r="J5214" s="2">
        <f t="shared" si="397"/>
        <v>0</v>
      </c>
      <c r="K5214" s="2">
        <f t="shared" si="398"/>
        <v>0</v>
      </c>
    </row>
    <row r="5215" spans="5:11">
      <c r="E5215" t="s">
        <v>1269</v>
      </c>
      <c r="F5215" t="s">
        <v>1552</v>
      </c>
      <c r="G5215" s="7" t="str">
        <f t="shared" si="399"/>
        <v>15-12</v>
      </c>
      <c r="H5215" s="1">
        <f>_xlfn.IFNA(VLOOKUP(E5215,'Urban Plastix Holds'!$I$36:$U$498,7,0),0)</f>
        <v>0</v>
      </c>
      <c r="J5215" s="2">
        <f t="shared" si="397"/>
        <v>0</v>
      </c>
      <c r="K5215" s="2">
        <f t="shared" si="398"/>
        <v>0</v>
      </c>
    </row>
    <row r="5216" spans="5:11">
      <c r="E5216" t="s">
        <v>1269</v>
      </c>
      <c r="F5216" t="s">
        <v>1552</v>
      </c>
      <c r="G5216" s="8" t="str">
        <f t="shared" si="399"/>
        <v>16-16</v>
      </c>
      <c r="H5216" s="1">
        <f>_xlfn.IFNA(VLOOKUP(E5216,'Urban Plastix Holds'!$I$36:$U$498,8,0),0)</f>
        <v>0</v>
      </c>
      <c r="J5216" s="2">
        <f t="shared" si="397"/>
        <v>0</v>
      </c>
      <c r="K5216" s="2">
        <f t="shared" si="398"/>
        <v>0</v>
      </c>
    </row>
    <row r="5217" spans="5:11">
      <c r="E5217" t="s">
        <v>1269</v>
      </c>
      <c r="F5217" t="s">
        <v>1552</v>
      </c>
      <c r="G5217" s="9" t="str">
        <f t="shared" si="399"/>
        <v>13-01</v>
      </c>
      <c r="H5217" s="1">
        <f>_xlfn.IFNA(VLOOKUP(E5217,'Urban Plastix Holds'!$I$36:$U$498,9,0),0)</f>
        <v>0</v>
      </c>
      <c r="J5217" s="2">
        <f t="shared" si="397"/>
        <v>0</v>
      </c>
      <c r="K5217" s="2">
        <f t="shared" si="398"/>
        <v>0</v>
      </c>
    </row>
    <row r="5218" spans="5:11">
      <c r="E5218" t="s">
        <v>1269</v>
      </c>
      <c r="F5218" t="s">
        <v>1552</v>
      </c>
      <c r="G5218" s="10" t="str">
        <f t="shared" si="399"/>
        <v>07-13</v>
      </c>
      <c r="H5218" s="1">
        <f>_xlfn.IFNA(VLOOKUP(E5218,'Urban Plastix Holds'!$I$36:$U$498,10,0),0)</f>
        <v>0</v>
      </c>
      <c r="J5218" s="2">
        <f t="shared" si="397"/>
        <v>0</v>
      </c>
      <c r="K5218" s="2">
        <f t="shared" si="398"/>
        <v>0</v>
      </c>
    </row>
    <row r="5219" spans="5:11">
      <c r="E5219" t="s">
        <v>1269</v>
      </c>
      <c r="F5219" t="s">
        <v>1552</v>
      </c>
      <c r="G5219" s="11" t="str">
        <f t="shared" si="399"/>
        <v>11-25</v>
      </c>
      <c r="H5219" s="1">
        <f>_xlfn.IFNA(VLOOKUP(E5219,'Urban Plastix Holds'!$I$36:$U$498,11,0),0)</f>
        <v>0</v>
      </c>
      <c r="J5219" s="2">
        <f t="shared" si="397"/>
        <v>0</v>
      </c>
      <c r="K5219" s="2">
        <f t="shared" si="398"/>
        <v>0</v>
      </c>
    </row>
    <row r="5220" spans="5:11">
      <c r="E5220" t="s">
        <v>1269</v>
      </c>
      <c r="F5220" t="s">
        <v>1552</v>
      </c>
      <c r="G5220" s="13" t="str">
        <f t="shared" si="399"/>
        <v>18-01</v>
      </c>
      <c r="H5220" s="1">
        <f>_xlfn.IFNA(VLOOKUP(E5220,'Urban Plastix Holds'!$I$36:$U$498,12,0),0)</f>
        <v>0</v>
      </c>
      <c r="J5220" s="2">
        <f t="shared" si="397"/>
        <v>0</v>
      </c>
      <c r="K5220" s="2">
        <f t="shared" si="398"/>
        <v>0</v>
      </c>
    </row>
    <row r="5221" spans="5:11">
      <c r="E5221" t="s">
        <v>1269</v>
      </c>
      <c r="F5221" t="s">
        <v>1552</v>
      </c>
      <c r="G5221" s="12" t="str">
        <f t="shared" si="399"/>
        <v>12-01</v>
      </c>
      <c r="H5221" s="1">
        <f>_xlfn.IFNA(VLOOKUP(E5221,'Urban Plastix Holds'!$I$36:$U$498,13,0),0)</f>
        <v>0</v>
      </c>
      <c r="J5221" s="2">
        <f t="shared" si="397"/>
        <v>0</v>
      </c>
      <c r="K5221" s="2">
        <f t="shared" si="398"/>
        <v>0</v>
      </c>
    </row>
    <row r="5222" spans="5:11">
      <c r="E5222" t="s">
        <v>1303</v>
      </c>
      <c r="F5222" t="s">
        <v>1493</v>
      </c>
      <c r="G5222" s="5" t="str">
        <f t="shared" si="399"/>
        <v>11-12</v>
      </c>
      <c r="H5222" s="1">
        <f>_xlfn.IFNA(VLOOKUP(E5222,'Urban Plastix Holds'!$I$36:$U$498,5,0),0)</f>
        <v>0</v>
      </c>
      <c r="J5222" s="2">
        <f t="shared" si="397"/>
        <v>0</v>
      </c>
      <c r="K5222" s="2">
        <f t="shared" si="398"/>
        <v>0</v>
      </c>
    </row>
    <row r="5223" spans="5:11">
      <c r="E5223" t="s">
        <v>1303</v>
      </c>
      <c r="F5223" t="s">
        <v>1493</v>
      </c>
      <c r="G5223" s="6" t="str">
        <f t="shared" si="399"/>
        <v>14-01</v>
      </c>
      <c r="H5223" s="1">
        <f>_xlfn.IFNA(VLOOKUP(E5223,'Urban Plastix Holds'!$I$36:$U$498,6,0),0)</f>
        <v>0</v>
      </c>
      <c r="J5223" s="2">
        <f t="shared" si="397"/>
        <v>0</v>
      </c>
      <c r="K5223" s="2">
        <f t="shared" si="398"/>
        <v>0</v>
      </c>
    </row>
    <row r="5224" spans="5:11">
      <c r="E5224" t="s">
        <v>1303</v>
      </c>
      <c r="F5224" t="s">
        <v>1493</v>
      </c>
      <c r="G5224" s="7" t="str">
        <f t="shared" si="399"/>
        <v>15-12</v>
      </c>
      <c r="H5224" s="1">
        <f>_xlfn.IFNA(VLOOKUP(E5224,'Urban Plastix Holds'!$I$36:$U$498,7,0),0)</f>
        <v>0</v>
      </c>
      <c r="J5224" s="2">
        <f t="shared" si="397"/>
        <v>0</v>
      </c>
      <c r="K5224" s="2">
        <f t="shared" si="398"/>
        <v>0</v>
      </c>
    </row>
    <row r="5225" spans="5:11">
      <c r="E5225" t="s">
        <v>1303</v>
      </c>
      <c r="F5225" t="s">
        <v>1493</v>
      </c>
      <c r="G5225" s="8" t="str">
        <f t="shared" si="399"/>
        <v>16-16</v>
      </c>
      <c r="H5225" s="1">
        <f>_xlfn.IFNA(VLOOKUP(E5225,'Urban Plastix Holds'!$I$36:$U$498,8,0),0)</f>
        <v>0</v>
      </c>
      <c r="J5225" s="2">
        <f t="shared" si="397"/>
        <v>0</v>
      </c>
      <c r="K5225" s="2">
        <f t="shared" si="398"/>
        <v>0</v>
      </c>
    </row>
    <row r="5226" spans="5:11">
      <c r="E5226" t="s">
        <v>1303</v>
      </c>
      <c r="F5226" t="s">
        <v>1493</v>
      </c>
      <c r="G5226" s="9" t="str">
        <f t="shared" si="399"/>
        <v>13-01</v>
      </c>
      <c r="H5226" s="1">
        <f>_xlfn.IFNA(VLOOKUP(E5226,'Urban Plastix Holds'!$I$36:$U$498,9,0),0)</f>
        <v>0</v>
      </c>
      <c r="J5226" s="2">
        <f t="shared" si="397"/>
        <v>0</v>
      </c>
      <c r="K5226" s="2">
        <f t="shared" si="398"/>
        <v>0</v>
      </c>
    </row>
    <row r="5227" spans="5:11">
      <c r="E5227" t="s">
        <v>1303</v>
      </c>
      <c r="F5227" t="s">
        <v>1493</v>
      </c>
      <c r="G5227" s="10" t="str">
        <f t="shared" si="399"/>
        <v>07-13</v>
      </c>
      <c r="H5227" s="1">
        <f>_xlfn.IFNA(VLOOKUP(E5227,'Urban Plastix Holds'!$I$36:$U$498,10,0),0)</f>
        <v>0</v>
      </c>
      <c r="J5227" s="2">
        <f t="shared" si="397"/>
        <v>0</v>
      </c>
      <c r="K5227" s="2">
        <f t="shared" si="398"/>
        <v>0</v>
      </c>
    </row>
    <row r="5228" spans="5:11">
      <c r="E5228" t="s">
        <v>1303</v>
      </c>
      <c r="F5228" t="s">
        <v>1493</v>
      </c>
      <c r="G5228" s="11" t="str">
        <f t="shared" si="399"/>
        <v>11-25</v>
      </c>
      <c r="H5228" s="1">
        <f>_xlfn.IFNA(VLOOKUP(E5228,'Urban Plastix Holds'!$I$36:$U$498,11,0),0)</f>
        <v>0</v>
      </c>
      <c r="J5228" s="2">
        <f t="shared" si="397"/>
        <v>0</v>
      </c>
      <c r="K5228" s="2">
        <f t="shared" si="398"/>
        <v>0</v>
      </c>
    </row>
    <row r="5229" spans="5:11">
      <c r="E5229" t="s">
        <v>1303</v>
      </c>
      <c r="F5229" t="s">
        <v>1493</v>
      </c>
      <c r="G5229" s="13" t="str">
        <f t="shared" si="399"/>
        <v>18-01</v>
      </c>
      <c r="H5229" s="1">
        <f>_xlfn.IFNA(VLOOKUP(E5229,'Urban Plastix Holds'!$I$36:$U$498,12,0),0)</f>
        <v>0</v>
      </c>
      <c r="J5229" s="2">
        <f t="shared" si="397"/>
        <v>0</v>
      </c>
      <c r="K5229" s="2">
        <f t="shared" si="398"/>
        <v>0</v>
      </c>
    </row>
    <row r="5230" spans="5:11">
      <c r="E5230" t="s">
        <v>1303</v>
      </c>
      <c r="F5230" t="s">
        <v>1493</v>
      </c>
      <c r="G5230" s="12" t="str">
        <f t="shared" si="399"/>
        <v>12-01</v>
      </c>
      <c r="H5230" s="1">
        <f>_xlfn.IFNA(VLOOKUP(E5230,'Urban Plastix Holds'!$I$36:$U$498,13,0),0)</f>
        <v>0</v>
      </c>
      <c r="J5230" s="2">
        <f t="shared" ref="J5230:J5293" si="400">H5230*I5230</f>
        <v>0</v>
      </c>
      <c r="K5230" s="2">
        <f t="shared" ref="K5230:K5293" si="401">IF($V$11="Y",J5230*0.05,0)</f>
        <v>0</v>
      </c>
    </row>
    <row r="5231" spans="5:11">
      <c r="E5231" t="s">
        <v>1255</v>
      </c>
      <c r="F5231" t="s">
        <v>1494</v>
      </c>
      <c r="G5231" s="5" t="str">
        <f t="shared" si="399"/>
        <v>11-12</v>
      </c>
      <c r="H5231" s="1">
        <f>_xlfn.IFNA(VLOOKUP(E5231,'Urban Plastix Holds'!$I$36:$U$498,5,0),0)</f>
        <v>0</v>
      </c>
      <c r="J5231" s="2">
        <f t="shared" si="400"/>
        <v>0</v>
      </c>
      <c r="K5231" s="2">
        <f t="shared" si="401"/>
        <v>0</v>
      </c>
    </row>
    <row r="5232" spans="5:11">
      <c r="E5232" t="s">
        <v>1255</v>
      </c>
      <c r="F5232" t="s">
        <v>1494</v>
      </c>
      <c r="G5232" s="6" t="str">
        <f t="shared" si="399"/>
        <v>14-01</v>
      </c>
      <c r="H5232" s="1">
        <f>_xlfn.IFNA(VLOOKUP(E5232,'Urban Plastix Holds'!$I$36:$U$498,6,0),0)</f>
        <v>0</v>
      </c>
      <c r="J5232" s="2">
        <f t="shared" si="400"/>
        <v>0</v>
      </c>
      <c r="K5232" s="2">
        <f t="shared" si="401"/>
        <v>0</v>
      </c>
    </row>
    <row r="5233" spans="5:11">
      <c r="E5233" t="s">
        <v>1255</v>
      </c>
      <c r="F5233" t="s">
        <v>1494</v>
      </c>
      <c r="G5233" s="7" t="str">
        <f t="shared" si="399"/>
        <v>15-12</v>
      </c>
      <c r="H5233" s="1">
        <f>_xlfn.IFNA(VLOOKUP(E5233,'Urban Plastix Holds'!$I$36:$U$498,7,0),0)</f>
        <v>0</v>
      </c>
      <c r="J5233" s="2">
        <f t="shared" si="400"/>
        <v>0</v>
      </c>
      <c r="K5233" s="2">
        <f t="shared" si="401"/>
        <v>0</v>
      </c>
    </row>
    <row r="5234" spans="5:11">
      <c r="E5234" t="s">
        <v>1255</v>
      </c>
      <c r="F5234" t="s">
        <v>1494</v>
      </c>
      <c r="G5234" s="8" t="str">
        <f t="shared" si="399"/>
        <v>16-16</v>
      </c>
      <c r="H5234" s="1">
        <f>_xlfn.IFNA(VLOOKUP(E5234,'Urban Plastix Holds'!$I$36:$U$498,8,0),0)</f>
        <v>0</v>
      </c>
      <c r="J5234" s="2">
        <f t="shared" si="400"/>
        <v>0</v>
      </c>
      <c r="K5234" s="2">
        <f t="shared" si="401"/>
        <v>0</v>
      </c>
    </row>
    <row r="5235" spans="5:11">
      <c r="E5235" t="s">
        <v>1255</v>
      </c>
      <c r="F5235" t="s">
        <v>1494</v>
      </c>
      <c r="G5235" s="9" t="str">
        <f t="shared" si="399"/>
        <v>13-01</v>
      </c>
      <c r="H5235" s="1">
        <f>_xlfn.IFNA(VLOOKUP(E5235,'Urban Plastix Holds'!$I$36:$U$498,9,0),0)</f>
        <v>0</v>
      </c>
      <c r="J5235" s="2">
        <f t="shared" si="400"/>
        <v>0</v>
      </c>
      <c r="K5235" s="2">
        <f t="shared" si="401"/>
        <v>0</v>
      </c>
    </row>
    <row r="5236" spans="5:11">
      <c r="E5236" t="s">
        <v>1255</v>
      </c>
      <c r="F5236" t="s">
        <v>1494</v>
      </c>
      <c r="G5236" s="10" t="str">
        <f t="shared" si="399"/>
        <v>07-13</v>
      </c>
      <c r="H5236" s="1">
        <f>_xlfn.IFNA(VLOOKUP(E5236,'Urban Plastix Holds'!$I$36:$U$498,10,0),0)</f>
        <v>0</v>
      </c>
      <c r="J5236" s="2">
        <f t="shared" si="400"/>
        <v>0</v>
      </c>
      <c r="K5236" s="2">
        <f t="shared" si="401"/>
        <v>0</v>
      </c>
    </row>
    <row r="5237" spans="5:11">
      <c r="E5237" t="s">
        <v>1255</v>
      </c>
      <c r="F5237" t="s">
        <v>1494</v>
      </c>
      <c r="G5237" s="11" t="str">
        <f t="shared" si="399"/>
        <v>11-25</v>
      </c>
      <c r="H5237" s="1">
        <f>_xlfn.IFNA(VLOOKUP(E5237,'Urban Plastix Holds'!$I$36:$U$498,11,0),0)</f>
        <v>0</v>
      </c>
      <c r="J5237" s="2">
        <f t="shared" si="400"/>
        <v>0</v>
      </c>
      <c r="K5237" s="2">
        <f t="shared" si="401"/>
        <v>0</v>
      </c>
    </row>
    <row r="5238" spans="5:11">
      <c r="E5238" t="s">
        <v>1255</v>
      </c>
      <c r="F5238" t="s">
        <v>1494</v>
      </c>
      <c r="G5238" s="13" t="str">
        <f t="shared" si="399"/>
        <v>18-01</v>
      </c>
      <c r="H5238" s="1">
        <f>_xlfn.IFNA(VLOOKUP(E5238,'Urban Plastix Holds'!$I$36:$U$498,12,0),0)</f>
        <v>0</v>
      </c>
      <c r="J5238" s="2">
        <f t="shared" si="400"/>
        <v>0</v>
      </c>
      <c r="K5238" s="2">
        <f t="shared" si="401"/>
        <v>0</v>
      </c>
    </row>
    <row r="5239" spans="5:11">
      <c r="E5239" t="s">
        <v>1255</v>
      </c>
      <c r="F5239" t="s">
        <v>1494</v>
      </c>
      <c r="G5239" s="12" t="str">
        <f t="shared" si="399"/>
        <v>12-01</v>
      </c>
      <c r="H5239" s="1">
        <f>_xlfn.IFNA(VLOOKUP(E5239,'Urban Plastix Holds'!$I$36:$U$498,13,0),0)</f>
        <v>0</v>
      </c>
      <c r="J5239" s="2">
        <f t="shared" si="400"/>
        <v>0</v>
      </c>
      <c r="K5239" s="2">
        <f t="shared" si="401"/>
        <v>0</v>
      </c>
    </row>
    <row r="5240" spans="5:11">
      <c r="E5240" t="s">
        <v>1259</v>
      </c>
      <c r="F5240" t="s">
        <v>1495</v>
      </c>
      <c r="G5240" s="5" t="str">
        <f t="shared" si="399"/>
        <v>11-12</v>
      </c>
      <c r="H5240" s="1">
        <f>_xlfn.IFNA(VLOOKUP(E5240,'Urban Plastix Holds'!$I$36:$U$498,5,0),0)</f>
        <v>0</v>
      </c>
      <c r="J5240" s="2">
        <f t="shared" si="400"/>
        <v>0</v>
      </c>
      <c r="K5240" s="2">
        <f t="shared" si="401"/>
        <v>0</v>
      </c>
    </row>
    <row r="5241" spans="5:11">
      <c r="E5241" t="s">
        <v>1259</v>
      </c>
      <c r="F5241" t="s">
        <v>1495</v>
      </c>
      <c r="G5241" s="6" t="str">
        <f t="shared" si="399"/>
        <v>14-01</v>
      </c>
      <c r="H5241" s="1">
        <f>_xlfn.IFNA(VLOOKUP(E5241,'Urban Plastix Holds'!$I$36:$U$498,6,0),0)</f>
        <v>0</v>
      </c>
      <c r="J5241" s="2">
        <f t="shared" si="400"/>
        <v>0</v>
      </c>
      <c r="K5241" s="2">
        <f t="shared" si="401"/>
        <v>0</v>
      </c>
    </row>
    <row r="5242" spans="5:11">
      <c r="E5242" t="s">
        <v>1259</v>
      </c>
      <c r="F5242" t="s">
        <v>1495</v>
      </c>
      <c r="G5242" s="7" t="str">
        <f t="shared" si="399"/>
        <v>15-12</v>
      </c>
      <c r="H5242" s="1">
        <f>_xlfn.IFNA(VLOOKUP(E5242,'Urban Plastix Holds'!$I$36:$U$498,7,0),0)</f>
        <v>0</v>
      </c>
      <c r="J5242" s="2">
        <f t="shared" si="400"/>
        <v>0</v>
      </c>
      <c r="K5242" s="2">
        <f t="shared" si="401"/>
        <v>0</v>
      </c>
    </row>
    <row r="5243" spans="5:11">
      <c r="E5243" t="s">
        <v>1259</v>
      </c>
      <c r="F5243" t="s">
        <v>1495</v>
      </c>
      <c r="G5243" s="8" t="str">
        <f t="shared" si="399"/>
        <v>16-16</v>
      </c>
      <c r="H5243" s="1">
        <f>_xlfn.IFNA(VLOOKUP(E5243,'Urban Plastix Holds'!$I$36:$U$498,8,0),0)</f>
        <v>0</v>
      </c>
      <c r="J5243" s="2">
        <f t="shared" si="400"/>
        <v>0</v>
      </c>
      <c r="K5243" s="2">
        <f t="shared" si="401"/>
        <v>0</v>
      </c>
    </row>
    <row r="5244" spans="5:11">
      <c r="E5244" t="s">
        <v>1259</v>
      </c>
      <c r="F5244" t="s">
        <v>1495</v>
      </c>
      <c r="G5244" s="9" t="str">
        <f t="shared" si="399"/>
        <v>13-01</v>
      </c>
      <c r="H5244" s="1">
        <f>_xlfn.IFNA(VLOOKUP(E5244,'Urban Plastix Holds'!$I$36:$U$498,9,0),0)</f>
        <v>0</v>
      </c>
      <c r="J5244" s="2">
        <f t="shared" si="400"/>
        <v>0</v>
      </c>
      <c r="K5244" s="2">
        <f t="shared" si="401"/>
        <v>0</v>
      </c>
    </row>
    <row r="5245" spans="5:11">
      <c r="E5245" t="s">
        <v>1259</v>
      </c>
      <c r="F5245" t="s">
        <v>1495</v>
      </c>
      <c r="G5245" s="10" t="str">
        <f t="shared" si="399"/>
        <v>07-13</v>
      </c>
      <c r="H5245" s="1">
        <f>_xlfn.IFNA(VLOOKUP(E5245,'Urban Plastix Holds'!$I$36:$U$498,10,0),0)</f>
        <v>0</v>
      </c>
      <c r="J5245" s="2">
        <f t="shared" si="400"/>
        <v>0</v>
      </c>
      <c r="K5245" s="2">
        <f t="shared" si="401"/>
        <v>0</v>
      </c>
    </row>
    <row r="5246" spans="5:11">
      <c r="E5246" t="s">
        <v>1259</v>
      </c>
      <c r="F5246" t="s">
        <v>1495</v>
      </c>
      <c r="G5246" s="11" t="str">
        <f t="shared" si="399"/>
        <v>11-25</v>
      </c>
      <c r="H5246" s="1">
        <f>_xlfn.IFNA(VLOOKUP(E5246,'Urban Plastix Holds'!$I$36:$U$498,11,0),0)</f>
        <v>0</v>
      </c>
      <c r="J5246" s="2">
        <f t="shared" si="400"/>
        <v>0</v>
      </c>
      <c r="K5246" s="2">
        <f t="shared" si="401"/>
        <v>0</v>
      </c>
    </row>
    <row r="5247" spans="5:11">
      <c r="E5247" t="s">
        <v>1259</v>
      </c>
      <c r="F5247" t="s">
        <v>1495</v>
      </c>
      <c r="G5247" s="13" t="str">
        <f t="shared" si="399"/>
        <v>18-01</v>
      </c>
      <c r="H5247" s="1">
        <f>_xlfn.IFNA(VLOOKUP(E5247,'Urban Plastix Holds'!$I$36:$U$498,12,0),0)</f>
        <v>0</v>
      </c>
      <c r="J5247" s="2">
        <f t="shared" si="400"/>
        <v>0</v>
      </c>
      <c r="K5247" s="2">
        <f t="shared" si="401"/>
        <v>0</v>
      </c>
    </row>
    <row r="5248" spans="5:11">
      <c r="E5248" t="s">
        <v>1259</v>
      </c>
      <c r="F5248" t="s">
        <v>1495</v>
      </c>
      <c r="G5248" s="12" t="str">
        <f t="shared" si="399"/>
        <v>12-01</v>
      </c>
      <c r="H5248" s="1">
        <f>_xlfn.IFNA(VLOOKUP(E5248,'Urban Plastix Holds'!$I$36:$U$498,13,0),0)</f>
        <v>0</v>
      </c>
      <c r="J5248" s="2">
        <f t="shared" si="400"/>
        <v>0</v>
      </c>
      <c r="K5248" s="2">
        <f t="shared" si="401"/>
        <v>0</v>
      </c>
    </row>
    <row r="5249" spans="5:11">
      <c r="E5249" t="s">
        <v>1290</v>
      </c>
      <c r="F5249" t="s">
        <v>1553</v>
      </c>
      <c r="G5249" s="5" t="str">
        <f t="shared" si="399"/>
        <v>11-12</v>
      </c>
      <c r="H5249" s="1">
        <f>_xlfn.IFNA(VLOOKUP(E5249,'Urban Plastix Holds'!$I$36:$U$498,5,0),0)</f>
        <v>0</v>
      </c>
      <c r="J5249" s="2">
        <f t="shared" si="400"/>
        <v>0</v>
      </c>
      <c r="K5249" s="2">
        <f t="shared" si="401"/>
        <v>0</v>
      </c>
    </row>
    <row r="5250" spans="5:11">
      <c r="E5250" t="s">
        <v>1290</v>
      </c>
      <c r="F5250" t="s">
        <v>1553</v>
      </c>
      <c r="G5250" s="6" t="str">
        <f t="shared" si="399"/>
        <v>14-01</v>
      </c>
      <c r="H5250" s="1">
        <f>_xlfn.IFNA(VLOOKUP(E5250,'Urban Plastix Holds'!$I$36:$U$498,6,0),0)</f>
        <v>0</v>
      </c>
      <c r="J5250" s="2">
        <f t="shared" si="400"/>
        <v>0</v>
      </c>
      <c r="K5250" s="2">
        <f t="shared" si="401"/>
        <v>0</v>
      </c>
    </row>
    <row r="5251" spans="5:11">
      <c r="E5251" t="s">
        <v>1290</v>
      </c>
      <c r="F5251" t="s">
        <v>1553</v>
      </c>
      <c r="G5251" s="7" t="str">
        <f t="shared" si="399"/>
        <v>15-12</v>
      </c>
      <c r="H5251" s="1">
        <f>_xlfn.IFNA(VLOOKUP(E5251,'Urban Plastix Holds'!$I$36:$U$498,7,0),0)</f>
        <v>0</v>
      </c>
      <c r="J5251" s="2">
        <f t="shared" si="400"/>
        <v>0</v>
      </c>
      <c r="K5251" s="2">
        <f t="shared" si="401"/>
        <v>0</v>
      </c>
    </row>
    <row r="5252" spans="5:11">
      <c r="E5252" t="s">
        <v>1290</v>
      </c>
      <c r="F5252" t="s">
        <v>1553</v>
      </c>
      <c r="G5252" s="8" t="str">
        <f t="shared" si="399"/>
        <v>16-16</v>
      </c>
      <c r="H5252" s="1">
        <f>_xlfn.IFNA(VLOOKUP(E5252,'Urban Plastix Holds'!$I$36:$U$498,8,0),0)</f>
        <v>0</v>
      </c>
      <c r="J5252" s="2">
        <f t="shared" si="400"/>
        <v>0</v>
      </c>
      <c r="K5252" s="2">
        <f t="shared" si="401"/>
        <v>0</v>
      </c>
    </row>
    <row r="5253" spans="5:11">
      <c r="E5253" t="s">
        <v>1290</v>
      </c>
      <c r="F5253" t="s">
        <v>1553</v>
      </c>
      <c r="G5253" s="9" t="str">
        <f t="shared" si="399"/>
        <v>13-01</v>
      </c>
      <c r="H5253" s="1">
        <f>_xlfn.IFNA(VLOOKUP(E5253,'Urban Plastix Holds'!$I$36:$U$498,9,0),0)</f>
        <v>0</v>
      </c>
      <c r="J5253" s="2">
        <f t="shared" si="400"/>
        <v>0</v>
      </c>
      <c r="K5253" s="2">
        <f t="shared" si="401"/>
        <v>0</v>
      </c>
    </row>
    <row r="5254" spans="5:11">
      <c r="E5254" t="s">
        <v>1290</v>
      </c>
      <c r="F5254" t="s">
        <v>1553</v>
      </c>
      <c r="G5254" s="10" t="str">
        <f t="shared" si="399"/>
        <v>07-13</v>
      </c>
      <c r="H5254" s="1">
        <f>_xlfn.IFNA(VLOOKUP(E5254,'Urban Plastix Holds'!$I$36:$U$498,10,0),0)</f>
        <v>0</v>
      </c>
      <c r="J5254" s="2">
        <f t="shared" si="400"/>
        <v>0</v>
      </c>
      <c r="K5254" s="2">
        <f t="shared" si="401"/>
        <v>0</v>
      </c>
    </row>
    <row r="5255" spans="5:11">
      <c r="E5255" t="s">
        <v>1290</v>
      </c>
      <c r="F5255" t="s">
        <v>1553</v>
      </c>
      <c r="G5255" s="11" t="str">
        <f t="shared" si="399"/>
        <v>11-25</v>
      </c>
      <c r="H5255" s="1">
        <f>_xlfn.IFNA(VLOOKUP(E5255,'Urban Plastix Holds'!$I$36:$U$498,11,0),0)</f>
        <v>0</v>
      </c>
      <c r="J5255" s="2">
        <f t="shared" si="400"/>
        <v>0</v>
      </c>
      <c r="K5255" s="2">
        <f t="shared" si="401"/>
        <v>0</v>
      </c>
    </row>
    <row r="5256" spans="5:11">
      <c r="E5256" t="s">
        <v>1290</v>
      </c>
      <c r="F5256" t="s">
        <v>1553</v>
      </c>
      <c r="G5256" s="13" t="str">
        <f t="shared" si="399"/>
        <v>18-01</v>
      </c>
      <c r="H5256" s="1">
        <f>_xlfn.IFNA(VLOOKUP(E5256,'Urban Plastix Holds'!$I$36:$U$498,12,0),0)</f>
        <v>0</v>
      </c>
      <c r="J5256" s="2">
        <f t="shared" si="400"/>
        <v>0</v>
      </c>
      <c r="K5256" s="2">
        <f t="shared" si="401"/>
        <v>0</v>
      </c>
    </row>
    <row r="5257" spans="5:11">
      <c r="E5257" t="s">
        <v>1290</v>
      </c>
      <c r="F5257" t="s">
        <v>1553</v>
      </c>
      <c r="G5257" s="12" t="str">
        <f t="shared" si="399"/>
        <v>12-01</v>
      </c>
      <c r="H5257" s="1">
        <f>_xlfn.IFNA(VLOOKUP(E5257,'Urban Plastix Holds'!$I$36:$U$498,13,0),0)</f>
        <v>0</v>
      </c>
      <c r="J5257" s="2">
        <f t="shared" si="400"/>
        <v>0</v>
      </c>
      <c r="K5257" s="2">
        <f t="shared" si="401"/>
        <v>0</v>
      </c>
    </row>
    <row r="5258" spans="5:11">
      <c r="E5258" t="s">
        <v>1294</v>
      </c>
      <c r="F5258" t="s">
        <v>1496</v>
      </c>
      <c r="G5258" s="5" t="str">
        <f t="shared" si="399"/>
        <v>11-12</v>
      </c>
      <c r="H5258" s="1">
        <f>_xlfn.IFNA(VLOOKUP(E5258,'Urban Plastix Holds'!$I$36:$U$498,5,0),0)</f>
        <v>0</v>
      </c>
      <c r="J5258" s="2">
        <f t="shared" si="400"/>
        <v>0</v>
      </c>
      <c r="K5258" s="2">
        <f t="shared" si="401"/>
        <v>0</v>
      </c>
    </row>
    <row r="5259" spans="5:11">
      <c r="E5259" t="s">
        <v>1294</v>
      </c>
      <c r="F5259" t="s">
        <v>1496</v>
      </c>
      <c r="G5259" s="6" t="str">
        <f t="shared" si="399"/>
        <v>14-01</v>
      </c>
      <c r="H5259" s="1">
        <f>_xlfn.IFNA(VLOOKUP(E5259,'Urban Plastix Holds'!$I$36:$U$498,6,0),0)</f>
        <v>0</v>
      </c>
      <c r="J5259" s="2">
        <f t="shared" si="400"/>
        <v>0</v>
      </c>
      <c r="K5259" s="2">
        <f t="shared" si="401"/>
        <v>0</v>
      </c>
    </row>
    <row r="5260" spans="5:11">
      <c r="E5260" t="s">
        <v>1294</v>
      </c>
      <c r="F5260" t="s">
        <v>1496</v>
      </c>
      <c r="G5260" s="7" t="str">
        <f t="shared" si="399"/>
        <v>15-12</v>
      </c>
      <c r="H5260" s="1">
        <f>_xlfn.IFNA(VLOOKUP(E5260,'Urban Plastix Holds'!$I$36:$U$498,7,0),0)</f>
        <v>0</v>
      </c>
      <c r="J5260" s="2">
        <f t="shared" si="400"/>
        <v>0</v>
      </c>
      <c r="K5260" s="2">
        <f t="shared" si="401"/>
        <v>0</v>
      </c>
    </row>
    <row r="5261" spans="5:11">
      <c r="E5261" t="s">
        <v>1294</v>
      </c>
      <c r="F5261" t="s">
        <v>1496</v>
      </c>
      <c r="G5261" s="8" t="str">
        <f t="shared" si="399"/>
        <v>16-16</v>
      </c>
      <c r="H5261" s="1">
        <f>_xlfn.IFNA(VLOOKUP(E5261,'Urban Plastix Holds'!$I$36:$U$498,8,0),0)</f>
        <v>0</v>
      </c>
      <c r="J5261" s="2">
        <f t="shared" si="400"/>
        <v>0</v>
      </c>
      <c r="K5261" s="2">
        <f t="shared" si="401"/>
        <v>0</v>
      </c>
    </row>
    <row r="5262" spans="5:11">
      <c r="E5262" t="s">
        <v>1294</v>
      </c>
      <c r="F5262" t="s">
        <v>1496</v>
      </c>
      <c r="G5262" s="9" t="str">
        <f t="shared" si="399"/>
        <v>13-01</v>
      </c>
      <c r="H5262" s="1">
        <f>_xlfn.IFNA(VLOOKUP(E5262,'Urban Plastix Holds'!$I$36:$U$498,9,0),0)</f>
        <v>0</v>
      </c>
      <c r="J5262" s="2">
        <f t="shared" si="400"/>
        <v>0</v>
      </c>
      <c r="K5262" s="2">
        <f t="shared" si="401"/>
        <v>0</v>
      </c>
    </row>
    <row r="5263" spans="5:11">
      <c r="E5263" t="s">
        <v>1294</v>
      </c>
      <c r="F5263" t="s">
        <v>1496</v>
      </c>
      <c r="G5263" s="10" t="str">
        <f t="shared" si="399"/>
        <v>07-13</v>
      </c>
      <c r="H5263" s="1">
        <f>_xlfn.IFNA(VLOOKUP(E5263,'Urban Plastix Holds'!$I$36:$U$498,10,0),0)</f>
        <v>0</v>
      </c>
      <c r="J5263" s="2">
        <f t="shared" si="400"/>
        <v>0</v>
      </c>
      <c r="K5263" s="2">
        <f t="shared" si="401"/>
        <v>0</v>
      </c>
    </row>
    <row r="5264" spans="5:11">
      <c r="E5264" t="s">
        <v>1294</v>
      </c>
      <c r="F5264" t="s">
        <v>1496</v>
      </c>
      <c r="G5264" s="11" t="str">
        <f t="shared" si="399"/>
        <v>11-25</v>
      </c>
      <c r="H5264" s="1">
        <f>_xlfn.IFNA(VLOOKUP(E5264,'Urban Plastix Holds'!$I$36:$U$498,11,0),0)</f>
        <v>0</v>
      </c>
      <c r="J5264" s="2">
        <f t="shared" si="400"/>
        <v>0</v>
      </c>
      <c r="K5264" s="2">
        <f t="shared" si="401"/>
        <v>0</v>
      </c>
    </row>
    <row r="5265" spans="5:11">
      <c r="E5265" t="s">
        <v>1294</v>
      </c>
      <c r="F5265" t="s">
        <v>1496</v>
      </c>
      <c r="G5265" s="13" t="str">
        <f t="shared" si="399"/>
        <v>18-01</v>
      </c>
      <c r="H5265" s="1">
        <f>_xlfn.IFNA(VLOOKUP(E5265,'Urban Plastix Holds'!$I$36:$U$498,12,0),0)</f>
        <v>0</v>
      </c>
      <c r="J5265" s="2">
        <f t="shared" si="400"/>
        <v>0</v>
      </c>
      <c r="K5265" s="2">
        <f t="shared" si="401"/>
        <v>0</v>
      </c>
    </row>
    <row r="5266" spans="5:11">
      <c r="E5266" t="s">
        <v>1294</v>
      </c>
      <c r="F5266" t="s">
        <v>1496</v>
      </c>
      <c r="G5266" s="12" t="str">
        <f t="shared" si="399"/>
        <v>12-01</v>
      </c>
      <c r="H5266" s="1">
        <f>_xlfn.IFNA(VLOOKUP(E5266,'Urban Plastix Holds'!$I$36:$U$498,13,0),0)</f>
        <v>0</v>
      </c>
      <c r="J5266" s="2">
        <f t="shared" si="400"/>
        <v>0</v>
      </c>
      <c r="K5266" s="2">
        <f t="shared" si="401"/>
        <v>0</v>
      </c>
    </row>
    <row r="5267" spans="5:11">
      <c r="E5267" t="s">
        <v>1258</v>
      </c>
      <c r="F5267" t="s">
        <v>1497</v>
      </c>
      <c r="G5267" s="5" t="str">
        <f t="shared" si="399"/>
        <v>11-12</v>
      </c>
      <c r="H5267" s="1">
        <f>_xlfn.IFNA(VLOOKUP(E5267,'Urban Plastix Holds'!$I$36:$U$498,5,0),0)</f>
        <v>0</v>
      </c>
      <c r="J5267" s="2">
        <f t="shared" si="400"/>
        <v>0</v>
      </c>
      <c r="K5267" s="2">
        <f t="shared" si="401"/>
        <v>0</v>
      </c>
    </row>
    <row r="5268" spans="5:11">
      <c r="E5268" t="s">
        <v>1258</v>
      </c>
      <c r="F5268" t="s">
        <v>1497</v>
      </c>
      <c r="G5268" s="6" t="str">
        <f t="shared" si="399"/>
        <v>14-01</v>
      </c>
      <c r="H5268" s="1">
        <f>_xlfn.IFNA(VLOOKUP(E5268,'Urban Plastix Holds'!$I$36:$U$498,6,0),0)</f>
        <v>0</v>
      </c>
      <c r="J5268" s="2">
        <f t="shared" si="400"/>
        <v>0</v>
      </c>
      <c r="K5268" s="2">
        <f t="shared" si="401"/>
        <v>0</v>
      </c>
    </row>
    <row r="5269" spans="5:11">
      <c r="E5269" t="s">
        <v>1258</v>
      </c>
      <c r="F5269" t="s">
        <v>1497</v>
      </c>
      <c r="G5269" s="7" t="str">
        <f t="shared" si="399"/>
        <v>15-12</v>
      </c>
      <c r="H5269" s="1">
        <f>_xlfn.IFNA(VLOOKUP(E5269,'Urban Plastix Holds'!$I$36:$U$498,7,0),0)</f>
        <v>0</v>
      </c>
      <c r="J5269" s="2">
        <f t="shared" si="400"/>
        <v>0</v>
      </c>
      <c r="K5269" s="2">
        <f t="shared" si="401"/>
        <v>0</v>
      </c>
    </row>
    <row r="5270" spans="5:11">
      <c r="E5270" t="s">
        <v>1258</v>
      </c>
      <c r="F5270" t="s">
        <v>1497</v>
      </c>
      <c r="G5270" s="8" t="str">
        <f t="shared" si="399"/>
        <v>16-16</v>
      </c>
      <c r="H5270" s="1">
        <f>_xlfn.IFNA(VLOOKUP(E5270,'Urban Plastix Holds'!$I$36:$U$498,8,0),0)</f>
        <v>0</v>
      </c>
      <c r="J5270" s="2">
        <f t="shared" si="400"/>
        <v>0</v>
      </c>
      <c r="K5270" s="2">
        <f t="shared" si="401"/>
        <v>0</v>
      </c>
    </row>
    <row r="5271" spans="5:11">
      <c r="E5271" t="s">
        <v>1258</v>
      </c>
      <c r="F5271" t="s">
        <v>1497</v>
      </c>
      <c r="G5271" s="9" t="str">
        <f t="shared" si="399"/>
        <v>13-01</v>
      </c>
      <c r="H5271" s="1">
        <f>_xlfn.IFNA(VLOOKUP(E5271,'Urban Plastix Holds'!$I$36:$U$498,9,0),0)</f>
        <v>0</v>
      </c>
      <c r="J5271" s="2">
        <f t="shared" si="400"/>
        <v>0</v>
      </c>
      <c r="K5271" s="2">
        <f t="shared" si="401"/>
        <v>0</v>
      </c>
    </row>
    <row r="5272" spans="5:11">
      <c r="E5272" t="s">
        <v>1258</v>
      </c>
      <c r="F5272" t="s">
        <v>1497</v>
      </c>
      <c r="G5272" s="10" t="str">
        <f t="shared" ref="G5272:G5335" si="402">G5263</f>
        <v>07-13</v>
      </c>
      <c r="H5272" s="1">
        <f>_xlfn.IFNA(VLOOKUP(E5272,'Urban Plastix Holds'!$I$36:$U$498,10,0),0)</f>
        <v>0</v>
      </c>
      <c r="J5272" s="2">
        <f t="shared" si="400"/>
        <v>0</v>
      </c>
      <c r="K5272" s="2">
        <f t="shared" si="401"/>
        <v>0</v>
      </c>
    </row>
    <row r="5273" spans="5:11">
      <c r="E5273" t="s">
        <v>1258</v>
      </c>
      <c r="F5273" t="s">
        <v>1497</v>
      </c>
      <c r="G5273" s="11" t="str">
        <f t="shared" si="402"/>
        <v>11-25</v>
      </c>
      <c r="H5273" s="1">
        <f>_xlfn.IFNA(VLOOKUP(E5273,'Urban Plastix Holds'!$I$36:$U$498,11,0),0)</f>
        <v>0</v>
      </c>
      <c r="J5273" s="2">
        <f t="shared" si="400"/>
        <v>0</v>
      </c>
      <c r="K5273" s="2">
        <f t="shared" si="401"/>
        <v>0</v>
      </c>
    </row>
    <row r="5274" spans="5:11">
      <c r="E5274" t="s">
        <v>1258</v>
      </c>
      <c r="F5274" t="s">
        <v>1497</v>
      </c>
      <c r="G5274" s="13" t="str">
        <f t="shared" si="402"/>
        <v>18-01</v>
      </c>
      <c r="H5274" s="1">
        <f>_xlfn.IFNA(VLOOKUP(E5274,'Urban Plastix Holds'!$I$36:$U$498,12,0),0)</f>
        <v>0</v>
      </c>
      <c r="J5274" s="2">
        <f t="shared" si="400"/>
        <v>0</v>
      </c>
      <c r="K5274" s="2">
        <f t="shared" si="401"/>
        <v>0</v>
      </c>
    </row>
    <row r="5275" spans="5:11">
      <c r="E5275" t="s">
        <v>1258</v>
      </c>
      <c r="F5275" t="s">
        <v>1497</v>
      </c>
      <c r="G5275" s="12" t="str">
        <f t="shared" si="402"/>
        <v>12-01</v>
      </c>
      <c r="H5275" s="1">
        <f>_xlfn.IFNA(VLOOKUP(E5275,'Urban Plastix Holds'!$I$36:$U$498,13,0),0)</f>
        <v>0</v>
      </c>
      <c r="J5275" s="2">
        <f t="shared" si="400"/>
        <v>0</v>
      </c>
      <c r="K5275" s="2">
        <f t="shared" si="401"/>
        <v>0</v>
      </c>
    </row>
    <row r="5276" spans="5:11">
      <c r="E5276" t="s">
        <v>1238</v>
      </c>
      <c r="F5276" t="s">
        <v>1498</v>
      </c>
      <c r="G5276" s="5" t="str">
        <f t="shared" si="402"/>
        <v>11-12</v>
      </c>
      <c r="H5276" s="1">
        <f>_xlfn.IFNA(VLOOKUP(E5276,'Urban Plastix Holds'!$I$36:$U$498,5,0),0)</f>
        <v>0</v>
      </c>
      <c r="J5276" s="2">
        <f t="shared" si="400"/>
        <v>0</v>
      </c>
      <c r="K5276" s="2">
        <f t="shared" si="401"/>
        <v>0</v>
      </c>
    </row>
    <row r="5277" spans="5:11">
      <c r="E5277" t="s">
        <v>1238</v>
      </c>
      <c r="F5277" t="s">
        <v>1498</v>
      </c>
      <c r="G5277" s="6" t="str">
        <f t="shared" si="402"/>
        <v>14-01</v>
      </c>
      <c r="H5277" s="1">
        <f>_xlfn.IFNA(VLOOKUP(E5277,'Urban Plastix Holds'!$I$36:$U$498,6,0),0)</f>
        <v>0</v>
      </c>
      <c r="J5277" s="2">
        <f t="shared" si="400"/>
        <v>0</v>
      </c>
      <c r="K5277" s="2">
        <f t="shared" si="401"/>
        <v>0</v>
      </c>
    </row>
    <row r="5278" spans="5:11">
      <c r="E5278" t="s">
        <v>1238</v>
      </c>
      <c r="F5278" t="s">
        <v>1498</v>
      </c>
      <c r="G5278" s="7" t="str">
        <f t="shared" si="402"/>
        <v>15-12</v>
      </c>
      <c r="H5278" s="1">
        <f>_xlfn.IFNA(VLOOKUP(E5278,'Urban Plastix Holds'!$I$36:$U$498,7,0),0)</f>
        <v>0</v>
      </c>
      <c r="J5278" s="2">
        <f t="shared" si="400"/>
        <v>0</v>
      </c>
      <c r="K5278" s="2">
        <f t="shared" si="401"/>
        <v>0</v>
      </c>
    </row>
    <row r="5279" spans="5:11">
      <c r="E5279" t="s">
        <v>1238</v>
      </c>
      <c r="F5279" t="s">
        <v>1498</v>
      </c>
      <c r="G5279" s="8" t="str">
        <f t="shared" si="402"/>
        <v>16-16</v>
      </c>
      <c r="H5279" s="1">
        <f>_xlfn.IFNA(VLOOKUP(E5279,'Urban Plastix Holds'!$I$36:$U$498,8,0),0)</f>
        <v>0</v>
      </c>
      <c r="J5279" s="2">
        <f t="shared" si="400"/>
        <v>0</v>
      </c>
      <c r="K5279" s="2">
        <f t="shared" si="401"/>
        <v>0</v>
      </c>
    </row>
    <row r="5280" spans="5:11">
      <c r="E5280" t="s">
        <v>1238</v>
      </c>
      <c r="F5280" t="s">
        <v>1498</v>
      </c>
      <c r="G5280" s="9" t="str">
        <f t="shared" si="402"/>
        <v>13-01</v>
      </c>
      <c r="H5280" s="1">
        <f>_xlfn.IFNA(VLOOKUP(E5280,'Urban Plastix Holds'!$I$36:$U$498,9,0),0)</f>
        <v>0</v>
      </c>
      <c r="J5280" s="2">
        <f t="shared" si="400"/>
        <v>0</v>
      </c>
      <c r="K5280" s="2">
        <f t="shared" si="401"/>
        <v>0</v>
      </c>
    </row>
    <row r="5281" spans="5:11">
      <c r="E5281" t="s">
        <v>1238</v>
      </c>
      <c r="F5281" t="s">
        <v>1498</v>
      </c>
      <c r="G5281" s="10" t="str">
        <f t="shared" si="402"/>
        <v>07-13</v>
      </c>
      <c r="H5281" s="1">
        <f>_xlfn.IFNA(VLOOKUP(E5281,'Urban Plastix Holds'!$I$36:$U$498,10,0),0)</f>
        <v>0</v>
      </c>
      <c r="J5281" s="2">
        <f t="shared" si="400"/>
        <v>0</v>
      </c>
      <c r="K5281" s="2">
        <f t="shared" si="401"/>
        <v>0</v>
      </c>
    </row>
    <row r="5282" spans="5:11">
      <c r="E5282" t="s">
        <v>1238</v>
      </c>
      <c r="F5282" t="s">
        <v>1498</v>
      </c>
      <c r="G5282" s="11" t="str">
        <f t="shared" si="402"/>
        <v>11-25</v>
      </c>
      <c r="H5282" s="1">
        <f>_xlfn.IFNA(VLOOKUP(E5282,'Urban Plastix Holds'!$I$36:$U$498,11,0),0)</f>
        <v>0</v>
      </c>
      <c r="J5282" s="2">
        <f t="shared" si="400"/>
        <v>0</v>
      </c>
      <c r="K5282" s="2">
        <f t="shared" si="401"/>
        <v>0</v>
      </c>
    </row>
    <row r="5283" spans="5:11">
      <c r="E5283" t="s">
        <v>1238</v>
      </c>
      <c r="F5283" t="s">
        <v>1498</v>
      </c>
      <c r="G5283" s="13" t="str">
        <f t="shared" si="402"/>
        <v>18-01</v>
      </c>
      <c r="H5283" s="1">
        <f>_xlfn.IFNA(VLOOKUP(E5283,'Urban Plastix Holds'!$I$36:$U$498,12,0),0)</f>
        <v>0</v>
      </c>
      <c r="J5283" s="2">
        <f t="shared" si="400"/>
        <v>0</v>
      </c>
      <c r="K5283" s="2">
        <f t="shared" si="401"/>
        <v>0</v>
      </c>
    </row>
    <row r="5284" spans="5:11">
      <c r="E5284" t="s">
        <v>1238</v>
      </c>
      <c r="F5284" t="s">
        <v>1498</v>
      </c>
      <c r="G5284" s="12" t="str">
        <f t="shared" si="402"/>
        <v>12-01</v>
      </c>
      <c r="H5284" s="1">
        <f>_xlfn.IFNA(VLOOKUP(E5284,'Urban Plastix Holds'!$I$36:$U$498,13,0),0)</f>
        <v>0</v>
      </c>
      <c r="J5284" s="2">
        <f t="shared" si="400"/>
        <v>0</v>
      </c>
      <c r="K5284" s="2">
        <f t="shared" si="401"/>
        <v>0</v>
      </c>
    </row>
    <row r="5285" spans="5:11">
      <c r="E5285" t="s">
        <v>1256</v>
      </c>
      <c r="F5285" t="s">
        <v>1499</v>
      </c>
      <c r="G5285" s="5" t="str">
        <f t="shared" si="402"/>
        <v>11-12</v>
      </c>
      <c r="H5285" s="1">
        <f>_xlfn.IFNA(VLOOKUP(E5285,'Urban Plastix Holds'!$I$36:$U$498,5,0),0)</f>
        <v>0</v>
      </c>
      <c r="J5285" s="2">
        <f t="shared" si="400"/>
        <v>0</v>
      </c>
      <c r="K5285" s="2">
        <f t="shared" si="401"/>
        <v>0</v>
      </c>
    </row>
    <row r="5286" spans="5:11">
      <c r="E5286" t="s">
        <v>1256</v>
      </c>
      <c r="F5286" t="s">
        <v>1499</v>
      </c>
      <c r="G5286" s="6" t="str">
        <f t="shared" si="402"/>
        <v>14-01</v>
      </c>
      <c r="H5286" s="1">
        <f>_xlfn.IFNA(VLOOKUP(E5286,'Urban Plastix Holds'!$I$36:$U$498,6,0),0)</f>
        <v>0</v>
      </c>
      <c r="J5286" s="2">
        <f t="shared" si="400"/>
        <v>0</v>
      </c>
      <c r="K5286" s="2">
        <f t="shared" si="401"/>
        <v>0</v>
      </c>
    </row>
    <row r="5287" spans="5:11">
      <c r="E5287" t="s">
        <v>1256</v>
      </c>
      <c r="F5287" t="s">
        <v>1499</v>
      </c>
      <c r="G5287" s="7" t="str">
        <f t="shared" si="402"/>
        <v>15-12</v>
      </c>
      <c r="H5287" s="1">
        <f>_xlfn.IFNA(VLOOKUP(E5287,'Urban Plastix Holds'!$I$36:$U$498,7,0),0)</f>
        <v>0</v>
      </c>
      <c r="J5287" s="2">
        <f t="shared" si="400"/>
        <v>0</v>
      </c>
      <c r="K5287" s="2">
        <f t="shared" si="401"/>
        <v>0</v>
      </c>
    </row>
    <row r="5288" spans="5:11">
      <c r="E5288" t="s">
        <v>1256</v>
      </c>
      <c r="F5288" t="s">
        <v>1499</v>
      </c>
      <c r="G5288" s="8" t="str">
        <f t="shared" si="402"/>
        <v>16-16</v>
      </c>
      <c r="H5288" s="1">
        <f>_xlfn.IFNA(VLOOKUP(E5288,'Urban Plastix Holds'!$I$36:$U$498,8,0),0)</f>
        <v>0</v>
      </c>
      <c r="J5288" s="2">
        <f t="shared" si="400"/>
        <v>0</v>
      </c>
      <c r="K5288" s="2">
        <f t="shared" si="401"/>
        <v>0</v>
      </c>
    </row>
    <row r="5289" spans="5:11">
      <c r="E5289" t="s">
        <v>1256</v>
      </c>
      <c r="F5289" t="s">
        <v>1499</v>
      </c>
      <c r="G5289" s="9" t="str">
        <f t="shared" si="402"/>
        <v>13-01</v>
      </c>
      <c r="H5289" s="1">
        <f>_xlfn.IFNA(VLOOKUP(E5289,'Urban Plastix Holds'!$I$36:$U$498,9,0),0)</f>
        <v>0</v>
      </c>
      <c r="J5289" s="2">
        <f t="shared" si="400"/>
        <v>0</v>
      </c>
      <c r="K5289" s="2">
        <f t="shared" si="401"/>
        <v>0</v>
      </c>
    </row>
    <row r="5290" spans="5:11">
      <c r="E5290" t="s">
        <v>1256</v>
      </c>
      <c r="F5290" t="s">
        <v>1499</v>
      </c>
      <c r="G5290" s="10" t="str">
        <f t="shared" si="402"/>
        <v>07-13</v>
      </c>
      <c r="H5290" s="1">
        <f>_xlfn.IFNA(VLOOKUP(E5290,'Urban Plastix Holds'!$I$36:$U$498,10,0),0)</f>
        <v>0</v>
      </c>
      <c r="J5290" s="2">
        <f t="shared" si="400"/>
        <v>0</v>
      </c>
      <c r="K5290" s="2">
        <f t="shared" si="401"/>
        <v>0</v>
      </c>
    </row>
    <row r="5291" spans="5:11">
      <c r="E5291" t="s">
        <v>1256</v>
      </c>
      <c r="F5291" t="s">
        <v>1499</v>
      </c>
      <c r="G5291" s="11" t="str">
        <f t="shared" si="402"/>
        <v>11-25</v>
      </c>
      <c r="H5291" s="1">
        <f>_xlfn.IFNA(VLOOKUP(E5291,'Urban Plastix Holds'!$I$36:$U$498,11,0),0)</f>
        <v>0</v>
      </c>
      <c r="J5291" s="2">
        <f t="shared" si="400"/>
        <v>0</v>
      </c>
      <c r="K5291" s="2">
        <f t="shared" si="401"/>
        <v>0</v>
      </c>
    </row>
    <row r="5292" spans="5:11">
      <c r="E5292" t="s">
        <v>1256</v>
      </c>
      <c r="F5292" t="s">
        <v>1499</v>
      </c>
      <c r="G5292" s="13" t="str">
        <f t="shared" si="402"/>
        <v>18-01</v>
      </c>
      <c r="H5292" s="1">
        <f>_xlfn.IFNA(VLOOKUP(E5292,'Urban Plastix Holds'!$I$36:$U$498,12,0),0)</f>
        <v>0</v>
      </c>
      <c r="J5292" s="2">
        <f t="shared" si="400"/>
        <v>0</v>
      </c>
      <c r="K5292" s="2">
        <f t="shared" si="401"/>
        <v>0</v>
      </c>
    </row>
    <row r="5293" spans="5:11">
      <c r="E5293" t="s">
        <v>1256</v>
      </c>
      <c r="F5293" t="s">
        <v>1499</v>
      </c>
      <c r="G5293" s="12" t="str">
        <f t="shared" si="402"/>
        <v>12-01</v>
      </c>
      <c r="H5293" s="1">
        <f>_xlfn.IFNA(VLOOKUP(E5293,'Urban Plastix Holds'!$I$36:$U$498,13,0),0)</f>
        <v>0</v>
      </c>
      <c r="J5293" s="2">
        <f t="shared" si="400"/>
        <v>0</v>
      </c>
      <c r="K5293" s="2">
        <f t="shared" si="401"/>
        <v>0</v>
      </c>
    </row>
    <row r="5294" spans="5:11">
      <c r="E5294" t="s">
        <v>1240</v>
      </c>
      <c r="F5294" t="s">
        <v>1500</v>
      </c>
      <c r="G5294" s="5" t="str">
        <f t="shared" si="402"/>
        <v>11-12</v>
      </c>
      <c r="H5294" s="1">
        <f>_xlfn.IFNA(VLOOKUP(E5294,'Urban Plastix Holds'!$I$36:$U$498,5,0),0)</f>
        <v>0</v>
      </c>
      <c r="J5294" s="2">
        <f t="shared" ref="J5294:J5357" si="403">H5294*I5294</f>
        <v>0</v>
      </c>
      <c r="K5294" s="2">
        <f t="shared" ref="K5294:K5357" si="404">IF($V$11="Y",J5294*0.05,0)</f>
        <v>0</v>
      </c>
    </row>
    <row r="5295" spans="5:11">
      <c r="E5295" t="s">
        <v>1240</v>
      </c>
      <c r="F5295" t="s">
        <v>1500</v>
      </c>
      <c r="G5295" s="6" t="str">
        <f t="shared" si="402"/>
        <v>14-01</v>
      </c>
      <c r="H5295" s="1">
        <f>_xlfn.IFNA(VLOOKUP(E5295,'Urban Plastix Holds'!$I$36:$U$498,6,0),0)</f>
        <v>0</v>
      </c>
      <c r="J5295" s="2">
        <f t="shared" si="403"/>
        <v>0</v>
      </c>
      <c r="K5295" s="2">
        <f t="shared" si="404"/>
        <v>0</v>
      </c>
    </row>
    <row r="5296" spans="5:11">
      <c r="E5296" t="s">
        <v>1240</v>
      </c>
      <c r="F5296" t="s">
        <v>1500</v>
      </c>
      <c r="G5296" s="7" t="str">
        <f t="shared" si="402"/>
        <v>15-12</v>
      </c>
      <c r="H5296" s="1">
        <f>_xlfn.IFNA(VLOOKUP(E5296,'Urban Plastix Holds'!$I$36:$U$498,7,0),0)</f>
        <v>0</v>
      </c>
      <c r="J5296" s="2">
        <f t="shared" si="403"/>
        <v>0</v>
      </c>
      <c r="K5296" s="2">
        <f t="shared" si="404"/>
        <v>0</v>
      </c>
    </row>
    <row r="5297" spans="5:11">
      <c r="E5297" t="s">
        <v>1240</v>
      </c>
      <c r="F5297" t="s">
        <v>1500</v>
      </c>
      <c r="G5297" s="8" t="str">
        <f t="shared" si="402"/>
        <v>16-16</v>
      </c>
      <c r="H5297" s="1">
        <f>_xlfn.IFNA(VLOOKUP(E5297,'Urban Plastix Holds'!$I$36:$U$498,8,0),0)</f>
        <v>0</v>
      </c>
      <c r="J5297" s="2">
        <f t="shared" si="403"/>
        <v>0</v>
      </c>
      <c r="K5297" s="2">
        <f t="shared" si="404"/>
        <v>0</v>
      </c>
    </row>
    <row r="5298" spans="5:11">
      <c r="E5298" t="s">
        <v>1240</v>
      </c>
      <c r="F5298" t="s">
        <v>1500</v>
      </c>
      <c r="G5298" s="9" t="str">
        <f t="shared" si="402"/>
        <v>13-01</v>
      </c>
      <c r="H5298" s="1">
        <f>_xlfn.IFNA(VLOOKUP(E5298,'Urban Plastix Holds'!$I$36:$U$498,9,0),0)</f>
        <v>0</v>
      </c>
      <c r="J5298" s="2">
        <f t="shared" si="403"/>
        <v>0</v>
      </c>
      <c r="K5298" s="2">
        <f t="shared" si="404"/>
        <v>0</v>
      </c>
    </row>
    <row r="5299" spans="5:11">
      <c r="E5299" t="s">
        <v>1240</v>
      </c>
      <c r="F5299" t="s">
        <v>1500</v>
      </c>
      <c r="G5299" s="10" t="str">
        <f t="shared" si="402"/>
        <v>07-13</v>
      </c>
      <c r="H5299" s="1">
        <f>_xlfn.IFNA(VLOOKUP(E5299,'Urban Plastix Holds'!$I$36:$U$498,10,0),0)</f>
        <v>0</v>
      </c>
      <c r="J5299" s="2">
        <f t="shared" si="403"/>
        <v>0</v>
      </c>
      <c r="K5299" s="2">
        <f t="shared" si="404"/>
        <v>0</v>
      </c>
    </row>
    <row r="5300" spans="5:11">
      <c r="E5300" t="s">
        <v>1240</v>
      </c>
      <c r="F5300" t="s">
        <v>1500</v>
      </c>
      <c r="G5300" s="11" t="str">
        <f t="shared" si="402"/>
        <v>11-25</v>
      </c>
      <c r="H5300" s="1">
        <f>_xlfn.IFNA(VLOOKUP(E5300,'Urban Plastix Holds'!$I$36:$U$498,11,0),0)</f>
        <v>0</v>
      </c>
      <c r="J5300" s="2">
        <f t="shared" si="403"/>
        <v>0</v>
      </c>
      <c r="K5300" s="2">
        <f t="shared" si="404"/>
        <v>0</v>
      </c>
    </row>
    <row r="5301" spans="5:11">
      <c r="E5301" t="s">
        <v>1240</v>
      </c>
      <c r="F5301" t="s">
        <v>1500</v>
      </c>
      <c r="G5301" s="13" t="str">
        <f t="shared" si="402"/>
        <v>18-01</v>
      </c>
      <c r="H5301" s="1">
        <f>_xlfn.IFNA(VLOOKUP(E5301,'Urban Plastix Holds'!$I$36:$U$498,12,0),0)</f>
        <v>0</v>
      </c>
      <c r="J5301" s="2">
        <f t="shared" si="403"/>
        <v>0</v>
      </c>
      <c r="K5301" s="2">
        <f t="shared" si="404"/>
        <v>0</v>
      </c>
    </row>
    <row r="5302" spans="5:11">
      <c r="E5302" t="s">
        <v>1240</v>
      </c>
      <c r="F5302" t="s">
        <v>1500</v>
      </c>
      <c r="G5302" s="12" t="str">
        <f t="shared" si="402"/>
        <v>12-01</v>
      </c>
      <c r="H5302" s="1">
        <f>_xlfn.IFNA(VLOOKUP(E5302,'Urban Plastix Holds'!$I$36:$U$498,13,0),0)</f>
        <v>0</v>
      </c>
      <c r="J5302" s="2">
        <f t="shared" si="403"/>
        <v>0</v>
      </c>
      <c r="K5302" s="2">
        <f t="shared" si="404"/>
        <v>0</v>
      </c>
    </row>
    <row r="5303" spans="5:11">
      <c r="E5303" t="s">
        <v>1442</v>
      </c>
      <c r="F5303" t="s">
        <v>1501</v>
      </c>
      <c r="G5303" s="5" t="str">
        <f t="shared" si="402"/>
        <v>11-12</v>
      </c>
      <c r="H5303" s="1">
        <f>_xlfn.IFNA(VLOOKUP(E5303,'Urban Plastix Holds'!$I$36:$U$498,5,0),0)</f>
        <v>0</v>
      </c>
      <c r="J5303" s="2">
        <f t="shared" si="403"/>
        <v>0</v>
      </c>
      <c r="K5303" s="2">
        <f t="shared" si="404"/>
        <v>0</v>
      </c>
    </row>
    <row r="5304" spans="5:11">
      <c r="E5304" t="s">
        <v>1442</v>
      </c>
      <c r="F5304" t="s">
        <v>1501</v>
      </c>
      <c r="G5304" s="6" t="str">
        <f t="shared" si="402"/>
        <v>14-01</v>
      </c>
      <c r="H5304" s="1">
        <f>_xlfn.IFNA(VLOOKUP(E5304,'Urban Plastix Holds'!$I$36:$U$498,6,0),0)</f>
        <v>0</v>
      </c>
      <c r="J5304" s="2">
        <f t="shared" si="403"/>
        <v>0</v>
      </c>
      <c r="K5304" s="2">
        <f t="shared" si="404"/>
        <v>0</v>
      </c>
    </row>
    <row r="5305" spans="5:11">
      <c r="E5305" t="s">
        <v>1442</v>
      </c>
      <c r="F5305" t="s">
        <v>1501</v>
      </c>
      <c r="G5305" s="7" t="str">
        <f t="shared" si="402"/>
        <v>15-12</v>
      </c>
      <c r="H5305" s="1">
        <f>_xlfn.IFNA(VLOOKUP(E5305,'Urban Plastix Holds'!$I$36:$U$498,7,0),0)</f>
        <v>0</v>
      </c>
      <c r="J5305" s="2">
        <f t="shared" si="403"/>
        <v>0</v>
      </c>
      <c r="K5305" s="2">
        <f t="shared" si="404"/>
        <v>0</v>
      </c>
    </row>
    <row r="5306" spans="5:11">
      <c r="E5306" t="s">
        <v>1442</v>
      </c>
      <c r="F5306" t="s">
        <v>1501</v>
      </c>
      <c r="G5306" s="8" t="str">
        <f t="shared" si="402"/>
        <v>16-16</v>
      </c>
      <c r="H5306" s="1">
        <f>_xlfn.IFNA(VLOOKUP(E5306,'Urban Plastix Holds'!$I$36:$U$498,8,0),0)</f>
        <v>0</v>
      </c>
      <c r="J5306" s="2">
        <f t="shared" si="403"/>
        <v>0</v>
      </c>
      <c r="K5306" s="2">
        <f t="shared" si="404"/>
        <v>0</v>
      </c>
    </row>
    <row r="5307" spans="5:11">
      <c r="E5307" t="s">
        <v>1442</v>
      </c>
      <c r="F5307" t="s">
        <v>1501</v>
      </c>
      <c r="G5307" s="9" t="str">
        <f t="shared" si="402"/>
        <v>13-01</v>
      </c>
      <c r="H5307" s="1">
        <f>_xlfn.IFNA(VLOOKUP(E5307,'Urban Plastix Holds'!$I$36:$U$498,9,0),0)</f>
        <v>0</v>
      </c>
      <c r="J5307" s="2">
        <f t="shared" si="403"/>
        <v>0</v>
      </c>
      <c r="K5307" s="2">
        <f t="shared" si="404"/>
        <v>0</v>
      </c>
    </row>
    <row r="5308" spans="5:11">
      <c r="E5308" t="s">
        <v>1442</v>
      </c>
      <c r="F5308" t="s">
        <v>1501</v>
      </c>
      <c r="G5308" s="10" t="str">
        <f t="shared" si="402"/>
        <v>07-13</v>
      </c>
      <c r="H5308" s="1">
        <f>_xlfn.IFNA(VLOOKUP(E5308,'Urban Plastix Holds'!$I$36:$U$498,10,0),0)</f>
        <v>0</v>
      </c>
      <c r="J5308" s="2">
        <f t="shared" si="403"/>
        <v>0</v>
      </c>
      <c r="K5308" s="2">
        <f t="shared" si="404"/>
        <v>0</v>
      </c>
    </row>
    <row r="5309" spans="5:11">
      <c r="E5309" t="s">
        <v>1442</v>
      </c>
      <c r="F5309" t="s">
        <v>1501</v>
      </c>
      <c r="G5309" s="11" t="str">
        <f t="shared" si="402"/>
        <v>11-25</v>
      </c>
      <c r="H5309" s="1">
        <f>_xlfn.IFNA(VLOOKUP(E5309,'Urban Plastix Holds'!$I$36:$U$498,11,0),0)</f>
        <v>0</v>
      </c>
      <c r="J5309" s="2">
        <f t="shared" si="403"/>
        <v>0</v>
      </c>
      <c r="K5309" s="2">
        <f t="shared" si="404"/>
        <v>0</v>
      </c>
    </row>
    <row r="5310" spans="5:11">
      <c r="E5310" t="s">
        <v>1442</v>
      </c>
      <c r="F5310" t="s">
        <v>1501</v>
      </c>
      <c r="G5310" s="13" t="str">
        <f t="shared" si="402"/>
        <v>18-01</v>
      </c>
      <c r="H5310" s="1">
        <f>_xlfn.IFNA(VLOOKUP(E5310,'Urban Plastix Holds'!$I$36:$U$498,12,0),0)</f>
        <v>0</v>
      </c>
      <c r="J5310" s="2">
        <f t="shared" si="403"/>
        <v>0</v>
      </c>
      <c r="K5310" s="2">
        <f t="shared" si="404"/>
        <v>0</v>
      </c>
    </row>
    <row r="5311" spans="5:11">
      <c r="E5311" t="s">
        <v>1442</v>
      </c>
      <c r="F5311" t="s">
        <v>1501</v>
      </c>
      <c r="G5311" s="12" t="str">
        <f t="shared" si="402"/>
        <v>12-01</v>
      </c>
      <c r="H5311" s="1">
        <f>_xlfn.IFNA(VLOOKUP(E5311,'Urban Plastix Holds'!$I$36:$U$498,13,0),0)</f>
        <v>0</v>
      </c>
      <c r="J5311" s="2">
        <f t="shared" si="403"/>
        <v>0</v>
      </c>
      <c r="K5311" s="2">
        <f t="shared" si="404"/>
        <v>0</v>
      </c>
    </row>
    <row r="5312" spans="5:11">
      <c r="E5312" t="s">
        <v>1234</v>
      </c>
      <c r="F5312" t="s">
        <v>1502</v>
      </c>
      <c r="G5312" s="5" t="str">
        <f t="shared" si="402"/>
        <v>11-12</v>
      </c>
      <c r="H5312" s="1">
        <f>_xlfn.IFNA(VLOOKUP(E5312,'Urban Plastix Holds'!$I$36:$U$498,5,0),0)</f>
        <v>0</v>
      </c>
      <c r="J5312" s="2">
        <f t="shared" si="403"/>
        <v>0</v>
      </c>
      <c r="K5312" s="2">
        <f t="shared" si="404"/>
        <v>0</v>
      </c>
    </row>
    <row r="5313" spans="5:11">
      <c r="E5313" t="s">
        <v>1234</v>
      </c>
      <c r="F5313" t="s">
        <v>1502</v>
      </c>
      <c r="G5313" s="6" t="str">
        <f t="shared" si="402"/>
        <v>14-01</v>
      </c>
      <c r="H5313" s="1">
        <f>_xlfn.IFNA(VLOOKUP(E5313,'Urban Plastix Holds'!$I$36:$U$498,6,0),0)</f>
        <v>0</v>
      </c>
      <c r="J5313" s="2">
        <f t="shared" si="403"/>
        <v>0</v>
      </c>
      <c r="K5313" s="2">
        <f t="shared" si="404"/>
        <v>0</v>
      </c>
    </row>
    <row r="5314" spans="5:11">
      <c r="E5314" t="s">
        <v>1234</v>
      </c>
      <c r="F5314" t="s">
        <v>1502</v>
      </c>
      <c r="G5314" s="7" t="str">
        <f t="shared" si="402"/>
        <v>15-12</v>
      </c>
      <c r="H5314" s="1">
        <f>_xlfn.IFNA(VLOOKUP(E5314,'Urban Plastix Holds'!$I$36:$U$498,7,0),0)</f>
        <v>0</v>
      </c>
      <c r="J5314" s="2">
        <f t="shared" si="403"/>
        <v>0</v>
      </c>
      <c r="K5314" s="2">
        <f t="shared" si="404"/>
        <v>0</v>
      </c>
    </row>
    <row r="5315" spans="5:11">
      <c r="E5315" t="s">
        <v>1234</v>
      </c>
      <c r="F5315" t="s">
        <v>1502</v>
      </c>
      <c r="G5315" s="8" t="str">
        <f t="shared" si="402"/>
        <v>16-16</v>
      </c>
      <c r="H5315" s="1">
        <f>_xlfn.IFNA(VLOOKUP(E5315,'Urban Plastix Holds'!$I$36:$U$498,8,0),0)</f>
        <v>0</v>
      </c>
      <c r="J5315" s="2">
        <f t="shared" si="403"/>
        <v>0</v>
      </c>
      <c r="K5315" s="2">
        <f t="shared" si="404"/>
        <v>0</v>
      </c>
    </row>
    <row r="5316" spans="5:11">
      <c r="E5316" t="s">
        <v>1234</v>
      </c>
      <c r="F5316" t="s">
        <v>1502</v>
      </c>
      <c r="G5316" s="9" t="str">
        <f t="shared" si="402"/>
        <v>13-01</v>
      </c>
      <c r="H5316" s="1">
        <f>_xlfn.IFNA(VLOOKUP(E5316,'Urban Plastix Holds'!$I$36:$U$498,9,0),0)</f>
        <v>0</v>
      </c>
      <c r="J5316" s="2">
        <f t="shared" si="403"/>
        <v>0</v>
      </c>
      <c r="K5316" s="2">
        <f t="shared" si="404"/>
        <v>0</v>
      </c>
    </row>
    <row r="5317" spans="5:11">
      <c r="E5317" t="s">
        <v>1234</v>
      </c>
      <c r="F5317" t="s">
        <v>1502</v>
      </c>
      <c r="G5317" s="10" t="str">
        <f t="shared" si="402"/>
        <v>07-13</v>
      </c>
      <c r="H5317" s="1">
        <f>_xlfn.IFNA(VLOOKUP(E5317,'Urban Plastix Holds'!$I$36:$U$498,10,0),0)</f>
        <v>0</v>
      </c>
      <c r="J5317" s="2">
        <f t="shared" si="403"/>
        <v>0</v>
      </c>
      <c r="K5317" s="2">
        <f t="shared" si="404"/>
        <v>0</v>
      </c>
    </row>
    <row r="5318" spans="5:11">
      <c r="E5318" t="s">
        <v>1234</v>
      </c>
      <c r="F5318" t="s">
        <v>1502</v>
      </c>
      <c r="G5318" s="11" t="str">
        <f t="shared" si="402"/>
        <v>11-25</v>
      </c>
      <c r="H5318" s="1">
        <f>_xlfn.IFNA(VLOOKUP(E5318,'Urban Plastix Holds'!$I$36:$U$498,11,0),0)</f>
        <v>0</v>
      </c>
      <c r="J5318" s="2">
        <f t="shared" si="403"/>
        <v>0</v>
      </c>
      <c r="K5318" s="2">
        <f t="shared" si="404"/>
        <v>0</v>
      </c>
    </row>
    <row r="5319" spans="5:11">
      <c r="E5319" t="s">
        <v>1234</v>
      </c>
      <c r="F5319" t="s">
        <v>1502</v>
      </c>
      <c r="G5319" s="13" t="str">
        <f t="shared" si="402"/>
        <v>18-01</v>
      </c>
      <c r="H5319" s="1">
        <f>_xlfn.IFNA(VLOOKUP(E5319,'Urban Plastix Holds'!$I$36:$U$498,12,0),0)</f>
        <v>0</v>
      </c>
      <c r="J5319" s="2">
        <f t="shared" si="403"/>
        <v>0</v>
      </c>
      <c r="K5319" s="2">
        <f t="shared" si="404"/>
        <v>0</v>
      </c>
    </row>
    <row r="5320" spans="5:11">
      <c r="E5320" t="s">
        <v>1234</v>
      </c>
      <c r="F5320" t="s">
        <v>1502</v>
      </c>
      <c r="G5320" s="12" t="str">
        <f t="shared" si="402"/>
        <v>12-01</v>
      </c>
      <c r="H5320" s="1">
        <f>_xlfn.IFNA(VLOOKUP(E5320,'Urban Plastix Holds'!$I$36:$U$498,13,0),0)</f>
        <v>0</v>
      </c>
      <c r="J5320" s="2">
        <f t="shared" si="403"/>
        <v>0</v>
      </c>
      <c r="K5320" s="2">
        <f t="shared" si="404"/>
        <v>0</v>
      </c>
    </row>
    <row r="5321" spans="5:11">
      <c r="E5321" t="s">
        <v>1287</v>
      </c>
      <c r="F5321" t="s">
        <v>1503</v>
      </c>
      <c r="G5321" s="5" t="str">
        <f t="shared" si="402"/>
        <v>11-12</v>
      </c>
      <c r="H5321" s="1">
        <f>_xlfn.IFNA(VLOOKUP(E5321,'Urban Plastix Holds'!$I$36:$U$498,5,0),0)</f>
        <v>0</v>
      </c>
      <c r="J5321" s="2">
        <f t="shared" si="403"/>
        <v>0</v>
      </c>
      <c r="K5321" s="2">
        <f t="shared" si="404"/>
        <v>0</v>
      </c>
    </row>
    <row r="5322" spans="5:11">
      <c r="E5322" t="s">
        <v>1287</v>
      </c>
      <c r="F5322" t="s">
        <v>1503</v>
      </c>
      <c r="G5322" s="6" t="str">
        <f t="shared" si="402"/>
        <v>14-01</v>
      </c>
      <c r="H5322" s="1">
        <f>_xlfn.IFNA(VLOOKUP(E5322,'Urban Plastix Holds'!$I$36:$U$498,6,0),0)</f>
        <v>0</v>
      </c>
      <c r="J5322" s="2">
        <f t="shared" si="403"/>
        <v>0</v>
      </c>
      <c r="K5322" s="2">
        <f t="shared" si="404"/>
        <v>0</v>
      </c>
    </row>
    <row r="5323" spans="5:11">
      <c r="E5323" t="s">
        <v>1287</v>
      </c>
      <c r="F5323" t="s">
        <v>1503</v>
      </c>
      <c r="G5323" s="7" t="str">
        <f t="shared" si="402"/>
        <v>15-12</v>
      </c>
      <c r="H5323" s="1">
        <f>_xlfn.IFNA(VLOOKUP(E5323,'Urban Plastix Holds'!$I$36:$U$498,7,0),0)</f>
        <v>0</v>
      </c>
      <c r="J5323" s="2">
        <f t="shared" si="403"/>
        <v>0</v>
      </c>
      <c r="K5323" s="2">
        <f t="shared" si="404"/>
        <v>0</v>
      </c>
    </row>
    <row r="5324" spans="5:11">
      <c r="E5324" t="s">
        <v>1287</v>
      </c>
      <c r="F5324" t="s">
        <v>1503</v>
      </c>
      <c r="G5324" s="8" t="str">
        <f t="shared" si="402"/>
        <v>16-16</v>
      </c>
      <c r="H5324" s="1">
        <f>_xlfn.IFNA(VLOOKUP(E5324,'Urban Plastix Holds'!$I$36:$U$498,8,0),0)</f>
        <v>0</v>
      </c>
      <c r="J5324" s="2">
        <f t="shared" si="403"/>
        <v>0</v>
      </c>
      <c r="K5324" s="2">
        <f t="shared" si="404"/>
        <v>0</v>
      </c>
    </row>
    <row r="5325" spans="5:11">
      <c r="E5325" t="s">
        <v>1287</v>
      </c>
      <c r="F5325" t="s">
        <v>1503</v>
      </c>
      <c r="G5325" s="9" t="str">
        <f t="shared" si="402"/>
        <v>13-01</v>
      </c>
      <c r="H5325" s="1">
        <f>_xlfn.IFNA(VLOOKUP(E5325,'Urban Plastix Holds'!$I$36:$U$498,9,0),0)</f>
        <v>0</v>
      </c>
      <c r="J5325" s="2">
        <f t="shared" si="403"/>
        <v>0</v>
      </c>
      <c r="K5325" s="2">
        <f t="shared" si="404"/>
        <v>0</v>
      </c>
    </row>
    <row r="5326" spans="5:11">
      <c r="E5326" t="s">
        <v>1287</v>
      </c>
      <c r="F5326" t="s">
        <v>1503</v>
      </c>
      <c r="G5326" s="10" t="str">
        <f t="shared" si="402"/>
        <v>07-13</v>
      </c>
      <c r="H5326" s="1">
        <f>_xlfn.IFNA(VLOOKUP(E5326,'Urban Plastix Holds'!$I$36:$U$498,10,0),0)</f>
        <v>0</v>
      </c>
      <c r="J5326" s="2">
        <f t="shared" si="403"/>
        <v>0</v>
      </c>
      <c r="K5326" s="2">
        <f t="shared" si="404"/>
        <v>0</v>
      </c>
    </row>
    <row r="5327" spans="5:11">
      <c r="E5327" t="s">
        <v>1287</v>
      </c>
      <c r="F5327" t="s">
        <v>1503</v>
      </c>
      <c r="G5327" s="11" t="str">
        <f t="shared" si="402"/>
        <v>11-25</v>
      </c>
      <c r="H5327" s="1">
        <f>_xlfn.IFNA(VLOOKUP(E5327,'Urban Plastix Holds'!$I$36:$U$498,11,0),0)</f>
        <v>0</v>
      </c>
      <c r="J5327" s="2">
        <f t="shared" si="403"/>
        <v>0</v>
      </c>
      <c r="K5327" s="2">
        <f t="shared" si="404"/>
        <v>0</v>
      </c>
    </row>
    <row r="5328" spans="5:11">
      <c r="E5328" t="s">
        <v>1287</v>
      </c>
      <c r="F5328" t="s">
        <v>1503</v>
      </c>
      <c r="G5328" s="13" t="str">
        <f t="shared" si="402"/>
        <v>18-01</v>
      </c>
      <c r="H5328" s="1">
        <f>_xlfn.IFNA(VLOOKUP(E5328,'Urban Plastix Holds'!$I$36:$U$498,12,0),0)</f>
        <v>0</v>
      </c>
      <c r="J5328" s="2">
        <f t="shared" si="403"/>
        <v>0</v>
      </c>
      <c r="K5328" s="2">
        <f t="shared" si="404"/>
        <v>0</v>
      </c>
    </row>
    <row r="5329" spans="5:11">
      <c r="E5329" t="s">
        <v>1287</v>
      </c>
      <c r="F5329" t="s">
        <v>1503</v>
      </c>
      <c r="G5329" s="12" t="str">
        <f t="shared" si="402"/>
        <v>12-01</v>
      </c>
      <c r="H5329" s="1">
        <f>_xlfn.IFNA(VLOOKUP(E5329,'Urban Plastix Holds'!$I$36:$U$498,13,0),0)</f>
        <v>0</v>
      </c>
      <c r="J5329" s="2">
        <f t="shared" si="403"/>
        <v>0</v>
      </c>
      <c r="K5329" s="2">
        <f t="shared" si="404"/>
        <v>0</v>
      </c>
    </row>
    <row r="5330" spans="5:11">
      <c r="E5330" t="s">
        <v>1252</v>
      </c>
      <c r="F5330" t="s">
        <v>1555</v>
      </c>
      <c r="G5330" s="5" t="str">
        <f t="shared" si="402"/>
        <v>11-12</v>
      </c>
      <c r="H5330" s="1">
        <f>_xlfn.IFNA(VLOOKUP(E5330,'Urban Plastix Holds'!$I$36:$U$498,5,0),0)</f>
        <v>0</v>
      </c>
      <c r="J5330" s="2">
        <f t="shared" si="403"/>
        <v>0</v>
      </c>
      <c r="K5330" s="2">
        <f t="shared" si="404"/>
        <v>0</v>
      </c>
    </row>
    <row r="5331" spans="5:11">
      <c r="E5331" t="s">
        <v>1252</v>
      </c>
      <c r="F5331" t="s">
        <v>1555</v>
      </c>
      <c r="G5331" s="6" t="str">
        <f t="shared" si="402"/>
        <v>14-01</v>
      </c>
      <c r="H5331" s="1">
        <f>_xlfn.IFNA(VLOOKUP(E5331,'Urban Plastix Holds'!$I$36:$U$498,6,0),0)</f>
        <v>0</v>
      </c>
      <c r="J5331" s="2">
        <f t="shared" si="403"/>
        <v>0</v>
      </c>
      <c r="K5331" s="2">
        <f t="shared" si="404"/>
        <v>0</v>
      </c>
    </row>
    <row r="5332" spans="5:11">
      <c r="E5332" t="s">
        <v>1252</v>
      </c>
      <c r="F5332" t="s">
        <v>1555</v>
      </c>
      <c r="G5332" s="7" t="str">
        <f t="shared" si="402"/>
        <v>15-12</v>
      </c>
      <c r="H5332" s="1">
        <f>_xlfn.IFNA(VLOOKUP(E5332,'Urban Plastix Holds'!$I$36:$U$498,7,0),0)</f>
        <v>0</v>
      </c>
      <c r="J5332" s="2">
        <f t="shared" si="403"/>
        <v>0</v>
      </c>
      <c r="K5332" s="2">
        <f t="shared" si="404"/>
        <v>0</v>
      </c>
    </row>
    <row r="5333" spans="5:11">
      <c r="E5333" t="s">
        <v>1252</v>
      </c>
      <c r="F5333" t="s">
        <v>1555</v>
      </c>
      <c r="G5333" s="8" t="str">
        <f t="shared" si="402"/>
        <v>16-16</v>
      </c>
      <c r="H5333" s="1">
        <f>_xlfn.IFNA(VLOOKUP(E5333,'Urban Plastix Holds'!$I$36:$U$498,8,0),0)</f>
        <v>0</v>
      </c>
      <c r="J5333" s="2">
        <f t="shared" si="403"/>
        <v>0</v>
      </c>
      <c r="K5333" s="2">
        <f t="shared" si="404"/>
        <v>0</v>
      </c>
    </row>
    <row r="5334" spans="5:11">
      <c r="E5334" t="s">
        <v>1252</v>
      </c>
      <c r="F5334" t="s">
        <v>1555</v>
      </c>
      <c r="G5334" s="9" t="str">
        <f t="shared" si="402"/>
        <v>13-01</v>
      </c>
      <c r="H5334" s="1">
        <f>_xlfn.IFNA(VLOOKUP(E5334,'Urban Plastix Holds'!$I$36:$U$498,9,0),0)</f>
        <v>0</v>
      </c>
      <c r="J5334" s="2">
        <f t="shared" si="403"/>
        <v>0</v>
      </c>
      <c r="K5334" s="2">
        <f t="shared" si="404"/>
        <v>0</v>
      </c>
    </row>
    <row r="5335" spans="5:11">
      <c r="E5335" t="s">
        <v>1252</v>
      </c>
      <c r="F5335" t="s">
        <v>1555</v>
      </c>
      <c r="G5335" s="10" t="str">
        <f t="shared" si="402"/>
        <v>07-13</v>
      </c>
      <c r="H5335" s="1">
        <f>_xlfn.IFNA(VLOOKUP(E5335,'Urban Plastix Holds'!$I$36:$U$498,10,0),0)</f>
        <v>0</v>
      </c>
      <c r="J5335" s="2">
        <f t="shared" si="403"/>
        <v>0</v>
      </c>
      <c r="K5335" s="2">
        <f t="shared" si="404"/>
        <v>0</v>
      </c>
    </row>
    <row r="5336" spans="5:11">
      <c r="E5336" t="s">
        <v>1252</v>
      </c>
      <c r="F5336" t="s">
        <v>1555</v>
      </c>
      <c r="G5336" s="11" t="str">
        <f t="shared" ref="G5336:G5399" si="405">G5327</f>
        <v>11-25</v>
      </c>
      <c r="H5336" s="1">
        <f>_xlfn.IFNA(VLOOKUP(E5336,'Urban Plastix Holds'!$I$36:$U$498,11,0),0)</f>
        <v>0</v>
      </c>
      <c r="J5336" s="2">
        <f t="shared" si="403"/>
        <v>0</v>
      </c>
      <c r="K5336" s="2">
        <f t="shared" si="404"/>
        <v>0</v>
      </c>
    </row>
    <row r="5337" spans="5:11">
      <c r="E5337" t="s">
        <v>1252</v>
      </c>
      <c r="F5337" t="s">
        <v>1555</v>
      </c>
      <c r="G5337" s="13" t="str">
        <f t="shared" si="405"/>
        <v>18-01</v>
      </c>
      <c r="H5337" s="1">
        <f>_xlfn.IFNA(VLOOKUP(E5337,'Urban Plastix Holds'!$I$36:$U$498,12,0),0)</f>
        <v>0</v>
      </c>
      <c r="J5337" s="2">
        <f t="shared" si="403"/>
        <v>0</v>
      </c>
      <c r="K5337" s="2">
        <f t="shared" si="404"/>
        <v>0</v>
      </c>
    </row>
    <row r="5338" spans="5:11">
      <c r="E5338" t="s">
        <v>1252</v>
      </c>
      <c r="F5338" t="s">
        <v>1555</v>
      </c>
      <c r="G5338" s="12" t="str">
        <f t="shared" si="405"/>
        <v>12-01</v>
      </c>
      <c r="H5338" s="1">
        <f>_xlfn.IFNA(VLOOKUP(E5338,'Urban Plastix Holds'!$I$36:$U$498,13,0),0)</f>
        <v>0</v>
      </c>
      <c r="J5338" s="2">
        <f t="shared" si="403"/>
        <v>0</v>
      </c>
      <c r="K5338" s="2">
        <f t="shared" si="404"/>
        <v>0</v>
      </c>
    </row>
    <row r="5339" spans="5:11">
      <c r="E5339" t="s">
        <v>1315</v>
      </c>
      <c r="F5339" t="s">
        <v>1554</v>
      </c>
      <c r="G5339" s="5" t="str">
        <f t="shared" si="405"/>
        <v>11-12</v>
      </c>
      <c r="H5339" s="1">
        <f>_xlfn.IFNA(VLOOKUP(E5339,'Urban Plastix Holds'!$I$36:$U$498,5,0),0)</f>
        <v>0</v>
      </c>
      <c r="J5339" s="2">
        <f t="shared" si="403"/>
        <v>0</v>
      </c>
      <c r="K5339" s="2">
        <f t="shared" si="404"/>
        <v>0</v>
      </c>
    </row>
    <row r="5340" spans="5:11">
      <c r="E5340" t="s">
        <v>1315</v>
      </c>
      <c r="F5340" t="s">
        <v>1554</v>
      </c>
      <c r="G5340" s="6" t="str">
        <f t="shared" si="405"/>
        <v>14-01</v>
      </c>
      <c r="H5340" s="1">
        <f>_xlfn.IFNA(VLOOKUP(E5340,'Urban Plastix Holds'!$I$36:$U$498,6,0),0)</f>
        <v>0</v>
      </c>
      <c r="J5340" s="2">
        <f t="shared" si="403"/>
        <v>0</v>
      </c>
      <c r="K5340" s="2">
        <f t="shared" si="404"/>
        <v>0</v>
      </c>
    </row>
    <row r="5341" spans="5:11">
      <c r="E5341" t="s">
        <v>1315</v>
      </c>
      <c r="F5341" t="s">
        <v>1554</v>
      </c>
      <c r="G5341" s="7" t="str">
        <f t="shared" si="405"/>
        <v>15-12</v>
      </c>
      <c r="H5341" s="1">
        <f>_xlfn.IFNA(VLOOKUP(E5341,'Urban Plastix Holds'!$I$36:$U$498,7,0),0)</f>
        <v>0</v>
      </c>
      <c r="J5341" s="2">
        <f t="shared" si="403"/>
        <v>0</v>
      </c>
      <c r="K5341" s="2">
        <f t="shared" si="404"/>
        <v>0</v>
      </c>
    </row>
    <row r="5342" spans="5:11">
      <c r="E5342" t="s">
        <v>1315</v>
      </c>
      <c r="F5342" t="s">
        <v>1554</v>
      </c>
      <c r="G5342" s="8" t="str">
        <f t="shared" si="405"/>
        <v>16-16</v>
      </c>
      <c r="H5342" s="1">
        <f>_xlfn.IFNA(VLOOKUP(E5342,'Urban Plastix Holds'!$I$36:$U$498,8,0),0)</f>
        <v>0</v>
      </c>
      <c r="J5342" s="2">
        <f t="shared" si="403"/>
        <v>0</v>
      </c>
      <c r="K5342" s="2">
        <f t="shared" si="404"/>
        <v>0</v>
      </c>
    </row>
    <row r="5343" spans="5:11">
      <c r="E5343" t="s">
        <v>1315</v>
      </c>
      <c r="F5343" t="s">
        <v>1554</v>
      </c>
      <c r="G5343" s="9" t="str">
        <f t="shared" si="405"/>
        <v>13-01</v>
      </c>
      <c r="H5343" s="1">
        <f>_xlfn.IFNA(VLOOKUP(E5343,'Urban Plastix Holds'!$I$36:$U$498,9,0),0)</f>
        <v>0</v>
      </c>
      <c r="J5343" s="2">
        <f t="shared" si="403"/>
        <v>0</v>
      </c>
      <c r="K5343" s="2">
        <f t="shared" si="404"/>
        <v>0</v>
      </c>
    </row>
    <row r="5344" spans="5:11">
      <c r="E5344" t="s">
        <v>1315</v>
      </c>
      <c r="F5344" t="s">
        <v>1554</v>
      </c>
      <c r="G5344" s="10" t="str">
        <f t="shared" si="405"/>
        <v>07-13</v>
      </c>
      <c r="H5344" s="1">
        <f>_xlfn.IFNA(VLOOKUP(E5344,'Urban Plastix Holds'!$I$36:$U$498,10,0),0)</f>
        <v>0</v>
      </c>
      <c r="J5344" s="2">
        <f t="shared" si="403"/>
        <v>0</v>
      </c>
      <c r="K5344" s="2">
        <f t="shared" si="404"/>
        <v>0</v>
      </c>
    </row>
    <row r="5345" spans="5:11">
      <c r="E5345" t="s">
        <v>1315</v>
      </c>
      <c r="F5345" t="s">
        <v>1554</v>
      </c>
      <c r="G5345" s="11" t="str">
        <f t="shared" si="405"/>
        <v>11-25</v>
      </c>
      <c r="H5345" s="1">
        <f>_xlfn.IFNA(VLOOKUP(E5345,'Urban Plastix Holds'!$I$36:$U$498,11,0),0)</f>
        <v>0</v>
      </c>
      <c r="J5345" s="2">
        <f t="shared" si="403"/>
        <v>0</v>
      </c>
      <c r="K5345" s="2">
        <f t="shared" si="404"/>
        <v>0</v>
      </c>
    </row>
    <row r="5346" spans="5:11">
      <c r="E5346" t="s">
        <v>1315</v>
      </c>
      <c r="F5346" t="s">
        <v>1554</v>
      </c>
      <c r="G5346" s="13" t="str">
        <f t="shared" si="405"/>
        <v>18-01</v>
      </c>
      <c r="H5346" s="1">
        <f>_xlfn.IFNA(VLOOKUP(E5346,'Urban Plastix Holds'!$I$36:$U$498,12,0),0)</f>
        <v>0</v>
      </c>
      <c r="J5346" s="2">
        <f t="shared" si="403"/>
        <v>0</v>
      </c>
      <c r="K5346" s="2">
        <f t="shared" si="404"/>
        <v>0</v>
      </c>
    </row>
    <row r="5347" spans="5:11">
      <c r="E5347" t="s">
        <v>1315</v>
      </c>
      <c r="F5347" t="s">
        <v>1554</v>
      </c>
      <c r="G5347" s="12" t="str">
        <f t="shared" si="405"/>
        <v>12-01</v>
      </c>
      <c r="H5347" s="1">
        <f>_xlfn.IFNA(VLOOKUP(E5347,'Urban Plastix Holds'!$I$36:$U$498,13,0),0)</f>
        <v>0</v>
      </c>
      <c r="J5347" s="2">
        <f t="shared" si="403"/>
        <v>0</v>
      </c>
      <c r="K5347" s="2">
        <f t="shared" si="404"/>
        <v>0</v>
      </c>
    </row>
    <row r="5348" spans="5:11">
      <c r="E5348" t="s">
        <v>1230</v>
      </c>
      <c r="F5348" t="s">
        <v>1556</v>
      </c>
      <c r="G5348" s="5" t="str">
        <f t="shared" si="405"/>
        <v>11-12</v>
      </c>
      <c r="H5348" s="1">
        <f>_xlfn.IFNA(VLOOKUP(E5348,'Urban Plastix Holds'!$I$36:$U$498,5,0),0)</f>
        <v>0</v>
      </c>
      <c r="J5348" s="2">
        <f t="shared" si="403"/>
        <v>0</v>
      </c>
      <c r="K5348" s="2">
        <f t="shared" si="404"/>
        <v>0</v>
      </c>
    </row>
    <row r="5349" spans="5:11">
      <c r="E5349" t="s">
        <v>1230</v>
      </c>
      <c r="F5349" t="s">
        <v>1556</v>
      </c>
      <c r="G5349" s="6" t="str">
        <f t="shared" si="405"/>
        <v>14-01</v>
      </c>
      <c r="H5349" s="1">
        <f>_xlfn.IFNA(VLOOKUP(E5349,'Urban Plastix Holds'!$I$36:$U$498,6,0),0)</f>
        <v>0</v>
      </c>
      <c r="J5349" s="2">
        <f t="shared" si="403"/>
        <v>0</v>
      </c>
      <c r="K5349" s="2">
        <f t="shared" si="404"/>
        <v>0</v>
      </c>
    </row>
    <row r="5350" spans="5:11">
      <c r="E5350" t="s">
        <v>1230</v>
      </c>
      <c r="F5350" t="s">
        <v>1556</v>
      </c>
      <c r="G5350" s="7" t="str">
        <f t="shared" si="405"/>
        <v>15-12</v>
      </c>
      <c r="H5350" s="1">
        <f>_xlfn.IFNA(VLOOKUP(E5350,'Urban Plastix Holds'!$I$36:$U$498,7,0),0)</f>
        <v>0</v>
      </c>
      <c r="J5350" s="2">
        <f t="shared" si="403"/>
        <v>0</v>
      </c>
      <c r="K5350" s="2">
        <f t="shared" si="404"/>
        <v>0</v>
      </c>
    </row>
    <row r="5351" spans="5:11">
      <c r="E5351" t="s">
        <v>1230</v>
      </c>
      <c r="F5351" t="s">
        <v>1556</v>
      </c>
      <c r="G5351" s="8" t="str">
        <f t="shared" si="405"/>
        <v>16-16</v>
      </c>
      <c r="H5351" s="1">
        <f>_xlfn.IFNA(VLOOKUP(E5351,'Urban Plastix Holds'!$I$36:$U$498,8,0),0)</f>
        <v>0</v>
      </c>
      <c r="J5351" s="2">
        <f t="shared" si="403"/>
        <v>0</v>
      </c>
      <c r="K5351" s="2">
        <f t="shared" si="404"/>
        <v>0</v>
      </c>
    </row>
    <row r="5352" spans="5:11">
      <c r="E5352" t="s">
        <v>1230</v>
      </c>
      <c r="F5352" t="s">
        <v>1556</v>
      </c>
      <c r="G5352" s="9" t="str">
        <f t="shared" si="405"/>
        <v>13-01</v>
      </c>
      <c r="H5352" s="1">
        <f>_xlfn.IFNA(VLOOKUP(E5352,'Urban Plastix Holds'!$I$36:$U$498,9,0),0)</f>
        <v>0</v>
      </c>
      <c r="J5352" s="2">
        <f t="shared" si="403"/>
        <v>0</v>
      </c>
      <c r="K5352" s="2">
        <f t="shared" si="404"/>
        <v>0</v>
      </c>
    </row>
    <row r="5353" spans="5:11">
      <c r="E5353" t="s">
        <v>1230</v>
      </c>
      <c r="F5353" t="s">
        <v>1556</v>
      </c>
      <c r="G5353" s="10" t="str">
        <f t="shared" si="405"/>
        <v>07-13</v>
      </c>
      <c r="H5353" s="1">
        <f>_xlfn.IFNA(VLOOKUP(E5353,'Urban Plastix Holds'!$I$36:$U$498,10,0),0)</f>
        <v>0</v>
      </c>
      <c r="J5353" s="2">
        <f t="shared" si="403"/>
        <v>0</v>
      </c>
      <c r="K5353" s="2">
        <f t="shared" si="404"/>
        <v>0</v>
      </c>
    </row>
    <row r="5354" spans="5:11">
      <c r="E5354" t="s">
        <v>1230</v>
      </c>
      <c r="F5354" t="s">
        <v>1556</v>
      </c>
      <c r="G5354" s="11" t="str">
        <f t="shared" si="405"/>
        <v>11-25</v>
      </c>
      <c r="H5354" s="1">
        <f>_xlfn.IFNA(VLOOKUP(E5354,'Urban Plastix Holds'!$I$36:$U$498,11,0),0)</f>
        <v>0</v>
      </c>
      <c r="J5354" s="2">
        <f t="shared" si="403"/>
        <v>0</v>
      </c>
      <c r="K5354" s="2">
        <f t="shared" si="404"/>
        <v>0</v>
      </c>
    </row>
    <row r="5355" spans="5:11">
      <c r="E5355" t="s">
        <v>1230</v>
      </c>
      <c r="F5355" t="s">
        <v>1556</v>
      </c>
      <c r="G5355" s="13" t="str">
        <f t="shared" si="405"/>
        <v>18-01</v>
      </c>
      <c r="H5355" s="1">
        <f>_xlfn.IFNA(VLOOKUP(E5355,'Urban Plastix Holds'!$I$36:$U$498,12,0),0)</f>
        <v>0</v>
      </c>
      <c r="J5355" s="2">
        <f t="shared" si="403"/>
        <v>0</v>
      </c>
      <c r="K5355" s="2">
        <f t="shared" si="404"/>
        <v>0</v>
      </c>
    </row>
    <row r="5356" spans="5:11">
      <c r="E5356" t="s">
        <v>1230</v>
      </c>
      <c r="F5356" t="s">
        <v>1556</v>
      </c>
      <c r="G5356" s="12" t="str">
        <f t="shared" si="405"/>
        <v>12-01</v>
      </c>
      <c r="H5356" s="1">
        <f>_xlfn.IFNA(VLOOKUP(E5356,'Urban Plastix Holds'!$I$36:$U$498,13,0),0)</f>
        <v>0</v>
      </c>
      <c r="J5356" s="2">
        <f t="shared" si="403"/>
        <v>0</v>
      </c>
      <c r="K5356" s="2">
        <f t="shared" si="404"/>
        <v>0</v>
      </c>
    </row>
    <row r="5357" spans="5:11">
      <c r="E5357" t="s">
        <v>1236</v>
      </c>
      <c r="F5357" t="s">
        <v>1557</v>
      </c>
      <c r="G5357" s="5" t="str">
        <f t="shared" si="405"/>
        <v>11-12</v>
      </c>
      <c r="H5357" s="1">
        <f>_xlfn.IFNA(VLOOKUP(E5357,'Urban Plastix Holds'!$I$36:$U$498,5,0),0)</f>
        <v>0</v>
      </c>
      <c r="J5357" s="2">
        <f t="shared" si="403"/>
        <v>0</v>
      </c>
      <c r="K5357" s="2">
        <f t="shared" si="404"/>
        <v>0</v>
      </c>
    </row>
    <row r="5358" spans="5:11">
      <c r="E5358" t="s">
        <v>1236</v>
      </c>
      <c r="F5358" t="s">
        <v>1557</v>
      </c>
      <c r="G5358" s="6" t="str">
        <f t="shared" si="405"/>
        <v>14-01</v>
      </c>
      <c r="H5358" s="1">
        <f>_xlfn.IFNA(VLOOKUP(E5358,'Urban Plastix Holds'!$I$36:$U$498,6,0),0)</f>
        <v>0</v>
      </c>
      <c r="J5358" s="2">
        <f t="shared" ref="J5358:J5421" si="406">H5358*I5358</f>
        <v>0</v>
      </c>
      <c r="K5358" s="2">
        <f t="shared" ref="K5358:K5421" si="407">IF($V$11="Y",J5358*0.05,0)</f>
        <v>0</v>
      </c>
    </row>
    <row r="5359" spans="5:11">
      <c r="E5359" t="s">
        <v>1236</v>
      </c>
      <c r="F5359" t="s">
        <v>1557</v>
      </c>
      <c r="G5359" s="7" t="str">
        <f t="shared" si="405"/>
        <v>15-12</v>
      </c>
      <c r="H5359" s="1">
        <f>_xlfn.IFNA(VLOOKUP(E5359,'Urban Plastix Holds'!$I$36:$U$498,7,0),0)</f>
        <v>0</v>
      </c>
      <c r="J5359" s="2">
        <f t="shared" si="406"/>
        <v>0</v>
      </c>
      <c r="K5359" s="2">
        <f t="shared" si="407"/>
        <v>0</v>
      </c>
    </row>
    <row r="5360" spans="5:11">
      <c r="E5360" t="s">
        <v>1236</v>
      </c>
      <c r="F5360" t="s">
        <v>1557</v>
      </c>
      <c r="G5360" s="8" t="str">
        <f t="shared" si="405"/>
        <v>16-16</v>
      </c>
      <c r="H5360" s="1">
        <f>_xlfn.IFNA(VLOOKUP(E5360,'Urban Plastix Holds'!$I$36:$U$498,8,0),0)</f>
        <v>0</v>
      </c>
      <c r="J5360" s="2">
        <f t="shared" si="406"/>
        <v>0</v>
      </c>
      <c r="K5360" s="2">
        <f t="shared" si="407"/>
        <v>0</v>
      </c>
    </row>
    <row r="5361" spans="5:11">
      <c r="E5361" t="s">
        <v>1236</v>
      </c>
      <c r="F5361" t="s">
        <v>1557</v>
      </c>
      <c r="G5361" s="9" t="str">
        <f t="shared" si="405"/>
        <v>13-01</v>
      </c>
      <c r="H5361" s="1">
        <f>_xlfn.IFNA(VLOOKUP(E5361,'Urban Plastix Holds'!$I$36:$U$498,9,0),0)</f>
        <v>0</v>
      </c>
      <c r="J5361" s="2">
        <f t="shared" si="406"/>
        <v>0</v>
      </c>
      <c r="K5361" s="2">
        <f t="shared" si="407"/>
        <v>0</v>
      </c>
    </row>
    <row r="5362" spans="5:11">
      <c r="E5362" t="s">
        <v>1236</v>
      </c>
      <c r="F5362" t="s">
        <v>1557</v>
      </c>
      <c r="G5362" s="10" t="str">
        <f t="shared" si="405"/>
        <v>07-13</v>
      </c>
      <c r="H5362" s="1">
        <f>_xlfn.IFNA(VLOOKUP(E5362,'Urban Plastix Holds'!$I$36:$U$498,10,0),0)</f>
        <v>0</v>
      </c>
      <c r="J5362" s="2">
        <f t="shared" si="406"/>
        <v>0</v>
      </c>
      <c r="K5362" s="2">
        <f t="shared" si="407"/>
        <v>0</v>
      </c>
    </row>
    <row r="5363" spans="5:11">
      <c r="E5363" t="s">
        <v>1236</v>
      </c>
      <c r="F5363" t="s">
        <v>1557</v>
      </c>
      <c r="G5363" s="11" t="str">
        <f t="shared" si="405"/>
        <v>11-25</v>
      </c>
      <c r="H5363" s="1">
        <f>_xlfn.IFNA(VLOOKUP(E5363,'Urban Plastix Holds'!$I$36:$U$498,11,0),0)</f>
        <v>0</v>
      </c>
      <c r="J5363" s="2">
        <f t="shared" si="406"/>
        <v>0</v>
      </c>
      <c r="K5363" s="2">
        <f t="shared" si="407"/>
        <v>0</v>
      </c>
    </row>
    <row r="5364" spans="5:11">
      <c r="E5364" t="s">
        <v>1236</v>
      </c>
      <c r="F5364" t="s">
        <v>1557</v>
      </c>
      <c r="G5364" s="13" t="str">
        <f t="shared" si="405"/>
        <v>18-01</v>
      </c>
      <c r="H5364" s="1">
        <f>_xlfn.IFNA(VLOOKUP(E5364,'Urban Plastix Holds'!$I$36:$U$498,12,0),0)</f>
        <v>0</v>
      </c>
      <c r="J5364" s="2">
        <f t="shared" si="406"/>
        <v>0</v>
      </c>
      <c r="K5364" s="2">
        <f t="shared" si="407"/>
        <v>0</v>
      </c>
    </row>
    <row r="5365" spans="5:11">
      <c r="E5365" t="s">
        <v>1236</v>
      </c>
      <c r="F5365" t="s">
        <v>1557</v>
      </c>
      <c r="G5365" s="12" t="str">
        <f t="shared" si="405"/>
        <v>12-01</v>
      </c>
      <c r="H5365" s="1">
        <f>_xlfn.IFNA(VLOOKUP(E5365,'Urban Plastix Holds'!$I$36:$U$498,13,0),0)</f>
        <v>0</v>
      </c>
      <c r="J5365" s="2">
        <f t="shared" si="406"/>
        <v>0</v>
      </c>
      <c r="K5365" s="2">
        <f t="shared" si="407"/>
        <v>0</v>
      </c>
    </row>
    <row r="5366" spans="5:11">
      <c r="E5366" t="s">
        <v>1245</v>
      </c>
      <c r="F5366" t="s">
        <v>1558</v>
      </c>
      <c r="G5366" s="5" t="str">
        <f t="shared" si="405"/>
        <v>11-12</v>
      </c>
      <c r="H5366" s="1">
        <f>_xlfn.IFNA(VLOOKUP(E5366,'Urban Plastix Holds'!$I$36:$U$498,5,0),0)</f>
        <v>0</v>
      </c>
      <c r="J5366" s="2">
        <f t="shared" si="406"/>
        <v>0</v>
      </c>
      <c r="K5366" s="2">
        <f t="shared" si="407"/>
        <v>0</v>
      </c>
    </row>
    <row r="5367" spans="5:11">
      <c r="E5367" t="s">
        <v>1245</v>
      </c>
      <c r="F5367" t="s">
        <v>1558</v>
      </c>
      <c r="G5367" s="6" t="str">
        <f t="shared" si="405"/>
        <v>14-01</v>
      </c>
      <c r="H5367" s="1">
        <f>_xlfn.IFNA(VLOOKUP(E5367,'Urban Plastix Holds'!$I$36:$U$498,6,0),0)</f>
        <v>0</v>
      </c>
      <c r="J5367" s="2">
        <f t="shared" si="406"/>
        <v>0</v>
      </c>
      <c r="K5367" s="2">
        <f t="shared" si="407"/>
        <v>0</v>
      </c>
    </row>
    <row r="5368" spans="5:11">
      <c r="E5368" t="s">
        <v>1245</v>
      </c>
      <c r="F5368" t="s">
        <v>1558</v>
      </c>
      <c r="G5368" s="7" t="str">
        <f t="shared" si="405"/>
        <v>15-12</v>
      </c>
      <c r="H5368" s="1">
        <f>_xlfn.IFNA(VLOOKUP(E5368,'Urban Plastix Holds'!$I$36:$U$498,7,0),0)</f>
        <v>0</v>
      </c>
      <c r="J5368" s="2">
        <f t="shared" si="406"/>
        <v>0</v>
      </c>
      <c r="K5368" s="2">
        <f t="shared" si="407"/>
        <v>0</v>
      </c>
    </row>
    <row r="5369" spans="5:11">
      <c r="E5369" t="s">
        <v>1245</v>
      </c>
      <c r="F5369" t="s">
        <v>1558</v>
      </c>
      <c r="G5369" s="8" t="str">
        <f t="shared" si="405"/>
        <v>16-16</v>
      </c>
      <c r="H5369" s="1">
        <f>_xlfn.IFNA(VLOOKUP(E5369,'Urban Plastix Holds'!$I$36:$U$498,8,0),0)</f>
        <v>0</v>
      </c>
      <c r="J5369" s="2">
        <f t="shared" si="406"/>
        <v>0</v>
      </c>
      <c r="K5369" s="2">
        <f t="shared" si="407"/>
        <v>0</v>
      </c>
    </row>
    <row r="5370" spans="5:11">
      <c r="E5370" t="s">
        <v>1245</v>
      </c>
      <c r="F5370" t="s">
        <v>1558</v>
      </c>
      <c r="G5370" s="9" t="str">
        <f t="shared" si="405"/>
        <v>13-01</v>
      </c>
      <c r="H5370" s="1">
        <f>_xlfn.IFNA(VLOOKUP(E5370,'Urban Plastix Holds'!$I$36:$U$498,9,0),0)</f>
        <v>0</v>
      </c>
      <c r="J5370" s="2">
        <f t="shared" si="406"/>
        <v>0</v>
      </c>
      <c r="K5370" s="2">
        <f t="shared" si="407"/>
        <v>0</v>
      </c>
    </row>
    <row r="5371" spans="5:11">
      <c r="E5371" t="s">
        <v>1245</v>
      </c>
      <c r="F5371" t="s">
        <v>1558</v>
      </c>
      <c r="G5371" s="10" t="str">
        <f t="shared" si="405"/>
        <v>07-13</v>
      </c>
      <c r="H5371" s="1">
        <f>_xlfn.IFNA(VLOOKUP(E5371,'Urban Plastix Holds'!$I$36:$U$498,10,0),0)</f>
        <v>0</v>
      </c>
      <c r="J5371" s="2">
        <f t="shared" si="406"/>
        <v>0</v>
      </c>
      <c r="K5371" s="2">
        <f t="shared" si="407"/>
        <v>0</v>
      </c>
    </row>
    <row r="5372" spans="5:11">
      <c r="E5372" t="s">
        <v>1245</v>
      </c>
      <c r="F5372" t="s">
        <v>1558</v>
      </c>
      <c r="G5372" s="11" t="str">
        <f t="shared" si="405"/>
        <v>11-25</v>
      </c>
      <c r="H5372" s="1">
        <f>_xlfn.IFNA(VLOOKUP(E5372,'Urban Plastix Holds'!$I$36:$U$498,11,0),0)</f>
        <v>0</v>
      </c>
      <c r="J5372" s="2">
        <f t="shared" si="406"/>
        <v>0</v>
      </c>
      <c r="K5372" s="2">
        <f t="shared" si="407"/>
        <v>0</v>
      </c>
    </row>
    <row r="5373" spans="5:11">
      <c r="E5373" t="s">
        <v>1245</v>
      </c>
      <c r="F5373" t="s">
        <v>1558</v>
      </c>
      <c r="G5373" s="13" t="str">
        <f t="shared" si="405"/>
        <v>18-01</v>
      </c>
      <c r="H5373" s="1">
        <f>_xlfn.IFNA(VLOOKUP(E5373,'Urban Plastix Holds'!$I$36:$U$498,12,0),0)</f>
        <v>0</v>
      </c>
      <c r="J5373" s="2">
        <f t="shared" si="406"/>
        <v>0</v>
      </c>
      <c r="K5373" s="2">
        <f t="shared" si="407"/>
        <v>0</v>
      </c>
    </row>
    <row r="5374" spans="5:11">
      <c r="E5374" t="s">
        <v>1245</v>
      </c>
      <c r="F5374" t="s">
        <v>1558</v>
      </c>
      <c r="G5374" s="12" t="str">
        <f t="shared" si="405"/>
        <v>12-01</v>
      </c>
      <c r="H5374" s="1">
        <f>_xlfn.IFNA(VLOOKUP(E5374,'Urban Plastix Holds'!$I$36:$U$498,13,0),0)</f>
        <v>0</v>
      </c>
      <c r="J5374" s="2">
        <f t="shared" si="406"/>
        <v>0</v>
      </c>
      <c r="K5374" s="2">
        <f t="shared" si="407"/>
        <v>0</v>
      </c>
    </row>
    <row r="5375" spans="5:11">
      <c r="E5375" t="s">
        <v>1235</v>
      </c>
      <c r="F5375" t="s">
        <v>1559</v>
      </c>
      <c r="G5375" s="5" t="str">
        <f t="shared" si="405"/>
        <v>11-12</v>
      </c>
      <c r="H5375" s="1">
        <f>_xlfn.IFNA(VLOOKUP(E5375,'Urban Plastix Holds'!$I$36:$U$498,5,0),0)</f>
        <v>0</v>
      </c>
      <c r="J5375" s="2">
        <f t="shared" si="406"/>
        <v>0</v>
      </c>
      <c r="K5375" s="2">
        <f t="shared" si="407"/>
        <v>0</v>
      </c>
    </row>
    <row r="5376" spans="5:11">
      <c r="E5376" t="s">
        <v>1235</v>
      </c>
      <c r="F5376" t="s">
        <v>1559</v>
      </c>
      <c r="G5376" s="6" t="str">
        <f t="shared" si="405"/>
        <v>14-01</v>
      </c>
      <c r="H5376" s="1">
        <f>_xlfn.IFNA(VLOOKUP(E5376,'Urban Plastix Holds'!$I$36:$U$498,6,0),0)</f>
        <v>0</v>
      </c>
      <c r="J5376" s="2">
        <f t="shared" si="406"/>
        <v>0</v>
      </c>
      <c r="K5376" s="2">
        <f t="shared" si="407"/>
        <v>0</v>
      </c>
    </row>
    <row r="5377" spans="5:11">
      <c r="E5377" t="s">
        <v>1235</v>
      </c>
      <c r="F5377" t="s">
        <v>1559</v>
      </c>
      <c r="G5377" s="7" t="str">
        <f t="shared" si="405"/>
        <v>15-12</v>
      </c>
      <c r="H5377" s="1">
        <f>_xlfn.IFNA(VLOOKUP(E5377,'Urban Plastix Holds'!$I$36:$U$498,7,0),0)</f>
        <v>0</v>
      </c>
      <c r="J5377" s="2">
        <f t="shared" si="406"/>
        <v>0</v>
      </c>
      <c r="K5377" s="2">
        <f t="shared" si="407"/>
        <v>0</v>
      </c>
    </row>
    <row r="5378" spans="5:11">
      <c r="E5378" t="s">
        <v>1235</v>
      </c>
      <c r="F5378" t="s">
        <v>1559</v>
      </c>
      <c r="G5378" s="8" t="str">
        <f t="shared" si="405"/>
        <v>16-16</v>
      </c>
      <c r="H5378" s="1">
        <f>_xlfn.IFNA(VLOOKUP(E5378,'Urban Plastix Holds'!$I$36:$U$498,8,0),0)</f>
        <v>0</v>
      </c>
      <c r="J5378" s="2">
        <f t="shared" si="406"/>
        <v>0</v>
      </c>
      <c r="K5378" s="2">
        <f t="shared" si="407"/>
        <v>0</v>
      </c>
    </row>
    <row r="5379" spans="5:11">
      <c r="E5379" t="s">
        <v>1235</v>
      </c>
      <c r="F5379" t="s">
        <v>1559</v>
      </c>
      <c r="G5379" s="9" t="str">
        <f t="shared" si="405"/>
        <v>13-01</v>
      </c>
      <c r="H5379" s="1">
        <f>_xlfn.IFNA(VLOOKUP(E5379,'Urban Plastix Holds'!$I$36:$U$498,9,0),0)</f>
        <v>0</v>
      </c>
      <c r="J5379" s="2">
        <f t="shared" si="406"/>
        <v>0</v>
      </c>
      <c r="K5379" s="2">
        <f t="shared" si="407"/>
        <v>0</v>
      </c>
    </row>
    <row r="5380" spans="5:11">
      <c r="E5380" t="s">
        <v>1235</v>
      </c>
      <c r="F5380" t="s">
        <v>1559</v>
      </c>
      <c r="G5380" s="10" t="str">
        <f t="shared" si="405"/>
        <v>07-13</v>
      </c>
      <c r="H5380" s="1">
        <f>_xlfn.IFNA(VLOOKUP(E5380,'Urban Plastix Holds'!$I$36:$U$498,10,0),0)</f>
        <v>0</v>
      </c>
      <c r="J5380" s="2">
        <f t="shared" si="406"/>
        <v>0</v>
      </c>
      <c r="K5380" s="2">
        <f t="shared" si="407"/>
        <v>0</v>
      </c>
    </row>
    <row r="5381" spans="5:11">
      <c r="E5381" t="s">
        <v>1235</v>
      </c>
      <c r="F5381" t="s">
        <v>1559</v>
      </c>
      <c r="G5381" s="11" t="str">
        <f t="shared" si="405"/>
        <v>11-25</v>
      </c>
      <c r="H5381" s="1">
        <f>_xlfn.IFNA(VLOOKUP(E5381,'Urban Plastix Holds'!$I$36:$U$498,11,0),0)</f>
        <v>0</v>
      </c>
      <c r="J5381" s="2">
        <f t="shared" si="406"/>
        <v>0</v>
      </c>
      <c r="K5381" s="2">
        <f t="shared" si="407"/>
        <v>0</v>
      </c>
    </row>
    <row r="5382" spans="5:11">
      <c r="E5382" t="s">
        <v>1235</v>
      </c>
      <c r="F5382" t="s">
        <v>1559</v>
      </c>
      <c r="G5382" s="13" t="str">
        <f t="shared" si="405"/>
        <v>18-01</v>
      </c>
      <c r="H5382" s="1">
        <f>_xlfn.IFNA(VLOOKUP(E5382,'Urban Plastix Holds'!$I$36:$U$498,12,0),0)</f>
        <v>0</v>
      </c>
      <c r="J5382" s="2">
        <f t="shared" si="406"/>
        <v>0</v>
      </c>
      <c r="K5382" s="2">
        <f t="shared" si="407"/>
        <v>0</v>
      </c>
    </row>
    <row r="5383" spans="5:11">
      <c r="E5383" t="s">
        <v>1235</v>
      </c>
      <c r="F5383" t="s">
        <v>1559</v>
      </c>
      <c r="G5383" s="12" t="str">
        <f t="shared" si="405"/>
        <v>12-01</v>
      </c>
      <c r="H5383" s="1">
        <f>_xlfn.IFNA(VLOOKUP(E5383,'Urban Plastix Holds'!$I$36:$U$498,13,0),0)</f>
        <v>0</v>
      </c>
      <c r="J5383" s="2">
        <f t="shared" si="406"/>
        <v>0</v>
      </c>
      <c r="K5383" s="2">
        <f t="shared" si="407"/>
        <v>0</v>
      </c>
    </row>
    <row r="5384" spans="5:11">
      <c r="E5384" t="s">
        <v>1293</v>
      </c>
      <c r="F5384" t="s">
        <v>1560</v>
      </c>
      <c r="G5384" s="5" t="str">
        <f t="shared" si="405"/>
        <v>11-12</v>
      </c>
      <c r="H5384" s="1">
        <f>_xlfn.IFNA(VLOOKUP(E5384,'Urban Plastix Holds'!$I$36:$U$498,5,0),0)</f>
        <v>0</v>
      </c>
      <c r="J5384" s="2">
        <f t="shared" si="406"/>
        <v>0</v>
      </c>
      <c r="K5384" s="2">
        <f t="shared" si="407"/>
        <v>0</v>
      </c>
    </row>
    <row r="5385" spans="5:11">
      <c r="E5385" t="s">
        <v>1293</v>
      </c>
      <c r="F5385" t="s">
        <v>1560</v>
      </c>
      <c r="G5385" s="6" t="str">
        <f t="shared" si="405"/>
        <v>14-01</v>
      </c>
      <c r="H5385" s="1">
        <f>_xlfn.IFNA(VLOOKUP(E5385,'Urban Plastix Holds'!$I$36:$U$498,6,0),0)</f>
        <v>0</v>
      </c>
      <c r="J5385" s="2">
        <f t="shared" si="406"/>
        <v>0</v>
      </c>
      <c r="K5385" s="2">
        <f t="shared" si="407"/>
        <v>0</v>
      </c>
    </row>
    <row r="5386" spans="5:11">
      <c r="E5386" t="s">
        <v>1293</v>
      </c>
      <c r="F5386" t="s">
        <v>1560</v>
      </c>
      <c r="G5386" s="7" t="str">
        <f t="shared" si="405"/>
        <v>15-12</v>
      </c>
      <c r="H5386" s="1">
        <f>_xlfn.IFNA(VLOOKUP(E5386,'Urban Plastix Holds'!$I$36:$U$498,7,0),0)</f>
        <v>0</v>
      </c>
      <c r="J5386" s="2">
        <f t="shared" si="406"/>
        <v>0</v>
      </c>
      <c r="K5386" s="2">
        <f t="shared" si="407"/>
        <v>0</v>
      </c>
    </row>
    <row r="5387" spans="5:11">
      <c r="E5387" t="s">
        <v>1293</v>
      </c>
      <c r="F5387" t="s">
        <v>1560</v>
      </c>
      <c r="G5387" s="8" t="str">
        <f t="shared" si="405"/>
        <v>16-16</v>
      </c>
      <c r="H5387" s="1">
        <f>_xlfn.IFNA(VLOOKUP(E5387,'Urban Plastix Holds'!$I$36:$U$498,8,0),0)</f>
        <v>0</v>
      </c>
      <c r="J5387" s="2">
        <f t="shared" si="406"/>
        <v>0</v>
      </c>
      <c r="K5387" s="2">
        <f t="shared" si="407"/>
        <v>0</v>
      </c>
    </row>
    <row r="5388" spans="5:11">
      <c r="E5388" t="s">
        <v>1293</v>
      </c>
      <c r="F5388" t="s">
        <v>1560</v>
      </c>
      <c r="G5388" s="9" t="str">
        <f t="shared" si="405"/>
        <v>13-01</v>
      </c>
      <c r="H5388" s="1">
        <f>_xlfn.IFNA(VLOOKUP(E5388,'Urban Plastix Holds'!$I$36:$U$498,9,0),0)</f>
        <v>0</v>
      </c>
      <c r="J5388" s="2">
        <f t="shared" si="406"/>
        <v>0</v>
      </c>
      <c r="K5388" s="2">
        <f t="shared" si="407"/>
        <v>0</v>
      </c>
    </row>
    <row r="5389" spans="5:11">
      <c r="E5389" t="s">
        <v>1293</v>
      </c>
      <c r="F5389" t="s">
        <v>1560</v>
      </c>
      <c r="G5389" s="10" t="str">
        <f t="shared" si="405"/>
        <v>07-13</v>
      </c>
      <c r="H5389" s="1">
        <f>_xlfn.IFNA(VLOOKUP(E5389,'Urban Plastix Holds'!$I$36:$U$498,10,0),0)</f>
        <v>0</v>
      </c>
      <c r="J5389" s="2">
        <f t="shared" si="406"/>
        <v>0</v>
      </c>
      <c r="K5389" s="2">
        <f t="shared" si="407"/>
        <v>0</v>
      </c>
    </row>
    <row r="5390" spans="5:11">
      <c r="E5390" t="s">
        <v>1293</v>
      </c>
      <c r="F5390" t="s">
        <v>1560</v>
      </c>
      <c r="G5390" s="11" t="str">
        <f t="shared" si="405"/>
        <v>11-25</v>
      </c>
      <c r="H5390" s="1">
        <f>_xlfn.IFNA(VLOOKUP(E5390,'Urban Plastix Holds'!$I$36:$U$498,11,0),0)</f>
        <v>0</v>
      </c>
      <c r="J5390" s="2">
        <f t="shared" si="406"/>
        <v>0</v>
      </c>
      <c r="K5390" s="2">
        <f t="shared" si="407"/>
        <v>0</v>
      </c>
    </row>
    <row r="5391" spans="5:11">
      <c r="E5391" t="s">
        <v>1293</v>
      </c>
      <c r="F5391" t="s">
        <v>1560</v>
      </c>
      <c r="G5391" s="13" t="str">
        <f t="shared" si="405"/>
        <v>18-01</v>
      </c>
      <c r="H5391" s="1">
        <f>_xlfn.IFNA(VLOOKUP(E5391,'Urban Plastix Holds'!$I$36:$U$498,12,0),0)</f>
        <v>0</v>
      </c>
      <c r="J5391" s="2">
        <f t="shared" si="406"/>
        <v>0</v>
      </c>
      <c r="K5391" s="2">
        <f t="shared" si="407"/>
        <v>0</v>
      </c>
    </row>
    <row r="5392" spans="5:11">
      <c r="E5392" t="s">
        <v>1293</v>
      </c>
      <c r="F5392" t="s">
        <v>1560</v>
      </c>
      <c r="G5392" s="12" t="str">
        <f t="shared" si="405"/>
        <v>12-01</v>
      </c>
      <c r="H5392" s="1">
        <f>_xlfn.IFNA(VLOOKUP(E5392,'Urban Plastix Holds'!$I$36:$U$498,13,0),0)</f>
        <v>0</v>
      </c>
      <c r="J5392" s="2">
        <f t="shared" si="406"/>
        <v>0</v>
      </c>
      <c r="K5392" s="2">
        <f t="shared" si="407"/>
        <v>0</v>
      </c>
    </row>
    <row r="5393" spans="5:11">
      <c r="E5393" t="s">
        <v>1320</v>
      </c>
      <c r="F5393" t="s">
        <v>1561</v>
      </c>
      <c r="G5393" s="5" t="str">
        <f t="shared" si="405"/>
        <v>11-12</v>
      </c>
      <c r="H5393" s="1">
        <f>_xlfn.IFNA(VLOOKUP(E5393,'Urban Plastix Holds'!$I$36:$U$498,5,0),0)</f>
        <v>0</v>
      </c>
      <c r="J5393" s="2">
        <f t="shared" si="406"/>
        <v>0</v>
      </c>
      <c r="K5393" s="2">
        <f t="shared" si="407"/>
        <v>0</v>
      </c>
    </row>
    <row r="5394" spans="5:11">
      <c r="E5394" t="s">
        <v>1320</v>
      </c>
      <c r="F5394" t="s">
        <v>1561</v>
      </c>
      <c r="G5394" s="6" t="str">
        <f t="shared" si="405"/>
        <v>14-01</v>
      </c>
      <c r="H5394" s="1">
        <f>_xlfn.IFNA(VLOOKUP(E5394,'Urban Plastix Holds'!$I$36:$U$498,6,0),0)</f>
        <v>0</v>
      </c>
      <c r="J5394" s="2">
        <f t="shared" si="406"/>
        <v>0</v>
      </c>
      <c r="K5394" s="2">
        <f t="shared" si="407"/>
        <v>0</v>
      </c>
    </row>
    <row r="5395" spans="5:11">
      <c r="E5395" t="s">
        <v>1320</v>
      </c>
      <c r="F5395" t="s">
        <v>1561</v>
      </c>
      <c r="G5395" s="7" t="str">
        <f t="shared" si="405"/>
        <v>15-12</v>
      </c>
      <c r="H5395" s="1">
        <f>_xlfn.IFNA(VLOOKUP(E5395,'Urban Plastix Holds'!$I$36:$U$498,7,0),0)</f>
        <v>0</v>
      </c>
      <c r="J5395" s="2">
        <f t="shared" si="406"/>
        <v>0</v>
      </c>
      <c r="K5395" s="2">
        <f t="shared" si="407"/>
        <v>0</v>
      </c>
    </row>
    <row r="5396" spans="5:11">
      <c r="E5396" t="s">
        <v>1320</v>
      </c>
      <c r="F5396" t="s">
        <v>1561</v>
      </c>
      <c r="G5396" s="8" t="str">
        <f t="shared" si="405"/>
        <v>16-16</v>
      </c>
      <c r="H5396" s="1">
        <f>_xlfn.IFNA(VLOOKUP(E5396,'Urban Plastix Holds'!$I$36:$U$498,8,0),0)</f>
        <v>0</v>
      </c>
      <c r="J5396" s="2">
        <f t="shared" si="406"/>
        <v>0</v>
      </c>
      <c r="K5396" s="2">
        <f t="shared" si="407"/>
        <v>0</v>
      </c>
    </row>
    <row r="5397" spans="5:11">
      <c r="E5397" t="s">
        <v>1320</v>
      </c>
      <c r="F5397" t="s">
        <v>1561</v>
      </c>
      <c r="G5397" s="9" t="str">
        <f t="shared" si="405"/>
        <v>13-01</v>
      </c>
      <c r="H5397" s="1">
        <f>_xlfn.IFNA(VLOOKUP(E5397,'Urban Plastix Holds'!$I$36:$U$498,9,0),0)</f>
        <v>0</v>
      </c>
      <c r="J5397" s="2">
        <f t="shared" si="406"/>
        <v>0</v>
      </c>
      <c r="K5397" s="2">
        <f t="shared" si="407"/>
        <v>0</v>
      </c>
    </row>
    <row r="5398" spans="5:11">
      <c r="E5398" t="s">
        <v>1320</v>
      </c>
      <c r="F5398" t="s">
        <v>1561</v>
      </c>
      <c r="G5398" s="10" t="str">
        <f t="shared" si="405"/>
        <v>07-13</v>
      </c>
      <c r="H5398" s="1">
        <f>_xlfn.IFNA(VLOOKUP(E5398,'Urban Plastix Holds'!$I$36:$U$498,10,0),0)</f>
        <v>0</v>
      </c>
      <c r="J5398" s="2">
        <f t="shared" si="406"/>
        <v>0</v>
      </c>
      <c r="K5398" s="2">
        <f t="shared" si="407"/>
        <v>0</v>
      </c>
    </row>
    <row r="5399" spans="5:11">
      <c r="E5399" t="s">
        <v>1320</v>
      </c>
      <c r="F5399" t="s">
        <v>1561</v>
      </c>
      <c r="G5399" s="11" t="str">
        <f t="shared" si="405"/>
        <v>11-25</v>
      </c>
      <c r="H5399" s="1">
        <f>_xlfn.IFNA(VLOOKUP(E5399,'Urban Plastix Holds'!$I$36:$U$498,11,0),0)</f>
        <v>0</v>
      </c>
      <c r="J5399" s="2">
        <f t="shared" si="406"/>
        <v>0</v>
      </c>
      <c r="K5399" s="2">
        <f t="shared" si="407"/>
        <v>0</v>
      </c>
    </row>
    <row r="5400" spans="5:11">
      <c r="E5400" t="s">
        <v>1320</v>
      </c>
      <c r="F5400" t="s">
        <v>1561</v>
      </c>
      <c r="G5400" s="13" t="str">
        <f t="shared" ref="G5400:G5463" si="408">G5391</f>
        <v>18-01</v>
      </c>
      <c r="H5400" s="1">
        <f>_xlfn.IFNA(VLOOKUP(E5400,'Urban Plastix Holds'!$I$36:$U$498,12,0),0)</f>
        <v>0</v>
      </c>
      <c r="J5400" s="2">
        <f t="shared" si="406"/>
        <v>0</v>
      </c>
      <c r="K5400" s="2">
        <f t="shared" si="407"/>
        <v>0</v>
      </c>
    </row>
    <row r="5401" spans="5:11">
      <c r="E5401" t="s">
        <v>1320</v>
      </c>
      <c r="F5401" t="s">
        <v>1561</v>
      </c>
      <c r="G5401" s="12" t="str">
        <f t="shared" si="408"/>
        <v>12-01</v>
      </c>
      <c r="H5401" s="1">
        <f>_xlfn.IFNA(VLOOKUP(E5401,'Urban Plastix Holds'!$I$36:$U$498,13,0),0)</f>
        <v>0</v>
      </c>
      <c r="J5401" s="2">
        <f t="shared" si="406"/>
        <v>0</v>
      </c>
      <c r="K5401" s="2">
        <f t="shared" si="407"/>
        <v>0</v>
      </c>
    </row>
    <row r="5402" spans="5:11">
      <c r="E5402" t="s">
        <v>1292</v>
      </c>
      <c r="F5402" t="s">
        <v>1562</v>
      </c>
      <c r="G5402" s="5" t="str">
        <f t="shared" si="408"/>
        <v>11-12</v>
      </c>
      <c r="H5402" s="1">
        <f>_xlfn.IFNA(VLOOKUP(E5402,'Urban Plastix Holds'!$I$36:$U$498,5,0),0)</f>
        <v>0</v>
      </c>
      <c r="J5402" s="2">
        <f t="shared" si="406"/>
        <v>0</v>
      </c>
      <c r="K5402" s="2">
        <f t="shared" si="407"/>
        <v>0</v>
      </c>
    </row>
    <row r="5403" spans="5:11">
      <c r="E5403" t="s">
        <v>1292</v>
      </c>
      <c r="F5403" t="s">
        <v>1562</v>
      </c>
      <c r="G5403" s="6" t="str">
        <f t="shared" si="408"/>
        <v>14-01</v>
      </c>
      <c r="H5403" s="1">
        <f>_xlfn.IFNA(VLOOKUP(E5403,'Urban Plastix Holds'!$I$36:$U$498,6,0),0)</f>
        <v>0</v>
      </c>
      <c r="J5403" s="2">
        <f t="shared" si="406"/>
        <v>0</v>
      </c>
      <c r="K5403" s="2">
        <f t="shared" si="407"/>
        <v>0</v>
      </c>
    </row>
    <row r="5404" spans="5:11">
      <c r="E5404" t="s">
        <v>1292</v>
      </c>
      <c r="F5404" t="s">
        <v>1562</v>
      </c>
      <c r="G5404" s="7" t="str">
        <f t="shared" si="408"/>
        <v>15-12</v>
      </c>
      <c r="H5404" s="1">
        <f>_xlfn.IFNA(VLOOKUP(E5404,'Urban Plastix Holds'!$I$36:$U$498,7,0),0)</f>
        <v>0</v>
      </c>
      <c r="J5404" s="2">
        <f t="shared" si="406"/>
        <v>0</v>
      </c>
      <c r="K5404" s="2">
        <f t="shared" si="407"/>
        <v>0</v>
      </c>
    </row>
    <row r="5405" spans="5:11">
      <c r="E5405" t="s">
        <v>1292</v>
      </c>
      <c r="F5405" t="s">
        <v>1562</v>
      </c>
      <c r="G5405" s="8" t="str">
        <f t="shared" si="408"/>
        <v>16-16</v>
      </c>
      <c r="H5405" s="1">
        <f>_xlfn.IFNA(VLOOKUP(E5405,'Urban Plastix Holds'!$I$36:$U$498,8,0),0)</f>
        <v>0</v>
      </c>
      <c r="J5405" s="2">
        <f t="shared" si="406"/>
        <v>0</v>
      </c>
      <c r="K5405" s="2">
        <f t="shared" si="407"/>
        <v>0</v>
      </c>
    </row>
    <row r="5406" spans="5:11">
      <c r="E5406" t="s">
        <v>1292</v>
      </c>
      <c r="F5406" t="s">
        <v>1562</v>
      </c>
      <c r="G5406" s="9" t="str">
        <f t="shared" si="408"/>
        <v>13-01</v>
      </c>
      <c r="H5406" s="1">
        <f>_xlfn.IFNA(VLOOKUP(E5406,'Urban Plastix Holds'!$I$36:$U$498,9,0),0)</f>
        <v>0</v>
      </c>
      <c r="J5406" s="2">
        <f t="shared" si="406"/>
        <v>0</v>
      </c>
      <c r="K5406" s="2">
        <f t="shared" si="407"/>
        <v>0</v>
      </c>
    </row>
    <row r="5407" spans="5:11">
      <c r="E5407" t="s">
        <v>1292</v>
      </c>
      <c r="F5407" t="s">
        <v>1562</v>
      </c>
      <c r="G5407" s="10" t="str">
        <f t="shared" si="408"/>
        <v>07-13</v>
      </c>
      <c r="H5407" s="1">
        <f>_xlfn.IFNA(VLOOKUP(E5407,'Urban Plastix Holds'!$I$36:$U$498,10,0),0)</f>
        <v>0</v>
      </c>
      <c r="J5407" s="2">
        <f t="shared" si="406"/>
        <v>0</v>
      </c>
      <c r="K5407" s="2">
        <f t="shared" si="407"/>
        <v>0</v>
      </c>
    </row>
    <row r="5408" spans="5:11">
      <c r="E5408" t="s">
        <v>1292</v>
      </c>
      <c r="F5408" t="s">
        <v>1562</v>
      </c>
      <c r="G5408" s="11" t="str">
        <f t="shared" si="408"/>
        <v>11-25</v>
      </c>
      <c r="H5408" s="1">
        <f>_xlfn.IFNA(VLOOKUP(E5408,'Urban Plastix Holds'!$I$36:$U$498,11,0),0)</f>
        <v>0</v>
      </c>
      <c r="J5408" s="2">
        <f t="shared" si="406"/>
        <v>0</v>
      </c>
      <c r="K5408" s="2">
        <f t="shared" si="407"/>
        <v>0</v>
      </c>
    </row>
    <row r="5409" spans="5:11">
      <c r="E5409" t="s">
        <v>1292</v>
      </c>
      <c r="F5409" t="s">
        <v>1562</v>
      </c>
      <c r="G5409" s="13" t="str">
        <f t="shared" si="408"/>
        <v>18-01</v>
      </c>
      <c r="H5409" s="1">
        <f>_xlfn.IFNA(VLOOKUP(E5409,'Urban Plastix Holds'!$I$36:$U$498,12,0),0)</f>
        <v>0</v>
      </c>
      <c r="J5409" s="2">
        <f t="shared" si="406"/>
        <v>0</v>
      </c>
      <c r="K5409" s="2">
        <f t="shared" si="407"/>
        <v>0</v>
      </c>
    </row>
    <row r="5410" spans="5:11">
      <c r="E5410" t="s">
        <v>1292</v>
      </c>
      <c r="F5410" t="s">
        <v>1562</v>
      </c>
      <c r="G5410" s="12" t="str">
        <f t="shared" si="408"/>
        <v>12-01</v>
      </c>
      <c r="H5410" s="1">
        <f>_xlfn.IFNA(VLOOKUP(E5410,'Urban Plastix Holds'!$I$36:$U$498,13,0),0)</f>
        <v>0</v>
      </c>
      <c r="J5410" s="2">
        <f t="shared" si="406"/>
        <v>0</v>
      </c>
      <c r="K5410" s="2">
        <f t="shared" si="407"/>
        <v>0</v>
      </c>
    </row>
    <row r="5411" spans="5:11">
      <c r="E5411" t="s">
        <v>1276</v>
      </c>
      <c r="F5411" t="s">
        <v>1563</v>
      </c>
      <c r="G5411" s="5" t="str">
        <f t="shared" si="408"/>
        <v>11-12</v>
      </c>
      <c r="H5411" s="1">
        <f>_xlfn.IFNA(VLOOKUP(E5411,'Urban Plastix Holds'!$I$36:$U$498,5,0),0)</f>
        <v>0</v>
      </c>
      <c r="J5411" s="2">
        <f t="shared" si="406"/>
        <v>0</v>
      </c>
      <c r="K5411" s="2">
        <f t="shared" si="407"/>
        <v>0</v>
      </c>
    </row>
    <row r="5412" spans="5:11">
      <c r="E5412" t="s">
        <v>1276</v>
      </c>
      <c r="F5412" t="s">
        <v>1563</v>
      </c>
      <c r="G5412" s="6" t="str">
        <f t="shared" si="408"/>
        <v>14-01</v>
      </c>
      <c r="H5412" s="1">
        <f>_xlfn.IFNA(VLOOKUP(E5412,'Urban Plastix Holds'!$I$36:$U$498,6,0),0)</f>
        <v>0</v>
      </c>
      <c r="J5412" s="2">
        <f t="shared" si="406"/>
        <v>0</v>
      </c>
      <c r="K5412" s="2">
        <f t="shared" si="407"/>
        <v>0</v>
      </c>
    </row>
    <row r="5413" spans="5:11">
      <c r="E5413" t="s">
        <v>1276</v>
      </c>
      <c r="F5413" t="s">
        <v>1563</v>
      </c>
      <c r="G5413" s="7" t="str">
        <f t="shared" si="408"/>
        <v>15-12</v>
      </c>
      <c r="H5413" s="1">
        <f>_xlfn.IFNA(VLOOKUP(E5413,'Urban Plastix Holds'!$I$36:$U$498,7,0),0)</f>
        <v>0</v>
      </c>
      <c r="J5413" s="2">
        <f t="shared" si="406"/>
        <v>0</v>
      </c>
      <c r="K5413" s="2">
        <f t="shared" si="407"/>
        <v>0</v>
      </c>
    </row>
    <row r="5414" spans="5:11">
      <c r="E5414" t="s">
        <v>1276</v>
      </c>
      <c r="F5414" t="s">
        <v>1563</v>
      </c>
      <c r="G5414" s="8" t="str">
        <f t="shared" si="408"/>
        <v>16-16</v>
      </c>
      <c r="H5414" s="1">
        <f>_xlfn.IFNA(VLOOKUP(E5414,'Urban Plastix Holds'!$I$36:$U$498,8,0),0)</f>
        <v>0</v>
      </c>
      <c r="J5414" s="2">
        <f t="shared" si="406"/>
        <v>0</v>
      </c>
      <c r="K5414" s="2">
        <f t="shared" si="407"/>
        <v>0</v>
      </c>
    </row>
    <row r="5415" spans="5:11">
      <c r="E5415" t="s">
        <v>1276</v>
      </c>
      <c r="F5415" t="s">
        <v>1563</v>
      </c>
      <c r="G5415" s="9" t="str">
        <f t="shared" si="408"/>
        <v>13-01</v>
      </c>
      <c r="H5415" s="1">
        <f>_xlfn.IFNA(VLOOKUP(E5415,'Urban Plastix Holds'!$I$36:$U$498,9,0),0)</f>
        <v>0</v>
      </c>
      <c r="J5415" s="2">
        <f t="shared" si="406"/>
        <v>0</v>
      </c>
      <c r="K5415" s="2">
        <f t="shared" si="407"/>
        <v>0</v>
      </c>
    </row>
    <row r="5416" spans="5:11">
      <c r="E5416" t="s">
        <v>1276</v>
      </c>
      <c r="F5416" t="s">
        <v>1563</v>
      </c>
      <c r="G5416" s="10" t="str">
        <f t="shared" si="408"/>
        <v>07-13</v>
      </c>
      <c r="H5416" s="1">
        <f>_xlfn.IFNA(VLOOKUP(E5416,'Urban Plastix Holds'!$I$36:$U$498,10,0),0)</f>
        <v>0</v>
      </c>
      <c r="J5416" s="2">
        <f t="shared" si="406"/>
        <v>0</v>
      </c>
      <c r="K5416" s="2">
        <f t="shared" si="407"/>
        <v>0</v>
      </c>
    </row>
    <row r="5417" spans="5:11">
      <c r="E5417" t="s">
        <v>1276</v>
      </c>
      <c r="F5417" t="s">
        <v>1563</v>
      </c>
      <c r="G5417" s="11" t="str">
        <f t="shared" si="408"/>
        <v>11-25</v>
      </c>
      <c r="H5417" s="1">
        <f>_xlfn.IFNA(VLOOKUP(E5417,'Urban Plastix Holds'!$I$36:$U$498,11,0),0)</f>
        <v>0</v>
      </c>
      <c r="J5417" s="2">
        <f t="shared" si="406"/>
        <v>0</v>
      </c>
      <c r="K5417" s="2">
        <f t="shared" si="407"/>
        <v>0</v>
      </c>
    </row>
    <row r="5418" spans="5:11">
      <c r="E5418" t="s">
        <v>1276</v>
      </c>
      <c r="F5418" t="s">
        <v>1563</v>
      </c>
      <c r="G5418" s="13" t="str">
        <f t="shared" si="408"/>
        <v>18-01</v>
      </c>
      <c r="H5418" s="1">
        <f>_xlfn.IFNA(VLOOKUP(E5418,'Urban Plastix Holds'!$I$36:$U$498,12,0),0)</f>
        <v>0</v>
      </c>
      <c r="J5418" s="2">
        <f t="shared" si="406"/>
        <v>0</v>
      </c>
      <c r="K5418" s="2">
        <f t="shared" si="407"/>
        <v>0</v>
      </c>
    </row>
    <row r="5419" spans="5:11">
      <c r="E5419" t="s">
        <v>1276</v>
      </c>
      <c r="F5419" t="s">
        <v>1563</v>
      </c>
      <c r="G5419" s="12" t="str">
        <f t="shared" si="408"/>
        <v>12-01</v>
      </c>
      <c r="H5419" s="1">
        <f>_xlfn.IFNA(VLOOKUP(E5419,'Urban Plastix Holds'!$I$36:$U$498,13,0),0)</f>
        <v>0</v>
      </c>
      <c r="J5419" s="2">
        <f t="shared" si="406"/>
        <v>0</v>
      </c>
      <c r="K5419" s="2">
        <f t="shared" si="407"/>
        <v>0</v>
      </c>
    </row>
    <row r="5420" spans="5:11">
      <c r="E5420" t="s">
        <v>1260</v>
      </c>
      <c r="F5420" t="s">
        <v>1504</v>
      </c>
      <c r="G5420" s="5" t="str">
        <f t="shared" si="408"/>
        <v>11-12</v>
      </c>
      <c r="H5420" s="1">
        <f>_xlfn.IFNA(VLOOKUP(E5420,'Urban Plastix Holds'!$I$36:$U$498,5,0),0)</f>
        <v>0</v>
      </c>
      <c r="J5420" s="2">
        <f t="shared" si="406"/>
        <v>0</v>
      </c>
      <c r="K5420" s="2">
        <f t="shared" si="407"/>
        <v>0</v>
      </c>
    </row>
    <row r="5421" spans="5:11">
      <c r="E5421" t="s">
        <v>1260</v>
      </c>
      <c r="F5421" t="s">
        <v>1504</v>
      </c>
      <c r="G5421" s="6" t="str">
        <f t="shared" si="408"/>
        <v>14-01</v>
      </c>
      <c r="H5421" s="1">
        <f>_xlfn.IFNA(VLOOKUP(E5421,'Urban Plastix Holds'!$I$36:$U$498,6,0),0)</f>
        <v>0</v>
      </c>
      <c r="J5421" s="2">
        <f t="shared" si="406"/>
        <v>0</v>
      </c>
      <c r="K5421" s="2">
        <f t="shared" si="407"/>
        <v>0</v>
      </c>
    </row>
    <row r="5422" spans="5:11">
      <c r="E5422" t="s">
        <v>1260</v>
      </c>
      <c r="F5422" t="s">
        <v>1504</v>
      </c>
      <c r="G5422" s="7" t="str">
        <f t="shared" si="408"/>
        <v>15-12</v>
      </c>
      <c r="H5422" s="1">
        <f>_xlfn.IFNA(VLOOKUP(E5422,'Urban Plastix Holds'!$I$36:$U$498,7,0),0)</f>
        <v>0</v>
      </c>
      <c r="J5422" s="2">
        <f t="shared" ref="J5422:J5485" si="409">H5422*I5422</f>
        <v>0</v>
      </c>
      <c r="K5422" s="2">
        <f t="shared" ref="K5422:K5485" si="410">IF($V$11="Y",J5422*0.05,0)</f>
        <v>0</v>
      </c>
    </row>
    <row r="5423" spans="5:11">
      <c r="E5423" t="s">
        <v>1260</v>
      </c>
      <c r="F5423" t="s">
        <v>1504</v>
      </c>
      <c r="G5423" s="8" t="str">
        <f t="shared" si="408"/>
        <v>16-16</v>
      </c>
      <c r="H5423" s="1">
        <f>_xlfn.IFNA(VLOOKUP(E5423,'Urban Plastix Holds'!$I$36:$U$498,8,0),0)</f>
        <v>0</v>
      </c>
      <c r="J5423" s="2">
        <f t="shared" si="409"/>
        <v>0</v>
      </c>
      <c r="K5423" s="2">
        <f t="shared" si="410"/>
        <v>0</v>
      </c>
    </row>
    <row r="5424" spans="5:11">
      <c r="E5424" t="s">
        <v>1260</v>
      </c>
      <c r="F5424" t="s">
        <v>1504</v>
      </c>
      <c r="G5424" s="9" t="str">
        <f t="shared" si="408"/>
        <v>13-01</v>
      </c>
      <c r="H5424" s="1">
        <f>_xlfn.IFNA(VLOOKUP(E5424,'Urban Plastix Holds'!$I$36:$U$498,9,0),0)</f>
        <v>0</v>
      </c>
      <c r="J5424" s="2">
        <f t="shared" si="409"/>
        <v>0</v>
      </c>
      <c r="K5424" s="2">
        <f t="shared" si="410"/>
        <v>0</v>
      </c>
    </row>
    <row r="5425" spans="5:11">
      <c r="E5425" t="s">
        <v>1260</v>
      </c>
      <c r="F5425" t="s">
        <v>1504</v>
      </c>
      <c r="G5425" s="10" t="str">
        <f t="shared" si="408"/>
        <v>07-13</v>
      </c>
      <c r="H5425" s="1">
        <f>_xlfn.IFNA(VLOOKUP(E5425,'Urban Plastix Holds'!$I$36:$U$498,10,0),0)</f>
        <v>0</v>
      </c>
      <c r="J5425" s="2">
        <f t="shared" si="409"/>
        <v>0</v>
      </c>
      <c r="K5425" s="2">
        <f t="shared" si="410"/>
        <v>0</v>
      </c>
    </row>
    <row r="5426" spans="5:11">
      <c r="E5426" t="s">
        <v>1260</v>
      </c>
      <c r="F5426" t="s">
        <v>1504</v>
      </c>
      <c r="G5426" s="11" t="str">
        <f t="shared" si="408"/>
        <v>11-25</v>
      </c>
      <c r="H5426" s="1">
        <f>_xlfn.IFNA(VLOOKUP(E5426,'Urban Plastix Holds'!$I$36:$U$498,11,0),0)</f>
        <v>0</v>
      </c>
      <c r="J5426" s="2">
        <f t="shared" si="409"/>
        <v>0</v>
      </c>
      <c r="K5426" s="2">
        <f t="shared" si="410"/>
        <v>0</v>
      </c>
    </row>
    <row r="5427" spans="5:11">
      <c r="E5427" t="s">
        <v>1260</v>
      </c>
      <c r="F5427" t="s">
        <v>1504</v>
      </c>
      <c r="G5427" s="13" t="str">
        <f t="shared" si="408"/>
        <v>18-01</v>
      </c>
      <c r="H5427" s="1">
        <f>_xlfn.IFNA(VLOOKUP(E5427,'Urban Plastix Holds'!$I$36:$U$498,12,0),0)</f>
        <v>0</v>
      </c>
      <c r="J5427" s="2">
        <f t="shared" si="409"/>
        <v>0</v>
      </c>
      <c r="K5427" s="2">
        <f t="shared" si="410"/>
        <v>0</v>
      </c>
    </row>
    <row r="5428" spans="5:11">
      <c r="E5428" t="s">
        <v>1260</v>
      </c>
      <c r="F5428" t="s">
        <v>1504</v>
      </c>
      <c r="G5428" s="12" t="str">
        <f t="shared" si="408"/>
        <v>12-01</v>
      </c>
      <c r="H5428" s="1">
        <f>_xlfn.IFNA(VLOOKUP(E5428,'Urban Plastix Holds'!$I$36:$U$498,13,0),0)</f>
        <v>0</v>
      </c>
      <c r="J5428" s="2">
        <f t="shared" si="409"/>
        <v>0</v>
      </c>
      <c r="K5428" s="2">
        <f t="shared" si="410"/>
        <v>0</v>
      </c>
    </row>
    <row r="5429" spans="5:11">
      <c r="E5429" t="s">
        <v>1267</v>
      </c>
      <c r="F5429" t="s">
        <v>1505</v>
      </c>
      <c r="G5429" s="5" t="str">
        <f t="shared" si="408"/>
        <v>11-12</v>
      </c>
      <c r="H5429" s="1">
        <f>_xlfn.IFNA(VLOOKUP(E5429,'Urban Plastix Holds'!$I$36:$U$498,5,0),0)</f>
        <v>0</v>
      </c>
      <c r="J5429" s="2">
        <f t="shared" si="409"/>
        <v>0</v>
      </c>
      <c r="K5429" s="2">
        <f t="shared" si="410"/>
        <v>0</v>
      </c>
    </row>
    <row r="5430" spans="5:11">
      <c r="E5430" t="s">
        <v>1267</v>
      </c>
      <c r="F5430" t="s">
        <v>1505</v>
      </c>
      <c r="G5430" s="6" t="str">
        <f t="shared" si="408"/>
        <v>14-01</v>
      </c>
      <c r="H5430" s="1">
        <f>_xlfn.IFNA(VLOOKUP(E5430,'Urban Plastix Holds'!$I$36:$U$498,6,0),0)</f>
        <v>0</v>
      </c>
      <c r="J5430" s="2">
        <f t="shared" si="409"/>
        <v>0</v>
      </c>
      <c r="K5430" s="2">
        <f t="shared" si="410"/>
        <v>0</v>
      </c>
    </row>
    <row r="5431" spans="5:11">
      <c r="E5431" t="s">
        <v>1267</v>
      </c>
      <c r="F5431" t="s">
        <v>1505</v>
      </c>
      <c r="G5431" s="7" t="str">
        <f t="shared" si="408"/>
        <v>15-12</v>
      </c>
      <c r="H5431" s="1">
        <f>_xlfn.IFNA(VLOOKUP(E5431,'Urban Plastix Holds'!$I$36:$U$498,7,0),0)</f>
        <v>0</v>
      </c>
      <c r="J5431" s="2">
        <f t="shared" si="409"/>
        <v>0</v>
      </c>
      <c r="K5431" s="2">
        <f t="shared" si="410"/>
        <v>0</v>
      </c>
    </row>
    <row r="5432" spans="5:11">
      <c r="E5432" t="s">
        <v>1267</v>
      </c>
      <c r="F5432" t="s">
        <v>1505</v>
      </c>
      <c r="G5432" s="8" t="str">
        <f t="shared" si="408"/>
        <v>16-16</v>
      </c>
      <c r="H5432" s="1">
        <f>_xlfn.IFNA(VLOOKUP(E5432,'Urban Plastix Holds'!$I$36:$U$498,8,0),0)</f>
        <v>0</v>
      </c>
      <c r="J5432" s="2">
        <f t="shared" si="409"/>
        <v>0</v>
      </c>
      <c r="K5432" s="2">
        <f t="shared" si="410"/>
        <v>0</v>
      </c>
    </row>
    <row r="5433" spans="5:11">
      <c r="E5433" t="s">
        <v>1267</v>
      </c>
      <c r="F5433" t="s">
        <v>1505</v>
      </c>
      <c r="G5433" s="9" t="str">
        <f t="shared" si="408"/>
        <v>13-01</v>
      </c>
      <c r="H5433" s="1">
        <f>_xlfn.IFNA(VLOOKUP(E5433,'Urban Plastix Holds'!$I$36:$U$498,9,0),0)</f>
        <v>0</v>
      </c>
      <c r="J5433" s="2">
        <f t="shared" si="409"/>
        <v>0</v>
      </c>
      <c r="K5433" s="2">
        <f t="shared" si="410"/>
        <v>0</v>
      </c>
    </row>
    <row r="5434" spans="5:11">
      <c r="E5434" t="s">
        <v>1267</v>
      </c>
      <c r="F5434" t="s">
        <v>1505</v>
      </c>
      <c r="G5434" s="10" t="str">
        <f t="shared" si="408"/>
        <v>07-13</v>
      </c>
      <c r="H5434" s="1">
        <f>_xlfn.IFNA(VLOOKUP(E5434,'Urban Plastix Holds'!$I$36:$U$498,10,0),0)</f>
        <v>0</v>
      </c>
      <c r="J5434" s="2">
        <f t="shared" si="409"/>
        <v>0</v>
      </c>
      <c r="K5434" s="2">
        <f t="shared" si="410"/>
        <v>0</v>
      </c>
    </row>
    <row r="5435" spans="5:11">
      <c r="E5435" t="s">
        <v>1267</v>
      </c>
      <c r="F5435" t="s">
        <v>1505</v>
      </c>
      <c r="G5435" s="11" t="str">
        <f t="shared" si="408"/>
        <v>11-25</v>
      </c>
      <c r="H5435" s="1">
        <f>_xlfn.IFNA(VLOOKUP(E5435,'Urban Plastix Holds'!$I$36:$U$498,11,0),0)</f>
        <v>0</v>
      </c>
      <c r="J5435" s="2">
        <f t="shared" si="409"/>
        <v>0</v>
      </c>
      <c r="K5435" s="2">
        <f t="shared" si="410"/>
        <v>0</v>
      </c>
    </row>
    <row r="5436" spans="5:11">
      <c r="E5436" t="s">
        <v>1267</v>
      </c>
      <c r="F5436" t="s">
        <v>1505</v>
      </c>
      <c r="G5436" s="13" t="str">
        <f t="shared" si="408"/>
        <v>18-01</v>
      </c>
      <c r="H5436" s="1">
        <f>_xlfn.IFNA(VLOOKUP(E5436,'Urban Plastix Holds'!$I$36:$U$498,12,0),0)</f>
        <v>0</v>
      </c>
      <c r="J5436" s="2">
        <f t="shared" si="409"/>
        <v>0</v>
      </c>
      <c r="K5436" s="2">
        <f t="shared" si="410"/>
        <v>0</v>
      </c>
    </row>
    <row r="5437" spans="5:11">
      <c r="E5437" t="s">
        <v>1267</v>
      </c>
      <c r="F5437" t="s">
        <v>1505</v>
      </c>
      <c r="G5437" s="12" t="str">
        <f t="shared" si="408"/>
        <v>12-01</v>
      </c>
      <c r="H5437" s="1">
        <f>_xlfn.IFNA(VLOOKUP(E5437,'Urban Plastix Holds'!$I$36:$U$498,13,0),0)</f>
        <v>0</v>
      </c>
      <c r="J5437" s="2">
        <f t="shared" si="409"/>
        <v>0</v>
      </c>
      <c r="K5437" s="2">
        <f t="shared" si="410"/>
        <v>0</v>
      </c>
    </row>
    <row r="5438" spans="5:11">
      <c r="E5438" t="s">
        <v>1301</v>
      </c>
      <c r="F5438" t="s">
        <v>1506</v>
      </c>
      <c r="G5438" s="5" t="str">
        <f t="shared" si="408"/>
        <v>11-12</v>
      </c>
      <c r="H5438" s="1">
        <f>_xlfn.IFNA(VLOOKUP(E5438,'Urban Plastix Holds'!$I$36:$U$498,5,0),0)</f>
        <v>0</v>
      </c>
      <c r="J5438" s="2">
        <f t="shared" si="409"/>
        <v>0</v>
      </c>
      <c r="K5438" s="2">
        <f t="shared" si="410"/>
        <v>0</v>
      </c>
    </row>
    <row r="5439" spans="5:11">
      <c r="E5439" t="s">
        <v>1301</v>
      </c>
      <c r="F5439" t="s">
        <v>1506</v>
      </c>
      <c r="G5439" s="6" t="str">
        <f t="shared" si="408"/>
        <v>14-01</v>
      </c>
      <c r="H5439" s="1">
        <f>_xlfn.IFNA(VLOOKUP(E5439,'Urban Plastix Holds'!$I$36:$U$498,6,0),0)</f>
        <v>0</v>
      </c>
      <c r="J5439" s="2">
        <f t="shared" si="409"/>
        <v>0</v>
      </c>
      <c r="K5439" s="2">
        <f t="shared" si="410"/>
        <v>0</v>
      </c>
    </row>
    <row r="5440" spans="5:11">
      <c r="E5440" t="s">
        <v>1301</v>
      </c>
      <c r="F5440" t="s">
        <v>1506</v>
      </c>
      <c r="G5440" s="7" t="str">
        <f t="shared" si="408"/>
        <v>15-12</v>
      </c>
      <c r="H5440" s="1">
        <f>_xlfn.IFNA(VLOOKUP(E5440,'Urban Plastix Holds'!$I$36:$U$498,7,0),0)</f>
        <v>0</v>
      </c>
      <c r="J5440" s="2">
        <f t="shared" si="409"/>
        <v>0</v>
      </c>
      <c r="K5440" s="2">
        <f t="shared" si="410"/>
        <v>0</v>
      </c>
    </row>
    <row r="5441" spans="5:11">
      <c r="E5441" t="s">
        <v>1301</v>
      </c>
      <c r="F5441" t="s">
        <v>1506</v>
      </c>
      <c r="G5441" s="8" t="str">
        <f t="shared" si="408"/>
        <v>16-16</v>
      </c>
      <c r="H5441" s="1">
        <f>_xlfn.IFNA(VLOOKUP(E5441,'Urban Plastix Holds'!$I$36:$U$498,8,0),0)</f>
        <v>0</v>
      </c>
      <c r="J5441" s="2">
        <f t="shared" si="409"/>
        <v>0</v>
      </c>
      <c r="K5441" s="2">
        <f t="shared" si="410"/>
        <v>0</v>
      </c>
    </row>
    <row r="5442" spans="5:11">
      <c r="E5442" t="s">
        <v>1301</v>
      </c>
      <c r="F5442" t="s">
        <v>1506</v>
      </c>
      <c r="G5442" s="9" t="str">
        <f t="shared" si="408"/>
        <v>13-01</v>
      </c>
      <c r="H5442" s="1">
        <f>_xlfn.IFNA(VLOOKUP(E5442,'Urban Plastix Holds'!$I$36:$U$498,9,0),0)</f>
        <v>0</v>
      </c>
      <c r="J5442" s="2">
        <f t="shared" si="409"/>
        <v>0</v>
      </c>
      <c r="K5442" s="2">
        <f t="shared" si="410"/>
        <v>0</v>
      </c>
    </row>
    <row r="5443" spans="5:11">
      <c r="E5443" t="s">
        <v>1301</v>
      </c>
      <c r="F5443" t="s">
        <v>1506</v>
      </c>
      <c r="G5443" s="10" t="str">
        <f t="shared" si="408"/>
        <v>07-13</v>
      </c>
      <c r="H5443" s="1">
        <f>_xlfn.IFNA(VLOOKUP(E5443,'Urban Plastix Holds'!$I$36:$U$498,10,0),0)</f>
        <v>0</v>
      </c>
      <c r="J5443" s="2">
        <f t="shared" si="409"/>
        <v>0</v>
      </c>
      <c r="K5443" s="2">
        <f t="shared" si="410"/>
        <v>0</v>
      </c>
    </row>
    <row r="5444" spans="5:11">
      <c r="E5444" t="s">
        <v>1301</v>
      </c>
      <c r="F5444" t="s">
        <v>1506</v>
      </c>
      <c r="G5444" s="11" t="str">
        <f t="shared" si="408"/>
        <v>11-25</v>
      </c>
      <c r="H5444" s="1">
        <f>_xlfn.IFNA(VLOOKUP(E5444,'Urban Plastix Holds'!$I$36:$U$498,11,0),0)</f>
        <v>0</v>
      </c>
      <c r="J5444" s="2">
        <f t="shared" si="409"/>
        <v>0</v>
      </c>
      <c r="K5444" s="2">
        <f t="shared" si="410"/>
        <v>0</v>
      </c>
    </row>
    <row r="5445" spans="5:11">
      <c r="E5445" t="s">
        <v>1301</v>
      </c>
      <c r="F5445" t="s">
        <v>1506</v>
      </c>
      <c r="G5445" s="13" t="str">
        <f t="shared" si="408"/>
        <v>18-01</v>
      </c>
      <c r="H5445" s="1">
        <f>_xlfn.IFNA(VLOOKUP(E5445,'Urban Plastix Holds'!$I$36:$U$498,12,0),0)</f>
        <v>0</v>
      </c>
      <c r="J5445" s="2">
        <f t="shared" si="409"/>
        <v>0</v>
      </c>
      <c r="K5445" s="2">
        <f t="shared" si="410"/>
        <v>0</v>
      </c>
    </row>
    <row r="5446" spans="5:11">
      <c r="E5446" t="s">
        <v>1301</v>
      </c>
      <c r="F5446" t="s">
        <v>1506</v>
      </c>
      <c r="G5446" s="12" t="str">
        <f t="shared" si="408"/>
        <v>12-01</v>
      </c>
      <c r="H5446" s="1">
        <f>_xlfn.IFNA(VLOOKUP(E5446,'Urban Plastix Holds'!$I$36:$U$498,13,0),0)</f>
        <v>0</v>
      </c>
      <c r="J5446" s="2">
        <f t="shared" si="409"/>
        <v>0</v>
      </c>
      <c r="K5446" s="2">
        <f t="shared" si="410"/>
        <v>0</v>
      </c>
    </row>
    <row r="5447" spans="5:11">
      <c r="E5447" t="s">
        <v>1271</v>
      </c>
      <c r="F5447" t="s">
        <v>1567</v>
      </c>
      <c r="G5447" s="5" t="str">
        <f t="shared" si="408"/>
        <v>11-12</v>
      </c>
      <c r="H5447" s="1">
        <f>_xlfn.IFNA(VLOOKUP(E5447,'Urban Plastix Holds'!$I$36:$U$498,5,0),0)</f>
        <v>0</v>
      </c>
      <c r="J5447" s="2">
        <f t="shared" si="409"/>
        <v>0</v>
      </c>
      <c r="K5447" s="2">
        <f t="shared" si="410"/>
        <v>0</v>
      </c>
    </row>
    <row r="5448" spans="5:11">
      <c r="E5448" t="s">
        <v>1271</v>
      </c>
      <c r="F5448" t="s">
        <v>1567</v>
      </c>
      <c r="G5448" s="6" t="str">
        <f t="shared" si="408"/>
        <v>14-01</v>
      </c>
      <c r="H5448" s="1">
        <f>_xlfn.IFNA(VLOOKUP(E5448,'Urban Plastix Holds'!$I$36:$U$498,6,0),0)</f>
        <v>0</v>
      </c>
      <c r="J5448" s="2">
        <f t="shared" si="409"/>
        <v>0</v>
      </c>
      <c r="K5448" s="2">
        <f t="shared" si="410"/>
        <v>0</v>
      </c>
    </row>
    <row r="5449" spans="5:11">
      <c r="E5449" t="s">
        <v>1271</v>
      </c>
      <c r="F5449" t="s">
        <v>1567</v>
      </c>
      <c r="G5449" s="7" t="str">
        <f t="shared" si="408"/>
        <v>15-12</v>
      </c>
      <c r="H5449" s="1">
        <f>_xlfn.IFNA(VLOOKUP(E5449,'Urban Plastix Holds'!$I$36:$U$498,7,0),0)</f>
        <v>0</v>
      </c>
      <c r="J5449" s="2">
        <f t="shared" si="409"/>
        <v>0</v>
      </c>
      <c r="K5449" s="2">
        <f t="shared" si="410"/>
        <v>0</v>
      </c>
    </row>
    <row r="5450" spans="5:11">
      <c r="E5450" t="s">
        <v>1271</v>
      </c>
      <c r="F5450" t="s">
        <v>1567</v>
      </c>
      <c r="G5450" s="8" t="str">
        <f t="shared" si="408"/>
        <v>16-16</v>
      </c>
      <c r="H5450" s="1">
        <f>_xlfn.IFNA(VLOOKUP(E5450,'Urban Plastix Holds'!$I$36:$U$498,8,0),0)</f>
        <v>0</v>
      </c>
      <c r="J5450" s="2">
        <f t="shared" si="409"/>
        <v>0</v>
      </c>
      <c r="K5450" s="2">
        <f t="shared" si="410"/>
        <v>0</v>
      </c>
    </row>
    <row r="5451" spans="5:11">
      <c r="E5451" t="s">
        <v>1271</v>
      </c>
      <c r="F5451" t="s">
        <v>1567</v>
      </c>
      <c r="G5451" s="9" t="str">
        <f t="shared" si="408"/>
        <v>13-01</v>
      </c>
      <c r="H5451" s="1">
        <f>_xlfn.IFNA(VLOOKUP(E5451,'Urban Plastix Holds'!$I$36:$U$498,9,0),0)</f>
        <v>0</v>
      </c>
      <c r="J5451" s="2">
        <f t="shared" si="409"/>
        <v>0</v>
      </c>
      <c r="K5451" s="2">
        <f t="shared" si="410"/>
        <v>0</v>
      </c>
    </row>
    <row r="5452" spans="5:11">
      <c r="E5452" t="s">
        <v>1271</v>
      </c>
      <c r="F5452" t="s">
        <v>1567</v>
      </c>
      <c r="G5452" s="10" t="str">
        <f t="shared" si="408"/>
        <v>07-13</v>
      </c>
      <c r="H5452" s="1">
        <f>_xlfn.IFNA(VLOOKUP(E5452,'Urban Plastix Holds'!$I$36:$U$498,10,0),0)</f>
        <v>0</v>
      </c>
      <c r="J5452" s="2">
        <f t="shared" si="409"/>
        <v>0</v>
      </c>
      <c r="K5452" s="2">
        <f t="shared" si="410"/>
        <v>0</v>
      </c>
    </row>
    <row r="5453" spans="5:11">
      <c r="E5453" t="s">
        <v>1271</v>
      </c>
      <c r="F5453" t="s">
        <v>1567</v>
      </c>
      <c r="G5453" s="11" t="str">
        <f t="shared" si="408"/>
        <v>11-25</v>
      </c>
      <c r="H5453" s="1">
        <f>_xlfn.IFNA(VLOOKUP(E5453,'Urban Plastix Holds'!$I$36:$U$498,11,0),0)</f>
        <v>0</v>
      </c>
      <c r="J5453" s="2">
        <f t="shared" si="409"/>
        <v>0</v>
      </c>
      <c r="K5453" s="2">
        <f t="shared" si="410"/>
        <v>0</v>
      </c>
    </row>
    <row r="5454" spans="5:11">
      <c r="E5454" t="s">
        <v>1271</v>
      </c>
      <c r="F5454" t="s">
        <v>1567</v>
      </c>
      <c r="G5454" s="13" t="str">
        <f t="shared" si="408"/>
        <v>18-01</v>
      </c>
      <c r="H5454" s="1">
        <f>_xlfn.IFNA(VLOOKUP(E5454,'Urban Plastix Holds'!$I$36:$U$498,12,0),0)</f>
        <v>0</v>
      </c>
      <c r="J5454" s="2">
        <f t="shared" si="409"/>
        <v>0</v>
      </c>
      <c r="K5454" s="2">
        <f t="shared" si="410"/>
        <v>0</v>
      </c>
    </row>
    <row r="5455" spans="5:11">
      <c r="E5455" t="s">
        <v>1271</v>
      </c>
      <c r="F5455" t="s">
        <v>1567</v>
      </c>
      <c r="G5455" s="12" t="str">
        <f t="shared" si="408"/>
        <v>12-01</v>
      </c>
      <c r="H5455" s="1">
        <f>_xlfn.IFNA(VLOOKUP(E5455,'Urban Plastix Holds'!$I$36:$U$498,13,0),0)</f>
        <v>0</v>
      </c>
      <c r="J5455" s="2">
        <f t="shared" si="409"/>
        <v>0</v>
      </c>
      <c r="K5455" s="2">
        <f t="shared" si="410"/>
        <v>0</v>
      </c>
    </row>
    <row r="5456" spans="5:11">
      <c r="E5456" t="s">
        <v>1307</v>
      </c>
      <c r="F5456" t="s">
        <v>1507</v>
      </c>
      <c r="G5456" s="5" t="str">
        <f t="shared" si="408"/>
        <v>11-12</v>
      </c>
      <c r="H5456" s="1">
        <f>_xlfn.IFNA(VLOOKUP(E5456,'Urban Plastix Holds'!$I$36:$U$498,5,0),0)</f>
        <v>0</v>
      </c>
      <c r="J5456" s="2">
        <f t="shared" si="409"/>
        <v>0</v>
      </c>
      <c r="K5456" s="2">
        <f t="shared" si="410"/>
        <v>0</v>
      </c>
    </row>
    <row r="5457" spans="5:11">
      <c r="E5457" t="s">
        <v>1307</v>
      </c>
      <c r="F5457" t="s">
        <v>1507</v>
      </c>
      <c r="G5457" s="6" t="str">
        <f t="shared" si="408"/>
        <v>14-01</v>
      </c>
      <c r="H5457" s="1">
        <f>_xlfn.IFNA(VLOOKUP(E5457,'Urban Plastix Holds'!$I$36:$U$498,6,0),0)</f>
        <v>0</v>
      </c>
      <c r="J5457" s="2">
        <f t="shared" si="409"/>
        <v>0</v>
      </c>
      <c r="K5457" s="2">
        <f t="shared" si="410"/>
        <v>0</v>
      </c>
    </row>
    <row r="5458" spans="5:11">
      <c r="E5458" t="s">
        <v>1307</v>
      </c>
      <c r="F5458" t="s">
        <v>1507</v>
      </c>
      <c r="G5458" s="7" t="str">
        <f t="shared" si="408"/>
        <v>15-12</v>
      </c>
      <c r="H5458" s="1">
        <f>_xlfn.IFNA(VLOOKUP(E5458,'Urban Plastix Holds'!$I$36:$U$498,7,0),0)</f>
        <v>0</v>
      </c>
      <c r="J5458" s="2">
        <f t="shared" si="409"/>
        <v>0</v>
      </c>
      <c r="K5458" s="2">
        <f t="shared" si="410"/>
        <v>0</v>
      </c>
    </row>
    <row r="5459" spans="5:11">
      <c r="E5459" t="s">
        <v>1307</v>
      </c>
      <c r="F5459" t="s">
        <v>1507</v>
      </c>
      <c r="G5459" s="8" t="str">
        <f t="shared" si="408"/>
        <v>16-16</v>
      </c>
      <c r="H5459" s="1">
        <f>_xlfn.IFNA(VLOOKUP(E5459,'Urban Plastix Holds'!$I$36:$U$498,8,0),0)</f>
        <v>0</v>
      </c>
      <c r="J5459" s="2">
        <f t="shared" si="409"/>
        <v>0</v>
      </c>
      <c r="K5459" s="2">
        <f t="shared" si="410"/>
        <v>0</v>
      </c>
    </row>
    <row r="5460" spans="5:11">
      <c r="E5460" t="s">
        <v>1307</v>
      </c>
      <c r="F5460" t="s">
        <v>1507</v>
      </c>
      <c r="G5460" s="9" t="str">
        <f t="shared" si="408"/>
        <v>13-01</v>
      </c>
      <c r="H5460" s="1">
        <f>_xlfn.IFNA(VLOOKUP(E5460,'Urban Plastix Holds'!$I$36:$U$498,9,0),0)</f>
        <v>0</v>
      </c>
      <c r="J5460" s="2">
        <f t="shared" si="409"/>
        <v>0</v>
      </c>
      <c r="K5460" s="2">
        <f t="shared" si="410"/>
        <v>0</v>
      </c>
    </row>
    <row r="5461" spans="5:11">
      <c r="E5461" t="s">
        <v>1307</v>
      </c>
      <c r="F5461" t="s">
        <v>1507</v>
      </c>
      <c r="G5461" s="10" t="str">
        <f t="shared" si="408"/>
        <v>07-13</v>
      </c>
      <c r="H5461" s="1">
        <f>_xlfn.IFNA(VLOOKUP(E5461,'Urban Plastix Holds'!$I$36:$U$498,10,0),0)</f>
        <v>0</v>
      </c>
      <c r="J5461" s="2">
        <f t="shared" si="409"/>
        <v>0</v>
      </c>
      <c r="K5461" s="2">
        <f t="shared" si="410"/>
        <v>0</v>
      </c>
    </row>
    <row r="5462" spans="5:11">
      <c r="E5462" t="s">
        <v>1307</v>
      </c>
      <c r="F5462" t="s">
        <v>1507</v>
      </c>
      <c r="G5462" s="11" t="str">
        <f t="shared" si="408"/>
        <v>11-25</v>
      </c>
      <c r="H5462" s="1">
        <f>_xlfn.IFNA(VLOOKUP(E5462,'Urban Plastix Holds'!$I$36:$U$498,11,0),0)</f>
        <v>0</v>
      </c>
      <c r="J5462" s="2">
        <f t="shared" si="409"/>
        <v>0</v>
      </c>
      <c r="K5462" s="2">
        <f t="shared" si="410"/>
        <v>0</v>
      </c>
    </row>
    <row r="5463" spans="5:11">
      <c r="E5463" t="s">
        <v>1307</v>
      </c>
      <c r="F5463" t="s">
        <v>1507</v>
      </c>
      <c r="G5463" s="13" t="str">
        <f t="shared" si="408"/>
        <v>18-01</v>
      </c>
      <c r="H5463" s="1">
        <f>_xlfn.IFNA(VLOOKUP(E5463,'Urban Plastix Holds'!$I$36:$U$498,12,0),0)</f>
        <v>0</v>
      </c>
      <c r="J5463" s="2">
        <f t="shared" si="409"/>
        <v>0</v>
      </c>
      <c r="K5463" s="2">
        <f t="shared" si="410"/>
        <v>0</v>
      </c>
    </row>
    <row r="5464" spans="5:11">
      <c r="E5464" t="s">
        <v>1307</v>
      </c>
      <c r="F5464" t="s">
        <v>1507</v>
      </c>
      <c r="G5464" s="12" t="str">
        <f t="shared" ref="G5464:G5527" si="411">G5455</f>
        <v>12-01</v>
      </c>
      <c r="H5464" s="1">
        <f>_xlfn.IFNA(VLOOKUP(E5464,'Urban Plastix Holds'!$I$36:$U$498,13,0),0)</f>
        <v>0</v>
      </c>
      <c r="J5464" s="2">
        <f t="shared" si="409"/>
        <v>0</v>
      </c>
      <c r="K5464" s="2">
        <f t="shared" si="410"/>
        <v>0</v>
      </c>
    </row>
    <row r="5465" spans="5:11">
      <c r="E5465" t="s">
        <v>1317</v>
      </c>
      <c r="F5465" t="s">
        <v>1508</v>
      </c>
      <c r="G5465" s="5" t="str">
        <f t="shared" si="411"/>
        <v>11-12</v>
      </c>
      <c r="H5465" s="1">
        <f>_xlfn.IFNA(VLOOKUP(E5465,'Urban Plastix Holds'!$I$36:$U$498,5,0),0)</f>
        <v>0</v>
      </c>
      <c r="J5465" s="2">
        <f t="shared" si="409"/>
        <v>0</v>
      </c>
      <c r="K5465" s="2">
        <f t="shared" si="410"/>
        <v>0</v>
      </c>
    </row>
    <row r="5466" spans="5:11">
      <c r="E5466" t="s">
        <v>1317</v>
      </c>
      <c r="F5466" t="s">
        <v>1508</v>
      </c>
      <c r="G5466" s="6" t="str">
        <f t="shared" si="411"/>
        <v>14-01</v>
      </c>
      <c r="H5466" s="1">
        <f>_xlfn.IFNA(VLOOKUP(E5466,'Urban Plastix Holds'!$I$36:$U$498,6,0),0)</f>
        <v>0</v>
      </c>
      <c r="J5466" s="2">
        <f t="shared" si="409"/>
        <v>0</v>
      </c>
      <c r="K5466" s="2">
        <f t="shared" si="410"/>
        <v>0</v>
      </c>
    </row>
    <row r="5467" spans="5:11">
      <c r="E5467" t="s">
        <v>1317</v>
      </c>
      <c r="F5467" t="s">
        <v>1508</v>
      </c>
      <c r="G5467" s="7" t="str">
        <f t="shared" si="411"/>
        <v>15-12</v>
      </c>
      <c r="H5467" s="1">
        <f>_xlfn.IFNA(VLOOKUP(E5467,'Urban Plastix Holds'!$I$36:$U$498,7,0),0)</f>
        <v>0</v>
      </c>
      <c r="J5467" s="2">
        <f t="shared" si="409"/>
        <v>0</v>
      </c>
      <c r="K5467" s="2">
        <f t="shared" si="410"/>
        <v>0</v>
      </c>
    </row>
    <row r="5468" spans="5:11">
      <c r="E5468" t="s">
        <v>1317</v>
      </c>
      <c r="F5468" t="s">
        <v>1508</v>
      </c>
      <c r="G5468" s="8" t="str">
        <f t="shared" si="411"/>
        <v>16-16</v>
      </c>
      <c r="H5468" s="1">
        <f>_xlfn.IFNA(VLOOKUP(E5468,'Urban Plastix Holds'!$I$36:$U$498,8,0),0)</f>
        <v>0</v>
      </c>
      <c r="J5468" s="2">
        <f t="shared" si="409"/>
        <v>0</v>
      </c>
      <c r="K5468" s="2">
        <f t="shared" si="410"/>
        <v>0</v>
      </c>
    </row>
    <row r="5469" spans="5:11">
      <c r="E5469" t="s">
        <v>1317</v>
      </c>
      <c r="F5469" t="s">
        <v>1508</v>
      </c>
      <c r="G5469" s="9" t="str">
        <f t="shared" si="411"/>
        <v>13-01</v>
      </c>
      <c r="H5469" s="1">
        <f>_xlfn.IFNA(VLOOKUP(E5469,'Urban Plastix Holds'!$I$36:$U$498,9,0),0)</f>
        <v>0</v>
      </c>
      <c r="J5469" s="2">
        <f t="shared" si="409"/>
        <v>0</v>
      </c>
      <c r="K5469" s="2">
        <f t="shared" si="410"/>
        <v>0</v>
      </c>
    </row>
    <row r="5470" spans="5:11">
      <c r="E5470" t="s">
        <v>1317</v>
      </c>
      <c r="F5470" t="s">
        <v>1508</v>
      </c>
      <c r="G5470" s="10" t="str">
        <f t="shared" si="411"/>
        <v>07-13</v>
      </c>
      <c r="H5470" s="1">
        <f>_xlfn.IFNA(VLOOKUP(E5470,'Urban Plastix Holds'!$I$36:$U$498,10,0),0)</f>
        <v>0</v>
      </c>
      <c r="J5470" s="2">
        <f t="shared" si="409"/>
        <v>0</v>
      </c>
      <c r="K5470" s="2">
        <f t="shared" si="410"/>
        <v>0</v>
      </c>
    </row>
    <row r="5471" spans="5:11">
      <c r="E5471" t="s">
        <v>1317</v>
      </c>
      <c r="F5471" t="s">
        <v>1508</v>
      </c>
      <c r="G5471" s="11" t="str">
        <f t="shared" si="411"/>
        <v>11-25</v>
      </c>
      <c r="H5471" s="1">
        <f>_xlfn.IFNA(VLOOKUP(E5471,'Urban Plastix Holds'!$I$36:$U$498,11,0),0)</f>
        <v>0</v>
      </c>
      <c r="J5471" s="2">
        <f t="shared" si="409"/>
        <v>0</v>
      </c>
      <c r="K5471" s="2">
        <f t="shared" si="410"/>
        <v>0</v>
      </c>
    </row>
    <row r="5472" spans="5:11">
      <c r="E5472" t="s">
        <v>1317</v>
      </c>
      <c r="F5472" t="s">
        <v>1508</v>
      </c>
      <c r="G5472" s="13" t="str">
        <f t="shared" si="411"/>
        <v>18-01</v>
      </c>
      <c r="H5472" s="1">
        <f>_xlfn.IFNA(VLOOKUP(E5472,'Urban Plastix Holds'!$I$36:$U$498,12,0),0)</f>
        <v>0</v>
      </c>
      <c r="J5472" s="2">
        <f t="shared" si="409"/>
        <v>0</v>
      </c>
      <c r="K5472" s="2">
        <f t="shared" si="410"/>
        <v>0</v>
      </c>
    </row>
    <row r="5473" spans="5:11">
      <c r="E5473" t="s">
        <v>1317</v>
      </c>
      <c r="F5473" t="s">
        <v>1508</v>
      </c>
      <c r="G5473" s="12" t="str">
        <f t="shared" si="411"/>
        <v>12-01</v>
      </c>
      <c r="H5473" s="1">
        <f>_xlfn.IFNA(VLOOKUP(E5473,'Urban Plastix Holds'!$I$36:$U$498,13,0),0)</f>
        <v>0</v>
      </c>
      <c r="J5473" s="2">
        <f t="shared" si="409"/>
        <v>0</v>
      </c>
      <c r="K5473" s="2">
        <f t="shared" si="410"/>
        <v>0</v>
      </c>
    </row>
    <row r="5474" spans="5:11">
      <c r="E5474" t="s">
        <v>1275</v>
      </c>
      <c r="F5474" t="s">
        <v>1564</v>
      </c>
      <c r="G5474" s="5" t="str">
        <f t="shared" si="411"/>
        <v>11-12</v>
      </c>
      <c r="H5474" s="1">
        <f>_xlfn.IFNA(VLOOKUP(E5474,'Urban Plastix Holds'!$I$36:$U$498,5,0),0)</f>
        <v>0</v>
      </c>
      <c r="J5474" s="2">
        <f t="shared" si="409"/>
        <v>0</v>
      </c>
      <c r="K5474" s="2">
        <f t="shared" si="410"/>
        <v>0</v>
      </c>
    </row>
    <row r="5475" spans="5:11">
      <c r="E5475" t="s">
        <v>1275</v>
      </c>
      <c r="F5475" t="s">
        <v>1564</v>
      </c>
      <c r="G5475" s="6" t="str">
        <f t="shared" si="411"/>
        <v>14-01</v>
      </c>
      <c r="H5475" s="1">
        <f>_xlfn.IFNA(VLOOKUP(E5475,'Urban Plastix Holds'!$I$36:$U$498,6,0),0)</f>
        <v>0</v>
      </c>
      <c r="J5475" s="2">
        <f t="shared" si="409"/>
        <v>0</v>
      </c>
      <c r="K5475" s="2">
        <f t="shared" si="410"/>
        <v>0</v>
      </c>
    </row>
    <row r="5476" spans="5:11">
      <c r="E5476" t="s">
        <v>1275</v>
      </c>
      <c r="F5476" t="s">
        <v>1564</v>
      </c>
      <c r="G5476" s="7" t="str">
        <f t="shared" si="411"/>
        <v>15-12</v>
      </c>
      <c r="H5476" s="1">
        <f>_xlfn.IFNA(VLOOKUP(E5476,'Urban Plastix Holds'!$I$36:$U$498,7,0),0)</f>
        <v>0</v>
      </c>
      <c r="J5476" s="2">
        <f t="shared" si="409"/>
        <v>0</v>
      </c>
      <c r="K5476" s="2">
        <f t="shared" si="410"/>
        <v>0</v>
      </c>
    </row>
    <row r="5477" spans="5:11">
      <c r="E5477" t="s">
        <v>1275</v>
      </c>
      <c r="F5477" t="s">
        <v>1564</v>
      </c>
      <c r="G5477" s="8" t="str">
        <f t="shared" si="411"/>
        <v>16-16</v>
      </c>
      <c r="H5477" s="1">
        <f>_xlfn.IFNA(VLOOKUP(E5477,'Urban Plastix Holds'!$I$36:$U$498,8,0),0)</f>
        <v>0</v>
      </c>
      <c r="J5477" s="2">
        <f t="shared" si="409"/>
        <v>0</v>
      </c>
      <c r="K5477" s="2">
        <f t="shared" si="410"/>
        <v>0</v>
      </c>
    </row>
    <row r="5478" spans="5:11">
      <c r="E5478" t="s">
        <v>1275</v>
      </c>
      <c r="F5478" t="s">
        <v>1564</v>
      </c>
      <c r="G5478" s="9" t="str">
        <f t="shared" si="411"/>
        <v>13-01</v>
      </c>
      <c r="H5478" s="1">
        <f>_xlfn.IFNA(VLOOKUP(E5478,'Urban Plastix Holds'!$I$36:$U$498,9,0),0)</f>
        <v>0</v>
      </c>
      <c r="J5478" s="2">
        <f t="shared" si="409"/>
        <v>0</v>
      </c>
      <c r="K5478" s="2">
        <f t="shared" si="410"/>
        <v>0</v>
      </c>
    </row>
    <row r="5479" spans="5:11">
      <c r="E5479" t="s">
        <v>1275</v>
      </c>
      <c r="F5479" t="s">
        <v>1564</v>
      </c>
      <c r="G5479" s="10" t="str">
        <f t="shared" si="411"/>
        <v>07-13</v>
      </c>
      <c r="H5479" s="1">
        <f>_xlfn.IFNA(VLOOKUP(E5479,'Urban Plastix Holds'!$I$36:$U$498,10,0),0)</f>
        <v>0</v>
      </c>
      <c r="J5479" s="2">
        <f t="shared" si="409"/>
        <v>0</v>
      </c>
      <c r="K5479" s="2">
        <f t="shared" si="410"/>
        <v>0</v>
      </c>
    </row>
    <row r="5480" spans="5:11">
      <c r="E5480" t="s">
        <v>1275</v>
      </c>
      <c r="F5480" t="s">
        <v>1564</v>
      </c>
      <c r="G5480" s="11" t="str">
        <f t="shared" si="411"/>
        <v>11-25</v>
      </c>
      <c r="H5480" s="1">
        <f>_xlfn.IFNA(VLOOKUP(E5480,'Urban Plastix Holds'!$I$36:$U$498,11,0),0)</f>
        <v>0</v>
      </c>
      <c r="J5480" s="2">
        <f t="shared" si="409"/>
        <v>0</v>
      </c>
      <c r="K5480" s="2">
        <f t="shared" si="410"/>
        <v>0</v>
      </c>
    </row>
    <row r="5481" spans="5:11">
      <c r="E5481" t="s">
        <v>1275</v>
      </c>
      <c r="F5481" t="s">
        <v>1564</v>
      </c>
      <c r="G5481" s="13" t="str">
        <f t="shared" si="411"/>
        <v>18-01</v>
      </c>
      <c r="H5481" s="1">
        <f>_xlfn.IFNA(VLOOKUP(E5481,'Urban Plastix Holds'!$I$36:$U$498,12,0),0)</f>
        <v>0</v>
      </c>
      <c r="J5481" s="2">
        <f t="shared" si="409"/>
        <v>0</v>
      </c>
      <c r="K5481" s="2">
        <f t="shared" si="410"/>
        <v>0</v>
      </c>
    </row>
    <row r="5482" spans="5:11">
      <c r="E5482" t="s">
        <v>1275</v>
      </c>
      <c r="F5482" t="s">
        <v>1564</v>
      </c>
      <c r="G5482" s="12" t="str">
        <f t="shared" si="411"/>
        <v>12-01</v>
      </c>
      <c r="H5482" s="1">
        <f>_xlfn.IFNA(VLOOKUP(E5482,'Urban Plastix Holds'!$I$36:$U$498,13,0),0)</f>
        <v>0</v>
      </c>
      <c r="J5482" s="2">
        <f t="shared" si="409"/>
        <v>0</v>
      </c>
      <c r="K5482" s="2">
        <f t="shared" si="410"/>
        <v>0</v>
      </c>
    </row>
    <row r="5483" spans="5:11">
      <c r="E5483" t="s">
        <v>1316</v>
      </c>
      <c r="F5483" t="s">
        <v>1509</v>
      </c>
      <c r="G5483" s="5" t="str">
        <f t="shared" si="411"/>
        <v>11-12</v>
      </c>
      <c r="H5483" s="1">
        <f>_xlfn.IFNA(VLOOKUP(E5483,'Urban Plastix Holds'!$I$36:$U$498,5,0),0)</f>
        <v>0</v>
      </c>
      <c r="J5483" s="2">
        <f t="shared" si="409"/>
        <v>0</v>
      </c>
      <c r="K5483" s="2">
        <f t="shared" si="410"/>
        <v>0</v>
      </c>
    </row>
    <row r="5484" spans="5:11">
      <c r="E5484" t="s">
        <v>1316</v>
      </c>
      <c r="F5484" t="s">
        <v>1509</v>
      </c>
      <c r="G5484" s="6" t="str">
        <f t="shared" si="411"/>
        <v>14-01</v>
      </c>
      <c r="H5484" s="1">
        <f>_xlfn.IFNA(VLOOKUP(E5484,'Urban Plastix Holds'!$I$36:$U$498,6,0),0)</f>
        <v>0</v>
      </c>
      <c r="J5484" s="2">
        <f t="shared" si="409"/>
        <v>0</v>
      </c>
      <c r="K5484" s="2">
        <f t="shared" si="410"/>
        <v>0</v>
      </c>
    </row>
    <row r="5485" spans="5:11">
      <c r="E5485" t="s">
        <v>1316</v>
      </c>
      <c r="F5485" t="s">
        <v>1509</v>
      </c>
      <c r="G5485" s="7" t="str">
        <f t="shared" si="411"/>
        <v>15-12</v>
      </c>
      <c r="H5485" s="1">
        <f>_xlfn.IFNA(VLOOKUP(E5485,'Urban Plastix Holds'!$I$36:$U$498,7,0),0)</f>
        <v>0</v>
      </c>
      <c r="J5485" s="2">
        <f t="shared" si="409"/>
        <v>0</v>
      </c>
      <c r="K5485" s="2">
        <f t="shared" si="410"/>
        <v>0</v>
      </c>
    </row>
    <row r="5486" spans="5:11">
      <c r="E5486" t="s">
        <v>1316</v>
      </c>
      <c r="F5486" t="s">
        <v>1509</v>
      </c>
      <c r="G5486" s="8" t="str">
        <f t="shared" si="411"/>
        <v>16-16</v>
      </c>
      <c r="H5486" s="1">
        <f>_xlfn.IFNA(VLOOKUP(E5486,'Urban Plastix Holds'!$I$36:$U$498,8,0),0)</f>
        <v>0</v>
      </c>
      <c r="J5486" s="2">
        <f t="shared" ref="J5486:J5549" si="412">H5486*I5486</f>
        <v>0</v>
      </c>
      <c r="K5486" s="2">
        <f t="shared" ref="K5486:K5549" si="413">IF($V$11="Y",J5486*0.05,0)</f>
        <v>0</v>
      </c>
    </row>
    <row r="5487" spans="5:11">
      <c r="E5487" t="s">
        <v>1316</v>
      </c>
      <c r="F5487" t="s">
        <v>1509</v>
      </c>
      <c r="G5487" s="9" t="str">
        <f t="shared" si="411"/>
        <v>13-01</v>
      </c>
      <c r="H5487" s="1">
        <f>_xlfn.IFNA(VLOOKUP(E5487,'Urban Plastix Holds'!$I$36:$U$498,9,0),0)</f>
        <v>0</v>
      </c>
      <c r="J5487" s="2">
        <f t="shared" si="412"/>
        <v>0</v>
      </c>
      <c r="K5487" s="2">
        <f t="shared" si="413"/>
        <v>0</v>
      </c>
    </row>
    <row r="5488" spans="5:11">
      <c r="E5488" t="s">
        <v>1316</v>
      </c>
      <c r="F5488" t="s">
        <v>1509</v>
      </c>
      <c r="G5488" s="10" t="str">
        <f t="shared" si="411"/>
        <v>07-13</v>
      </c>
      <c r="H5488" s="1">
        <f>_xlfn.IFNA(VLOOKUP(E5488,'Urban Plastix Holds'!$I$36:$U$498,10,0),0)</f>
        <v>0</v>
      </c>
      <c r="J5488" s="2">
        <f t="shared" si="412"/>
        <v>0</v>
      </c>
      <c r="K5488" s="2">
        <f t="shared" si="413"/>
        <v>0</v>
      </c>
    </row>
    <row r="5489" spans="5:11">
      <c r="E5489" t="s">
        <v>1316</v>
      </c>
      <c r="F5489" t="s">
        <v>1509</v>
      </c>
      <c r="G5489" s="11" t="str">
        <f t="shared" si="411"/>
        <v>11-25</v>
      </c>
      <c r="H5489" s="1">
        <f>_xlfn.IFNA(VLOOKUP(E5489,'Urban Plastix Holds'!$I$36:$U$498,11,0),0)</f>
        <v>0</v>
      </c>
      <c r="J5489" s="2">
        <f t="shared" si="412"/>
        <v>0</v>
      </c>
      <c r="K5489" s="2">
        <f t="shared" si="413"/>
        <v>0</v>
      </c>
    </row>
    <row r="5490" spans="5:11">
      <c r="E5490" t="s">
        <v>1316</v>
      </c>
      <c r="F5490" t="s">
        <v>1509</v>
      </c>
      <c r="G5490" s="13" t="str">
        <f t="shared" si="411"/>
        <v>18-01</v>
      </c>
      <c r="H5490" s="1">
        <f>_xlfn.IFNA(VLOOKUP(E5490,'Urban Plastix Holds'!$I$36:$U$498,12,0),0)</f>
        <v>0</v>
      </c>
      <c r="J5490" s="2">
        <f t="shared" si="412"/>
        <v>0</v>
      </c>
      <c r="K5490" s="2">
        <f t="shared" si="413"/>
        <v>0</v>
      </c>
    </row>
    <row r="5491" spans="5:11">
      <c r="E5491" t="s">
        <v>1316</v>
      </c>
      <c r="F5491" t="s">
        <v>1509</v>
      </c>
      <c r="G5491" s="12" t="str">
        <f t="shared" si="411"/>
        <v>12-01</v>
      </c>
      <c r="H5491" s="1">
        <f>_xlfn.IFNA(VLOOKUP(E5491,'Urban Plastix Holds'!$I$36:$U$498,13,0),0)</f>
        <v>0</v>
      </c>
      <c r="J5491" s="2">
        <f t="shared" si="412"/>
        <v>0</v>
      </c>
      <c r="K5491" s="2">
        <f t="shared" si="413"/>
        <v>0</v>
      </c>
    </row>
    <row r="5492" spans="5:11">
      <c r="E5492" t="s">
        <v>1280</v>
      </c>
      <c r="F5492" t="s">
        <v>1510</v>
      </c>
      <c r="G5492" s="5" t="str">
        <f t="shared" si="411"/>
        <v>11-12</v>
      </c>
      <c r="H5492" s="1">
        <f>_xlfn.IFNA(VLOOKUP(E5492,'Urban Plastix Holds'!$I$36:$U$498,5,0),0)</f>
        <v>0</v>
      </c>
      <c r="J5492" s="2">
        <f t="shared" si="412"/>
        <v>0</v>
      </c>
      <c r="K5492" s="2">
        <f t="shared" si="413"/>
        <v>0</v>
      </c>
    </row>
    <row r="5493" spans="5:11">
      <c r="E5493" t="s">
        <v>1280</v>
      </c>
      <c r="F5493" t="s">
        <v>1510</v>
      </c>
      <c r="G5493" s="6" t="str">
        <f t="shared" si="411"/>
        <v>14-01</v>
      </c>
      <c r="H5493" s="1">
        <f>_xlfn.IFNA(VLOOKUP(E5493,'Urban Plastix Holds'!$I$36:$U$498,6,0),0)</f>
        <v>0</v>
      </c>
      <c r="J5493" s="2">
        <f t="shared" si="412"/>
        <v>0</v>
      </c>
      <c r="K5493" s="2">
        <f t="shared" si="413"/>
        <v>0</v>
      </c>
    </row>
    <row r="5494" spans="5:11">
      <c r="E5494" t="s">
        <v>1280</v>
      </c>
      <c r="F5494" t="s">
        <v>1510</v>
      </c>
      <c r="G5494" s="7" t="str">
        <f t="shared" si="411"/>
        <v>15-12</v>
      </c>
      <c r="H5494" s="1">
        <f>_xlfn.IFNA(VLOOKUP(E5494,'Urban Plastix Holds'!$I$36:$U$498,7,0),0)</f>
        <v>0</v>
      </c>
      <c r="J5494" s="2">
        <f t="shared" si="412"/>
        <v>0</v>
      </c>
      <c r="K5494" s="2">
        <f t="shared" si="413"/>
        <v>0</v>
      </c>
    </row>
    <row r="5495" spans="5:11">
      <c r="E5495" t="s">
        <v>1280</v>
      </c>
      <c r="F5495" t="s">
        <v>1510</v>
      </c>
      <c r="G5495" s="8" t="str">
        <f t="shared" si="411"/>
        <v>16-16</v>
      </c>
      <c r="H5495" s="1">
        <f>_xlfn.IFNA(VLOOKUP(E5495,'Urban Plastix Holds'!$I$36:$U$498,8,0),0)</f>
        <v>0</v>
      </c>
      <c r="J5495" s="2">
        <f t="shared" si="412"/>
        <v>0</v>
      </c>
      <c r="K5495" s="2">
        <f t="shared" si="413"/>
        <v>0</v>
      </c>
    </row>
    <row r="5496" spans="5:11">
      <c r="E5496" t="s">
        <v>1280</v>
      </c>
      <c r="F5496" t="s">
        <v>1510</v>
      </c>
      <c r="G5496" s="9" t="str">
        <f t="shared" si="411"/>
        <v>13-01</v>
      </c>
      <c r="H5496" s="1">
        <f>_xlfn.IFNA(VLOOKUP(E5496,'Urban Plastix Holds'!$I$36:$U$498,9,0),0)</f>
        <v>0</v>
      </c>
      <c r="J5496" s="2">
        <f t="shared" si="412"/>
        <v>0</v>
      </c>
      <c r="K5496" s="2">
        <f t="shared" si="413"/>
        <v>0</v>
      </c>
    </row>
    <row r="5497" spans="5:11">
      <c r="E5497" t="s">
        <v>1280</v>
      </c>
      <c r="F5497" t="s">
        <v>1510</v>
      </c>
      <c r="G5497" s="10" t="str">
        <f t="shared" si="411"/>
        <v>07-13</v>
      </c>
      <c r="H5497" s="1">
        <f>_xlfn.IFNA(VLOOKUP(E5497,'Urban Plastix Holds'!$I$36:$U$498,10,0),0)</f>
        <v>0</v>
      </c>
      <c r="J5497" s="2">
        <f t="shared" si="412"/>
        <v>0</v>
      </c>
      <c r="K5497" s="2">
        <f t="shared" si="413"/>
        <v>0</v>
      </c>
    </row>
    <row r="5498" spans="5:11">
      <c r="E5498" t="s">
        <v>1280</v>
      </c>
      <c r="F5498" t="s">
        <v>1510</v>
      </c>
      <c r="G5498" s="11" t="str">
        <f t="shared" si="411"/>
        <v>11-25</v>
      </c>
      <c r="H5498" s="1">
        <f>_xlfn.IFNA(VLOOKUP(E5498,'Urban Plastix Holds'!$I$36:$U$498,11,0),0)</f>
        <v>0</v>
      </c>
      <c r="J5498" s="2">
        <f t="shared" si="412"/>
        <v>0</v>
      </c>
      <c r="K5498" s="2">
        <f t="shared" si="413"/>
        <v>0</v>
      </c>
    </row>
    <row r="5499" spans="5:11">
      <c r="E5499" t="s">
        <v>1280</v>
      </c>
      <c r="F5499" t="s">
        <v>1510</v>
      </c>
      <c r="G5499" s="13" t="str">
        <f t="shared" si="411"/>
        <v>18-01</v>
      </c>
      <c r="H5499" s="1">
        <f>_xlfn.IFNA(VLOOKUP(E5499,'Urban Plastix Holds'!$I$36:$U$498,12,0),0)</f>
        <v>0</v>
      </c>
      <c r="J5499" s="2">
        <f t="shared" si="412"/>
        <v>0</v>
      </c>
      <c r="K5499" s="2">
        <f t="shared" si="413"/>
        <v>0</v>
      </c>
    </row>
    <row r="5500" spans="5:11">
      <c r="E5500" t="s">
        <v>1280</v>
      </c>
      <c r="F5500" t="s">
        <v>1510</v>
      </c>
      <c r="G5500" s="12" t="str">
        <f t="shared" si="411"/>
        <v>12-01</v>
      </c>
      <c r="H5500" s="1">
        <f>_xlfn.IFNA(VLOOKUP(E5500,'Urban Plastix Holds'!$I$36:$U$498,13,0),0)</f>
        <v>0</v>
      </c>
      <c r="J5500" s="2">
        <f t="shared" si="412"/>
        <v>0</v>
      </c>
      <c r="K5500" s="2">
        <f t="shared" si="413"/>
        <v>0</v>
      </c>
    </row>
    <row r="5501" spans="5:11">
      <c r="E5501" t="s">
        <v>1281</v>
      </c>
      <c r="F5501" t="s">
        <v>1511</v>
      </c>
      <c r="G5501" s="5" t="str">
        <f t="shared" si="411"/>
        <v>11-12</v>
      </c>
      <c r="H5501" s="1">
        <f>_xlfn.IFNA(VLOOKUP(E5501,'Urban Plastix Holds'!$I$36:$U$498,5,0),0)</f>
        <v>0</v>
      </c>
      <c r="J5501" s="2">
        <f t="shared" si="412"/>
        <v>0</v>
      </c>
      <c r="K5501" s="2">
        <f t="shared" si="413"/>
        <v>0</v>
      </c>
    </row>
    <row r="5502" spans="5:11">
      <c r="E5502" t="s">
        <v>1281</v>
      </c>
      <c r="F5502" t="s">
        <v>1511</v>
      </c>
      <c r="G5502" s="6" t="str">
        <f t="shared" si="411"/>
        <v>14-01</v>
      </c>
      <c r="H5502" s="1">
        <f>_xlfn.IFNA(VLOOKUP(E5502,'Urban Plastix Holds'!$I$36:$U$498,6,0),0)</f>
        <v>0</v>
      </c>
      <c r="J5502" s="2">
        <f t="shared" si="412"/>
        <v>0</v>
      </c>
      <c r="K5502" s="2">
        <f t="shared" si="413"/>
        <v>0</v>
      </c>
    </row>
    <row r="5503" spans="5:11">
      <c r="E5503" t="s">
        <v>1281</v>
      </c>
      <c r="F5503" t="s">
        <v>1511</v>
      </c>
      <c r="G5503" s="7" t="str">
        <f t="shared" si="411"/>
        <v>15-12</v>
      </c>
      <c r="H5503" s="1">
        <f>_xlfn.IFNA(VLOOKUP(E5503,'Urban Plastix Holds'!$I$36:$U$498,7,0),0)</f>
        <v>0</v>
      </c>
      <c r="J5503" s="2">
        <f t="shared" si="412"/>
        <v>0</v>
      </c>
      <c r="K5503" s="2">
        <f t="shared" si="413"/>
        <v>0</v>
      </c>
    </row>
    <row r="5504" spans="5:11">
      <c r="E5504" t="s">
        <v>1281</v>
      </c>
      <c r="F5504" t="s">
        <v>1511</v>
      </c>
      <c r="G5504" s="8" t="str">
        <f t="shared" si="411"/>
        <v>16-16</v>
      </c>
      <c r="H5504" s="1">
        <f>_xlfn.IFNA(VLOOKUP(E5504,'Urban Plastix Holds'!$I$36:$U$498,8,0),0)</f>
        <v>0</v>
      </c>
      <c r="J5504" s="2">
        <f t="shared" si="412"/>
        <v>0</v>
      </c>
      <c r="K5504" s="2">
        <f t="shared" si="413"/>
        <v>0</v>
      </c>
    </row>
    <row r="5505" spans="5:11">
      <c r="E5505" t="s">
        <v>1281</v>
      </c>
      <c r="F5505" t="s">
        <v>1511</v>
      </c>
      <c r="G5505" s="9" t="str">
        <f t="shared" si="411"/>
        <v>13-01</v>
      </c>
      <c r="H5505" s="1">
        <f>_xlfn.IFNA(VLOOKUP(E5505,'Urban Plastix Holds'!$I$36:$U$498,9,0),0)</f>
        <v>0</v>
      </c>
      <c r="J5505" s="2">
        <f t="shared" si="412"/>
        <v>0</v>
      </c>
      <c r="K5505" s="2">
        <f t="shared" si="413"/>
        <v>0</v>
      </c>
    </row>
    <row r="5506" spans="5:11">
      <c r="E5506" t="s">
        <v>1281</v>
      </c>
      <c r="F5506" t="s">
        <v>1511</v>
      </c>
      <c r="G5506" s="10" t="str">
        <f t="shared" si="411"/>
        <v>07-13</v>
      </c>
      <c r="H5506" s="1">
        <f>_xlfn.IFNA(VLOOKUP(E5506,'Urban Plastix Holds'!$I$36:$U$498,10,0),0)</f>
        <v>0</v>
      </c>
      <c r="J5506" s="2">
        <f t="shared" si="412"/>
        <v>0</v>
      </c>
      <c r="K5506" s="2">
        <f t="shared" si="413"/>
        <v>0</v>
      </c>
    </row>
    <row r="5507" spans="5:11">
      <c r="E5507" t="s">
        <v>1281</v>
      </c>
      <c r="F5507" t="s">
        <v>1511</v>
      </c>
      <c r="G5507" s="11" t="str">
        <f t="shared" si="411"/>
        <v>11-25</v>
      </c>
      <c r="H5507" s="1">
        <f>_xlfn.IFNA(VLOOKUP(E5507,'Urban Plastix Holds'!$I$36:$U$498,11,0),0)</f>
        <v>0</v>
      </c>
      <c r="J5507" s="2">
        <f t="shared" si="412"/>
        <v>0</v>
      </c>
      <c r="K5507" s="2">
        <f t="shared" si="413"/>
        <v>0</v>
      </c>
    </row>
    <row r="5508" spans="5:11">
      <c r="E5508" t="s">
        <v>1281</v>
      </c>
      <c r="F5508" t="s">
        <v>1511</v>
      </c>
      <c r="G5508" s="13" t="str">
        <f t="shared" si="411"/>
        <v>18-01</v>
      </c>
      <c r="H5508" s="1">
        <f>_xlfn.IFNA(VLOOKUP(E5508,'Urban Plastix Holds'!$I$36:$U$498,12,0),0)</f>
        <v>0</v>
      </c>
      <c r="J5508" s="2">
        <f t="shared" si="412"/>
        <v>0</v>
      </c>
      <c r="K5508" s="2">
        <f t="shared" si="413"/>
        <v>0</v>
      </c>
    </row>
    <row r="5509" spans="5:11">
      <c r="E5509" t="s">
        <v>1281</v>
      </c>
      <c r="F5509" t="s">
        <v>1511</v>
      </c>
      <c r="G5509" s="12" t="str">
        <f t="shared" si="411"/>
        <v>12-01</v>
      </c>
      <c r="H5509" s="1">
        <f>_xlfn.IFNA(VLOOKUP(E5509,'Urban Plastix Holds'!$I$36:$U$498,13,0),0)</f>
        <v>0</v>
      </c>
      <c r="J5509" s="2">
        <f t="shared" si="412"/>
        <v>0</v>
      </c>
      <c r="K5509" s="2">
        <f t="shared" si="413"/>
        <v>0</v>
      </c>
    </row>
    <row r="5510" spans="5:11">
      <c r="E5510" t="s">
        <v>1319</v>
      </c>
      <c r="F5510" t="s">
        <v>1512</v>
      </c>
      <c r="G5510" s="5" t="str">
        <f t="shared" si="411"/>
        <v>11-12</v>
      </c>
      <c r="H5510" s="1">
        <f>_xlfn.IFNA(VLOOKUP(E5510,'Urban Plastix Holds'!$I$36:$U$498,5,0),0)</f>
        <v>0</v>
      </c>
      <c r="J5510" s="2">
        <f t="shared" si="412"/>
        <v>0</v>
      </c>
      <c r="K5510" s="2">
        <f t="shared" si="413"/>
        <v>0</v>
      </c>
    </row>
    <row r="5511" spans="5:11">
      <c r="E5511" t="s">
        <v>1319</v>
      </c>
      <c r="F5511" t="s">
        <v>1512</v>
      </c>
      <c r="G5511" s="6" t="str">
        <f t="shared" si="411"/>
        <v>14-01</v>
      </c>
      <c r="H5511" s="1">
        <f>_xlfn.IFNA(VLOOKUP(E5511,'Urban Plastix Holds'!$I$36:$U$498,6,0),0)</f>
        <v>0</v>
      </c>
      <c r="J5511" s="2">
        <f t="shared" si="412"/>
        <v>0</v>
      </c>
      <c r="K5511" s="2">
        <f t="shared" si="413"/>
        <v>0</v>
      </c>
    </row>
    <row r="5512" spans="5:11">
      <c r="E5512" t="s">
        <v>1319</v>
      </c>
      <c r="F5512" t="s">
        <v>1512</v>
      </c>
      <c r="G5512" s="7" t="str">
        <f t="shared" si="411"/>
        <v>15-12</v>
      </c>
      <c r="H5512" s="1">
        <f>_xlfn.IFNA(VLOOKUP(E5512,'Urban Plastix Holds'!$I$36:$U$498,7,0),0)</f>
        <v>0</v>
      </c>
      <c r="J5512" s="2">
        <f t="shared" si="412"/>
        <v>0</v>
      </c>
      <c r="K5512" s="2">
        <f t="shared" si="413"/>
        <v>0</v>
      </c>
    </row>
    <row r="5513" spans="5:11">
      <c r="E5513" t="s">
        <v>1319</v>
      </c>
      <c r="F5513" t="s">
        <v>1512</v>
      </c>
      <c r="G5513" s="8" t="str">
        <f t="shared" si="411"/>
        <v>16-16</v>
      </c>
      <c r="H5513" s="1">
        <f>_xlfn.IFNA(VLOOKUP(E5513,'Urban Plastix Holds'!$I$36:$U$498,8,0),0)</f>
        <v>0</v>
      </c>
      <c r="J5513" s="2">
        <f t="shared" si="412"/>
        <v>0</v>
      </c>
      <c r="K5513" s="2">
        <f t="shared" si="413"/>
        <v>0</v>
      </c>
    </row>
    <row r="5514" spans="5:11">
      <c r="E5514" t="s">
        <v>1319</v>
      </c>
      <c r="F5514" t="s">
        <v>1512</v>
      </c>
      <c r="G5514" s="9" t="str">
        <f t="shared" si="411"/>
        <v>13-01</v>
      </c>
      <c r="H5514" s="1">
        <f>_xlfn.IFNA(VLOOKUP(E5514,'Urban Plastix Holds'!$I$36:$U$498,9,0),0)</f>
        <v>0</v>
      </c>
      <c r="J5514" s="2">
        <f t="shared" si="412"/>
        <v>0</v>
      </c>
      <c r="K5514" s="2">
        <f t="shared" si="413"/>
        <v>0</v>
      </c>
    </row>
    <row r="5515" spans="5:11">
      <c r="E5515" t="s">
        <v>1319</v>
      </c>
      <c r="F5515" t="s">
        <v>1512</v>
      </c>
      <c r="G5515" s="10" t="str">
        <f t="shared" si="411"/>
        <v>07-13</v>
      </c>
      <c r="H5515" s="1">
        <f>_xlfn.IFNA(VLOOKUP(E5515,'Urban Plastix Holds'!$I$36:$U$498,10,0),0)</f>
        <v>0</v>
      </c>
      <c r="J5515" s="2">
        <f t="shared" si="412"/>
        <v>0</v>
      </c>
      <c r="K5515" s="2">
        <f t="shared" si="413"/>
        <v>0</v>
      </c>
    </row>
    <row r="5516" spans="5:11">
      <c r="E5516" t="s">
        <v>1319</v>
      </c>
      <c r="F5516" t="s">
        <v>1512</v>
      </c>
      <c r="G5516" s="11" t="str">
        <f t="shared" si="411"/>
        <v>11-25</v>
      </c>
      <c r="H5516" s="1">
        <f>_xlfn.IFNA(VLOOKUP(E5516,'Urban Plastix Holds'!$I$36:$U$498,11,0),0)</f>
        <v>0</v>
      </c>
      <c r="J5516" s="2">
        <f t="shared" si="412"/>
        <v>0</v>
      </c>
      <c r="K5516" s="2">
        <f t="shared" si="413"/>
        <v>0</v>
      </c>
    </row>
    <row r="5517" spans="5:11">
      <c r="E5517" t="s">
        <v>1319</v>
      </c>
      <c r="F5517" t="s">
        <v>1512</v>
      </c>
      <c r="G5517" s="13" t="str">
        <f t="shared" si="411"/>
        <v>18-01</v>
      </c>
      <c r="H5517" s="1">
        <f>_xlfn.IFNA(VLOOKUP(E5517,'Urban Plastix Holds'!$I$36:$U$498,12,0),0)</f>
        <v>0</v>
      </c>
      <c r="J5517" s="2">
        <f t="shared" si="412"/>
        <v>0</v>
      </c>
      <c r="K5517" s="2">
        <f t="shared" si="413"/>
        <v>0</v>
      </c>
    </row>
    <row r="5518" spans="5:11">
      <c r="E5518" t="s">
        <v>1319</v>
      </c>
      <c r="F5518" t="s">
        <v>1512</v>
      </c>
      <c r="G5518" s="12" t="str">
        <f t="shared" si="411"/>
        <v>12-01</v>
      </c>
      <c r="H5518" s="1">
        <f>_xlfn.IFNA(VLOOKUP(E5518,'Urban Plastix Holds'!$I$36:$U$498,13,0),0)</f>
        <v>0</v>
      </c>
      <c r="J5518" s="2">
        <f t="shared" si="412"/>
        <v>0</v>
      </c>
      <c r="K5518" s="2">
        <f t="shared" si="413"/>
        <v>0</v>
      </c>
    </row>
    <row r="5519" spans="5:11">
      <c r="E5519" t="s">
        <v>1279</v>
      </c>
      <c r="F5519" t="s">
        <v>1513</v>
      </c>
      <c r="G5519" s="5" t="str">
        <f t="shared" si="411"/>
        <v>11-12</v>
      </c>
      <c r="H5519" s="1">
        <f>_xlfn.IFNA(VLOOKUP(E5519,'Urban Plastix Holds'!$I$36:$U$498,5,0),0)</f>
        <v>0</v>
      </c>
      <c r="J5519" s="2">
        <f t="shared" si="412"/>
        <v>0</v>
      </c>
      <c r="K5519" s="2">
        <f t="shared" si="413"/>
        <v>0</v>
      </c>
    </row>
    <row r="5520" spans="5:11">
      <c r="E5520" t="s">
        <v>1279</v>
      </c>
      <c r="F5520" t="s">
        <v>1513</v>
      </c>
      <c r="G5520" s="6" t="str">
        <f t="shared" si="411"/>
        <v>14-01</v>
      </c>
      <c r="H5520" s="1">
        <f>_xlfn.IFNA(VLOOKUP(E5520,'Urban Plastix Holds'!$I$36:$U$498,6,0),0)</f>
        <v>0</v>
      </c>
      <c r="J5520" s="2">
        <f t="shared" si="412"/>
        <v>0</v>
      </c>
      <c r="K5520" s="2">
        <f t="shared" si="413"/>
        <v>0</v>
      </c>
    </row>
    <row r="5521" spans="5:11">
      <c r="E5521" t="s">
        <v>1279</v>
      </c>
      <c r="F5521" t="s">
        <v>1513</v>
      </c>
      <c r="G5521" s="7" t="str">
        <f t="shared" si="411"/>
        <v>15-12</v>
      </c>
      <c r="H5521" s="1">
        <f>_xlfn.IFNA(VLOOKUP(E5521,'Urban Plastix Holds'!$I$36:$U$498,7,0),0)</f>
        <v>0</v>
      </c>
      <c r="J5521" s="2">
        <f t="shared" si="412"/>
        <v>0</v>
      </c>
      <c r="K5521" s="2">
        <f t="shared" si="413"/>
        <v>0</v>
      </c>
    </row>
    <row r="5522" spans="5:11">
      <c r="E5522" t="s">
        <v>1279</v>
      </c>
      <c r="F5522" t="s">
        <v>1513</v>
      </c>
      <c r="G5522" s="8" t="str">
        <f t="shared" si="411"/>
        <v>16-16</v>
      </c>
      <c r="H5522" s="1">
        <f>_xlfn.IFNA(VLOOKUP(E5522,'Urban Plastix Holds'!$I$36:$U$498,8,0),0)</f>
        <v>0</v>
      </c>
      <c r="J5522" s="2">
        <f t="shared" si="412"/>
        <v>0</v>
      </c>
      <c r="K5522" s="2">
        <f t="shared" si="413"/>
        <v>0</v>
      </c>
    </row>
    <row r="5523" spans="5:11">
      <c r="E5523" t="s">
        <v>1279</v>
      </c>
      <c r="F5523" t="s">
        <v>1513</v>
      </c>
      <c r="G5523" s="9" t="str">
        <f t="shared" si="411"/>
        <v>13-01</v>
      </c>
      <c r="H5523" s="1">
        <f>_xlfn.IFNA(VLOOKUP(E5523,'Urban Plastix Holds'!$I$36:$U$498,9,0),0)</f>
        <v>0</v>
      </c>
      <c r="J5523" s="2">
        <f t="shared" si="412"/>
        <v>0</v>
      </c>
      <c r="K5523" s="2">
        <f t="shared" si="413"/>
        <v>0</v>
      </c>
    </row>
    <row r="5524" spans="5:11">
      <c r="E5524" t="s">
        <v>1279</v>
      </c>
      <c r="F5524" t="s">
        <v>1513</v>
      </c>
      <c r="G5524" s="10" t="str">
        <f t="shared" si="411"/>
        <v>07-13</v>
      </c>
      <c r="H5524" s="1">
        <f>_xlfn.IFNA(VLOOKUP(E5524,'Urban Plastix Holds'!$I$36:$U$498,10,0),0)</f>
        <v>0</v>
      </c>
      <c r="J5524" s="2">
        <f t="shared" si="412"/>
        <v>0</v>
      </c>
      <c r="K5524" s="2">
        <f t="shared" si="413"/>
        <v>0</v>
      </c>
    </row>
    <row r="5525" spans="5:11">
      <c r="E5525" t="s">
        <v>1279</v>
      </c>
      <c r="F5525" t="s">
        <v>1513</v>
      </c>
      <c r="G5525" s="11" t="str">
        <f t="shared" si="411"/>
        <v>11-25</v>
      </c>
      <c r="H5525" s="1">
        <f>_xlfn.IFNA(VLOOKUP(E5525,'Urban Plastix Holds'!$I$36:$U$498,11,0),0)</f>
        <v>0</v>
      </c>
      <c r="J5525" s="2">
        <f t="shared" si="412"/>
        <v>0</v>
      </c>
      <c r="K5525" s="2">
        <f t="shared" si="413"/>
        <v>0</v>
      </c>
    </row>
    <row r="5526" spans="5:11">
      <c r="E5526" t="s">
        <v>1279</v>
      </c>
      <c r="F5526" t="s">
        <v>1513</v>
      </c>
      <c r="G5526" s="13" t="str">
        <f t="shared" si="411"/>
        <v>18-01</v>
      </c>
      <c r="H5526" s="1">
        <f>_xlfn.IFNA(VLOOKUP(E5526,'Urban Plastix Holds'!$I$36:$U$498,12,0),0)</f>
        <v>0</v>
      </c>
      <c r="J5526" s="2">
        <f t="shared" si="412"/>
        <v>0</v>
      </c>
      <c r="K5526" s="2">
        <f t="shared" si="413"/>
        <v>0</v>
      </c>
    </row>
    <row r="5527" spans="5:11">
      <c r="E5527" t="s">
        <v>1279</v>
      </c>
      <c r="F5527" t="s">
        <v>1513</v>
      </c>
      <c r="G5527" s="12" t="str">
        <f t="shared" si="411"/>
        <v>12-01</v>
      </c>
      <c r="H5527" s="1">
        <f>_xlfn.IFNA(VLOOKUP(E5527,'Urban Plastix Holds'!$I$36:$U$498,13,0),0)</f>
        <v>0</v>
      </c>
      <c r="J5527" s="2">
        <f t="shared" si="412"/>
        <v>0</v>
      </c>
      <c r="K5527" s="2">
        <f t="shared" si="413"/>
        <v>0</v>
      </c>
    </row>
    <row r="5528" spans="5:11">
      <c r="E5528" t="s">
        <v>1291</v>
      </c>
      <c r="F5528" t="s">
        <v>1514</v>
      </c>
      <c r="G5528" s="5" t="str">
        <f t="shared" ref="G5528:G5591" si="414">G5519</f>
        <v>11-12</v>
      </c>
      <c r="H5528" s="1">
        <f>_xlfn.IFNA(VLOOKUP(E5528,'Urban Plastix Holds'!$I$36:$U$498,5,0),0)</f>
        <v>0</v>
      </c>
      <c r="J5528" s="2">
        <f t="shared" si="412"/>
        <v>0</v>
      </c>
      <c r="K5528" s="2">
        <f t="shared" si="413"/>
        <v>0</v>
      </c>
    </row>
    <row r="5529" spans="5:11">
      <c r="E5529" t="s">
        <v>1291</v>
      </c>
      <c r="F5529" t="s">
        <v>1514</v>
      </c>
      <c r="G5529" s="6" t="str">
        <f t="shared" si="414"/>
        <v>14-01</v>
      </c>
      <c r="H5529" s="1">
        <f>_xlfn.IFNA(VLOOKUP(E5529,'Urban Plastix Holds'!$I$36:$U$498,6,0),0)</f>
        <v>0</v>
      </c>
      <c r="J5529" s="2">
        <f t="shared" si="412"/>
        <v>0</v>
      </c>
      <c r="K5529" s="2">
        <f t="shared" si="413"/>
        <v>0</v>
      </c>
    </row>
    <row r="5530" spans="5:11">
      <c r="E5530" t="s">
        <v>1291</v>
      </c>
      <c r="F5530" t="s">
        <v>1514</v>
      </c>
      <c r="G5530" s="7" t="str">
        <f t="shared" si="414"/>
        <v>15-12</v>
      </c>
      <c r="H5530" s="1">
        <f>_xlfn.IFNA(VLOOKUP(E5530,'Urban Plastix Holds'!$I$36:$U$498,7,0),0)</f>
        <v>0</v>
      </c>
      <c r="J5530" s="2">
        <f t="shared" si="412"/>
        <v>0</v>
      </c>
      <c r="K5530" s="2">
        <f t="shared" si="413"/>
        <v>0</v>
      </c>
    </row>
    <row r="5531" spans="5:11">
      <c r="E5531" t="s">
        <v>1291</v>
      </c>
      <c r="F5531" t="s">
        <v>1514</v>
      </c>
      <c r="G5531" s="8" t="str">
        <f t="shared" si="414"/>
        <v>16-16</v>
      </c>
      <c r="H5531" s="1">
        <f>_xlfn.IFNA(VLOOKUP(E5531,'Urban Plastix Holds'!$I$36:$U$498,8,0),0)</f>
        <v>0</v>
      </c>
      <c r="J5531" s="2">
        <f t="shared" si="412"/>
        <v>0</v>
      </c>
      <c r="K5531" s="2">
        <f t="shared" si="413"/>
        <v>0</v>
      </c>
    </row>
    <row r="5532" spans="5:11">
      <c r="E5532" t="s">
        <v>1291</v>
      </c>
      <c r="F5532" t="s">
        <v>1514</v>
      </c>
      <c r="G5532" s="9" t="str">
        <f t="shared" si="414"/>
        <v>13-01</v>
      </c>
      <c r="H5532" s="1">
        <f>_xlfn.IFNA(VLOOKUP(E5532,'Urban Plastix Holds'!$I$36:$U$498,9,0),0)</f>
        <v>0</v>
      </c>
      <c r="J5532" s="2">
        <f t="shared" si="412"/>
        <v>0</v>
      </c>
      <c r="K5532" s="2">
        <f t="shared" si="413"/>
        <v>0</v>
      </c>
    </row>
    <row r="5533" spans="5:11">
      <c r="E5533" t="s">
        <v>1291</v>
      </c>
      <c r="F5533" t="s">
        <v>1514</v>
      </c>
      <c r="G5533" s="10" t="str">
        <f t="shared" si="414"/>
        <v>07-13</v>
      </c>
      <c r="H5533" s="1">
        <f>_xlfn.IFNA(VLOOKUP(E5533,'Urban Plastix Holds'!$I$36:$U$498,10,0),0)</f>
        <v>0</v>
      </c>
      <c r="J5533" s="2">
        <f t="shared" si="412"/>
        <v>0</v>
      </c>
      <c r="K5533" s="2">
        <f t="shared" si="413"/>
        <v>0</v>
      </c>
    </row>
    <row r="5534" spans="5:11">
      <c r="E5534" t="s">
        <v>1291</v>
      </c>
      <c r="F5534" t="s">
        <v>1514</v>
      </c>
      <c r="G5534" s="11" t="str">
        <f t="shared" si="414"/>
        <v>11-25</v>
      </c>
      <c r="H5534" s="1">
        <f>_xlfn.IFNA(VLOOKUP(E5534,'Urban Plastix Holds'!$I$36:$U$498,11,0),0)</f>
        <v>0</v>
      </c>
      <c r="J5534" s="2">
        <f t="shared" si="412"/>
        <v>0</v>
      </c>
      <c r="K5534" s="2">
        <f t="shared" si="413"/>
        <v>0</v>
      </c>
    </row>
    <row r="5535" spans="5:11">
      <c r="E5535" t="s">
        <v>1291</v>
      </c>
      <c r="F5535" t="s">
        <v>1514</v>
      </c>
      <c r="G5535" s="13" t="str">
        <f t="shared" si="414"/>
        <v>18-01</v>
      </c>
      <c r="H5535" s="1">
        <f>_xlfn.IFNA(VLOOKUP(E5535,'Urban Plastix Holds'!$I$36:$U$498,12,0),0)</f>
        <v>0</v>
      </c>
      <c r="J5535" s="2">
        <f t="shared" si="412"/>
        <v>0</v>
      </c>
      <c r="K5535" s="2">
        <f t="shared" si="413"/>
        <v>0</v>
      </c>
    </row>
    <row r="5536" spans="5:11">
      <c r="E5536" t="s">
        <v>1291</v>
      </c>
      <c r="F5536" t="s">
        <v>1514</v>
      </c>
      <c r="G5536" s="12" t="str">
        <f t="shared" si="414"/>
        <v>12-01</v>
      </c>
      <c r="H5536" s="1">
        <f>_xlfn.IFNA(VLOOKUP(E5536,'Urban Plastix Holds'!$I$36:$U$498,13,0),0)</f>
        <v>0</v>
      </c>
      <c r="J5536" s="2">
        <f t="shared" si="412"/>
        <v>0</v>
      </c>
      <c r="K5536" s="2">
        <f t="shared" si="413"/>
        <v>0</v>
      </c>
    </row>
    <row r="5537" spans="5:11">
      <c r="E5537" t="s">
        <v>1282</v>
      </c>
      <c r="F5537" t="s">
        <v>1515</v>
      </c>
      <c r="G5537" s="5" t="str">
        <f t="shared" si="414"/>
        <v>11-12</v>
      </c>
      <c r="H5537" s="1">
        <f>_xlfn.IFNA(VLOOKUP(E5537,'Urban Plastix Holds'!$I$36:$U$498,5,0),0)</f>
        <v>0</v>
      </c>
      <c r="J5537" s="2">
        <f t="shared" si="412"/>
        <v>0</v>
      </c>
      <c r="K5537" s="2">
        <f t="shared" si="413"/>
        <v>0</v>
      </c>
    </row>
    <row r="5538" spans="5:11">
      <c r="E5538" t="s">
        <v>1282</v>
      </c>
      <c r="F5538" t="s">
        <v>1515</v>
      </c>
      <c r="G5538" s="6" t="str">
        <f t="shared" si="414"/>
        <v>14-01</v>
      </c>
      <c r="H5538" s="1">
        <f>_xlfn.IFNA(VLOOKUP(E5538,'Urban Plastix Holds'!$I$36:$U$498,6,0),0)</f>
        <v>0</v>
      </c>
      <c r="J5538" s="2">
        <f t="shared" si="412"/>
        <v>0</v>
      </c>
      <c r="K5538" s="2">
        <f t="shared" si="413"/>
        <v>0</v>
      </c>
    </row>
    <row r="5539" spans="5:11">
      <c r="E5539" t="s">
        <v>1282</v>
      </c>
      <c r="F5539" t="s">
        <v>1515</v>
      </c>
      <c r="G5539" s="7" t="str">
        <f t="shared" si="414"/>
        <v>15-12</v>
      </c>
      <c r="H5539" s="1">
        <f>_xlfn.IFNA(VLOOKUP(E5539,'Urban Plastix Holds'!$I$36:$U$498,7,0),0)</f>
        <v>0</v>
      </c>
      <c r="J5539" s="2">
        <f t="shared" si="412"/>
        <v>0</v>
      </c>
      <c r="K5539" s="2">
        <f t="shared" si="413"/>
        <v>0</v>
      </c>
    </row>
    <row r="5540" spans="5:11">
      <c r="E5540" t="s">
        <v>1282</v>
      </c>
      <c r="F5540" t="s">
        <v>1515</v>
      </c>
      <c r="G5540" s="8" t="str">
        <f t="shared" si="414"/>
        <v>16-16</v>
      </c>
      <c r="H5540" s="1">
        <f>_xlfn.IFNA(VLOOKUP(E5540,'Urban Plastix Holds'!$I$36:$U$498,8,0),0)</f>
        <v>0</v>
      </c>
      <c r="J5540" s="2">
        <f t="shared" si="412"/>
        <v>0</v>
      </c>
      <c r="K5540" s="2">
        <f t="shared" si="413"/>
        <v>0</v>
      </c>
    </row>
    <row r="5541" spans="5:11">
      <c r="E5541" t="s">
        <v>1282</v>
      </c>
      <c r="F5541" t="s">
        <v>1515</v>
      </c>
      <c r="G5541" s="9" t="str">
        <f t="shared" si="414"/>
        <v>13-01</v>
      </c>
      <c r="H5541" s="1">
        <f>_xlfn.IFNA(VLOOKUP(E5541,'Urban Plastix Holds'!$I$36:$U$498,9,0),0)</f>
        <v>0</v>
      </c>
      <c r="J5541" s="2">
        <f t="shared" si="412"/>
        <v>0</v>
      </c>
      <c r="K5541" s="2">
        <f t="shared" si="413"/>
        <v>0</v>
      </c>
    </row>
    <row r="5542" spans="5:11">
      <c r="E5542" t="s">
        <v>1282</v>
      </c>
      <c r="F5542" t="s">
        <v>1515</v>
      </c>
      <c r="G5542" s="10" t="str">
        <f t="shared" si="414"/>
        <v>07-13</v>
      </c>
      <c r="H5542" s="1">
        <f>_xlfn.IFNA(VLOOKUP(E5542,'Urban Plastix Holds'!$I$36:$U$498,10,0),0)</f>
        <v>0</v>
      </c>
      <c r="J5542" s="2">
        <f t="shared" si="412"/>
        <v>0</v>
      </c>
      <c r="K5542" s="2">
        <f t="shared" si="413"/>
        <v>0</v>
      </c>
    </row>
    <row r="5543" spans="5:11">
      <c r="E5543" t="s">
        <v>1282</v>
      </c>
      <c r="F5543" t="s">
        <v>1515</v>
      </c>
      <c r="G5543" s="11" t="str">
        <f t="shared" si="414"/>
        <v>11-25</v>
      </c>
      <c r="H5543" s="1">
        <f>_xlfn.IFNA(VLOOKUP(E5543,'Urban Plastix Holds'!$I$36:$U$498,11,0),0)</f>
        <v>0</v>
      </c>
      <c r="J5543" s="2">
        <f t="shared" si="412"/>
        <v>0</v>
      </c>
      <c r="K5543" s="2">
        <f t="shared" si="413"/>
        <v>0</v>
      </c>
    </row>
    <row r="5544" spans="5:11">
      <c r="E5544" t="s">
        <v>1282</v>
      </c>
      <c r="F5544" t="s">
        <v>1515</v>
      </c>
      <c r="G5544" s="13" t="str">
        <f t="shared" si="414"/>
        <v>18-01</v>
      </c>
      <c r="H5544" s="1">
        <f>_xlfn.IFNA(VLOOKUP(E5544,'Urban Plastix Holds'!$I$36:$U$498,12,0),0)</f>
        <v>0</v>
      </c>
      <c r="J5544" s="2">
        <f t="shared" si="412"/>
        <v>0</v>
      </c>
      <c r="K5544" s="2">
        <f t="shared" si="413"/>
        <v>0</v>
      </c>
    </row>
    <row r="5545" spans="5:11">
      <c r="E5545" t="s">
        <v>1282</v>
      </c>
      <c r="F5545" t="s">
        <v>1515</v>
      </c>
      <c r="G5545" s="12" t="str">
        <f t="shared" si="414"/>
        <v>12-01</v>
      </c>
      <c r="H5545" s="1">
        <f>_xlfn.IFNA(VLOOKUP(E5545,'Urban Plastix Holds'!$I$36:$U$498,13,0),0)</f>
        <v>0</v>
      </c>
      <c r="J5545" s="2">
        <f t="shared" si="412"/>
        <v>0</v>
      </c>
      <c r="K5545" s="2">
        <f t="shared" si="413"/>
        <v>0</v>
      </c>
    </row>
    <row r="5546" spans="5:11">
      <c r="E5546" t="s">
        <v>1314</v>
      </c>
      <c r="F5546" t="s">
        <v>1516</v>
      </c>
      <c r="G5546" s="5" t="str">
        <f t="shared" si="414"/>
        <v>11-12</v>
      </c>
      <c r="H5546" s="1">
        <f>_xlfn.IFNA(VLOOKUP(E5546,'Urban Plastix Holds'!$I$36:$U$498,5,0),0)</f>
        <v>0</v>
      </c>
      <c r="J5546" s="2">
        <f t="shared" si="412"/>
        <v>0</v>
      </c>
      <c r="K5546" s="2">
        <f t="shared" si="413"/>
        <v>0</v>
      </c>
    </row>
    <row r="5547" spans="5:11">
      <c r="E5547" t="s">
        <v>1314</v>
      </c>
      <c r="F5547" t="s">
        <v>1516</v>
      </c>
      <c r="G5547" s="6" t="str">
        <f t="shared" si="414"/>
        <v>14-01</v>
      </c>
      <c r="H5547" s="1">
        <f>_xlfn.IFNA(VLOOKUP(E5547,'Urban Plastix Holds'!$I$36:$U$498,6,0),0)</f>
        <v>0</v>
      </c>
      <c r="J5547" s="2">
        <f t="shared" si="412"/>
        <v>0</v>
      </c>
      <c r="K5547" s="2">
        <f t="shared" si="413"/>
        <v>0</v>
      </c>
    </row>
    <row r="5548" spans="5:11">
      <c r="E5548" t="s">
        <v>1314</v>
      </c>
      <c r="F5548" t="s">
        <v>1516</v>
      </c>
      <c r="G5548" s="7" t="str">
        <f t="shared" si="414"/>
        <v>15-12</v>
      </c>
      <c r="H5548" s="1">
        <f>_xlfn.IFNA(VLOOKUP(E5548,'Urban Plastix Holds'!$I$36:$U$498,7,0),0)</f>
        <v>0</v>
      </c>
      <c r="J5548" s="2">
        <f t="shared" si="412"/>
        <v>0</v>
      </c>
      <c r="K5548" s="2">
        <f t="shared" si="413"/>
        <v>0</v>
      </c>
    </row>
    <row r="5549" spans="5:11">
      <c r="E5549" t="s">
        <v>1314</v>
      </c>
      <c r="F5549" t="s">
        <v>1516</v>
      </c>
      <c r="G5549" s="8" t="str">
        <f t="shared" si="414"/>
        <v>16-16</v>
      </c>
      <c r="H5549" s="1">
        <f>_xlfn.IFNA(VLOOKUP(E5549,'Urban Plastix Holds'!$I$36:$U$498,8,0),0)</f>
        <v>0</v>
      </c>
      <c r="J5549" s="2">
        <f t="shared" si="412"/>
        <v>0</v>
      </c>
      <c r="K5549" s="2">
        <f t="shared" si="413"/>
        <v>0</v>
      </c>
    </row>
    <row r="5550" spans="5:11">
      <c r="E5550" t="s">
        <v>1314</v>
      </c>
      <c r="F5550" t="s">
        <v>1516</v>
      </c>
      <c r="G5550" s="9" t="str">
        <f t="shared" si="414"/>
        <v>13-01</v>
      </c>
      <c r="H5550" s="1">
        <f>_xlfn.IFNA(VLOOKUP(E5550,'Urban Plastix Holds'!$I$36:$U$498,9,0),0)</f>
        <v>0</v>
      </c>
      <c r="J5550" s="2">
        <f t="shared" ref="J5550:J5613" si="415">H5550*I5550</f>
        <v>0</v>
      </c>
      <c r="K5550" s="2">
        <f t="shared" ref="K5550:K5613" si="416">IF($V$11="Y",J5550*0.05,0)</f>
        <v>0</v>
      </c>
    </row>
    <row r="5551" spans="5:11">
      <c r="E5551" t="s">
        <v>1314</v>
      </c>
      <c r="F5551" t="s">
        <v>1516</v>
      </c>
      <c r="G5551" s="10" t="str">
        <f t="shared" si="414"/>
        <v>07-13</v>
      </c>
      <c r="H5551" s="1">
        <f>_xlfn.IFNA(VLOOKUP(E5551,'Urban Plastix Holds'!$I$36:$U$498,10,0),0)</f>
        <v>0</v>
      </c>
      <c r="J5551" s="2">
        <f t="shared" si="415"/>
        <v>0</v>
      </c>
      <c r="K5551" s="2">
        <f t="shared" si="416"/>
        <v>0</v>
      </c>
    </row>
    <row r="5552" spans="5:11">
      <c r="E5552" t="s">
        <v>1314</v>
      </c>
      <c r="F5552" t="s">
        <v>1516</v>
      </c>
      <c r="G5552" s="11" t="str">
        <f t="shared" si="414"/>
        <v>11-25</v>
      </c>
      <c r="H5552" s="1">
        <f>_xlfn.IFNA(VLOOKUP(E5552,'Urban Plastix Holds'!$I$36:$U$498,11,0),0)</f>
        <v>0</v>
      </c>
      <c r="J5552" s="2">
        <f t="shared" si="415"/>
        <v>0</v>
      </c>
      <c r="K5552" s="2">
        <f t="shared" si="416"/>
        <v>0</v>
      </c>
    </row>
    <row r="5553" spans="5:11">
      <c r="E5553" t="s">
        <v>1314</v>
      </c>
      <c r="F5553" t="s">
        <v>1516</v>
      </c>
      <c r="G5553" s="13" t="str">
        <f t="shared" si="414"/>
        <v>18-01</v>
      </c>
      <c r="H5553" s="1">
        <f>_xlfn.IFNA(VLOOKUP(E5553,'Urban Plastix Holds'!$I$36:$U$498,12,0),0)</f>
        <v>0</v>
      </c>
      <c r="J5553" s="2">
        <f t="shared" si="415"/>
        <v>0</v>
      </c>
      <c r="K5553" s="2">
        <f t="shared" si="416"/>
        <v>0</v>
      </c>
    </row>
    <row r="5554" spans="5:11">
      <c r="E5554" t="s">
        <v>1314</v>
      </c>
      <c r="F5554" t="s">
        <v>1516</v>
      </c>
      <c r="G5554" s="12" t="str">
        <f t="shared" si="414"/>
        <v>12-01</v>
      </c>
      <c r="H5554" s="1">
        <f>_xlfn.IFNA(VLOOKUP(E5554,'Urban Plastix Holds'!$I$36:$U$498,13,0),0)</f>
        <v>0</v>
      </c>
      <c r="J5554" s="2">
        <f t="shared" si="415"/>
        <v>0</v>
      </c>
      <c r="K5554" s="2">
        <f t="shared" si="416"/>
        <v>0</v>
      </c>
    </row>
    <row r="5555" spans="5:11">
      <c r="E5555" t="s">
        <v>1313</v>
      </c>
      <c r="F5555" t="s">
        <v>1517</v>
      </c>
      <c r="G5555" s="5" t="str">
        <f t="shared" si="414"/>
        <v>11-12</v>
      </c>
      <c r="H5555" s="1">
        <f>_xlfn.IFNA(VLOOKUP(E5555,'Urban Plastix Holds'!$I$36:$U$498,5,0),0)</f>
        <v>0</v>
      </c>
      <c r="J5555" s="2">
        <f t="shared" si="415"/>
        <v>0</v>
      </c>
      <c r="K5555" s="2">
        <f t="shared" si="416"/>
        <v>0</v>
      </c>
    </row>
    <row r="5556" spans="5:11">
      <c r="E5556" t="s">
        <v>1313</v>
      </c>
      <c r="F5556" t="s">
        <v>1517</v>
      </c>
      <c r="G5556" s="6" t="str">
        <f t="shared" si="414"/>
        <v>14-01</v>
      </c>
      <c r="H5556" s="1">
        <f>_xlfn.IFNA(VLOOKUP(E5556,'Urban Plastix Holds'!$I$36:$U$498,6,0),0)</f>
        <v>0</v>
      </c>
      <c r="J5556" s="2">
        <f t="shared" si="415"/>
        <v>0</v>
      </c>
      <c r="K5556" s="2">
        <f t="shared" si="416"/>
        <v>0</v>
      </c>
    </row>
    <row r="5557" spans="5:11">
      <c r="E5557" t="s">
        <v>1313</v>
      </c>
      <c r="F5557" t="s">
        <v>1517</v>
      </c>
      <c r="G5557" s="7" t="str">
        <f t="shared" si="414"/>
        <v>15-12</v>
      </c>
      <c r="H5557" s="1">
        <f>_xlfn.IFNA(VLOOKUP(E5557,'Urban Plastix Holds'!$I$36:$U$498,7,0),0)</f>
        <v>0</v>
      </c>
      <c r="J5557" s="2">
        <f t="shared" si="415"/>
        <v>0</v>
      </c>
      <c r="K5557" s="2">
        <f t="shared" si="416"/>
        <v>0</v>
      </c>
    </row>
    <row r="5558" spans="5:11">
      <c r="E5558" t="s">
        <v>1313</v>
      </c>
      <c r="F5558" t="s">
        <v>1517</v>
      </c>
      <c r="G5558" s="8" t="str">
        <f t="shared" si="414"/>
        <v>16-16</v>
      </c>
      <c r="H5558" s="1">
        <f>_xlfn.IFNA(VLOOKUP(E5558,'Urban Plastix Holds'!$I$36:$U$498,8,0),0)</f>
        <v>0</v>
      </c>
      <c r="J5558" s="2">
        <f t="shared" si="415"/>
        <v>0</v>
      </c>
      <c r="K5558" s="2">
        <f t="shared" si="416"/>
        <v>0</v>
      </c>
    </row>
    <row r="5559" spans="5:11">
      <c r="E5559" t="s">
        <v>1313</v>
      </c>
      <c r="F5559" t="s">
        <v>1517</v>
      </c>
      <c r="G5559" s="9" t="str">
        <f t="shared" si="414"/>
        <v>13-01</v>
      </c>
      <c r="H5559" s="1">
        <f>_xlfn.IFNA(VLOOKUP(E5559,'Urban Plastix Holds'!$I$36:$U$498,9,0),0)</f>
        <v>0</v>
      </c>
      <c r="J5559" s="2">
        <f t="shared" si="415"/>
        <v>0</v>
      </c>
      <c r="K5559" s="2">
        <f t="shared" si="416"/>
        <v>0</v>
      </c>
    </row>
    <row r="5560" spans="5:11">
      <c r="E5560" t="s">
        <v>1313</v>
      </c>
      <c r="F5560" t="s">
        <v>1517</v>
      </c>
      <c r="G5560" s="10" t="str">
        <f t="shared" si="414"/>
        <v>07-13</v>
      </c>
      <c r="H5560" s="1">
        <f>_xlfn.IFNA(VLOOKUP(E5560,'Urban Plastix Holds'!$I$36:$U$498,10,0),0)</f>
        <v>0</v>
      </c>
      <c r="J5560" s="2">
        <f t="shared" si="415"/>
        <v>0</v>
      </c>
      <c r="K5560" s="2">
        <f t="shared" si="416"/>
        <v>0</v>
      </c>
    </row>
    <row r="5561" spans="5:11">
      <c r="E5561" t="s">
        <v>1313</v>
      </c>
      <c r="F5561" t="s">
        <v>1517</v>
      </c>
      <c r="G5561" s="11" t="str">
        <f t="shared" si="414"/>
        <v>11-25</v>
      </c>
      <c r="H5561" s="1">
        <f>_xlfn.IFNA(VLOOKUP(E5561,'Urban Plastix Holds'!$I$36:$U$498,11,0),0)</f>
        <v>0</v>
      </c>
      <c r="J5561" s="2">
        <f t="shared" si="415"/>
        <v>0</v>
      </c>
      <c r="K5561" s="2">
        <f t="shared" si="416"/>
        <v>0</v>
      </c>
    </row>
    <row r="5562" spans="5:11">
      <c r="E5562" t="s">
        <v>1313</v>
      </c>
      <c r="F5562" t="s">
        <v>1517</v>
      </c>
      <c r="G5562" s="13" t="str">
        <f t="shared" si="414"/>
        <v>18-01</v>
      </c>
      <c r="H5562" s="1">
        <f>_xlfn.IFNA(VLOOKUP(E5562,'Urban Plastix Holds'!$I$36:$U$498,12,0),0)</f>
        <v>0</v>
      </c>
      <c r="J5562" s="2">
        <f t="shared" si="415"/>
        <v>0</v>
      </c>
      <c r="K5562" s="2">
        <f t="shared" si="416"/>
        <v>0</v>
      </c>
    </row>
    <row r="5563" spans="5:11">
      <c r="E5563" t="s">
        <v>1313</v>
      </c>
      <c r="F5563" t="s">
        <v>1517</v>
      </c>
      <c r="G5563" s="12" t="str">
        <f t="shared" si="414"/>
        <v>12-01</v>
      </c>
      <c r="H5563" s="1">
        <f>_xlfn.IFNA(VLOOKUP(E5563,'Urban Plastix Holds'!$I$36:$U$498,13,0),0)</f>
        <v>0</v>
      </c>
      <c r="J5563" s="2">
        <f t="shared" si="415"/>
        <v>0</v>
      </c>
      <c r="K5563" s="2">
        <f t="shared" si="416"/>
        <v>0</v>
      </c>
    </row>
    <row r="5564" spans="5:11">
      <c r="E5564" t="s">
        <v>1443</v>
      </c>
      <c r="F5564" t="s">
        <v>1518</v>
      </c>
      <c r="G5564" s="5" t="str">
        <f t="shared" si="414"/>
        <v>11-12</v>
      </c>
      <c r="H5564" s="1">
        <f>_xlfn.IFNA(VLOOKUP(E5564,'Urban Plastix Holds'!$I$36:$U$498,5,0),0)</f>
        <v>0</v>
      </c>
      <c r="J5564" s="2">
        <f t="shared" si="415"/>
        <v>0</v>
      </c>
      <c r="K5564" s="2">
        <f t="shared" si="416"/>
        <v>0</v>
      </c>
    </row>
    <row r="5565" spans="5:11">
      <c r="E5565" t="s">
        <v>1443</v>
      </c>
      <c r="F5565" t="s">
        <v>1518</v>
      </c>
      <c r="G5565" s="6" t="str">
        <f t="shared" si="414"/>
        <v>14-01</v>
      </c>
      <c r="H5565" s="1">
        <f>_xlfn.IFNA(VLOOKUP(E5565,'Urban Plastix Holds'!$I$36:$U$498,6,0),0)</f>
        <v>0</v>
      </c>
      <c r="J5565" s="2">
        <f t="shared" si="415"/>
        <v>0</v>
      </c>
      <c r="K5565" s="2">
        <f t="shared" si="416"/>
        <v>0</v>
      </c>
    </row>
    <row r="5566" spans="5:11">
      <c r="E5566" t="s">
        <v>1443</v>
      </c>
      <c r="F5566" t="s">
        <v>1518</v>
      </c>
      <c r="G5566" s="7" t="str">
        <f t="shared" si="414"/>
        <v>15-12</v>
      </c>
      <c r="H5566" s="1">
        <f>_xlfn.IFNA(VLOOKUP(E5566,'Urban Plastix Holds'!$I$36:$U$498,7,0),0)</f>
        <v>0</v>
      </c>
      <c r="J5566" s="2">
        <f t="shared" si="415"/>
        <v>0</v>
      </c>
      <c r="K5566" s="2">
        <f t="shared" si="416"/>
        <v>0</v>
      </c>
    </row>
    <row r="5567" spans="5:11">
      <c r="E5567" t="s">
        <v>1443</v>
      </c>
      <c r="F5567" t="s">
        <v>1518</v>
      </c>
      <c r="G5567" s="8" t="str">
        <f t="shared" si="414"/>
        <v>16-16</v>
      </c>
      <c r="H5567" s="1">
        <f>_xlfn.IFNA(VLOOKUP(E5567,'Urban Plastix Holds'!$I$36:$U$498,8,0),0)</f>
        <v>0</v>
      </c>
      <c r="J5567" s="2">
        <f t="shared" si="415"/>
        <v>0</v>
      </c>
      <c r="K5567" s="2">
        <f t="shared" si="416"/>
        <v>0</v>
      </c>
    </row>
    <row r="5568" spans="5:11">
      <c r="E5568" t="s">
        <v>1443</v>
      </c>
      <c r="F5568" t="s">
        <v>1518</v>
      </c>
      <c r="G5568" s="9" t="str">
        <f t="shared" si="414"/>
        <v>13-01</v>
      </c>
      <c r="H5568" s="1">
        <f>_xlfn.IFNA(VLOOKUP(E5568,'Urban Plastix Holds'!$I$36:$U$498,9,0),0)</f>
        <v>0</v>
      </c>
      <c r="J5568" s="2">
        <f t="shared" si="415"/>
        <v>0</v>
      </c>
      <c r="K5568" s="2">
        <f t="shared" si="416"/>
        <v>0</v>
      </c>
    </row>
    <row r="5569" spans="5:11">
      <c r="E5569" t="s">
        <v>1443</v>
      </c>
      <c r="F5569" t="s">
        <v>1518</v>
      </c>
      <c r="G5569" s="10" t="str">
        <f t="shared" si="414"/>
        <v>07-13</v>
      </c>
      <c r="H5569" s="1">
        <f>_xlfn.IFNA(VLOOKUP(E5569,'Urban Plastix Holds'!$I$36:$U$498,10,0),0)</f>
        <v>0</v>
      </c>
      <c r="J5569" s="2">
        <f t="shared" si="415"/>
        <v>0</v>
      </c>
      <c r="K5569" s="2">
        <f t="shared" si="416"/>
        <v>0</v>
      </c>
    </row>
    <row r="5570" spans="5:11">
      <c r="E5570" t="s">
        <v>1443</v>
      </c>
      <c r="F5570" t="s">
        <v>1518</v>
      </c>
      <c r="G5570" s="11" t="str">
        <f t="shared" si="414"/>
        <v>11-25</v>
      </c>
      <c r="H5570" s="1">
        <f>_xlfn.IFNA(VLOOKUP(E5570,'Urban Plastix Holds'!$I$36:$U$498,11,0),0)</f>
        <v>0</v>
      </c>
      <c r="J5570" s="2">
        <f t="shared" si="415"/>
        <v>0</v>
      </c>
      <c r="K5570" s="2">
        <f t="shared" si="416"/>
        <v>0</v>
      </c>
    </row>
    <row r="5571" spans="5:11">
      <c r="E5571" t="s">
        <v>1443</v>
      </c>
      <c r="F5571" t="s">
        <v>1518</v>
      </c>
      <c r="G5571" s="13" t="str">
        <f t="shared" si="414"/>
        <v>18-01</v>
      </c>
      <c r="H5571" s="1">
        <f>_xlfn.IFNA(VLOOKUP(E5571,'Urban Plastix Holds'!$I$36:$U$498,12,0),0)</f>
        <v>0</v>
      </c>
      <c r="J5571" s="2">
        <f t="shared" si="415"/>
        <v>0</v>
      </c>
      <c r="K5571" s="2">
        <f t="shared" si="416"/>
        <v>0</v>
      </c>
    </row>
    <row r="5572" spans="5:11">
      <c r="E5572" t="s">
        <v>1443</v>
      </c>
      <c r="F5572" t="s">
        <v>1518</v>
      </c>
      <c r="G5572" s="12" t="str">
        <f t="shared" si="414"/>
        <v>12-01</v>
      </c>
      <c r="H5572" s="1">
        <f>_xlfn.IFNA(VLOOKUP(E5572,'Urban Plastix Holds'!$I$36:$U$498,13,0),0)</f>
        <v>0</v>
      </c>
      <c r="J5572" s="2">
        <f t="shared" si="415"/>
        <v>0</v>
      </c>
      <c r="K5572" s="2">
        <f t="shared" si="416"/>
        <v>0</v>
      </c>
    </row>
    <row r="5573" spans="5:11">
      <c r="E5573" t="s">
        <v>1272</v>
      </c>
      <c r="F5573" t="s">
        <v>1565</v>
      </c>
      <c r="G5573" s="5" t="str">
        <f t="shared" si="414"/>
        <v>11-12</v>
      </c>
      <c r="H5573" s="1">
        <f>_xlfn.IFNA(VLOOKUP(E5573,'Urban Plastix Holds'!$I$36:$U$498,5,0),0)</f>
        <v>0</v>
      </c>
      <c r="J5573" s="2">
        <f t="shared" si="415"/>
        <v>0</v>
      </c>
      <c r="K5573" s="2">
        <f t="shared" si="416"/>
        <v>0</v>
      </c>
    </row>
    <row r="5574" spans="5:11">
      <c r="E5574" t="s">
        <v>1272</v>
      </c>
      <c r="F5574" t="s">
        <v>1565</v>
      </c>
      <c r="G5574" s="6" t="str">
        <f t="shared" si="414"/>
        <v>14-01</v>
      </c>
      <c r="H5574" s="1">
        <f>_xlfn.IFNA(VLOOKUP(E5574,'Urban Plastix Holds'!$I$36:$U$498,6,0),0)</f>
        <v>0</v>
      </c>
      <c r="J5574" s="2">
        <f t="shared" si="415"/>
        <v>0</v>
      </c>
      <c r="K5574" s="2">
        <f t="shared" si="416"/>
        <v>0</v>
      </c>
    </row>
    <row r="5575" spans="5:11">
      <c r="E5575" t="s">
        <v>1272</v>
      </c>
      <c r="F5575" t="s">
        <v>1565</v>
      </c>
      <c r="G5575" s="7" t="str">
        <f t="shared" si="414"/>
        <v>15-12</v>
      </c>
      <c r="H5575" s="1">
        <f>_xlfn.IFNA(VLOOKUP(E5575,'Urban Plastix Holds'!$I$36:$U$498,7,0),0)</f>
        <v>0</v>
      </c>
      <c r="J5575" s="2">
        <f t="shared" si="415"/>
        <v>0</v>
      </c>
      <c r="K5575" s="2">
        <f t="shared" si="416"/>
        <v>0</v>
      </c>
    </row>
    <row r="5576" spans="5:11">
      <c r="E5576" t="s">
        <v>1272</v>
      </c>
      <c r="F5576" t="s">
        <v>1565</v>
      </c>
      <c r="G5576" s="8" t="str">
        <f t="shared" si="414"/>
        <v>16-16</v>
      </c>
      <c r="H5576" s="1">
        <f>_xlfn.IFNA(VLOOKUP(E5576,'Urban Plastix Holds'!$I$36:$U$498,8,0),0)</f>
        <v>0</v>
      </c>
      <c r="J5576" s="2">
        <f t="shared" si="415"/>
        <v>0</v>
      </c>
      <c r="K5576" s="2">
        <f t="shared" si="416"/>
        <v>0</v>
      </c>
    </row>
    <row r="5577" spans="5:11">
      <c r="E5577" t="s">
        <v>1272</v>
      </c>
      <c r="F5577" t="s">
        <v>1565</v>
      </c>
      <c r="G5577" s="9" t="str">
        <f t="shared" si="414"/>
        <v>13-01</v>
      </c>
      <c r="H5577" s="1">
        <f>_xlfn.IFNA(VLOOKUP(E5577,'Urban Plastix Holds'!$I$36:$U$498,9,0),0)</f>
        <v>0</v>
      </c>
      <c r="J5577" s="2">
        <f t="shared" si="415"/>
        <v>0</v>
      </c>
      <c r="K5577" s="2">
        <f t="shared" si="416"/>
        <v>0</v>
      </c>
    </row>
    <row r="5578" spans="5:11">
      <c r="E5578" t="s">
        <v>1272</v>
      </c>
      <c r="F5578" t="s">
        <v>1565</v>
      </c>
      <c r="G5578" s="10" t="str">
        <f t="shared" si="414"/>
        <v>07-13</v>
      </c>
      <c r="H5578" s="1">
        <f>_xlfn.IFNA(VLOOKUP(E5578,'Urban Plastix Holds'!$I$36:$U$498,10,0),0)</f>
        <v>0</v>
      </c>
      <c r="J5578" s="2">
        <f t="shared" si="415"/>
        <v>0</v>
      </c>
      <c r="K5578" s="2">
        <f t="shared" si="416"/>
        <v>0</v>
      </c>
    </row>
    <row r="5579" spans="5:11">
      <c r="E5579" t="s">
        <v>1272</v>
      </c>
      <c r="F5579" t="s">
        <v>1565</v>
      </c>
      <c r="G5579" s="11" t="str">
        <f t="shared" si="414"/>
        <v>11-25</v>
      </c>
      <c r="H5579" s="1">
        <f>_xlfn.IFNA(VLOOKUP(E5579,'Urban Plastix Holds'!$I$36:$U$498,11,0),0)</f>
        <v>0</v>
      </c>
      <c r="J5579" s="2">
        <f t="shared" si="415"/>
        <v>0</v>
      </c>
      <c r="K5579" s="2">
        <f t="shared" si="416"/>
        <v>0</v>
      </c>
    </row>
    <row r="5580" spans="5:11">
      <c r="E5580" t="s">
        <v>1272</v>
      </c>
      <c r="F5580" t="s">
        <v>1565</v>
      </c>
      <c r="G5580" s="13" t="str">
        <f t="shared" si="414"/>
        <v>18-01</v>
      </c>
      <c r="H5580" s="1">
        <f>_xlfn.IFNA(VLOOKUP(E5580,'Urban Plastix Holds'!$I$36:$U$498,12,0),0)</f>
        <v>0</v>
      </c>
      <c r="J5580" s="2">
        <f t="shared" si="415"/>
        <v>0</v>
      </c>
      <c r="K5580" s="2">
        <f t="shared" si="416"/>
        <v>0</v>
      </c>
    </row>
    <row r="5581" spans="5:11">
      <c r="E5581" t="s">
        <v>1272</v>
      </c>
      <c r="F5581" t="s">
        <v>1565</v>
      </c>
      <c r="G5581" s="12" t="str">
        <f t="shared" si="414"/>
        <v>12-01</v>
      </c>
      <c r="H5581" s="1">
        <f>_xlfn.IFNA(VLOOKUP(E5581,'Urban Plastix Holds'!$I$36:$U$498,13,0),0)</f>
        <v>0</v>
      </c>
      <c r="J5581" s="2">
        <f t="shared" si="415"/>
        <v>0</v>
      </c>
      <c r="K5581" s="2">
        <f t="shared" si="416"/>
        <v>0</v>
      </c>
    </row>
    <row r="5582" spans="5:11">
      <c r="E5582" t="s">
        <v>1257</v>
      </c>
      <c r="F5582" t="s">
        <v>1519</v>
      </c>
      <c r="G5582" s="5" t="str">
        <f t="shared" si="414"/>
        <v>11-12</v>
      </c>
      <c r="H5582" s="1">
        <f>_xlfn.IFNA(VLOOKUP(E5582,'Urban Plastix Holds'!$I$36:$U$498,5,0),0)</f>
        <v>0</v>
      </c>
      <c r="J5582" s="2">
        <f t="shared" si="415"/>
        <v>0</v>
      </c>
      <c r="K5582" s="2">
        <f t="shared" si="416"/>
        <v>0</v>
      </c>
    </row>
    <row r="5583" spans="5:11">
      <c r="E5583" t="s">
        <v>1257</v>
      </c>
      <c r="F5583" t="s">
        <v>1519</v>
      </c>
      <c r="G5583" s="6" t="str">
        <f t="shared" si="414"/>
        <v>14-01</v>
      </c>
      <c r="H5583" s="1">
        <f>_xlfn.IFNA(VLOOKUP(E5583,'Urban Plastix Holds'!$I$36:$U$498,6,0),0)</f>
        <v>0</v>
      </c>
      <c r="J5583" s="2">
        <f t="shared" si="415"/>
        <v>0</v>
      </c>
      <c r="K5583" s="2">
        <f t="shared" si="416"/>
        <v>0</v>
      </c>
    </row>
    <row r="5584" spans="5:11">
      <c r="E5584" t="s">
        <v>1257</v>
      </c>
      <c r="F5584" t="s">
        <v>1519</v>
      </c>
      <c r="G5584" s="7" t="str">
        <f t="shared" si="414"/>
        <v>15-12</v>
      </c>
      <c r="H5584" s="1">
        <f>_xlfn.IFNA(VLOOKUP(E5584,'Urban Plastix Holds'!$I$36:$U$498,7,0),0)</f>
        <v>0</v>
      </c>
      <c r="J5584" s="2">
        <f t="shared" si="415"/>
        <v>0</v>
      </c>
      <c r="K5584" s="2">
        <f t="shared" si="416"/>
        <v>0</v>
      </c>
    </row>
    <row r="5585" spans="5:11">
      <c r="E5585" t="s">
        <v>1257</v>
      </c>
      <c r="F5585" t="s">
        <v>1519</v>
      </c>
      <c r="G5585" s="8" t="str">
        <f t="shared" si="414"/>
        <v>16-16</v>
      </c>
      <c r="H5585" s="1">
        <f>_xlfn.IFNA(VLOOKUP(E5585,'Urban Plastix Holds'!$I$36:$U$498,8,0),0)</f>
        <v>0</v>
      </c>
      <c r="J5585" s="2">
        <f t="shared" si="415"/>
        <v>0</v>
      </c>
      <c r="K5585" s="2">
        <f t="shared" si="416"/>
        <v>0</v>
      </c>
    </row>
    <row r="5586" spans="5:11">
      <c r="E5586" t="s">
        <v>1257</v>
      </c>
      <c r="F5586" t="s">
        <v>1519</v>
      </c>
      <c r="G5586" s="9" t="str">
        <f t="shared" si="414"/>
        <v>13-01</v>
      </c>
      <c r="H5586" s="1">
        <f>_xlfn.IFNA(VLOOKUP(E5586,'Urban Plastix Holds'!$I$36:$U$498,9,0),0)</f>
        <v>0</v>
      </c>
      <c r="J5586" s="2">
        <f t="shared" si="415"/>
        <v>0</v>
      </c>
      <c r="K5586" s="2">
        <f t="shared" si="416"/>
        <v>0</v>
      </c>
    </row>
    <row r="5587" spans="5:11">
      <c r="E5587" t="s">
        <v>1257</v>
      </c>
      <c r="F5587" t="s">
        <v>1519</v>
      </c>
      <c r="G5587" s="10" t="str">
        <f t="shared" si="414"/>
        <v>07-13</v>
      </c>
      <c r="H5587" s="1">
        <f>_xlfn.IFNA(VLOOKUP(E5587,'Urban Plastix Holds'!$I$36:$U$498,10,0),0)</f>
        <v>0</v>
      </c>
      <c r="J5587" s="2">
        <f t="shared" si="415"/>
        <v>0</v>
      </c>
      <c r="K5587" s="2">
        <f t="shared" si="416"/>
        <v>0</v>
      </c>
    </row>
    <row r="5588" spans="5:11">
      <c r="E5588" t="s">
        <v>1257</v>
      </c>
      <c r="F5588" t="s">
        <v>1519</v>
      </c>
      <c r="G5588" s="11" t="str">
        <f t="shared" si="414"/>
        <v>11-25</v>
      </c>
      <c r="H5588" s="1">
        <f>_xlfn.IFNA(VLOOKUP(E5588,'Urban Plastix Holds'!$I$36:$U$498,11,0),0)</f>
        <v>0</v>
      </c>
      <c r="J5588" s="2">
        <f t="shared" si="415"/>
        <v>0</v>
      </c>
      <c r="K5588" s="2">
        <f t="shared" si="416"/>
        <v>0</v>
      </c>
    </row>
    <row r="5589" spans="5:11">
      <c r="E5589" t="s">
        <v>1257</v>
      </c>
      <c r="F5589" t="s">
        <v>1519</v>
      </c>
      <c r="G5589" s="13" t="str">
        <f t="shared" si="414"/>
        <v>18-01</v>
      </c>
      <c r="H5589" s="1">
        <f>_xlfn.IFNA(VLOOKUP(E5589,'Urban Plastix Holds'!$I$36:$U$498,12,0),0)</f>
        <v>0</v>
      </c>
      <c r="J5589" s="2">
        <f t="shared" si="415"/>
        <v>0</v>
      </c>
      <c r="K5589" s="2">
        <f t="shared" si="416"/>
        <v>0</v>
      </c>
    </row>
    <row r="5590" spans="5:11">
      <c r="E5590" t="s">
        <v>1257</v>
      </c>
      <c r="F5590" t="s">
        <v>1519</v>
      </c>
      <c r="G5590" s="12" t="str">
        <f t="shared" si="414"/>
        <v>12-01</v>
      </c>
      <c r="H5590" s="1">
        <f>_xlfn.IFNA(VLOOKUP(E5590,'Urban Plastix Holds'!$I$36:$U$498,13,0),0)</f>
        <v>0</v>
      </c>
      <c r="J5590" s="2">
        <f t="shared" si="415"/>
        <v>0</v>
      </c>
      <c r="K5590" s="2">
        <f t="shared" si="416"/>
        <v>0</v>
      </c>
    </row>
    <row r="5591" spans="5:11">
      <c r="E5591" t="s">
        <v>1265</v>
      </c>
      <c r="F5591" t="s">
        <v>1520</v>
      </c>
      <c r="G5591" s="5" t="str">
        <f t="shared" si="414"/>
        <v>11-12</v>
      </c>
      <c r="H5591" s="1">
        <f>_xlfn.IFNA(VLOOKUP(E5591,'Urban Plastix Holds'!$I$36:$U$498,5,0),0)</f>
        <v>0</v>
      </c>
      <c r="J5591" s="2">
        <f t="shared" si="415"/>
        <v>0</v>
      </c>
      <c r="K5591" s="2">
        <f t="shared" si="416"/>
        <v>0</v>
      </c>
    </row>
    <row r="5592" spans="5:11">
      <c r="E5592" t="s">
        <v>1265</v>
      </c>
      <c r="F5592" t="s">
        <v>1520</v>
      </c>
      <c r="G5592" s="6" t="str">
        <f t="shared" ref="G5592:G5655" si="417">G5583</f>
        <v>14-01</v>
      </c>
      <c r="H5592" s="1">
        <f>_xlfn.IFNA(VLOOKUP(E5592,'Urban Plastix Holds'!$I$36:$U$498,6,0),0)</f>
        <v>0</v>
      </c>
      <c r="J5592" s="2">
        <f t="shared" si="415"/>
        <v>0</v>
      </c>
      <c r="K5592" s="2">
        <f t="shared" si="416"/>
        <v>0</v>
      </c>
    </row>
    <row r="5593" spans="5:11">
      <c r="E5593" t="s">
        <v>1265</v>
      </c>
      <c r="F5593" t="s">
        <v>1520</v>
      </c>
      <c r="G5593" s="7" t="str">
        <f t="shared" si="417"/>
        <v>15-12</v>
      </c>
      <c r="H5593" s="1">
        <f>_xlfn.IFNA(VLOOKUP(E5593,'Urban Plastix Holds'!$I$36:$U$498,7,0),0)</f>
        <v>0</v>
      </c>
      <c r="J5593" s="2">
        <f t="shared" si="415"/>
        <v>0</v>
      </c>
      <c r="K5593" s="2">
        <f t="shared" si="416"/>
        <v>0</v>
      </c>
    </row>
    <row r="5594" spans="5:11">
      <c r="E5594" t="s">
        <v>1265</v>
      </c>
      <c r="F5594" t="s">
        <v>1520</v>
      </c>
      <c r="G5594" s="8" t="str">
        <f t="shared" si="417"/>
        <v>16-16</v>
      </c>
      <c r="H5594" s="1">
        <f>_xlfn.IFNA(VLOOKUP(E5594,'Urban Plastix Holds'!$I$36:$U$498,8,0),0)</f>
        <v>0</v>
      </c>
      <c r="J5594" s="2">
        <f t="shared" si="415"/>
        <v>0</v>
      </c>
      <c r="K5594" s="2">
        <f t="shared" si="416"/>
        <v>0</v>
      </c>
    </row>
    <row r="5595" spans="5:11">
      <c r="E5595" t="s">
        <v>1265</v>
      </c>
      <c r="F5595" t="s">
        <v>1520</v>
      </c>
      <c r="G5595" s="9" t="str">
        <f t="shared" si="417"/>
        <v>13-01</v>
      </c>
      <c r="H5595" s="1">
        <f>_xlfn.IFNA(VLOOKUP(E5595,'Urban Plastix Holds'!$I$36:$U$498,9,0),0)</f>
        <v>0</v>
      </c>
      <c r="J5595" s="2">
        <f t="shared" si="415"/>
        <v>0</v>
      </c>
      <c r="K5595" s="2">
        <f t="shared" si="416"/>
        <v>0</v>
      </c>
    </row>
    <row r="5596" spans="5:11">
      <c r="E5596" t="s">
        <v>1265</v>
      </c>
      <c r="F5596" t="s">
        <v>1520</v>
      </c>
      <c r="G5596" s="10" t="str">
        <f t="shared" si="417"/>
        <v>07-13</v>
      </c>
      <c r="H5596" s="1">
        <f>_xlfn.IFNA(VLOOKUP(E5596,'Urban Plastix Holds'!$I$36:$U$498,10,0),0)</f>
        <v>0</v>
      </c>
      <c r="J5596" s="2">
        <f t="shared" si="415"/>
        <v>0</v>
      </c>
      <c r="K5596" s="2">
        <f t="shared" si="416"/>
        <v>0</v>
      </c>
    </row>
    <row r="5597" spans="5:11">
      <c r="E5597" t="s">
        <v>1265</v>
      </c>
      <c r="F5597" t="s">
        <v>1520</v>
      </c>
      <c r="G5597" s="11" t="str">
        <f t="shared" si="417"/>
        <v>11-25</v>
      </c>
      <c r="H5597" s="1">
        <f>_xlfn.IFNA(VLOOKUP(E5597,'Urban Plastix Holds'!$I$36:$U$498,11,0),0)</f>
        <v>0</v>
      </c>
      <c r="J5597" s="2">
        <f t="shared" si="415"/>
        <v>0</v>
      </c>
      <c r="K5597" s="2">
        <f t="shared" si="416"/>
        <v>0</v>
      </c>
    </row>
    <row r="5598" spans="5:11">
      <c r="E5598" t="s">
        <v>1265</v>
      </c>
      <c r="F5598" t="s">
        <v>1520</v>
      </c>
      <c r="G5598" s="13" t="str">
        <f t="shared" si="417"/>
        <v>18-01</v>
      </c>
      <c r="H5598" s="1">
        <f>_xlfn.IFNA(VLOOKUP(E5598,'Urban Plastix Holds'!$I$36:$U$498,12,0),0)</f>
        <v>0</v>
      </c>
      <c r="J5598" s="2">
        <f t="shared" si="415"/>
        <v>0</v>
      </c>
      <c r="K5598" s="2">
        <f t="shared" si="416"/>
        <v>0</v>
      </c>
    </row>
    <row r="5599" spans="5:11">
      <c r="E5599" t="s">
        <v>1265</v>
      </c>
      <c r="F5599" t="s">
        <v>1520</v>
      </c>
      <c r="G5599" s="12" t="str">
        <f t="shared" si="417"/>
        <v>12-01</v>
      </c>
      <c r="H5599" s="1">
        <f>_xlfn.IFNA(VLOOKUP(E5599,'Urban Plastix Holds'!$I$36:$U$498,13,0),0)</f>
        <v>0</v>
      </c>
      <c r="J5599" s="2">
        <f t="shared" si="415"/>
        <v>0</v>
      </c>
      <c r="K5599" s="2">
        <f t="shared" si="416"/>
        <v>0</v>
      </c>
    </row>
    <row r="5600" spans="5:11">
      <c r="E5600" t="s">
        <v>1284</v>
      </c>
      <c r="F5600" t="s">
        <v>1521</v>
      </c>
      <c r="G5600" s="5" t="str">
        <f t="shared" si="417"/>
        <v>11-12</v>
      </c>
      <c r="H5600" s="1">
        <f>_xlfn.IFNA(VLOOKUP(E5600,'Urban Plastix Holds'!$I$36:$U$498,5,0),0)</f>
        <v>0</v>
      </c>
      <c r="J5600" s="2">
        <f t="shared" si="415"/>
        <v>0</v>
      </c>
      <c r="K5600" s="2">
        <f t="shared" si="416"/>
        <v>0</v>
      </c>
    </row>
    <row r="5601" spans="5:11">
      <c r="E5601" t="s">
        <v>1284</v>
      </c>
      <c r="F5601" t="s">
        <v>1521</v>
      </c>
      <c r="G5601" s="6" t="str">
        <f t="shared" si="417"/>
        <v>14-01</v>
      </c>
      <c r="H5601" s="1">
        <f>_xlfn.IFNA(VLOOKUP(E5601,'Urban Plastix Holds'!$I$36:$U$498,6,0),0)</f>
        <v>0</v>
      </c>
      <c r="J5601" s="2">
        <f t="shared" si="415"/>
        <v>0</v>
      </c>
      <c r="K5601" s="2">
        <f t="shared" si="416"/>
        <v>0</v>
      </c>
    </row>
    <row r="5602" spans="5:11">
      <c r="E5602" t="s">
        <v>1284</v>
      </c>
      <c r="F5602" t="s">
        <v>1521</v>
      </c>
      <c r="G5602" s="7" t="str">
        <f t="shared" si="417"/>
        <v>15-12</v>
      </c>
      <c r="H5602" s="1">
        <f>_xlfn.IFNA(VLOOKUP(E5602,'Urban Plastix Holds'!$I$36:$U$498,7,0),0)</f>
        <v>0</v>
      </c>
      <c r="J5602" s="2">
        <f t="shared" si="415"/>
        <v>0</v>
      </c>
      <c r="K5602" s="2">
        <f t="shared" si="416"/>
        <v>0</v>
      </c>
    </row>
    <row r="5603" spans="5:11">
      <c r="E5603" t="s">
        <v>1284</v>
      </c>
      <c r="F5603" t="s">
        <v>1521</v>
      </c>
      <c r="G5603" s="8" t="str">
        <f t="shared" si="417"/>
        <v>16-16</v>
      </c>
      <c r="H5603" s="1">
        <f>_xlfn.IFNA(VLOOKUP(E5603,'Urban Plastix Holds'!$I$36:$U$498,8,0),0)</f>
        <v>0</v>
      </c>
      <c r="J5603" s="2">
        <f t="shared" si="415"/>
        <v>0</v>
      </c>
      <c r="K5603" s="2">
        <f t="shared" si="416"/>
        <v>0</v>
      </c>
    </row>
    <row r="5604" spans="5:11">
      <c r="E5604" t="s">
        <v>1284</v>
      </c>
      <c r="F5604" t="s">
        <v>1521</v>
      </c>
      <c r="G5604" s="9" t="str">
        <f t="shared" si="417"/>
        <v>13-01</v>
      </c>
      <c r="H5604" s="1">
        <f>_xlfn.IFNA(VLOOKUP(E5604,'Urban Plastix Holds'!$I$36:$U$498,9,0),0)</f>
        <v>0</v>
      </c>
      <c r="J5604" s="2">
        <f t="shared" si="415"/>
        <v>0</v>
      </c>
      <c r="K5604" s="2">
        <f t="shared" si="416"/>
        <v>0</v>
      </c>
    </row>
    <row r="5605" spans="5:11">
      <c r="E5605" t="s">
        <v>1284</v>
      </c>
      <c r="F5605" t="s">
        <v>1521</v>
      </c>
      <c r="G5605" s="10" t="str">
        <f t="shared" si="417"/>
        <v>07-13</v>
      </c>
      <c r="H5605" s="1">
        <f>_xlfn.IFNA(VLOOKUP(E5605,'Urban Plastix Holds'!$I$36:$U$498,10,0),0)</f>
        <v>0</v>
      </c>
      <c r="J5605" s="2">
        <f t="shared" si="415"/>
        <v>0</v>
      </c>
      <c r="K5605" s="2">
        <f t="shared" si="416"/>
        <v>0</v>
      </c>
    </row>
    <row r="5606" spans="5:11">
      <c r="E5606" t="s">
        <v>1284</v>
      </c>
      <c r="F5606" t="s">
        <v>1521</v>
      </c>
      <c r="G5606" s="11" t="str">
        <f t="shared" si="417"/>
        <v>11-25</v>
      </c>
      <c r="H5606" s="1">
        <f>_xlfn.IFNA(VLOOKUP(E5606,'Urban Plastix Holds'!$I$36:$U$498,11,0),0)</f>
        <v>0</v>
      </c>
      <c r="J5606" s="2">
        <f t="shared" si="415"/>
        <v>0</v>
      </c>
      <c r="K5606" s="2">
        <f t="shared" si="416"/>
        <v>0</v>
      </c>
    </row>
    <row r="5607" spans="5:11">
      <c r="E5607" t="s">
        <v>1284</v>
      </c>
      <c r="F5607" t="s">
        <v>1521</v>
      </c>
      <c r="G5607" s="13" t="str">
        <f t="shared" si="417"/>
        <v>18-01</v>
      </c>
      <c r="H5607" s="1">
        <f>_xlfn.IFNA(VLOOKUP(E5607,'Urban Plastix Holds'!$I$36:$U$498,12,0),0)</f>
        <v>0</v>
      </c>
      <c r="J5607" s="2">
        <f t="shared" si="415"/>
        <v>0</v>
      </c>
      <c r="K5607" s="2">
        <f t="shared" si="416"/>
        <v>0</v>
      </c>
    </row>
    <row r="5608" spans="5:11">
      <c r="E5608" t="s">
        <v>1284</v>
      </c>
      <c r="F5608" t="s">
        <v>1521</v>
      </c>
      <c r="G5608" s="12" t="str">
        <f t="shared" si="417"/>
        <v>12-01</v>
      </c>
      <c r="H5608" s="1">
        <f>_xlfn.IFNA(VLOOKUP(E5608,'Urban Plastix Holds'!$I$36:$U$498,13,0),0)</f>
        <v>0</v>
      </c>
      <c r="J5608" s="2">
        <f t="shared" si="415"/>
        <v>0</v>
      </c>
      <c r="K5608" s="2">
        <f t="shared" si="416"/>
        <v>0</v>
      </c>
    </row>
    <row r="5609" spans="5:11">
      <c r="E5609" t="s">
        <v>1309</v>
      </c>
      <c r="F5609" t="s">
        <v>1522</v>
      </c>
      <c r="G5609" s="5" t="str">
        <f t="shared" si="417"/>
        <v>11-12</v>
      </c>
      <c r="H5609" s="1">
        <f>_xlfn.IFNA(VLOOKUP(E5609,'Urban Plastix Holds'!$I$36:$U$498,5,0),0)</f>
        <v>0</v>
      </c>
      <c r="J5609" s="2">
        <f t="shared" si="415"/>
        <v>0</v>
      </c>
      <c r="K5609" s="2">
        <f t="shared" si="416"/>
        <v>0</v>
      </c>
    </row>
    <row r="5610" spans="5:11">
      <c r="E5610" t="s">
        <v>1309</v>
      </c>
      <c r="F5610" t="s">
        <v>1522</v>
      </c>
      <c r="G5610" s="6" t="str">
        <f t="shared" si="417"/>
        <v>14-01</v>
      </c>
      <c r="H5610" s="1">
        <f>_xlfn.IFNA(VLOOKUP(E5610,'Urban Plastix Holds'!$I$36:$U$498,6,0),0)</f>
        <v>0</v>
      </c>
      <c r="J5610" s="2">
        <f t="shared" si="415"/>
        <v>0</v>
      </c>
      <c r="K5610" s="2">
        <f t="shared" si="416"/>
        <v>0</v>
      </c>
    </row>
    <row r="5611" spans="5:11">
      <c r="E5611" t="s">
        <v>1309</v>
      </c>
      <c r="F5611" t="s">
        <v>1522</v>
      </c>
      <c r="G5611" s="7" t="str">
        <f t="shared" si="417"/>
        <v>15-12</v>
      </c>
      <c r="H5611" s="1">
        <f>_xlfn.IFNA(VLOOKUP(E5611,'Urban Plastix Holds'!$I$36:$U$498,7,0),0)</f>
        <v>0</v>
      </c>
      <c r="J5611" s="2">
        <f t="shared" si="415"/>
        <v>0</v>
      </c>
      <c r="K5611" s="2">
        <f t="shared" si="416"/>
        <v>0</v>
      </c>
    </row>
    <row r="5612" spans="5:11">
      <c r="E5612" t="s">
        <v>1309</v>
      </c>
      <c r="F5612" t="s">
        <v>1522</v>
      </c>
      <c r="G5612" s="8" t="str">
        <f t="shared" si="417"/>
        <v>16-16</v>
      </c>
      <c r="H5612" s="1">
        <f>_xlfn.IFNA(VLOOKUP(E5612,'Urban Plastix Holds'!$I$36:$U$498,8,0),0)</f>
        <v>0</v>
      </c>
      <c r="J5612" s="2">
        <f t="shared" si="415"/>
        <v>0</v>
      </c>
      <c r="K5612" s="2">
        <f t="shared" si="416"/>
        <v>0</v>
      </c>
    </row>
    <row r="5613" spans="5:11">
      <c r="E5613" t="s">
        <v>1309</v>
      </c>
      <c r="F5613" t="s">
        <v>1522</v>
      </c>
      <c r="G5613" s="9" t="str">
        <f t="shared" si="417"/>
        <v>13-01</v>
      </c>
      <c r="H5613" s="1">
        <f>_xlfn.IFNA(VLOOKUP(E5613,'Urban Plastix Holds'!$I$36:$U$498,9,0),0)</f>
        <v>0</v>
      </c>
      <c r="J5613" s="2">
        <f t="shared" si="415"/>
        <v>0</v>
      </c>
      <c r="K5613" s="2">
        <f t="shared" si="416"/>
        <v>0</v>
      </c>
    </row>
    <row r="5614" spans="5:11">
      <c r="E5614" t="s">
        <v>1309</v>
      </c>
      <c r="F5614" t="s">
        <v>1522</v>
      </c>
      <c r="G5614" s="10" t="str">
        <f t="shared" si="417"/>
        <v>07-13</v>
      </c>
      <c r="H5614" s="1">
        <f>_xlfn.IFNA(VLOOKUP(E5614,'Urban Plastix Holds'!$I$36:$U$498,10,0),0)</f>
        <v>0</v>
      </c>
      <c r="J5614" s="2">
        <f t="shared" ref="J5614:J5677" si="418">H5614*I5614</f>
        <v>0</v>
      </c>
      <c r="K5614" s="2">
        <f t="shared" ref="K5614:K5677" si="419">IF($V$11="Y",J5614*0.05,0)</f>
        <v>0</v>
      </c>
    </row>
    <row r="5615" spans="5:11">
      <c r="E5615" t="s">
        <v>1309</v>
      </c>
      <c r="F5615" t="s">
        <v>1522</v>
      </c>
      <c r="G5615" s="11" t="str">
        <f t="shared" si="417"/>
        <v>11-25</v>
      </c>
      <c r="H5615" s="1">
        <f>_xlfn.IFNA(VLOOKUP(E5615,'Urban Plastix Holds'!$I$36:$U$498,11,0),0)</f>
        <v>0</v>
      </c>
      <c r="J5615" s="2">
        <f t="shared" si="418"/>
        <v>0</v>
      </c>
      <c r="K5615" s="2">
        <f t="shared" si="419"/>
        <v>0</v>
      </c>
    </row>
    <row r="5616" spans="5:11">
      <c r="E5616" t="s">
        <v>1309</v>
      </c>
      <c r="F5616" t="s">
        <v>1522</v>
      </c>
      <c r="G5616" s="13" t="str">
        <f t="shared" si="417"/>
        <v>18-01</v>
      </c>
      <c r="H5616" s="1">
        <f>_xlfn.IFNA(VLOOKUP(E5616,'Urban Plastix Holds'!$I$36:$U$498,12,0),0)</f>
        <v>0</v>
      </c>
      <c r="J5616" s="2">
        <f t="shared" si="418"/>
        <v>0</v>
      </c>
      <c r="K5616" s="2">
        <f t="shared" si="419"/>
        <v>0</v>
      </c>
    </row>
    <row r="5617" spans="5:11">
      <c r="E5617" t="s">
        <v>1309</v>
      </c>
      <c r="F5617" t="s">
        <v>1522</v>
      </c>
      <c r="G5617" s="12" t="str">
        <f t="shared" si="417"/>
        <v>12-01</v>
      </c>
      <c r="H5617" s="1">
        <f>_xlfn.IFNA(VLOOKUP(E5617,'Urban Plastix Holds'!$I$36:$U$498,13,0),0)</f>
        <v>0</v>
      </c>
      <c r="J5617" s="2">
        <f t="shared" si="418"/>
        <v>0</v>
      </c>
      <c r="K5617" s="2">
        <f t="shared" si="419"/>
        <v>0</v>
      </c>
    </row>
    <row r="5618" spans="5:11">
      <c r="E5618" t="s">
        <v>1274</v>
      </c>
      <c r="F5618" t="s">
        <v>1523</v>
      </c>
      <c r="G5618" s="5" t="str">
        <f t="shared" si="417"/>
        <v>11-12</v>
      </c>
      <c r="H5618" s="1">
        <f>_xlfn.IFNA(VLOOKUP(E5618,'Urban Plastix Holds'!$I$36:$U$498,5,0),0)</f>
        <v>0</v>
      </c>
      <c r="J5618" s="2">
        <f t="shared" si="418"/>
        <v>0</v>
      </c>
      <c r="K5618" s="2">
        <f t="shared" si="419"/>
        <v>0</v>
      </c>
    </row>
    <row r="5619" spans="5:11">
      <c r="E5619" t="s">
        <v>1274</v>
      </c>
      <c r="F5619" t="s">
        <v>1523</v>
      </c>
      <c r="G5619" s="6" t="str">
        <f t="shared" si="417"/>
        <v>14-01</v>
      </c>
      <c r="H5619" s="1">
        <f>_xlfn.IFNA(VLOOKUP(E5619,'Urban Plastix Holds'!$I$36:$U$498,6,0),0)</f>
        <v>0</v>
      </c>
      <c r="J5619" s="2">
        <f t="shared" si="418"/>
        <v>0</v>
      </c>
      <c r="K5619" s="2">
        <f t="shared" si="419"/>
        <v>0</v>
      </c>
    </row>
    <row r="5620" spans="5:11">
      <c r="E5620" t="s">
        <v>1274</v>
      </c>
      <c r="F5620" t="s">
        <v>1523</v>
      </c>
      <c r="G5620" s="7" t="str">
        <f t="shared" si="417"/>
        <v>15-12</v>
      </c>
      <c r="H5620" s="1">
        <f>_xlfn.IFNA(VLOOKUP(E5620,'Urban Plastix Holds'!$I$36:$U$498,7,0),0)</f>
        <v>0</v>
      </c>
      <c r="J5620" s="2">
        <f t="shared" si="418"/>
        <v>0</v>
      </c>
      <c r="K5620" s="2">
        <f t="shared" si="419"/>
        <v>0</v>
      </c>
    </row>
    <row r="5621" spans="5:11">
      <c r="E5621" t="s">
        <v>1274</v>
      </c>
      <c r="F5621" t="s">
        <v>1523</v>
      </c>
      <c r="G5621" s="8" t="str">
        <f t="shared" si="417"/>
        <v>16-16</v>
      </c>
      <c r="H5621" s="1">
        <f>_xlfn.IFNA(VLOOKUP(E5621,'Urban Plastix Holds'!$I$36:$U$498,8,0),0)</f>
        <v>0</v>
      </c>
      <c r="J5621" s="2">
        <f t="shared" si="418"/>
        <v>0</v>
      </c>
      <c r="K5621" s="2">
        <f t="shared" si="419"/>
        <v>0</v>
      </c>
    </row>
    <row r="5622" spans="5:11">
      <c r="E5622" t="s">
        <v>1274</v>
      </c>
      <c r="F5622" t="s">
        <v>1523</v>
      </c>
      <c r="G5622" s="9" t="str">
        <f t="shared" si="417"/>
        <v>13-01</v>
      </c>
      <c r="H5622" s="1">
        <f>_xlfn.IFNA(VLOOKUP(E5622,'Urban Plastix Holds'!$I$36:$U$498,9,0),0)</f>
        <v>0</v>
      </c>
      <c r="J5622" s="2">
        <f t="shared" si="418"/>
        <v>0</v>
      </c>
      <c r="K5622" s="2">
        <f t="shared" si="419"/>
        <v>0</v>
      </c>
    </row>
    <row r="5623" spans="5:11">
      <c r="E5623" t="s">
        <v>1274</v>
      </c>
      <c r="F5623" t="s">
        <v>1523</v>
      </c>
      <c r="G5623" s="10" t="str">
        <f t="shared" si="417"/>
        <v>07-13</v>
      </c>
      <c r="H5623" s="1">
        <f>_xlfn.IFNA(VLOOKUP(E5623,'Urban Plastix Holds'!$I$36:$U$498,10,0),0)</f>
        <v>0</v>
      </c>
      <c r="J5623" s="2">
        <f t="shared" si="418"/>
        <v>0</v>
      </c>
      <c r="K5623" s="2">
        <f t="shared" si="419"/>
        <v>0</v>
      </c>
    </row>
    <row r="5624" spans="5:11">
      <c r="E5624" t="s">
        <v>1274</v>
      </c>
      <c r="F5624" t="s">
        <v>1523</v>
      </c>
      <c r="G5624" s="11" t="str">
        <f t="shared" si="417"/>
        <v>11-25</v>
      </c>
      <c r="H5624" s="1">
        <f>_xlfn.IFNA(VLOOKUP(E5624,'Urban Plastix Holds'!$I$36:$U$498,11,0),0)</f>
        <v>0</v>
      </c>
      <c r="J5624" s="2">
        <f t="shared" si="418"/>
        <v>0</v>
      </c>
      <c r="K5624" s="2">
        <f t="shared" si="419"/>
        <v>0</v>
      </c>
    </row>
    <row r="5625" spans="5:11">
      <c r="E5625" t="s">
        <v>1274</v>
      </c>
      <c r="F5625" t="s">
        <v>1523</v>
      </c>
      <c r="G5625" s="13" t="str">
        <f t="shared" si="417"/>
        <v>18-01</v>
      </c>
      <c r="H5625" s="1">
        <f>_xlfn.IFNA(VLOOKUP(E5625,'Urban Plastix Holds'!$I$36:$U$498,12,0),0)</f>
        <v>0</v>
      </c>
      <c r="J5625" s="2">
        <f t="shared" si="418"/>
        <v>0</v>
      </c>
      <c r="K5625" s="2">
        <f t="shared" si="419"/>
        <v>0</v>
      </c>
    </row>
    <row r="5626" spans="5:11">
      <c r="E5626" t="s">
        <v>1274</v>
      </c>
      <c r="F5626" t="s">
        <v>1523</v>
      </c>
      <c r="G5626" s="12" t="str">
        <f t="shared" si="417"/>
        <v>12-01</v>
      </c>
      <c r="H5626" s="1">
        <f>_xlfn.IFNA(VLOOKUP(E5626,'Urban Plastix Holds'!$I$36:$U$498,13,0),0)</f>
        <v>0</v>
      </c>
      <c r="J5626" s="2">
        <f t="shared" si="418"/>
        <v>0</v>
      </c>
      <c r="K5626" s="2">
        <f t="shared" si="419"/>
        <v>0</v>
      </c>
    </row>
    <row r="5627" spans="5:11">
      <c r="E5627" t="s">
        <v>1318</v>
      </c>
      <c r="F5627" t="s">
        <v>1524</v>
      </c>
      <c r="G5627" s="5" t="str">
        <f t="shared" si="417"/>
        <v>11-12</v>
      </c>
      <c r="H5627" s="1">
        <f>_xlfn.IFNA(VLOOKUP(E5627,'Urban Plastix Holds'!$I$36:$U$498,5,0),0)</f>
        <v>0</v>
      </c>
      <c r="J5627" s="2">
        <f t="shared" si="418"/>
        <v>0</v>
      </c>
      <c r="K5627" s="2">
        <f t="shared" si="419"/>
        <v>0</v>
      </c>
    </row>
    <row r="5628" spans="5:11">
      <c r="E5628" t="s">
        <v>1318</v>
      </c>
      <c r="F5628" t="s">
        <v>1524</v>
      </c>
      <c r="G5628" s="6" t="str">
        <f t="shared" si="417"/>
        <v>14-01</v>
      </c>
      <c r="H5628" s="1">
        <f>_xlfn.IFNA(VLOOKUP(E5628,'Urban Plastix Holds'!$I$36:$U$498,6,0),0)</f>
        <v>0</v>
      </c>
      <c r="J5628" s="2">
        <f t="shared" si="418"/>
        <v>0</v>
      </c>
      <c r="K5628" s="2">
        <f t="shared" si="419"/>
        <v>0</v>
      </c>
    </row>
    <row r="5629" spans="5:11">
      <c r="E5629" t="s">
        <v>1318</v>
      </c>
      <c r="F5629" t="s">
        <v>1524</v>
      </c>
      <c r="G5629" s="7" t="str">
        <f t="shared" si="417"/>
        <v>15-12</v>
      </c>
      <c r="H5629" s="1">
        <f>_xlfn.IFNA(VLOOKUP(E5629,'Urban Plastix Holds'!$I$36:$U$498,7,0),0)</f>
        <v>0</v>
      </c>
      <c r="J5629" s="2">
        <f t="shared" si="418"/>
        <v>0</v>
      </c>
      <c r="K5629" s="2">
        <f t="shared" si="419"/>
        <v>0</v>
      </c>
    </row>
    <row r="5630" spans="5:11">
      <c r="E5630" t="s">
        <v>1318</v>
      </c>
      <c r="F5630" t="s">
        <v>1524</v>
      </c>
      <c r="G5630" s="8" t="str">
        <f t="shared" si="417"/>
        <v>16-16</v>
      </c>
      <c r="H5630" s="1">
        <f>_xlfn.IFNA(VLOOKUP(E5630,'Urban Plastix Holds'!$I$36:$U$498,8,0),0)</f>
        <v>0</v>
      </c>
      <c r="J5630" s="2">
        <f t="shared" si="418"/>
        <v>0</v>
      </c>
      <c r="K5630" s="2">
        <f t="shared" si="419"/>
        <v>0</v>
      </c>
    </row>
    <row r="5631" spans="5:11">
      <c r="E5631" t="s">
        <v>1318</v>
      </c>
      <c r="F5631" t="s">
        <v>1524</v>
      </c>
      <c r="G5631" s="9" t="str">
        <f t="shared" si="417"/>
        <v>13-01</v>
      </c>
      <c r="H5631" s="1">
        <f>_xlfn.IFNA(VLOOKUP(E5631,'Urban Plastix Holds'!$I$36:$U$498,9,0),0)</f>
        <v>0</v>
      </c>
      <c r="J5631" s="2">
        <f t="shared" si="418"/>
        <v>0</v>
      </c>
      <c r="K5631" s="2">
        <f t="shared" si="419"/>
        <v>0</v>
      </c>
    </row>
    <row r="5632" spans="5:11">
      <c r="E5632" t="s">
        <v>1318</v>
      </c>
      <c r="F5632" t="s">
        <v>1524</v>
      </c>
      <c r="G5632" s="10" t="str">
        <f t="shared" si="417"/>
        <v>07-13</v>
      </c>
      <c r="H5632" s="1">
        <f>_xlfn.IFNA(VLOOKUP(E5632,'Urban Plastix Holds'!$I$36:$U$498,10,0),0)</f>
        <v>0</v>
      </c>
      <c r="J5632" s="2">
        <f t="shared" si="418"/>
        <v>0</v>
      </c>
      <c r="K5632" s="2">
        <f t="shared" si="419"/>
        <v>0</v>
      </c>
    </row>
    <row r="5633" spans="5:11">
      <c r="E5633" t="s">
        <v>1318</v>
      </c>
      <c r="F5633" t="s">
        <v>1524</v>
      </c>
      <c r="G5633" s="11" t="str">
        <f t="shared" si="417"/>
        <v>11-25</v>
      </c>
      <c r="H5633" s="1">
        <f>_xlfn.IFNA(VLOOKUP(E5633,'Urban Plastix Holds'!$I$36:$U$498,11,0),0)</f>
        <v>0</v>
      </c>
      <c r="J5633" s="2">
        <f t="shared" si="418"/>
        <v>0</v>
      </c>
      <c r="K5633" s="2">
        <f t="shared" si="419"/>
        <v>0</v>
      </c>
    </row>
    <row r="5634" spans="5:11">
      <c r="E5634" t="s">
        <v>1318</v>
      </c>
      <c r="F5634" t="s">
        <v>1524</v>
      </c>
      <c r="G5634" s="13" t="str">
        <f t="shared" si="417"/>
        <v>18-01</v>
      </c>
      <c r="H5634" s="1">
        <f>_xlfn.IFNA(VLOOKUP(E5634,'Urban Plastix Holds'!$I$36:$U$498,12,0),0)</f>
        <v>0</v>
      </c>
      <c r="J5634" s="2">
        <f t="shared" si="418"/>
        <v>0</v>
      </c>
      <c r="K5634" s="2">
        <f t="shared" si="419"/>
        <v>0</v>
      </c>
    </row>
    <row r="5635" spans="5:11">
      <c r="E5635" t="s">
        <v>1318</v>
      </c>
      <c r="F5635" t="s">
        <v>1524</v>
      </c>
      <c r="G5635" s="12" t="str">
        <f t="shared" si="417"/>
        <v>12-01</v>
      </c>
      <c r="H5635" s="1">
        <f>_xlfn.IFNA(VLOOKUP(E5635,'Urban Plastix Holds'!$I$36:$U$498,13,0),0)</f>
        <v>0</v>
      </c>
      <c r="J5635" s="2">
        <f t="shared" si="418"/>
        <v>0</v>
      </c>
      <c r="K5635" s="2">
        <f t="shared" si="419"/>
        <v>0</v>
      </c>
    </row>
    <row r="5636" spans="5:11">
      <c r="E5636" t="s">
        <v>1277</v>
      </c>
      <c r="F5636" t="s">
        <v>1525</v>
      </c>
      <c r="G5636" s="5" t="str">
        <f t="shared" si="417"/>
        <v>11-12</v>
      </c>
      <c r="H5636" s="1">
        <f>_xlfn.IFNA(VLOOKUP(E5636,'Urban Plastix Holds'!$I$36:$U$498,5,0),0)</f>
        <v>0</v>
      </c>
      <c r="J5636" s="2">
        <f t="shared" si="418"/>
        <v>0</v>
      </c>
      <c r="K5636" s="2">
        <f t="shared" si="419"/>
        <v>0</v>
      </c>
    </row>
    <row r="5637" spans="5:11">
      <c r="E5637" t="s">
        <v>1277</v>
      </c>
      <c r="F5637" t="s">
        <v>1525</v>
      </c>
      <c r="G5637" s="6" t="str">
        <f t="shared" si="417"/>
        <v>14-01</v>
      </c>
      <c r="H5637" s="1">
        <f>_xlfn.IFNA(VLOOKUP(E5637,'Urban Plastix Holds'!$I$36:$U$498,6,0),0)</f>
        <v>0</v>
      </c>
      <c r="J5637" s="2">
        <f t="shared" si="418"/>
        <v>0</v>
      </c>
      <c r="K5637" s="2">
        <f t="shared" si="419"/>
        <v>0</v>
      </c>
    </row>
    <row r="5638" spans="5:11">
      <c r="E5638" t="s">
        <v>1277</v>
      </c>
      <c r="F5638" t="s">
        <v>1525</v>
      </c>
      <c r="G5638" s="7" t="str">
        <f t="shared" si="417"/>
        <v>15-12</v>
      </c>
      <c r="H5638" s="1">
        <f>_xlfn.IFNA(VLOOKUP(E5638,'Urban Plastix Holds'!$I$36:$U$498,7,0),0)</f>
        <v>0</v>
      </c>
      <c r="J5638" s="2">
        <f t="shared" si="418"/>
        <v>0</v>
      </c>
      <c r="K5638" s="2">
        <f t="shared" si="419"/>
        <v>0</v>
      </c>
    </row>
    <row r="5639" spans="5:11">
      <c r="E5639" t="s">
        <v>1277</v>
      </c>
      <c r="F5639" t="s">
        <v>1525</v>
      </c>
      <c r="G5639" s="8" t="str">
        <f t="shared" si="417"/>
        <v>16-16</v>
      </c>
      <c r="H5639" s="1">
        <f>_xlfn.IFNA(VLOOKUP(E5639,'Urban Plastix Holds'!$I$36:$U$498,8,0),0)</f>
        <v>0</v>
      </c>
      <c r="J5639" s="2">
        <f t="shared" si="418"/>
        <v>0</v>
      </c>
      <c r="K5639" s="2">
        <f t="shared" si="419"/>
        <v>0</v>
      </c>
    </row>
    <row r="5640" spans="5:11">
      <c r="E5640" t="s">
        <v>1277</v>
      </c>
      <c r="F5640" t="s">
        <v>1525</v>
      </c>
      <c r="G5640" s="9" t="str">
        <f t="shared" si="417"/>
        <v>13-01</v>
      </c>
      <c r="H5640" s="1">
        <f>_xlfn.IFNA(VLOOKUP(E5640,'Urban Plastix Holds'!$I$36:$U$498,9,0),0)</f>
        <v>0</v>
      </c>
      <c r="J5640" s="2">
        <f t="shared" si="418"/>
        <v>0</v>
      </c>
      <c r="K5640" s="2">
        <f t="shared" si="419"/>
        <v>0</v>
      </c>
    </row>
    <row r="5641" spans="5:11">
      <c r="E5641" t="s">
        <v>1277</v>
      </c>
      <c r="F5641" t="s">
        <v>1525</v>
      </c>
      <c r="G5641" s="10" t="str">
        <f t="shared" si="417"/>
        <v>07-13</v>
      </c>
      <c r="H5641" s="1">
        <f>_xlfn.IFNA(VLOOKUP(E5641,'Urban Plastix Holds'!$I$36:$U$498,10,0),0)</f>
        <v>0</v>
      </c>
      <c r="J5641" s="2">
        <f t="shared" si="418"/>
        <v>0</v>
      </c>
      <c r="K5641" s="2">
        <f t="shared" si="419"/>
        <v>0</v>
      </c>
    </row>
    <row r="5642" spans="5:11">
      <c r="E5642" t="s">
        <v>1277</v>
      </c>
      <c r="F5642" t="s">
        <v>1525</v>
      </c>
      <c r="G5642" s="11" t="str">
        <f t="shared" si="417"/>
        <v>11-25</v>
      </c>
      <c r="H5642" s="1">
        <f>_xlfn.IFNA(VLOOKUP(E5642,'Urban Plastix Holds'!$I$36:$U$498,11,0),0)</f>
        <v>0</v>
      </c>
      <c r="J5642" s="2">
        <f t="shared" si="418"/>
        <v>0</v>
      </c>
      <c r="K5642" s="2">
        <f t="shared" si="419"/>
        <v>0</v>
      </c>
    </row>
    <row r="5643" spans="5:11">
      <c r="E5643" t="s">
        <v>1277</v>
      </c>
      <c r="F5643" t="s">
        <v>1525</v>
      </c>
      <c r="G5643" s="13" t="str">
        <f t="shared" si="417"/>
        <v>18-01</v>
      </c>
      <c r="H5643" s="1">
        <f>_xlfn.IFNA(VLOOKUP(E5643,'Urban Plastix Holds'!$I$36:$U$498,12,0),0)</f>
        <v>0</v>
      </c>
      <c r="J5643" s="2">
        <f t="shared" si="418"/>
        <v>0</v>
      </c>
      <c r="K5643" s="2">
        <f t="shared" si="419"/>
        <v>0</v>
      </c>
    </row>
    <row r="5644" spans="5:11">
      <c r="E5644" t="s">
        <v>1277</v>
      </c>
      <c r="F5644" t="s">
        <v>1525</v>
      </c>
      <c r="G5644" s="12" t="str">
        <f t="shared" si="417"/>
        <v>12-01</v>
      </c>
      <c r="H5644" s="1">
        <f>_xlfn.IFNA(VLOOKUP(E5644,'Urban Plastix Holds'!$I$36:$U$498,13,0),0)</f>
        <v>0</v>
      </c>
      <c r="J5644" s="2">
        <f t="shared" si="418"/>
        <v>0</v>
      </c>
      <c r="K5644" s="2">
        <f t="shared" si="419"/>
        <v>0</v>
      </c>
    </row>
    <row r="5645" spans="5:11">
      <c r="E5645" t="s">
        <v>1283</v>
      </c>
      <c r="F5645" t="s">
        <v>1526</v>
      </c>
      <c r="G5645" s="5" t="str">
        <f t="shared" si="417"/>
        <v>11-12</v>
      </c>
      <c r="H5645" s="1">
        <f>_xlfn.IFNA(VLOOKUP(E5645,'Urban Plastix Holds'!$I$36:$U$498,5,0),0)</f>
        <v>0</v>
      </c>
      <c r="J5645" s="2">
        <f t="shared" si="418"/>
        <v>0</v>
      </c>
      <c r="K5645" s="2">
        <f t="shared" si="419"/>
        <v>0</v>
      </c>
    </row>
    <row r="5646" spans="5:11">
      <c r="E5646" t="s">
        <v>1283</v>
      </c>
      <c r="F5646" t="s">
        <v>1526</v>
      </c>
      <c r="G5646" s="6" t="str">
        <f t="shared" si="417"/>
        <v>14-01</v>
      </c>
      <c r="H5646" s="1">
        <f>_xlfn.IFNA(VLOOKUP(E5646,'Urban Plastix Holds'!$I$36:$U$498,6,0),0)</f>
        <v>0</v>
      </c>
      <c r="J5646" s="2">
        <f t="shared" si="418"/>
        <v>0</v>
      </c>
      <c r="K5646" s="2">
        <f t="shared" si="419"/>
        <v>0</v>
      </c>
    </row>
    <row r="5647" spans="5:11">
      <c r="E5647" t="s">
        <v>1283</v>
      </c>
      <c r="F5647" t="s">
        <v>1526</v>
      </c>
      <c r="G5647" s="7" t="str">
        <f t="shared" si="417"/>
        <v>15-12</v>
      </c>
      <c r="H5647" s="1">
        <f>_xlfn.IFNA(VLOOKUP(E5647,'Urban Plastix Holds'!$I$36:$U$498,7,0),0)</f>
        <v>0</v>
      </c>
      <c r="J5647" s="2">
        <f t="shared" si="418"/>
        <v>0</v>
      </c>
      <c r="K5647" s="2">
        <f t="shared" si="419"/>
        <v>0</v>
      </c>
    </row>
    <row r="5648" spans="5:11">
      <c r="E5648" t="s">
        <v>1283</v>
      </c>
      <c r="F5648" t="s">
        <v>1526</v>
      </c>
      <c r="G5648" s="8" t="str">
        <f t="shared" si="417"/>
        <v>16-16</v>
      </c>
      <c r="H5648" s="1">
        <f>_xlfn.IFNA(VLOOKUP(E5648,'Urban Plastix Holds'!$I$36:$U$498,8,0),0)</f>
        <v>0</v>
      </c>
      <c r="J5648" s="2">
        <f t="shared" si="418"/>
        <v>0</v>
      </c>
      <c r="K5648" s="2">
        <f t="shared" si="419"/>
        <v>0</v>
      </c>
    </row>
    <row r="5649" spans="5:11">
      <c r="E5649" t="s">
        <v>1283</v>
      </c>
      <c r="F5649" t="s">
        <v>1526</v>
      </c>
      <c r="G5649" s="9" t="str">
        <f t="shared" si="417"/>
        <v>13-01</v>
      </c>
      <c r="H5649" s="1">
        <f>_xlfn.IFNA(VLOOKUP(E5649,'Urban Plastix Holds'!$I$36:$U$498,9,0),0)</f>
        <v>0</v>
      </c>
      <c r="J5649" s="2">
        <f t="shared" si="418"/>
        <v>0</v>
      </c>
      <c r="K5649" s="2">
        <f t="shared" si="419"/>
        <v>0</v>
      </c>
    </row>
    <row r="5650" spans="5:11">
      <c r="E5650" t="s">
        <v>1283</v>
      </c>
      <c r="F5650" t="s">
        <v>1526</v>
      </c>
      <c r="G5650" s="10" t="str">
        <f t="shared" si="417"/>
        <v>07-13</v>
      </c>
      <c r="H5650" s="1">
        <f>_xlfn.IFNA(VLOOKUP(E5650,'Urban Plastix Holds'!$I$36:$U$498,10,0),0)</f>
        <v>0</v>
      </c>
      <c r="J5650" s="2">
        <f t="shared" si="418"/>
        <v>0</v>
      </c>
      <c r="K5650" s="2">
        <f t="shared" si="419"/>
        <v>0</v>
      </c>
    </row>
    <row r="5651" spans="5:11">
      <c r="E5651" t="s">
        <v>1283</v>
      </c>
      <c r="F5651" t="s">
        <v>1526</v>
      </c>
      <c r="G5651" s="11" t="str">
        <f t="shared" si="417"/>
        <v>11-25</v>
      </c>
      <c r="H5651" s="1">
        <f>_xlfn.IFNA(VLOOKUP(E5651,'Urban Plastix Holds'!$I$36:$U$498,11,0),0)</f>
        <v>0</v>
      </c>
      <c r="J5651" s="2">
        <f t="shared" si="418"/>
        <v>0</v>
      </c>
      <c r="K5651" s="2">
        <f t="shared" si="419"/>
        <v>0</v>
      </c>
    </row>
    <row r="5652" spans="5:11">
      <c r="E5652" t="s">
        <v>1283</v>
      </c>
      <c r="F5652" t="s">
        <v>1526</v>
      </c>
      <c r="G5652" s="13" t="str">
        <f t="shared" si="417"/>
        <v>18-01</v>
      </c>
      <c r="H5652" s="1">
        <f>_xlfn.IFNA(VLOOKUP(E5652,'Urban Plastix Holds'!$I$36:$U$498,12,0),0)</f>
        <v>0</v>
      </c>
      <c r="J5652" s="2">
        <f t="shared" si="418"/>
        <v>0</v>
      </c>
      <c r="K5652" s="2">
        <f t="shared" si="419"/>
        <v>0</v>
      </c>
    </row>
    <row r="5653" spans="5:11">
      <c r="E5653" t="s">
        <v>1283</v>
      </c>
      <c r="F5653" t="s">
        <v>1526</v>
      </c>
      <c r="G5653" s="12" t="str">
        <f t="shared" si="417"/>
        <v>12-01</v>
      </c>
      <c r="H5653" s="1">
        <f>_xlfn.IFNA(VLOOKUP(E5653,'Urban Plastix Holds'!$I$36:$U$498,13,0),0)</f>
        <v>0</v>
      </c>
      <c r="J5653" s="2">
        <f t="shared" si="418"/>
        <v>0</v>
      </c>
      <c r="K5653" s="2">
        <f t="shared" si="419"/>
        <v>0</v>
      </c>
    </row>
    <row r="5654" spans="5:11">
      <c r="E5654" t="s">
        <v>1306</v>
      </c>
      <c r="F5654" t="s">
        <v>1527</v>
      </c>
      <c r="G5654" s="5" t="str">
        <f t="shared" si="417"/>
        <v>11-12</v>
      </c>
      <c r="H5654" s="1">
        <f>_xlfn.IFNA(VLOOKUP(E5654,'Urban Plastix Holds'!$I$36:$U$498,5,0),0)</f>
        <v>0</v>
      </c>
      <c r="J5654" s="2">
        <f t="shared" si="418"/>
        <v>0</v>
      </c>
      <c r="K5654" s="2">
        <f t="shared" si="419"/>
        <v>0</v>
      </c>
    </row>
    <row r="5655" spans="5:11">
      <c r="E5655" t="s">
        <v>1306</v>
      </c>
      <c r="F5655" t="s">
        <v>1527</v>
      </c>
      <c r="G5655" s="6" t="str">
        <f t="shared" si="417"/>
        <v>14-01</v>
      </c>
      <c r="H5655" s="1">
        <f>_xlfn.IFNA(VLOOKUP(E5655,'Urban Plastix Holds'!$I$36:$U$498,6,0),0)</f>
        <v>0</v>
      </c>
      <c r="J5655" s="2">
        <f t="shared" si="418"/>
        <v>0</v>
      </c>
      <c r="K5655" s="2">
        <f t="shared" si="419"/>
        <v>0</v>
      </c>
    </row>
    <row r="5656" spans="5:11">
      <c r="E5656" t="s">
        <v>1306</v>
      </c>
      <c r="F5656" t="s">
        <v>1527</v>
      </c>
      <c r="G5656" s="7" t="str">
        <f t="shared" ref="G5656:G5719" si="420">G5647</f>
        <v>15-12</v>
      </c>
      <c r="H5656" s="1">
        <f>_xlfn.IFNA(VLOOKUP(E5656,'Urban Plastix Holds'!$I$36:$U$498,7,0),0)</f>
        <v>0</v>
      </c>
      <c r="J5656" s="2">
        <f t="shared" si="418"/>
        <v>0</v>
      </c>
      <c r="K5656" s="2">
        <f t="shared" si="419"/>
        <v>0</v>
      </c>
    </row>
    <row r="5657" spans="5:11">
      <c r="E5657" t="s">
        <v>1306</v>
      </c>
      <c r="F5657" t="s">
        <v>1527</v>
      </c>
      <c r="G5657" s="8" t="str">
        <f t="shared" si="420"/>
        <v>16-16</v>
      </c>
      <c r="H5657" s="1">
        <f>_xlfn.IFNA(VLOOKUP(E5657,'Urban Plastix Holds'!$I$36:$U$498,8,0),0)</f>
        <v>0</v>
      </c>
      <c r="J5657" s="2">
        <f t="shared" si="418"/>
        <v>0</v>
      </c>
      <c r="K5657" s="2">
        <f t="shared" si="419"/>
        <v>0</v>
      </c>
    </row>
    <row r="5658" spans="5:11">
      <c r="E5658" t="s">
        <v>1306</v>
      </c>
      <c r="F5658" t="s">
        <v>1527</v>
      </c>
      <c r="G5658" s="9" t="str">
        <f t="shared" si="420"/>
        <v>13-01</v>
      </c>
      <c r="H5658" s="1">
        <f>_xlfn.IFNA(VLOOKUP(E5658,'Urban Plastix Holds'!$I$36:$U$498,9,0),0)</f>
        <v>0</v>
      </c>
      <c r="J5658" s="2">
        <f t="shared" si="418"/>
        <v>0</v>
      </c>
      <c r="K5658" s="2">
        <f t="shared" si="419"/>
        <v>0</v>
      </c>
    </row>
    <row r="5659" spans="5:11">
      <c r="E5659" t="s">
        <v>1306</v>
      </c>
      <c r="F5659" t="s">
        <v>1527</v>
      </c>
      <c r="G5659" s="10" t="str">
        <f t="shared" si="420"/>
        <v>07-13</v>
      </c>
      <c r="H5659" s="1">
        <f>_xlfn.IFNA(VLOOKUP(E5659,'Urban Plastix Holds'!$I$36:$U$498,10,0),0)</f>
        <v>0</v>
      </c>
      <c r="J5659" s="2">
        <f t="shared" si="418"/>
        <v>0</v>
      </c>
      <c r="K5659" s="2">
        <f t="shared" si="419"/>
        <v>0</v>
      </c>
    </row>
    <row r="5660" spans="5:11">
      <c r="E5660" t="s">
        <v>1306</v>
      </c>
      <c r="F5660" t="s">
        <v>1527</v>
      </c>
      <c r="G5660" s="11" t="str">
        <f t="shared" si="420"/>
        <v>11-25</v>
      </c>
      <c r="H5660" s="1">
        <f>_xlfn.IFNA(VLOOKUP(E5660,'Urban Plastix Holds'!$I$36:$U$498,11,0),0)</f>
        <v>0</v>
      </c>
      <c r="J5660" s="2">
        <f t="shared" si="418"/>
        <v>0</v>
      </c>
      <c r="K5660" s="2">
        <f t="shared" si="419"/>
        <v>0</v>
      </c>
    </row>
    <row r="5661" spans="5:11">
      <c r="E5661" t="s">
        <v>1306</v>
      </c>
      <c r="F5661" t="s">
        <v>1527</v>
      </c>
      <c r="G5661" s="13" t="str">
        <f t="shared" si="420"/>
        <v>18-01</v>
      </c>
      <c r="H5661" s="1">
        <f>_xlfn.IFNA(VLOOKUP(E5661,'Urban Plastix Holds'!$I$36:$U$498,12,0),0)</f>
        <v>0</v>
      </c>
      <c r="J5661" s="2">
        <f t="shared" si="418"/>
        <v>0</v>
      </c>
      <c r="K5661" s="2">
        <f t="shared" si="419"/>
        <v>0</v>
      </c>
    </row>
    <row r="5662" spans="5:11">
      <c r="E5662" t="s">
        <v>1306</v>
      </c>
      <c r="F5662" t="s">
        <v>1527</v>
      </c>
      <c r="G5662" s="12" t="str">
        <f t="shared" si="420"/>
        <v>12-01</v>
      </c>
      <c r="H5662" s="1">
        <f>_xlfn.IFNA(VLOOKUP(E5662,'Urban Plastix Holds'!$I$36:$U$498,13,0),0)</f>
        <v>0</v>
      </c>
      <c r="J5662" s="2">
        <f t="shared" si="418"/>
        <v>0</v>
      </c>
      <c r="K5662" s="2">
        <f t="shared" si="419"/>
        <v>0</v>
      </c>
    </row>
    <row r="5663" spans="5:11">
      <c r="E5663" t="s">
        <v>1278</v>
      </c>
      <c r="F5663" t="s">
        <v>1528</v>
      </c>
      <c r="G5663" s="5" t="str">
        <f t="shared" si="420"/>
        <v>11-12</v>
      </c>
      <c r="H5663" s="1">
        <f>_xlfn.IFNA(VLOOKUP(E5663,'Urban Plastix Holds'!$I$36:$U$498,5,0),0)</f>
        <v>0</v>
      </c>
      <c r="J5663" s="2">
        <f t="shared" si="418"/>
        <v>0</v>
      </c>
      <c r="K5663" s="2">
        <f t="shared" si="419"/>
        <v>0</v>
      </c>
    </row>
    <row r="5664" spans="5:11">
      <c r="E5664" t="s">
        <v>1278</v>
      </c>
      <c r="F5664" t="s">
        <v>1528</v>
      </c>
      <c r="G5664" s="6" t="str">
        <f t="shared" si="420"/>
        <v>14-01</v>
      </c>
      <c r="H5664" s="1">
        <f>_xlfn.IFNA(VLOOKUP(E5664,'Urban Plastix Holds'!$I$36:$U$498,6,0),0)</f>
        <v>0</v>
      </c>
      <c r="J5664" s="2">
        <f t="shared" si="418"/>
        <v>0</v>
      </c>
      <c r="K5664" s="2">
        <f t="shared" si="419"/>
        <v>0</v>
      </c>
    </row>
    <row r="5665" spans="5:11">
      <c r="E5665" t="s">
        <v>1278</v>
      </c>
      <c r="F5665" t="s">
        <v>1528</v>
      </c>
      <c r="G5665" s="7" t="str">
        <f t="shared" si="420"/>
        <v>15-12</v>
      </c>
      <c r="H5665" s="1">
        <f>_xlfn.IFNA(VLOOKUP(E5665,'Urban Plastix Holds'!$I$36:$U$498,7,0),0)</f>
        <v>0</v>
      </c>
      <c r="J5665" s="2">
        <f t="shared" si="418"/>
        <v>0</v>
      </c>
      <c r="K5665" s="2">
        <f t="shared" si="419"/>
        <v>0</v>
      </c>
    </row>
    <row r="5666" spans="5:11">
      <c r="E5666" t="s">
        <v>1278</v>
      </c>
      <c r="F5666" t="s">
        <v>1528</v>
      </c>
      <c r="G5666" s="8" t="str">
        <f t="shared" si="420"/>
        <v>16-16</v>
      </c>
      <c r="H5666" s="1">
        <f>_xlfn.IFNA(VLOOKUP(E5666,'Urban Plastix Holds'!$I$36:$U$498,8,0),0)</f>
        <v>0</v>
      </c>
      <c r="J5666" s="2">
        <f t="shared" si="418"/>
        <v>0</v>
      </c>
      <c r="K5666" s="2">
        <f t="shared" si="419"/>
        <v>0</v>
      </c>
    </row>
    <row r="5667" spans="5:11">
      <c r="E5667" t="s">
        <v>1278</v>
      </c>
      <c r="F5667" t="s">
        <v>1528</v>
      </c>
      <c r="G5667" s="9" t="str">
        <f t="shared" si="420"/>
        <v>13-01</v>
      </c>
      <c r="H5667" s="1">
        <f>_xlfn.IFNA(VLOOKUP(E5667,'Urban Plastix Holds'!$I$36:$U$498,9,0),0)</f>
        <v>0</v>
      </c>
      <c r="J5667" s="2">
        <f t="shared" si="418"/>
        <v>0</v>
      </c>
      <c r="K5667" s="2">
        <f t="shared" si="419"/>
        <v>0</v>
      </c>
    </row>
    <row r="5668" spans="5:11">
      <c r="E5668" t="s">
        <v>1278</v>
      </c>
      <c r="F5668" t="s">
        <v>1528</v>
      </c>
      <c r="G5668" s="10" t="str">
        <f t="shared" si="420"/>
        <v>07-13</v>
      </c>
      <c r="H5668" s="1">
        <f>_xlfn.IFNA(VLOOKUP(E5668,'Urban Plastix Holds'!$I$36:$U$498,10,0),0)</f>
        <v>0</v>
      </c>
      <c r="J5668" s="2">
        <f t="shared" si="418"/>
        <v>0</v>
      </c>
      <c r="K5668" s="2">
        <f t="shared" si="419"/>
        <v>0</v>
      </c>
    </row>
    <row r="5669" spans="5:11">
      <c r="E5669" t="s">
        <v>1278</v>
      </c>
      <c r="F5669" t="s">
        <v>1528</v>
      </c>
      <c r="G5669" s="11" t="str">
        <f t="shared" si="420"/>
        <v>11-25</v>
      </c>
      <c r="H5669" s="1">
        <f>_xlfn.IFNA(VLOOKUP(E5669,'Urban Plastix Holds'!$I$36:$U$498,11,0),0)</f>
        <v>0</v>
      </c>
      <c r="J5669" s="2">
        <f t="shared" si="418"/>
        <v>0</v>
      </c>
      <c r="K5669" s="2">
        <f t="shared" si="419"/>
        <v>0</v>
      </c>
    </row>
    <row r="5670" spans="5:11">
      <c r="E5670" t="s">
        <v>1278</v>
      </c>
      <c r="F5670" t="s">
        <v>1528</v>
      </c>
      <c r="G5670" s="13" t="str">
        <f t="shared" si="420"/>
        <v>18-01</v>
      </c>
      <c r="H5670" s="1">
        <f>_xlfn.IFNA(VLOOKUP(E5670,'Urban Plastix Holds'!$I$36:$U$498,12,0),0)</f>
        <v>0</v>
      </c>
      <c r="J5670" s="2">
        <f t="shared" si="418"/>
        <v>0</v>
      </c>
      <c r="K5670" s="2">
        <f t="shared" si="419"/>
        <v>0</v>
      </c>
    </row>
    <row r="5671" spans="5:11">
      <c r="E5671" t="s">
        <v>1278</v>
      </c>
      <c r="F5671" t="s">
        <v>1528</v>
      </c>
      <c r="G5671" s="12" t="str">
        <f t="shared" si="420"/>
        <v>12-01</v>
      </c>
      <c r="H5671" s="1">
        <f>_xlfn.IFNA(VLOOKUP(E5671,'Urban Plastix Holds'!$I$36:$U$498,13,0),0)</f>
        <v>0</v>
      </c>
      <c r="J5671" s="2">
        <f t="shared" si="418"/>
        <v>0</v>
      </c>
      <c r="K5671" s="2">
        <f t="shared" si="419"/>
        <v>0</v>
      </c>
    </row>
    <row r="5672" spans="5:11">
      <c r="E5672" t="s">
        <v>1239</v>
      </c>
      <c r="F5672" t="s">
        <v>1529</v>
      </c>
      <c r="G5672" s="5" t="str">
        <f t="shared" si="420"/>
        <v>11-12</v>
      </c>
      <c r="H5672" s="1">
        <f>_xlfn.IFNA(VLOOKUP(E5672,'Urban Plastix Holds'!$I$36:$U$498,5,0),0)</f>
        <v>0</v>
      </c>
      <c r="J5672" s="2">
        <f t="shared" si="418"/>
        <v>0</v>
      </c>
      <c r="K5672" s="2">
        <f t="shared" si="419"/>
        <v>0</v>
      </c>
    </row>
    <row r="5673" spans="5:11">
      <c r="E5673" t="s">
        <v>1239</v>
      </c>
      <c r="F5673" t="s">
        <v>1529</v>
      </c>
      <c r="G5673" s="6" t="str">
        <f t="shared" si="420"/>
        <v>14-01</v>
      </c>
      <c r="H5673" s="1">
        <f>_xlfn.IFNA(VLOOKUP(E5673,'Urban Plastix Holds'!$I$36:$U$498,6,0),0)</f>
        <v>0</v>
      </c>
      <c r="J5673" s="2">
        <f t="shared" si="418"/>
        <v>0</v>
      </c>
      <c r="K5673" s="2">
        <f t="shared" si="419"/>
        <v>0</v>
      </c>
    </row>
    <row r="5674" spans="5:11">
      <c r="E5674" t="s">
        <v>1239</v>
      </c>
      <c r="F5674" t="s">
        <v>1529</v>
      </c>
      <c r="G5674" s="7" t="str">
        <f t="shared" si="420"/>
        <v>15-12</v>
      </c>
      <c r="H5674" s="1">
        <f>_xlfn.IFNA(VLOOKUP(E5674,'Urban Plastix Holds'!$I$36:$U$498,7,0),0)</f>
        <v>0</v>
      </c>
      <c r="J5674" s="2">
        <f t="shared" si="418"/>
        <v>0</v>
      </c>
      <c r="K5674" s="2">
        <f t="shared" si="419"/>
        <v>0</v>
      </c>
    </row>
    <row r="5675" spans="5:11">
      <c r="E5675" t="s">
        <v>1239</v>
      </c>
      <c r="F5675" t="s">
        <v>1529</v>
      </c>
      <c r="G5675" s="8" t="str">
        <f t="shared" si="420"/>
        <v>16-16</v>
      </c>
      <c r="H5675" s="1">
        <f>_xlfn.IFNA(VLOOKUP(E5675,'Urban Plastix Holds'!$I$36:$U$498,8,0),0)</f>
        <v>0</v>
      </c>
      <c r="J5675" s="2">
        <f t="shared" si="418"/>
        <v>0</v>
      </c>
      <c r="K5675" s="2">
        <f t="shared" si="419"/>
        <v>0</v>
      </c>
    </row>
    <row r="5676" spans="5:11">
      <c r="E5676" t="s">
        <v>1239</v>
      </c>
      <c r="F5676" t="s">
        <v>1529</v>
      </c>
      <c r="G5676" s="9" t="str">
        <f t="shared" si="420"/>
        <v>13-01</v>
      </c>
      <c r="H5676" s="1">
        <f>_xlfn.IFNA(VLOOKUP(E5676,'Urban Plastix Holds'!$I$36:$U$498,9,0),0)</f>
        <v>0</v>
      </c>
      <c r="J5676" s="2">
        <f t="shared" si="418"/>
        <v>0</v>
      </c>
      <c r="K5676" s="2">
        <f t="shared" si="419"/>
        <v>0</v>
      </c>
    </row>
    <row r="5677" spans="5:11">
      <c r="E5677" t="s">
        <v>1239</v>
      </c>
      <c r="F5677" t="s">
        <v>1529</v>
      </c>
      <c r="G5677" s="10" t="str">
        <f t="shared" si="420"/>
        <v>07-13</v>
      </c>
      <c r="H5677" s="1">
        <f>_xlfn.IFNA(VLOOKUP(E5677,'Urban Plastix Holds'!$I$36:$U$498,10,0),0)</f>
        <v>0</v>
      </c>
      <c r="J5677" s="2">
        <f t="shared" si="418"/>
        <v>0</v>
      </c>
      <c r="K5677" s="2">
        <f t="shared" si="419"/>
        <v>0</v>
      </c>
    </row>
    <row r="5678" spans="5:11">
      <c r="E5678" t="s">
        <v>1239</v>
      </c>
      <c r="F5678" t="s">
        <v>1529</v>
      </c>
      <c r="G5678" s="11" t="str">
        <f t="shared" si="420"/>
        <v>11-25</v>
      </c>
      <c r="H5678" s="1">
        <f>_xlfn.IFNA(VLOOKUP(E5678,'Urban Plastix Holds'!$I$36:$U$498,11,0),0)</f>
        <v>0</v>
      </c>
      <c r="J5678" s="2">
        <f t="shared" ref="J5678:J5741" si="421">H5678*I5678</f>
        <v>0</v>
      </c>
      <c r="K5678" s="2">
        <f t="shared" ref="K5678:K5741" si="422">IF($V$11="Y",J5678*0.05,0)</f>
        <v>0</v>
      </c>
    </row>
    <row r="5679" spans="5:11">
      <c r="E5679" t="s">
        <v>1239</v>
      </c>
      <c r="F5679" t="s">
        <v>1529</v>
      </c>
      <c r="G5679" s="13" t="str">
        <f t="shared" si="420"/>
        <v>18-01</v>
      </c>
      <c r="H5679" s="1">
        <f>_xlfn.IFNA(VLOOKUP(E5679,'Urban Plastix Holds'!$I$36:$U$498,12,0),0)</f>
        <v>0</v>
      </c>
      <c r="J5679" s="2">
        <f t="shared" si="421"/>
        <v>0</v>
      </c>
      <c r="K5679" s="2">
        <f t="shared" si="422"/>
        <v>0</v>
      </c>
    </row>
    <row r="5680" spans="5:11">
      <c r="E5680" t="s">
        <v>1239</v>
      </c>
      <c r="F5680" t="s">
        <v>1529</v>
      </c>
      <c r="G5680" s="12" t="str">
        <f t="shared" si="420"/>
        <v>12-01</v>
      </c>
      <c r="H5680" s="1">
        <f>_xlfn.IFNA(VLOOKUP(E5680,'Urban Plastix Holds'!$I$36:$U$498,13,0),0)</f>
        <v>0</v>
      </c>
      <c r="J5680" s="2">
        <f t="shared" si="421"/>
        <v>0</v>
      </c>
      <c r="K5680" s="2">
        <f t="shared" si="422"/>
        <v>0</v>
      </c>
    </row>
    <row r="5681" spans="5:11">
      <c r="E5681" t="s">
        <v>1243</v>
      </c>
      <c r="F5681" t="s">
        <v>1530</v>
      </c>
      <c r="G5681" s="5" t="str">
        <f t="shared" si="420"/>
        <v>11-12</v>
      </c>
      <c r="H5681" s="1">
        <f>_xlfn.IFNA(VLOOKUP(E5681,'Urban Plastix Holds'!$I$36:$U$498,5,0),0)</f>
        <v>0</v>
      </c>
      <c r="J5681" s="2">
        <f t="shared" si="421"/>
        <v>0</v>
      </c>
      <c r="K5681" s="2">
        <f t="shared" si="422"/>
        <v>0</v>
      </c>
    </row>
    <row r="5682" spans="5:11">
      <c r="E5682" t="s">
        <v>1243</v>
      </c>
      <c r="F5682" t="s">
        <v>1530</v>
      </c>
      <c r="G5682" s="6" t="str">
        <f t="shared" si="420"/>
        <v>14-01</v>
      </c>
      <c r="H5682" s="1">
        <f>_xlfn.IFNA(VLOOKUP(E5682,'Urban Plastix Holds'!$I$36:$U$498,6,0),0)</f>
        <v>0</v>
      </c>
      <c r="J5682" s="2">
        <f t="shared" si="421"/>
        <v>0</v>
      </c>
      <c r="K5682" s="2">
        <f t="shared" si="422"/>
        <v>0</v>
      </c>
    </row>
    <row r="5683" spans="5:11">
      <c r="E5683" t="s">
        <v>1243</v>
      </c>
      <c r="F5683" t="s">
        <v>1530</v>
      </c>
      <c r="G5683" s="7" t="str">
        <f t="shared" si="420"/>
        <v>15-12</v>
      </c>
      <c r="H5683" s="1">
        <f>_xlfn.IFNA(VLOOKUP(E5683,'Urban Plastix Holds'!$I$36:$U$498,7,0),0)</f>
        <v>0</v>
      </c>
      <c r="J5683" s="2">
        <f t="shared" si="421"/>
        <v>0</v>
      </c>
      <c r="K5683" s="2">
        <f t="shared" si="422"/>
        <v>0</v>
      </c>
    </row>
    <row r="5684" spans="5:11">
      <c r="E5684" t="s">
        <v>1243</v>
      </c>
      <c r="F5684" t="s">
        <v>1530</v>
      </c>
      <c r="G5684" s="8" t="str">
        <f t="shared" si="420"/>
        <v>16-16</v>
      </c>
      <c r="H5684" s="1">
        <f>_xlfn.IFNA(VLOOKUP(E5684,'Urban Plastix Holds'!$I$36:$U$498,8,0),0)</f>
        <v>0</v>
      </c>
      <c r="J5684" s="2">
        <f t="shared" si="421"/>
        <v>0</v>
      </c>
      <c r="K5684" s="2">
        <f t="shared" si="422"/>
        <v>0</v>
      </c>
    </row>
    <row r="5685" spans="5:11">
      <c r="E5685" t="s">
        <v>1243</v>
      </c>
      <c r="F5685" t="s">
        <v>1530</v>
      </c>
      <c r="G5685" s="9" t="str">
        <f t="shared" si="420"/>
        <v>13-01</v>
      </c>
      <c r="H5685" s="1">
        <f>_xlfn.IFNA(VLOOKUP(E5685,'Urban Plastix Holds'!$I$36:$U$498,9,0),0)</f>
        <v>0</v>
      </c>
      <c r="J5685" s="2">
        <f t="shared" si="421"/>
        <v>0</v>
      </c>
      <c r="K5685" s="2">
        <f t="shared" si="422"/>
        <v>0</v>
      </c>
    </row>
    <row r="5686" spans="5:11">
      <c r="E5686" t="s">
        <v>1243</v>
      </c>
      <c r="F5686" t="s">
        <v>1530</v>
      </c>
      <c r="G5686" s="10" t="str">
        <f t="shared" si="420"/>
        <v>07-13</v>
      </c>
      <c r="H5686" s="1">
        <f>_xlfn.IFNA(VLOOKUP(E5686,'Urban Plastix Holds'!$I$36:$U$498,10,0),0)</f>
        <v>0</v>
      </c>
      <c r="J5686" s="2">
        <f t="shared" si="421"/>
        <v>0</v>
      </c>
      <c r="K5686" s="2">
        <f t="shared" si="422"/>
        <v>0</v>
      </c>
    </row>
    <row r="5687" spans="5:11">
      <c r="E5687" t="s">
        <v>1243</v>
      </c>
      <c r="F5687" t="s">
        <v>1530</v>
      </c>
      <c r="G5687" s="11" t="str">
        <f t="shared" si="420"/>
        <v>11-25</v>
      </c>
      <c r="H5687" s="1">
        <f>_xlfn.IFNA(VLOOKUP(E5687,'Urban Plastix Holds'!$I$36:$U$498,11,0),0)</f>
        <v>0</v>
      </c>
      <c r="J5687" s="2">
        <f t="shared" si="421"/>
        <v>0</v>
      </c>
      <c r="K5687" s="2">
        <f t="shared" si="422"/>
        <v>0</v>
      </c>
    </row>
    <row r="5688" spans="5:11">
      <c r="E5688" t="s">
        <v>1243</v>
      </c>
      <c r="F5688" t="s">
        <v>1530</v>
      </c>
      <c r="G5688" s="13" t="str">
        <f t="shared" si="420"/>
        <v>18-01</v>
      </c>
      <c r="H5688" s="1">
        <f>_xlfn.IFNA(VLOOKUP(E5688,'Urban Plastix Holds'!$I$36:$U$498,12,0),0)</f>
        <v>0</v>
      </c>
      <c r="J5688" s="2">
        <f t="shared" si="421"/>
        <v>0</v>
      </c>
      <c r="K5688" s="2">
        <f t="shared" si="422"/>
        <v>0</v>
      </c>
    </row>
    <row r="5689" spans="5:11">
      <c r="E5689" t="s">
        <v>1243</v>
      </c>
      <c r="F5689" t="s">
        <v>1530</v>
      </c>
      <c r="G5689" s="12" t="str">
        <f t="shared" si="420"/>
        <v>12-01</v>
      </c>
      <c r="H5689" s="1">
        <f>_xlfn.IFNA(VLOOKUP(E5689,'Urban Plastix Holds'!$I$36:$U$498,13,0),0)</f>
        <v>0</v>
      </c>
      <c r="J5689" s="2">
        <f t="shared" si="421"/>
        <v>0</v>
      </c>
      <c r="K5689" s="2">
        <f t="shared" si="422"/>
        <v>0</v>
      </c>
    </row>
    <row r="5690" spans="5:11">
      <c r="E5690" t="s">
        <v>1247</v>
      </c>
      <c r="F5690" t="s">
        <v>1531</v>
      </c>
      <c r="G5690" s="5" t="str">
        <f t="shared" si="420"/>
        <v>11-12</v>
      </c>
      <c r="H5690" s="1">
        <f>_xlfn.IFNA(VLOOKUP(E5690,'Urban Plastix Holds'!$I$36:$U$498,5,0),0)</f>
        <v>0</v>
      </c>
      <c r="J5690" s="2">
        <f t="shared" si="421"/>
        <v>0</v>
      </c>
      <c r="K5690" s="2">
        <f t="shared" si="422"/>
        <v>0</v>
      </c>
    </row>
    <row r="5691" spans="5:11">
      <c r="E5691" t="s">
        <v>1247</v>
      </c>
      <c r="F5691" t="s">
        <v>1531</v>
      </c>
      <c r="G5691" s="6" t="str">
        <f t="shared" si="420"/>
        <v>14-01</v>
      </c>
      <c r="H5691" s="1">
        <f>_xlfn.IFNA(VLOOKUP(E5691,'Urban Plastix Holds'!$I$36:$U$498,6,0),0)</f>
        <v>0</v>
      </c>
      <c r="J5691" s="2">
        <f t="shared" si="421"/>
        <v>0</v>
      </c>
      <c r="K5691" s="2">
        <f t="shared" si="422"/>
        <v>0</v>
      </c>
    </row>
    <row r="5692" spans="5:11">
      <c r="E5692" t="s">
        <v>1247</v>
      </c>
      <c r="F5692" t="s">
        <v>1531</v>
      </c>
      <c r="G5692" s="7" t="str">
        <f t="shared" si="420"/>
        <v>15-12</v>
      </c>
      <c r="H5692" s="1">
        <f>_xlfn.IFNA(VLOOKUP(E5692,'Urban Plastix Holds'!$I$36:$U$498,7,0),0)</f>
        <v>0</v>
      </c>
      <c r="J5692" s="2">
        <f t="shared" si="421"/>
        <v>0</v>
      </c>
      <c r="K5692" s="2">
        <f t="shared" si="422"/>
        <v>0</v>
      </c>
    </row>
    <row r="5693" spans="5:11">
      <c r="E5693" t="s">
        <v>1247</v>
      </c>
      <c r="F5693" t="s">
        <v>1531</v>
      </c>
      <c r="G5693" s="8" t="str">
        <f t="shared" si="420"/>
        <v>16-16</v>
      </c>
      <c r="H5693" s="1">
        <f>_xlfn.IFNA(VLOOKUP(E5693,'Urban Plastix Holds'!$I$36:$U$498,8,0),0)</f>
        <v>0</v>
      </c>
      <c r="J5693" s="2">
        <f t="shared" si="421"/>
        <v>0</v>
      </c>
      <c r="K5693" s="2">
        <f t="shared" si="422"/>
        <v>0</v>
      </c>
    </row>
    <row r="5694" spans="5:11">
      <c r="E5694" t="s">
        <v>1247</v>
      </c>
      <c r="F5694" t="s">
        <v>1531</v>
      </c>
      <c r="G5694" s="9" t="str">
        <f t="shared" si="420"/>
        <v>13-01</v>
      </c>
      <c r="H5694" s="1">
        <f>_xlfn.IFNA(VLOOKUP(E5694,'Urban Plastix Holds'!$I$36:$U$498,9,0),0)</f>
        <v>0</v>
      </c>
      <c r="J5694" s="2">
        <f t="shared" si="421"/>
        <v>0</v>
      </c>
      <c r="K5694" s="2">
        <f t="shared" si="422"/>
        <v>0</v>
      </c>
    </row>
    <row r="5695" spans="5:11">
      <c r="E5695" t="s">
        <v>1247</v>
      </c>
      <c r="F5695" t="s">
        <v>1531</v>
      </c>
      <c r="G5695" s="10" t="str">
        <f t="shared" si="420"/>
        <v>07-13</v>
      </c>
      <c r="H5695" s="1">
        <f>_xlfn.IFNA(VLOOKUP(E5695,'Urban Plastix Holds'!$I$36:$U$498,10,0),0)</f>
        <v>0</v>
      </c>
      <c r="J5695" s="2">
        <f t="shared" si="421"/>
        <v>0</v>
      </c>
      <c r="K5695" s="2">
        <f t="shared" si="422"/>
        <v>0</v>
      </c>
    </row>
    <row r="5696" spans="5:11">
      <c r="E5696" t="s">
        <v>1247</v>
      </c>
      <c r="F5696" t="s">
        <v>1531</v>
      </c>
      <c r="G5696" s="11" t="str">
        <f t="shared" si="420"/>
        <v>11-25</v>
      </c>
      <c r="H5696" s="1">
        <f>_xlfn.IFNA(VLOOKUP(E5696,'Urban Plastix Holds'!$I$36:$U$498,11,0),0)</f>
        <v>0</v>
      </c>
      <c r="J5696" s="2">
        <f t="shared" si="421"/>
        <v>0</v>
      </c>
      <c r="K5696" s="2">
        <f t="shared" si="422"/>
        <v>0</v>
      </c>
    </row>
    <row r="5697" spans="5:11">
      <c r="E5697" t="s">
        <v>1247</v>
      </c>
      <c r="F5697" t="s">
        <v>1531</v>
      </c>
      <c r="G5697" s="13" t="str">
        <f t="shared" si="420"/>
        <v>18-01</v>
      </c>
      <c r="H5697" s="1">
        <f>_xlfn.IFNA(VLOOKUP(E5697,'Urban Plastix Holds'!$I$36:$U$498,12,0),0)</f>
        <v>0</v>
      </c>
      <c r="J5697" s="2">
        <f t="shared" si="421"/>
        <v>0</v>
      </c>
      <c r="K5697" s="2">
        <f t="shared" si="422"/>
        <v>0</v>
      </c>
    </row>
    <row r="5698" spans="5:11">
      <c r="E5698" t="s">
        <v>1247</v>
      </c>
      <c r="F5698" t="s">
        <v>1531</v>
      </c>
      <c r="G5698" s="12" t="str">
        <f t="shared" si="420"/>
        <v>12-01</v>
      </c>
      <c r="H5698" s="1">
        <f>_xlfn.IFNA(VLOOKUP(E5698,'Urban Plastix Holds'!$I$36:$U$498,13,0),0)</f>
        <v>0</v>
      </c>
      <c r="J5698" s="2">
        <f t="shared" si="421"/>
        <v>0</v>
      </c>
      <c r="K5698" s="2">
        <f t="shared" si="422"/>
        <v>0</v>
      </c>
    </row>
    <row r="5699" spans="5:11">
      <c r="E5699" t="s">
        <v>1246</v>
      </c>
      <c r="F5699" t="s">
        <v>1532</v>
      </c>
      <c r="G5699" s="5" t="str">
        <f t="shared" si="420"/>
        <v>11-12</v>
      </c>
      <c r="H5699" s="1">
        <f>_xlfn.IFNA(VLOOKUP(E5699,'Urban Plastix Holds'!$I$36:$U$498,5,0),0)</f>
        <v>0</v>
      </c>
      <c r="J5699" s="2">
        <f t="shared" si="421"/>
        <v>0</v>
      </c>
      <c r="K5699" s="2">
        <f t="shared" si="422"/>
        <v>0</v>
      </c>
    </row>
    <row r="5700" spans="5:11">
      <c r="E5700" t="s">
        <v>1246</v>
      </c>
      <c r="F5700" t="s">
        <v>1532</v>
      </c>
      <c r="G5700" s="6" t="str">
        <f t="shared" si="420"/>
        <v>14-01</v>
      </c>
      <c r="H5700" s="1">
        <f>_xlfn.IFNA(VLOOKUP(E5700,'Urban Plastix Holds'!$I$36:$U$498,6,0),0)</f>
        <v>0</v>
      </c>
      <c r="J5700" s="2">
        <f t="shared" si="421"/>
        <v>0</v>
      </c>
      <c r="K5700" s="2">
        <f t="shared" si="422"/>
        <v>0</v>
      </c>
    </row>
    <row r="5701" spans="5:11">
      <c r="E5701" t="s">
        <v>1246</v>
      </c>
      <c r="F5701" t="s">
        <v>1532</v>
      </c>
      <c r="G5701" s="7" t="str">
        <f t="shared" si="420"/>
        <v>15-12</v>
      </c>
      <c r="H5701" s="1">
        <f>_xlfn.IFNA(VLOOKUP(E5701,'Urban Plastix Holds'!$I$36:$U$498,7,0),0)</f>
        <v>0</v>
      </c>
      <c r="J5701" s="2">
        <f t="shared" si="421"/>
        <v>0</v>
      </c>
      <c r="K5701" s="2">
        <f t="shared" si="422"/>
        <v>0</v>
      </c>
    </row>
    <row r="5702" spans="5:11">
      <c r="E5702" t="s">
        <v>1246</v>
      </c>
      <c r="F5702" t="s">
        <v>1532</v>
      </c>
      <c r="G5702" s="8" t="str">
        <f t="shared" si="420"/>
        <v>16-16</v>
      </c>
      <c r="H5702" s="1">
        <f>_xlfn.IFNA(VLOOKUP(E5702,'Urban Plastix Holds'!$I$36:$U$498,8,0),0)</f>
        <v>0</v>
      </c>
      <c r="J5702" s="2">
        <f t="shared" si="421"/>
        <v>0</v>
      </c>
      <c r="K5702" s="2">
        <f t="shared" si="422"/>
        <v>0</v>
      </c>
    </row>
    <row r="5703" spans="5:11">
      <c r="E5703" t="s">
        <v>1246</v>
      </c>
      <c r="F5703" t="s">
        <v>1532</v>
      </c>
      <c r="G5703" s="9" t="str">
        <f t="shared" si="420"/>
        <v>13-01</v>
      </c>
      <c r="H5703" s="1">
        <f>_xlfn.IFNA(VLOOKUP(E5703,'Urban Plastix Holds'!$I$36:$U$498,9,0),0)</f>
        <v>0</v>
      </c>
      <c r="J5703" s="2">
        <f t="shared" si="421"/>
        <v>0</v>
      </c>
      <c r="K5703" s="2">
        <f t="shared" si="422"/>
        <v>0</v>
      </c>
    </row>
    <row r="5704" spans="5:11">
      <c r="E5704" t="s">
        <v>1246</v>
      </c>
      <c r="F5704" t="s">
        <v>1532</v>
      </c>
      <c r="G5704" s="10" t="str">
        <f t="shared" si="420"/>
        <v>07-13</v>
      </c>
      <c r="H5704" s="1">
        <f>_xlfn.IFNA(VLOOKUP(E5704,'Urban Plastix Holds'!$I$36:$U$498,10,0),0)</f>
        <v>0</v>
      </c>
      <c r="J5704" s="2">
        <f t="shared" si="421"/>
        <v>0</v>
      </c>
      <c r="K5704" s="2">
        <f t="shared" si="422"/>
        <v>0</v>
      </c>
    </row>
    <row r="5705" spans="5:11">
      <c r="E5705" t="s">
        <v>1246</v>
      </c>
      <c r="F5705" t="s">
        <v>1532</v>
      </c>
      <c r="G5705" s="11" t="str">
        <f t="shared" si="420"/>
        <v>11-25</v>
      </c>
      <c r="H5705" s="1">
        <f>_xlfn.IFNA(VLOOKUP(E5705,'Urban Plastix Holds'!$I$36:$U$498,11,0),0)</f>
        <v>0</v>
      </c>
      <c r="J5705" s="2">
        <f t="shared" si="421"/>
        <v>0</v>
      </c>
      <c r="K5705" s="2">
        <f t="shared" si="422"/>
        <v>0</v>
      </c>
    </row>
    <row r="5706" spans="5:11">
      <c r="E5706" t="s">
        <v>1246</v>
      </c>
      <c r="F5706" t="s">
        <v>1532</v>
      </c>
      <c r="G5706" s="13" t="str">
        <f t="shared" si="420"/>
        <v>18-01</v>
      </c>
      <c r="H5706" s="1">
        <f>_xlfn.IFNA(VLOOKUP(E5706,'Urban Plastix Holds'!$I$36:$U$498,12,0),0)</f>
        <v>0</v>
      </c>
      <c r="J5706" s="2">
        <f t="shared" si="421"/>
        <v>0</v>
      </c>
      <c r="K5706" s="2">
        <f t="shared" si="422"/>
        <v>0</v>
      </c>
    </row>
    <row r="5707" spans="5:11">
      <c r="E5707" t="s">
        <v>1246</v>
      </c>
      <c r="F5707" t="s">
        <v>1532</v>
      </c>
      <c r="G5707" s="12" t="str">
        <f t="shared" si="420"/>
        <v>12-01</v>
      </c>
      <c r="H5707" s="1">
        <f>_xlfn.IFNA(VLOOKUP(E5707,'Urban Plastix Holds'!$I$36:$U$498,13,0),0)</f>
        <v>0</v>
      </c>
      <c r="J5707" s="2">
        <f t="shared" si="421"/>
        <v>0</v>
      </c>
      <c r="K5707" s="2">
        <f t="shared" si="422"/>
        <v>0</v>
      </c>
    </row>
    <row r="5708" spans="5:11">
      <c r="E5708" t="s">
        <v>1321</v>
      </c>
      <c r="F5708" t="s">
        <v>1533</v>
      </c>
      <c r="G5708" s="5" t="str">
        <f t="shared" si="420"/>
        <v>11-12</v>
      </c>
      <c r="H5708" s="1">
        <f>_xlfn.IFNA(VLOOKUP(E5708,'Urban Plastix Holds'!$I$36:$U$498,5,0),0)</f>
        <v>0</v>
      </c>
      <c r="J5708" s="2">
        <f t="shared" si="421"/>
        <v>0</v>
      </c>
      <c r="K5708" s="2">
        <f t="shared" si="422"/>
        <v>0</v>
      </c>
    </row>
    <row r="5709" spans="5:11">
      <c r="E5709" t="s">
        <v>1321</v>
      </c>
      <c r="F5709" t="s">
        <v>1533</v>
      </c>
      <c r="G5709" s="6" t="str">
        <f t="shared" si="420"/>
        <v>14-01</v>
      </c>
      <c r="H5709" s="1">
        <f>_xlfn.IFNA(VLOOKUP(E5709,'Urban Plastix Holds'!$I$36:$U$498,6,0),0)</f>
        <v>0</v>
      </c>
      <c r="J5709" s="2">
        <f t="shared" si="421"/>
        <v>0</v>
      </c>
      <c r="K5709" s="2">
        <f t="shared" si="422"/>
        <v>0</v>
      </c>
    </row>
    <row r="5710" spans="5:11">
      <c r="E5710" t="s">
        <v>1321</v>
      </c>
      <c r="F5710" t="s">
        <v>1533</v>
      </c>
      <c r="G5710" s="7" t="str">
        <f t="shared" si="420"/>
        <v>15-12</v>
      </c>
      <c r="H5710" s="1">
        <f>_xlfn.IFNA(VLOOKUP(E5710,'Urban Plastix Holds'!$I$36:$U$498,7,0),0)</f>
        <v>0</v>
      </c>
      <c r="J5710" s="2">
        <f t="shared" si="421"/>
        <v>0</v>
      </c>
      <c r="K5710" s="2">
        <f t="shared" si="422"/>
        <v>0</v>
      </c>
    </row>
    <row r="5711" spans="5:11">
      <c r="E5711" t="s">
        <v>1321</v>
      </c>
      <c r="F5711" t="s">
        <v>1533</v>
      </c>
      <c r="G5711" s="8" t="str">
        <f t="shared" si="420"/>
        <v>16-16</v>
      </c>
      <c r="H5711" s="1">
        <f>_xlfn.IFNA(VLOOKUP(E5711,'Urban Plastix Holds'!$I$36:$U$498,8,0),0)</f>
        <v>0</v>
      </c>
      <c r="J5711" s="2">
        <f t="shared" si="421"/>
        <v>0</v>
      </c>
      <c r="K5711" s="2">
        <f t="shared" si="422"/>
        <v>0</v>
      </c>
    </row>
    <row r="5712" spans="5:11">
      <c r="E5712" t="s">
        <v>1321</v>
      </c>
      <c r="F5712" t="s">
        <v>1533</v>
      </c>
      <c r="G5712" s="9" t="str">
        <f t="shared" si="420"/>
        <v>13-01</v>
      </c>
      <c r="H5712" s="1">
        <f>_xlfn.IFNA(VLOOKUP(E5712,'Urban Plastix Holds'!$I$36:$U$498,9,0),0)</f>
        <v>0</v>
      </c>
      <c r="J5712" s="2">
        <f t="shared" si="421"/>
        <v>0</v>
      </c>
      <c r="K5712" s="2">
        <f t="shared" si="422"/>
        <v>0</v>
      </c>
    </row>
    <row r="5713" spans="5:11">
      <c r="E5713" t="s">
        <v>1321</v>
      </c>
      <c r="F5713" t="s">
        <v>1533</v>
      </c>
      <c r="G5713" s="10" t="str">
        <f t="shared" si="420"/>
        <v>07-13</v>
      </c>
      <c r="H5713" s="1">
        <f>_xlfn.IFNA(VLOOKUP(E5713,'Urban Plastix Holds'!$I$36:$U$498,10,0),0)</f>
        <v>0</v>
      </c>
      <c r="J5713" s="2">
        <f t="shared" si="421"/>
        <v>0</v>
      </c>
      <c r="K5713" s="2">
        <f t="shared" si="422"/>
        <v>0</v>
      </c>
    </row>
    <row r="5714" spans="5:11">
      <c r="E5714" t="s">
        <v>1321</v>
      </c>
      <c r="F5714" t="s">
        <v>1533</v>
      </c>
      <c r="G5714" s="11" t="str">
        <f t="shared" si="420"/>
        <v>11-25</v>
      </c>
      <c r="H5714" s="1">
        <f>_xlfn.IFNA(VLOOKUP(E5714,'Urban Plastix Holds'!$I$36:$U$498,11,0),0)</f>
        <v>0</v>
      </c>
      <c r="J5714" s="2">
        <f t="shared" si="421"/>
        <v>0</v>
      </c>
      <c r="K5714" s="2">
        <f t="shared" si="422"/>
        <v>0</v>
      </c>
    </row>
    <row r="5715" spans="5:11">
      <c r="E5715" t="s">
        <v>1321</v>
      </c>
      <c r="F5715" t="s">
        <v>1533</v>
      </c>
      <c r="G5715" s="13" t="str">
        <f t="shared" si="420"/>
        <v>18-01</v>
      </c>
      <c r="H5715" s="1">
        <f>_xlfn.IFNA(VLOOKUP(E5715,'Urban Plastix Holds'!$I$36:$U$498,12,0),0)</f>
        <v>0</v>
      </c>
      <c r="J5715" s="2">
        <f t="shared" si="421"/>
        <v>0</v>
      </c>
      <c r="K5715" s="2">
        <f t="shared" si="422"/>
        <v>0</v>
      </c>
    </row>
    <row r="5716" spans="5:11">
      <c r="E5716" t="s">
        <v>1321</v>
      </c>
      <c r="F5716" t="s">
        <v>1533</v>
      </c>
      <c r="G5716" s="12" t="str">
        <f t="shared" si="420"/>
        <v>12-01</v>
      </c>
      <c r="H5716" s="1">
        <f>_xlfn.IFNA(VLOOKUP(E5716,'Urban Plastix Holds'!$I$36:$U$498,13,0),0)</f>
        <v>0</v>
      </c>
      <c r="J5716" s="2">
        <f t="shared" si="421"/>
        <v>0</v>
      </c>
      <c r="K5716" s="2">
        <f t="shared" si="422"/>
        <v>0</v>
      </c>
    </row>
    <row r="5717" spans="5:11">
      <c r="E5717" t="s">
        <v>1444</v>
      </c>
      <c r="F5717" t="s">
        <v>1534</v>
      </c>
      <c r="G5717" s="5" t="str">
        <f t="shared" si="420"/>
        <v>11-12</v>
      </c>
      <c r="H5717" s="1">
        <f>_xlfn.IFNA(VLOOKUP(E5717,'Urban Plastix Holds'!$I$36:$U$498,5,0),0)</f>
        <v>0</v>
      </c>
      <c r="J5717" s="2">
        <f t="shared" si="421"/>
        <v>0</v>
      </c>
      <c r="K5717" s="2">
        <f t="shared" si="422"/>
        <v>0</v>
      </c>
    </row>
    <row r="5718" spans="5:11">
      <c r="E5718" t="s">
        <v>1444</v>
      </c>
      <c r="F5718" t="s">
        <v>1534</v>
      </c>
      <c r="G5718" s="6" t="str">
        <f t="shared" si="420"/>
        <v>14-01</v>
      </c>
      <c r="H5718" s="1">
        <f>_xlfn.IFNA(VLOOKUP(E5718,'Urban Plastix Holds'!$I$36:$U$498,6,0),0)</f>
        <v>0</v>
      </c>
      <c r="J5718" s="2">
        <f t="shared" si="421"/>
        <v>0</v>
      </c>
      <c r="K5718" s="2">
        <f t="shared" si="422"/>
        <v>0</v>
      </c>
    </row>
    <row r="5719" spans="5:11">
      <c r="E5719" t="s">
        <v>1444</v>
      </c>
      <c r="F5719" t="s">
        <v>1534</v>
      </c>
      <c r="G5719" s="7" t="str">
        <f t="shared" si="420"/>
        <v>15-12</v>
      </c>
      <c r="H5719" s="1">
        <f>_xlfn.IFNA(VLOOKUP(E5719,'Urban Plastix Holds'!$I$36:$U$498,7,0),0)</f>
        <v>0</v>
      </c>
      <c r="J5719" s="2">
        <f t="shared" si="421"/>
        <v>0</v>
      </c>
      <c r="K5719" s="2">
        <f t="shared" si="422"/>
        <v>0</v>
      </c>
    </row>
    <row r="5720" spans="5:11">
      <c r="E5720" t="s">
        <v>1444</v>
      </c>
      <c r="F5720" t="s">
        <v>1534</v>
      </c>
      <c r="G5720" s="8" t="str">
        <f t="shared" ref="G5720:G5770" si="423">G5711</f>
        <v>16-16</v>
      </c>
      <c r="H5720" s="1">
        <f>_xlfn.IFNA(VLOOKUP(E5720,'Urban Plastix Holds'!$I$36:$U$498,8,0),0)</f>
        <v>0</v>
      </c>
      <c r="J5720" s="2">
        <f t="shared" si="421"/>
        <v>0</v>
      </c>
      <c r="K5720" s="2">
        <f t="shared" si="422"/>
        <v>0</v>
      </c>
    </row>
    <row r="5721" spans="5:11">
      <c r="E5721" t="s">
        <v>1444</v>
      </c>
      <c r="F5721" t="s">
        <v>1534</v>
      </c>
      <c r="G5721" s="9" t="str">
        <f t="shared" si="423"/>
        <v>13-01</v>
      </c>
      <c r="H5721" s="1">
        <f>_xlfn.IFNA(VLOOKUP(E5721,'Urban Plastix Holds'!$I$36:$U$498,9,0),0)</f>
        <v>0</v>
      </c>
      <c r="J5721" s="2">
        <f t="shared" si="421"/>
        <v>0</v>
      </c>
      <c r="K5721" s="2">
        <f t="shared" si="422"/>
        <v>0</v>
      </c>
    </row>
    <row r="5722" spans="5:11">
      <c r="E5722" t="s">
        <v>1444</v>
      </c>
      <c r="F5722" t="s">
        <v>1534</v>
      </c>
      <c r="G5722" s="10" t="str">
        <f t="shared" si="423"/>
        <v>07-13</v>
      </c>
      <c r="H5722" s="1">
        <f>_xlfn.IFNA(VLOOKUP(E5722,'Urban Plastix Holds'!$I$36:$U$498,10,0),0)</f>
        <v>0</v>
      </c>
      <c r="J5722" s="2">
        <f t="shared" si="421"/>
        <v>0</v>
      </c>
      <c r="K5722" s="2">
        <f t="shared" si="422"/>
        <v>0</v>
      </c>
    </row>
    <row r="5723" spans="5:11">
      <c r="E5723" t="s">
        <v>1444</v>
      </c>
      <c r="F5723" t="s">
        <v>1534</v>
      </c>
      <c r="G5723" s="11" t="str">
        <f t="shared" si="423"/>
        <v>11-25</v>
      </c>
      <c r="H5723" s="1">
        <f>_xlfn.IFNA(VLOOKUP(E5723,'Urban Plastix Holds'!$I$36:$U$498,11,0),0)</f>
        <v>0</v>
      </c>
      <c r="J5723" s="2">
        <f t="shared" si="421"/>
        <v>0</v>
      </c>
      <c r="K5723" s="2">
        <f t="shared" si="422"/>
        <v>0</v>
      </c>
    </row>
    <row r="5724" spans="5:11">
      <c r="E5724" t="s">
        <v>1444</v>
      </c>
      <c r="F5724" t="s">
        <v>1534</v>
      </c>
      <c r="G5724" s="13" t="str">
        <f t="shared" si="423"/>
        <v>18-01</v>
      </c>
      <c r="H5724" s="1">
        <f>_xlfn.IFNA(VLOOKUP(E5724,'Urban Plastix Holds'!$I$36:$U$498,12,0),0)</f>
        <v>0</v>
      </c>
      <c r="J5724" s="2">
        <f t="shared" si="421"/>
        <v>0</v>
      </c>
      <c r="K5724" s="2">
        <f t="shared" si="422"/>
        <v>0</v>
      </c>
    </row>
    <row r="5725" spans="5:11">
      <c r="E5725" t="s">
        <v>1444</v>
      </c>
      <c r="F5725" t="s">
        <v>1534</v>
      </c>
      <c r="G5725" s="12" t="str">
        <f t="shared" si="423"/>
        <v>12-01</v>
      </c>
      <c r="H5725" s="1">
        <f>_xlfn.IFNA(VLOOKUP(E5725,'Urban Plastix Holds'!$I$36:$U$498,13,0),0)</f>
        <v>0</v>
      </c>
      <c r="J5725" s="2">
        <f t="shared" si="421"/>
        <v>0</v>
      </c>
      <c r="K5725" s="2">
        <f t="shared" si="422"/>
        <v>0</v>
      </c>
    </row>
    <row r="5726" spans="5:11">
      <c r="E5726" t="s">
        <v>1445</v>
      </c>
      <c r="F5726" t="s">
        <v>1535</v>
      </c>
      <c r="G5726" s="5" t="str">
        <f t="shared" si="423"/>
        <v>11-12</v>
      </c>
      <c r="H5726" s="1">
        <f>_xlfn.IFNA(VLOOKUP(E5726,'Urban Plastix Holds'!$I$36:$U$498,5,0),0)</f>
        <v>0</v>
      </c>
      <c r="J5726" s="2">
        <f t="shared" si="421"/>
        <v>0</v>
      </c>
      <c r="K5726" s="2">
        <f t="shared" si="422"/>
        <v>0</v>
      </c>
    </row>
    <row r="5727" spans="5:11">
      <c r="E5727" t="s">
        <v>1445</v>
      </c>
      <c r="F5727" t="s">
        <v>1535</v>
      </c>
      <c r="G5727" s="6" t="str">
        <f t="shared" si="423"/>
        <v>14-01</v>
      </c>
      <c r="H5727" s="1">
        <f>_xlfn.IFNA(VLOOKUP(E5727,'Urban Plastix Holds'!$I$36:$U$498,6,0),0)</f>
        <v>0</v>
      </c>
      <c r="J5727" s="2">
        <f t="shared" si="421"/>
        <v>0</v>
      </c>
      <c r="K5727" s="2">
        <f t="shared" si="422"/>
        <v>0</v>
      </c>
    </row>
    <row r="5728" spans="5:11">
      <c r="E5728" t="s">
        <v>1445</v>
      </c>
      <c r="F5728" t="s">
        <v>1535</v>
      </c>
      <c r="G5728" s="7" t="str">
        <f t="shared" si="423"/>
        <v>15-12</v>
      </c>
      <c r="H5728" s="1">
        <f>_xlfn.IFNA(VLOOKUP(E5728,'Urban Plastix Holds'!$I$36:$U$498,7,0),0)</f>
        <v>0</v>
      </c>
      <c r="J5728" s="2">
        <f t="shared" si="421"/>
        <v>0</v>
      </c>
      <c r="K5728" s="2">
        <f t="shared" si="422"/>
        <v>0</v>
      </c>
    </row>
    <row r="5729" spans="5:11">
      <c r="E5729" t="s">
        <v>1445</v>
      </c>
      <c r="F5729" t="s">
        <v>1535</v>
      </c>
      <c r="G5729" s="8" t="str">
        <f t="shared" si="423"/>
        <v>16-16</v>
      </c>
      <c r="H5729" s="1">
        <f>_xlfn.IFNA(VLOOKUP(E5729,'Urban Plastix Holds'!$I$36:$U$498,8,0),0)</f>
        <v>0</v>
      </c>
      <c r="J5729" s="2">
        <f t="shared" si="421"/>
        <v>0</v>
      </c>
      <c r="K5729" s="2">
        <f t="shared" si="422"/>
        <v>0</v>
      </c>
    </row>
    <row r="5730" spans="5:11">
      <c r="E5730" t="s">
        <v>1445</v>
      </c>
      <c r="F5730" t="s">
        <v>1535</v>
      </c>
      <c r="G5730" s="9" t="str">
        <f t="shared" si="423"/>
        <v>13-01</v>
      </c>
      <c r="H5730" s="1">
        <f>_xlfn.IFNA(VLOOKUP(E5730,'Urban Plastix Holds'!$I$36:$U$498,9,0),0)</f>
        <v>0</v>
      </c>
      <c r="J5730" s="2">
        <f t="shared" si="421"/>
        <v>0</v>
      </c>
      <c r="K5730" s="2">
        <f t="shared" si="422"/>
        <v>0</v>
      </c>
    </row>
    <row r="5731" spans="5:11">
      <c r="E5731" t="s">
        <v>1445</v>
      </c>
      <c r="F5731" t="s">
        <v>1535</v>
      </c>
      <c r="G5731" s="10" t="str">
        <f t="shared" si="423"/>
        <v>07-13</v>
      </c>
      <c r="H5731" s="1">
        <f>_xlfn.IFNA(VLOOKUP(E5731,'Urban Plastix Holds'!$I$36:$U$498,10,0),0)</f>
        <v>0</v>
      </c>
      <c r="J5731" s="2">
        <f t="shared" si="421"/>
        <v>0</v>
      </c>
      <c r="K5731" s="2">
        <f t="shared" si="422"/>
        <v>0</v>
      </c>
    </row>
    <row r="5732" spans="5:11">
      <c r="E5732" t="s">
        <v>1445</v>
      </c>
      <c r="F5732" t="s">
        <v>1535</v>
      </c>
      <c r="G5732" s="11" t="str">
        <f t="shared" si="423"/>
        <v>11-25</v>
      </c>
      <c r="H5732" s="1">
        <f>_xlfn.IFNA(VLOOKUP(E5732,'Urban Plastix Holds'!$I$36:$U$498,11,0),0)</f>
        <v>0</v>
      </c>
      <c r="J5732" s="2">
        <f t="shared" si="421"/>
        <v>0</v>
      </c>
      <c r="K5732" s="2">
        <f t="shared" si="422"/>
        <v>0</v>
      </c>
    </row>
    <row r="5733" spans="5:11">
      <c r="E5733" t="s">
        <v>1445</v>
      </c>
      <c r="F5733" t="s">
        <v>1535</v>
      </c>
      <c r="G5733" s="13" t="str">
        <f t="shared" si="423"/>
        <v>18-01</v>
      </c>
      <c r="H5733" s="1">
        <f>_xlfn.IFNA(VLOOKUP(E5733,'Urban Plastix Holds'!$I$36:$U$498,12,0),0)</f>
        <v>0</v>
      </c>
      <c r="J5733" s="2">
        <f t="shared" si="421"/>
        <v>0</v>
      </c>
      <c r="K5733" s="2">
        <f t="shared" si="422"/>
        <v>0</v>
      </c>
    </row>
    <row r="5734" spans="5:11">
      <c r="E5734" t="s">
        <v>1445</v>
      </c>
      <c r="F5734" t="s">
        <v>1535</v>
      </c>
      <c r="G5734" s="12" t="str">
        <f t="shared" si="423"/>
        <v>12-01</v>
      </c>
      <c r="H5734" s="1">
        <f>_xlfn.IFNA(VLOOKUP(E5734,'Urban Plastix Holds'!$I$36:$U$498,13,0),0)</f>
        <v>0</v>
      </c>
      <c r="J5734" s="2">
        <f t="shared" si="421"/>
        <v>0</v>
      </c>
      <c r="K5734" s="2">
        <f t="shared" si="422"/>
        <v>0</v>
      </c>
    </row>
    <row r="5735" spans="5:11">
      <c r="E5735" t="s">
        <v>1446</v>
      </c>
      <c r="F5735" t="s">
        <v>1536</v>
      </c>
      <c r="G5735" s="5" t="str">
        <f t="shared" si="423"/>
        <v>11-12</v>
      </c>
      <c r="H5735" s="1">
        <f>_xlfn.IFNA(VLOOKUP(E5735,'Urban Plastix Holds'!$I$36:$U$498,5,0),0)</f>
        <v>0</v>
      </c>
      <c r="J5735" s="2">
        <f t="shared" si="421"/>
        <v>0</v>
      </c>
      <c r="K5735" s="2">
        <f t="shared" si="422"/>
        <v>0</v>
      </c>
    </row>
    <row r="5736" spans="5:11">
      <c r="E5736" t="s">
        <v>1446</v>
      </c>
      <c r="F5736" t="s">
        <v>1536</v>
      </c>
      <c r="G5736" s="6" t="str">
        <f t="shared" si="423"/>
        <v>14-01</v>
      </c>
      <c r="H5736" s="1">
        <f>_xlfn.IFNA(VLOOKUP(E5736,'Urban Plastix Holds'!$I$36:$U$498,6,0),0)</f>
        <v>0</v>
      </c>
      <c r="J5736" s="2">
        <f t="shared" si="421"/>
        <v>0</v>
      </c>
      <c r="K5736" s="2">
        <f t="shared" si="422"/>
        <v>0</v>
      </c>
    </row>
    <row r="5737" spans="5:11">
      <c r="E5737" t="s">
        <v>1446</v>
      </c>
      <c r="F5737" t="s">
        <v>1536</v>
      </c>
      <c r="G5737" s="7" t="str">
        <f t="shared" si="423"/>
        <v>15-12</v>
      </c>
      <c r="H5737" s="1">
        <f>_xlfn.IFNA(VLOOKUP(E5737,'Urban Plastix Holds'!$I$36:$U$498,7,0),0)</f>
        <v>0</v>
      </c>
      <c r="J5737" s="2">
        <f t="shared" si="421"/>
        <v>0</v>
      </c>
      <c r="K5737" s="2">
        <f t="shared" si="422"/>
        <v>0</v>
      </c>
    </row>
    <row r="5738" spans="5:11">
      <c r="E5738" t="s">
        <v>1446</v>
      </c>
      <c r="F5738" t="s">
        <v>1536</v>
      </c>
      <c r="G5738" s="8" t="str">
        <f t="shared" si="423"/>
        <v>16-16</v>
      </c>
      <c r="H5738" s="1">
        <f>_xlfn.IFNA(VLOOKUP(E5738,'Urban Plastix Holds'!$I$36:$U$498,8,0),0)</f>
        <v>0</v>
      </c>
      <c r="J5738" s="2">
        <f t="shared" si="421"/>
        <v>0</v>
      </c>
      <c r="K5738" s="2">
        <f t="shared" si="422"/>
        <v>0</v>
      </c>
    </row>
    <row r="5739" spans="5:11">
      <c r="E5739" t="s">
        <v>1446</v>
      </c>
      <c r="F5739" t="s">
        <v>1536</v>
      </c>
      <c r="G5739" s="9" t="str">
        <f t="shared" si="423"/>
        <v>13-01</v>
      </c>
      <c r="H5739" s="1">
        <f>_xlfn.IFNA(VLOOKUP(E5739,'Urban Plastix Holds'!$I$36:$U$498,9,0),0)</f>
        <v>0</v>
      </c>
      <c r="J5739" s="2">
        <f t="shared" si="421"/>
        <v>0</v>
      </c>
      <c r="K5739" s="2">
        <f t="shared" si="422"/>
        <v>0</v>
      </c>
    </row>
    <row r="5740" spans="5:11">
      <c r="E5740" t="s">
        <v>1446</v>
      </c>
      <c r="F5740" t="s">
        <v>1536</v>
      </c>
      <c r="G5740" s="10" t="str">
        <f t="shared" si="423"/>
        <v>07-13</v>
      </c>
      <c r="H5740" s="1">
        <f>_xlfn.IFNA(VLOOKUP(E5740,'Urban Plastix Holds'!$I$36:$U$498,10,0),0)</f>
        <v>0</v>
      </c>
      <c r="J5740" s="2">
        <f t="shared" si="421"/>
        <v>0</v>
      </c>
      <c r="K5740" s="2">
        <f t="shared" si="422"/>
        <v>0</v>
      </c>
    </row>
    <row r="5741" spans="5:11">
      <c r="E5741" t="s">
        <v>1446</v>
      </c>
      <c r="F5741" t="s">
        <v>1536</v>
      </c>
      <c r="G5741" s="11" t="str">
        <f t="shared" si="423"/>
        <v>11-25</v>
      </c>
      <c r="H5741" s="1">
        <f>_xlfn.IFNA(VLOOKUP(E5741,'Urban Plastix Holds'!$I$36:$U$498,11,0),0)</f>
        <v>0</v>
      </c>
      <c r="J5741" s="2">
        <f t="shared" si="421"/>
        <v>0</v>
      </c>
      <c r="K5741" s="2">
        <f t="shared" si="422"/>
        <v>0</v>
      </c>
    </row>
    <row r="5742" spans="5:11">
      <c r="E5742" t="s">
        <v>1446</v>
      </c>
      <c r="F5742" t="s">
        <v>1536</v>
      </c>
      <c r="G5742" s="13" t="str">
        <f t="shared" si="423"/>
        <v>18-01</v>
      </c>
      <c r="H5742" s="1">
        <f>_xlfn.IFNA(VLOOKUP(E5742,'Urban Plastix Holds'!$I$36:$U$498,12,0),0)</f>
        <v>0</v>
      </c>
      <c r="J5742" s="2">
        <f t="shared" ref="J5742:J5752" si="424">H5742*I5742</f>
        <v>0</v>
      </c>
      <c r="K5742" s="2">
        <f t="shared" ref="K5742:K5752" si="425">IF($V$11="Y",J5742*0.05,0)</f>
        <v>0</v>
      </c>
    </row>
    <row r="5743" spans="5:11">
      <c r="E5743" t="s">
        <v>1446</v>
      </c>
      <c r="F5743" t="s">
        <v>1536</v>
      </c>
      <c r="G5743" s="12" t="str">
        <f t="shared" si="423"/>
        <v>12-01</v>
      </c>
      <c r="H5743" s="1">
        <f>_xlfn.IFNA(VLOOKUP(E5743,'Urban Plastix Holds'!$I$36:$U$498,13,0),0)</f>
        <v>0</v>
      </c>
      <c r="J5743" s="2">
        <f t="shared" si="424"/>
        <v>0</v>
      </c>
      <c r="K5743" s="2">
        <f t="shared" si="425"/>
        <v>0</v>
      </c>
    </row>
    <row r="5744" spans="5:11">
      <c r="E5744" t="s">
        <v>1447</v>
      </c>
      <c r="F5744" t="s">
        <v>1537</v>
      </c>
      <c r="G5744" s="5" t="str">
        <f t="shared" si="423"/>
        <v>11-12</v>
      </c>
      <c r="H5744" s="1">
        <f>_xlfn.IFNA(VLOOKUP(E5744,'Urban Plastix Holds'!$I$36:$U$498,5,0),0)</f>
        <v>0</v>
      </c>
      <c r="J5744" s="2">
        <f t="shared" si="424"/>
        <v>0</v>
      </c>
      <c r="K5744" s="2">
        <f t="shared" si="425"/>
        <v>0</v>
      </c>
    </row>
    <row r="5745" spans="5:11">
      <c r="E5745" t="s">
        <v>1447</v>
      </c>
      <c r="F5745" t="s">
        <v>1537</v>
      </c>
      <c r="G5745" s="6" t="str">
        <f t="shared" si="423"/>
        <v>14-01</v>
      </c>
      <c r="H5745" s="1">
        <f>_xlfn.IFNA(VLOOKUP(E5745,'Urban Plastix Holds'!$I$36:$U$498,6,0),0)</f>
        <v>0</v>
      </c>
      <c r="J5745" s="2">
        <f t="shared" si="424"/>
        <v>0</v>
      </c>
      <c r="K5745" s="2">
        <f t="shared" si="425"/>
        <v>0</v>
      </c>
    </row>
    <row r="5746" spans="5:11">
      <c r="E5746" t="s">
        <v>1447</v>
      </c>
      <c r="F5746" t="s">
        <v>1537</v>
      </c>
      <c r="G5746" s="7" t="str">
        <f t="shared" si="423"/>
        <v>15-12</v>
      </c>
      <c r="H5746" s="1">
        <f>_xlfn.IFNA(VLOOKUP(E5746,'Urban Plastix Holds'!$I$36:$U$498,7,0),0)</f>
        <v>0</v>
      </c>
      <c r="J5746" s="2">
        <f t="shared" si="424"/>
        <v>0</v>
      </c>
      <c r="K5746" s="2">
        <f t="shared" si="425"/>
        <v>0</v>
      </c>
    </row>
    <row r="5747" spans="5:11">
      <c r="E5747" t="s">
        <v>1447</v>
      </c>
      <c r="F5747" t="s">
        <v>1537</v>
      </c>
      <c r="G5747" s="8" t="str">
        <f t="shared" si="423"/>
        <v>16-16</v>
      </c>
      <c r="H5747" s="1">
        <f>_xlfn.IFNA(VLOOKUP(E5747,'Urban Plastix Holds'!$I$36:$U$498,8,0),0)</f>
        <v>0</v>
      </c>
      <c r="J5747" s="2">
        <f t="shared" si="424"/>
        <v>0</v>
      </c>
      <c r="K5747" s="2">
        <f t="shared" si="425"/>
        <v>0</v>
      </c>
    </row>
    <row r="5748" spans="5:11">
      <c r="E5748" t="s">
        <v>1447</v>
      </c>
      <c r="F5748" t="s">
        <v>1537</v>
      </c>
      <c r="G5748" s="9" t="str">
        <f t="shared" si="423"/>
        <v>13-01</v>
      </c>
      <c r="H5748" s="1">
        <f>_xlfn.IFNA(VLOOKUP(E5748,'Urban Plastix Holds'!$I$36:$U$498,9,0),0)</f>
        <v>0</v>
      </c>
      <c r="J5748" s="2">
        <f t="shared" si="424"/>
        <v>0</v>
      </c>
      <c r="K5748" s="2">
        <f t="shared" si="425"/>
        <v>0</v>
      </c>
    </row>
    <row r="5749" spans="5:11">
      <c r="E5749" t="s">
        <v>1447</v>
      </c>
      <c r="F5749" t="s">
        <v>1537</v>
      </c>
      <c r="G5749" s="10" t="str">
        <f t="shared" si="423"/>
        <v>07-13</v>
      </c>
      <c r="H5749" s="1">
        <f>_xlfn.IFNA(VLOOKUP(E5749,'Urban Plastix Holds'!$I$36:$U$498,10,0),0)</f>
        <v>0</v>
      </c>
      <c r="J5749" s="2">
        <f t="shared" si="424"/>
        <v>0</v>
      </c>
      <c r="K5749" s="2">
        <f t="shared" si="425"/>
        <v>0</v>
      </c>
    </row>
    <row r="5750" spans="5:11">
      <c r="E5750" t="s">
        <v>1447</v>
      </c>
      <c r="F5750" t="s">
        <v>1537</v>
      </c>
      <c r="G5750" s="11" t="str">
        <f t="shared" si="423"/>
        <v>11-25</v>
      </c>
      <c r="H5750" s="1">
        <f>_xlfn.IFNA(VLOOKUP(E5750,'Urban Plastix Holds'!$I$36:$U$498,11,0),0)</f>
        <v>0</v>
      </c>
      <c r="J5750" s="2">
        <f t="shared" si="424"/>
        <v>0</v>
      </c>
      <c r="K5750" s="2">
        <f t="shared" si="425"/>
        <v>0</v>
      </c>
    </row>
    <row r="5751" spans="5:11">
      <c r="E5751" t="s">
        <v>1447</v>
      </c>
      <c r="F5751" t="s">
        <v>1537</v>
      </c>
      <c r="G5751" s="13" t="str">
        <f t="shared" si="423"/>
        <v>18-01</v>
      </c>
      <c r="H5751" s="1">
        <f>_xlfn.IFNA(VLOOKUP(E5751,'Urban Plastix Holds'!$I$36:$U$498,12,0),0)</f>
        <v>0</v>
      </c>
      <c r="J5751" s="2">
        <f t="shared" si="424"/>
        <v>0</v>
      </c>
      <c r="K5751" s="2">
        <f t="shared" si="425"/>
        <v>0</v>
      </c>
    </row>
    <row r="5752" spans="5:11">
      <c r="E5752" t="s">
        <v>1447</v>
      </c>
      <c r="F5752" t="s">
        <v>1537</v>
      </c>
      <c r="G5752" s="12" t="str">
        <f t="shared" si="423"/>
        <v>12-01</v>
      </c>
      <c r="H5752" s="1">
        <f>_xlfn.IFNA(VLOOKUP(E5752,'Urban Plastix Holds'!$I$36:$U$498,13,0),0)</f>
        <v>0</v>
      </c>
      <c r="J5752" s="2">
        <f t="shared" si="424"/>
        <v>0</v>
      </c>
      <c r="K5752" s="2">
        <f t="shared" si="425"/>
        <v>0</v>
      </c>
    </row>
    <row r="5753" spans="5:11">
      <c r="E5753" t="s">
        <v>1588</v>
      </c>
      <c r="F5753" t="s">
        <v>1589</v>
      </c>
      <c r="G5753" s="5" t="str">
        <f t="shared" si="423"/>
        <v>11-12</v>
      </c>
      <c r="H5753" s="1">
        <f>_xlfn.IFNA(VLOOKUP(E5753,'Urban Plastix Holds'!$I$36:$U$498,5,0),0)</f>
        <v>0</v>
      </c>
      <c r="J5753" s="2">
        <f t="shared" ref="J5753:J5770" si="426">H5753*I5753</f>
        <v>0</v>
      </c>
      <c r="K5753" s="2">
        <f t="shared" ref="K5753:K5770" si="427">IF($V$11="Y",J5753*0.05,0)</f>
        <v>0</v>
      </c>
    </row>
    <row r="5754" spans="5:11">
      <c r="E5754" t="s">
        <v>1588</v>
      </c>
      <c r="F5754" t="s">
        <v>1589</v>
      </c>
      <c r="G5754" s="6" t="str">
        <f t="shared" si="423"/>
        <v>14-01</v>
      </c>
      <c r="H5754" s="1">
        <f>_xlfn.IFNA(VLOOKUP(E5754,'Urban Plastix Holds'!$I$36:$U$498,6,0),0)</f>
        <v>0</v>
      </c>
      <c r="J5754" s="2">
        <f t="shared" si="426"/>
        <v>0</v>
      </c>
      <c r="K5754" s="2">
        <f t="shared" si="427"/>
        <v>0</v>
      </c>
    </row>
    <row r="5755" spans="5:11">
      <c r="E5755" t="s">
        <v>1588</v>
      </c>
      <c r="F5755" t="s">
        <v>1589</v>
      </c>
      <c r="G5755" s="7" t="str">
        <f t="shared" si="423"/>
        <v>15-12</v>
      </c>
      <c r="H5755" s="1">
        <f>_xlfn.IFNA(VLOOKUP(E5755,'Urban Plastix Holds'!$I$36:$U$498,7,0),0)</f>
        <v>0</v>
      </c>
      <c r="J5755" s="2">
        <f t="shared" si="426"/>
        <v>0</v>
      </c>
      <c r="K5755" s="2">
        <f t="shared" si="427"/>
        <v>0</v>
      </c>
    </row>
    <row r="5756" spans="5:11">
      <c r="E5756" t="s">
        <v>1588</v>
      </c>
      <c r="F5756" t="s">
        <v>1589</v>
      </c>
      <c r="G5756" s="8" t="str">
        <f t="shared" si="423"/>
        <v>16-16</v>
      </c>
      <c r="H5756" s="1">
        <f>_xlfn.IFNA(VLOOKUP(E5756,'Urban Plastix Holds'!$I$36:$U$498,8,0),0)</f>
        <v>0</v>
      </c>
      <c r="J5756" s="2">
        <f t="shared" si="426"/>
        <v>0</v>
      </c>
      <c r="K5756" s="2">
        <f t="shared" si="427"/>
        <v>0</v>
      </c>
    </row>
    <row r="5757" spans="5:11">
      <c r="E5757" t="s">
        <v>1588</v>
      </c>
      <c r="F5757" t="s">
        <v>1589</v>
      </c>
      <c r="G5757" s="9" t="str">
        <f t="shared" si="423"/>
        <v>13-01</v>
      </c>
      <c r="H5757" s="1">
        <f>_xlfn.IFNA(VLOOKUP(E5757,'Urban Plastix Holds'!$I$36:$U$498,9,0),0)</f>
        <v>0</v>
      </c>
      <c r="J5757" s="2">
        <f t="shared" si="426"/>
        <v>0</v>
      </c>
      <c r="K5757" s="2">
        <f t="shared" si="427"/>
        <v>0</v>
      </c>
    </row>
    <row r="5758" spans="5:11">
      <c r="E5758" t="s">
        <v>1588</v>
      </c>
      <c r="F5758" t="s">
        <v>1589</v>
      </c>
      <c r="G5758" s="10" t="str">
        <f t="shared" si="423"/>
        <v>07-13</v>
      </c>
      <c r="H5758" s="1">
        <f>_xlfn.IFNA(VLOOKUP(E5758,'Urban Plastix Holds'!$I$36:$U$498,10,0),0)</f>
        <v>0</v>
      </c>
      <c r="J5758" s="2">
        <f t="shared" si="426"/>
        <v>0</v>
      </c>
      <c r="K5758" s="2">
        <f t="shared" si="427"/>
        <v>0</v>
      </c>
    </row>
    <row r="5759" spans="5:11">
      <c r="E5759" t="s">
        <v>1588</v>
      </c>
      <c r="F5759" t="s">
        <v>1589</v>
      </c>
      <c r="G5759" s="11" t="str">
        <f t="shared" si="423"/>
        <v>11-25</v>
      </c>
      <c r="H5759" s="1">
        <f>_xlfn.IFNA(VLOOKUP(E5759,'Urban Plastix Holds'!$I$36:$U$498,11,0),0)</f>
        <v>0</v>
      </c>
      <c r="J5759" s="2">
        <f t="shared" si="426"/>
        <v>0</v>
      </c>
      <c r="K5759" s="2">
        <f t="shared" si="427"/>
        <v>0</v>
      </c>
    </row>
    <row r="5760" spans="5:11">
      <c r="E5760" t="s">
        <v>1588</v>
      </c>
      <c r="F5760" t="s">
        <v>1589</v>
      </c>
      <c r="G5760" s="13" t="str">
        <f t="shared" si="423"/>
        <v>18-01</v>
      </c>
      <c r="H5760" s="1">
        <f>_xlfn.IFNA(VLOOKUP(E5760,'Urban Plastix Holds'!$I$36:$U$498,12,0),0)</f>
        <v>0</v>
      </c>
      <c r="J5760" s="2">
        <f t="shared" si="426"/>
        <v>0</v>
      </c>
      <c r="K5760" s="2">
        <f t="shared" si="427"/>
        <v>0</v>
      </c>
    </row>
    <row r="5761" spans="5:11">
      <c r="E5761" t="s">
        <v>1588</v>
      </c>
      <c r="F5761" t="s">
        <v>1589</v>
      </c>
      <c r="G5761" s="12" t="str">
        <f t="shared" si="423"/>
        <v>12-01</v>
      </c>
      <c r="H5761" s="1">
        <f>_xlfn.IFNA(VLOOKUP(E5761,'Urban Plastix Holds'!$I$36:$U$498,13,0),0)</f>
        <v>0</v>
      </c>
      <c r="J5761" s="2">
        <f t="shared" si="426"/>
        <v>0</v>
      </c>
      <c r="K5761" s="2">
        <f t="shared" si="427"/>
        <v>0</v>
      </c>
    </row>
    <row r="5762" spans="5:11">
      <c r="E5762" t="s">
        <v>1592</v>
      </c>
      <c r="F5762" t="s">
        <v>1593</v>
      </c>
      <c r="G5762" s="5" t="str">
        <f t="shared" si="423"/>
        <v>11-12</v>
      </c>
      <c r="H5762" s="1">
        <f>_xlfn.IFNA(VLOOKUP(E5762,'Urban Plastix Holds'!$I$36:$U$498,5,0),0)</f>
        <v>0</v>
      </c>
      <c r="J5762" s="2">
        <f t="shared" si="426"/>
        <v>0</v>
      </c>
      <c r="K5762" s="2">
        <f t="shared" si="427"/>
        <v>0</v>
      </c>
    </row>
    <row r="5763" spans="5:11">
      <c r="E5763" t="s">
        <v>1592</v>
      </c>
      <c r="F5763" t="s">
        <v>1593</v>
      </c>
      <c r="G5763" s="6" t="str">
        <f t="shared" si="423"/>
        <v>14-01</v>
      </c>
      <c r="H5763" s="1">
        <f>_xlfn.IFNA(VLOOKUP(E5763,'Urban Plastix Holds'!$I$36:$U$498,6,0),0)</f>
        <v>0</v>
      </c>
      <c r="J5763" s="2">
        <f t="shared" si="426"/>
        <v>0</v>
      </c>
      <c r="K5763" s="2">
        <f t="shared" si="427"/>
        <v>0</v>
      </c>
    </row>
    <row r="5764" spans="5:11">
      <c r="E5764" t="s">
        <v>1592</v>
      </c>
      <c r="F5764" t="s">
        <v>1593</v>
      </c>
      <c r="G5764" s="7" t="str">
        <f t="shared" si="423"/>
        <v>15-12</v>
      </c>
      <c r="H5764" s="1">
        <f>_xlfn.IFNA(VLOOKUP(E5764,'Urban Plastix Holds'!$I$36:$U$498,7,0),0)</f>
        <v>0</v>
      </c>
      <c r="J5764" s="2">
        <f t="shared" si="426"/>
        <v>0</v>
      </c>
      <c r="K5764" s="2">
        <f t="shared" si="427"/>
        <v>0</v>
      </c>
    </row>
    <row r="5765" spans="5:11">
      <c r="E5765" t="s">
        <v>1592</v>
      </c>
      <c r="F5765" t="s">
        <v>1593</v>
      </c>
      <c r="G5765" s="8" t="str">
        <f t="shared" si="423"/>
        <v>16-16</v>
      </c>
      <c r="H5765" s="1">
        <f>_xlfn.IFNA(VLOOKUP(E5765,'Urban Plastix Holds'!$I$36:$U$498,8,0),0)</f>
        <v>0</v>
      </c>
      <c r="J5765" s="2">
        <f t="shared" si="426"/>
        <v>0</v>
      </c>
      <c r="K5765" s="2">
        <f t="shared" si="427"/>
        <v>0</v>
      </c>
    </row>
    <row r="5766" spans="5:11">
      <c r="E5766" t="s">
        <v>1592</v>
      </c>
      <c r="F5766" t="s">
        <v>1593</v>
      </c>
      <c r="G5766" s="9" t="str">
        <f t="shared" si="423"/>
        <v>13-01</v>
      </c>
      <c r="H5766" s="1">
        <f>_xlfn.IFNA(VLOOKUP(E5766,'Urban Plastix Holds'!$I$36:$U$498,9,0),0)</f>
        <v>0</v>
      </c>
      <c r="J5766" s="2">
        <f t="shared" si="426"/>
        <v>0</v>
      </c>
      <c r="K5766" s="2">
        <f t="shared" si="427"/>
        <v>0</v>
      </c>
    </row>
    <row r="5767" spans="5:11">
      <c r="E5767" t="s">
        <v>1592</v>
      </c>
      <c r="F5767" t="s">
        <v>1593</v>
      </c>
      <c r="G5767" s="10" t="str">
        <f t="shared" si="423"/>
        <v>07-13</v>
      </c>
      <c r="H5767" s="1">
        <f>_xlfn.IFNA(VLOOKUP(E5767,'Urban Plastix Holds'!$I$36:$U$498,10,0),0)</f>
        <v>0</v>
      </c>
      <c r="J5767" s="2">
        <f t="shared" si="426"/>
        <v>0</v>
      </c>
      <c r="K5767" s="2">
        <f t="shared" si="427"/>
        <v>0</v>
      </c>
    </row>
    <row r="5768" spans="5:11">
      <c r="E5768" t="s">
        <v>1592</v>
      </c>
      <c r="F5768" t="s">
        <v>1593</v>
      </c>
      <c r="G5768" s="11" t="str">
        <f t="shared" si="423"/>
        <v>11-25</v>
      </c>
      <c r="H5768" s="1">
        <f>_xlfn.IFNA(VLOOKUP(E5768,'Urban Plastix Holds'!$I$36:$U$498,11,0),0)</f>
        <v>0</v>
      </c>
      <c r="J5768" s="2">
        <f t="shared" si="426"/>
        <v>0</v>
      </c>
      <c r="K5768" s="2">
        <f t="shared" si="427"/>
        <v>0</v>
      </c>
    </row>
    <row r="5769" spans="5:11">
      <c r="E5769" t="s">
        <v>1592</v>
      </c>
      <c r="F5769" t="s">
        <v>1593</v>
      </c>
      <c r="G5769" s="13" t="str">
        <f t="shared" si="423"/>
        <v>18-01</v>
      </c>
      <c r="H5769" s="1">
        <f>_xlfn.IFNA(VLOOKUP(E5769,'Urban Plastix Holds'!$I$36:$U$498,12,0),0)</f>
        <v>0</v>
      </c>
      <c r="J5769" s="2">
        <f t="shared" si="426"/>
        <v>0</v>
      </c>
      <c r="K5769" s="2">
        <f t="shared" si="427"/>
        <v>0</v>
      </c>
    </row>
    <row r="5770" spans="5:11">
      <c r="E5770" t="s">
        <v>1592</v>
      </c>
      <c r="F5770" t="s">
        <v>1593</v>
      </c>
      <c r="G5770" s="12" t="str">
        <f t="shared" si="423"/>
        <v>12-01</v>
      </c>
      <c r="H5770" s="1">
        <f>_xlfn.IFNA(VLOOKUP(E5770,'Urban Plastix Holds'!$I$36:$U$498,13,0),0)</f>
        <v>0</v>
      </c>
      <c r="J5770" s="2">
        <f t="shared" si="426"/>
        <v>0</v>
      </c>
      <c r="K5770" s="2">
        <f t="shared" si="427"/>
        <v>0</v>
      </c>
    </row>
    <row r="5771" spans="5:11">
      <c r="E5771" t="s">
        <v>1590</v>
      </c>
      <c r="F5771" t="s">
        <v>1591</v>
      </c>
      <c r="G5771" s="5" t="str">
        <f t="shared" ref="G5771:G5779" si="428">G5744</f>
        <v>11-12</v>
      </c>
      <c r="H5771" s="1">
        <f>_xlfn.IFNA(VLOOKUP(E5771,'Urban Plastix Holds'!$I$36:$U$498,5,0),0)</f>
        <v>0</v>
      </c>
      <c r="J5771" s="2">
        <f t="shared" ref="J5771:J5779" si="429">H5771*I5771</f>
        <v>0</v>
      </c>
      <c r="K5771" s="2">
        <f t="shared" ref="K5771:K5779" si="430">IF($V$11="Y",J5771*0.05,0)</f>
        <v>0</v>
      </c>
    </row>
    <row r="5772" spans="5:11">
      <c r="E5772" t="s">
        <v>1590</v>
      </c>
      <c r="F5772" t="s">
        <v>1591</v>
      </c>
      <c r="G5772" s="6" t="str">
        <f t="shared" si="428"/>
        <v>14-01</v>
      </c>
      <c r="H5772" s="1">
        <f>_xlfn.IFNA(VLOOKUP(E5772,'Urban Plastix Holds'!$I$36:$U$498,6,0),0)</f>
        <v>0</v>
      </c>
      <c r="J5772" s="2">
        <f t="shared" si="429"/>
        <v>0</v>
      </c>
      <c r="K5772" s="2">
        <f t="shared" si="430"/>
        <v>0</v>
      </c>
    </row>
    <row r="5773" spans="5:11">
      <c r="E5773" t="s">
        <v>1590</v>
      </c>
      <c r="F5773" t="s">
        <v>1591</v>
      </c>
      <c r="G5773" s="7" t="str">
        <f t="shared" si="428"/>
        <v>15-12</v>
      </c>
      <c r="H5773" s="1">
        <f>_xlfn.IFNA(VLOOKUP(E5773,'Urban Plastix Holds'!$I$36:$U$498,7,0),0)</f>
        <v>0</v>
      </c>
      <c r="J5773" s="2">
        <f t="shared" si="429"/>
        <v>0</v>
      </c>
      <c r="K5773" s="2">
        <f t="shared" si="430"/>
        <v>0</v>
      </c>
    </row>
    <row r="5774" spans="5:11">
      <c r="E5774" t="s">
        <v>1590</v>
      </c>
      <c r="F5774" t="s">
        <v>1591</v>
      </c>
      <c r="G5774" s="8" t="str">
        <f t="shared" si="428"/>
        <v>16-16</v>
      </c>
      <c r="H5774" s="1">
        <f>_xlfn.IFNA(VLOOKUP(E5774,'Urban Plastix Holds'!$I$36:$U$498,8,0),0)</f>
        <v>0</v>
      </c>
      <c r="J5774" s="2">
        <f t="shared" si="429"/>
        <v>0</v>
      </c>
      <c r="K5774" s="2">
        <f t="shared" si="430"/>
        <v>0</v>
      </c>
    </row>
    <row r="5775" spans="5:11">
      <c r="E5775" t="s">
        <v>1590</v>
      </c>
      <c r="F5775" t="s">
        <v>1591</v>
      </c>
      <c r="G5775" s="9" t="str">
        <f t="shared" si="428"/>
        <v>13-01</v>
      </c>
      <c r="H5775" s="1">
        <f>_xlfn.IFNA(VLOOKUP(E5775,'Urban Plastix Holds'!$I$36:$U$498,9,0),0)</f>
        <v>0</v>
      </c>
      <c r="J5775" s="2">
        <f t="shared" si="429"/>
        <v>0</v>
      </c>
      <c r="K5775" s="2">
        <f t="shared" si="430"/>
        <v>0</v>
      </c>
    </row>
    <row r="5776" spans="5:11">
      <c r="E5776" t="s">
        <v>1590</v>
      </c>
      <c r="F5776" t="s">
        <v>1591</v>
      </c>
      <c r="G5776" s="10" t="str">
        <f t="shared" si="428"/>
        <v>07-13</v>
      </c>
      <c r="H5776" s="1">
        <f>_xlfn.IFNA(VLOOKUP(E5776,'Urban Plastix Holds'!$I$36:$U$498,10,0),0)</f>
        <v>0</v>
      </c>
      <c r="J5776" s="2">
        <f t="shared" si="429"/>
        <v>0</v>
      </c>
      <c r="K5776" s="2">
        <f t="shared" si="430"/>
        <v>0</v>
      </c>
    </row>
    <row r="5777" spans="5:11">
      <c r="E5777" t="s">
        <v>1590</v>
      </c>
      <c r="F5777" t="s">
        <v>1591</v>
      </c>
      <c r="G5777" s="11" t="str">
        <f t="shared" si="428"/>
        <v>11-25</v>
      </c>
      <c r="H5777" s="1">
        <f>_xlfn.IFNA(VLOOKUP(E5777,'Urban Plastix Holds'!$I$36:$U$498,11,0),0)</f>
        <v>0</v>
      </c>
      <c r="J5777" s="2">
        <f t="shared" si="429"/>
        <v>0</v>
      </c>
      <c r="K5777" s="2">
        <f t="shared" si="430"/>
        <v>0</v>
      </c>
    </row>
    <row r="5778" spans="5:11">
      <c r="E5778" t="s">
        <v>1590</v>
      </c>
      <c r="F5778" t="s">
        <v>1591</v>
      </c>
      <c r="G5778" s="13" t="str">
        <f t="shared" si="428"/>
        <v>18-01</v>
      </c>
      <c r="H5778" s="1">
        <f>_xlfn.IFNA(VLOOKUP(E5778,'Urban Plastix Holds'!$I$36:$U$498,12,0),0)</f>
        <v>0</v>
      </c>
      <c r="J5778" s="2">
        <f t="shared" si="429"/>
        <v>0</v>
      </c>
      <c r="K5778" s="2">
        <f t="shared" si="430"/>
        <v>0</v>
      </c>
    </row>
    <row r="5779" spans="5:11">
      <c r="E5779" t="s">
        <v>1590</v>
      </c>
      <c r="F5779" t="s">
        <v>1591</v>
      </c>
      <c r="G5779" s="12" t="str">
        <f t="shared" si="428"/>
        <v>12-01</v>
      </c>
      <c r="H5779" s="1">
        <f>_xlfn.IFNA(VLOOKUP(E5779,'Urban Plastix Holds'!$I$36:$U$498,13,0),0)</f>
        <v>0</v>
      </c>
      <c r="J5779" s="2">
        <f t="shared" si="429"/>
        <v>0</v>
      </c>
      <c r="K5779" s="2">
        <f t="shared" si="430"/>
        <v>0</v>
      </c>
    </row>
    <row r="5780" spans="5:11">
      <c r="E5780" t="s">
        <v>1594</v>
      </c>
      <c r="F5780" t="s">
        <v>1595</v>
      </c>
      <c r="G5780" s="5" t="str">
        <f t="shared" ref="G5780:G5843" si="431">G5753</f>
        <v>11-12</v>
      </c>
      <c r="H5780" s="1">
        <f>_xlfn.IFNA(VLOOKUP(E5780,'Urban Plastix Holds'!$I$36:$U$498,5,0),0)</f>
        <v>0</v>
      </c>
      <c r="J5780" s="2">
        <f t="shared" ref="J5780:J5788" si="432">H5780*I5780</f>
        <v>0</v>
      </c>
      <c r="K5780" s="2">
        <f t="shared" ref="K5780:K5788" si="433">IF($V$11="Y",J5780*0.05,0)</f>
        <v>0</v>
      </c>
    </row>
    <row r="5781" spans="5:11">
      <c r="E5781" t="s">
        <v>1594</v>
      </c>
      <c r="F5781" t="s">
        <v>1595</v>
      </c>
      <c r="G5781" s="6" t="str">
        <f t="shared" si="431"/>
        <v>14-01</v>
      </c>
      <c r="H5781" s="1">
        <f>_xlfn.IFNA(VLOOKUP(E5781,'Urban Plastix Holds'!$I$36:$U$498,6,0),0)</f>
        <v>0</v>
      </c>
      <c r="J5781" s="2">
        <f t="shared" si="432"/>
        <v>0</v>
      </c>
      <c r="K5781" s="2">
        <f t="shared" si="433"/>
        <v>0</v>
      </c>
    </row>
    <row r="5782" spans="5:11">
      <c r="E5782" t="s">
        <v>1594</v>
      </c>
      <c r="F5782" t="s">
        <v>1595</v>
      </c>
      <c r="G5782" s="7" t="str">
        <f t="shared" si="431"/>
        <v>15-12</v>
      </c>
      <c r="H5782" s="1">
        <f>_xlfn.IFNA(VLOOKUP(E5782,'Urban Plastix Holds'!$I$36:$U$498,7,0),0)</f>
        <v>0</v>
      </c>
      <c r="J5782" s="2">
        <f t="shared" si="432"/>
        <v>0</v>
      </c>
      <c r="K5782" s="2">
        <f t="shared" si="433"/>
        <v>0</v>
      </c>
    </row>
    <row r="5783" spans="5:11">
      <c r="E5783" t="s">
        <v>1594</v>
      </c>
      <c r="F5783" t="s">
        <v>1595</v>
      </c>
      <c r="G5783" s="8" t="str">
        <f t="shared" si="431"/>
        <v>16-16</v>
      </c>
      <c r="H5783" s="1">
        <f>_xlfn.IFNA(VLOOKUP(E5783,'Urban Plastix Holds'!$I$36:$U$498,8,0),0)</f>
        <v>0</v>
      </c>
      <c r="J5783" s="2">
        <f t="shared" si="432"/>
        <v>0</v>
      </c>
      <c r="K5783" s="2">
        <f t="shared" si="433"/>
        <v>0</v>
      </c>
    </row>
    <row r="5784" spans="5:11">
      <c r="E5784" t="s">
        <v>1594</v>
      </c>
      <c r="F5784" t="s">
        <v>1595</v>
      </c>
      <c r="G5784" s="9" t="str">
        <f t="shared" si="431"/>
        <v>13-01</v>
      </c>
      <c r="H5784" s="1">
        <f>_xlfn.IFNA(VLOOKUP(E5784,'Urban Plastix Holds'!$I$36:$U$498,9,0),0)</f>
        <v>0</v>
      </c>
      <c r="J5784" s="2">
        <f t="shared" si="432"/>
        <v>0</v>
      </c>
      <c r="K5784" s="2">
        <f t="shared" si="433"/>
        <v>0</v>
      </c>
    </row>
    <row r="5785" spans="5:11">
      <c r="E5785" t="s">
        <v>1594</v>
      </c>
      <c r="F5785" t="s">
        <v>1595</v>
      </c>
      <c r="G5785" s="10" t="str">
        <f t="shared" si="431"/>
        <v>07-13</v>
      </c>
      <c r="H5785" s="1">
        <f>_xlfn.IFNA(VLOOKUP(E5785,'Urban Plastix Holds'!$I$36:$U$498,10,0),0)</f>
        <v>0</v>
      </c>
      <c r="J5785" s="2">
        <f t="shared" si="432"/>
        <v>0</v>
      </c>
      <c r="K5785" s="2">
        <f t="shared" si="433"/>
        <v>0</v>
      </c>
    </row>
    <row r="5786" spans="5:11">
      <c r="E5786" t="s">
        <v>1594</v>
      </c>
      <c r="F5786" t="s">
        <v>1595</v>
      </c>
      <c r="G5786" s="11" t="str">
        <f t="shared" si="431"/>
        <v>11-25</v>
      </c>
      <c r="H5786" s="1">
        <f>_xlfn.IFNA(VLOOKUP(E5786,'Urban Plastix Holds'!$I$36:$U$498,11,0),0)</f>
        <v>0</v>
      </c>
      <c r="J5786" s="2">
        <f t="shared" si="432"/>
        <v>0</v>
      </c>
      <c r="K5786" s="2">
        <f t="shared" si="433"/>
        <v>0</v>
      </c>
    </row>
    <row r="5787" spans="5:11">
      <c r="E5787" t="s">
        <v>1594</v>
      </c>
      <c r="F5787" t="s">
        <v>1595</v>
      </c>
      <c r="G5787" s="13" t="str">
        <f t="shared" si="431"/>
        <v>18-01</v>
      </c>
      <c r="H5787" s="1">
        <f>_xlfn.IFNA(VLOOKUP(E5787,'Urban Plastix Holds'!$I$36:$U$498,12,0),0)</f>
        <v>0</v>
      </c>
      <c r="J5787" s="2">
        <f t="shared" si="432"/>
        <v>0</v>
      </c>
      <c r="K5787" s="2">
        <f t="shared" si="433"/>
        <v>0</v>
      </c>
    </row>
    <row r="5788" spans="5:11">
      <c r="E5788" t="s">
        <v>1594</v>
      </c>
      <c r="F5788" t="s">
        <v>1595</v>
      </c>
      <c r="G5788" s="12" t="str">
        <f t="shared" si="431"/>
        <v>12-01</v>
      </c>
      <c r="H5788" s="1">
        <f>_xlfn.IFNA(VLOOKUP(E5788,'Urban Plastix Holds'!$I$36:$U$498,13,0),0)</f>
        <v>0</v>
      </c>
      <c r="J5788" s="2">
        <f t="shared" si="432"/>
        <v>0</v>
      </c>
      <c r="K5788" s="2">
        <f t="shared" si="433"/>
        <v>0</v>
      </c>
    </row>
    <row r="5789" spans="5:11">
      <c r="E5789" t="s">
        <v>1596</v>
      </c>
      <c r="F5789" t="s">
        <v>1597</v>
      </c>
      <c r="G5789" s="5" t="str">
        <f t="shared" si="431"/>
        <v>11-12</v>
      </c>
      <c r="H5789" s="1">
        <f>_xlfn.IFNA(VLOOKUP(E5789,'Urban Plastix Holds'!$I$36:$U$498,5,0),0)</f>
        <v>0</v>
      </c>
      <c r="J5789" s="2">
        <f t="shared" ref="J5789:J5797" si="434">H5789*I5789</f>
        <v>0</v>
      </c>
      <c r="K5789" s="2">
        <f t="shared" ref="K5789:K5797" si="435">IF($V$11="Y",J5789*0.05,0)</f>
        <v>0</v>
      </c>
    </row>
    <row r="5790" spans="5:11">
      <c r="E5790" t="s">
        <v>1596</v>
      </c>
      <c r="F5790" t="s">
        <v>1597</v>
      </c>
      <c r="G5790" s="6" t="str">
        <f t="shared" si="431"/>
        <v>14-01</v>
      </c>
      <c r="H5790" s="1">
        <f>_xlfn.IFNA(VLOOKUP(E5790,'Urban Plastix Holds'!$I$36:$U$498,6,0),0)</f>
        <v>0</v>
      </c>
      <c r="J5790" s="2">
        <f t="shared" si="434"/>
        <v>0</v>
      </c>
      <c r="K5790" s="2">
        <f t="shared" si="435"/>
        <v>0</v>
      </c>
    </row>
    <row r="5791" spans="5:11">
      <c r="E5791" t="s">
        <v>1596</v>
      </c>
      <c r="F5791" t="s">
        <v>1597</v>
      </c>
      <c r="G5791" s="7" t="str">
        <f t="shared" si="431"/>
        <v>15-12</v>
      </c>
      <c r="H5791" s="1">
        <f>_xlfn.IFNA(VLOOKUP(E5791,'Urban Plastix Holds'!$I$36:$U$498,7,0),0)</f>
        <v>0</v>
      </c>
      <c r="J5791" s="2">
        <f t="shared" si="434"/>
        <v>0</v>
      </c>
      <c r="K5791" s="2">
        <f t="shared" si="435"/>
        <v>0</v>
      </c>
    </row>
    <row r="5792" spans="5:11">
      <c r="E5792" t="s">
        <v>1596</v>
      </c>
      <c r="F5792" t="s">
        <v>1597</v>
      </c>
      <c r="G5792" s="8" t="str">
        <f t="shared" si="431"/>
        <v>16-16</v>
      </c>
      <c r="H5792" s="1">
        <f>_xlfn.IFNA(VLOOKUP(E5792,'Urban Plastix Holds'!$I$36:$U$498,8,0),0)</f>
        <v>0</v>
      </c>
      <c r="J5792" s="2">
        <f t="shared" si="434"/>
        <v>0</v>
      </c>
      <c r="K5792" s="2">
        <f t="shared" si="435"/>
        <v>0</v>
      </c>
    </row>
    <row r="5793" spans="5:11">
      <c r="E5793" t="s">
        <v>1596</v>
      </c>
      <c r="F5793" t="s">
        <v>1597</v>
      </c>
      <c r="G5793" s="9" t="str">
        <f t="shared" si="431"/>
        <v>13-01</v>
      </c>
      <c r="H5793" s="1">
        <f>_xlfn.IFNA(VLOOKUP(E5793,'Urban Plastix Holds'!$I$36:$U$498,9,0),0)</f>
        <v>0</v>
      </c>
      <c r="J5793" s="2">
        <f t="shared" si="434"/>
        <v>0</v>
      </c>
      <c r="K5793" s="2">
        <f t="shared" si="435"/>
        <v>0</v>
      </c>
    </row>
    <row r="5794" spans="5:11">
      <c r="E5794" t="s">
        <v>1596</v>
      </c>
      <c r="F5794" t="s">
        <v>1597</v>
      </c>
      <c r="G5794" s="10" t="str">
        <f t="shared" si="431"/>
        <v>07-13</v>
      </c>
      <c r="H5794" s="1">
        <f>_xlfn.IFNA(VLOOKUP(E5794,'Urban Plastix Holds'!$I$36:$U$498,10,0),0)</f>
        <v>0</v>
      </c>
      <c r="J5794" s="2">
        <f t="shared" si="434"/>
        <v>0</v>
      </c>
      <c r="K5794" s="2">
        <f t="shared" si="435"/>
        <v>0</v>
      </c>
    </row>
    <row r="5795" spans="5:11">
      <c r="E5795" t="s">
        <v>1596</v>
      </c>
      <c r="F5795" t="s">
        <v>1597</v>
      </c>
      <c r="G5795" s="11" t="str">
        <f t="shared" si="431"/>
        <v>11-25</v>
      </c>
      <c r="H5795" s="1">
        <f>_xlfn.IFNA(VLOOKUP(E5795,'Urban Plastix Holds'!$I$36:$U$498,11,0),0)</f>
        <v>0</v>
      </c>
      <c r="J5795" s="2">
        <f t="shared" si="434"/>
        <v>0</v>
      </c>
      <c r="K5795" s="2">
        <f t="shared" si="435"/>
        <v>0</v>
      </c>
    </row>
    <row r="5796" spans="5:11">
      <c r="E5796" t="s">
        <v>1596</v>
      </c>
      <c r="F5796" t="s">
        <v>1597</v>
      </c>
      <c r="G5796" s="13" t="str">
        <f t="shared" si="431"/>
        <v>18-01</v>
      </c>
      <c r="H5796" s="1">
        <f>_xlfn.IFNA(VLOOKUP(E5796,'Urban Plastix Holds'!$I$36:$U$498,12,0),0)</f>
        <v>0</v>
      </c>
      <c r="J5796" s="2">
        <f t="shared" si="434"/>
        <v>0</v>
      </c>
      <c r="K5796" s="2">
        <f t="shared" si="435"/>
        <v>0</v>
      </c>
    </row>
    <row r="5797" spans="5:11">
      <c r="E5797" t="s">
        <v>1596</v>
      </c>
      <c r="F5797" t="s">
        <v>1597</v>
      </c>
      <c r="G5797" s="12" t="str">
        <f t="shared" si="431"/>
        <v>12-01</v>
      </c>
      <c r="H5797" s="1">
        <f>_xlfn.IFNA(VLOOKUP(E5797,'Urban Plastix Holds'!$I$36:$U$498,13,0),0)</f>
        <v>0</v>
      </c>
      <c r="J5797" s="2">
        <f t="shared" si="434"/>
        <v>0</v>
      </c>
      <c r="K5797" s="2">
        <f t="shared" si="435"/>
        <v>0</v>
      </c>
    </row>
    <row r="5798" spans="5:11">
      <c r="E5798" t="s">
        <v>1773</v>
      </c>
      <c r="F5798" t="s">
        <v>1774</v>
      </c>
      <c r="G5798" s="5" t="str">
        <f t="shared" si="431"/>
        <v>11-12</v>
      </c>
      <c r="H5798" s="1">
        <f>_xlfn.IFNA(VLOOKUP(E5798,'Urban Plastix Holds'!$I$36:$U$498,5,0),0)</f>
        <v>0</v>
      </c>
      <c r="J5798" s="2">
        <f t="shared" ref="J5798:J5842" si="436">H5798*I5798</f>
        <v>0</v>
      </c>
      <c r="K5798" s="2">
        <f t="shared" ref="K5798:K5842" si="437">IF($V$11="Y",J5798*0.05,0)</f>
        <v>0</v>
      </c>
    </row>
    <row r="5799" spans="5:11">
      <c r="E5799" t="s">
        <v>1773</v>
      </c>
      <c r="F5799" t="s">
        <v>1774</v>
      </c>
      <c r="G5799" s="6" t="str">
        <f t="shared" si="431"/>
        <v>14-01</v>
      </c>
      <c r="H5799" s="1">
        <f>_xlfn.IFNA(VLOOKUP(E5799,'Urban Plastix Holds'!$I$36:$U$498,6,0),0)</f>
        <v>0</v>
      </c>
      <c r="J5799" s="2">
        <f t="shared" si="436"/>
        <v>0</v>
      </c>
      <c r="K5799" s="2">
        <f t="shared" si="437"/>
        <v>0</v>
      </c>
    </row>
    <row r="5800" spans="5:11">
      <c r="E5800" t="s">
        <v>1773</v>
      </c>
      <c r="F5800" t="s">
        <v>1774</v>
      </c>
      <c r="G5800" s="7" t="str">
        <f t="shared" si="431"/>
        <v>15-12</v>
      </c>
      <c r="H5800" s="1">
        <f>_xlfn.IFNA(VLOOKUP(E5800,'Urban Plastix Holds'!$I$36:$U$498,7,0),0)</f>
        <v>0</v>
      </c>
      <c r="J5800" s="2">
        <f t="shared" si="436"/>
        <v>0</v>
      </c>
      <c r="K5800" s="2">
        <f t="shared" si="437"/>
        <v>0</v>
      </c>
    </row>
    <row r="5801" spans="5:11">
      <c r="E5801" t="s">
        <v>1773</v>
      </c>
      <c r="F5801" t="s">
        <v>1774</v>
      </c>
      <c r="G5801" s="8" t="str">
        <f t="shared" si="431"/>
        <v>16-16</v>
      </c>
      <c r="H5801" s="1">
        <f>_xlfn.IFNA(VLOOKUP(E5801,'Urban Plastix Holds'!$I$36:$U$498,8,0),0)</f>
        <v>0</v>
      </c>
      <c r="J5801" s="2">
        <f t="shared" si="436"/>
        <v>0</v>
      </c>
      <c r="K5801" s="2">
        <f t="shared" si="437"/>
        <v>0</v>
      </c>
    </row>
    <row r="5802" spans="5:11">
      <c r="E5802" t="s">
        <v>1773</v>
      </c>
      <c r="F5802" t="s">
        <v>1774</v>
      </c>
      <c r="G5802" s="9" t="str">
        <f t="shared" si="431"/>
        <v>13-01</v>
      </c>
      <c r="H5802" s="1">
        <f>_xlfn.IFNA(VLOOKUP(E5802,'Urban Plastix Holds'!$I$36:$U$498,9,0),0)</f>
        <v>0</v>
      </c>
      <c r="J5802" s="2">
        <f t="shared" si="436"/>
        <v>0</v>
      </c>
      <c r="K5802" s="2">
        <f t="shared" si="437"/>
        <v>0</v>
      </c>
    </row>
    <row r="5803" spans="5:11">
      <c r="E5803" t="s">
        <v>1773</v>
      </c>
      <c r="F5803" t="s">
        <v>1774</v>
      </c>
      <c r="G5803" s="10" t="str">
        <f t="shared" si="431"/>
        <v>07-13</v>
      </c>
      <c r="H5803" s="1">
        <f>_xlfn.IFNA(VLOOKUP(E5803,'Urban Plastix Holds'!$I$36:$U$498,10,0),0)</f>
        <v>0</v>
      </c>
      <c r="J5803" s="2">
        <f t="shared" si="436"/>
        <v>0</v>
      </c>
      <c r="K5803" s="2">
        <f t="shared" si="437"/>
        <v>0</v>
      </c>
    </row>
    <row r="5804" spans="5:11">
      <c r="E5804" t="s">
        <v>1773</v>
      </c>
      <c r="F5804" t="s">
        <v>1774</v>
      </c>
      <c r="G5804" s="11" t="str">
        <f t="shared" si="431"/>
        <v>11-25</v>
      </c>
      <c r="H5804" s="1">
        <f>_xlfn.IFNA(VLOOKUP(E5804,'Urban Plastix Holds'!$I$36:$U$498,11,0),0)</f>
        <v>0</v>
      </c>
      <c r="J5804" s="2">
        <f t="shared" si="436"/>
        <v>0</v>
      </c>
      <c r="K5804" s="2">
        <f t="shared" si="437"/>
        <v>0</v>
      </c>
    </row>
    <row r="5805" spans="5:11">
      <c r="E5805" t="s">
        <v>1773</v>
      </c>
      <c r="F5805" t="s">
        <v>1774</v>
      </c>
      <c r="G5805" s="13" t="str">
        <f t="shared" si="431"/>
        <v>18-01</v>
      </c>
      <c r="H5805" s="1">
        <f>_xlfn.IFNA(VLOOKUP(E5805,'Urban Plastix Holds'!$I$36:$U$498,12,0),0)</f>
        <v>0</v>
      </c>
      <c r="J5805" s="2">
        <f t="shared" si="436"/>
        <v>0</v>
      </c>
      <c r="K5805" s="2">
        <f t="shared" si="437"/>
        <v>0</v>
      </c>
    </row>
    <row r="5806" spans="5:11">
      <c r="E5806" t="s">
        <v>1773</v>
      </c>
      <c r="F5806" t="s">
        <v>1774</v>
      </c>
      <c r="G5806" s="12" t="str">
        <f t="shared" si="431"/>
        <v>12-01</v>
      </c>
      <c r="H5806" s="1">
        <f>_xlfn.IFNA(VLOOKUP(E5806,'Urban Plastix Holds'!$I$36:$U$498,13,0),0)</f>
        <v>0</v>
      </c>
      <c r="J5806" s="2">
        <f t="shared" si="436"/>
        <v>0</v>
      </c>
      <c r="K5806" s="2">
        <f t="shared" si="437"/>
        <v>0</v>
      </c>
    </row>
    <row r="5807" spans="5:11">
      <c r="E5807" t="s">
        <v>1775</v>
      </c>
      <c r="F5807" t="s">
        <v>1776</v>
      </c>
      <c r="G5807" s="5" t="str">
        <f t="shared" si="431"/>
        <v>11-12</v>
      </c>
      <c r="H5807" s="1">
        <f>_xlfn.IFNA(VLOOKUP(E5807,'Urban Plastix Holds'!$I$36:$U$498,5,0),0)</f>
        <v>0</v>
      </c>
      <c r="J5807" s="2">
        <f t="shared" si="436"/>
        <v>0</v>
      </c>
      <c r="K5807" s="2">
        <f t="shared" si="437"/>
        <v>0</v>
      </c>
    </row>
    <row r="5808" spans="5:11">
      <c r="E5808" t="s">
        <v>1775</v>
      </c>
      <c r="F5808" t="s">
        <v>1776</v>
      </c>
      <c r="G5808" s="6" t="str">
        <f t="shared" si="431"/>
        <v>14-01</v>
      </c>
      <c r="H5808" s="1">
        <f>_xlfn.IFNA(VLOOKUP(E5808,'Urban Plastix Holds'!$I$36:$U$498,6,0),0)</f>
        <v>0</v>
      </c>
      <c r="J5808" s="2">
        <f t="shared" si="436"/>
        <v>0</v>
      </c>
      <c r="K5808" s="2">
        <f t="shared" si="437"/>
        <v>0</v>
      </c>
    </row>
    <row r="5809" spans="5:11">
      <c r="E5809" t="s">
        <v>1775</v>
      </c>
      <c r="F5809" t="s">
        <v>1776</v>
      </c>
      <c r="G5809" s="7" t="str">
        <f t="shared" si="431"/>
        <v>15-12</v>
      </c>
      <c r="H5809" s="1">
        <f>_xlfn.IFNA(VLOOKUP(E5809,'Urban Plastix Holds'!$I$36:$U$498,7,0),0)</f>
        <v>0</v>
      </c>
      <c r="J5809" s="2">
        <f t="shared" si="436"/>
        <v>0</v>
      </c>
      <c r="K5809" s="2">
        <f t="shared" si="437"/>
        <v>0</v>
      </c>
    </row>
    <row r="5810" spans="5:11">
      <c r="E5810" t="s">
        <v>1775</v>
      </c>
      <c r="F5810" t="s">
        <v>1776</v>
      </c>
      <c r="G5810" s="8" t="str">
        <f t="shared" si="431"/>
        <v>16-16</v>
      </c>
      <c r="H5810" s="1">
        <f>_xlfn.IFNA(VLOOKUP(E5810,'Urban Plastix Holds'!$I$36:$U$498,8,0),0)</f>
        <v>0</v>
      </c>
      <c r="J5810" s="2">
        <f t="shared" si="436"/>
        <v>0</v>
      </c>
      <c r="K5810" s="2">
        <f t="shared" si="437"/>
        <v>0</v>
      </c>
    </row>
    <row r="5811" spans="5:11">
      <c r="E5811" t="s">
        <v>1775</v>
      </c>
      <c r="F5811" t="s">
        <v>1776</v>
      </c>
      <c r="G5811" s="9" t="str">
        <f t="shared" si="431"/>
        <v>13-01</v>
      </c>
      <c r="H5811" s="1">
        <f>_xlfn.IFNA(VLOOKUP(E5811,'Urban Plastix Holds'!$I$36:$U$498,9,0),0)</f>
        <v>0</v>
      </c>
      <c r="J5811" s="2">
        <f t="shared" si="436"/>
        <v>0</v>
      </c>
      <c r="K5811" s="2">
        <f t="shared" si="437"/>
        <v>0</v>
      </c>
    </row>
    <row r="5812" spans="5:11">
      <c r="E5812" t="s">
        <v>1775</v>
      </c>
      <c r="F5812" t="s">
        <v>1776</v>
      </c>
      <c r="G5812" s="10" t="str">
        <f t="shared" si="431"/>
        <v>07-13</v>
      </c>
      <c r="H5812" s="1">
        <f>_xlfn.IFNA(VLOOKUP(E5812,'Urban Plastix Holds'!$I$36:$U$498,10,0),0)</f>
        <v>0</v>
      </c>
      <c r="J5812" s="2">
        <f t="shared" si="436"/>
        <v>0</v>
      </c>
      <c r="K5812" s="2">
        <f t="shared" si="437"/>
        <v>0</v>
      </c>
    </row>
    <row r="5813" spans="5:11">
      <c r="E5813" t="s">
        <v>1775</v>
      </c>
      <c r="F5813" t="s">
        <v>1776</v>
      </c>
      <c r="G5813" s="11" t="str">
        <f t="shared" si="431"/>
        <v>11-25</v>
      </c>
      <c r="H5813" s="1">
        <f>_xlfn.IFNA(VLOOKUP(E5813,'Urban Plastix Holds'!$I$36:$U$498,11,0),0)</f>
        <v>0</v>
      </c>
      <c r="J5813" s="2">
        <f t="shared" si="436"/>
        <v>0</v>
      </c>
      <c r="K5813" s="2">
        <f t="shared" si="437"/>
        <v>0</v>
      </c>
    </row>
    <row r="5814" spans="5:11">
      <c r="E5814" t="s">
        <v>1775</v>
      </c>
      <c r="F5814" t="s">
        <v>1776</v>
      </c>
      <c r="G5814" s="13" t="str">
        <f t="shared" si="431"/>
        <v>18-01</v>
      </c>
      <c r="H5814" s="1">
        <f>_xlfn.IFNA(VLOOKUP(E5814,'Urban Plastix Holds'!$I$36:$U$498,12,0),0)</f>
        <v>0</v>
      </c>
      <c r="J5814" s="2">
        <f t="shared" si="436"/>
        <v>0</v>
      </c>
      <c r="K5814" s="2">
        <f t="shared" si="437"/>
        <v>0</v>
      </c>
    </row>
    <row r="5815" spans="5:11">
      <c r="E5815" t="s">
        <v>1775</v>
      </c>
      <c r="F5815" t="s">
        <v>1776</v>
      </c>
      <c r="G5815" s="12" t="str">
        <f t="shared" si="431"/>
        <v>12-01</v>
      </c>
      <c r="H5815" s="1">
        <f>_xlfn.IFNA(VLOOKUP(E5815,'Urban Plastix Holds'!$I$36:$U$498,13,0),0)</f>
        <v>0</v>
      </c>
      <c r="J5815" s="2">
        <f t="shared" si="436"/>
        <v>0</v>
      </c>
      <c r="K5815" s="2">
        <f t="shared" si="437"/>
        <v>0</v>
      </c>
    </row>
    <row r="5816" spans="5:11">
      <c r="E5816" t="s">
        <v>1777</v>
      </c>
      <c r="F5816" t="s">
        <v>1778</v>
      </c>
      <c r="G5816" s="5" t="str">
        <f t="shared" si="431"/>
        <v>11-12</v>
      </c>
      <c r="H5816" s="1">
        <f>_xlfn.IFNA(VLOOKUP(E5816,'Urban Plastix Holds'!$I$36:$U$498,5,0),0)</f>
        <v>0</v>
      </c>
      <c r="J5816" s="2">
        <f t="shared" si="436"/>
        <v>0</v>
      </c>
      <c r="K5816" s="2">
        <f t="shared" si="437"/>
        <v>0</v>
      </c>
    </row>
    <row r="5817" spans="5:11">
      <c r="E5817" t="s">
        <v>1777</v>
      </c>
      <c r="F5817" t="s">
        <v>1778</v>
      </c>
      <c r="G5817" s="6" t="str">
        <f t="shared" si="431"/>
        <v>14-01</v>
      </c>
      <c r="H5817" s="1">
        <f>_xlfn.IFNA(VLOOKUP(E5817,'Urban Plastix Holds'!$I$36:$U$498,6,0),0)</f>
        <v>0</v>
      </c>
      <c r="J5817" s="2">
        <f t="shared" si="436"/>
        <v>0</v>
      </c>
      <c r="K5817" s="2">
        <f t="shared" si="437"/>
        <v>0</v>
      </c>
    </row>
    <row r="5818" spans="5:11">
      <c r="E5818" t="s">
        <v>1777</v>
      </c>
      <c r="F5818" t="s">
        <v>1778</v>
      </c>
      <c r="G5818" s="7" t="str">
        <f t="shared" si="431"/>
        <v>15-12</v>
      </c>
      <c r="H5818" s="1">
        <f>_xlfn.IFNA(VLOOKUP(E5818,'Urban Plastix Holds'!$I$36:$U$498,7,0),0)</f>
        <v>0</v>
      </c>
      <c r="J5818" s="2">
        <f t="shared" si="436"/>
        <v>0</v>
      </c>
      <c r="K5818" s="2">
        <f t="shared" si="437"/>
        <v>0</v>
      </c>
    </row>
    <row r="5819" spans="5:11">
      <c r="E5819" t="s">
        <v>1777</v>
      </c>
      <c r="F5819" t="s">
        <v>1778</v>
      </c>
      <c r="G5819" s="8" t="str">
        <f t="shared" si="431"/>
        <v>16-16</v>
      </c>
      <c r="H5819" s="1">
        <f>_xlfn.IFNA(VLOOKUP(E5819,'Urban Plastix Holds'!$I$36:$U$498,8,0),0)</f>
        <v>0</v>
      </c>
      <c r="J5819" s="2">
        <f t="shared" si="436"/>
        <v>0</v>
      </c>
      <c r="K5819" s="2">
        <f t="shared" si="437"/>
        <v>0</v>
      </c>
    </row>
    <row r="5820" spans="5:11">
      <c r="E5820" t="s">
        <v>1777</v>
      </c>
      <c r="F5820" t="s">
        <v>1778</v>
      </c>
      <c r="G5820" s="9" t="str">
        <f t="shared" si="431"/>
        <v>13-01</v>
      </c>
      <c r="H5820" s="1">
        <f>_xlfn.IFNA(VLOOKUP(E5820,'Urban Plastix Holds'!$I$36:$U$498,9,0),0)</f>
        <v>0</v>
      </c>
      <c r="J5820" s="2">
        <f t="shared" si="436"/>
        <v>0</v>
      </c>
      <c r="K5820" s="2">
        <f t="shared" si="437"/>
        <v>0</v>
      </c>
    </row>
    <row r="5821" spans="5:11">
      <c r="E5821" t="s">
        <v>1777</v>
      </c>
      <c r="F5821" t="s">
        <v>1778</v>
      </c>
      <c r="G5821" s="10" t="str">
        <f t="shared" si="431"/>
        <v>07-13</v>
      </c>
      <c r="H5821" s="1">
        <f>_xlfn.IFNA(VLOOKUP(E5821,'Urban Plastix Holds'!$I$36:$U$498,10,0),0)</f>
        <v>0</v>
      </c>
      <c r="J5821" s="2">
        <f t="shared" si="436"/>
        <v>0</v>
      </c>
      <c r="K5821" s="2">
        <f t="shared" si="437"/>
        <v>0</v>
      </c>
    </row>
    <row r="5822" spans="5:11">
      <c r="E5822" t="s">
        <v>1777</v>
      </c>
      <c r="F5822" t="s">
        <v>1778</v>
      </c>
      <c r="G5822" s="11" t="str">
        <f t="shared" si="431"/>
        <v>11-25</v>
      </c>
      <c r="H5822" s="1">
        <f>_xlfn.IFNA(VLOOKUP(E5822,'Urban Plastix Holds'!$I$36:$U$498,11,0),0)</f>
        <v>0</v>
      </c>
      <c r="J5822" s="2">
        <f t="shared" si="436"/>
        <v>0</v>
      </c>
      <c r="K5822" s="2">
        <f t="shared" si="437"/>
        <v>0</v>
      </c>
    </row>
    <row r="5823" spans="5:11">
      <c r="E5823" t="s">
        <v>1777</v>
      </c>
      <c r="F5823" t="s">
        <v>1778</v>
      </c>
      <c r="G5823" s="13" t="str">
        <f t="shared" si="431"/>
        <v>18-01</v>
      </c>
      <c r="H5823" s="1">
        <f>_xlfn.IFNA(VLOOKUP(E5823,'Urban Plastix Holds'!$I$36:$U$498,12,0),0)</f>
        <v>0</v>
      </c>
      <c r="J5823" s="2">
        <f t="shared" si="436"/>
        <v>0</v>
      </c>
      <c r="K5823" s="2">
        <f t="shared" si="437"/>
        <v>0</v>
      </c>
    </row>
    <row r="5824" spans="5:11">
      <c r="E5824" t="s">
        <v>1777</v>
      </c>
      <c r="F5824" t="s">
        <v>1778</v>
      </c>
      <c r="G5824" s="12" t="str">
        <f t="shared" si="431"/>
        <v>12-01</v>
      </c>
      <c r="H5824" s="1">
        <f>_xlfn.IFNA(VLOOKUP(E5824,'Urban Plastix Holds'!$I$36:$U$498,13,0),0)</f>
        <v>0</v>
      </c>
      <c r="J5824" s="2">
        <f t="shared" si="436"/>
        <v>0</v>
      </c>
      <c r="K5824" s="2">
        <f t="shared" si="437"/>
        <v>0</v>
      </c>
    </row>
    <row r="5825" spans="5:11">
      <c r="E5825" t="s">
        <v>1779</v>
      </c>
      <c r="F5825" t="s">
        <v>1780</v>
      </c>
      <c r="G5825" s="5" t="str">
        <f t="shared" si="431"/>
        <v>11-12</v>
      </c>
      <c r="H5825" s="1">
        <f>_xlfn.IFNA(VLOOKUP(E5825,'Urban Plastix Holds'!$I$36:$U$498,5,0),0)</f>
        <v>0</v>
      </c>
      <c r="J5825" s="2">
        <f t="shared" si="436"/>
        <v>0</v>
      </c>
      <c r="K5825" s="2">
        <f t="shared" si="437"/>
        <v>0</v>
      </c>
    </row>
    <row r="5826" spans="5:11">
      <c r="E5826" t="s">
        <v>1779</v>
      </c>
      <c r="F5826" t="s">
        <v>1780</v>
      </c>
      <c r="G5826" s="6" t="str">
        <f t="shared" si="431"/>
        <v>14-01</v>
      </c>
      <c r="H5826" s="1">
        <f>_xlfn.IFNA(VLOOKUP(E5826,'Urban Plastix Holds'!$I$36:$U$498,6,0),0)</f>
        <v>0</v>
      </c>
      <c r="J5826" s="2">
        <f t="shared" si="436"/>
        <v>0</v>
      </c>
      <c r="K5826" s="2">
        <f t="shared" si="437"/>
        <v>0</v>
      </c>
    </row>
    <row r="5827" spans="5:11">
      <c r="E5827" t="s">
        <v>1779</v>
      </c>
      <c r="F5827" t="s">
        <v>1780</v>
      </c>
      <c r="G5827" s="7" t="str">
        <f t="shared" si="431"/>
        <v>15-12</v>
      </c>
      <c r="H5827" s="1">
        <f>_xlfn.IFNA(VLOOKUP(E5827,'Urban Plastix Holds'!$I$36:$U$498,7,0),0)</f>
        <v>0</v>
      </c>
      <c r="J5827" s="2">
        <f t="shared" si="436"/>
        <v>0</v>
      </c>
      <c r="K5827" s="2">
        <f t="shared" si="437"/>
        <v>0</v>
      </c>
    </row>
    <row r="5828" spans="5:11">
      <c r="E5828" t="s">
        <v>1779</v>
      </c>
      <c r="F5828" t="s">
        <v>1780</v>
      </c>
      <c r="G5828" s="8" t="str">
        <f t="shared" si="431"/>
        <v>16-16</v>
      </c>
      <c r="H5828" s="1">
        <f>_xlfn.IFNA(VLOOKUP(E5828,'Urban Plastix Holds'!$I$36:$U$498,8,0),0)</f>
        <v>0</v>
      </c>
      <c r="J5828" s="2">
        <f t="shared" si="436"/>
        <v>0</v>
      </c>
      <c r="K5828" s="2">
        <f t="shared" si="437"/>
        <v>0</v>
      </c>
    </row>
    <row r="5829" spans="5:11">
      <c r="E5829" t="s">
        <v>1779</v>
      </c>
      <c r="F5829" t="s">
        <v>1780</v>
      </c>
      <c r="G5829" s="9" t="str">
        <f t="shared" si="431"/>
        <v>13-01</v>
      </c>
      <c r="H5829" s="1">
        <f>_xlfn.IFNA(VLOOKUP(E5829,'Urban Plastix Holds'!$I$36:$U$498,9,0),0)</f>
        <v>0</v>
      </c>
      <c r="J5829" s="2">
        <f t="shared" si="436"/>
        <v>0</v>
      </c>
      <c r="K5829" s="2">
        <f t="shared" si="437"/>
        <v>0</v>
      </c>
    </row>
    <row r="5830" spans="5:11">
      <c r="E5830" t="s">
        <v>1779</v>
      </c>
      <c r="F5830" t="s">
        <v>1780</v>
      </c>
      <c r="G5830" s="10" t="str">
        <f t="shared" si="431"/>
        <v>07-13</v>
      </c>
      <c r="H5830" s="1">
        <f>_xlfn.IFNA(VLOOKUP(E5830,'Urban Plastix Holds'!$I$36:$U$498,10,0),0)</f>
        <v>0</v>
      </c>
      <c r="J5830" s="2">
        <f t="shared" si="436"/>
        <v>0</v>
      </c>
      <c r="K5830" s="2">
        <f t="shared" si="437"/>
        <v>0</v>
      </c>
    </row>
    <row r="5831" spans="5:11">
      <c r="E5831" t="s">
        <v>1779</v>
      </c>
      <c r="F5831" t="s">
        <v>1780</v>
      </c>
      <c r="G5831" s="11" t="str">
        <f t="shared" si="431"/>
        <v>11-25</v>
      </c>
      <c r="H5831" s="1">
        <f>_xlfn.IFNA(VLOOKUP(E5831,'Urban Plastix Holds'!$I$36:$U$498,11,0),0)</f>
        <v>0</v>
      </c>
      <c r="J5831" s="2">
        <f t="shared" si="436"/>
        <v>0</v>
      </c>
      <c r="K5831" s="2">
        <f t="shared" si="437"/>
        <v>0</v>
      </c>
    </row>
    <row r="5832" spans="5:11">
      <c r="E5832" t="s">
        <v>1779</v>
      </c>
      <c r="F5832" t="s">
        <v>1780</v>
      </c>
      <c r="G5832" s="13" t="str">
        <f t="shared" si="431"/>
        <v>18-01</v>
      </c>
      <c r="H5832" s="1">
        <f>_xlfn.IFNA(VLOOKUP(E5832,'Urban Plastix Holds'!$I$36:$U$498,12,0),0)</f>
        <v>0</v>
      </c>
      <c r="J5832" s="2">
        <f t="shared" si="436"/>
        <v>0</v>
      </c>
      <c r="K5832" s="2">
        <f t="shared" si="437"/>
        <v>0</v>
      </c>
    </row>
    <row r="5833" spans="5:11">
      <c r="E5833" t="s">
        <v>1779</v>
      </c>
      <c r="F5833" s="3" t="s">
        <v>1780</v>
      </c>
      <c r="G5833" s="12" t="str">
        <f t="shared" si="431"/>
        <v>12-01</v>
      </c>
      <c r="H5833" s="1">
        <f>_xlfn.IFNA(VLOOKUP(E5833,'Urban Plastix Holds'!$I$36:$U$498,13,0),0)</f>
        <v>0</v>
      </c>
      <c r="J5833" s="2">
        <f t="shared" si="436"/>
        <v>0</v>
      </c>
      <c r="K5833" s="2">
        <f t="shared" si="437"/>
        <v>0</v>
      </c>
    </row>
    <row r="5834" spans="5:11">
      <c r="E5834" t="s">
        <v>1781</v>
      </c>
      <c r="F5834" s="3" t="s">
        <v>1782</v>
      </c>
      <c r="G5834" s="5" t="str">
        <f t="shared" si="431"/>
        <v>11-12</v>
      </c>
      <c r="H5834" s="1">
        <f>_xlfn.IFNA(VLOOKUP(E5834,'Urban Plastix Holds'!$I$36:$U$498,5,0),0)</f>
        <v>0</v>
      </c>
      <c r="J5834" s="2">
        <f t="shared" si="436"/>
        <v>0</v>
      </c>
      <c r="K5834" s="2">
        <f t="shared" si="437"/>
        <v>0</v>
      </c>
    </row>
    <row r="5835" spans="5:11">
      <c r="E5835" t="s">
        <v>1781</v>
      </c>
      <c r="F5835" s="3" t="s">
        <v>1782</v>
      </c>
      <c r="G5835" s="6" t="str">
        <f t="shared" si="431"/>
        <v>14-01</v>
      </c>
      <c r="H5835" s="1">
        <f>_xlfn.IFNA(VLOOKUP(E5835,'Urban Plastix Holds'!$I$36:$U$498,6,0),0)</f>
        <v>0</v>
      </c>
      <c r="J5835" s="2">
        <f t="shared" si="436"/>
        <v>0</v>
      </c>
      <c r="K5835" s="2">
        <f t="shared" si="437"/>
        <v>0</v>
      </c>
    </row>
    <row r="5836" spans="5:11">
      <c r="E5836" t="s">
        <v>1781</v>
      </c>
      <c r="F5836" s="3" t="s">
        <v>1782</v>
      </c>
      <c r="G5836" s="7" t="str">
        <f t="shared" si="431"/>
        <v>15-12</v>
      </c>
      <c r="H5836" s="1">
        <f>_xlfn.IFNA(VLOOKUP(E5836,'Urban Plastix Holds'!$I$36:$U$498,7,0),0)</f>
        <v>0</v>
      </c>
      <c r="J5836" s="2">
        <f t="shared" si="436"/>
        <v>0</v>
      </c>
      <c r="K5836" s="2">
        <f t="shared" si="437"/>
        <v>0</v>
      </c>
    </row>
    <row r="5837" spans="5:11">
      <c r="E5837" t="s">
        <v>1781</v>
      </c>
      <c r="F5837" s="3" t="s">
        <v>1782</v>
      </c>
      <c r="G5837" s="8" t="str">
        <f t="shared" si="431"/>
        <v>16-16</v>
      </c>
      <c r="H5837" s="1">
        <f>_xlfn.IFNA(VLOOKUP(E5837,'Urban Plastix Holds'!$I$36:$U$498,8,0),0)</f>
        <v>0</v>
      </c>
      <c r="J5837" s="2">
        <f t="shared" si="436"/>
        <v>0</v>
      </c>
      <c r="K5837" s="2">
        <f t="shared" si="437"/>
        <v>0</v>
      </c>
    </row>
    <row r="5838" spans="5:11">
      <c r="E5838" t="s">
        <v>1781</v>
      </c>
      <c r="F5838" s="3" t="s">
        <v>1782</v>
      </c>
      <c r="G5838" s="9" t="str">
        <f t="shared" si="431"/>
        <v>13-01</v>
      </c>
      <c r="H5838" s="1">
        <f>_xlfn.IFNA(VLOOKUP(E5838,'Urban Plastix Holds'!$I$36:$U$498,9,0),0)</f>
        <v>0</v>
      </c>
      <c r="J5838" s="2">
        <f t="shared" si="436"/>
        <v>0</v>
      </c>
      <c r="K5838" s="2">
        <f t="shared" si="437"/>
        <v>0</v>
      </c>
    </row>
    <row r="5839" spans="5:11">
      <c r="E5839" t="s">
        <v>1781</v>
      </c>
      <c r="F5839" s="3" t="s">
        <v>1782</v>
      </c>
      <c r="G5839" s="10" t="str">
        <f t="shared" si="431"/>
        <v>07-13</v>
      </c>
      <c r="H5839" s="1">
        <f>_xlfn.IFNA(VLOOKUP(E5839,'Urban Plastix Holds'!$I$36:$U$498,10,0),0)</f>
        <v>0</v>
      </c>
      <c r="J5839" s="2">
        <f t="shared" si="436"/>
        <v>0</v>
      </c>
      <c r="K5839" s="2">
        <f t="shared" si="437"/>
        <v>0</v>
      </c>
    </row>
    <row r="5840" spans="5:11">
      <c r="E5840" t="s">
        <v>1781</v>
      </c>
      <c r="F5840" s="3" t="s">
        <v>1782</v>
      </c>
      <c r="G5840" s="11" t="str">
        <f t="shared" si="431"/>
        <v>11-25</v>
      </c>
      <c r="H5840" s="1">
        <f>_xlfn.IFNA(VLOOKUP(E5840,'Urban Plastix Holds'!$I$36:$U$498,11,0),0)</f>
        <v>0</v>
      </c>
      <c r="J5840" s="2">
        <f t="shared" si="436"/>
        <v>0</v>
      </c>
      <c r="K5840" s="2">
        <f t="shared" si="437"/>
        <v>0</v>
      </c>
    </row>
    <row r="5841" spans="5:11">
      <c r="E5841" t="s">
        <v>1781</v>
      </c>
      <c r="F5841" s="3" t="s">
        <v>1782</v>
      </c>
      <c r="G5841" s="13" t="str">
        <f t="shared" si="431"/>
        <v>18-01</v>
      </c>
      <c r="H5841" s="1">
        <f>_xlfn.IFNA(VLOOKUP(E5841,'Urban Plastix Holds'!$I$36:$U$498,12,0),0)</f>
        <v>0</v>
      </c>
      <c r="J5841" s="2">
        <f t="shared" si="436"/>
        <v>0</v>
      </c>
      <c r="K5841" s="2">
        <f t="shared" si="437"/>
        <v>0</v>
      </c>
    </row>
    <row r="5842" spans="5:11">
      <c r="E5842" t="s">
        <v>1781</v>
      </c>
      <c r="F5842" s="3" t="s">
        <v>1782</v>
      </c>
      <c r="G5842" s="12" t="str">
        <f t="shared" si="431"/>
        <v>12-01</v>
      </c>
      <c r="H5842" s="1">
        <f>_xlfn.IFNA(VLOOKUP(E5842,'Urban Plastix Holds'!$I$36:$U$498,13,0),0)</f>
        <v>0</v>
      </c>
      <c r="J5842" s="2">
        <f t="shared" si="436"/>
        <v>0</v>
      </c>
      <c r="K5842" s="2">
        <f t="shared" si="437"/>
        <v>0</v>
      </c>
    </row>
    <row r="5843" spans="5:11">
      <c r="E5843" t="s">
        <v>1783</v>
      </c>
      <c r="F5843" s="3" t="s">
        <v>1784</v>
      </c>
      <c r="G5843" s="5" t="str">
        <f t="shared" si="431"/>
        <v>11-12</v>
      </c>
      <c r="H5843" s="1">
        <f>_xlfn.IFNA(VLOOKUP(E5843,'Urban Plastix Holds'!$I$36:$U$498,5,0),0)</f>
        <v>0</v>
      </c>
      <c r="J5843" s="2">
        <f t="shared" ref="J5843:J5860" si="438">H5843*I5843</f>
        <v>0</v>
      </c>
      <c r="K5843" s="2">
        <f t="shared" ref="K5843:K5860" si="439">IF($V$11="Y",J5843*0.05,0)</f>
        <v>0</v>
      </c>
    </row>
    <row r="5844" spans="5:11">
      <c r="E5844" t="s">
        <v>1783</v>
      </c>
      <c r="F5844" s="3" t="s">
        <v>1784</v>
      </c>
      <c r="G5844" s="6" t="str">
        <f t="shared" ref="G5844:G5907" si="440">G5817</f>
        <v>14-01</v>
      </c>
      <c r="H5844" s="1">
        <f>_xlfn.IFNA(VLOOKUP(E5844,'Urban Plastix Holds'!$I$36:$U$498,6,0),0)</f>
        <v>0</v>
      </c>
      <c r="J5844" s="2">
        <f t="shared" si="438"/>
        <v>0</v>
      </c>
      <c r="K5844" s="2">
        <f t="shared" si="439"/>
        <v>0</v>
      </c>
    </row>
    <row r="5845" spans="5:11">
      <c r="E5845" t="s">
        <v>1783</v>
      </c>
      <c r="F5845" s="3" t="s">
        <v>1784</v>
      </c>
      <c r="G5845" s="7" t="str">
        <f t="shared" si="440"/>
        <v>15-12</v>
      </c>
      <c r="H5845" s="1">
        <f>_xlfn.IFNA(VLOOKUP(E5845,'Urban Plastix Holds'!$I$36:$U$498,7,0),0)</f>
        <v>0</v>
      </c>
      <c r="J5845" s="2">
        <f t="shared" si="438"/>
        <v>0</v>
      </c>
      <c r="K5845" s="2">
        <f t="shared" si="439"/>
        <v>0</v>
      </c>
    </row>
    <row r="5846" spans="5:11">
      <c r="E5846" t="s">
        <v>1783</v>
      </c>
      <c r="F5846" s="3" t="s">
        <v>1784</v>
      </c>
      <c r="G5846" s="8" t="str">
        <f t="shared" si="440"/>
        <v>16-16</v>
      </c>
      <c r="H5846" s="1">
        <f>_xlfn.IFNA(VLOOKUP(E5846,'Urban Plastix Holds'!$I$36:$U$498,8,0),0)</f>
        <v>0</v>
      </c>
      <c r="J5846" s="2">
        <f t="shared" si="438"/>
        <v>0</v>
      </c>
      <c r="K5846" s="2">
        <f t="shared" si="439"/>
        <v>0</v>
      </c>
    </row>
    <row r="5847" spans="5:11">
      <c r="E5847" t="s">
        <v>1783</v>
      </c>
      <c r="F5847" s="3" t="s">
        <v>1784</v>
      </c>
      <c r="G5847" s="9" t="str">
        <f t="shared" si="440"/>
        <v>13-01</v>
      </c>
      <c r="H5847" s="1">
        <f>_xlfn.IFNA(VLOOKUP(E5847,'Urban Plastix Holds'!$I$36:$U$498,9,0),0)</f>
        <v>0</v>
      </c>
      <c r="J5847" s="2">
        <f t="shared" si="438"/>
        <v>0</v>
      </c>
      <c r="K5847" s="2">
        <f t="shared" si="439"/>
        <v>0</v>
      </c>
    </row>
    <row r="5848" spans="5:11">
      <c r="E5848" t="s">
        <v>1783</v>
      </c>
      <c r="F5848" s="3" t="s">
        <v>1784</v>
      </c>
      <c r="G5848" s="10" t="str">
        <f t="shared" si="440"/>
        <v>07-13</v>
      </c>
      <c r="H5848" s="1">
        <f>_xlfn.IFNA(VLOOKUP(E5848,'Urban Plastix Holds'!$I$36:$U$498,10,0),0)</f>
        <v>0</v>
      </c>
      <c r="J5848" s="2">
        <f t="shared" si="438"/>
        <v>0</v>
      </c>
      <c r="K5848" s="2">
        <f t="shared" si="439"/>
        <v>0</v>
      </c>
    </row>
    <row r="5849" spans="5:11">
      <c r="E5849" t="s">
        <v>1783</v>
      </c>
      <c r="F5849" s="3" t="s">
        <v>1784</v>
      </c>
      <c r="G5849" s="11" t="str">
        <f t="shared" si="440"/>
        <v>11-25</v>
      </c>
      <c r="H5849" s="1">
        <f>_xlfn.IFNA(VLOOKUP(E5849,'Urban Plastix Holds'!$I$36:$U$498,11,0),0)</f>
        <v>0</v>
      </c>
      <c r="J5849" s="2">
        <f t="shared" si="438"/>
        <v>0</v>
      </c>
      <c r="K5849" s="2">
        <f t="shared" si="439"/>
        <v>0</v>
      </c>
    </row>
    <row r="5850" spans="5:11">
      <c r="E5850" t="s">
        <v>1783</v>
      </c>
      <c r="F5850" s="3" t="s">
        <v>1784</v>
      </c>
      <c r="G5850" s="13" t="str">
        <f t="shared" si="440"/>
        <v>18-01</v>
      </c>
      <c r="H5850" s="1">
        <f>_xlfn.IFNA(VLOOKUP(E5850,'Urban Plastix Holds'!$I$36:$U$498,12,0),0)</f>
        <v>0</v>
      </c>
      <c r="J5850" s="2">
        <f t="shared" si="438"/>
        <v>0</v>
      </c>
      <c r="K5850" s="2">
        <f t="shared" si="439"/>
        <v>0</v>
      </c>
    </row>
    <row r="5851" spans="5:11">
      <c r="E5851" t="s">
        <v>1783</v>
      </c>
      <c r="F5851" s="3" t="s">
        <v>1784</v>
      </c>
      <c r="G5851" s="12" t="str">
        <f t="shared" si="440"/>
        <v>12-01</v>
      </c>
      <c r="H5851" s="1">
        <f>_xlfn.IFNA(VLOOKUP(E5851,'Urban Plastix Holds'!$I$36:$U$498,13,0),0)</f>
        <v>0</v>
      </c>
      <c r="J5851" s="2">
        <f t="shared" si="438"/>
        <v>0</v>
      </c>
      <c r="K5851" s="2">
        <f t="shared" si="439"/>
        <v>0</v>
      </c>
    </row>
    <row r="5852" spans="5:11">
      <c r="E5852" t="s">
        <v>1785</v>
      </c>
      <c r="F5852" s="3" t="s">
        <v>1786</v>
      </c>
      <c r="G5852" s="5" t="str">
        <f t="shared" si="440"/>
        <v>11-12</v>
      </c>
      <c r="H5852" s="1">
        <f>_xlfn.IFNA(VLOOKUP(E5852,'Urban Plastix Holds'!$I$36:$U$498,5,0),0)</f>
        <v>0</v>
      </c>
      <c r="J5852" s="2">
        <f t="shared" si="438"/>
        <v>0</v>
      </c>
      <c r="K5852" s="2">
        <f t="shared" si="439"/>
        <v>0</v>
      </c>
    </row>
    <row r="5853" spans="5:11">
      <c r="E5853" t="s">
        <v>1785</v>
      </c>
      <c r="F5853" s="3" t="s">
        <v>1786</v>
      </c>
      <c r="G5853" s="6" t="str">
        <f t="shared" si="440"/>
        <v>14-01</v>
      </c>
      <c r="H5853" s="1">
        <f>_xlfn.IFNA(VLOOKUP(E5853,'Urban Plastix Holds'!$I$36:$U$498,6,0),0)</f>
        <v>0</v>
      </c>
      <c r="J5853" s="2">
        <f t="shared" si="438"/>
        <v>0</v>
      </c>
      <c r="K5853" s="2">
        <f t="shared" si="439"/>
        <v>0</v>
      </c>
    </row>
    <row r="5854" spans="5:11">
      <c r="E5854" t="s">
        <v>1785</v>
      </c>
      <c r="F5854" s="3" t="s">
        <v>1786</v>
      </c>
      <c r="G5854" s="7" t="str">
        <f t="shared" si="440"/>
        <v>15-12</v>
      </c>
      <c r="H5854" s="1">
        <f>_xlfn.IFNA(VLOOKUP(E5854,'Urban Plastix Holds'!$I$36:$U$498,7,0),0)</f>
        <v>0</v>
      </c>
      <c r="J5854" s="2">
        <f t="shared" si="438"/>
        <v>0</v>
      </c>
      <c r="K5854" s="2">
        <f t="shared" si="439"/>
        <v>0</v>
      </c>
    </row>
    <row r="5855" spans="5:11">
      <c r="E5855" t="s">
        <v>1785</v>
      </c>
      <c r="F5855" s="3" t="s">
        <v>1786</v>
      </c>
      <c r="G5855" s="8" t="str">
        <f t="shared" si="440"/>
        <v>16-16</v>
      </c>
      <c r="H5855" s="1">
        <f>_xlfn.IFNA(VLOOKUP(E5855,'Urban Plastix Holds'!$I$36:$U$498,8,0),0)</f>
        <v>0</v>
      </c>
      <c r="J5855" s="2">
        <f t="shared" si="438"/>
        <v>0</v>
      </c>
      <c r="K5855" s="2">
        <f t="shared" si="439"/>
        <v>0</v>
      </c>
    </row>
    <row r="5856" spans="5:11">
      <c r="E5856" t="s">
        <v>1785</v>
      </c>
      <c r="F5856" s="3" t="s">
        <v>1786</v>
      </c>
      <c r="G5856" s="9" t="str">
        <f t="shared" si="440"/>
        <v>13-01</v>
      </c>
      <c r="H5856" s="1">
        <f>_xlfn.IFNA(VLOOKUP(E5856,'Urban Plastix Holds'!$I$36:$U$498,9,0),0)</f>
        <v>0</v>
      </c>
      <c r="J5856" s="2">
        <f t="shared" si="438"/>
        <v>0</v>
      </c>
      <c r="K5856" s="2">
        <f t="shared" si="439"/>
        <v>0</v>
      </c>
    </row>
    <row r="5857" spans="5:11">
      <c r="E5857" t="s">
        <v>1785</v>
      </c>
      <c r="F5857" s="3" t="s">
        <v>1786</v>
      </c>
      <c r="G5857" s="10" t="str">
        <f t="shared" si="440"/>
        <v>07-13</v>
      </c>
      <c r="H5857" s="1">
        <f>_xlfn.IFNA(VLOOKUP(E5857,'Urban Plastix Holds'!$I$36:$U$498,10,0),0)</f>
        <v>0</v>
      </c>
      <c r="J5857" s="2">
        <f t="shared" si="438"/>
        <v>0</v>
      </c>
      <c r="K5857" s="2">
        <f t="shared" si="439"/>
        <v>0</v>
      </c>
    </row>
    <row r="5858" spans="5:11">
      <c r="E5858" t="s">
        <v>1785</v>
      </c>
      <c r="F5858" s="3" t="s">
        <v>1786</v>
      </c>
      <c r="G5858" s="11" t="str">
        <f t="shared" si="440"/>
        <v>11-25</v>
      </c>
      <c r="H5858" s="1">
        <f>_xlfn.IFNA(VLOOKUP(E5858,'Urban Plastix Holds'!$I$36:$U$498,11,0),0)</f>
        <v>0</v>
      </c>
      <c r="J5858" s="2">
        <f t="shared" si="438"/>
        <v>0</v>
      </c>
      <c r="K5858" s="2">
        <f t="shared" si="439"/>
        <v>0</v>
      </c>
    </row>
    <row r="5859" spans="5:11">
      <c r="E5859" t="s">
        <v>1785</v>
      </c>
      <c r="F5859" s="3" t="s">
        <v>1786</v>
      </c>
      <c r="G5859" s="13" t="str">
        <f t="shared" si="440"/>
        <v>18-01</v>
      </c>
      <c r="H5859" s="1">
        <f>_xlfn.IFNA(VLOOKUP(E5859,'Urban Plastix Holds'!$I$36:$U$498,12,0),0)</f>
        <v>0</v>
      </c>
      <c r="J5859" s="2">
        <f t="shared" si="438"/>
        <v>0</v>
      </c>
      <c r="K5859" s="2">
        <f t="shared" si="439"/>
        <v>0</v>
      </c>
    </row>
    <row r="5860" spans="5:11">
      <c r="E5860" t="s">
        <v>1785</v>
      </c>
      <c r="F5860" s="3" t="s">
        <v>1786</v>
      </c>
      <c r="G5860" s="12" t="str">
        <f t="shared" si="440"/>
        <v>12-01</v>
      </c>
      <c r="H5860" s="1">
        <f>_xlfn.IFNA(VLOOKUP(E5860,'Urban Plastix Holds'!$I$36:$U$498,13,0),0)</f>
        <v>0</v>
      </c>
      <c r="J5860" s="2">
        <f t="shared" si="438"/>
        <v>0</v>
      </c>
      <c r="K5860" s="2">
        <f t="shared" si="439"/>
        <v>0</v>
      </c>
    </row>
    <row r="5861" spans="5:11">
      <c r="E5861" t="s">
        <v>1873</v>
      </c>
      <c r="F5861" s="3" t="s">
        <v>1876</v>
      </c>
      <c r="G5861" s="5" t="str">
        <f t="shared" si="440"/>
        <v>11-12</v>
      </c>
      <c r="H5861" s="1">
        <f>_xlfn.IFNA(VLOOKUP(E5861,'Urban Plastix Holds'!$I$36:$U$498,5,0),0)</f>
        <v>0</v>
      </c>
      <c r="J5861" s="2">
        <f t="shared" ref="J5861:J5905" si="441">H5861*I5861</f>
        <v>0</v>
      </c>
      <c r="K5861" s="2">
        <f t="shared" ref="K5861:K5905" si="442">IF($V$11="Y",J5861*0.05,0)</f>
        <v>0</v>
      </c>
    </row>
    <row r="5862" spans="5:11">
      <c r="E5862" t="s">
        <v>1873</v>
      </c>
      <c r="F5862" s="3" t="s">
        <v>1876</v>
      </c>
      <c r="G5862" s="6" t="str">
        <f t="shared" si="440"/>
        <v>14-01</v>
      </c>
      <c r="H5862" s="1">
        <f>_xlfn.IFNA(VLOOKUP(E5862,'Urban Plastix Holds'!$I$36:$U$498,6,0),0)</f>
        <v>0</v>
      </c>
      <c r="J5862" s="2">
        <f t="shared" si="441"/>
        <v>0</v>
      </c>
      <c r="K5862" s="2">
        <f t="shared" si="442"/>
        <v>0</v>
      </c>
    </row>
    <row r="5863" spans="5:11">
      <c r="E5863" t="s">
        <v>1873</v>
      </c>
      <c r="F5863" s="3" t="s">
        <v>1876</v>
      </c>
      <c r="G5863" s="7" t="str">
        <f t="shared" si="440"/>
        <v>15-12</v>
      </c>
      <c r="H5863" s="1">
        <f>_xlfn.IFNA(VLOOKUP(E5863,'Urban Plastix Holds'!$I$36:$U$498,7,0),0)</f>
        <v>0</v>
      </c>
      <c r="J5863" s="2">
        <f t="shared" si="441"/>
        <v>0</v>
      </c>
      <c r="K5863" s="2">
        <f t="shared" si="442"/>
        <v>0</v>
      </c>
    </row>
    <row r="5864" spans="5:11">
      <c r="E5864" t="s">
        <v>1873</v>
      </c>
      <c r="F5864" s="3" t="s">
        <v>1876</v>
      </c>
      <c r="G5864" s="8" t="str">
        <f t="shared" si="440"/>
        <v>16-16</v>
      </c>
      <c r="H5864" s="1">
        <f>_xlfn.IFNA(VLOOKUP(E5864,'Urban Plastix Holds'!$I$36:$U$498,8,0),0)</f>
        <v>0</v>
      </c>
      <c r="J5864" s="2">
        <f t="shared" si="441"/>
        <v>0</v>
      </c>
      <c r="K5864" s="2">
        <f t="shared" si="442"/>
        <v>0</v>
      </c>
    </row>
    <row r="5865" spans="5:11">
      <c r="E5865" t="s">
        <v>1873</v>
      </c>
      <c r="F5865" s="3" t="s">
        <v>1876</v>
      </c>
      <c r="G5865" s="9" t="str">
        <f t="shared" si="440"/>
        <v>13-01</v>
      </c>
      <c r="H5865" s="1">
        <f>_xlfn.IFNA(VLOOKUP(E5865,'Urban Plastix Holds'!$I$36:$U$498,9,0),0)</f>
        <v>0</v>
      </c>
      <c r="J5865" s="2">
        <f t="shared" si="441"/>
        <v>0</v>
      </c>
      <c r="K5865" s="2">
        <f t="shared" si="442"/>
        <v>0</v>
      </c>
    </row>
    <row r="5866" spans="5:11">
      <c r="E5866" t="s">
        <v>1873</v>
      </c>
      <c r="F5866" s="3" t="s">
        <v>1876</v>
      </c>
      <c r="G5866" s="10" t="str">
        <f t="shared" si="440"/>
        <v>07-13</v>
      </c>
      <c r="H5866" s="1">
        <f>_xlfn.IFNA(VLOOKUP(E5866,'Urban Plastix Holds'!$I$36:$U$498,10,0),0)</f>
        <v>0</v>
      </c>
      <c r="J5866" s="2">
        <f t="shared" si="441"/>
        <v>0</v>
      </c>
      <c r="K5866" s="2">
        <f t="shared" si="442"/>
        <v>0</v>
      </c>
    </row>
    <row r="5867" spans="5:11">
      <c r="E5867" t="s">
        <v>1873</v>
      </c>
      <c r="F5867" s="3" t="s">
        <v>1876</v>
      </c>
      <c r="G5867" s="11" t="str">
        <f t="shared" si="440"/>
        <v>11-25</v>
      </c>
      <c r="H5867" s="1">
        <f>_xlfn.IFNA(VLOOKUP(E5867,'Urban Plastix Holds'!$I$36:$U$498,11,0),0)</f>
        <v>0</v>
      </c>
      <c r="J5867" s="2">
        <f t="shared" si="441"/>
        <v>0</v>
      </c>
      <c r="K5867" s="2">
        <f t="shared" si="442"/>
        <v>0</v>
      </c>
    </row>
    <row r="5868" spans="5:11">
      <c r="E5868" t="s">
        <v>1873</v>
      </c>
      <c r="F5868" s="3" t="s">
        <v>1876</v>
      </c>
      <c r="G5868" s="13" t="str">
        <f t="shared" si="440"/>
        <v>18-01</v>
      </c>
      <c r="H5868" s="1">
        <f>_xlfn.IFNA(VLOOKUP(E5868,'Urban Plastix Holds'!$I$36:$U$498,12,0),0)</f>
        <v>0</v>
      </c>
      <c r="J5868" s="2">
        <f t="shared" si="441"/>
        <v>0</v>
      </c>
      <c r="K5868" s="2">
        <f t="shared" si="442"/>
        <v>0</v>
      </c>
    </row>
    <row r="5869" spans="5:11">
      <c r="E5869" t="s">
        <v>1873</v>
      </c>
      <c r="F5869" s="3" t="s">
        <v>1876</v>
      </c>
      <c r="G5869" s="12" t="str">
        <f t="shared" si="440"/>
        <v>12-01</v>
      </c>
      <c r="H5869" s="1">
        <f>_xlfn.IFNA(VLOOKUP(E5869,'Urban Plastix Holds'!$I$36:$U$498,13,0),0)</f>
        <v>0</v>
      </c>
      <c r="J5869" s="2">
        <f t="shared" si="441"/>
        <v>0</v>
      </c>
      <c r="K5869" s="2">
        <f t="shared" si="442"/>
        <v>0</v>
      </c>
    </row>
    <row r="5870" spans="5:11">
      <c r="E5870" t="s">
        <v>1874</v>
      </c>
      <c r="F5870" s="3" t="s">
        <v>1877</v>
      </c>
      <c r="G5870" s="5" t="str">
        <f t="shared" si="440"/>
        <v>11-12</v>
      </c>
      <c r="H5870" s="1">
        <f>_xlfn.IFNA(VLOOKUP(E5870,'Urban Plastix Holds'!$I$36:$U$498,5,0),0)</f>
        <v>0</v>
      </c>
      <c r="J5870" s="2">
        <f t="shared" si="441"/>
        <v>0</v>
      </c>
      <c r="K5870" s="2">
        <f t="shared" si="442"/>
        <v>0</v>
      </c>
    </row>
    <row r="5871" spans="5:11">
      <c r="E5871" t="s">
        <v>1874</v>
      </c>
      <c r="F5871" s="3" t="s">
        <v>1877</v>
      </c>
      <c r="G5871" s="6" t="str">
        <f t="shared" si="440"/>
        <v>14-01</v>
      </c>
      <c r="H5871" s="1">
        <f>_xlfn.IFNA(VLOOKUP(E5871,'Urban Plastix Holds'!$I$36:$U$498,6,0),0)</f>
        <v>0</v>
      </c>
      <c r="J5871" s="2">
        <f t="shared" si="441"/>
        <v>0</v>
      </c>
      <c r="K5871" s="2">
        <f t="shared" si="442"/>
        <v>0</v>
      </c>
    </row>
    <row r="5872" spans="5:11">
      <c r="E5872" t="s">
        <v>1874</v>
      </c>
      <c r="F5872" s="3" t="s">
        <v>1877</v>
      </c>
      <c r="G5872" s="7" t="str">
        <f t="shared" si="440"/>
        <v>15-12</v>
      </c>
      <c r="H5872" s="1">
        <f>_xlfn.IFNA(VLOOKUP(E5872,'Urban Plastix Holds'!$I$36:$U$498,7,0),0)</f>
        <v>0</v>
      </c>
      <c r="J5872" s="2">
        <f t="shared" si="441"/>
        <v>0</v>
      </c>
      <c r="K5872" s="2">
        <f t="shared" si="442"/>
        <v>0</v>
      </c>
    </row>
    <row r="5873" spans="5:11">
      <c r="E5873" t="s">
        <v>1874</v>
      </c>
      <c r="F5873" s="3" t="s">
        <v>1877</v>
      </c>
      <c r="G5873" s="8" t="str">
        <f t="shared" si="440"/>
        <v>16-16</v>
      </c>
      <c r="H5873" s="1">
        <f>_xlfn.IFNA(VLOOKUP(E5873,'Urban Plastix Holds'!$I$36:$U$498,8,0),0)</f>
        <v>0</v>
      </c>
      <c r="J5873" s="2">
        <f t="shared" si="441"/>
        <v>0</v>
      </c>
      <c r="K5873" s="2">
        <f t="shared" si="442"/>
        <v>0</v>
      </c>
    </row>
    <row r="5874" spans="5:11">
      <c r="E5874" t="s">
        <v>1874</v>
      </c>
      <c r="F5874" s="3" t="s">
        <v>1877</v>
      </c>
      <c r="G5874" s="9" t="str">
        <f t="shared" si="440"/>
        <v>13-01</v>
      </c>
      <c r="H5874" s="1">
        <f>_xlfn.IFNA(VLOOKUP(E5874,'Urban Plastix Holds'!$I$36:$U$498,9,0),0)</f>
        <v>0</v>
      </c>
      <c r="J5874" s="2">
        <f t="shared" si="441"/>
        <v>0</v>
      </c>
      <c r="K5874" s="2">
        <f t="shared" si="442"/>
        <v>0</v>
      </c>
    </row>
    <row r="5875" spans="5:11">
      <c r="E5875" t="s">
        <v>1874</v>
      </c>
      <c r="F5875" s="3" t="s">
        <v>1877</v>
      </c>
      <c r="G5875" s="10" t="str">
        <f t="shared" si="440"/>
        <v>07-13</v>
      </c>
      <c r="H5875" s="1">
        <f>_xlfn.IFNA(VLOOKUP(E5875,'Urban Plastix Holds'!$I$36:$U$498,10,0),0)</f>
        <v>0</v>
      </c>
      <c r="J5875" s="2">
        <f t="shared" si="441"/>
        <v>0</v>
      </c>
      <c r="K5875" s="2">
        <f t="shared" si="442"/>
        <v>0</v>
      </c>
    </row>
    <row r="5876" spans="5:11">
      <c r="E5876" t="s">
        <v>1874</v>
      </c>
      <c r="F5876" s="3" t="s">
        <v>1877</v>
      </c>
      <c r="G5876" s="11" t="str">
        <f t="shared" si="440"/>
        <v>11-25</v>
      </c>
      <c r="H5876" s="1">
        <f>_xlfn.IFNA(VLOOKUP(E5876,'Urban Plastix Holds'!$I$36:$U$498,11,0),0)</f>
        <v>0</v>
      </c>
      <c r="J5876" s="2">
        <f t="shared" si="441"/>
        <v>0</v>
      </c>
      <c r="K5876" s="2">
        <f t="shared" si="442"/>
        <v>0</v>
      </c>
    </row>
    <row r="5877" spans="5:11">
      <c r="E5877" t="s">
        <v>1874</v>
      </c>
      <c r="F5877" s="3" t="s">
        <v>1877</v>
      </c>
      <c r="G5877" s="13" t="str">
        <f t="shared" si="440"/>
        <v>18-01</v>
      </c>
      <c r="H5877" s="1">
        <f>_xlfn.IFNA(VLOOKUP(E5877,'Urban Plastix Holds'!$I$36:$U$498,12,0),0)</f>
        <v>0</v>
      </c>
      <c r="J5877" s="2">
        <f t="shared" si="441"/>
        <v>0</v>
      </c>
      <c r="K5877" s="2">
        <f t="shared" si="442"/>
        <v>0</v>
      </c>
    </row>
    <row r="5878" spans="5:11">
      <c r="E5878" t="s">
        <v>1874</v>
      </c>
      <c r="F5878" s="3" t="s">
        <v>1877</v>
      </c>
      <c r="G5878" s="12" t="str">
        <f t="shared" si="440"/>
        <v>12-01</v>
      </c>
      <c r="H5878" s="1">
        <f>_xlfn.IFNA(VLOOKUP(E5878,'Urban Plastix Holds'!$I$36:$U$498,13,0),0)</f>
        <v>0</v>
      </c>
      <c r="J5878" s="2">
        <f t="shared" si="441"/>
        <v>0</v>
      </c>
      <c r="K5878" s="2">
        <f t="shared" si="442"/>
        <v>0</v>
      </c>
    </row>
    <row r="5879" spans="5:11">
      <c r="E5879" t="s">
        <v>1875</v>
      </c>
      <c r="F5879" s="3" t="s">
        <v>1878</v>
      </c>
      <c r="G5879" s="5" t="str">
        <f t="shared" si="440"/>
        <v>11-12</v>
      </c>
      <c r="H5879" s="1">
        <f>_xlfn.IFNA(VLOOKUP(E5879,'Urban Plastix Holds'!$I$36:$U$498,5,0),0)</f>
        <v>0</v>
      </c>
      <c r="J5879" s="2">
        <f t="shared" si="441"/>
        <v>0</v>
      </c>
      <c r="K5879" s="2">
        <f t="shared" si="442"/>
        <v>0</v>
      </c>
    </row>
    <row r="5880" spans="5:11">
      <c r="E5880" t="s">
        <v>1875</v>
      </c>
      <c r="F5880" s="3" t="s">
        <v>1878</v>
      </c>
      <c r="G5880" s="6" t="str">
        <f t="shared" si="440"/>
        <v>14-01</v>
      </c>
      <c r="H5880" s="1">
        <f>_xlfn.IFNA(VLOOKUP(E5880,'Urban Plastix Holds'!$I$36:$U$498,6,0),0)</f>
        <v>0</v>
      </c>
      <c r="J5880" s="2">
        <f t="shared" si="441"/>
        <v>0</v>
      </c>
      <c r="K5880" s="2">
        <f t="shared" si="442"/>
        <v>0</v>
      </c>
    </row>
    <row r="5881" spans="5:11">
      <c r="E5881" t="s">
        <v>1875</v>
      </c>
      <c r="F5881" s="3" t="s">
        <v>1878</v>
      </c>
      <c r="G5881" s="7" t="str">
        <f t="shared" si="440"/>
        <v>15-12</v>
      </c>
      <c r="H5881" s="1">
        <f>_xlfn.IFNA(VLOOKUP(E5881,'Urban Plastix Holds'!$I$36:$U$498,7,0),0)</f>
        <v>0</v>
      </c>
      <c r="J5881" s="2">
        <f t="shared" si="441"/>
        <v>0</v>
      </c>
      <c r="K5881" s="2">
        <f t="shared" si="442"/>
        <v>0</v>
      </c>
    </row>
    <row r="5882" spans="5:11">
      <c r="E5882" t="s">
        <v>1875</v>
      </c>
      <c r="F5882" s="3" t="s">
        <v>1878</v>
      </c>
      <c r="G5882" s="8" t="str">
        <f t="shared" si="440"/>
        <v>16-16</v>
      </c>
      <c r="H5882" s="1">
        <f>_xlfn.IFNA(VLOOKUP(E5882,'Urban Plastix Holds'!$I$36:$U$498,8,0),0)</f>
        <v>0</v>
      </c>
      <c r="J5882" s="2">
        <f t="shared" si="441"/>
        <v>0</v>
      </c>
      <c r="K5882" s="2">
        <f t="shared" si="442"/>
        <v>0</v>
      </c>
    </row>
    <row r="5883" spans="5:11">
      <c r="E5883" t="s">
        <v>1875</v>
      </c>
      <c r="F5883" s="3" t="s">
        <v>1878</v>
      </c>
      <c r="G5883" s="9" t="str">
        <f t="shared" si="440"/>
        <v>13-01</v>
      </c>
      <c r="H5883" s="1">
        <f>_xlfn.IFNA(VLOOKUP(E5883,'Urban Plastix Holds'!$I$36:$U$498,9,0),0)</f>
        <v>0</v>
      </c>
      <c r="J5883" s="2">
        <f t="shared" si="441"/>
        <v>0</v>
      </c>
      <c r="K5883" s="2">
        <f t="shared" si="442"/>
        <v>0</v>
      </c>
    </row>
    <row r="5884" spans="5:11">
      <c r="E5884" t="s">
        <v>1875</v>
      </c>
      <c r="F5884" s="3" t="s">
        <v>1878</v>
      </c>
      <c r="G5884" s="10" t="str">
        <f t="shared" si="440"/>
        <v>07-13</v>
      </c>
      <c r="H5884" s="1">
        <f>_xlfn.IFNA(VLOOKUP(E5884,'Urban Plastix Holds'!$I$36:$U$498,10,0),0)</f>
        <v>0</v>
      </c>
      <c r="J5884" s="2">
        <f t="shared" si="441"/>
        <v>0</v>
      </c>
      <c r="K5884" s="2">
        <f t="shared" si="442"/>
        <v>0</v>
      </c>
    </row>
    <row r="5885" spans="5:11">
      <c r="E5885" t="s">
        <v>1875</v>
      </c>
      <c r="F5885" s="3" t="s">
        <v>1878</v>
      </c>
      <c r="G5885" s="11" t="str">
        <f t="shared" si="440"/>
        <v>11-25</v>
      </c>
      <c r="H5885" s="1">
        <f>_xlfn.IFNA(VLOOKUP(E5885,'Urban Plastix Holds'!$I$36:$U$498,11,0),0)</f>
        <v>0</v>
      </c>
      <c r="J5885" s="2">
        <f t="shared" si="441"/>
        <v>0</v>
      </c>
      <c r="K5885" s="2">
        <f t="shared" si="442"/>
        <v>0</v>
      </c>
    </row>
    <row r="5886" spans="5:11">
      <c r="E5886" t="s">
        <v>1875</v>
      </c>
      <c r="F5886" s="3" t="s">
        <v>1878</v>
      </c>
      <c r="G5886" s="13" t="str">
        <f t="shared" si="440"/>
        <v>18-01</v>
      </c>
      <c r="H5886" s="1">
        <f>_xlfn.IFNA(VLOOKUP(E5886,'Urban Plastix Holds'!$I$36:$U$498,12,0),0)</f>
        <v>0</v>
      </c>
      <c r="J5886" s="2">
        <f t="shared" si="441"/>
        <v>0</v>
      </c>
      <c r="K5886" s="2">
        <f t="shared" si="442"/>
        <v>0</v>
      </c>
    </row>
    <row r="5887" spans="5:11">
      <c r="E5887" t="s">
        <v>1875</v>
      </c>
      <c r="F5887" s="3" t="s">
        <v>1878</v>
      </c>
      <c r="G5887" s="12" t="str">
        <f t="shared" si="440"/>
        <v>12-01</v>
      </c>
      <c r="H5887" s="1">
        <f>_xlfn.IFNA(VLOOKUP(E5887,'Urban Plastix Holds'!$I$36:$U$498,13,0),0)</f>
        <v>0</v>
      </c>
      <c r="J5887" s="2">
        <f t="shared" si="441"/>
        <v>0</v>
      </c>
      <c r="K5887" s="2">
        <f t="shared" si="442"/>
        <v>0</v>
      </c>
    </row>
    <row r="5888" spans="5:11">
      <c r="E5888" t="s">
        <v>1879</v>
      </c>
      <c r="F5888" s="3" t="s">
        <v>1880</v>
      </c>
      <c r="G5888" s="5" t="str">
        <f t="shared" si="440"/>
        <v>11-12</v>
      </c>
      <c r="H5888" s="1">
        <f>_xlfn.IFNA(VLOOKUP(E5888,'Urban Plastix Holds'!$I$36:$U$498,5,0),0)</f>
        <v>0</v>
      </c>
      <c r="J5888" s="2">
        <f t="shared" si="441"/>
        <v>0</v>
      </c>
      <c r="K5888" s="2">
        <f t="shared" si="442"/>
        <v>0</v>
      </c>
    </row>
    <row r="5889" spans="5:11">
      <c r="E5889" t="s">
        <v>1879</v>
      </c>
      <c r="F5889" s="3" t="s">
        <v>1880</v>
      </c>
      <c r="G5889" s="6" t="str">
        <f t="shared" si="440"/>
        <v>14-01</v>
      </c>
      <c r="H5889" s="1">
        <f>_xlfn.IFNA(VLOOKUP(E5889,'Urban Plastix Holds'!$I$36:$U$498,6,0),0)</f>
        <v>0</v>
      </c>
      <c r="J5889" s="2">
        <f t="shared" si="441"/>
        <v>0</v>
      </c>
      <c r="K5889" s="2">
        <f t="shared" si="442"/>
        <v>0</v>
      </c>
    </row>
    <row r="5890" spans="5:11">
      <c r="E5890" t="s">
        <v>1879</v>
      </c>
      <c r="F5890" s="3" t="s">
        <v>1880</v>
      </c>
      <c r="G5890" s="7" t="str">
        <f t="shared" si="440"/>
        <v>15-12</v>
      </c>
      <c r="H5890" s="1">
        <f>_xlfn.IFNA(VLOOKUP(E5890,'Urban Plastix Holds'!$I$36:$U$498,7,0),0)</f>
        <v>0</v>
      </c>
      <c r="J5890" s="2">
        <f t="shared" si="441"/>
        <v>0</v>
      </c>
      <c r="K5890" s="2">
        <f t="shared" si="442"/>
        <v>0</v>
      </c>
    </row>
    <row r="5891" spans="5:11">
      <c r="E5891" t="s">
        <v>1879</v>
      </c>
      <c r="F5891" s="3" t="s">
        <v>1880</v>
      </c>
      <c r="G5891" s="8" t="str">
        <f t="shared" si="440"/>
        <v>16-16</v>
      </c>
      <c r="H5891" s="1">
        <f>_xlfn.IFNA(VLOOKUP(E5891,'Urban Plastix Holds'!$I$36:$U$498,8,0),0)</f>
        <v>0</v>
      </c>
      <c r="J5891" s="2">
        <f t="shared" si="441"/>
        <v>0</v>
      </c>
      <c r="K5891" s="2">
        <f t="shared" si="442"/>
        <v>0</v>
      </c>
    </row>
    <row r="5892" spans="5:11">
      <c r="E5892" t="s">
        <v>1879</v>
      </c>
      <c r="F5892" s="3" t="s">
        <v>1880</v>
      </c>
      <c r="G5892" s="9" t="str">
        <f t="shared" si="440"/>
        <v>13-01</v>
      </c>
      <c r="H5892" s="1">
        <f>_xlfn.IFNA(VLOOKUP(E5892,'Urban Plastix Holds'!$I$36:$U$498,9,0),0)</f>
        <v>0</v>
      </c>
      <c r="J5892" s="2">
        <f t="shared" si="441"/>
        <v>0</v>
      </c>
      <c r="K5892" s="2">
        <f t="shared" si="442"/>
        <v>0</v>
      </c>
    </row>
    <row r="5893" spans="5:11">
      <c r="E5893" t="s">
        <v>1879</v>
      </c>
      <c r="F5893" s="3" t="s">
        <v>1880</v>
      </c>
      <c r="G5893" s="10" t="str">
        <f t="shared" si="440"/>
        <v>07-13</v>
      </c>
      <c r="H5893" s="1">
        <f>_xlfn.IFNA(VLOOKUP(E5893,'Urban Plastix Holds'!$I$36:$U$498,10,0),0)</f>
        <v>0</v>
      </c>
      <c r="J5893" s="2">
        <f t="shared" si="441"/>
        <v>0</v>
      </c>
      <c r="K5893" s="2">
        <f t="shared" si="442"/>
        <v>0</v>
      </c>
    </row>
    <row r="5894" spans="5:11">
      <c r="E5894" t="s">
        <v>1879</v>
      </c>
      <c r="F5894" s="3" t="s">
        <v>1880</v>
      </c>
      <c r="G5894" s="11" t="str">
        <f t="shared" si="440"/>
        <v>11-25</v>
      </c>
      <c r="H5894" s="1">
        <f>_xlfn.IFNA(VLOOKUP(E5894,'Urban Plastix Holds'!$I$36:$U$498,11,0),0)</f>
        <v>0</v>
      </c>
      <c r="J5894" s="2">
        <f t="shared" si="441"/>
        <v>0</v>
      </c>
      <c r="K5894" s="2">
        <f t="shared" si="442"/>
        <v>0</v>
      </c>
    </row>
    <row r="5895" spans="5:11">
      <c r="E5895" t="s">
        <v>1879</v>
      </c>
      <c r="F5895" s="3" t="s">
        <v>1880</v>
      </c>
      <c r="G5895" s="13" t="str">
        <f t="shared" si="440"/>
        <v>18-01</v>
      </c>
      <c r="H5895" s="1">
        <f>_xlfn.IFNA(VLOOKUP(E5895,'Urban Plastix Holds'!$I$36:$U$498,12,0),0)</f>
        <v>0</v>
      </c>
      <c r="J5895" s="2">
        <f t="shared" si="441"/>
        <v>0</v>
      </c>
      <c r="K5895" s="2">
        <f t="shared" si="442"/>
        <v>0</v>
      </c>
    </row>
    <row r="5896" spans="5:11">
      <c r="E5896" t="s">
        <v>1879</v>
      </c>
      <c r="F5896" s="3" t="s">
        <v>1880</v>
      </c>
      <c r="G5896" s="12" t="str">
        <f t="shared" si="440"/>
        <v>12-01</v>
      </c>
      <c r="H5896" s="1">
        <f>_xlfn.IFNA(VLOOKUP(E5896,'Urban Plastix Holds'!$I$36:$U$498,13,0),0)</f>
        <v>0</v>
      </c>
      <c r="J5896" s="2">
        <f t="shared" si="441"/>
        <v>0</v>
      </c>
      <c r="K5896" s="2">
        <f t="shared" si="442"/>
        <v>0</v>
      </c>
    </row>
    <row r="5897" spans="5:11">
      <c r="E5897" t="s">
        <v>1881</v>
      </c>
      <c r="F5897" s="3" t="s">
        <v>1882</v>
      </c>
      <c r="G5897" s="5" t="str">
        <f t="shared" si="440"/>
        <v>11-12</v>
      </c>
      <c r="H5897" s="1">
        <f>_xlfn.IFNA(VLOOKUP(E5897,'Urban Plastix Holds'!$I$36:$U$498,5,0),0)</f>
        <v>0</v>
      </c>
      <c r="J5897" s="2">
        <f t="shared" si="441"/>
        <v>0</v>
      </c>
      <c r="K5897" s="2">
        <f t="shared" si="442"/>
        <v>0</v>
      </c>
    </row>
    <row r="5898" spans="5:11">
      <c r="E5898" t="s">
        <v>1881</v>
      </c>
      <c r="F5898" s="3" t="s">
        <v>1882</v>
      </c>
      <c r="G5898" s="6" t="str">
        <f t="shared" si="440"/>
        <v>14-01</v>
      </c>
      <c r="H5898" s="1">
        <f>_xlfn.IFNA(VLOOKUP(E5898,'Urban Plastix Holds'!$I$36:$U$498,6,0),0)</f>
        <v>0</v>
      </c>
      <c r="J5898" s="2">
        <f t="shared" si="441"/>
        <v>0</v>
      </c>
      <c r="K5898" s="2">
        <f t="shared" si="442"/>
        <v>0</v>
      </c>
    </row>
    <row r="5899" spans="5:11">
      <c r="E5899" t="s">
        <v>1881</v>
      </c>
      <c r="F5899" s="3" t="s">
        <v>1882</v>
      </c>
      <c r="G5899" s="7" t="str">
        <f t="shared" si="440"/>
        <v>15-12</v>
      </c>
      <c r="H5899" s="1">
        <f>_xlfn.IFNA(VLOOKUP(E5899,'Urban Plastix Holds'!$I$36:$U$498,7,0),0)</f>
        <v>0</v>
      </c>
      <c r="J5899" s="2">
        <f t="shared" si="441"/>
        <v>0</v>
      </c>
      <c r="K5899" s="2">
        <f t="shared" si="442"/>
        <v>0</v>
      </c>
    </row>
    <row r="5900" spans="5:11">
      <c r="E5900" t="s">
        <v>1881</v>
      </c>
      <c r="F5900" s="3" t="s">
        <v>1882</v>
      </c>
      <c r="G5900" s="8" t="str">
        <f t="shared" si="440"/>
        <v>16-16</v>
      </c>
      <c r="H5900" s="1">
        <f>_xlfn.IFNA(VLOOKUP(E5900,'Urban Plastix Holds'!$I$36:$U$498,8,0),0)</f>
        <v>0</v>
      </c>
      <c r="J5900" s="2">
        <f t="shared" si="441"/>
        <v>0</v>
      </c>
      <c r="K5900" s="2">
        <f t="shared" si="442"/>
        <v>0</v>
      </c>
    </row>
    <row r="5901" spans="5:11">
      <c r="E5901" t="s">
        <v>1881</v>
      </c>
      <c r="F5901" s="3" t="s">
        <v>1882</v>
      </c>
      <c r="G5901" s="9" t="str">
        <f t="shared" si="440"/>
        <v>13-01</v>
      </c>
      <c r="H5901" s="1">
        <f>_xlfn.IFNA(VLOOKUP(E5901,'Urban Plastix Holds'!$I$36:$U$498,9,0),0)</f>
        <v>0</v>
      </c>
      <c r="J5901" s="2">
        <f t="shared" si="441"/>
        <v>0</v>
      </c>
      <c r="K5901" s="2">
        <f t="shared" si="442"/>
        <v>0</v>
      </c>
    </row>
    <row r="5902" spans="5:11">
      <c r="E5902" t="s">
        <v>1881</v>
      </c>
      <c r="F5902" s="3" t="s">
        <v>1882</v>
      </c>
      <c r="G5902" s="10" t="str">
        <f t="shared" si="440"/>
        <v>07-13</v>
      </c>
      <c r="H5902" s="1">
        <f>_xlfn.IFNA(VLOOKUP(E5902,'Urban Plastix Holds'!$I$36:$U$498,10,0),0)</f>
        <v>0</v>
      </c>
      <c r="J5902" s="2">
        <f t="shared" si="441"/>
        <v>0</v>
      </c>
      <c r="K5902" s="2">
        <f t="shared" si="442"/>
        <v>0</v>
      </c>
    </row>
    <row r="5903" spans="5:11">
      <c r="E5903" t="s">
        <v>1881</v>
      </c>
      <c r="F5903" s="3" t="s">
        <v>1882</v>
      </c>
      <c r="G5903" s="11" t="str">
        <f t="shared" si="440"/>
        <v>11-25</v>
      </c>
      <c r="H5903" s="1">
        <f>_xlfn.IFNA(VLOOKUP(E5903,'Urban Plastix Holds'!$I$36:$U$498,11,0),0)</f>
        <v>0</v>
      </c>
      <c r="J5903" s="2">
        <f t="shared" si="441"/>
        <v>0</v>
      </c>
      <c r="K5903" s="2">
        <f t="shared" si="442"/>
        <v>0</v>
      </c>
    </row>
    <row r="5904" spans="5:11">
      <c r="E5904" t="s">
        <v>1881</v>
      </c>
      <c r="F5904" s="3" t="s">
        <v>1882</v>
      </c>
      <c r="G5904" s="13" t="str">
        <f t="shared" si="440"/>
        <v>18-01</v>
      </c>
      <c r="H5904" s="1">
        <f>_xlfn.IFNA(VLOOKUP(E5904,'Urban Plastix Holds'!$I$36:$U$498,12,0),0)</f>
        <v>0</v>
      </c>
      <c r="J5904" s="2">
        <f t="shared" si="441"/>
        <v>0</v>
      </c>
      <c r="K5904" s="2">
        <f t="shared" si="442"/>
        <v>0</v>
      </c>
    </row>
    <row r="5905" spans="5:11">
      <c r="E5905" t="s">
        <v>1881</v>
      </c>
      <c r="F5905" s="3" t="s">
        <v>1882</v>
      </c>
      <c r="G5905" s="12" t="str">
        <f t="shared" si="440"/>
        <v>12-01</v>
      </c>
      <c r="H5905" s="1">
        <f>_xlfn.IFNA(VLOOKUP(E5905,'Urban Plastix Holds'!$I$36:$U$498,13,0),0)</f>
        <v>0</v>
      </c>
      <c r="J5905" s="2">
        <f t="shared" si="441"/>
        <v>0</v>
      </c>
      <c r="K5905" s="2">
        <f t="shared" si="442"/>
        <v>0</v>
      </c>
    </row>
    <row r="5906" spans="5:11">
      <c r="E5906" t="s">
        <v>1983</v>
      </c>
      <c r="F5906" s="3" t="s">
        <v>1984</v>
      </c>
      <c r="G5906" s="5" t="str">
        <f t="shared" si="440"/>
        <v>11-12</v>
      </c>
      <c r="H5906" s="1">
        <f>_xlfn.IFNA(VLOOKUP(E5906,'Urban Plastix Holds'!$I$36:$U$498,5,0),0)</f>
        <v>0</v>
      </c>
      <c r="J5906" s="2">
        <f t="shared" ref="J5906:J5914" si="443">H5906*I5906</f>
        <v>0</v>
      </c>
      <c r="K5906" s="2">
        <f t="shared" ref="K5906:K5914" si="444">IF($V$11="Y",J5906*0.05,0)</f>
        <v>0</v>
      </c>
    </row>
    <row r="5907" spans="5:11">
      <c r="E5907" t="s">
        <v>1983</v>
      </c>
      <c r="F5907" s="3" t="s">
        <v>1984</v>
      </c>
      <c r="G5907" s="6" t="str">
        <f t="shared" si="440"/>
        <v>14-01</v>
      </c>
      <c r="H5907" s="1">
        <f>_xlfn.IFNA(VLOOKUP(E5907,'Urban Plastix Holds'!$I$36:$U$498,6,0),0)</f>
        <v>0</v>
      </c>
      <c r="J5907" s="2">
        <f t="shared" si="443"/>
        <v>0</v>
      </c>
      <c r="K5907" s="2">
        <f t="shared" si="444"/>
        <v>0</v>
      </c>
    </row>
    <row r="5908" spans="5:11">
      <c r="E5908" t="s">
        <v>1983</v>
      </c>
      <c r="F5908" s="3" t="s">
        <v>1984</v>
      </c>
      <c r="G5908" s="7" t="str">
        <f t="shared" ref="G5908:G5971" si="445">G5881</f>
        <v>15-12</v>
      </c>
      <c r="H5908" s="1">
        <f>_xlfn.IFNA(VLOOKUP(E5908,'Urban Plastix Holds'!$I$36:$U$498,7,0),0)</f>
        <v>0</v>
      </c>
      <c r="J5908" s="2">
        <f t="shared" si="443"/>
        <v>0</v>
      </c>
      <c r="K5908" s="2">
        <f t="shared" si="444"/>
        <v>0</v>
      </c>
    </row>
    <row r="5909" spans="5:11">
      <c r="E5909" t="s">
        <v>1983</v>
      </c>
      <c r="F5909" s="3" t="s">
        <v>1984</v>
      </c>
      <c r="G5909" s="8" t="str">
        <f t="shared" si="445"/>
        <v>16-16</v>
      </c>
      <c r="H5909" s="1">
        <f>_xlfn.IFNA(VLOOKUP(E5909,'Urban Plastix Holds'!$I$36:$U$498,8,0),0)</f>
        <v>0</v>
      </c>
      <c r="J5909" s="2">
        <f t="shared" si="443"/>
        <v>0</v>
      </c>
      <c r="K5909" s="2">
        <f t="shared" si="444"/>
        <v>0</v>
      </c>
    </row>
    <row r="5910" spans="5:11">
      <c r="E5910" t="s">
        <v>1983</v>
      </c>
      <c r="F5910" s="3" t="s">
        <v>1984</v>
      </c>
      <c r="G5910" s="9" t="str">
        <f t="shared" si="445"/>
        <v>13-01</v>
      </c>
      <c r="H5910" s="1">
        <f>_xlfn.IFNA(VLOOKUP(E5910,'Urban Plastix Holds'!$I$36:$U$498,9,0),0)</f>
        <v>0</v>
      </c>
      <c r="J5910" s="2">
        <f t="shared" si="443"/>
        <v>0</v>
      </c>
      <c r="K5910" s="2">
        <f t="shared" si="444"/>
        <v>0</v>
      </c>
    </row>
    <row r="5911" spans="5:11">
      <c r="E5911" t="s">
        <v>1983</v>
      </c>
      <c r="F5911" s="3" t="s">
        <v>1984</v>
      </c>
      <c r="G5911" s="10" t="str">
        <f t="shared" si="445"/>
        <v>07-13</v>
      </c>
      <c r="H5911" s="1">
        <f>_xlfn.IFNA(VLOOKUP(E5911,'Urban Plastix Holds'!$I$36:$U$498,10,0),0)</f>
        <v>0</v>
      </c>
      <c r="J5911" s="2">
        <f t="shared" si="443"/>
        <v>0</v>
      </c>
      <c r="K5911" s="2">
        <f t="shared" si="444"/>
        <v>0</v>
      </c>
    </row>
    <row r="5912" spans="5:11">
      <c r="E5912" t="s">
        <v>1983</v>
      </c>
      <c r="F5912" s="3" t="s">
        <v>1984</v>
      </c>
      <c r="G5912" s="11" t="str">
        <f t="shared" si="445"/>
        <v>11-25</v>
      </c>
      <c r="H5912" s="1">
        <f>_xlfn.IFNA(VLOOKUP(E5912,'Urban Plastix Holds'!$I$36:$U$498,11,0),0)</f>
        <v>0</v>
      </c>
      <c r="J5912" s="2">
        <f t="shared" si="443"/>
        <v>0</v>
      </c>
      <c r="K5912" s="2">
        <f t="shared" si="444"/>
        <v>0</v>
      </c>
    </row>
    <row r="5913" spans="5:11">
      <c r="E5913" t="s">
        <v>1983</v>
      </c>
      <c r="F5913" s="3" t="s">
        <v>1984</v>
      </c>
      <c r="G5913" s="13" t="str">
        <f t="shared" si="445"/>
        <v>18-01</v>
      </c>
      <c r="H5913" s="1">
        <f>_xlfn.IFNA(VLOOKUP(E5913,'Urban Plastix Holds'!$I$36:$U$498,12,0),0)</f>
        <v>0</v>
      </c>
      <c r="J5913" s="2">
        <f t="shared" si="443"/>
        <v>0</v>
      </c>
      <c r="K5913" s="2">
        <f t="shared" si="444"/>
        <v>0</v>
      </c>
    </row>
    <row r="5914" spans="5:11">
      <c r="E5914" t="s">
        <v>1983</v>
      </c>
      <c r="F5914" s="3" t="s">
        <v>1984</v>
      </c>
      <c r="G5914" s="12" t="str">
        <f t="shared" si="445"/>
        <v>12-01</v>
      </c>
      <c r="H5914" s="1">
        <f>_xlfn.IFNA(VLOOKUP(E5914,'Urban Plastix Holds'!$I$36:$U$498,13,0),0)</f>
        <v>0</v>
      </c>
      <c r="J5914" s="2">
        <f t="shared" si="443"/>
        <v>0</v>
      </c>
      <c r="K5914" s="2">
        <f t="shared" si="444"/>
        <v>0</v>
      </c>
    </row>
    <row r="5915" spans="5:11">
      <c r="E5915" s="3" t="s">
        <v>2100</v>
      </c>
      <c r="F5915" s="3" t="s">
        <v>2102</v>
      </c>
      <c r="G5915" s="5" t="str">
        <f t="shared" si="445"/>
        <v>11-12</v>
      </c>
      <c r="H5915" s="1">
        <f>_xlfn.IFNA(VLOOKUP(E5915,'Urban Plastix Holds'!$I$36:$U$498,5,0),0)</f>
        <v>0</v>
      </c>
      <c r="J5915" s="2">
        <f t="shared" ref="J5915:J5923" si="446">H5915*I5915</f>
        <v>0</v>
      </c>
      <c r="K5915" s="2">
        <f t="shared" ref="K5915:K5923" si="447">IF($V$11="Y",J5915*0.05,0)</f>
        <v>0</v>
      </c>
    </row>
    <row r="5916" spans="5:11">
      <c r="E5916" s="3" t="s">
        <v>2100</v>
      </c>
      <c r="F5916" s="3" t="s">
        <v>2102</v>
      </c>
      <c r="G5916" s="6" t="str">
        <f t="shared" si="445"/>
        <v>14-01</v>
      </c>
      <c r="H5916" s="1">
        <f>_xlfn.IFNA(VLOOKUP(E5916,'Urban Plastix Holds'!$I$36:$U$498,6,0),0)</f>
        <v>0</v>
      </c>
      <c r="J5916" s="2">
        <f t="shared" si="446"/>
        <v>0</v>
      </c>
      <c r="K5916" s="2">
        <f t="shared" si="447"/>
        <v>0</v>
      </c>
    </row>
    <row r="5917" spans="5:11">
      <c r="E5917" s="3" t="s">
        <v>2100</v>
      </c>
      <c r="F5917" s="3" t="s">
        <v>2102</v>
      </c>
      <c r="G5917" s="7" t="str">
        <f t="shared" si="445"/>
        <v>15-12</v>
      </c>
      <c r="H5917" s="1">
        <f>_xlfn.IFNA(VLOOKUP(E5917,'Urban Plastix Holds'!$I$36:$U$498,7,0),0)</f>
        <v>0</v>
      </c>
      <c r="J5917" s="2">
        <f t="shared" si="446"/>
        <v>0</v>
      </c>
      <c r="K5917" s="2">
        <f t="shared" si="447"/>
        <v>0</v>
      </c>
    </row>
    <row r="5918" spans="5:11">
      <c r="E5918" s="3" t="s">
        <v>2100</v>
      </c>
      <c r="F5918" s="3" t="s">
        <v>2102</v>
      </c>
      <c r="G5918" s="8" t="str">
        <f t="shared" si="445"/>
        <v>16-16</v>
      </c>
      <c r="H5918" s="1">
        <f>_xlfn.IFNA(VLOOKUP(E5918,'Urban Plastix Holds'!$I$36:$U$498,8,0),0)</f>
        <v>0</v>
      </c>
      <c r="J5918" s="2">
        <f t="shared" si="446"/>
        <v>0</v>
      </c>
      <c r="K5918" s="2">
        <f t="shared" si="447"/>
        <v>0</v>
      </c>
    </row>
    <row r="5919" spans="5:11">
      <c r="E5919" s="3" t="s">
        <v>2100</v>
      </c>
      <c r="F5919" s="3" t="s">
        <v>2102</v>
      </c>
      <c r="G5919" s="9" t="str">
        <f t="shared" si="445"/>
        <v>13-01</v>
      </c>
      <c r="H5919" s="1">
        <f>_xlfn.IFNA(VLOOKUP(E5919,'Urban Plastix Holds'!$I$36:$U$498,9,0),0)</f>
        <v>0</v>
      </c>
      <c r="J5919" s="2">
        <f t="shared" si="446"/>
        <v>0</v>
      </c>
      <c r="K5919" s="2">
        <f t="shared" si="447"/>
        <v>0</v>
      </c>
    </row>
    <row r="5920" spans="5:11">
      <c r="E5920" s="3" t="s">
        <v>2100</v>
      </c>
      <c r="F5920" s="3" t="s">
        <v>2102</v>
      </c>
      <c r="G5920" s="10" t="str">
        <f t="shared" si="445"/>
        <v>07-13</v>
      </c>
      <c r="H5920" s="1">
        <f>_xlfn.IFNA(VLOOKUP(E5920,'Urban Plastix Holds'!$I$36:$U$498,10,0),0)</f>
        <v>0</v>
      </c>
      <c r="J5920" s="2">
        <f t="shared" si="446"/>
        <v>0</v>
      </c>
      <c r="K5920" s="2">
        <f t="shared" si="447"/>
        <v>0</v>
      </c>
    </row>
    <row r="5921" spans="5:11">
      <c r="E5921" s="3" t="s">
        <v>2100</v>
      </c>
      <c r="F5921" s="3" t="s">
        <v>2102</v>
      </c>
      <c r="G5921" s="11" t="str">
        <f t="shared" si="445"/>
        <v>11-25</v>
      </c>
      <c r="H5921" s="1">
        <f>_xlfn.IFNA(VLOOKUP(E5921,'Urban Plastix Holds'!$I$36:$U$498,11,0),0)</f>
        <v>0</v>
      </c>
      <c r="J5921" s="2">
        <f t="shared" si="446"/>
        <v>0</v>
      </c>
      <c r="K5921" s="2">
        <f t="shared" si="447"/>
        <v>0</v>
      </c>
    </row>
    <row r="5922" spans="5:11">
      <c r="E5922" s="3" t="s">
        <v>2100</v>
      </c>
      <c r="F5922" s="3" t="s">
        <v>2102</v>
      </c>
      <c r="G5922" s="13" t="str">
        <f t="shared" si="445"/>
        <v>18-01</v>
      </c>
      <c r="H5922" s="1">
        <f>_xlfn.IFNA(VLOOKUP(E5922,'Urban Plastix Holds'!$I$36:$U$498,12,0),0)</f>
        <v>0</v>
      </c>
      <c r="J5922" s="2">
        <f t="shared" si="446"/>
        <v>0</v>
      </c>
      <c r="K5922" s="2">
        <f t="shared" si="447"/>
        <v>0</v>
      </c>
    </row>
    <row r="5923" spans="5:11">
      <c r="E5923" s="3" t="s">
        <v>2100</v>
      </c>
      <c r="F5923" s="3" t="s">
        <v>2102</v>
      </c>
      <c r="G5923" s="12" t="str">
        <f t="shared" si="445"/>
        <v>12-01</v>
      </c>
      <c r="H5923" s="1">
        <f>_xlfn.IFNA(VLOOKUP(E5923,'Urban Plastix Holds'!$I$36:$U$498,13,0),0)</f>
        <v>0</v>
      </c>
      <c r="J5923" s="2">
        <f t="shared" si="446"/>
        <v>0</v>
      </c>
      <c r="K5923" s="2">
        <f t="shared" si="447"/>
        <v>0</v>
      </c>
    </row>
    <row r="5924" spans="5:11">
      <c r="E5924" s="3" t="s">
        <v>2121</v>
      </c>
      <c r="F5924" s="3" t="s">
        <v>2118</v>
      </c>
      <c r="G5924" s="5" t="str">
        <f t="shared" si="445"/>
        <v>11-12</v>
      </c>
      <c r="H5924" s="1">
        <f>_xlfn.IFNA(VLOOKUP(E5924,'Urban Plastix Holds'!$I$36:$U$498,5,0),0)</f>
        <v>0</v>
      </c>
      <c r="J5924" s="2">
        <f t="shared" ref="J5924:J5932" si="448">H5924*I5924</f>
        <v>0</v>
      </c>
      <c r="K5924" s="2">
        <f t="shared" ref="K5924:K5932" si="449">IF($V$11="Y",J5924*0.05,0)</f>
        <v>0</v>
      </c>
    </row>
    <row r="5925" spans="5:11">
      <c r="E5925" s="3" t="s">
        <v>2121</v>
      </c>
      <c r="F5925" s="3" t="s">
        <v>2118</v>
      </c>
      <c r="G5925" s="6" t="str">
        <f t="shared" si="445"/>
        <v>14-01</v>
      </c>
      <c r="H5925" s="1">
        <f>_xlfn.IFNA(VLOOKUP(E5925,'Urban Plastix Holds'!$I$36:$U$498,6,0),0)</f>
        <v>0</v>
      </c>
      <c r="J5925" s="2">
        <f t="shared" si="448"/>
        <v>0</v>
      </c>
      <c r="K5925" s="2">
        <f t="shared" si="449"/>
        <v>0</v>
      </c>
    </row>
    <row r="5926" spans="5:11">
      <c r="E5926" s="3" t="s">
        <v>2121</v>
      </c>
      <c r="F5926" s="3" t="s">
        <v>2118</v>
      </c>
      <c r="G5926" s="7" t="str">
        <f t="shared" si="445"/>
        <v>15-12</v>
      </c>
      <c r="H5926" s="1">
        <f>_xlfn.IFNA(VLOOKUP(E5926,'Urban Plastix Holds'!$I$36:$U$498,7,0),0)</f>
        <v>0</v>
      </c>
      <c r="J5926" s="2">
        <f t="shared" si="448"/>
        <v>0</v>
      </c>
      <c r="K5926" s="2">
        <f t="shared" si="449"/>
        <v>0</v>
      </c>
    </row>
    <row r="5927" spans="5:11">
      <c r="E5927" s="3" t="s">
        <v>2121</v>
      </c>
      <c r="F5927" s="3" t="s">
        <v>2118</v>
      </c>
      <c r="G5927" s="8" t="str">
        <f t="shared" si="445"/>
        <v>16-16</v>
      </c>
      <c r="H5927" s="1">
        <f>_xlfn.IFNA(VLOOKUP(E5927,'Urban Plastix Holds'!$I$36:$U$498,8,0),0)</f>
        <v>0</v>
      </c>
      <c r="J5927" s="2">
        <f t="shared" si="448"/>
        <v>0</v>
      </c>
      <c r="K5927" s="2">
        <f t="shared" si="449"/>
        <v>0</v>
      </c>
    </row>
    <row r="5928" spans="5:11">
      <c r="E5928" s="3" t="s">
        <v>2121</v>
      </c>
      <c r="F5928" s="3" t="s">
        <v>2118</v>
      </c>
      <c r="G5928" s="9" t="str">
        <f t="shared" si="445"/>
        <v>13-01</v>
      </c>
      <c r="H5928" s="1">
        <f>_xlfn.IFNA(VLOOKUP(E5928,'Urban Plastix Holds'!$I$36:$U$498,9,0),0)</f>
        <v>0</v>
      </c>
      <c r="J5928" s="2">
        <f t="shared" si="448"/>
        <v>0</v>
      </c>
      <c r="K5928" s="2">
        <f t="shared" si="449"/>
        <v>0</v>
      </c>
    </row>
    <row r="5929" spans="5:11">
      <c r="E5929" s="3" t="s">
        <v>2121</v>
      </c>
      <c r="F5929" s="3" t="s">
        <v>2118</v>
      </c>
      <c r="G5929" s="10" t="str">
        <f t="shared" si="445"/>
        <v>07-13</v>
      </c>
      <c r="H5929" s="1">
        <f>_xlfn.IFNA(VLOOKUP(E5929,'Urban Plastix Holds'!$I$36:$U$498,10,0),0)</f>
        <v>0</v>
      </c>
      <c r="J5929" s="2">
        <f t="shared" si="448"/>
        <v>0</v>
      </c>
      <c r="K5929" s="2">
        <f t="shared" si="449"/>
        <v>0</v>
      </c>
    </row>
    <row r="5930" spans="5:11">
      <c r="E5930" s="3" t="s">
        <v>2121</v>
      </c>
      <c r="F5930" s="3" t="s">
        <v>2118</v>
      </c>
      <c r="G5930" s="11" t="str">
        <f t="shared" si="445"/>
        <v>11-25</v>
      </c>
      <c r="H5930" s="1">
        <f>_xlfn.IFNA(VLOOKUP(E5930,'Urban Plastix Holds'!$I$36:$U$498,11,0),0)</f>
        <v>0</v>
      </c>
      <c r="J5930" s="2">
        <f t="shared" si="448"/>
        <v>0</v>
      </c>
      <c r="K5930" s="2">
        <f t="shared" si="449"/>
        <v>0</v>
      </c>
    </row>
    <row r="5931" spans="5:11">
      <c r="E5931" s="3" t="s">
        <v>2121</v>
      </c>
      <c r="F5931" s="3" t="s">
        <v>2118</v>
      </c>
      <c r="G5931" s="13" t="str">
        <f t="shared" si="445"/>
        <v>18-01</v>
      </c>
      <c r="H5931" s="1">
        <f>_xlfn.IFNA(VLOOKUP(E5931,'Urban Plastix Holds'!$I$36:$U$498,12,0),0)</f>
        <v>0</v>
      </c>
      <c r="J5931" s="2">
        <f t="shared" si="448"/>
        <v>0</v>
      </c>
      <c r="K5931" s="2">
        <f t="shared" si="449"/>
        <v>0</v>
      </c>
    </row>
    <row r="5932" spans="5:11">
      <c r="E5932" s="3" t="s">
        <v>2121</v>
      </c>
      <c r="F5932" s="3" t="s">
        <v>2118</v>
      </c>
      <c r="G5932" s="12" t="str">
        <f t="shared" si="445"/>
        <v>12-01</v>
      </c>
      <c r="H5932" s="1">
        <f>_xlfn.IFNA(VLOOKUP(E5932,'Urban Plastix Holds'!$I$36:$U$498,13,0),0)</f>
        <v>0</v>
      </c>
      <c r="J5932" s="2">
        <f t="shared" si="448"/>
        <v>0</v>
      </c>
      <c r="K5932" s="2">
        <f t="shared" si="449"/>
        <v>0</v>
      </c>
    </row>
    <row r="5933" spans="5:11">
      <c r="E5933" s="3" t="s">
        <v>2150</v>
      </c>
      <c r="F5933" s="3" t="s">
        <v>2151</v>
      </c>
      <c r="G5933" s="5" t="str">
        <f t="shared" si="445"/>
        <v>11-12</v>
      </c>
      <c r="H5933" s="1">
        <f>_xlfn.IFNA(VLOOKUP(E5933,'Urban Plastix Holds'!$I$36:$U$498,5,0),0)</f>
        <v>0</v>
      </c>
      <c r="J5933" s="2">
        <f t="shared" ref="J5933:J5950" si="450">H5933*I5933</f>
        <v>0</v>
      </c>
      <c r="K5933" s="2">
        <f t="shared" ref="K5933:K5950" si="451">IF($V$11="Y",J5933*0.05,0)</f>
        <v>0</v>
      </c>
    </row>
    <row r="5934" spans="5:11">
      <c r="E5934" s="3" t="s">
        <v>2150</v>
      </c>
      <c r="F5934" s="3" t="s">
        <v>2151</v>
      </c>
      <c r="G5934" s="6" t="str">
        <f t="shared" si="445"/>
        <v>14-01</v>
      </c>
      <c r="H5934" s="1">
        <f>_xlfn.IFNA(VLOOKUP(E5934,'Urban Plastix Holds'!$I$36:$U$498,6,0),0)</f>
        <v>0</v>
      </c>
      <c r="J5934" s="2">
        <f t="shared" si="450"/>
        <v>0</v>
      </c>
      <c r="K5934" s="2">
        <f t="shared" si="451"/>
        <v>0</v>
      </c>
    </row>
    <row r="5935" spans="5:11">
      <c r="E5935" s="3" t="s">
        <v>2150</v>
      </c>
      <c r="F5935" s="3" t="s">
        <v>2151</v>
      </c>
      <c r="G5935" s="7" t="str">
        <f t="shared" si="445"/>
        <v>15-12</v>
      </c>
      <c r="H5935" s="1">
        <f>_xlfn.IFNA(VLOOKUP(E5935,'Urban Plastix Holds'!$I$36:$U$498,7,0),0)</f>
        <v>0</v>
      </c>
      <c r="J5935" s="2">
        <f t="shared" si="450"/>
        <v>0</v>
      </c>
      <c r="K5935" s="2">
        <f t="shared" si="451"/>
        <v>0</v>
      </c>
    </row>
    <row r="5936" spans="5:11">
      <c r="E5936" s="3" t="s">
        <v>2150</v>
      </c>
      <c r="F5936" s="3" t="s">
        <v>2151</v>
      </c>
      <c r="G5936" s="8" t="str">
        <f t="shared" si="445"/>
        <v>16-16</v>
      </c>
      <c r="H5936" s="1">
        <f>_xlfn.IFNA(VLOOKUP(E5936,'Urban Plastix Holds'!$I$36:$U$498,8,0),0)</f>
        <v>0</v>
      </c>
      <c r="J5936" s="2">
        <f t="shared" si="450"/>
        <v>0</v>
      </c>
      <c r="K5936" s="2">
        <f t="shared" si="451"/>
        <v>0</v>
      </c>
    </row>
    <row r="5937" spans="5:11">
      <c r="E5937" s="3" t="s">
        <v>2150</v>
      </c>
      <c r="F5937" s="3" t="s">
        <v>2151</v>
      </c>
      <c r="G5937" s="9" t="str">
        <f t="shared" si="445"/>
        <v>13-01</v>
      </c>
      <c r="H5937" s="1">
        <f>_xlfn.IFNA(VLOOKUP(E5937,'Urban Plastix Holds'!$I$36:$U$498,9,0),0)</f>
        <v>0</v>
      </c>
      <c r="J5937" s="2">
        <f t="shared" si="450"/>
        <v>0</v>
      </c>
      <c r="K5937" s="2">
        <f t="shared" si="451"/>
        <v>0</v>
      </c>
    </row>
    <row r="5938" spans="5:11">
      <c r="E5938" s="3" t="s">
        <v>2150</v>
      </c>
      <c r="F5938" s="3" t="s">
        <v>2151</v>
      </c>
      <c r="G5938" s="10" t="str">
        <f t="shared" si="445"/>
        <v>07-13</v>
      </c>
      <c r="H5938" s="1">
        <f>_xlfn.IFNA(VLOOKUP(E5938,'Urban Plastix Holds'!$I$36:$U$498,10,0),0)</f>
        <v>0</v>
      </c>
      <c r="J5938" s="2">
        <f t="shared" si="450"/>
        <v>0</v>
      </c>
      <c r="K5938" s="2">
        <f t="shared" si="451"/>
        <v>0</v>
      </c>
    </row>
    <row r="5939" spans="5:11">
      <c r="E5939" s="3" t="s">
        <v>2150</v>
      </c>
      <c r="F5939" s="3" t="s">
        <v>2151</v>
      </c>
      <c r="G5939" s="11" t="str">
        <f t="shared" si="445"/>
        <v>11-25</v>
      </c>
      <c r="H5939" s="1">
        <f>_xlfn.IFNA(VLOOKUP(E5939,'Urban Plastix Holds'!$I$36:$U$498,11,0),0)</f>
        <v>0</v>
      </c>
      <c r="J5939" s="2">
        <f t="shared" si="450"/>
        <v>0</v>
      </c>
      <c r="K5939" s="2">
        <f t="shared" si="451"/>
        <v>0</v>
      </c>
    </row>
    <row r="5940" spans="5:11">
      <c r="E5940" s="3" t="s">
        <v>2150</v>
      </c>
      <c r="F5940" s="3" t="s">
        <v>2151</v>
      </c>
      <c r="G5940" s="13" t="str">
        <f t="shared" si="445"/>
        <v>18-01</v>
      </c>
      <c r="H5940" s="1">
        <f>_xlfn.IFNA(VLOOKUP(E5940,'Urban Plastix Holds'!$I$36:$U$498,12,0),0)</f>
        <v>0</v>
      </c>
      <c r="J5940" s="2">
        <f t="shared" si="450"/>
        <v>0</v>
      </c>
      <c r="K5940" s="2">
        <f t="shared" si="451"/>
        <v>0</v>
      </c>
    </row>
    <row r="5941" spans="5:11">
      <c r="E5941" s="3" t="s">
        <v>2150</v>
      </c>
      <c r="F5941" s="3" t="s">
        <v>2151</v>
      </c>
      <c r="G5941" s="12" t="str">
        <f t="shared" si="445"/>
        <v>12-01</v>
      </c>
      <c r="H5941" s="1">
        <f>_xlfn.IFNA(VLOOKUP(E5941,'Urban Plastix Holds'!$I$36:$U$498,13,0),0)</f>
        <v>0</v>
      </c>
      <c r="J5941" s="2">
        <f t="shared" si="450"/>
        <v>0</v>
      </c>
      <c r="K5941" s="2">
        <f t="shared" si="451"/>
        <v>0</v>
      </c>
    </row>
    <row r="5942" spans="5:11">
      <c r="E5942" s="3" t="s">
        <v>2149</v>
      </c>
      <c r="F5942" s="3" t="s">
        <v>2152</v>
      </c>
      <c r="G5942" s="5" t="str">
        <f t="shared" si="445"/>
        <v>11-12</v>
      </c>
      <c r="H5942" s="1">
        <f>_xlfn.IFNA(VLOOKUP(E5942,'Urban Plastix Holds'!$I$36:$U$498,5,0),0)</f>
        <v>0</v>
      </c>
      <c r="J5942" s="2">
        <f t="shared" si="450"/>
        <v>0</v>
      </c>
      <c r="K5942" s="2">
        <f t="shared" si="451"/>
        <v>0</v>
      </c>
    </row>
    <row r="5943" spans="5:11">
      <c r="E5943" s="3" t="s">
        <v>2149</v>
      </c>
      <c r="F5943" s="3" t="s">
        <v>2152</v>
      </c>
      <c r="G5943" s="6" t="str">
        <f t="shared" si="445"/>
        <v>14-01</v>
      </c>
      <c r="H5943" s="1">
        <f>_xlfn.IFNA(VLOOKUP(E5943,'Urban Plastix Holds'!$I$36:$U$498,6,0),0)</f>
        <v>0</v>
      </c>
      <c r="J5943" s="2">
        <f t="shared" si="450"/>
        <v>0</v>
      </c>
      <c r="K5943" s="2">
        <f t="shared" si="451"/>
        <v>0</v>
      </c>
    </row>
    <row r="5944" spans="5:11">
      <c r="E5944" s="3" t="s">
        <v>2149</v>
      </c>
      <c r="F5944" s="3" t="s">
        <v>2152</v>
      </c>
      <c r="G5944" s="7" t="str">
        <f t="shared" si="445"/>
        <v>15-12</v>
      </c>
      <c r="H5944" s="1">
        <f>_xlfn.IFNA(VLOOKUP(E5944,'Urban Plastix Holds'!$I$36:$U$498,7,0),0)</f>
        <v>0</v>
      </c>
      <c r="J5944" s="2">
        <f t="shared" si="450"/>
        <v>0</v>
      </c>
      <c r="K5944" s="2">
        <f t="shared" si="451"/>
        <v>0</v>
      </c>
    </row>
    <row r="5945" spans="5:11">
      <c r="E5945" s="3" t="s">
        <v>2149</v>
      </c>
      <c r="F5945" s="3" t="s">
        <v>2152</v>
      </c>
      <c r="G5945" s="8" t="str">
        <f t="shared" si="445"/>
        <v>16-16</v>
      </c>
      <c r="H5945" s="1">
        <f>_xlfn.IFNA(VLOOKUP(E5945,'Urban Plastix Holds'!$I$36:$U$498,8,0),0)</f>
        <v>0</v>
      </c>
      <c r="J5945" s="2">
        <f t="shared" si="450"/>
        <v>0</v>
      </c>
      <c r="K5945" s="2">
        <f t="shared" si="451"/>
        <v>0</v>
      </c>
    </row>
    <row r="5946" spans="5:11">
      <c r="E5946" s="3" t="s">
        <v>2149</v>
      </c>
      <c r="F5946" s="3" t="s">
        <v>2152</v>
      </c>
      <c r="G5946" s="9" t="str">
        <f t="shared" si="445"/>
        <v>13-01</v>
      </c>
      <c r="H5946" s="1">
        <f>_xlfn.IFNA(VLOOKUP(E5946,'Urban Plastix Holds'!$I$36:$U$498,9,0),0)</f>
        <v>0</v>
      </c>
      <c r="J5946" s="2">
        <f t="shared" si="450"/>
        <v>0</v>
      </c>
      <c r="K5946" s="2">
        <f t="shared" si="451"/>
        <v>0</v>
      </c>
    </row>
    <row r="5947" spans="5:11">
      <c r="E5947" s="3" t="s">
        <v>2149</v>
      </c>
      <c r="F5947" s="3" t="s">
        <v>2152</v>
      </c>
      <c r="G5947" s="10" t="str">
        <f t="shared" si="445"/>
        <v>07-13</v>
      </c>
      <c r="H5947" s="1">
        <f>_xlfn.IFNA(VLOOKUP(E5947,'Urban Plastix Holds'!$I$36:$U$498,10,0),0)</f>
        <v>0</v>
      </c>
      <c r="J5947" s="2">
        <f t="shared" si="450"/>
        <v>0</v>
      </c>
      <c r="K5947" s="2">
        <f t="shared" si="451"/>
        <v>0</v>
      </c>
    </row>
    <row r="5948" spans="5:11">
      <c r="E5948" s="3" t="s">
        <v>2149</v>
      </c>
      <c r="F5948" s="3" t="s">
        <v>2152</v>
      </c>
      <c r="G5948" s="11" t="str">
        <f t="shared" si="445"/>
        <v>11-25</v>
      </c>
      <c r="H5948" s="1">
        <f>_xlfn.IFNA(VLOOKUP(E5948,'Urban Plastix Holds'!$I$36:$U$498,11,0),0)</f>
        <v>0</v>
      </c>
      <c r="J5948" s="2">
        <f t="shared" si="450"/>
        <v>0</v>
      </c>
      <c r="K5948" s="2">
        <f t="shared" si="451"/>
        <v>0</v>
      </c>
    </row>
    <row r="5949" spans="5:11">
      <c r="E5949" s="3" t="s">
        <v>2149</v>
      </c>
      <c r="F5949" s="3" t="s">
        <v>2152</v>
      </c>
      <c r="G5949" s="13" t="str">
        <f t="shared" si="445"/>
        <v>18-01</v>
      </c>
      <c r="H5949" s="1">
        <f>_xlfn.IFNA(VLOOKUP(E5949,'Urban Plastix Holds'!$I$36:$U$498,12,0),0)</f>
        <v>0</v>
      </c>
      <c r="J5949" s="2">
        <f t="shared" si="450"/>
        <v>0</v>
      </c>
      <c r="K5949" s="2">
        <f t="shared" si="451"/>
        <v>0</v>
      </c>
    </row>
    <row r="5950" spans="5:11">
      <c r="E5950" s="3" t="s">
        <v>2149</v>
      </c>
      <c r="F5950" s="3" t="s">
        <v>2152</v>
      </c>
      <c r="G5950" s="12" t="str">
        <f t="shared" si="445"/>
        <v>12-01</v>
      </c>
      <c r="H5950" s="1">
        <f>_xlfn.IFNA(VLOOKUP(E5950,'Urban Plastix Holds'!$I$36:$U$498,13,0),0)</f>
        <v>0</v>
      </c>
      <c r="J5950" s="2">
        <f t="shared" si="450"/>
        <v>0</v>
      </c>
      <c r="K5950" s="2">
        <f t="shared" si="451"/>
        <v>0</v>
      </c>
    </row>
    <row r="5951" spans="5:11">
      <c r="E5951" s="3" t="s">
        <v>2176</v>
      </c>
      <c r="F5951" s="3" t="s">
        <v>2177</v>
      </c>
      <c r="G5951" s="5" t="str">
        <f t="shared" si="445"/>
        <v>11-12</v>
      </c>
      <c r="H5951" s="1">
        <f>_xlfn.IFNA(VLOOKUP(E5951,'Urban Plastix Holds'!$I$36:$U$498,5,0),0)</f>
        <v>0</v>
      </c>
      <c r="J5951" s="2">
        <f t="shared" ref="J5951:J6013" si="452">H5951*I5951</f>
        <v>0</v>
      </c>
      <c r="K5951" s="2">
        <f t="shared" ref="K5951:K6013" si="453">IF($V$11="Y",J5951*0.05,0)</f>
        <v>0</v>
      </c>
    </row>
    <row r="5952" spans="5:11">
      <c r="E5952" s="3" t="s">
        <v>2176</v>
      </c>
      <c r="F5952" s="3" t="s">
        <v>2177</v>
      </c>
      <c r="G5952" s="6" t="str">
        <f t="shared" si="445"/>
        <v>14-01</v>
      </c>
      <c r="H5952" s="1">
        <f>_xlfn.IFNA(VLOOKUP(E5952,'Urban Plastix Holds'!$I$36:$U$498,6,0),0)</f>
        <v>0</v>
      </c>
      <c r="J5952" s="2">
        <f t="shared" si="452"/>
        <v>0</v>
      </c>
      <c r="K5952" s="2">
        <f t="shared" si="453"/>
        <v>0</v>
      </c>
    </row>
    <row r="5953" spans="5:11">
      <c r="E5953" s="3" t="s">
        <v>2176</v>
      </c>
      <c r="F5953" s="3" t="s">
        <v>2177</v>
      </c>
      <c r="G5953" s="7" t="str">
        <f t="shared" si="445"/>
        <v>15-12</v>
      </c>
      <c r="H5953" s="1">
        <f>_xlfn.IFNA(VLOOKUP(E5953,'Urban Plastix Holds'!$I$36:$U$498,7,0),0)</f>
        <v>0</v>
      </c>
      <c r="J5953" s="2">
        <f t="shared" si="452"/>
        <v>0</v>
      </c>
      <c r="K5953" s="2">
        <f t="shared" si="453"/>
        <v>0</v>
      </c>
    </row>
    <row r="5954" spans="5:11">
      <c r="E5954" s="3" t="s">
        <v>2176</v>
      </c>
      <c r="F5954" s="3" t="s">
        <v>2177</v>
      </c>
      <c r="G5954" s="8" t="str">
        <f t="shared" si="445"/>
        <v>16-16</v>
      </c>
      <c r="H5954" s="1">
        <f>_xlfn.IFNA(VLOOKUP(E5954,'Urban Plastix Holds'!$I$36:$U$498,8,0),0)</f>
        <v>0</v>
      </c>
      <c r="J5954" s="2">
        <f t="shared" si="452"/>
        <v>0</v>
      </c>
      <c r="K5954" s="2">
        <f t="shared" si="453"/>
        <v>0</v>
      </c>
    </row>
    <row r="5955" spans="5:11">
      <c r="E5955" s="3" t="s">
        <v>2176</v>
      </c>
      <c r="F5955" s="3" t="s">
        <v>2177</v>
      </c>
      <c r="G5955" s="9" t="str">
        <f t="shared" si="445"/>
        <v>13-01</v>
      </c>
      <c r="H5955" s="1">
        <f>_xlfn.IFNA(VLOOKUP(E5955,'Urban Plastix Holds'!$I$36:$U$498,9,0),0)</f>
        <v>0</v>
      </c>
      <c r="J5955" s="2">
        <f t="shared" si="452"/>
        <v>0</v>
      </c>
      <c r="K5955" s="2">
        <f t="shared" si="453"/>
        <v>0</v>
      </c>
    </row>
    <row r="5956" spans="5:11">
      <c r="E5956" s="3" t="s">
        <v>2176</v>
      </c>
      <c r="F5956" s="3" t="s">
        <v>2177</v>
      </c>
      <c r="G5956" s="10" t="str">
        <f t="shared" si="445"/>
        <v>07-13</v>
      </c>
      <c r="H5956" s="1">
        <f>_xlfn.IFNA(VLOOKUP(E5956,'Urban Plastix Holds'!$I$36:$U$498,10,0),0)</f>
        <v>0</v>
      </c>
      <c r="J5956" s="2">
        <f t="shared" si="452"/>
        <v>0</v>
      </c>
      <c r="K5956" s="2">
        <f t="shared" si="453"/>
        <v>0</v>
      </c>
    </row>
    <row r="5957" spans="5:11">
      <c r="E5957" s="3" t="s">
        <v>2176</v>
      </c>
      <c r="F5957" s="3" t="s">
        <v>2177</v>
      </c>
      <c r="G5957" s="11" t="str">
        <f t="shared" si="445"/>
        <v>11-25</v>
      </c>
      <c r="H5957" s="1">
        <f>_xlfn.IFNA(VLOOKUP(E5957,'Urban Plastix Holds'!$I$36:$U$498,11,0),0)</f>
        <v>0</v>
      </c>
      <c r="J5957" s="2">
        <f t="shared" si="452"/>
        <v>0</v>
      </c>
      <c r="K5957" s="2">
        <f t="shared" si="453"/>
        <v>0</v>
      </c>
    </row>
    <row r="5958" spans="5:11">
      <c r="E5958" s="3" t="s">
        <v>2176</v>
      </c>
      <c r="F5958" s="3" t="s">
        <v>2177</v>
      </c>
      <c r="G5958" s="13" t="str">
        <f t="shared" si="445"/>
        <v>18-01</v>
      </c>
      <c r="H5958" s="1">
        <f>_xlfn.IFNA(VLOOKUP(E5958,'Urban Plastix Holds'!$I$36:$U$498,12,0),0)</f>
        <v>0</v>
      </c>
      <c r="J5958" s="2">
        <f t="shared" si="452"/>
        <v>0</v>
      </c>
      <c r="K5958" s="2">
        <f t="shared" si="453"/>
        <v>0</v>
      </c>
    </row>
    <row r="5959" spans="5:11">
      <c r="E5959" s="3" t="s">
        <v>2176</v>
      </c>
      <c r="F5959" s="3" t="s">
        <v>2177</v>
      </c>
      <c r="G5959" s="12" t="str">
        <f t="shared" si="445"/>
        <v>12-01</v>
      </c>
      <c r="H5959" s="1">
        <f>_xlfn.IFNA(VLOOKUP(E5959,'Urban Plastix Holds'!$I$36:$U$498,13,0),0)</f>
        <v>0</v>
      </c>
      <c r="J5959" s="2">
        <f t="shared" si="452"/>
        <v>0</v>
      </c>
      <c r="K5959" s="2">
        <f t="shared" si="453"/>
        <v>0</v>
      </c>
    </row>
    <row r="5960" spans="5:11">
      <c r="E5960" s="3" t="s">
        <v>2178</v>
      </c>
      <c r="F5960" s="3" t="s">
        <v>2179</v>
      </c>
      <c r="G5960" s="5" t="str">
        <f t="shared" si="445"/>
        <v>11-12</v>
      </c>
      <c r="H5960" s="1">
        <f>_xlfn.IFNA(VLOOKUP(E5960,'Urban Plastix Holds'!$I$36:$U$498,5,0),0)</f>
        <v>0</v>
      </c>
      <c r="J5960" s="2">
        <f t="shared" si="452"/>
        <v>0</v>
      </c>
      <c r="K5960" s="2">
        <f t="shared" si="453"/>
        <v>0</v>
      </c>
    </row>
    <row r="5961" spans="5:11">
      <c r="E5961" s="3" t="s">
        <v>2178</v>
      </c>
      <c r="F5961" s="3" t="s">
        <v>2179</v>
      </c>
      <c r="G5961" s="6" t="str">
        <f t="shared" si="445"/>
        <v>14-01</v>
      </c>
      <c r="H5961" s="1">
        <f>_xlfn.IFNA(VLOOKUP(E5961,'Urban Plastix Holds'!$I$36:$U$498,6,0),0)</f>
        <v>0</v>
      </c>
      <c r="J5961" s="2">
        <f t="shared" si="452"/>
        <v>0</v>
      </c>
      <c r="K5961" s="2">
        <f t="shared" si="453"/>
        <v>0</v>
      </c>
    </row>
    <row r="5962" spans="5:11">
      <c r="E5962" s="3" t="s">
        <v>2178</v>
      </c>
      <c r="F5962" s="3" t="s">
        <v>2179</v>
      </c>
      <c r="G5962" s="7" t="str">
        <f t="shared" si="445"/>
        <v>15-12</v>
      </c>
      <c r="H5962" s="1">
        <f>_xlfn.IFNA(VLOOKUP(E5962,'Urban Plastix Holds'!$I$36:$U$498,7,0),0)</f>
        <v>0</v>
      </c>
      <c r="J5962" s="2">
        <f t="shared" si="452"/>
        <v>0</v>
      </c>
      <c r="K5962" s="2">
        <f t="shared" si="453"/>
        <v>0</v>
      </c>
    </row>
    <row r="5963" spans="5:11">
      <c r="E5963" s="3" t="s">
        <v>2178</v>
      </c>
      <c r="F5963" s="3" t="s">
        <v>2179</v>
      </c>
      <c r="G5963" s="8" t="str">
        <f t="shared" si="445"/>
        <v>16-16</v>
      </c>
      <c r="H5963" s="1">
        <f>_xlfn.IFNA(VLOOKUP(E5963,'Urban Plastix Holds'!$I$36:$U$498,8,0),0)</f>
        <v>0</v>
      </c>
      <c r="J5963" s="2">
        <f t="shared" si="452"/>
        <v>0</v>
      </c>
      <c r="K5963" s="2">
        <f t="shared" si="453"/>
        <v>0</v>
      </c>
    </row>
    <row r="5964" spans="5:11">
      <c r="E5964" s="3" t="s">
        <v>2178</v>
      </c>
      <c r="F5964" s="3" t="s">
        <v>2179</v>
      </c>
      <c r="G5964" s="9" t="str">
        <f t="shared" si="445"/>
        <v>13-01</v>
      </c>
      <c r="H5964" s="1">
        <f>_xlfn.IFNA(VLOOKUP(E5964,'Urban Plastix Holds'!$I$36:$U$498,9,0),0)</f>
        <v>0</v>
      </c>
      <c r="J5964" s="2">
        <f t="shared" si="452"/>
        <v>0</v>
      </c>
      <c r="K5964" s="2">
        <f t="shared" si="453"/>
        <v>0</v>
      </c>
    </row>
    <row r="5965" spans="5:11">
      <c r="E5965" s="3" t="s">
        <v>2178</v>
      </c>
      <c r="F5965" s="3" t="s">
        <v>2179</v>
      </c>
      <c r="G5965" s="10" t="str">
        <f t="shared" si="445"/>
        <v>07-13</v>
      </c>
      <c r="H5965" s="1">
        <f>_xlfn.IFNA(VLOOKUP(E5965,'Urban Plastix Holds'!$I$36:$U$498,10,0),0)</f>
        <v>0</v>
      </c>
      <c r="J5965" s="2">
        <f t="shared" si="452"/>
        <v>0</v>
      </c>
      <c r="K5965" s="2">
        <f t="shared" si="453"/>
        <v>0</v>
      </c>
    </row>
    <row r="5966" spans="5:11">
      <c r="E5966" s="3" t="s">
        <v>2178</v>
      </c>
      <c r="F5966" s="3" t="s">
        <v>2179</v>
      </c>
      <c r="G5966" s="11" t="str">
        <f t="shared" si="445"/>
        <v>11-25</v>
      </c>
      <c r="H5966" s="1">
        <f>_xlfn.IFNA(VLOOKUP(E5966,'Urban Plastix Holds'!$I$36:$U$498,11,0),0)</f>
        <v>0</v>
      </c>
      <c r="J5966" s="2">
        <f t="shared" si="452"/>
        <v>0</v>
      </c>
      <c r="K5966" s="2">
        <f t="shared" si="453"/>
        <v>0</v>
      </c>
    </row>
    <row r="5967" spans="5:11">
      <c r="E5967" s="3" t="s">
        <v>2178</v>
      </c>
      <c r="F5967" s="3" t="s">
        <v>2179</v>
      </c>
      <c r="G5967" s="13" t="str">
        <f t="shared" si="445"/>
        <v>18-01</v>
      </c>
      <c r="H5967" s="1">
        <f>_xlfn.IFNA(VLOOKUP(E5967,'Urban Plastix Holds'!$I$36:$U$498,12,0),0)</f>
        <v>0</v>
      </c>
      <c r="J5967" s="2">
        <f t="shared" si="452"/>
        <v>0</v>
      </c>
      <c r="K5967" s="2">
        <f t="shared" si="453"/>
        <v>0</v>
      </c>
    </row>
    <row r="5968" spans="5:11">
      <c r="E5968" s="3" t="s">
        <v>2178</v>
      </c>
      <c r="F5968" s="3" t="s">
        <v>2179</v>
      </c>
      <c r="G5968" s="12" t="str">
        <f t="shared" si="445"/>
        <v>12-01</v>
      </c>
      <c r="H5968" s="1">
        <f>_xlfn.IFNA(VLOOKUP(E5968,'Urban Plastix Holds'!$I$36:$U$498,13,0),0)</f>
        <v>0</v>
      </c>
      <c r="J5968" s="2">
        <f t="shared" si="452"/>
        <v>0</v>
      </c>
      <c r="K5968" s="2">
        <f t="shared" si="453"/>
        <v>0</v>
      </c>
    </row>
    <row r="5969" spans="5:11">
      <c r="E5969" s="3" t="s">
        <v>2180</v>
      </c>
      <c r="F5969" s="3" t="s">
        <v>2181</v>
      </c>
      <c r="G5969" s="5" t="str">
        <f t="shared" si="445"/>
        <v>11-12</v>
      </c>
      <c r="H5969" s="1">
        <f>_xlfn.IFNA(VLOOKUP(E5969,'Urban Plastix Holds'!$I$36:$U$498,5,0),0)</f>
        <v>0</v>
      </c>
      <c r="J5969" s="2">
        <f t="shared" si="452"/>
        <v>0</v>
      </c>
      <c r="K5969" s="2">
        <f t="shared" si="453"/>
        <v>0</v>
      </c>
    </row>
    <row r="5970" spans="5:11">
      <c r="E5970" s="3" t="s">
        <v>2180</v>
      </c>
      <c r="F5970" s="3" t="s">
        <v>2181</v>
      </c>
      <c r="G5970" s="6" t="str">
        <f t="shared" si="445"/>
        <v>14-01</v>
      </c>
      <c r="H5970" s="1">
        <f>_xlfn.IFNA(VLOOKUP(E5970,'Urban Plastix Holds'!$I$36:$U$498,6,0),0)</f>
        <v>0</v>
      </c>
      <c r="J5970" s="2">
        <f t="shared" si="452"/>
        <v>0</v>
      </c>
      <c r="K5970" s="2">
        <f t="shared" si="453"/>
        <v>0</v>
      </c>
    </row>
    <row r="5971" spans="5:11">
      <c r="E5971" s="3" t="s">
        <v>2180</v>
      </c>
      <c r="F5971" s="3" t="s">
        <v>2181</v>
      </c>
      <c r="G5971" s="7" t="str">
        <f t="shared" si="445"/>
        <v>15-12</v>
      </c>
      <c r="H5971" s="1">
        <f>_xlfn.IFNA(VLOOKUP(E5971,'Urban Plastix Holds'!$I$36:$U$498,7,0),0)</f>
        <v>0</v>
      </c>
      <c r="J5971" s="2">
        <f t="shared" si="452"/>
        <v>0</v>
      </c>
      <c r="K5971" s="2">
        <f t="shared" si="453"/>
        <v>0</v>
      </c>
    </row>
    <row r="5972" spans="5:11">
      <c r="E5972" s="3" t="s">
        <v>2180</v>
      </c>
      <c r="F5972" s="3" t="s">
        <v>2181</v>
      </c>
      <c r="G5972" s="8" t="str">
        <f t="shared" ref="G5972:G6035" si="454">G5945</f>
        <v>16-16</v>
      </c>
      <c r="H5972" s="1">
        <f>_xlfn.IFNA(VLOOKUP(E5972,'Urban Plastix Holds'!$I$36:$U$498,8,0),0)</f>
        <v>0</v>
      </c>
      <c r="J5972" s="2">
        <f t="shared" si="452"/>
        <v>0</v>
      </c>
      <c r="K5972" s="2">
        <f t="shared" si="453"/>
        <v>0</v>
      </c>
    </row>
    <row r="5973" spans="5:11">
      <c r="E5973" s="3" t="s">
        <v>2180</v>
      </c>
      <c r="F5973" s="3" t="s">
        <v>2181</v>
      </c>
      <c r="G5973" s="9" t="str">
        <f t="shared" si="454"/>
        <v>13-01</v>
      </c>
      <c r="H5973" s="1">
        <f>_xlfn.IFNA(VLOOKUP(E5973,'Urban Plastix Holds'!$I$36:$U$498,9,0),0)</f>
        <v>0</v>
      </c>
      <c r="J5973" s="2">
        <f t="shared" si="452"/>
        <v>0</v>
      </c>
      <c r="K5973" s="2">
        <f t="shared" si="453"/>
        <v>0</v>
      </c>
    </row>
    <row r="5974" spans="5:11">
      <c r="E5974" s="3" t="s">
        <v>2180</v>
      </c>
      <c r="F5974" s="3" t="s">
        <v>2181</v>
      </c>
      <c r="G5974" s="10" t="str">
        <f t="shared" si="454"/>
        <v>07-13</v>
      </c>
      <c r="H5974" s="1">
        <f>_xlfn.IFNA(VLOOKUP(E5974,'Urban Plastix Holds'!$I$36:$U$498,10,0),0)</f>
        <v>0</v>
      </c>
      <c r="J5974" s="2">
        <f t="shared" si="452"/>
        <v>0</v>
      </c>
      <c r="K5974" s="2">
        <f t="shared" si="453"/>
        <v>0</v>
      </c>
    </row>
    <row r="5975" spans="5:11">
      <c r="E5975" s="3" t="s">
        <v>2180</v>
      </c>
      <c r="F5975" s="3" t="s">
        <v>2181</v>
      </c>
      <c r="G5975" s="11" t="str">
        <f t="shared" si="454"/>
        <v>11-25</v>
      </c>
      <c r="H5975" s="1">
        <f>_xlfn.IFNA(VLOOKUP(E5975,'Urban Plastix Holds'!$I$36:$U$498,11,0),0)</f>
        <v>0</v>
      </c>
      <c r="J5975" s="2">
        <f t="shared" si="452"/>
        <v>0</v>
      </c>
      <c r="K5975" s="2">
        <f t="shared" si="453"/>
        <v>0</v>
      </c>
    </row>
    <row r="5976" spans="5:11">
      <c r="E5976" s="3" t="s">
        <v>2180</v>
      </c>
      <c r="F5976" s="3" t="s">
        <v>2181</v>
      </c>
      <c r="G5976" s="13" t="str">
        <f t="shared" si="454"/>
        <v>18-01</v>
      </c>
      <c r="H5976" s="1">
        <f>_xlfn.IFNA(VLOOKUP(E5976,'Urban Plastix Holds'!$I$36:$U$498,12,0),0)</f>
        <v>0</v>
      </c>
      <c r="J5976" s="2">
        <f t="shared" si="452"/>
        <v>0</v>
      </c>
      <c r="K5976" s="2">
        <f t="shared" si="453"/>
        <v>0</v>
      </c>
    </row>
    <row r="5977" spans="5:11">
      <c r="E5977" s="3" t="s">
        <v>2180</v>
      </c>
      <c r="F5977" s="3" t="s">
        <v>2181</v>
      </c>
      <c r="G5977" s="12" t="str">
        <f t="shared" si="454"/>
        <v>12-01</v>
      </c>
      <c r="H5977" s="1">
        <f>_xlfn.IFNA(VLOOKUP(E5977,'Urban Plastix Holds'!$I$36:$U$498,13,0),0)</f>
        <v>0</v>
      </c>
      <c r="J5977" s="2">
        <f t="shared" si="452"/>
        <v>0</v>
      </c>
      <c r="K5977" s="2">
        <f t="shared" si="453"/>
        <v>0</v>
      </c>
    </row>
    <row r="5978" spans="5:11">
      <c r="E5978" s="3" t="s">
        <v>2182</v>
      </c>
      <c r="F5978" s="3" t="s">
        <v>2183</v>
      </c>
      <c r="G5978" s="5" t="str">
        <f t="shared" si="454"/>
        <v>11-12</v>
      </c>
      <c r="H5978" s="1">
        <f>_xlfn.IFNA(VLOOKUP(E5978,'Urban Plastix Holds'!$I$36:$U$498,5,0),0)</f>
        <v>0</v>
      </c>
      <c r="J5978" s="2">
        <f t="shared" si="452"/>
        <v>0</v>
      </c>
      <c r="K5978" s="2">
        <f t="shared" si="453"/>
        <v>0</v>
      </c>
    </row>
    <row r="5979" spans="5:11">
      <c r="E5979" s="3" t="s">
        <v>2182</v>
      </c>
      <c r="F5979" s="3" t="s">
        <v>2183</v>
      </c>
      <c r="G5979" s="6" t="str">
        <f t="shared" si="454"/>
        <v>14-01</v>
      </c>
      <c r="H5979" s="1">
        <f>_xlfn.IFNA(VLOOKUP(E5979,'Urban Plastix Holds'!$I$36:$U$498,6,0),0)</f>
        <v>0</v>
      </c>
      <c r="J5979" s="2">
        <f t="shared" si="452"/>
        <v>0</v>
      </c>
      <c r="K5979" s="2">
        <f t="shared" si="453"/>
        <v>0</v>
      </c>
    </row>
    <row r="5980" spans="5:11">
      <c r="E5980" s="3" t="s">
        <v>2182</v>
      </c>
      <c r="F5980" s="3" t="s">
        <v>2183</v>
      </c>
      <c r="G5980" s="7" t="str">
        <f t="shared" si="454"/>
        <v>15-12</v>
      </c>
      <c r="H5980" s="1">
        <f>_xlfn.IFNA(VLOOKUP(E5980,'Urban Plastix Holds'!$I$36:$U$498,7,0),0)</f>
        <v>0</v>
      </c>
      <c r="J5980" s="2">
        <f t="shared" si="452"/>
        <v>0</v>
      </c>
      <c r="K5980" s="2">
        <f t="shared" si="453"/>
        <v>0</v>
      </c>
    </row>
    <row r="5981" spans="5:11">
      <c r="E5981" s="3" t="s">
        <v>2182</v>
      </c>
      <c r="F5981" s="3" t="s">
        <v>2183</v>
      </c>
      <c r="G5981" s="8" t="str">
        <f t="shared" si="454"/>
        <v>16-16</v>
      </c>
      <c r="H5981" s="1">
        <f>_xlfn.IFNA(VLOOKUP(E5981,'Urban Plastix Holds'!$I$36:$U$498,8,0),0)</f>
        <v>0</v>
      </c>
      <c r="J5981" s="2">
        <f t="shared" si="452"/>
        <v>0</v>
      </c>
      <c r="K5981" s="2">
        <f t="shared" si="453"/>
        <v>0</v>
      </c>
    </row>
    <row r="5982" spans="5:11">
      <c r="E5982" s="3" t="s">
        <v>2182</v>
      </c>
      <c r="F5982" s="3" t="s">
        <v>2183</v>
      </c>
      <c r="G5982" s="9" t="str">
        <f t="shared" si="454"/>
        <v>13-01</v>
      </c>
      <c r="H5982" s="1">
        <f>_xlfn.IFNA(VLOOKUP(E5982,'Urban Plastix Holds'!$I$36:$U$498,9,0),0)</f>
        <v>0</v>
      </c>
      <c r="J5982" s="2">
        <f t="shared" si="452"/>
        <v>0</v>
      </c>
      <c r="K5982" s="2">
        <f t="shared" si="453"/>
        <v>0</v>
      </c>
    </row>
    <row r="5983" spans="5:11">
      <c r="E5983" s="3" t="s">
        <v>2182</v>
      </c>
      <c r="F5983" s="3" t="s">
        <v>2183</v>
      </c>
      <c r="G5983" s="10" t="str">
        <f t="shared" si="454"/>
        <v>07-13</v>
      </c>
      <c r="H5983" s="1">
        <f>_xlfn.IFNA(VLOOKUP(E5983,'Urban Plastix Holds'!$I$36:$U$498,10,0),0)</f>
        <v>0</v>
      </c>
      <c r="J5983" s="2">
        <f t="shared" si="452"/>
        <v>0</v>
      </c>
      <c r="K5983" s="2">
        <f t="shared" si="453"/>
        <v>0</v>
      </c>
    </row>
    <row r="5984" spans="5:11">
      <c r="E5984" s="3" t="s">
        <v>2182</v>
      </c>
      <c r="F5984" s="3" t="s">
        <v>2183</v>
      </c>
      <c r="G5984" s="11" t="str">
        <f t="shared" si="454"/>
        <v>11-25</v>
      </c>
      <c r="H5984" s="1">
        <f>_xlfn.IFNA(VLOOKUP(E5984,'Urban Plastix Holds'!$I$36:$U$498,11,0),0)</f>
        <v>0</v>
      </c>
      <c r="J5984" s="2">
        <f t="shared" si="452"/>
        <v>0</v>
      </c>
      <c r="K5984" s="2">
        <f t="shared" si="453"/>
        <v>0</v>
      </c>
    </row>
    <row r="5985" spans="5:11">
      <c r="E5985" s="3" t="s">
        <v>2182</v>
      </c>
      <c r="F5985" s="3" t="s">
        <v>2183</v>
      </c>
      <c r="G5985" s="13" t="str">
        <f t="shared" si="454"/>
        <v>18-01</v>
      </c>
      <c r="H5985" s="1">
        <f>_xlfn.IFNA(VLOOKUP(E5985,'Urban Plastix Holds'!$I$36:$U$498,12,0),0)</f>
        <v>0</v>
      </c>
      <c r="J5985" s="2">
        <f t="shared" si="452"/>
        <v>0</v>
      </c>
      <c r="K5985" s="2">
        <f t="shared" si="453"/>
        <v>0</v>
      </c>
    </row>
    <row r="5986" spans="5:11">
      <c r="E5986" s="3" t="s">
        <v>2182</v>
      </c>
      <c r="F5986" s="3" t="s">
        <v>2183</v>
      </c>
      <c r="G5986" s="12" t="str">
        <f t="shared" si="454"/>
        <v>12-01</v>
      </c>
      <c r="H5986" s="1">
        <f>_xlfn.IFNA(VLOOKUP(E5986,'Urban Plastix Holds'!$I$36:$U$498,13,0),0)</f>
        <v>0</v>
      </c>
      <c r="J5986" s="2">
        <f t="shared" si="452"/>
        <v>0</v>
      </c>
      <c r="K5986" s="2">
        <f t="shared" si="453"/>
        <v>0</v>
      </c>
    </row>
    <row r="5987" spans="5:11">
      <c r="E5987" s="3" t="s">
        <v>2184</v>
      </c>
      <c r="F5987" s="3" t="s">
        <v>2185</v>
      </c>
      <c r="G5987" s="5" t="str">
        <f t="shared" si="454"/>
        <v>11-12</v>
      </c>
      <c r="H5987" s="1">
        <f>_xlfn.IFNA(VLOOKUP(E5987,'Urban Plastix Holds'!$I$36:$U$498,5,0),0)</f>
        <v>0</v>
      </c>
      <c r="J5987" s="2">
        <f t="shared" si="452"/>
        <v>0</v>
      </c>
      <c r="K5987" s="2">
        <f t="shared" si="453"/>
        <v>0</v>
      </c>
    </row>
    <row r="5988" spans="5:11">
      <c r="E5988" s="3" t="s">
        <v>2184</v>
      </c>
      <c r="F5988" s="3" t="s">
        <v>2185</v>
      </c>
      <c r="G5988" s="6" t="str">
        <f t="shared" si="454"/>
        <v>14-01</v>
      </c>
      <c r="H5988" s="1">
        <f>_xlfn.IFNA(VLOOKUP(E5988,'Urban Plastix Holds'!$I$36:$U$498,6,0),0)</f>
        <v>0</v>
      </c>
      <c r="J5988" s="2">
        <f t="shared" si="452"/>
        <v>0</v>
      </c>
      <c r="K5988" s="2">
        <f t="shared" si="453"/>
        <v>0</v>
      </c>
    </row>
    <row r="5989" spans="5:11">
      <c r="E5989" s="3" t="s">
        <v>2184</v>
      </c>
      <c r="F5989" s="3" t="s">
        <v>2185</v>
      </c>
      <c r="G5989" s="7" t="str">
        <f t="shared" si="454"/>
        <v>15-12</v>
      </c>
      <c r="H5989" s="1">
        <f>_xlfn.IFNA(VLOOKUP(E5989,'Urban Plastix Holds'!$I$36:$U$498,7,0),0)</f>
        <v>0</v>
      </c>
      <c r="J5989" s="2">
        <f t="shared" si="452"/>
        <v>0</v>
      </c>
      <c r="K5989" s="2">
        <f t="shared" si="453"/>
        <v>0</v>
      </c>
    </row>
    <row r="5990" spans="5:11">
      <c r="E5990" s="3" t="s">
        <v>2184</v>
      </c>
      <c r="F5990" s="3" t="s">
        <v>2185</v>
      </c>
      <c r="G5990" s="8" t="str">
        <f t="shared" si="454"/>
        <v>16-16</v>
      </c>
      <c r="H5990" s="1">
        <f>_xlfn.IFNA(VLOOKUP(E5990,'Urban Plastix Holds'!$I$36:$U$498,8,0),0)</f>
        <v>0</v>
      </c>
      <c r="J5990" s="2">
        <f t="shared" si="452"/>
        <v>0</v>
      </c>
      <c r="K5990" s="2">
        <f t="shared" si="453"/>
        <v>0</v>
      </c>
    </row>
    <row r="5991" spans="5:11">
      <c r="E5991" s="3" t="s">
        <v>2184</v>
      </c>
      <c r="F5991" s="3" t="s">
        <v>2185</v>
      </c>
      <c r="G5991" s="9" t="str">
        <f t="shared" si="454"/>
        <v>13-01</v>
      </c>
      <c r="H5991" s="1">
        <f>_xlfn.IFNA(VLOOKUP(E5991,'Urban Plastix Holds'!$I$36:$U$498,9,0),0)</f>
        <v>0</v>
      </c>
      <c r="J5991" s="2">
        <f t="shared" si="452"/>
        <v>0</v>
      </c>
      <c r="K5991" s="2">
        <f t="shared" si="453"/>
        <v>0</v>
      </c>
    </row>
    <row r="5992" spans="5:11">
      <c r="E5992" s="3" t="s">
        <v>2184</v>
      </c>
      <c r="F5992" s="3" t="s">
        <v>2185</v>
      </c>
      <c r="G5992" s="10" t="str">
        <f t="shared" si="454"/>
        <v>07-13</v>
      </c>
      <c r="H5992" s="1">
        <f>_xlfn.IFNA(VLOOKUP(E5992,'Urban Plastix Holds'!$I$36:$U$498,10,0),0)</f>
        <v>0</v>
      </c>
      <c r="J5992" s="2">
        <f t="shared" si="452"/>
        <v>0</v>
      </c>
      <c r="K5992" s="2">
        <f t="shared" si="453"/>
        <v>0</v>
      </c>
    </row>
    <row r="5993" spans="5:11">
      <c r="E5993" s="3" t="s">
        <v>2184</v>
      </c>
      <c r="F5993" s="3" t="s">
        <v>2185</v>
      </c>
      <c r="G5993" s="11" t="str">
        <f t="shared" si="454"/>
        <v>11-25</v>
      </c>
      <c r="H5993" s="1">
        <f>_xlfn.IFNA(VLOOKUP(E5993,'Urban Plastix Holds'!$I$36:$U$498,11,0),0)</f>
        <v>0</v>
      </c>
      <c r="J5993" s="2">
        <f t="shared" si="452"/>
        <v>0</v>
      </c>
      <c r="K5993" s="2">
        <f t="shared" si="453"/>
        <v>0</v>
      </c>
    </row>
    <row r="5994" spans="5:11">
      <c r="E5994" s="3" t="s">
        <v>2184</v>
      </c>
      <c r="F5994" s="3" t="s">
        <v>2185</v>
      </c>
      <c r="G5994" s="13" t="str">
        <f t="shared" si="454"/>
        <v>18-01</v>
      </c>
      <c r="H5994" s="1">
        <f>_xlfn.IFNA(VLOOKUP(E5994,'Urban Plastix Holds'!$I$36:$U$498,12,0),0)</f>
        <v>0</v>
      </c>
      <c r="J5994" s="2">
        <f t="shared" si="452"/>
        <v>0</v>
      </c>
      <c r="K5994" s="2">
        <f t="shared" si="453"/>
        <v>0</v>
      </c>
    </row>
    <row r="5995" spans="5:11">
      <c r="E5995" s="3" t="s">
        <v>2184</v>
      </c>
      <c r="F5995" s="3" t="s">
        <v>2185</v>
      </c>
      <c r="G5995" s="12" t="str">
        <f t="shared" si="454"/>
        <v>12-01</v>
      </c>
      <c r="H5995" s="1">
        <f>_xlfn.IFNA(VLOOKUP(E5995,'Urban Plastix Holds'!$I$36:$U$498,13,0),0)</f>
        <v>0</v>
      </c>
      <c r="J5995" s="2">
        <f t="shared" si="452"/>
        <v>0</v>
      </c>
      <c r="K5995" s="2">
        <f t="shared" si="453"/>
        <v>0</v>
      </c>
    </row>
    <row r="5996" spans="5:11">
      <c r="E5996" s="3" t="s">
        <v>2186</v>
      </c>
      <c r="F5996" s="3" t="s">
        <v>2187</v>
      </c>
      <c r="G5996" s="5" t="str">
        <f t="shared" si="454"/>
        <v>11-12</v>
      </c>
      <c r="H5996" s="1">
        <f>_xlfn.IFNA(VLOOKUP(E5996,'Urban Plastix Holds'!$I$36:$U$498,5,0),0)</f>
        <v>0</v>
      </c>
      <c r="J5996" s="2">
        <f t="shared" si="452"/>
        <v>0</v>
      </c>
      <c r="K5996" s="2">
        <f t="shared" si="453"/>
        <v>0</v>
      </c>
    </row>
    <row r="5997" spans="5:11">
      <c r="E5997" s="3" t="s">
        <v>2186</v>
      </c>
      <c r="F5997" s="3" t="s">
        <v>2187</v>
      </c>
      <c r="G5997" s="6" t="str">
        <f t="shared" si="454"/>
        <v>14-01</v>
      </c>
      <c r="H5997" s="1">
        <f>_xlfn.IFNA(VLOOKUP(E5997,'Urban Plastix Holds'!$I$36:$U$498,6,0),0)</f>
        <v>0</v>
      </c>
      <c r="J5997" s="2">
        <f t="shared" si="452"/>
        <v>0</v>
      </c>
      <c r="K5997" s="2">
        <f t="shared" si="453"/>
        <v>0</v>
      </c>
    </row>
    <row r="5998" spans="5:11">
      <c r="E5998" s="3" t="s">
        <v>2186</v>
      </c>
      <c r="F5998" s="3" t="s">
        <v>2187</v>
      </c>
      <c r="G5998" s="7" t="str">
        <f t="shared" si="454"/>
        <v>15-12</v>
      </c>
      <c r="H5998" s="1">
        <f>_xlfn.IFNA(VLOOKUP(E5998,'Urban Plastix Holds'!$I$36:$U$498,7,0),0)</f>
        <v>0</v>
      </c>
      <c r="J5998" s="2">
        <f t="shared" si="452"/>
        <v>0</v>
      </c>
      <c r="K5998" s="2">
        <f t="shared" si="453"/>
        <v>0</v>
      </c>
    </row>
    <row r="5999" spans="5:11">
      <c r="E5999" s="3" t="s">
        <v>2186</v>
      </c>
      <c r="F5999" s="3" t="s">
        <v>2187</v>
      </c>
      <c r="G5999" s="8" t="str">
        <f t="shared" si="454"/>
        <v>16-16</v>
      </c>
      <c r="H5999" s="1">
        <f>_xlfn.IFNA(VLOOKUP(E5999,'Urban Plastix Holds'!$I$36:$U$498,8,0),0)</f>
        <v>0</v>
      </c>
      <c r="J5999" s="2">
        <f t="shared" si="452"/>
        <v>0</v>
      </c>
      <c r="K5999" s="2">
        <f t="shared" si="453"/>
        <v>0</v>
      </c>
    </row>
    <row r="6000" spans="5:11">
      <c r="E6000" s="3" t="s">
        <v>2186</v>
      </c>
      <c r="F6000" s="3" t="s">
        <v>2187</v>
      </c>
      <c r="G6000" s="9" t="str">
        <f t="shared" si="454"/>
        <v>13-01</v>
      </c>
      <c r="H6000" s="1">
        <f>_xlfn.IFNA(VLOOKUP(E6000,'Urban Plastix Holds'!$I$36:$U$498,9,0),0)</f>
        <v>0</v>
      </c>
      <c r="J6000" s="2">
        <f t="shared" si="452"/>
        <v>0</v>
      </c>
      <c r="K6000" s="2">
        <f t="shared" si="453"/>
        <v>0</v>
      </c>
    </row>
    <row r="6001" spans="5:11">
      <c r="E6001" s="3" t="s">
        <v>2186</v>
      </c>
      <c r="F6001" s="3" t="s">
        <v>2187</v>
      </c>
      <c r="G6001" s="10" t="str">
        <f t="shared" si="454"/>
        <v>07-13</v>
      </c>
      <c r="H6001" s="1">
        <f>_xlfn.IFNA(VLOOKUP(E6001,'Urban Plastix Holds'!$I$36:$U$498,10,0),0)</f>
        <v>0</v>
      </c>
      <c r="J6001" s="2">
        <f t="shared" si="452"/>
        <v>0</v>
      </c>
      <c r="K6001" s="2">
        <f t="shared" si="453"/>
        <v>0</v>
      </c>
    </row>
    <row r="6002" spans="5:11">
      <c r="E6002" s="3" t="s">
        <v>2186</v>
      </c>
      <c r="F6002" s="3" t="s">
        <v>2187</v>
      </c>
      <c r="G6002" s="11" t="str">
        <f t="shared" si="454"/>
        <v>11-25</v>
      </c>
      <c r="H6002" s="1">
        <f>_xlfn.IFNA(VLOOKUP(E6002,'Urban Plastix Holds'!$I$36:$U$498,11,0),0)</f>
        <v>0</v>
      </c>
      <c r="J6002" s="2">
        <f t="shared" si="452"/>
        <v>0</v>
      </c>
      <c r="K6002" s="2">
        <f t="shared" si="453"/>
        <v>0</v>
      </c>
    </row>
    <row r="6003" spans="5:11">
      <c r="E6003" s="3" t="s">
        <v>2186</v>
      </c>
      <c r="F6003" s="3" t="s">
        <v>2187</v>
      </c>
      <c r="G6003" s="13" t="str">
        <f t="shared" si="454"/>
        <v>18-01</v>
      </c>
      <c r="H6003" s="1">
        <f>_xlfn.IFNA(VLOOKUP(E6003,'Urban Plastix Holds'!$I$36:$U$498,12,0),0)</f>
        <v>0</v>
      </c>
      <c r="J6003" s="2">
        <f t="shared" si="452"/>
        <v>0</v>
      </c>
      <c r="K6003" s="2">
        <f t="shared" si="453"/>
        <v>0</v>
      </c>
    </row>
    <row r="6004" spans="5:11">
      <c r="E6004" s="3" t="s">
        <v>2186</v>
      </c>
      <c r="F6004" s="3" t="s">
        <v>2187</v>
      </c>
      <c r="G6004" s="12" t="str">
        <f t="shared" si="454"/>
        <v>12-01</v>
      </c>
      <c r="H6004" s="1">
        <f>_xlfn.IFNA(VLOOKUP(E6004,'Urban Plastix Holds'!$I$36:$U$498,13,0),0)</f>
        <v>0</v>
      </c>
      <c r="J6004" s="2">
        <f t="shared" si="452"/>
        <v>0</v>
      </c>
      <c r="K6004" s="2">
        <f t="shared" si="453"/>
        <v>0</v>
      </c>
    </row>
    <row r="6005" spans="5:11">
      <c r="E6005" s="3" t="s">
        <v>2188</v>
      </c>
      <c r="F6005" s="3" t="s">
        <v>2189</v>
      </c>
      <c r="G6005" s="5" t="str">
        <f t="shared" si="454"/>
        <v>11-12</v>
      </c>
      <c r="H6005" s="1">
        <f>_xlfn.IFNA(VLOOKUP(E6005,'Urban Plastix Holds'!$I$36:$U$498,5,0),0)</f>
        <v>0</v>
      </c>
      <c r="J6005" s="2">
        <f t="shared" si="452"/>
        <v>0</v>
      </c>
      <c r="K6005" s="2">
        <f t="shared" si="453"/>
        <v>0</v>
      </c>
    </row>
    <row r="6006" spans="5:11">
      <c r="E6006" s="3" t="s">
        <v>2188</v>
      </c>
      <c r="F6006" s="3" t="s">
        <v>2189</v>
      </c>
      <c r="G6006" s="6" t="str">
        <f t="shared" si="454"/>
        <v>14-01</v>
      </c>
      <c r="H6006" s="1">
        <f>_xlfn.IFNA(VLOOKUP(E6006,'Urban Plastix Holds'!$I$36:$U$498,6,0),0)</f>
        <v>0</v>
      </c>
      <c r="J6006" s="2">
        <f t="shared" si="452"/>
        <v>0</v>
      </c>
      <c r="K6006" s="2">
        <f t="shared" si="453"/>
        <v>0</v>
      </c>
    </row>
    <row r="6007" spans="5:11">
      <c r="E6007" s="3" t="s">
        <v>2188</v>
      </c>
      <c r="F6007" s="3" t="s">
        <v>2189</v>
      </c>
      <c r="G6007" s="7" t="str">
        <f t="shared" si="454"/>
        <v>15-12</v>
      </c>
      <c r="H6007" s="1">
        <f>_xlfn.IFNA(VLOOKUP(E6007,'Urban Plastix Holds'!$I$36:$U$498,7,0),0)</f>
        <v>0</v>
      </c>
      <c r="J6007" s="2">
        <f t="shared" si="452"/>
        <v>0</v>
      </c>
      <c r="K6007" s="2">
        <f t="shared" si="453"/>
        <v>0</v>
      </c>
    </row>
    <row r="6008" spans="5:11">
      <c r="E6008" s="3" t="s">
        <v>2188</v>
      </c>
      <c r="F6008" s="3" t="s">
        <v>2189</v>
      </c>
      <c r="G6008" s="8" t="str">
        <f t="shared" si="454"/>
        <v>16-16</v>
      </c>
      <c r="H6008" s="1">
        <f>_xlfn.IFNA(VLOOKUP(E6008,'Urban Plastix Holds'!$I$36:$U$498,8,0),0)</f>
        <v>0</v>
      </c>
      <c r="J6008" s="2">
        <f t="shared" si="452"/>
        <v>0</v>
      </c>
      <c r="K6008" s="2">
        <f t="shared" si="453"/>
        <v>0</v>
      </c>
    </row>
    <row r="6009" spans="5:11">
      <c r="E6009" s="3" t="s">
        <v>2188</v>
      </c>
      <c r="F6009" s="3" t="s">
        <v>2189</v>
      </c>
      <c r="G6009" s="9" t="str">
        <f t="shared" si="454"/>
        <v>13-01</v>
      </c>
      <c r="H6009" s="1">
        <f>_xlfn.IFNA(VLOOKUP(E6009,'Urban Plastix Holds'!$I$36:$U$498,9,0),0)</f>
        <v>0</v>
      </c>
      <c r="J6009" s="2">
        <f t="shared" si="452"/>
        <v>0</v>
      </c>
      <c r="K6009" s="2">
        <f t="shared" si="453"/>
        <v>0</v>
      </c>
    </row>
    <row r="6010" spans="5:11">
      <c r="E6010" s="3" t="s">
        <v>2188</v>
      </c>
      <c r="F6010" s="3" t="s">
        <v>2189</v>
      </c>
      <c r="G6010" s="10" t="str">
        <f t="shared" si="454"/>
        <v>07-13</v>
      </c>
      <c r="H6010" s="1">
        <f>_xlfn.IFNA(VLOOKUP(E6010,'Urban Plastix Holds'!$I$36:$U$498,10,0),0)</f>
        <v>0</v>
      </c>
      <c r="J6010" s="2">
        <f t="shared" si="452"/>
        <v>0</v>
      </c>
      <c r="K6010" s="2">
        <f t="shared" si="453"/>
        <v>0</v>
      </c>
    </row>
    <row r="6011" spans="5:11">
      <c r="E6011" s="3" t="s">
        <v>2188</v>
      </c>
      <c r="F6011" s="3" t="s">
        <v>2189</v>
      </c>
      <c r="G6011" s="11" t="str">
        <f t="shared" si="454"/>
        <v>11-25</v>
      </c>
      <c r="H6011" s="1">
        <f>_xlfn.IFNA(VLOOKUP(E6011,'Urban Plastix Holds'!$I$36:$U$498,11,0),0)</f>
        <v>0</v>
      </c>
      <c r="J6011" s="2">
        <f t="shared" si="452"/>
        <v>0</v>
      </c>
      <c r="K6011" s="2">
        <f t="shared" si="453"/>
        <v>0</v>
      </c>
    </row>
    <row r="6012" spans="5:11">
      <c r="E6012" s="3" t="s">
        <v>2188</v>
      </c>
      <c r="F6012" s="3" t="s">
        <v>2189</v>
      </c>
      <c r="G6012" s="13" t="str">
        <f t="shared" si="454"/>
        <v>18-01</v>
      </c>
      <c r="H6012" s="1">
        <f>_xlfn.IFNA(VLOOKUP(E6012,'Urban Plastix Holds'!$I$36:$U$498,12,0),0)</f>
        <v>0</v>
      </c>
      <c r="J6012" s="2">
        <f t="shared" si="452"/>
        <v>0</v>
      </c>
      <c r="K6012" s="2">
        <f t="shared" si="453"/>
        <v>0</v>
      </c>
    </row>
    <row r="6013" spans="5:11">
      <c r="E6013" s="3" t="s">
        <v>2188</v>
      </c>
      <c r="F6013" s="3" t="s">
        <v>2189</v>
      </c>
      <c r="G6013" s="12" t="str">
        <f t="shared" si="454"/>
        <v>12-01</v>
      </c>
      <c r="H6013" s="1">
        <f>_xlfn.IFNA(VLOOKUP(E6013,'Urban Plastix Holds'!$I$36:$U$498,13,0),0)</f>
        <v>0</v>
      </c>
      <c r="J6013" s="2">
        <f t="shared" si="452"/>
        <v>0</v>
      </c>
      <c r="K6013" s="2">
        <f t="shared" si="453"/>
        <v>0</v>
      </c>
    </row>
    <row r="6014" spans="5:11">
      <c r="E6014" s="3" t="s">
        <v>2190</v>
      </c>
      <c r="F6014" s="3" t="s">
        <v>2191</v>
      </c>
      <c r="G6014" s="5" t="str">
        <f t="shared" si="454"/>
        <v>11-12</v>
      </c>
      <c r="H6014" s="1">
        <f>_xlfn.IFNA(VLOOKUP(E6014,'Urban Plastix Holds'!$I$36:$U$498,5,0),0)</f>
        <v>0</v>
      </c>
      <c r="J6014" s="2">
        <f t="shared" ref="J6014:J6022" si="455">H6014*I6014</f>
        <v>0</v>
      </c>
      <c r="K6014" s="2">
        <f t="shared" ref="K6014:K6022" si="456">IF($V$11="Y",J6014*0.05,0)</f>
        <v>0</v>
      </c>
    </row>
    <row r="6015" spans="5:11">
      <c r="E6015" s="3" t="s">
        <v>2190</v>
      </c>
      <c r="F6015" s="3" t="s">
        <v>2191</v>
      </c>
      <c r="G6015" s="6" t="str">
        <f t="shared" si="454"/>
        <v>14-01</v>
      </c>
      <c r="H6015" s="1">
        <f>_xlfn.IFNA(VLOOKUP(E6015,'Urban Plastix Holds'!$I$36:$U$498,6,0),0)</f>
        <v>0</v>
      </c>
      <c r="J6015" s="2">
        <f t="shared" si="455"/>
        <v>0</v>
      </c>
      <c r="K6015" s="2">
        <f t="shared" si="456"/>
        <v>0</v>
      </c>
    </row>
    <row r="6016" spans="5:11">
      <c r="E6016" s="3" t="s">
        <v>2190</v>
      </c>
      <c r="F6016" s="3" t="s">
        <v>2191</v>
      </c>
      <c r="G6016" s="7" t="str">
        <f t="shared" si="454"/>
        <v>15-12</v>
      </c>
      <c r="H6016" s="1">
        <f>_xlfn.IFNA(VLOOKUP(E6016,'Urban Plastix Holds'!$I$36:$U$498,7,0),0)</f>
        <v>0</v>
      </c>
      <c r="J6016" s="2">
        <f t="shared" si="455"/>
        <v>0</v>
      </c>
      <c r="K6016" s="2">
        <f t="shared" si="456"/>
        <v>0</v>
      </c>
    </row>
    <row r="6017" spans="5:11">
      <c r="E6017" s="3" t="s">
        <v>2190</v>
      </c>
      <c r="F6017" s="3" t="s">
        <v>2191</v>
      </c>
      <c r="G6017" s="8" t="str">
        <f t="shared" si="454"/>
        <v>16-16</v>
      </c>
      <c r="H6017" s="1">
        <f>_xlfn.IFNA(VLOOKUP(E6017,'Urban Plastix Holds'!$I$36:$U$498,8,0),0)</f>
        <v>0</v>
      </c>
      <c r="J6017" s="2">
        <f t="shared" si="455"/>
        <v>0</v>
      </c>
      <c r="K6017" s="2">
        <f t="shared" si="456"/>
        <v>0</v>
      </c>
    </row>
    <row r="6018" spans="5:11">
      <c r="E6018" s="3" t="s">
        <v>2190</v>
      </c>
      <c r="F6018" s="3" t="s">
        <v>2191</v>
      </c>
      <c r="G6018" s="9" t="str">
        <f t="shared" si="454"/>
        <v>13-01</v>
      </c>
      <c r="H6018" s="1">
        <f>_xlfn.IFNA(VLOOKUP(E6018,'Urban Plastix Holds'!$I$36:$U$498,9,0),0)</f>
        <v>0</v>
      </c>
      <c r="J6018" s="2">
        <f t="shared" si="455"/>
        <v>0</v>
      </c>
      <c r="K6018" s="2">
        <f t="shared" si="456"/>
        <v>0</v>
      </c>
    </row>
    <row r="6019" spans="5:11">
      <c r="E6019" s="3" t="s">
        <v>2190</v>
      </c>
      <c r="F6019" s="3" t="s">
        <v>2191</v>
      </c>
      <c r="G6019" s="10" t="str">
        <f t="shared" si="454"/>
        <v>07-13</v>
      </c>
      <c r="H6019" s="1">
        <f>_xlfn.IFNA(VLOOKUP(E6019,'Urban Plastix Holds'!$I$36:$U$498,10,0),0)</f>
        <v>0</v>
      </c>
      <c r="J6019" s="2">
        <f t="shared" si="455"/>
        <v>0</v>
      </c>
      <c r="K6019" s="2">
        <f t="shared" si="456"/>
        <v>0</v>
      </c>
    </row>
    <row r="6020" spans="5:11">
      <c r="E6020" s="3" t="s">
        <v>2190</v>
      </c>
      <c r="F6020" s="3" t="s">
        <v>2191</v>
      </c>
      <c r="G6020" s="11" t="str">
        <f t="shared" si="454"/>
        <v>11-25</v>
      </c>
      <c r="H6020" s="1">
        <f>_xlfn.IFNA(VLOOKUP(E6020,'Urban Plastix Holds'!$I$36:$U$498,11,0),0)</f>
        <v>0</v>
      </c>
      <c r="J6020" s="2">
        <f t="shared" si="455"/>
        <v>0</v>
      </c>
      <c r="K6020" s="2">
        <f t="shared" si="456"/>
        <v>0</v>
      </c>
    </row>
    <row r="6021" spans="5:11">
      <c r="E6021" s="3" t="s">
        <v>2190</v>
      </c>
      <c r="F6021" s="3" t="s">
        <v>2191</v>
      </c>
      <c r="G6021" s="13" t="str">
        <f t="shared" si="454"/>
        <v>18-01</v>
      </c>
      <c r="H6021" s="1">
        <f>_xlfn.IFNA(VLOOKUP(E6021,'Urban Plastix Holds'!$I$36:$U$498,12,0),0)</f>
        <v>0</v>
      </c>
      <c r="J6021" s="2">
        <f t="shared" si="455"/>
        <v>0</v>
      </c>
      <c r="K6021" s="2">
        <f t="shared" si="456"/>
        <v>0</v>
      </c>
    </row>
    <row r="6022" spans="5:11">
      <c r="E6022" s="3" t="s">
        <v>2190</v>
      </c>
      <c r="F6022" s="3" t="s">
        <v>2191</v>
      </c>
      <c r="G6022" s="12" t="str">
        <f t="shared" si="454"/>
        <v>12-01</v>
      </c>
      <c r="H6022" s="1">
        <f>_xlfn.IFNA(VLOOKUP(E6022,'Urban Plastix Holds'!$I$36:$U$498,13,0),0)</f>
        <v>0</v>
      </c>
      <c r="J6022" s="2">
        <f t="shared" si="455"/>
        <v>0</v>
      </c>
      <c r="K6022" s="2">
        <f t="shared" si="456"/>
        <v>0</v>
      </c>
    </row>
    <row r="6023" spans="5:11">
      <c r="E6023" s="3" t="s">
        <v>2192</v>
      </c>
      <c r="F6023" s="3" t="s">
        <v>2193</v>
      </c>
      <c r="G6023" s="5" t="str">
        <f t="shared" si="454"/>
        <v>11-12</v>
      </c>
      <c r="H6023" s="1">
        <f>_xlfn.IFNA(VLOOKUP(E6023,'Urban Plastix Holds'!$I$36:$U$498,5,0),0)</f>
        <v>0</v>
      </c>
      <c r="J6023" s="2">
        <f t="shared" ref="J6023:J6049" si="457">H6023*I6023</f>
        <v>0</v>
      </c>
      <c r="K6023" s="2">
        <f t="shared" ref="K6023:K6049" si="458">IF($V$11="Y",J6023*0.05,0)</f>
        <v>0</v>
      </c>
    </row>
    <row r="6024" spans="5:11">
      <c r="E6024" s="3" t="s">
        <v>2192</v>
      </c>
      <c r="F6024" s="3" t="s">
        <v>2193</v>
      </c>
      <c r="G6024" s="6" t="str">
        <f t="shared" si="454"/>
        <v>14-01</v>
      </c>
      <c r="H6024" s="1">
        <f>_xlfn.IFNA(VLOOKUP(E6024,'Urban Plastix Holds'!$I$36:$U$498,6,0),0)</f>
        <v>0</v>
      </c>
      <c r="J6024" s="2">
        <f t="shared" si="457"/>
        <v>0</v>
      </c>
      <c r="K6024" s="2">
        <f t="shared" si="458"/>
        <v>0</v>
      </c>
    </row>
    <row r="6025" spans="5:11">
      <c r="E6025" s="3" t="s">
        <v>2192</v>
      </c>
      <c r="F6025" s="3" t="s">
        <v>2193</v>
      </c>
      <c r="G6025" s="7" t="str">
        <f t="shared" si="454"/>
        <v>15-12</v>
      </c>
      <c r="H6025" s="1">
        <f>_xlfn.IFNA(VLOOKUP(E6025,'Urban Plastix Holds'!$I$36:$U$498,7,0),0)</f>
        <v>0</v>
      </c>
      <c r="J6025" s="2">
        <f t="shared" si="457"/>
        <v>0</v>
      </c>
      <c r="K6025" s="2">
        <f t="shared" si="458"/>
        <v>0</v>
      </c>
    </row>
    <row r="6026" spans="5:11">
      <c r="E6026" s="3" t="s">
        <v>2192</v>
      </c>
      <c r="F6026" s="3" t="s">
        <v>2193</v>
      </c>
      <c r="G6026" s="8" t="str">
        <f t="shared" si="454"/>
        <v>16-16</v>
      </c>
      <c r="H6026" s="1">
        <f>_xlfn.IFNA(VLOOKUP(E6026,'Urban Plastix Holds'!$I$36:$U$498,8,0),0)</f>
        <v>0</v>
      </c>
      <c r="J6026" s="2">
        <f t="shared" si="457"/>
        <v>0</v>
      </c>
      <c r="K6026" s="2">
        <f t="shared" si="458"/>
        <v>0</v>
      </c>
    </row>
    <row r="6027" spans="5:11">
      <c r="E6027" s="3" t="s">
        <v>2192</v>
      </c>
      <c r="F6027" s="3" t="s">
        <v>2193</v>
      </c>
      <c r="G6027" s="9" t="str">
        <f t="shared" si="454"/>
        <v>13-01</v>
      </c>
      <c r="H6027" s="1">
        <f>_xlfn.IFNA(VLOOKUP(E6027,'Urban Plastix Holds'!$I$36:$U$498,9,0),0)</f>
        <v>0</v>
      </c>
      <c r="J6027" s="2">
        <f t="shared" si="457"/>
        <v>0</v>
      </c>
      <c r="K6027" s="2">
        <f t="shared" si="458"/>
        <v>0</v>
      </c>
    </row>
    <row r="6028" spans="5:11">
      <c r="E6028" s="3" t="s">
        <v>2192</v>
      </c>
      <c r="F6028" s="3" t="s">
        <v>2193</v>
      </c>
      <c r="G6028" s="10" t="str">
        <f t="shared" si="454"/>
        <v>07-13</v>
      </c>
      <c r="H6028" s="1">
        <f>_xlfn.IFNA(VLOOKUP(E6028,'Urban Plastix Holds'!$I$36:$U$498,10,0),0)</f>
        <v>0</v>
      </c>
      <c r="J6028" s="2">
        <f t="shared" si="457"/>
        <v>0</v>
      </c>
      <c r="K6028" s="2">
        <f t="shared" si="458"/>
        <v>0</v>
      </c>
    </row>
    <row r="6029" spans="5:11">
      <c r="E6029" s="3" t="s">
        <v>2192</v>
      </c>
      <c r="F6029" s="3" t="s">
        <v>2193</v>
      </c>
      <c r="G6029" s="11" t="str">
        <f t="shared" si="454"/>
        <v>11-25</v>
      </c>
      <c r="H6029" s="1">
        <f>_xlfn.IFNA(VLOOKUP(E6029,'Urban Plastix Holds'!$I$36:$U$498,11,0),0)</f>
        <v>0</v>
      </c>
      <c r="J6029" s="2">
        <f t="shared" si="457"/>
        <v>0</v>
      </c>
      <c r="K6029" s="2">
        <f t="shared" si="458"/>
        <v>0</v>
      </c>
    </row>
    <row r="6030" spans="5:11">
      <c r="E6030" s="3" t="s">
        <v>2192</v>
      </c>
      <c r="F6030" s="3" t="s">
        <v>2193</v>
      </c>
      <c r="G6030" s="13" t="str">
        <f t="shared" si="454"/>
        <v>18-01</v>
      </c>
      <c r="H6030" s="1">
        <f>_xlfn.IFNA(VLOOKUP(E6030,'Urban Plastix Holds'!$I$36:$U$498,12,0),0)</f>
        <v>0</v>
      </c>
      <c r="J6030" s="2">
        <f t="shared" si="457"/>
        <v>0</v>
      </c>
      <c r="K6030" s="2">
        <f t="shared" si="458"/>
        <v>0</v>
      </c>
    </row>
    <row r="6031" spans="5:11">
      <c r="E6031" s="3" t="s">
        <v>2192</v>
      </c>
      <c r="F6031" s="3" t="s">
        <v>2193</v>
      </c>
      <c r="G6031" s="12" t="str">
        <f t="shared" si="454"/>
        <v>12-01</v>
      </c>
      <c r="H6031" s="1">
        <f>_xlfn.IFNA(VLOOKUP(E6031,'Urban Plastix Holds'!$I$36:$U$498,13,0),0)</f>
        <v>0</v>
      </c>
      <c r="J6031" s="2">
        <f t="shared" si="457"/>
        <v>0</v>
      </c>
      <c r="K6031" s="2">
        <f t="shared" si="458"/>
        <v>0</v>
      </c>
    </row>
    <row r="6032" spans="5:11">
      <c r="E6032" s="3" t="s">
        <v>2194</v>
      </c>
      <c r="F6032" s="3" t="s">
        <v>2195</v>
      </c>
      <c r="G6032" s="5" t="str">
        <f t="shared" si="454"/>
        <v>11-12</v>
      </c>
      <c r="H6032" s="1">
        <f>_xlfn.IFNA(VLOOKUP(E6032,'Urban Plastix Holds'!$I$36:$U$498,5,0),0)</f>
        <v>0</v>
      </c>
      <c r="J6032" s="2">
        <f t="shared" si="457"/>
        <v>0</v>
      </c>
      <c r="K6032" s="2">
        <f t="shared" si="458"/>
        <v>0</v>
      </c>
    </row>
    <row r="6033" spans="5:11">
      <c r="E6033" s="3" t="s">
        <v>2194</v>
      </c>
      <c r="F6033" s="3" t="s">
        <v>2195</v>
      </c>
      <c r="G6033" s="6" t="str">
        <f t="shared" si="454"/>
        <v>14-01</v>
      </c>
      <c r="H6033" s="1">
        <f>_xlfn.IFNA(VLOOKUP(E6033,'Urban Plastix Holds'!$I$36:$U$498,6,0),0)</f>
        <v>0</v>
      </c>
      <c r="J6033" s="2">
        <f t="shared" si="457"/>
        <v>0</v>
      </c>
      <c r="K6033" s="2">
        <f t="shared" si="458"/>
        <v>0</v>
      </c>
    </row>
    <row r="6034" spans="5:11">
      <c r="E6034" s="3" t="s">
        <v>2194</v>
      </c>
      <c r="F6034" s="3" t="s">
        <v>2195</v>
      </c>
      <c r="G6034" s="7" t="str">
        <f t="shared" si="454"/>
        <v>15-12</v>
      </c>
      <c r="H6034" s="1">
        <f>_xlfn.IFNA(VLOOKUP(E6034,'Urban Plastix Holds'!$I$36:$U$498,7,0),0)</f>
        <v>0</v>
      </c>
      <c r="J6034" s="2">
        <f t="shared" si="457"/>
        <v>0</v>
      </c>
      <c r="K6034" s="2">
        <f t="shared" si="458"/>
        <v>0</v>
      </c>
    </row>
    <row r="6035" spans="5:11">
      <c r="E6035" s="3" t="s">
        <v>2194</v>
      </c>
      <c r="F6035" s="3" t="s">
        <v>2195</v>
      </c>
      <c r="G6035" s="8" t="str">
        <f t="shared" si="454"/>
        <v>16-16</v>
      </c>
      <c r="H6035" s="1">
        <f>_xlfn.IFNA(VLOOKUP(E6035,'Urban Plastix Holds'!$I$36:$U$498,8,0),0)</f>
        <v>0</v>
      </c>
      <c r="J6035" s="2">
        <f t="shared" si="457"/>
        <v>0</v>
      </c>
      <c r="K6035" s="2">
        <f t="shared" si="458"/>
        <v>0</v>
      </c>
    </row>
    <row r="6036" spans="5:11">
      <c r="E6036" s="3" t="s">
        <v>2194</v>
      </c>
      <c r="F6036" s="3" t="s">
        <v>2195</v>
      </c>
      <c r="G6036" s="9" t="str">
        <f t="shared" ref="G6036:G6094" si="459">G6009</f>
        <v>13-01</v>
      </c>
      <c r="H6036" s="1">
        <f>_xlfn.IFNA(VLOOKUP(E6036,'Urban Plastix Holds'!$I$36:$U$498,9,0),0)</f>
        <v>0</v>
      </c>
      <c r="J6036" s="2">
        <f t="shared" si="457"/>
        <v>0</v>
      </c>
      <c r="K6036" s="2">
        <f t="shared" si="458"/>
        <v>0</v>
      </c>
    </row>
    <row r="6037" spans="5:11">
      <c r="E6037" s="3" t="s">
        <v>2194</v>
      </c>
      <c r="F6037" s="3" t="s">
        <v>2195</v>
      </c>
      <c r="G6037" s="10" t="str">
        <f t="shared" si="459"/>
        <v>07-13</v>
      </c>
      <c r="H6037" s="1">
        <f>_xlfn.IFNA(VLOOKUP(E6037,'Urban Plastix Holds'!$I$36:$U$498,10,0),0)</f>
        <v>0</v>
      </c>
      <c r="J6037" s="2">
        <f t="shared" si="457"/>
        <v>0</v>
      </c>
      <c r="K6037" s="2">
        <f t="shared" si="458"/>
        <v>0</v>
      </c>
    </row>
    <row r="6038" spans="5:11">
      <c r="E6038" s="3" t="s">
        <v>2194</v>
      </c>
      <c r="F6038" s="3" t="s">
        <v>2195</v>
      </c>
      <c r="G6038" s="11" t="str">
        <f t="shared" si="459"/>
        <v>11-25</v>
      </c>
      <c r="H6038" s="1">
        <f>_xlfn.IFNA(VLOOKUP(E6038,'Urban Plastix Holds'!$I$36:$U$498,11,0),0)</f>
        <v>0</v>
      </c>
      <c r="J6038" s="2">
        <f t="shared" si="457"/>
        <v>0</v>
      </c>
      <c r="K6038" s="2">
        <f t="shared" si="458"/>
        <v>0</v>
      </c>
    </row>
    <row r="6039" spans="5:11">
      <c r="E6039" s="3" t="s">
        <v>2194</v>
      </c>
      <c r="F6039" s="3" t="s">
        <v>2195</v>
      </c>
      <c r="G6039" s="13" t="str">
        <f t="shared" si="459"/>
        <v>18-01</v>
      </c>
      <c r="H6039" s="1">
        <f>_xlfn.IFNA(VLOOKUP(E6039,'Urban Plastix Holds'!$I$36:$U$498,12,0),0)</f>
        <v>0</v>
      </c>
      <c r="J6039" s="2">
        <f t="shared" si="457"/>
        <v>0</v>
      </c>
      <c r="K6039" s="2">
        <f t="shared" si="458"/>
        <v>0</v>
      </c>
    </row>
    <row r="6040" spans="5:11">
      <c r="E6040" s="3" t="s">
        <v>2194</v>
      </c>
      <c r="F6040" s="3" t="s">
        <v>2195</v>
      </c>
      <c r="G6040" s="12" t="str">
        <f t="shared" si="459"/>
        <v>12-01</v>
      </c>
      <c r="H6040" s="1">
        <f>_xlfn.IFNA(VLOOKUP(E6040,'Urban Plastix Holds'!$I$36:$U$498,13,0),0)</f>
        <v>0</v>
      </c>
      <c r="J6040" s="2">
        <f t="shared" si="457"/>
        <v>0</v>
      </c>
      <c r="K6040" s="2">
        <f t="shared" si="458"/>
        <v>0</v>
      </c>
    </row>
    <row r="6041" spans="5:11">
      <c r="E6041" s="3" t="s">
        <v>2196</v>
      </c>
      <c r="F6041" s="3" t="s">
        <v>2197</v>
      </c>
      <c r="G6041" s="5" t="str">
        <f t="shared" si="459"/>
        <v>11-12</v>
      </c>
      <c r="H6041" s="1">
        <f>_xlfn.IFNA(VLOOKUP(E6041,'Urban Plastix Holds'!$I$36:$U$498,5,0),0)</f>
        <v>0</v>
      </c>
      <c r="J6041" s="2">
        <f t="shared" si="457"/>
        <v>0</v>
      </c>
      <c r="K6041" s="2">
        <f t="shared" si="458"/>
        <v>0</v>
      </c>
    </row>
    <row r="6042" spans="5:11">
      <c r="E6042" s="3" t="s">
        <v>2196</v>
      </c>
      <c r="F6042" s="3" t="s">
        <v>2197</v>
      </c>
      <c r="G6042" s="6" t="str">
        <f t="shared" si="459"/>
        <v>14-01</v>
      </c>
      <c r="H6042" s="1">
        <f>_xlfn.IFNA(VLOOKUP(E6042,'Urban Plastix Holds'!$I$36:$U$498,6,0),0)</f>
        <v>0</v>
      </c>
      <c r="J6042" s="2">
        <f t="shared" si="457"/>
        <v>0</v>
      </c>
      <c r="K6042" s="2">
        <f t="shared" si="458"/>
        <v>0</v>
      </c>
    </row>
    <row r="6043" spans="5:11">
      <c r="E6043" s="3" t="s">
        <v>2196</v>
      </c>
      <c r="F6043" s="3" t="s">
        <v>2197</v>
      </c>
      <c r="G6043" s="7" t="str">
        <f t="shared" si="459"/>
        <v>15-12</v>
      </c>
      <c r="H6043" s="1">
        <f>_xlfn.IFNA(VLOOKUP(E6043,'Urban Plastix Holds'!$I$36:$U$498,7,0),0)</f>
        <v>0</v>
      </c>
      <c r="J6043" s="2">
        <f t="shared" si="457"/>
        <v>0</v>
      </c>
      <c r="K6043" s="2">
        <f t="shared" si="458"/>
        <v>0</v>
      </c>
    </row>
    <row r="6044" spans="5:11">
      <c r="E6044" s="3" t="s">
        <v>2196</v>
      </c>
      <c r="F6044" s="3" t="s">
        <v>2197</v>
      </c>
      <c r="G6044" s="8" t="str">
        <f t="shared" si="459"/>
        <v>16-16</v>
      </c>
      <c r="H6044" s="1">
        <f>_xlfn.IFNA(VLOOKUP(E6044,'Urban Plastix Holds'!$I$36:$U$498,8,0),0)</f>
        <v>0</v>
      </c>
      <c r="J6044" s="2">
        <f t="shared" si="457"/>
        <v>0</v>
      </c>
      <c r="K6044" s="2">
        <f t="shared" si="458"/>
        <v>0</v>
      </c>
    </row>
    <row r="6045" spans="5:11">
      <c r="E6045" s="3" t="s">
        <v>2196</v>
      </c>
      <c r="F6045" s="3" t="s">
        <v>2197</v>
      </c>
      <c r="G6045" s="9" t="str">
        <f t="shared" si="459"/>
        <v>13-01</v>
      </c>
      <c r="H6045" s="1">
        <f>_xlfn.IFNA(VLOOKUP(E6045,'Urban Plastix Holds'!$I$36:$U$498,9,0),0)</f>
        <v>0</v>
      </c>
      <c r="J6045" s="2">
        <f t="shared" si="457"/>
        <v>0</v>
      </c>
      <c r="K6045" s="2">
        <f t="shared" si="458"/>
        <v>0</v>
      </c>
    </row>
    <row r="6046" spans="5:11">
      <c r="E6046" s="3" t="s">
        <v>2196</v>
      </c>
      <c r="F6046" s="3" t="s">
        <v>2197</v>
      </c>
      <c r="G6046" s="10" t="str">
        <f t="shared" si="459"/>
        <v>07-13</v>
      </c>
      <c r="H6046" s="1">
        <f>_xlfn.IFNA(VLOOKUP(E6046,'Urban Plastix Holds'!$I$36:$U$498,10,0),0)</f>
        <v>0</v>
      </c>
      <c r="J6046" s="2">
        <f t="shared" si="457"/>
        <v>0</v>
      </c>
      <c r="K6046" s="2">
        <f t="shared" si="458"/>
        <v>0</v>
      </c>
    </row>
    <row r="6047" spans="5:11">
      <c r="E6047" s="3" t="s">
        <v>2196</v>
      </c>
      <c r="F6047" s="3" t="s">
        <v>2197</v>
      </c>
      <c r="G6047" s="11" t="str">
        <f t="shared" si="459"/>
        <v>11-25</v>
      </c>
      <c r="H6047" s="1">
        <f>_xlfn.IFNA(VLOOKUP(E6047,'Urban Plastix Holds'!$I$36:$U$498,11,0),0)</f>
        <v>0</v>
      </c>
      <c r="J6047" s="2">
        <f t="shared" si="457"/>
        <v>0</v>
      </c>
      <c r="K6047" s="2">
        <f t="shared" si="458"/>
        <v>0</v>
      </c>
    </row>
    <row r="6048" spans="5:11">
      <c r="E6048" s="3" t="s">
        <v>2196</v>
      </c>
      <c r="F6048" s="3" t="s">
        <v>2197</v>
      </c>
      <c r="G6048" s="13" t="str">
        <f t="shared" si="459"/>
        <v>18-01</v>
      </c>
      <c r="H6048" s="1">
        <f>_xlfn.IFNA(VLOOKUP(E6048,'Urban Plastix Holds'!$I$36:$U$498,12,0),0)</f>
        <v>0</v>
      </c>
      <c r="J6048" s="2">
        <f t="shared" si="457"/>
        <v>0</v>
      </c>
      <c r="K6048" s="2">
        <f t="shared" si="458"/>
        <v>0</v>
      </c>
    </row>
    <row r="6049" spans="5:11">
      <c r="E6049" s="3" t="s">
        <v>2196</v>
      </c>
      <c r="F6049" s="3" t="s">
        <v>2197</v>
      </c>
      <c r="G6049" s="12" t="str">
        <f t="shared" si="459"/>
        <v>12-01</v>
      </c>
      <c r="H6049" s="1">
        <f>_xlfn.IFNA(VLOOKUP(E6049,'Urban Plastix Holds'!$I$36:$U$498,13,0),0)</f>
        <v>0</v>
      </c>
      <c r="J6049" s="2">
        <f t="shared" si="457"/>
        <v>0</v>
      </c>
      <c r="K6049" s="2">
        <f t="shared" si="458"/>
        <v>0</v>
      </c>
    </row>
    <row r="6050" spans="5:11">
      <c r="E6050" s="3" t="s">
        <v>2215</v>
      </c>
      <c r="F6050" s="3" t="s">
        <v>2216</v>
      </c>
      <c r="G6050" s="5" t="str">
        <f t="shared" si="459"/>
        <v>11-12</v>
      </c>
      <c r="H6050" s="1">
        <f>_xlfn.IFNA(VLOOKUP(E6050,'Urban Plastix Holds'!$I$36:$U$498,5,0),0)</f>
        <v>0</v>
      </c>
      <c r="J6050" s="2">
        <f t="shared" ref="J6050:J6058" si="460">H6050*I6050</f>
        <v>0</v>
      </c>
      <c r="K6050" s="2">
        <f t="shared" ref="K6050:K6058" si="461">IF($V$11="Y",J6050*0.05,0)</f>
        <v>0</v>
      </c>
    </row>
    <row r="6051" spans="5:11">
      <c r="E6051" s="3" t="s">
        <v>2215</v>
      </c>
      <c r="F6051" s="3" t="s">
        <v>2216</v>
      </c>
      <c r="G6051" s="6" t="str">
        <f t="shared" si="459"/>
        <v>14-01</v>
      </c>
      <c r="H6051" s="1">
        <f>_xlfn.IFNA(VLOOKUP(E6051,'Urban Plastix Holds'!$I$36:$U$498,6,0),0)</f>
        <v>0</v>
      </c>
      <c r="J6051" s="2">
        <f t="shared" si="460"/>
        <v>0</v>
      </c>
      <c r="K6051" s="2">
        <f t="shared" si="461"/>
        <v>0</v>
      </c>
    </row>
    <row r="6052" spans="5:11">
      <c r="E6052" s="3" t="s">
        <v>2215</v>
      </c>
      <c r="F6052" s="3" t="s">
        <v>2216</v>
      </c>
      <c r="G6052" s="7" t="str">
        <f t="shared" si="459"/>
        <v>15-12</v>
      </c>
      <c r="H6052" s="1">
        <f>_xlfn.IFNA(VLOOKUP(E6052,'Urban Plastix Holds'!$I$36:$U$498,7,0),0)</f>
        <v>0</v>
      </c>
      <c r="J6052" s="2">
        <f t="shared" si="460"/>
        <v>0</v>
      </c>
      <c r="K6052" s="2">
        <f t="shared" si="461"/>
        <v>0</v>
      </c>
    </row>
    <row r="6053" spans="5:11">
      <c r="E6053" s="3" t="s">
        <v>2215</v>
      </c>
      <c r="F6053" s="3" t="s">
        <v>2216</v>
      </c>
      <c r="G6053" s="8" t="str">
        <f t="shared" si="459"/>
        <v>16-16</v>
      </c>
      <c r="H6053" s="1">
        <f>_xlfn.IFNA(VLOOKUP(E6053,'Urban Plastix Holds'!$I$36:$U$498,8,0),0)</f>
        <v>0</v>
      </c>
      <c r="J6053" s="2">
        <f t="shared" si="460"/>
        <v>0</v>
      </c>
      <c r="K6053" s="2">
        <f t="shared" si="461"/>
        <v>0</v>
      </c>
    </row>
    <row r="6054" spans="5:11">
      <c r="E6054" s="3" t="s">
        <v>2215</v>
      </c>
      <c r="F6054" s="3" t="s">
        <v>2216</v>
      </c>
      <c r="G6054" s="9" t="str">
        <f t="shared" si="459"/>
        <v>13-01</v>
      </c>
      <c r="H6054" s="1">
        <f>_xlfn.IFNA(VLOOKUP(E6054,'Urban Plastix Holds'!$I$36:$U$498,9,0),0)</f>
        <v>0</v>
      </c>
      <c r="J6054" s="2">
        <f t="shared" si="460"/>
        <v>0</v>
      </c>
      <c r="K6054" s="2">
        <f t="shared" si="461"/>
        <v>0</v>
      </c>
    </row>
    <row r="6055" spans="5:11">
      <c r="E6055" s="3" t="s">
        <v>2215</v>
      </c>
      <c r="F6055" s="3" t="s">
        <v>2216</v>
      </c>
      <c r="G6055" s="10" t="str">
        <f t="shared" si="459"/>
        <v>07-13</v>
      </c>
      <c r="H6055" s="1">
        <f>_xlfn.IFNA(VLOOKUP(E6055,'Urban Plastix Holds'!$I$36:$U$498,10,0),0)</f>
        <v>0</v>
      </c>
      <c r="J6055" s="2">
        <f t="shared" si="460"/>
        <v>0</v>
      </c>
      <c r="K6055" s="2">
        <f t="shared" si="461"/>
        <v>0</v>
      </c>
    </row>
    <row r="6056" spans="5:11">
      <c r="E6056" s="3" t="s">
        <v>2215</v>
      </c>
      <c r="F6056" s="3" t="s">
        <v>2216</v>
      </c>
      <c r="G6056" s="11" t="str">
        <f t="shared" si="459"/>
        <v>11-25</v>
      </c>
      <c r="H6056" s="1">
        <f>_xlfn.IFNA(VLOOKUP(E6056,'Urban Plastix Holds'!$I$36:$U$498,11,0),0)</f>
        <v>0</v>
      </c>
      <c r="J6056" s="2">
        <f t="shared" si="460"/>
        <v>0</v>
      </c>
      <c r="K6056" s="2">
        <f t="shared" si="461"/>
        <v>0</v>
      </c>
    </row>
    <row r="6057" spans="5:11">
      <c r="E6057" s="3" t="s">
        <v>2215</v>
      </c>
      <c r="F6057" s="3" t="s">
        <v>2216</v>
      </c>
      <c r="G6057" s="13" t="str">
        <f t="shared" si="459"/>
        <v>18-01</v>
      </c>
      <c r="H6057" s="1">
        <f>_xlfn.IFNA(VLOOKUP(E6057,'Urban Plastix Holds'!$I$36:$U$498,12,0),0)</f>
        <v>0</v>
      </c>
      <c r="J6057" s="2">
        <f t="shared" si="460"/>
        <v>0</v>
      </c>
      <c r="K6057" s="2">
        <f t="shared" si="461"/>
        <v>0</v>
      </c>
    </row>
    <row r="6058" spans="5:11">
      <c r="E6058" s="3" t="s">
        <v>2215</v>
      </c>
      <c r="F6058" s="3" t="s">
        <v>2216</v>
      </c>
      <c r="G6058" s="12" t="str">
        <f t="shared" si="459"/>
        <v>12-01</v>
      </c>
      <c r="H6058" s="1">
        <f>_xlfn.IFNA(VLOOKUP(E6058,'Urban Plastix Holds'!$I$36:$U$498,13,0),0)</f>
        <v>0</v>
      </c>
      <c r="J6058" s="2">
        <f t="shared" si="460"/>
        <v>0</v>
      </c>
      <c r="K6058" s="2">
        <f t="shared" si="461"/>
        <v>0</v>
      </c>
    </row>
    <row r="6059" spans="5:11">
      <c r="E6059" s="3" t="s">
        <v>2217</v>
      </c>
      <c r="F6059" s="3" t="s">
        <v>2218</v>
      </c>
      <c r="G6059" s="5" t="str">
        <f t="shared" si="459"/>
        <v>11-12</v>
      </c>
      <c r="H6059" s="1">
        <f>_xlfn.IFNA(VLOOKUP(E6059,'Urban Plastix Holds'!$I$36:$U$498,5,0),0)</f>
        <v>0</v>
      </c>
      <c r="J6059" s="2">
        <f t="shared" ref="J6059:J6067" si="462">H6059*I6059</f>
        <v>0</v>
      </c>
      <c r="K6059" s="2">
        <f t="shared" ref="K6059:K6067" si="463">IF($V$11="Y",J6059*0.05,0)</f>
        <v>0</v>
      </c>
    </row>
    <row r="6060" spans="5:11">
      <c r="E6060" s="3" t="s">
        <v>2217</v>
      </c>
      <c r="F6060" s="3" t="s">
        <v>2218</v>
      </c>
      <c r="G6060" s="6" t="str">
        <f t="shared" si="459"/>
        <v>14-01</v>
      </c>
      <c r="H6060" s="1">
        <f>_xlfn.IFNA(VLOOKUP(E6060,'Urban Plastix Holds'!$I$36:$U$498,6,0),0)</f>
        <v>0</v>
      </c>
      <c r="J6060" s="2">
        <f t="shared" si="462"/>
        <v>0</v>
      </c>
      <c r="K6060" s="2">
        <f t="shared" si="463"/>
        <v>0</v>
      </c>
    </row>
    <row r="6061" spans="5:11">
      <c r="E6061" s="3" t="s">
        <v>2217</v>
      </c>
      <c r="F6061" s="3" t="s">
        <v>2218</v>
      </c>
      <c r="G6061" s="7" t="str">
        <f t="shared" si="459"/>
        <v>15-12</v>
      </c>
      <c r="H6061" s="1">
        <f>_xlfn.IFNA(VLOOKUP(E6061,'Urban Plastix Holds'!$I$36:$U$498,7,0),0)</f>
        <v>0</v>
      </c>
      <c r="J6061" s="2">
        <f t="shared" si="462"/>
        <v>0</v>
      </c>
      <c r="K6061" s="2">
        <f t="shared" si="463"/>
        <v>0</v>
      </c>
    </row>
    <row r="6062" spans="5:11">
      <c r="E6062" s="3" t="s">
        <v>2217</v>
      </c>
      <c r="F6062" s="3" t="s">
        <v>2218</v>
      </c>
      <c r="G6062" s="8" t="str">
        <f t="shared" si="459"/>
        <v>16-16</v>
      </c>
      <c r="H6062" s="1">
        <f>_xlfn.IFNA(VLOOKUP(E6062,'Urban Plastix Holds'!$I$36:$U$498,8,0),0)</f>
        <v>0</v>
      </c>
      <c r="J6062" s="2">
        <f t="shared" si="462"/>
        <v>0</v>
      </c>
      <c r="K6062" s="2">
        <f t="shared" si="463"/>
        <v>0</v>
      </c>
    </row>
    <row r="6063" spans="5:11">
      <c r="E6063" s="3" t="s">
        <v>2217</v>
      </c>
      <c r="F6063" s="3" t="s">
        <v>2218</v>
      </c>
      <c r="G6063" s="9" t="str">
        <f t="shared" si="459"/>
        <v>13-01</v>
      </c>
      <c r="H6063" s="1">
        <f>_xlfn.IFNA(VLOOKUP(E6063,'Urban Plastix Holds'!$I$36:$U$498,9,0),0)</f>
        <v>0</v>
      </c>
      <c r="J6063" s="2">
        <f t="shared" si="462"/>
        <v>0</v>
      </c>
      <c r="K6063" s="2">
        <f t="shared" si="463"/>
        <v>0</v>
      </c>
    </row>
    <row r="6064" spans="5:11">
      <c r="E6064" s="3" t="s">
        <v>2217</v>
      </c>
      <c r="F6064" s="3" t="s">
        <v>2218</v>
      </c>
      <c r="G6064" s="10" t="str">
        <f t="shared" si="459"/>
        <v>07-13</v>
      </c>
      <c r="H6064" s="1">
        <f>_xlfn.IFNA(VLOOKUP(E6064,'Urban Plastix Holds'!$I$36:$U$498,10,0),0)</f>
        <v>0</v>
      </c>
      <c r="J6064" s="2">
        <f t="shared" si="462"/>
        <v>0</v>
      </c>
      <c r="K6064" s="2">
        <f t="shared" si="463"/>
        <v>0</v>
      </c>
    </row>
    <row r="6065" spans="5:11">
      <c r="E6065" s="3" t="s">
        <v>2217</v>
      </c>
      <c r="F6065" s="3" t="s">
        <v>2218</v>
      </c>
      <c r="G6065" s="11" t="str">
        <f t="shared" si="459"/>
        <v>11-25</v>
      </c>
      <c r="H6065" s="1">
        <f>_xlfn.IFNA(VLOOKUP(E6065,'Urban Plastix Holds'!$I$36:$U$498,11,0),0)</f>
        <v>0</v>
      </c>
      <c r="J6065" s="2">
        <f t="shared" si="462"/>
        <v>0</v>
      </c>
      <c r="K6065" s="2">
        <f t="shared" si="463"/>
        <v>0</v>
      </c>
    </row>
    <row r="6066" spans="5:11">
      <c r="E6066" s="3" t="s">
        <v>2217</v>
      </c>
      <c r="F6066" s="3" t="s">
        <v>2218</v>
      </c>
      <c r="G6066" s="13" t="str">
        <f t="shared" si="459"/>
        <v>18-01</v>
      </c>
      <c r="H6066" s="1">
        <f>_xlfn.IFNA(VLOOKUP(E6066,'Urban Plastix Holds'!$I$36:$U$498,12,0),0)</f>
        <v>0</v>
      </c>
      <c r="J6066" s="2">
        <f t="shared" si="462"/>
        <v>0</v>
      </c>
      <c r="K6066" s="2">
        <f t="shared" si="463"/>
        <v>0</v>
      </c>
    </row>
    <row r="6067" spans="5:11">
      <c r="E6067" s="3" t="s">
        <v>2217</v>
      </c>
      <c r="F6067" s="3" t="s">
        <v>2218</v>
      </c>
      <c r="G6067" s="12" t="str">
        <f t="shared" si="459"/>
        <v>12-01</v>
      </c>
      <c r="H6067" s="1">
        <f>_xlfn.IFNA(VLOOKUP(E6067,'Urban Plastix Holds'!$I$36:$U$498,13,0),0)</f>
        <v>0</v>
      </c>
      <c r="J6067" s="2">
        <f t="shared" si="462"/>
        <v>0</v>
      </c>
      <c r="K6067" s="2">
        <f t="shared" si="463"/>
        <v>0</v>
      </c>
    </row>
    <row r="6068" spans="5:11">
      <c r="E6068" s="3" t="s">
        <v>2219</v>
      </c>
      <c r="F6068" s="3" t="s">
        <v>2220</v>
      </c>
      <c r="G6068" s="5" t="str">
        <f t="shared" si="459"/>
        <v>11-12</v>
      </c>
      <c r="H6068" s="1">
        <f>_xlfn.IFNA(VLOOKUP(E6068,'Urban Plastix Holds'!$I$36:$U$498,5,0),0)</f>
        <v>0</v>
      </c>
      <c r="J6068" s="2">
        <f t="shared" ref="J6068:J6121" si="464">H6068*I6068</f>
        <v>0</v>
      </c>
      <c r="K6068" s="2">
        <f t="shared" ref="K6068:K6121" si="465">IF($V$11="Y",J6068*0.05,0)</f>
        <v>0</v>
      </c>
    </row>
    <row r="6069" spans="5:11">
      <c r="E6069" s="3" t="s">
        <v>2219</v>
      </c>
      <c r="F6069" s="3" t="s">
        <v>2220</v>
      </c>
      <c r="G6069" s="6" t="str">
        <f t="shared" si="459"/>
        <v>14-01</v>
      </c>
      <c r="H6069" s="1">
        <f>_xlfn.IFNA(VLOOKUP(E6069,'Urban Plastix Holds'!$I$36:$U$498,6,0),0)</f>
        <v>0</v>
      </c>
      <c r="J6069" s="2">
        <f t="shared" si="464"/>
        <v>0</v>
      </c>
      <c r="K6069" s="2">
        <f t="shared" si="465"/>
        <v>0</v>
      </c>
    </row>
    <row r="6070" spans="5:11">
      <c r="E6070" s="3" t="s">
        <v>2219</v>
      </c>
      <c r="F6070" s="3" t="s">
        <v>2220</v>
      </c>
      <c r="G6070" s="7" t="str">
        <f t="shared" si="459"/>
        <v>15-12</v>
      </c>
      <c r="H6070" s="1">
        <f>_xlfn.IFNA(VLOOKUP(E6070,'Urban Plastix Holds'!$I$36:$U$498,7,0),0)</f>
        <v>0</v>
      </c>
      <c r="J6070" s="2">
        <f t="shared" si="464"/>
        <v>0</v>
      </c>
      <c r="K6070" s="2">
        <f t="shared" si="465"/>
        <v>0</v>
      </c>
    </row>
    <row r="6071" spans="5:11">
      <c r="E6071" s="3" t="s">
        <v>2219</v>
      </c>
      <c r="F6071" s="3" t="s">
        <v>2220</v>
      </c>
      <c r="G6071" s="8" t="str">
        <f t="shared" si="459"/>
        <v>16-16</v>
      </c>
      <c r="H6071" s="1">
        <f>_xlfn.IFNA(VLOOKUP(E6071,'Urban Plastix Holds'!$I$36:$U$498,8,0),0)</f>
        <v>0</v>
      </c>
      <c r="J6071" s="2">
        <f t="shared" si="464"/>
        <v>0</v>
      </c>
      <c r="K6071" s="2">
        <f t="shared" si="465"/>
        <v>0</v>
      </c>
    </row>
    <row r="6072" spans="5:11">
      <c r="E6072" s="3" t="s">
        <v>2219</v>
      </c>
      <c r="F6072" s="3" t="s">
        <v>2220</v>
      </c>
      <c r="G6072" s="9" t="str">
        <f t="shared" si="459"/>
        <v>13-01</v>
      </c>
      <c r="H6072" s="1">
        <f>_xlfn.IFNA(VLOOKUP(E6072,'Urban Plastix Holds'!$I$36:$U$498,9,0),0)</f>
        <v>0</v>
      </c>
      <c r="J6072" s="2">
        <f t="shared" si="464"/>
        <v>0</v>
      </c>
      <c r="K6072" s="2">
        <f t="shared" si="465"/>
        <v>0</v>
      </c>
    </row>
    <row r="6073" spans="5:11">
      <c r="E6073" s="3" t="s">
        <v>2219</v>
      </c>
      <c r="F6073" s="3" t="s">
        <v>2220</v>
      </c>
      <c r="G6073" s="10" t="str">
        <f t="shared" si="459"/>
        <v>07-13</v>
      </c>
      <c r="H6073" s="1">
        <f>_xlfn.IFNA(VLOOKUP(E6073,'Urban Plastix Holds'!$I$36:$U$498,10,0),0)</f>
        <v>0</v>
      </c>
      <c r="J6073" s="2">
        <f t="shared" si="464"/>
        <v>0</v>
      </c>
      <c r="K6073" s="2">
        <f t="shared" si="465"/>
        <v>0</v>
      </c>
    </row>
    <row r="6074" spans="5:11">
      <c r="E6074" s="3" t="s">
        <v>2219</v>
      </c>
      <c r="F6074" s="3" t="s">
        <v>2220</v>
      </c>
      <c r="G6074" s="11" t="str">
        <f t="shared" si="459"/>
        <v>11-25</v>
      </c>
      <c r="H6074" s="1">
        <f>_xlfn.IFNA(VLOOKUP(E6074,'Urban Plastix Holds'!$I$36:$U$498,11,0),0)</f>
        <v>0</v>
      </c>
      <c r="J6074" s="2">
        <f t="shared" si="464"/>
        <v>0</v>
      </c>
      <c r="K6074" s="2">
        <f t="shared" si="465"/>
        <v>0</v>
      </c>
    </row>
    <row r="6075" spans="5:11">
      <c r="E6075" s="3" t="s">
        <v>2219</v>
      </c>
      <c r="F6075" s="3" t="s">
        <v>2220</v>
      </c>
      <c r="G6075" s="13" t="str">
        <f t="shared" si="459"/>
        <v>18-01</v>
      </c>
      <c r="H6075" s="1">
        <f>_xlfn.IFNA(VLOOKUP(E6075,'Urban Plastix Holds'!$I$36:$U$498,12,0),0)</f>
        <v>0</v>
      </c>
      <c r="J6075" s="2">
        <f t="shared" si="464"/>
        <v>0</v>
      </c>
      <c r="K6075" s="2">
        <f t="shared" si="465"/>
        <v>0</v>
      </c>
    </row>
    <row r="6076" spans="5:11">
      <c r="E6076" s="3" t="s">
        <v>2219</v>
      </c>
      <c r="F6076" s="3" t="s">
        <v>2220</v>
      </c>
      <c r="G6076" s="12" t="str">
        <f t="shared" si="459"/>
        <v>12-01</v>
      </c>
      <c r="H6076" s="1">
        <f>_xlfn.IFNA(VLOOKUP(E6076,'Urban Plastix Holds'!$I$36:$U$498,13,0),0)</f>
        <v>0</v>
      </c>
      <c r="J6076" s="2">
        <f t="shared" si="464"/>
        <v>0</v>
      </c>
      <c r="K6076" s="2">
        <f t="shared" si="465"/>
        <v>0</v>
      </c>
    </row>
    <row r="6077" spans="5:11">
      <c r="E6077" s="3" t="s">
        <v>2445</v>
      </c>
      <c r="F6077" s="3" t="s">
        <v>2446</v>
      </c>
      <c r="G6077" s="5" t="str">
        <f t="shared" si="459"/>
        <v>11-12</v>
      </c>
      <c r="H6077" s="1">
        <f>_xlfn.IFNA(VLOOKUP(E6077,'Urban Plastix Holds'!$I$36:$U$498,5,0),0)</f>
        <v>0</v>
      </c>
      <c r="J6077" s="2">
        <f t="shared" ref="J6077:J6094" si="466">H6077*I6077</f>
        <v>0</v>
      </c>
      <c r="K6077" s="2">
        <f t="shared" ref="K6077:K6094" si="467">IF($V$11="Y",J6077*0.05,0)</f>
        <v>0</v>
      </c>
    </row>
    <row r="6078" spans="5:11">
      <c r="E6078" s="3" t="s">
        <v>2445</v>
      </c>
      <c r="F6078" s="3" t="s">
        <v>2446</v>
      </c>
      <c r="G6078" s="6" t="str">
        <f t="shared" si="459"/>
        <v>14-01</v>
      </c>
      <c r="H6078" s="1">
        <f>_xlfn.IFNA(VLOOKUP(E6078,'Urban Plastix Holds'!$I$36:$U$498,6,0),0)</f>
        <v>0</v>
      </c>
      <c r="J6078" s="2">
        <f t="shared" si="466"/>
        <v>0</v>
      </c>
      <c r="K6078" s="2">
        <f t="shared" si="467"/>
        <v>0</v>
      </c>
    </row>
    <row r="6079" spans="5:11">
      <c r="E6079" s="3" t="s">
        <v>2445</v>
      </c>
      <c r="F6079" s="3" t="s">
        <v>2446</v>
      </c>
      <c r="G6079" s="7" t="str">
        <f t="shared" si="459"/>
        <v>15-12</v>
      </c>
      <c r="H6079" s="1">
        <f>_xlfn.IFNA(VLOOKUP(E6079,'Urban Plastix Holds'!$I$36:$U$498,7,0),0)</f>
        <v>0</v>
      </c>
      <c r="J6079" s="2">
        <f t="shared" si="466"/>
        <v>0</v>
      </c>
      <c r="K6079" s="2">
        <f t="shared" si="467"/>
        <v>0</v>
      </c>
    </row>
    <row r="6080" spans="5:11">
      <c r="E6080" s="3" t="s">
        <v>2445</v>
      </c>
      <c r="F6080" s="3" t="s">
        <v>2446</v>
      </c>
      <c r="G6080" s="8" t="str">
        <f t="shared" si="459"/>
        <v>16-16</v>
      </c>
      <c r="H6080" s="1">
        <f>_xlfn.IFNA(VLOOKUP(E6080,'Urban Plastix Holds'!$I$36:$U$498,8,0),0)</f>
        <v>0</v>
      </c>
      <c r="J6080" s="2">
        <f t="shared" si="466"/>
        <v>0</v>
      </c>
      <c r="K6080" s="2">
        <f t="shared" si="467"/>
        <v>0</v>
      </c>
    </row>
    <row r="6081" spans="5:11">
      <c r="E6081" s="3" t="s">
        <v>2445</v>
      </c>
      <c r="F6081" s="3" t="s">
        <v>2446</v>
      </c>
      <c r="G6081" s="9" t="str">
        <f t="shared" si="459"/>
        <v>13-01</v>
      </c>
      <c r="H6081" s="1">
        <f>_xlfn.IFNA(VLOOKUP(E6081,'Urban Plastix Holds'!$I$36:$U$498,9,0),0)</f>
        <v>0</v>
      </c>
      <c r="J6081" s="2">
        <f t="shared" si="466"/>
        <v>0</v>
      </c>
      <c r="K6081" s="2">
        <f t="shared" si="467"/>
        <v>0</v>
      </c>
    </row>
    <row r="6082" spans="5:11">
      <c r="E6082" s="3" t="s">
        <v>2445</v>
      </c>
      <c r="F6082" s="3" t="s">
        <v>2446</v>
      </c>
      <c r="G6082" s="10" t="str">
        <f t="shared" si="459"/>
        <v>07-13</v>
      </c>
      <c r="H6082" s="1">
        <f>_xlfn.IFNA(VLOOKUP(E6082,'Urban Plastix Holds'!$I$36:$U$498,10,0),0)</f>
        <v>0</v>
      </c>
      <c r="J6082" s="2">
        <f t="shared" si="466"/>
        <v>0</v>
      </c>
      <c r="K6082" s="2">
        <f t="shared" si="467"/>
        <v>0</v>
      </c>
    </row>
    <row r="6083" spans="5:11">
      <c r="E6083" s="3" t="s">
        <v>2445</v>
      </c>
      <c r="F6083" s="3" t="s">
        <v>2446</v>
      </c>
      <c r="G6083" s="11" t="str">
        <f t="shared" si="459"/>
        <v>11-25</v>
      </c>
      <c r="H6083" s="1">
        <f>_xlfn.IFNA(VLOOKUP(E6083,'Urban Plastix Holds'!$I$36:$U$498,11,0),0)</f>
        <v>0</v>
      </c>
      <c r="J6083" s="2">
        <f t="shared" si="466"/>
        <v>0</v>
      </c>
      <c r="K6083" s="2">
        <f t="shared" si="467"/>
        <v>0</v>
      </c>
    </row>
    <row r="6084" spans="5:11">
      <c r="E6084" s="3" t="s">
        <v>2445</v>
      </c>
      <c r="F6084" s="3" t="s">
        <v>2446</v>
      </c>
      <c r="G6084" s="13" t="str">
        <f t="shared" si="459"/>
        <v>18-01</v>
      </c>
      <c r="H6084" s="1">
        <f>_xlfn.IFNA(VLOOKUP(E6084,'Urban Plastix Holds'!$I$36:$U$498,12,0),0)</f>
        <v>0</v>
      </c>
      <c r="J6084" s="2">
        <f t="shared" si="466"/>
        <v>0</v>
      </c>
      <c r="K6084" s="2">
        <f t="shared" si="467"/>
        <v>0</v>
      </c>
    </row>
    <row r="6085" spans="5:11">
      <c r="E6085" s="3" t="s">
        <v>2445</v>
      </c>
      <c r="F6085" s="3" t="s">
        <v>2446</v>
      </c>
      <c r="G6085" s="12" t="str">
        <f t="shared" si="459"/>
        <v>12-01</v>
      </c>
      <c r="H6085" s="1">
        <f>_xlfn.IFNA(VLOOKUP(E6085,'Urban Plastix Holds'!$I$36:$U$498,13,0),0)</f>
        <v>0</v>
      </c>
      <c r="J6085" s="2">
        <f t="shared" si="466"/>
        <v>0</v>
      </c>
      <c r="K6085" s="2">
        <f t="shared" si="467"/>
        <v>0</v>
      </c>
    </row>
    <row r="6086" spans="5:11">
      <c r="E6086" s="3" t="s">
        <v>2447</v>
      </c>
      <c r="F6086" s="3" t="s">
        <v>2448</v>
      </c>
      <c r="G6086" s="5" t="str">
        <f t="shared" si="459"/>
        <v>11-12</v>
      </c>
      <c r="H6086" s="1">
        <f>_xlfn.IFNA(VLOOKUP(E6086,'Urban Plastix Holds'!$I$36:$U$498,5,0),0)</f>
        <v>0</v>
      </c>
      <c r="J6086" s="2">
        <f t="shared" si="466"/>
        <v>0</v>
      </c>
      <c r="K6086" s="2">
        <f t="shared" si="467"/>
        <v>0</v>
      </c>
    </row>
    <row r="6087" spans="5:11">
      <c r="E6087" s="3" t="s">
        <v>2447</v>
      </c>
      <c r="F6087" s="3" t="s">
        <v>2448</v>
      </c>
      <c r="G6087" s="6" t="str">
        <f t="shared" si="459"/>
        <v>14-01</v>
      </c>
      <c r="H6087" s="1">
        <f>_xlfn.IFNA(VLOOKUP(E6087,'Urban Plastix Holds'!$I$36:$U$498,6,0),0)</f>
        <v>0</v>
      </c>
      <c r="J6087" s="2">
        <f t="shared" si="466"/>
        <v>0</v>
      </c>
      <c r="K6087" s="2">
        <f t="shared" si="467"/>
        <v>0</v>
      </c>
    </row>
    <row r="6088" spans="5:11">
      <c r="E6088" s="3" t="s">
        <v>2447</v>
      </c>
      <c r="F6088" s="3" t="s">
        <v>2448</v>
      </c>
      <c r="G6088" s="7" t="str">
        <f t="shared" si="459"/>
        <v>15-12</v>
      </c>
      <c r="H6088" s="1">
        <f>_xlfn.IFNA(VLOOKUP(E6088,'Urban Plastix Holds'!$I$36:$U$498,7,0),0)</f>
        <v>0</v>
      </c>
      <c r="J6088" s="2">
        <f t="shared" si="466"/>
        <v>0</v>
      </c>
      <c r="K6088" s="2">
        <f t="shared" si="467"/>
        <v>0</v>
      </c>
    </row>
    <row r="6089" spans="5:11">
      <c r="E6089" s="3" t="s">
        <v>2447</v>
      </c>
      <c r="F6089" s="3" t="s">
        <v>2448</v>
      </c>
      <c r="G6089" s="8" t="str">
        <f t="shared" si="459"/>
        <v>16-16</v>
      </c>
      <c r="H6089" s="1">
        <f>_xlfn.IFNA(VLOOKUP(E6089,'Urban Plastix Holds'!$I$36:$U$498,8,0),0)</f>
        <v>0</v>
      </c>
      <c r="J6089" s="2">
        <f t="shared" si="466"/>
        <v>0</v>
      </c>
      <c r="K6089" s="2">
        <f t="shared" si="467"/>
        <v>0</v>
      </c>
    </row>
    <row r="6090" spans="5:11">
      <c r="E6090" s="3" t="s">
        <v>2447</v>
      </c>
      <c r="F6090" s="3" t="s">
        <v>2448</v>
      </c>
      <c r="G6090" s="9" t="str">
        <f t="shared" si="459"/>
        <v>13-01</v>
      </c>
      <c r="H6090" s="1">
        <f>_xlfn.IFNA(VLOOKUP(E6090,'Urban Plastix Holds'!$I$36:$U$498,9,0),0)</f>
        <v>0</v>
      </c>
      <c r="J6090" s="2">
        <f t="shared" si="466"/>
        <v>0</v>
      </c>
      <c r="K6090" s="2">
        <f t="shared" si="467"/>
        <v>0</v>
      </c>
    </row>
    <row r="6091" spans="5:11">
      <c r="E6091" s="3" t="s">
        <v>2447</v>
      </c>
      <c r="F6091" s="3" t="s">
        <v>2448</v>
      </c>
      <c r="G6091" s="10" t="str">
        <f t="shared" si="459"/>
        <v>07-13</v>
      </c>
      <c r="H6091" s="1">
        <f>_xlfn.IFNA(VLOOKUP(E6091,'Urban Plastix Holds'!$I$36:$U$498,10,0),0)</f>
        <v>0</v>
      </c>
      <c r="J6091" s="2">
        <f t="shared" si="466"/>
        <v>0</v>
      </c>
      <c r="K6091" s="2">
        <f t="shared" si="467"/>
        <v>0</v>
      </c>
    </row>
    <row r="6092" spans="5:11">
      <c r="E6092" s="3" t="s">
        <v>2447</v>
      </c>
      <c r="F6092" s="3" t="s">
        <v>2448</v>
      </c>
      <c r="G6092" s="11" t="str">
        <f t="shared" si="459"/>
        <v>11-25</v>
      </c>
      <c r="H6092" s="1">
        <f>_xlfn.IFNA(VLOOKUP(E6092,'Urban Plastix Holds'!$I$36:$U$498,11,0),0)</f>
        <v>0</v>
      </c>
      <c r="J6092" s="2">
        <f t="shared" si="466"/>
        <v>0</v>
      </c>
      <c r="K6092" s="2">
        <f t="shared" si="467"/>
        <v>0</v>
      </c>
    </row>
    <row r="6093" spans="5:11">
      <c r="E6093" s="3" t="s">
        <v>2447</v>
      </c>
      <c r="F6093" s="3" t="s">
        <v>2448</v>
      </c>
      <c r="G6093" s="13" t="str">
        <f t="shared" si="459"/>
        <v>18-01</v>
      </c>
      <c r="H6093" s="1">
        <f>_xlfn.IFNA(VLOOKUP(E6093,'Urban Plastix Holds'!$I$36:$U$498,12,0),0)</f>
        <v>0</v>
      </c>
      <c r="J6093" s="2">
        <f t="shared" si="466"/>
        <v>0</v>
      </c>
      <c r="K6093" s="2">
        <f t="shared" si="467"/>
        <v>0</v>
      </c>
    </row>
    <row r="6094" spans="5:11">
      <c r="E6094" s="3" t="s">
        <v>2447</v>
      </c>
      <c r="F6094" s="3" t="s">
        <v>2448</v>
      </c>
      <c r="G6094" s="12" t="str">
        <f t="shared" si="459"/>
        <v>12-01</v>
      </c>
      <c r="H6094" s="1">
        <f>_xlfn.IFNA(VLOOKUP(E6094,'Urban Plastix Holds'!$I$36:$U$498,13,0),0)</f>
        <v>0</v>
      </c>
      <c r="J6094" s="2">
        <f t="shared" si="466"/>
        <v>0</v>
      </c>
      <c r="K6094" s="2">
        <f t="shared" si="467"/>
        <v>0</v>
      </c>
    </row>
    <row r="6095" spans="5:11">
      <c r="E6095" s="3" t="s">
        <v>2443</v>
      </c>
      <c r="F6095" s="3" t="s">
        <v>2444</v>
      </c>
      <c r="G6095" s="5" t="str">
        <f t="shared" ref="G6095:G6103" si="468">G6050</f>
        <v>11-12</v>
      </c>
      <c r="H6095" s="1">
        <f>_xlfn.IFNA(VLOOKUP(E6095,'Urban Plastix Holds'!$I$36:$U$498,5,0),0)</f>
        <v>0</v>
      </c>
      <c r="J6095" s="2">
        <f t="shared" ref="J6095:J6103" si="469">H6095*I6095</f>
        <v>0</v>
      </c>
      <c r="K6095" s="2">
        <f t="shared" ref="K6095:K6103" si="470">IF($V$11="Y",J6095*0.05,0)</f>
        <v>0</v>
      </c>
    </row>
    <row r="6096" spans="5:11">
      <c r="E6096" s="3" t="s">
        <v>2443</v>
      </c>
      <c r="F6096" s="3" t="s">
        <v>2444</v>
      </c>
      <c r="G6096" s="6" t="str">
        <f t="shared" si="468"/>
        <v>14-01</v>
      </c>
      <c r="H6096" s="1">
        <f>_xlfn.IFNA(VLOOKUP(E6096,'Urban Plastix Holds'!$I$36:$U$498,6,0),0)</f>
        <v>0</v>
      </c>
      <c r="J6096" s="2">
        <f t="shared" si="469"/>
        <v>0</v>
      </c>
      <c r="K6096" s="2">
        <f t="shared" si="470"/>
        <v>0</v>
      </c>
    </row>
    <row r="6097" spans="5:11">
      <c r="E6097" s="3" t="s">
        <v>2443</v>
      </c>
      <c r="F6097" s="3" t="s">
        <v>2444</v>
      </c>
      <c r="G6097" s="7" t="str">
        <f t="shared" si="468"/>
        <v>15-12</v>
      </c>
      <c r="H6097" s="1">
        <f>_xlfn.IFNA(VLOOKUP(E6097,'Urban Plastix Holds'!$I$36:$U$498,7,0),0)</f>
        <v>0</v>
      </c>
      <c r="J6097" s="2">
        <f t="shared" si="469"/>
        <v>0</v>
      </c>
      <c r="K6097" s="2">
        <f t="shared" si="470"/>
        <v>0</v>
      </c>
    </row>
    <row r="6098" spans="5:11">
      <c r="E6098" s="3" t="s">
        <v>2443</v>
      </c>
      <c r="F6098" s="3" t="s">
        <v>2444</v>
      </c>
      <c r="G6098" s="8" t="str">
        <f t="shared" si="468"/>
        <v>16-16</v>
      </c>
      <c r="H6098" s="1">
        <f>_xlfn.IFNA(VLOOKUP(E6098,'Urban Plastix Holds'!$I$36:$U$498,8,0),0)</f>
        <v>0</v>
      </c>
      <c r="J6098" s="2">
        <f t="shared" si="469"/>
        <v>0</v>
      </c>
      <c r="K6098" s="2">
        <f t="shared" si="470"/>
        <v>0</v>
      </c>
    </row>
    <row r="6099" spans="5:11">
      <c r="E6099" s="3" t="s">
        <v>2443</v>
      </c>
      <c r="F6099" s="3" t="s">
        <v>2444</v>
      </c>
      <c r="G6099" s="9" t="str">
        <f t="shared" si="468"/>
        <v>13-01</v>
      </c>
      <c r="H6099" s="1">
        <f>_xlfn.IFNA(VLOOKUP(E6099,'Urban Plastix Holds'!$I$36:$U$498,9,0),0)</f>
        <v>0</v>
      </c>
      <c r="J6099" s="2">
        <f t="shared" si="469"/>
        <v>0</v>
      </c>
      <c r="K6099" s="2">
        <f t="shared" si="470"/>
        <v>0</v>
      </c>
    </row>
    <row r="6100" spans="5:11">
      <c r="E6100" s="3" t="s">
        <v>2443</v>
      </c>
      <c r="F6100" s="3" t="s">
        <v>2444</v>
      </c>
      <c r="G6100" s="10" t="str">
        <f t="shared" si="468"/>
        <v>07-13</v>
      </c>
      <c r="H6100" s="1">
        <f>_xlfn.IFNA(VLOOKUP(E6100,'Urban Plastix Holds'!$I$36:$U$498,10,0),0)</f>
        <v>0</v>
      </c>
      <c r="J6100" s="2">
        <f t="shared" si="469"/>
        <v>0</v>
      </c>
      <c r="K6100" s="2">
        <f t="shared" si="470"/>
        <v>0</v>
      </c>
    </row>
    <row r="6101" spans="5:11">
      <c r="E6101" s="3" t="s">
        <v>2443</v>
      </c>
      <c r="F6101" s="3" t="s">
        <v>2444</v>
      </c>
      <c r="G6101" s="11" t="str">
        <f t="shared" si="468"/>
        <v>11-25</v>
      </c>
      <c r="H6101" s="1">
        <f>_xlfn.IFNA(VLOOKUP(E6101,'Urban Plastix Holds'!$I$36:$U$498,11,0),0)</f>
        <v>0</v>
      </c>
      <c r="J6101" s="2">
        <f t="shared" si="469"/>
        <v>0</v>
      </c>
      <c r="K6101" s="2">
        <f t="shared" si="470"/>
        <v>0</v>
      </c>
    </row>
    <row r="6102" spans="5:11">
      <c r="E6102" s="3" t="s">
        <v>2443</v>
      </c>
      <c r="F6102" s="3" t="s">
        <v>2444</v>
      </c>
      <c r="G6102" s="13" t="str">
        <f t="shared" si="468"/>
        <v>18-01</v>
      </c>
      <c r="H6102" s="1">
        <f>_xlfn.IFNA(VLOOKUP(E6102,'Urban Plastix Holds'!$I$36:$U$498,12,0),0)</f>
        <v>0</v>
      </c>
      <c r="J6102" s="2">
        <f t="shared" si="469"/>
        <v>0</v>
      </c>
      <c r="K6102" s="2">
        <f t="shared" si="470"/>
        <v>0</v>
      </c>
    </row>
    <row r="6103" spans="5:11">
      <c r="E6103" s="3" t="s">
        <v>2443</v>
      </c>
      <c r="F6103" s="3" t="s">
        <v>2444</v>
      </c>
      <c r="G6103" s="12" t="str">
        <f t="shared" si="468"/>
        <v>12-01</v>
      </c>
      <c r="H6103" s="1">
        <f>_xlfn.IFNA(VLOOKUP(E6103,'Urban Plastix Holds'!$I$36:$U$498,13,0),0)</f>
        <v>0</v>
      </c>
      <c r="J6103" s="2">
        <f t="shared" si="469"/>
        <v>0</v>
      </c>
      <c r="K6103" s="2">
        <f t="shared" si="470"/>
        <v>0</v>
      </c>
    </row>
    <row r="6104" spans="5:11">
      <c r="E6104" s="3" t="s">
        <v>2300</v>
      </c>
      <c r="F6104" s="3" t="s">
        <v>2307</v>
      </c>
      <c r="G6104" s="5" t="str">
        <f t="shared" ref="G6104:G6148" si="471">G6032</f>
        <v>11-12</v>
      </c>
      <c r="H6104" s="1">
        <f>_xlfn.IFNA(VLOOKUP(E6104,'Urban Plastix Holds'!$I$36:$U$498,5,0),0)</f>
        <v>0</v>
      </c>
      <c r="J6104" s="2">
        <f t="shared" si="464"/>
        <v>0</v>
      </c>
      <c r="K6104" s="2">
        <f t="shared" si="465"/>
        <v>0</v>
      </c>
    </row>
    <row r="6105" spans="5:11">
      <c r="E6105" s="3" t="s">
        <v>2300</v>
      </c>
      <c r="F6105" s="3" t="s">
        <v>2307</v>
      </c>
      <c r="G6105" s="6" t="str">
        <f t="shared" si="471"/>
        <v>14-01</v>
      </c>
      <c r="H6105" s="1">
        <f>_xlfn.IFNA(VLOOKUP(E6105,'Urban Plastix Holds'!$I$36:$U$498,6,0),0)</f>
        <v>0</v>
      </c>
      <c r="J6105" s="2">
        <f t="shared" si="464"/>
        <v>0</v>
      </c>
      <c r="K6105" s="2">
        <f t="shared" si="465"/>
        <v>0</v>
      </c>
    </row>
    <row r="6106" spans="5:11">
      <c r="E6106" s="3" t="s">
        <v>2300</v>
      </c>
      <c r="F6106" s="3" t="s">
        <v>2307</v>
      </c>
      <c r="G6106" s="7" t="str">
        <f t="shared" si="471"/>
        <v>15-12</v>
      </c>
      <c r="H6106" s="1">
        <f>_xlfn.IFNA(VLOOKUP(E6106,'Urban Plastix Holds'!$I$36:$U$498,7,0),0)</f>
        <v>0</v>
      </c>
      <c r="J6106" s="2">
        <f t="shared" si="464"/>
        <v>0</v>
      </c>
      <c r="K6106" s="2">
        <f t="shared" si="465"/>
        <v>0</v>
      </c>
    </row>
    <row r="6107" spans="5:11">
      <c r="E6107" s="3" t="s">
        <v>2300</v>
      </c>
      <c r="F6107" s="3" t="s">
        <v>2307</v>
      </c>
      <c r="G6107" s="8" t="str">
        <f t="shared" si="471"/>
        <v>16-16</v>
      </c>
      <c r="H6107" s="1">
        <f>_xlfn.IFNA(VLOOKUP(E6107,'Urban Plastix Holds'!$I$36:$U$498,8,0),0)</f>
        <v>0</v>
      </c>
      <c r="J6107" s="2">
        <f t="shared" si="464"/>
        <v>0</v>
      </c>
      <c r="K6107" s="2">
        <f t="shared" si="465"/>
        <v>0</v>
      </c>
    </row>
    <row r="6108" spans="5:11">
      <c r="E6108" s="3" t="s">
        <v>2300</v>
      </c>
      <c r="F6108" s="3" t="s">
        <v>2307</v>
      </c>
      <c r="G6108" s="9" t="str">
        <f t="shared" si="471"/>
        <v>13-01</v>
      </c>
      <c r="H6108" s="1">
        <f>_xlfn.IFNA(VLOOKUP(E6108,'Urban Plastix Holds'!$I$36:$U$498,9,0),0)</f>
        <v>0</v>
      </c>
      <c r="J6108" s="2">
        <f t="shared" si="464"/>
        <v>0</v>
      </c>
      <c r="K6108" s="2">
        <f t="shared" si="465"/>
        <v>0</v>
      </c>
    </row>
    <row r="6109" spans="5:11">
      <c r="E6109" s="3" t="s">
        <v>2300</v>
      </c>
      <c r="F6109" s="3" t="s">
        <v>2307</v>
      </c>
      <c r="G6109" s="10" t="str">
        <f t="shared" si="471"/>
        <v>07-13</v>
      </c>
      <c r="H6109" s="1">
        <f>_xlfn.IFNA(VLOOKUP(E6109,'Urban Plastix Holds'!$I$36:$U$498,10,0),0)</f>
        <v>0</v>
      </c>
      <c r="J6109" s="2">
        <f t="shared" si="464"/>
        <v>0</v>
      </c>
      <c r="K6109" s="2">
        <f t="shared" si="465"/>
        <v>0</v>
      </c>
    </row>
    <row r="6110" spans="5:11">
      <c r="E6110" s="3" t="s">
        <v>2300</v>
      </c>
      <c r="F6110" s="3" t="s">
        <v>2307</v>
      </c>
      <c r="G6110" s="11" t="str">
        <f t="shared" si="471"/>
        <v>11-25</v>
      </c>
      <c r="H6110" s="1">
        <f>_xlfn.IFNA(VLOOKUP(E6110,'Urban Plastix Holds'!$I$36:$U$498,11,0),0)</f>
        <v>0</v>
      </c>
      <c r="J6110" s="2">
        <f t="shared" si="464"/>
        <v>0</v>
      </c>
      <c r="K6110" s="2">
        <f t="shared" si="465"/>
        <v>0</v>
      </c>
    </row>
    <row r="6111" spans="5:11">
      <c r="E6111" s="3" t="s">
        <v>2300</v>
      </c>
      <c r="F6111" s="3" t="s">
        <v>2307</v>
      </c>
      <c r="G6111" s="13" t="str">
        <f t="shared" si="471"/>
        <v>18-01</v>
      </c>
      <c r="H6111" s="1">
        <f>_xlfn.IFNA(VLOOKUP(E6111,'Urban Plastix Holds'!$I$36:$U$498,12,0),0)</f>
        <v>0</v>
      </c>
      <c r="J6111" s="2">
        <f t="shared" si="464"/>
        <v>0</v>
      </c>
      <c r="K6111" s="2">
        <f t="shared" si="465"/>
        <v>0</v>
      </c>
    </row>
    <row r="6112" spans="5:11">
      <c r="E6112" s="3" t="s">
        <v>2300</v>
      </c>
      <c r="F6112" s="3" t="s">
        <v>2307</v>
      </c>
      <c r="G6112" s="12" t="str">
        <f t="shared" si="471"/>
        <v>12-01</v>
      </c>
      <c r="H6112" s="1">
        <f>_xlfn.IFNA(VLOOKUP(E6112,'Urban Plastix Holds'!$I$36:$U$498,13,0),0)</f>
        <v>0</v>
      </c>
      <c r="J6112" s="2">
        <f t="shared" si="464"/>
        <v>0</v>
      </c>
      <c r="K6112" s="2">
        <f t="shared" si="465"/>
        <v>0</v>
      </c>
    </row>
    <row r="6113" spans="5:11">
      <c r="E6113" s="3" t="s">
        <v>2305</v>
      </c>
      <c r="F6113" s="3" t="s">
        <v>2306</v>
      </c>
      <c r="G6113" s="5" t="str">
        <f t="shared" si="471"/>
        <v>11-12</v>
      </c>
      <c r="H6113" s="1">
        <f>_xlfn.IFNA(VLOOKUP(E6113,'Urban Plastix Holds'!$I$36:$U$498,5,0),0)</f>
        <v>0</v>
      </c>
      <c r="J6113" s="2">
        <f t="shared" si="464"/>
        <v>0</v>
      </c>
      <c r="K6113" s="2">
        <f t="shared" si="465"/>
        <v>0</v>
      </c>
    </row>
    <row r="6114" spans="5:11">
      <c r="E6114" s="3" t="s">
        <v>2305</v>
      </c>
      <c r="F6114" s="3" t="s">
        <v>2306</v>
      </c>
      <c r="G6114" s="6" t="str">
        <f t="shared" si="471"/>
        <v>14-01</v>
      </c>
      <c r="H6114" s="1">
        <f>_xlfn.IFNA(VLOOKUP(E6114,'Urban Plastix Holds'!$I$36:$U$498,6,0),0)</f>
        <v>0</v>
      </c>
      <c r="J6114" s="2">
        <f t="shared" si="464"/>
        <v>0</v>
      </c>
      <c r="K6114" s="2">
        <f t="shared" si="465"/>
        <v>0</v>
      </c>
    </row>
    <row r="6115" spans="5:11">
      <c r="E6115" s="3" t="s">
        <v>2305</v>
      </c>
      <c r="F6115" s="3" t="s">
        <v>2306</v>
      </c>
      <c r="G6115" s="7" t="str">
        <f t="shared" si="471"/>
        <v>15-12</v>
      </c>
      <c r="H6115" s="1">
        <f>_xlfn.IFNA(VLOOKUP(E6115,'Urban Plastix Holds'!$I$36:$U$498,7,0),0)</f>
        <v>0</v>
      </c>
      <c r="J6115" s="2">
        <f t="shared" si="464"/>
        <v>0</v>
      </c>
      <c r="K6115" s="2">
        <f t="shared" si="465"/>
        <v>0</v>
      </c>
    </row>
    <row r="6116" spans="5:11">
      <c r="E6116" s="3" t="s">
        <v>2305</v>
      </c>
      <c r="F6116" s="3" t="s">
        <v>2306</v>
      </c>
      <c r="G6116" s="8" t="str">
        <f t="shared" si="471"/>
        <v>16-16</v>
      </c>
      <c r="H6116" s="1">
        <f>_xlfn.IFNA(VLOOKUP(E6116,'Urban Plastix Holds'!$I$36:$U$498,8,0),0)</f>
        <v>0</v>
      </c>
      <c r="J6116" s="2">
        <f t="shared" si="464"/>
        <v>0</v>
      </c>
      <c r="K6116" s="2">
        <f t="shared" si="465"/>
        <v>0</v>
      </c>
    </row>
    <row r="6117" spans="5:11">
      <c r="E6117" s="3" t="s">
        <v>2305</v>
      </c>
      <c r="F6117" s="3" t="s">
        <v>2306</v>
      </c>
      <c r="G6117" s="9" t="str">
        <f t="shared" si="471"/>
        <v>13-01</v>
      </c>
      <c r="H6117" s="1">
        <f>_xlfn.IFNA(VLOOKUP(E6117,'Urban Plastix Holds'!$I$36:$U$498,9,0),0)</f>
        <v>0</v>
      </c>
      <c r="J6117" s="2">
        <f t="shared" si="464"/>
        <v>0</v>
      </c>
      <c r="K6117" s="2">
        <f t="shared" si="465"/>
        <v>0</v>
      </c>
    </row>
    <row r="6118" spans="5:11">
      <c r="E6118" s="3" t="s">
        <v>2305</v>
      </c>
      <c r="F6118" s="3" t="s">
        <v>2306</v>
      </c>
      <c r="G6118" s="10" t="str">
        <f t="shared" si="471"/>
        <v>07-13</v>
      </c>
      <c r="H6118" s="1">
        <f>_xlfn.IFNA(VLOOKUP(E6118,'Urban Plastix Holds'!$I$36:$U$498,10,0),0)</f>
        <v>0</v>
      </c>
      <c r="J6118" s="2">
        <f t="shared" si="464"/>
        <v>0</v>
      </c>
      <c r="K6118" s="2">
        <f t="shared" si="465"/>
        <v>0</v>
      </c>
    </row>
    <row r="6119" spans="5:11">
      <c r="E6119" s="3" t="s">
        <v>2305</v>
      </c>
      <c r="F6119" s="3" t="s">
        <v>2306</v>
      </c>
      <c r="G6119" s="11" t="str">
        <f t="shared" si="471"/>
        <v>11-25</v>
      </c>
      <c r="H6119" s="1">
        <f>_xlfn.IFNA(VLOOKUP(E6119,'Urban Plastix Holds'!$I$36:$U$498,11,0),0)</f>
        <v>0</v>
      </c>
      <c r="J6119" s="2">
        <f t="shared" si="464"/>
        <v>0</v>
      </c>
      <c r="K6119" s="2">
        <f t="shared" si="465"/>
        <v>0</v>
      </c>
    </row>
    <row r="6120" spans="5:11">
      <c r="E6120" s="3" t="s">
        <v>2305</v>
      </c>
      <c r="F6120" s="3" t="s">
        <v>2306</v>
      </c>
      <c r="G6120" s="13" t="str">
        <f t="shared" si="471"/>
        <v>18-01</v>
      </c>
      <c r="H6120" s="1">
        <f>_xlfn.IFNA(VLOOKUP(E6120,'Urban Plastix Holds'!$I$36:$U$498,12,0),0)</f>
        <v>0</v>
      </c>
      <c r="J6120" s="2">
        <f t="shared" si="464"/>
        <v>0</v>
      </c>
      <c r="K6120" s="2">
        <f t="shared" si="465"/>
        <v>0</v>
      </c>
    </row>
    <row r="6121" spans="5:11">
      <c r="E6121" s="3" t="s">
        <v>2305</v>
      </c>
      <c r="F6121" s="3" t="s">
        <v>2306</v>
      </c>
      <c r="G6121" s="12" t="str">
        <f t="shared" si="471"/>
        <v>12-01</v>
      </c>
      <c r="H6121" s="1">
        <f>_xlfn.IFNA(VLOOKUP(E6121,'Urban Plastix Holds'!$I$36:$U$498,13,0),0)</f>
        <v>0</v>
      </c>
      <c r="J6121" s="2">
        <f t="shared" si="464"/>
        <v>0</v>
      </c>
      <c r="K6121" s="2">
        <f t="shared" si="465"/>
        <v>0</v>
      </c>
    </row>
    <row r="6122" spans="5:11">
      <c r="E6122" s="3" t="s">
        <v>2235</v>
      </c>
      <c r="F6122" s="3" t="s">
        <v>2236</v>
      </c>
      <c r="G6122" s="5" t="str">
        <f t="shared" si="471"/>
        <v>11-12</v>
      </c>
      <c r="H6122" s="1">
        <f>_xlfn.IFNA(VLOOKUP(E6122,'Urban Plastix Holds'!$I$36:$U$498,5,0),0)</f>
        <v>0</v>
      </c>
      <c r="J6122" s="2">
        <f t="shared" ref="J6122:J6130" si="472">H6122*I6122</f>
        <v>0</v>
      </c>
      <c r="K6122" s="2">
        <f t="shared" ref="K6122:K6130" si="473">IF($V$11="Y",J6122*0.05,0)</f>
        <v>0</v>
      </c>
    </row>
    <row r="6123" spans="5:11">
      <c r="E6123" s="3" t="s">
        <v>2235</v>
      </c>
      <c r="F6123" s="3" t="s">
        <v>2236</v>
      </c>
      <c r="G6123" s="6" t="str">
        <f t="shared" si="471"/>
        <v>14-01</v>
      </c>
      <c r="H6123" s="1">
        <f>_xlfn.IFNA(VLOOKUP(E6123,'Urban Plastix Holds'!$I$36:$U$498,6,0),0)</f>
        <v>0</v>
      </c>
      <c r="J6123" s="2">
        <f t="shared" si="472"/>
        <v>0</v>
      </c>
      <c r="K6123" s="2">
        <f t="shared" si="473"/>
        <v>0</v>
      </c>
    </row>
    <row r="6124" spans="5:11">
      <c r="E6124" s="3" t="s">
        <v>2235</v>
      </c>
      <c r="F6124" s="3" t="s">
        <v>2236</v>
      </c>
      <c r="G6124" s="7" t="str">
        <f t="shared" si="471"/>
        <v>15-12</v>
      </c>
      <c r="H6124" s="1">
        <f>_xlfn.IFNA(VLOOKUP(E6124,'Urban Plastix Holds'!$I$36:$U$498,7,0),0)</f>
        <v>0</v>
      </c>
      <c r="J6124" s="2">
        <f t="shared" si="472"/>
        <v>0</v>
      </c>
      <c r="K6124" s="2">
        <f t="shared" si="473"/>
        <v>0</v>
      </c>
    </row>
    <row r="6125" spans="5:11">
      <c r="E6125" s="3" t="s">
        <v>2235</v>
      </c>
      <c r="F6125" s="3" t="s">
        <v>2236</v>
      </c>
      <c r="G6125" s="8" t="str">
        <f t="shared" si="471"/>
        <v>16-16</v>
      </c>
      <c r="H6125" s="1">
        <f>_xlfn.IFNA(VLOOKUP(E6125,'Urban Plastix Holds'!$I$36:$U$498,8,0),0)</f>
        <v>0</v>
      </c>
      <c r="J6125" s="2">
        <f t="shared" si="472"/>
        <v>0</v>
      </c>
      <c r="K6125" s="2">
        <f t="shared" si="473"/>
        <v>0</v>
      </c>
    </row>
    <row r="6126" spans="5:11">
      <c r="E6126" s="3" t="s">
        <v>2235</v>
      </c>
      <c r="F6126" s="3" t="s">
        <v>2236</v>
      </c>
      <c r="G6126" s="9" t="str">
        <f t="shared" si="471"/>
        <v>13-01</v>
      </c>
      <c r="H6126" s="1">
        <f>_xlfn.IFNA(VLOOKUP(E6126,'Urban Plastix Holds'!$I$36:$U$498,9,0),0)</f>
        <v>0</v>
      </c>
      <c r="J6126" s="2">
        <f t="shared" si="472"/>
        <v>0</v>
      </c>
      <c r="K6126" s="2">
        <f t="shared" si="473"/>
        <v>0</v>
      </c>
    </row>
    <row r="6127" spans="5:11">
      <c r="E6127" s="3" t="s">
        <v>2235</v>
      </c>
      <c r="F6127" s="3" t="s">
        <v>2236</v>
      </c>
      <c r="G6127" s="10" t="str">
        <f t="shared" si="471"/>
        <v>07-13</v>
      </c>
      <c r="H6127" s="1">
        <f>_xlfn.IFNA(VLOOKUP(E6127,'Urban Plastix Holds'!$I$36:$U$498,10,0),0)</f>
        <v>0</v>
      </c>
      <c r="J6127" s="2">
        <f t="shared" si="472"/>
        <v>0</v>
      </c>
      <c r="K6127" s="2">
        <f t="shared" si="473"/>
        <v>0</v>
      </c>
    </row>
    <row r="6128" spans="5:11">
      <c r="E6128" s="3" t="s">
        <v>2235</v>
      </c>
      <c r="F6128" s="3" t="s">
        <v>2236</v>
      </c>
      <c r="G6128" s="11" t="str">
        <f t="shared" si="471"/>
        <v>11-25</v>
      </c>
      <c r="H6128" s="1">
        <f>_xlfn.IFNA(VLOOKUP(E6128,'Urban Plastix Holds'!$I$36:$U$498,11,0),0)</f>
        <v>0</v>
      </c>
      <c r="J6128" s="2">
        <f t="shared" si="472"/>
        <v>0</v>
      </c>
      <c r="K6128" s="2">
        <f t="shared" si="473"/>
        <v>0</v>
      </c>
    </row>
    <row r="6129" spans="5:11">
      <c r="E6129" s="3" t="s">
        <v>2235</v>
      </c>
      <c r="F6129" s="3" t="s">
        <v>2236</v>
      </c>
      <c r="G6129" s="13" t="str">
        <f t="shared" si="471"/>
        <v>18-01</v>
      </c>
      <c r="H6129" s="1">
        <f>_xlfn.IFNA(VLOOKUP(E6129,'Urban Plastix Holds'!$I$36:$U$498,12,0),0)</f>
        <v>0</v>
      </c>
      <c r="J6129" s="2">
        <f t="shared" si="472"/>
        <v>0</v>
      </c>
      <c r="K6129" s="2">
        <f t="shared" si="473"/>
        <v>0</v>
      </c>
    </row>
    <row r="6130" spans="5:11">
      <c r="E6130" s="3" t="s">
        <v>2235</v>
      </c>
      <c r="F6130" s="3" t="s">
        <v>2236</v>
      </c>
      <c r="G6130" s="12" t="str">
        <f t="shared" si="471"/>
        <v>12-01</v>
      </c>
      <c r="H6130" s="1">
        <f>_xlfn.IFNA(VLOOKUP(E6130,'Urban Plastix Holds'!$I$36:$U$498,13,0),0)</f>
        <v>0</v>
      </c>
      <c r="J6130" s="2">
        <f t="shared" si="472"/>
        <v>0</v>
      </c>
      <c r="K6130" s="2">
        <f t="shared" si="473"/>
        <v>0</v>
      </c>
    </row>
    <row r="6131" spans="5:11">
      <c r="E6131" s="3" t="s">
        <v>2301</v>
      </c>
      <c r="F6131" s="3" t="s">
        <v>2302</v>
      </c>
      <c r="G6131" s="5" t="str">
        <f t="shared" si="471"/>
        <v>11-12</v>
      </c>
      <c r="H6131" s="1">
        <f>_xlfn.IFNA(VLOOKUP(E6131,'Urban Plastix Holds'!$I$36:$U$498,5,0),0)</f>
        <v>0</v>
      </c>
      <c r="J6131" s="2">
        <f t="shared" ref="J6131:J6148" si="474">H6131*I6131</f>
        <v>0</v>
      </c>
      <c r="K6131" s="2">
        <f t="shared" ref="K6131:K6148" si="475">IF($V$11="Y",J6131*0.05,0)</f>
        <v>0</v>
      </c>
    </row>
    <row r="6132" spans="5:11">
      <c r="E6132" s="3" t="s">
        <v>2301</v>
      </c>
      <c r="F6132" s="3" t="s">
        <v>2302</v>
      </c>
      <c r="G6132" s="6" t="str">
        <f t="shared" si="471"/>
        <v>14-01</v>
      </c>
      <c r="H6132" s="1">
        <f>_xlfn.IFNA(VLOOKUP(E6132,'Urban Plastix Holds'!$I$36:$U$498,6,0),0)</f>
        <v>0</v>
      </c>
      <c r="J6132" s="2">
        <f t="shared" si="474"/>
        <v>0</v>
      </c>
      <c r="K6132" s="2">
        <f t="shared" si="475"/>
        <v>0</v>
      </c>
    </row>
    <row r="6133" spans="5:11">
      <c r="E6133" s="3" t="s">
        <v>2301</v>
      </c>
      <c r="F6133" s="3" t="s">
        <v>2302</v>
      </c>
      <c r="G6133" s="7" t="str">
        <f t="shared" si="471"/>
        <v>15-12</v>
      </c>
      <c r="H6133" s="1">
        <f>_xlfn.IFNA(VLOOKUP(E6133,'Urban Plastix Holds'!$I$36:$U$498,7,0),0)</f>
        <v>0</v>
      </c>
      <c r="J6133" s="2">
        <f t="shared" si="474"/>
        <v>0</v>
      </c>
      <c r="K6133" s="2">
        <f t="shared" si="475"/>
        <v>0</v>
      </c>
    </row>
    <row r="6134" spans="5:11">
      <c r="E6134" s="3" t="s">
        <v>2301</v>
      </c>
      <c r="F6134" s="3" t="s">
        <v>2302</v>
      </c>
      <c r="G6134" s="8" t="str">
        <f t="shared" si="471"/>
        <v>16-16</v>
      </c>
      <c r="H6134" s="1">
        <f>_xlfn.IFNA(VLOOKUP(E6134,'Urban Plastix Holds'!$I$36:$U$498,8,0),0)</f>
        <v>0</v>
      </c>
      <c r="J6134" s="2">
        <f t="shared" si="474"/>
        <v>0</v>
      </c>
      <c r="K6134" s="2">
        <f t="shared" si="475"/>
        <v>0</v>
      </c>
    </row>
    <row r="6135" spans="5:11">
      <c r="E6135" s="3" t="s">
        <v>2301</v>
      </c>
      <c r="F6135" s="3" t="s">
        <v>2302</v>
      </c>
      <c r="G6135" s="9" t="str">
        <f t="shared" si="471"/>
        <v>13-01</v>
      </c>
      <c r="H6135" s="1">
        <f>_xlfn.IFNA(VLOOKUP(E6135,'Urban Plastix Holds'!$I$36:$U$498,9,0),0)</f>
        <v>0</v>
      </c>
      <c r="J6135" s="2">
        <f t="shared" si="474"/>
        <v>0</v>
      </c>
      <c r="K6135" s="2">
        <f t="shared" si="475"/>
        <v>0</v>
      </c>
    </row>
    <row r="6136" spans="5:11">
      <c r="E6136" s="3" t="s">
        <v>2301</v>
      </c>
      <c r="F6136" s="3" t="s">
        <v>2302</v>
      </c>
      <c r="G6136" s="10" t="str">
        <f t="shared" si="471"/>
        <v>07-13</v>
      </c>
      <c r="H6136" s="1">
        <f>_xlfn.IFNA(VLOOKUP(E6136,'Urban Plastix Holds'!$I$36:$U$498,10,0),0)</f>
        <v>0</v>
      </c>
      <c r="J6136" s="2">
        <f t="shared" si="474"/>
        <v>0</v>
      </c>
      <c r="K6136" s="2">
        <f t="shared" si="475"/>
        <v>0</v>
      </c>
    </row>
    <row r="6137" spans="5:11">
      <c r="E6137" s="3" t="s">
        <v>2301</v>
      </c>
      <c r="F6137" s="3" t="s">
        <v>2302</v>
      </c>
      <c r="G6137" s="11" t="str">
        <f t="shared" si="471"/>
        <v>11-25</v>
      </c>
      <c r="H6137" s="1">
        <f>_xlfn.IFNA(VLOOKUP(E6137,'Urban Plastix Holds'!$I$36:$U$498,11,0),0)</f>
        <v>0</v>
      </c>
      <c r="J6137" s="2">
        <f t="shared" si="474"/>
        <v>0</v>
      </c>
      <c r="K6137" s="2">
        <f t="shared" si="475"/>
        <v>0</v>
      </c>
    </row>
    <row r="6138" spans="5:11">
      <c r="E6138" s="3" t="s">
        <v>2301</v>
      </c>
      <c r="F6138" s="3" t="s">
        <v>2302</v>
      </c>
      <c r="G6138" s="13" t="str">
        <f t="shared" si="471"/>
        <v>18-01</v>
      </c>
      <c r="H6138" s="1">
        <f>_xlfn.IFNA(VLOOKUP(E6138,'Urban Plastix Holds'!$I$36:$U$498,12,0),0)</f>
        <v>0</v>
      </c>
      <c r="J6138" s="2">
        <f t="shared" si="474"/>
        <v>0</v>
      </c>
      <c r="K6138" s="2">
        <f t="shared" si="475"/>
        <v>0</v>
      </c>
    </row>
    <row r="6139" spans="5:11">
      <c r="E6139" s="3" t="s">
        <v>2301</v>
      </c>
      <c r="F6139" s="3" t="s">
        <v>2302</v>
      </c>
      <c r="G6139" s="12" t="str">
        <f t="shared" si="471"/>
        <v>12-01</v>
      </c>
      <c r="H6139" s="1">
        <f>_xlfn.IFNA(VLOOKUP(E6139,'Urban Plastix Holds'!$I$36:$U$498,13,0),0)</f>
        <v>0</v>
      </c>
      <c r="J6139" s="2">
        <f t="shared" si="474"/>
        <v>0</v>
      </c>
      <c r="K6139" s="2">
        <f t="shared" si="475"/>
        <v>0</v>
      </c>
    </row>
    <row r="6140" spans="5:11">
      <c r="E6140" s="3" t="s">
        <v>2303</v>
      </c>
      <c r="F6140" s="3" t="s">
        <v>2304</v>
      </c>
      <c r="G6140" s="5" t="str">
        <f t="shared" si="471"/>
        <v>11-12</v>
      </c>
      <c r="H6140" s="1">
        <f>_xlfn.IFNA(VLOOKUP(E6140,'Urban Plastix Holds'!$I$36:$U$498,5,0),0)</f>
        <v>0</v>
      </c>
      <c r="J6140" s="2">
        <f t="shared" si="474"/>
        <v>0</v>
      </c>
      <c r="K6140" s="2">
        <f t="shared" si="475"/>
        <v>0</v>
      </c>
    </row>
    <row r="6141" spans="5:11">
      <c r="E6141" s="3" t="s">
        <v>2303</v>
      </c>
      <c r="F6141" s="3" t="s">
        <v>2304</v>
      </c>
      <c r="G6141" s="6" t="str">
        <f t="shared" si="471"/>
        <v>14-01</v>
      </c>
      <c r="H6141" s="1">
        <f>_xlfn.IFNA(VLOOKUP(E6141,'Urban Plastix Holds'!$I$36:$U$498,6,0),0)</f>
        <v>0</v>
      </c>
      <c r="J6141" s="2">
        <f t="shared" si="474"/>
        <v>0</v>
      </c>
      <c r="K6141" s="2">
        <f t="shared" si="475"/>
        <v>0</v>
      </c>
    </row>
    <row r="6142" spans="5:11">
      <c r="E6142" s="3" t="s">
        <v>2303</v>
      </c>
      <c r="F6142" s="3" t="s">
        <v>2304</v>
      </c>
      <c r="G6142" s="7" t="str">
        <f t="shared" si="471"/>
        <v>15-12</v>
      </c>
      <c r="H6142" s="1">
        <f>_xlfn.IFNA(VLOOKUP(E6142,'Urban Plastix Holds'!$I$36:$U$498,7,0),0)</f>
        <v>0</v>
      </c>
      <c r="J6142" s="2">
        <f t="shared" si="474"/>
        <v>0</v>
      </c>
      <c r="K6142" s="2">
        <f t="shared" si="475"/>
        <v>0</v>
      </c>
    </row>
    <row r="6143" spans="5:11">
      <c r="E6143" s="3" t="s">
        <v>2303</v>
      </c>
      <c r="F6143" s="3" t="s">
        <v>2304</v>
      </c>
      <c r="G6143" s="8" t="str">
        <f t="shared" si="471"/>
        <v>16-16</v>
      </c>
      <c r="H6143" s="1">
        <f>_xlfn.IFNA(VLOOKUP(E6143,'Urban Plastix Holds'!$I$36:$U$498,8,0),0)</f>
        <v>0</v>
      </c>
      <c r="J6143" s="2">
        <f t="shared" si="474"/>
        <v>0</v>
      </c>
      <c r="K6143" s="2">
        <f t="shared" si="475"/>
        <v>0</v>
      </c>
    </row>
    <row r="6144" spans="5:11">
      <c r="E6144" s="3" t="s">
        <v>2303</v>
      </c>
      <c r="F6144" s="3" t="s">
        <v>2304</v>
      </c>
      <c r="G6144" s="9" t="str">
        <f t="shared" si="471"/>
        <v>13-01</v>
      </c>
      <c r="H6144" s="1">
        <f>_xlfn.IFNA(VLOOKUP(E6144,'Urban Plastix Holds'!$I$36:$U$498,9,0),0)</f>
        <v>0</v>
      </c>
      <c r="J6144" s="2">
        <f t="shared" si="474"/>
        <v>0</v>
      </c>
      <c r="K6144" s="2">
        <f t="shared" si="475"/>
        <v>0</v>
      </c>
    </row>
    <row r="6145" spans="5:11">
      <c r="E6145" s="3" t="s">
        <v>2303</v>
      </c>
      <c r="F6145" s="3" t="s">
        <v>2304</v>
      </c>
      <c r="G6145" s="10" t="str">
        <f t="shared" si="471"/>
        <v>07-13</v>
      </c>
      <c r="H6145" s="1">
        <f>_xlfn.IFNA(VLOOKUP(E6145,'Urban Plastix Holds'!$I$36:$U$498,10,0),0)</f>
        <v>0</v>
      </c>
      <c r="J6145" s="2">
        <f t="shared" si="474"/>
        <v>0</v>
      </c>
      <c r="K6145" s="2">
        <f t="shared" si="475"/>
        <v>0</v>
      </c>
    </row>
    <row r="6146" spans="5:11">
      <c r="E6146" s="3" t="s">
        <v>2303</v>
      </c>
      <c r="F6146" s="3" t="s">
        <v>2304</v>
      </c>
      <c r="G6146" s="11" t="str">
        <f t="shared" si="471"/>
        <v>11-25</v>
      </c>
      <c r="H6146" s="1">
        <f>_xlfn.IFNA(VLOOKUP(E6146,'Urban Plastix Holds'!$I$36:$U$498,11,0),0)</f>
        <v>0</v>
      </c>
      <c r="J6146" s="2">
        <f t="shared" si="474"/>
        <v>0</v>
      </c>
      <c r="K6146" s="2">
        <f t="shared" si="475"/>
        <v>0</v>
      </c>
    </row>
    <row r="6147" spans="5:11">
      <c r="E6147" s="3" t="s">
        <v>2303</v>
      </c>
      <c r="F6147" s="3" t="s">
        <v>2304</v>
      </c>
      <c r="G6147" s="13" t="str">
        <f t="shared" si="471"/>
        <v>18-01</v>
      </c>
      <c r="H6147" s="1">
        <f>_xlfn.IFNA(VLOOKUP(E6147,'Urban Plastix Holds'!$I$36:$U$498,12,0),0)</f>
        <v>0</v>
      </c>
      <c r="J6147" s="2">
        <f t="shared" si="474"/>
        <v>0</v>
      </c>
      <c r="K6147" s="2">
        <f t="shared" si="475"/>
        <v>0</v>
      </c>
    </row>
    <row r="6148" spans="5:11">
      <c r="E6148" s="3" t="s">
        <v>2303</v>
      </c>
      <c r="F6148" s="3" t="s">
        <v>2304</v>
      </c>
      <c r="G6148" s="12" t="str">
        <f t="shared" si="471"/>
        <v>12-01</v>
      </c>
      <c r="H6148" s="1">
        <f>_xlfn.IFNA(VLOOKUP(E6148,'Urban Plastix Holds'!$I$36:$U$498,13,0),0)</f>
        <v>0</v>
      </c>
      <c r="J6148" s="2">
        <f t="shared" si="474"/>
        <v>0</v>
      </c>
      <c r="K6148" s="2">
        <f t="shared" si="475"/>
        <v>0</v>
      </c>
    </row>
    <row r="6149" spans="5:11">
      <c r="E6149" s="3" t="s">
        <v>2337</v>
      </c>
      <c r="F6149" s="3" t="s">
        <v>2345</v>
      </c>
      <c r="G6149" s="5" t="str">
        <f t="shared" ref="G6149:G6212" si="476">G6104</f>
        <v>11-12</v>
      </c>
      <c r="H6149" s="1">
        <f>_xlfn.IFNA(VLOOKUP(E6149,'Urban Plastix Holds'!$I$36:$U$498,5,0),0)</f>
        <v>0</v>
      </c>
      <c r="J6149" s="2">
        <f t="shared" ref="J6149:J6157" si="477">H6149*I6149</f>
        <v>0</v>
      </c>
      <c r="K6149" s="2">
        <f t="shared" ref="K6149:K6157" si="478">IF($V$11="Y",J6149*0.05,0)</f>
        <v>0</v>
      </c>
    </row>
    <row r="6150" spans="5:11">
      <c r="E6150" s="3" t="s">
        <v>2337</v>
      </c>
      <c r="F6150" s="3" t="s">
        <v>2345</v>
      </c>
      <c r="G6150" s="6" t="str">
        <f t="shared" si="476"/>
        <v>14-01</v>
      </c>
      <c r="H6150" s="1">
        <f>_xlfn.IFNA(VLOOKUP(E6150,'Urban Plastix Holds'!$I$36:$U$498,6,0),0)</f>
        <v>0</v>
      </c>
      <c r="J6150" s="2">
        <f t="shared" si="477"/>
        <v>0</v>
      </c>
      <c r="K6150" s="2">
        <f t="shared" si="478"/>
        <v>0</v>
      </c>
    </row>
    <row r="6151" spans="5:11">
      <c r="E6151" s="3" t="s">
        <v>2337</v>
      </c>
      <c r="F6151" s="3" t="s">
        <v>2345</v>
      </c>
      <c r="G6151" s="7" t="str">
        <f t="shared" si="476"/>
        <v>15-12</v>
      </c>
      <c r="H6151" s="1">
        <f>_xlfn.IFNA(VLOOKUP(E6151,'Urban Plastix Holds'!$I$36:$U$498,7,0),0)</f>
        <v>0</v>
      </c>
      <c r="J6151" s="2">
        <f t="shared" si="477"/>
        <v>0</v>
      </c>
      <c r="K6151" s="2">
        <f t="shared" si="478"/>
        <v>0</v>
      </c>
    </row>
    <row r="6152" spans="5:11">
      <c r="E6152" s="3" t="s">
        <v>2337</v>
      </c>
      <c r="F6152" s="3" t="s">
        <v>2345</v>
      </c>
      <c r="G6152" s="8" t="str">
        <f t="shared" si="476"/>
        <v>16-16</v>
      </c>
      <c r="H6152" s="1">
        <f>_xlfn.IFNA(VLOOKUP(E6152,'Urban Plastix Holds'!$I$36:$U$498,8,0),0)</f>
        <v>0</v>
      </c>
      <c r="J6152" s="2">
        <f t="shared" si="477"/>
        <v>0</v>
      </c>
      <c r="K6152" s="2">
        <f t="shared" si="478"/>
        <v>0</v>
      </c>
    </row>
    <row r="6153" spans="5:11">
      <c r="E6153" s="3" t="s">
        <v>2337</v>
      </c>
      <c r="F6153" s="3" t="s">
        <v>2345</v>
      </c>
      <c r="G6153" s="9" t="str">
        <f t="shared" si="476"/>
        <v>13-01</v>
      </c>
      <c r="H6153" s="1">
        <f>_xlfn.IFNA(VLOOKUP(E6153,'Urban Plastix Holds'!$I$36:$U$498,9,0),0)</f>
        <v>0</v>
      </c>
      <c r="J6153" s="2">
        <f t="shared" si="477"/>
        <v>0</v>
      </c>
      <c r="K6153" s="2">
        <f t="shared" si="478"/>
        <v>0</v>
      </c>
    </row>
    <row r="6154" spans="5:11">
      <c r="E6154" s="3" t="s">
        <v>2337</v>
      </c>
      <c r="F6154" s="3" t="s">
        <v>2345</v>
      </c>
      <c r="G6154" s="10" t="str">
        <f t="shared" si="476"/>
        <v>07-13</v>
      </c>
      <c r="H6154" s="1">
        <f>_xlfn.IFNA(VLOOKUP(E6154,'Urban Plastix Holds'!$I$36:$U$498,10,0),0)</f>
        <v>0</v>
      </c>
      <c r="J6154" s="2">
        <f t="shared" si="477"/>
        <v>0</v>
      </c>
      <c r="K6154" s="2">
        <f t="shared" si="478"/>
        <v>0</v>
      </c>
    </row>
    <row r="6155" spans="5:11">
      <c r="E6155" s="3" t="s">
        <v>2337</v>
      </c>
      <c r="F6155" s="3" t="s">
        <v>2345</v>
      </c>
      <c r="G6155" s="11" t="str">
        <f t="shared" si="476"/>
        <v>11-25</v>
      </c>
      <c r="H6155" s="1">
        <f>_xlfn.IFNA(VLOOKUP(E6155,'Urban Plastix Holds'!$I$36:$U$498,11,0),0)</f>
        <v>0</v>
      </c>
      <c r="J6155" s="2">
        <f t="shared" si="477"/>
        <v>0</v>
      </c>
      <c r="K6155" s="2">
        <f t="shared" si="478"/>
        <v>0</v>
      </c>
    </row>
    <row r="6156" spans="5:11">
      <c r="E6156" s="3" t="s">
        <v>2337</v>
      </c>
      <c r="F6156" s="3" t="s">
        <v>2345</v>
      </c>
      <c r="G6156" s="13" t="str">
        <f t="shared" si="476"/>
        <v>18-01</v>
      </c>
      <c r="H6156" s="1">
        <f>_xlfn.IFNA(VLOOKUP(E6156,'Urban Plastix Holds'!$I$36:$U$498,12,0),0)</f>
        <v>0</v>
      </c>
      <c r="J6156" s="2">
        <f t="shared" si="477"/>
        <v>0</v>
      </c>
      <c r="K6156" s="2">
        <f t="shared" si="478"/>
        <v>0</v>
      </c>
    </row>
    <row r="6157" spans="5:11">
      <c r="E6157" s="3" t="s">
        <v>2337</v>
      </c>
      <c r="F6157" s="3" t="s">
        <v>2345</v>
      </c>
      <c r="G6157" s="12" t="str">
        <f t="shared" si="476"/>
        <v>12-01</v>
      </c>
      <c r="H6157" s="1">
        <f>_xlfn.IFNA(VLOOKUP(E6157,'Urban Plastix Holds'!$I$36:$U$498,13,0),0)</f>
        <v>0</v>
      </c>
      <c r="J6157" s="2">
        <f t="shared" si="477"/>
        <v>0</v>
      </c>
      <c r="K6157" s="2">
        <f t="shared" si="478"/>
        <v>0</v>
      </c>
    </row>
    <row r="6158" spans="5:11">
      <c r="E6158" s="3" t="s">
        <v>2449</v>
      </c>
      <c r="F6158" s="3" t="s">
        <v>2450</v>
      </c>
      <c r="G6158" s="5" t="str">
        <f t="shared" si="476"/>
        <v>11-12</v>
      </c>
      <c r="H6158" s="1">
        <f>_xlfn.IFNA(VLOOKUP(E6158,'Urban Plastix Holds'!$I$36:$U$498,5,0),0)</f>
        <v>0</v>
      </c>
      <c r="J6158" s="2">
        <f t="shared" ref="J6158:J6184" si="479">H6158*I6158</f>
        <v>0</v>
      </c>
      <c r="K6158" s="2">
        <f t="shared" ref="K6158:K6184" si="480">IF($V$11="Y",J6158*0.05,0)</f>
        <v>0</v>
      </c>
    </row>
    <row r="6159" spans="5:11">
      <c r="E6159" s="3" t="s">
        <v>2449</v>
      </c>
      <c r="F6159" s="3" t="s">
        <v>2450</v>
      </c>
      <c r="G6159" s="6" t="str">
        <f t="shared" si="476"/>
        <v>14-01</v>
      </c>
      <c r="H6159" s="1">
        <f>_xlfn.IFNA(VLOOKUP(E6159,'Urban Plastix Holds'!$I$36:$U$498,6,0),0)</f>
        <v>0</v>
      </c>
      <c r="J6159" s="2">
        <f t="shared" si="479"/>
        <v>0</v>
      </c>
      <c r="K6159" s="2">
        <f t="shared" si="480"/>
        <v>0</v>
      </c>
    </row>
    <row r="6160" spans="5:11">
      <c r="E6160" s="3" t="s">
        <v>2449</v>
      </c>
      <c r="F6160" s="3" t="s">
        <v>2450</v>
      </c>
      <c r="G6160" s="7" t="str">
        <f t="shared" si="476"/>
        <v>15-12</v>
      </c>
      <c r="H6160" s="1">
        <f>_xlfn.IFNA(VLOOKUP(E6160,'Urban Plastix Holds'!$I$36:$U$498,7,0),0)</f>
        <v>0</v>
      </c>
      <c r="J6160" s="2">
        <f t="shared" si="479"/>
        <v>0</v>
      </c>
      <c r="K6160" s="2">
        <f t="shared" si="480"/>
        <v>0</v>
      </c>
    </row>
    <row r="6161" spans="5:11">
      <c r="E6161" s="3" t="s">
        <v>2449</v>
      </c>
      <c r="F6161" s="3" t="s">
        <v>2450</v>
      </c>
      <c r="G6161" s="8" t="str">
        <f t="shared" si="476"/>
        <v>16-16</v>
      </c>
      <c r="H6161" s="1">
        <f>_xlfn.IFNA(VLOOKUP(E6161,'Urban Plastix Holds'!$I$36:$U$498,8,0),0)</f>
        <v>0</v>
      </c>
      <c r="J6161" s="2">
        <f t="shared" si="479"/>
        <v>0</v>
      </c>
      <c r="K6161" s="2">
        <f t="shared" si="480"/>
        <v>0</v>
      </c>
    </row>
    <row r="6162" spans="5:11">
      <c r="E6162" s="3" t="s">
        <v>2449</v>
      </c>
      <c r="F6162" s="3" t="s">
        <v>2450</v>
      </c>
      <c r="G6162" s="9" t="str">
        <f t="shared" si="476"/>
        <v>13-01</v>
      </c>
      <c r="H6162" s="1">
        <f>_xlfn.IFNA(VLOOKUP(E6162,'Urban Plastix Holds'!$I$36:$U$498,9,0),0)</f>
        <v>0</v>
      </c>
      <c r="J6162" s="2">
        <f t="shared" si="479"/>
        <v>0</v>
      </c>
      <c r="K6162" s="2">
        <f t="shared" si="480"/>
        <v>0</v>
      </c>
    </row>
    <row r="6163" spans="5:11">
      <c r="E6163" s="3" t="s">
        <v>2449</v>
      </c>
      <c r="F6163" s="3" t="s">
        <v>2450</v>
      </c>
      <c r="G6163" s="10" t="str">
        <f t="shared" si="476"/>
        <v>07-13</v>
      </c>
      <c r="H6163" s="1">
        <f>_xlfn.IFNA(VLOOKUP(E6163,'Urban Plastix Holds'!$I$36:$U$498,10,0),0)</f>
        <v>0</v>
      </c>
      <c r="J6163" s="2">
        <f t="shared" si="479"/>
        <v>0</v>
      </c>
      <c r="K6163" s="2">
        <f t="shared" si="480"/>
        <v>0</v>
      </c>
    </row>
    <row r="6164" spans="5:11">
      <c r="E6164" s="3" t="s">
        <v>2449</v>
      </c>
      <c r="F6164" s="3" t="s">
        <v>2450</v>
      </c>
      <c r="G6164" s="11" t="str">
        <f t="shared" si="476"/>
        <v>11-25</v>
      </c>
      <c r="H6164" s="1">
        <f>_xlfn.IFNA(VLOOKUP(E6164,'Urban Plastix Holds'!$I$36:$U$498,11,0),0)</f>
        <v>0</v>
      </c>
      <c r="J6164" s="2">
        <f t="shared" si="479"/>
        <v>0</v>
      </c>
      <c r="K6164" s="2">
        <f t="shared" si="480"/>
        <v>0</v>
      </c>
    </row>
    <row r="6165" spans="5:11">
      <c r="E6165" s="3" t="s">
        <v>2449</v>
      </c>
      <c r="F6165" s="3" t="s">
        <v>2450</v>
      </c>
      <c r="G6165" s="13" t="str">
        <f t="shared" si="476"/>
        <v>18-01</v>
      </c>
      <c r="H6165" s="1">
        <f>_xlfn.IFNA(VLOOKUP(E6165,'Urban Plastix Holds'!$I$36:$U$498,12,0),0)</f>
        <v>0</v>
      </c>
      <c r="J6165" s="2">
        <f t="shared" si="479"/>
        <v>0</v>
      </c>
      <c r="K6165" s="2">
        <f t="shared" si="480"/>
        <v>0</v>
      </c>
    </row>
    <row r="6166" spans="5:11">
      <c r="E6166" s="3" t="s">
        <v>2449</v>
      </c>
      <c r="F6166" s="3" t="s">
        <v>2450</v>
      </c>
      <c r="G6166" s="12" t="str">
        <f t="shared" si="476"/>
        <v>12-01</v>
      </c>
      <c r="H6166" s="1">
        <f>_xlfn.IFNA(VLOOKUP(E6166,'Urban Plastix Holds'!$I$36:$U$498,13,0),0)</f>
        <v>0</v>
      </c>
      <c r="J6166" s="2">
        <f t="shared" si="479"/>
        <v>0</v>
      </c>
      <c r="K6166" s="2">
        <f t="shared" si="480"/>
        <v>0</v>
      </c>
    </row>
    <row r="6167" spans="5:11">
      <c r="E6167" s="3" t="s">
        <v>2451</v>
      </c>
      <c r="F6167" s="3" t="s">
        <v>2452</v>
      </c>
      <c r="G6167" s="5" t="str">
        <f t="shared" si="476"/>
        <v>11-12</v>
      </c>
      <c r="H6167" s="1">
        <f>_xlfn.IFNA(VLOOKUP(E6167,'Urban Plastix Holds'!$I$36:$U$498,5,0),0)</f>
        <v>0</v>
      </c>
      <c r="J6167" s="2">
        <f t="shared" si="479"/>
        <v>0</v>
      </c>
      <c r="K6167" s="2">
        <f t="shared" si="480"/>
        <v>0</v>
      </c>
    </row>
    <row r="6168" spans="5:11">
      <c r="E6168" s="3" t="s">
        <v>2451</v>
      </c>
      <c r="F6168" s="3" t="s">
        <v>2452</v>
      </c>
      <c r="G6168" s="6" t="str">
        <f t="shared" si="476"/>
        <v>14-01</v>
      </c>
      <c r="H6168" s="1">
        <f>_xlfn.IFNA(VLOOKUP(E6168,'Urban Plastix Holds'!$I$36:$U$498,6,0),0)</f>
        <v>0</v>
      </c>
      <c r="J6168" s="2">
        <f t="shared" si="479"/>
        <v>0</v>
      </c>
      <c r="K6168" s="2">
        <f t="shared" si="480"/>
        <v>0</v>
      </c>
    </row>
    <row r="6169" spans="5:11">
      <c r="E6169" s="3" t="s">
        <v>2451</v>
      </c>
      <c r="F6169" s="3" t="s">
        <v>2452</v>
      </c>
      <c r="G6169" s="7" t="str">
        <f t="shared" si="476"/>
        <v>15-12</v>
      </c>
      <c r="H6169" s="1">
        <f>_xlfn.IFNA(VLOOKUP(E6169,'Urban Plastix Holds'!$I$36:$U$498,7,0),0)</f>
        <v>0</v>
      </c>
      <c r="J6169" s="2">
        <f t="shared" si="479"/>
        <v>0</v>
      </c>
      <c r="K6169" s="2">
        <f t="shared" si="480"/>
        <v>0</v>
      </c>
    </row>
    <row r="6170" spans="5:11">
      <c r="E6170" s="3" t="s">
        <v>2451</v>
      </c>
      <c r="F6170" s="3" t="s">
        <v>2452</v>
      </c>
      <c r="G6170" s="8" t="str">
        <f t="shared" si="476"/>
        <v>16-16</v>
      </c>
      <c r="H6170" s="1">
        <f>_xlfn.IFNA(VLOOKUP(E6170,'Urban Plastix Holds'!$I$36:$U$498,8,0),0)</f>
        <v>0</v>
      </c>
      <c r="J6170" s="2">
        <f t="shared" si="479"/>
        <v>0</v>
      </c>
      <c r="K6170" s="2">
        <f t="shared" si="480"/>
        <v>0</v>
      </c>
    </row>
    <row r="6171" spans="5:11">
      <c r="E6171" s="3" t="s">
        <v>2451</v>
      </c>
      <c r="F6171" s="3" t="s">
        <v>2452</v>
      </c>
      <c r="G6171" s="9" t="str">
        <f t="shared" si="476"/>
        <v>13-01</v>
      </c>
      <c r="H6171" s="1">
        <f>_xlfn.IFNA(VLOOKUP(E6171,'Urban Plastix Holds'!$I$36:$U$498,9,0),0)</f>
        <v>0</v>
      </c>
      <c r="J6171" s="2">
        <f t="shared" si="479"/>
        <v>0</v>
      </c>
      <c r="K6171" s="2">
        <f t="shared" si="480"/>
        <v>0</v>
      </c>
    </row>
    <row r="6172" spans="5:11">
      <c r="E6172" s="3" t="s">
        <v>2451</v>
      </c>
      <c r="F6172" s="3" t="s">
        <v>2452</v>
      </c>
      <c r="G6172" s="10" t="str">
        <f t="shared" si="476"/>
        <v>07-13</v>
      </c>
      <c r="H6172" s="1">
        <f>_xlfn.IFNA(VLOOKUP(E6172,'Urban Plastix Holds'!$I$36:$U$498,10,0),0)</f>
        <v>0</v>
      </c>
      <c r="J6172" s="2">
        <f t="shared" si="479"/>
        <v>0</v>
      </c>
      <c r="K6172" s="2">
        <f t="shared" si="480"/>
        <v>0</v>
      </c>
    </row>
    <row r="6173" spans="5:11">
      <c r="E6173" s="3" t="s">
        <v>2451</v>
      </c>
      <c r="F6173" s="3" t="s">
        <v>2452</v>
      </c>
      <c r="G6173" s="11" t="str">
        <f t="shared" si="476"/>
        <v>11-25</v>
      </c>
      <c r="H6173" s="1">
        <f>_xlfn.IFNA(VLOOKUP(E6173,'Urban Plastix Holds'!$I$36:$U$498,11,0),0)</f>
        <v>0</v>
      </c>
      <c r="J6173" s="2">
        <f t="shared" si="479"/>
        <v>0</v>
      </c>
      <c r="K6173" s="2">
        <f t="shared" si="480"/>
        <v>0</v>
      </c>
    </row>
    <row r="6174" spans="5:11">
      <c r="E6174" s="3" t="s">
        <v>2451</v>
      </c>
      <c r="F6174" s="3" t="s">
        <v>2452</v>
      </c>
      <c r="G6174" s="13" t="str">
        <f t="shared" si="476"/>
        <v>18-01</v>
      </c>
      <c r="H6174" s="1">
        <f>_xlfn.IFNA(VLOOKUP(E6174,'Urban Plastix Holds'!$I$36:$U$498,12,0),0)</f>
        <v>0</v>
      </c>
      <c r="J6174" s="2">
        <f t="shared" si="479"/>
        <v>0</v>
      </c>
      <c r="K6174" s="2">
        <f t="shared" si="480"/>
        <v>0</v>
      </c>
    </row>
    <row r="6175" spans="5:11">
      <c r="E6175" s="3" t="s">
        <v>2451</v>
      </c>
      <c r="F6175" s="3" t="s">
        <v>2452</v>
      </c>
      <c r="G6175" s="12" t="str">
        <f t="shared" si="476"/>
        <v>12-01</v>
      </c>
      <c r="H6175" s="1">
        <f>_xlfn.IFNA(VLOOKUP(E6175,'Urban Plastix Holds'!$I$36:$U$498,13,0),0)</f>
        <v>0</v>
      </c>
      <c r="J6175" s="2">
        <f t="shared" si="479"/>
        <v>0</v>
      </c>
      <c r="K6175" s="2">
        <f t="shared" si="480"/>
        <v>0</v>
      </c>
    </row>
    <row r="6176" spans="5:11">
      <c r="E6176" s="3" t="s">
        <v>2453</v>
      </c>
      <c r="F6176" s="3" t="s">
        <v>2454</v>
      </c>
      <c r="G6176" s="5" t="str">
        <f t="shared" si="476"/>
        <v>11-12</v>
      </c>
      <c r="H6176" s="1">
        <f>_xlfn.IFNA(VLOOKUP(E6176,'Urban Plastix Holds'!$I$36:$U$498,5,0),0)</f>
        <v>0</v>
      </c>
      <c r="J6176" s="2">
        <f t="shared" si="479"/>
        <v>0</v>
      </c>
      <c r="K6176" s="2">
        <f t="shared" si="480"/>
        <v>0</v>
      </c>
    </row>
    <row r="6177" spans="5:11">
      <c r="E6177" s="3" t="s">
        <v>2453</v>
      </c>
      <c r="F6177" s="3" t="s">
        <v>2454</v>
      </c>
      <c r="G6177" s="6" t="str">
        <f t="shared" si="476"/>
        <v>14-01</v>
      </c>
      <c r="H6177" s="1">
        <f>_xlfn.IFNA(VLOOKUP(E6177,'Urban Plastix Holds'!$I$36:$U$498,6,0),0)</f>
        <v>0</v>
      </c>
      <c r="J6177" s="2">
        <f t="shared" si="479"/>
        <v>0</v>
      </c>
      <c r="K6177" s="2">
        <f t="shared" si="480"/>
        <v>0</v>
      </c>
    </row>
    <row r="6178" spans="5:11">
      <c r="E6178" s="3" t="s">
        <v>2453</v>
      </c>
      <c r="F6178" s="3" t="s">
        <v>2454</v>
      </c>
      <c r="G6178" s="7" t="str">
        <f t="shared" si="476"/>
        <v>15-12</v>
      </c>
      <c r="H6178" s="1">
        <f>_xlfn.IFNA(VLOOKUP(E6178,'Urban Plastix Holds'!$I$36:$U$498,7,0),0)</f>
        <v>0</v>
      </c>
      <c r="J6178" s="2">
        <f t="shared" si="479"/>
        <v>0</v>
      </c>
      <c r="K6178" s="2">
        <f t="shared" si="480"/>
        <v>0</v>
      </c>
    </row>
    <row r="6179" spans="5:11">
      <c r="E6179" s="3" t="s">
        <v>2453</v>
      </c>
      <c r="F6179" s="3" t="s">
        <v>2454</v>
      </c>
      <c r="G6179" s="8" t="str">
        <f t="shared" si="476"/>
        <v>16-16</v>
      </c>
      <c r="H6179" s="1">
        <f>_xlfn.IFNA(VLOOKUP(E6179,'Urban Plastix Holds'!$I$36:$U$498,8,0),0)</f>
        <v>0</v>
      </c>
      <c r="J6179" s="2">
        <f t="shared" si="479"/>
        <v>0</v>
      </c>
      <c r="K6179" s="2">
        <f t="shared" si="480"/>
        <v>0</v>
      </c>
    </row>
    <row r="6180" spans="5:11">
      <c r="E6180" s="3" t="s">
        <v>2453</v>
      </c>
      <c r="F6180" s="3" t="s">
        <v>2454</v>
      </c>
      <c r="G6180" s="9" t="str">
        <f t="shared" si="476"/>
        <v>13-01</v>
      </c>
      <c r="H6180" s="1">
        <f>_xlfn.IFNA(VLOOKUP(E6180,'Urban Plastix Holds'!$I$36:$U$498,9,0),0)</f>
        <v>0</v>
      </c>
      <c r="J6180" s="2">
        <f t="shared" si="479"/>
        <v>0</v>
      </c>
      <c r="K6180" s="2">
        <f t="shared" si="480"/>
        <v>0</v>
      </c>
    </row>
    <row r="6181" spans="5:11">
      <c r="E6181" s="3" t="s">
        <v>2453</v>
      </c>
      <c r="F6181" s="3" t="s">
        <v>2454</v>
      </c>
      <c r="G6181" s="10" t="str">
        <f t="shared" si="476"/>
        <v>07-13</v>
      </c>
      <c r="H6181" s="1">
        <f>_xlfn.IFNA(VLOOKUP(E6181,'Urban Plastix Holds'!$I$36:$U$498,10,0),0)</f>
        <v>0</v>
      </c>
      <c r="J6181" s="2">
        <f t="shared" si="479"/>
        <v>0</v>
      </c>
      <c r="K6181" s="2">
        <f t="shared" si="480"/>
        <v>0</v>
      </c>
    </row>
    <row r="6182" spans="5:11">
      <c r="E6182" s="3" t="s">
        <v>2453</v>
      </c>
      <c r="F6182" s="3" t="s">
        <v>2454</v>
      </c>
      <c r="G6182" s="11" t="str">
        <f t="shared" si="476"/>
        <v>11-25</v>
      </c>
      <c r="H6182" s="1">
        <f>_xlfn.IFNA(VLOOKUP(E6182,'Urban Plastix Holds'!$I$36:$U$498,11,0),0)</f>
        <v>0</v>
      </c>
      <c r="J6182" s="2">
        <f t="shared" si="479"/>
        <v>0</v>
      </c>
      <c r="K6182" s="2">
        <f t="shared" si="480"/>
        <v>0</v>
      </c>
    </row>
    <row r="6183" spans="5:11">
      <c r="E6183" s="3" t="s">
        <v>2453</v>
      </c>
      <c r="F6183" s="3" t="s">
        <v>2454</v>
      </c>
      <c r="G6183" s="13" t="str">
        <f t="shared" si="476"/>
        <v>18-01</v>
      </c>
      <c r="H6183" s="1">
        <f>_xlfn.IFNA(VLOOKUP(E6183,'Urban Plastix Holds'!$I$36:$U$498,12,0),0)</f>
        <v>0</v>
      </c>
      <c r="J6183" s="2">
        <f t="shared" si="479"/>
        <v>0</v>
      </c>
      <c r="K6183" s="2">
        <f t="shared" si="480"/>
        <v>0</v>
      </c>
    </row>
    <row r="6184" spans="5:11">
      <c r="E6184" s="3" t="s">
        <v>2453</v>
      </c>
      <c r="F6184" s="3" t="s">
        <v>2454</v>
      </c>
      <c r="G6184" s="12" t="str">
        <f t="shared" si="476"/>
        <v>12-01</v>
      </c>
      <c r="H6184" s="1">
        <f>_xlfn.IFNA(VLOOKUP(E6184,'Urban Plastix Holds'!$I$36:$U$498,13,0),0)</f>
        <v>0</v>
      </c>
      <c r="J6184" s="2">
        <f t="shared" si="479"/>
        <v>0</v>
      </c>
      <c r="K6184" s="2">
        <f t="shared" si="480"/>
        <v>0</v>
      </c>
    </row>
    <row r="6185" spans="5:11">
      <c r="E6185" s="3" t="s">
        <v>2460</v>
      </c>
      <c r="F6185" s="3" t="s">
        <v>2462</v>
      </c>
      <c r="G6185" s="5" t="str">
        <f t="shared" si="476"/>
        <v>11-12</v>
      </c>
      <c r="H6185" s="1">
        <f>_xlfn.IFNA(VLOOKUP(E6185,'Urban Plastix Holds'!$I$36:$U$498,5,0),0)</f>
        <v>0</v>
      </c>
      <c r="J6185" s="2">
        <f t="shared" ref="J6185:J6238" si="481">H6185*I6185</f>
        <v>0</v>
      </c>
      <c r="K6185" s="2">
        <f t="shared" ref="K6185:K6238" si="482">IF($V$11="Y",J6185*0.05,0)</f>
        <v>0</v>
      </c>
    </row>
    <row r="6186" spans="5:11">
      <c r="E6186" s="3" t="s">
        <v>2460</v>
      </c>
      <c r="F6186" s="3" t="s">
        <v>2462</v>
      </c>
      <c r="G6186" s="6" t="str">
        <f t="shared" si="476"/>
        <v>14-01</v>
      </c>
      <c r="H6186" s="1">
        <f>_xlfn.IFNA(VLOOKUP(E6186,'Urban Plastix Holds'!$I$36:$U$498,6,0),0)</f>
        <v>0</v>
      </c>
      <c r="J6186" s="2">
        <f t="shared" si="481"/>
        <v>0</v>
      </c>
      <c r="K6186" s="2">
        <f t="shared" si="482"/>
        <v>0</v>
      </c>
    </row>
    <row r="6187" spans="5:11">
      <c r="E6187" s="3" t="s">
        <v>2460</v>
      </c>
      <c r="F6187" s="3" t="s">
        <v>2462</v>
      </c>
      <c r="G6187" s="7" t="str">
        <f t="shared" si="476"/>
        <v>15-12</v>
      </c>
      <c r="H6187" s="1">
        <f>_xlfn.IFNA(VLOOKUP(E6187,'Urban Plastix Holds'!$I$36:$U$498,7,0),0)</f>
        <v>0</v>
      </c>
      <c r="J6187" s="2">
        <f t="shared" si="481"/>
        <v>0</v>
      </c>
      <c r="K6187" s="2">
        <f t="shared" si="482"/>
        <v>0</v>
      </c>
    </row>
    <row r="6188" spans="5:11">
      <c r="E6188" s="3" t="s">
        <v>2460</v>
      </c>
      <c r="F6188" s="3" t="s">
        <v>2462</v>
      </c>
      <c r="G6188" s="8" t="str">
        <f t="shared" si="476"/>
        <v>16-16</v>
      </c>
      <c r="H6188" s="1">
        <f>_xlfn.IFNA(VLOOKUP(E6188,'Urban Plastix Holds'!$I$36:$U$498,8,0),0)</f>
        <v>0</v>
      </c>
      <c r="J6188" s="2">
        <f t="shared" si="481"/>
        <v>0</v>
      </c>
      <c r="K6188" s="2">
        <f t="shared" si="482"/>
        <v>0</v>
      </c>
    </row>
    <row r="6189" spans="5:11">
      <c r="E6189" s="3" t="s">
        <v>2460</v>
      </c>
      <c r="F6189" s="3" t="s">
        <v>2462</v>
      </c>
      <c r="G6189" s="9" t="str">
        <f t="shared" si="476"/>
        <v>13-01</v>
      </c>
      <c r="H6189" s="1">
        <f>_xlfn.IFNA(VLOOKUP(E6189,'Urban Plastix Holds'!$I$36:$U$498,9,0),0)</f>
        <v>0</v>
      </c>
      <c r="J6189" s="2">
        <f t="shared" si="481"/>
        <v>0</v>
      </c>
      <c r="K6189" s="2">
        <f t="shared" si="482"/>
        <v>0</v>
      </c>
    </row>
    <row r="6190" spans="5:11">
      <c r="E6190" s="3" t="s">
        <v>2460</v>
      </c>
      <c r="F6190" s="3" t="s">
        <v>2462</v>
      </c>
      <c r="G6190" s="10" t="str">
        <f t="shared" si="476"/>
        <v>07-13</v>
      </c>
      <c r="H6190" s="1">
        <f>_xlfn.IFNA(VLOOKUP(E6190,'Urban Plastix Holds'!$I$36:$U$498,10,0),0)</f>
        <v>0</v>
      </c>
      <c r="J6190" s="2">
        <f t="shared" si="481"/>
        <v>0</v>
      </c>
      <c r="K6190" s="2">
        <f t="shared" si="482"/>
        <v>0</v>
      </c>
    </row>
    <row r="6191" spans="5:11">
      <c r="E6191" s="3" t="s">
        <v>2460</v>
      </c>
      <c r="F6191" s="3" t="s">
        <v>2462</v>
      </c>
      <c r="G6191" s="11" t="str">
        <f t="shared" si="476"/>
        <v>11-25</v>
      </c>
      <c r="H6191" s="1">
        <f>_xlfn.IFNA(VLOOKUP(E6191,'Urban Plastix Holds'!$I$36:$U$498,11,0),0)</f>
        <v>0</v>
      </c>
      <c r="J6191" s="2">
        <f t="shared" si="481"/>
        <v>0</v>
      </c>
      <c r="K6191" s="2">
        <f t="shared" si="482"/>
        <v>0</v>
      </c>
    </row>
    <row r="6192" spans="5:11">
      <c r="E6192" s="3" t="s">
        <v>2460</v>
      </c>
      <c r="F6192" s="3" t="s">
        <v>2462</v>
      </c>
      <c r="G6192" s="13" t="str">
        <f t="shared" si="476"/>
        <v>18-01</v>
      </c>
      <c r="H6192" s="1">
        <f>_xlfn.IFNA(VLOOKUP(E6192,'Urban Plastix Holds'!$I$36:$U$498,12,0),0)</f>
        <v>0</v>
      </c>
      <c r="J6192" s="2">
        <f t="shared" si="481"/>
        <v>0</v>
      </c>
      <c r="K6192" s="2">
        <f t="shared" si="482"/>
        <v>0</v>
      </c>
    </row>
    <row r="6193" spans="5:11">
      <c r="E6193" s="3" t="s">
        <v>2460</v>
      </c>
      <c r="F6193" s="3" t="s">
        <v>2462</v>
      </c>
      <c r="G6193" s="12" t="str">
        <f t="shared" si="476"/>
        <v>12-01</v>
      </c>
      <c r="H6193" s="1">
        <f>_xlfn.IFNA(VLOOKUP(E6193,'Urban Plastix Holds'!$I$36:$U$498,13,0),0)</f>
        <v>0</v>
      </c>
      <c r="J6193" s="2">
        <f t="shared" si="481"/>
        <v>0</v>
      </c>
      <c r="K6193" s="2">
        <f t="shared" si="482"/>
        <v>0</v>
      </c>
    </row>
    <row r="6194" spans="5:11">
      <c r="E6194" s="3" t="s">
        <v>2461</v>
      </c>
      <c r="F6194" s="3" t="s">
        <v>2463</v>
      </c>
      <c r="G6194" s="5" t="str">
        <f t="shared" si="476"/>
        <v>11-12</v>
      </c>
      <c r="H6194" s="1">
        <f>_xlfn.IFNA(VLOOKUP(E6194,'Urban Plastix Holds'!$I$36:$U$498,5,0),0)</f>
        <v>0</v>
      </c>
      <c r="J6194" s="2">
        <f t="shared" si="481"/>
        <v>0</v>
      </c>
      <c r="K6194" s="2">
        <f t="shared" si="482"/>
        <v>0</v>
      </c>
    </row>
    <row r="6195" spans="5:11">
      <c r="E6195" s="3" t="s">
        <v>2461</v>
      </c>
      <c r="F6195" s="3" t="s">
        <v>2463</v>
      </c>
      <c r="G6195" s="6" t="str">
        <f t="shared" si="476"/>
        <v>14-01</v>
      </c>
      <c r="H6195" s="1">
        <f>_xlfn.IFNA(VLOOKUP(E6195,'Urban Plastix Holds'!$I$36:$U$498,6,0),0)</f>
        <v>0</v>
      </c>
      <c r="J6195" s="2">
        <f t="shared" si="481"/>
        <v>0</v>
      </c>
      <c r="K6195" s="2">
        <f t="shared" si="482"/>
        <v>0</v>
      </c>
    </row>
    <row r="6196" spans="5:11">
      <c r="E6196" s="3" t="s">
        <v>2461</v>
      </c>
      <c r="F6196" s="3" t="s">
        <v>2463</v>
      </c>
      <c r="G6196" s="7" t="str">
        <f t="shared" si="476"/>
        <v>15-12</v>
      </c>
      <c r="H6196" s="1">
        <f>_xlfn.IFNA(VLOOKUP(E6196,'Urban Plastix Holds'!$I$36:$U$498,7,0),0)</f>
        <v>0</v>
      </c>
      <c r="J6196" s="2">
        <f t="shared" si="481"/>
        <v>0</v>
      </c>
      <c r="K6196" s="2">
        <f t="shared" si="482"/>
        <v>0</v>
      </c>
    </row>
    <row r="6197" spans="5:11">
      <c r="E6197" s="3" t="s">
        <v>2461</v>
      </c>
      <c r="F6197" s="3" t="s">
        <v>2463</v>
      </c>
      <c r="G6197" s="8" t="str">
        <f t="shared" si="476"/>
        <v>16-16</v>
      </c>
      <c r="H6197" s="1">
        <f>_xlfn.IFNA(VLOOKUP(E6197,'Urban Plastix Holds'!$I$36:$U$498,8,0),0)</f>
        <v>0</v>
      </c>
      <c r="J6197" s="2">
        <f t="shared" si="481"/>
        <v>0</v>
      </c>
      <c r="K6197" s="2">
        <f t="shared" si="482"/>
        <v>0</v>
      </c>
    </row>
    <row r="6198" spans="5:11">
      <c r="E6198" s="3" t="s">
        <v>2461</v>
      </c>
      <c r="F6198" s="3" t="s">
        <v>2463</v>
      </c>
      <c r="G6198" s="9" t="str">
        <f t="shared" si="476"/>
        <v>13-01</v>
      </c>
      <c r="H6198" s="1">
        <f>_xlfn.IFNA(VLOOKUP(E6198,'Urban Plastix Holds'!$I$36:$U$498,9,0),0)</f>
        <v>0</v>
      </c>
      <c r="J6198" s="2">
        <f t="shared" si="481"/>
        <v>0</v>
      </c>
      <c r="K6198" s="2">
        <f t="shared" si="482"/>
        <v>0</v>
      </c>
    </row>
    <row r="6199" spans="5:11">
      <c r="E6199" s="3" t="s">
        <v>2461</v>
      </c>
      <c r="F6199" s="3" t="s">
        <v>2463</v>
      </c>
      <c r="G6199" s="10" t="str">
        <f t="shared" si="476"/>
        <v>07-13</v>
      </c>
      <c r="H6199" s="1">
        <f>_xlfn.IFNA(VLOOKUP(E6199,'Urban Plastix Holds'!$I$36:$U$498,10,0),0)</f>
        <v>0</v>
      </c>
      <c r="J6199" s="2">
        <f t="shared" si="481"/>
        <v>0</v>
      </c>
      <c r="K6199" s="2">
        <f t="shared" si="482"/>
        <v>0</v>
      </c>
    </row>
    <row r="6200" spans="5:11">
      <c r="E6200" s="3" t="s">
        <v>2461</v>
      </c>
      <c r="F6200" s="3" t="s">
        <v>2463</v>
      </c>
      <c r="G6200" s="11" t="str">
        <f t="shared" si="476"/>
        <v>11-25</v>
      </c>
      <c r="H6200" s="1">
        <f>_xlfn.IFNA(VLOOKUP(E6200,'Urban Plastix Holds'!$I$36:$U$498,11,0),0)</f>
        <v>0</v>
      </c>
      <c r="J6200" s="2">
        <f t="shared" si="481"/>
        <v>0</v>
      </c>
      <c r="K6200" s="2">
        <f t="shared" si="482"/>
        <v>0</v>
      </c>
    </row>
    <row r="6201" spans="5:11">
      <c r="E6201" s="3" t="s">
        <v>2461</v>
      </c>
      <c r="F6201" s="3" t="s">
        <v>2463</v>
      </c>
      <c r="G6201" s="13" t="str">
        <f t="shared" si="476"/>
        <v>18-01</v>
      </c>
      <c r="H6201" s="1">
        <f>_xlfn.IFNA(VLOOKUP(E6201,'Urban Plastix Holds'!$I$36:$U$498,12,0),0)</f>
        <v>0</v>
      </c>
      <c r="J6201" s="2">
        <f t="shared" si="481"/>
        <v>0</v>
      </c>
      <c r="K6201" s="2">
        <f t="shared" si="482"/>
        <v>0</v>
      </c>
    </row>
    <row r="6202" spans="5:11">
      <c r="E6202" s="3" t="s">
        <v>2461</v>
      </c>
      <c r="F6202" s="3" t="s">
        <v>2463</v>
      </c>
      <c r="G6202" s="12" t="str">
        <f t="shared" si="476"/>
        <v>12-01</v>
      </c>
      <c r="H6202" s="1">
        <f>_xlfn.IFNA(VLOOKUP(E6202,'Urban Plastix Holds'!$I$36:$U$498,13,0),0)</f>
        <v>0</v>
      </c>
      <c r="J6202" s="2">
        <f t="shared" si="481"/>
        <v>0</v>
      </c>
      <c r="K6202" s="2">
        <f t="shared" si="482"/>
        <v>0</v>
      </c>
    </row>
    <row r="6203" spans="5:11">
      <c r="E6203" s="3" t="s">
        <v>2464</v>
      </c>
      <c r="F6203" s="3" t="s">
        <v>2465</v>
      </c>
      <c r="G6203" s="5" t="str">
        <f t="shared" si="476"/>
        <v>11-12</v>
      </c>
      <c r="H6203" s="1">
        <f>_xlfn.IFNA(VLOOKUP(E6203,'Urban Plastix Holds'!$I$36:$U$498,5,0),0)</f>
        <v>0</v>
      </c>
      <c r="J6203" s="2">
        <f t="shared" ref="J6203:J6220" si="483">H6203*I6203</f>
        <v>0</v>
      </c>
      <c r="K6203" s="2">
        <f t="shared" ref="K6203:K6220" si="484">IF($V$11="Y",J6203*0.05,0)</f>
        <v>0</v>
      </c>
    </row>
    <row r="6204" spans="5:11">
      <c r="E6204" s="3" t="s">
        <v>2464</v>
      </c>
      <c r="F6204" s="3" t="s">
        <v>2465</v>
      </c>
      <c r="G6204" s="6" t="str">
        <f t="shared" si="476"/>
        <v>14-01</v>
      </c>
      <c r="H6204" s="1">
        <f>_xlfn.IFNA(VLOOKUP(E6204,'Urban Plastix Holds'!$I$36:$U$498,6,0),0)</f>
        <v>0</v>
      </c>
      <c r="J6204" s="2">
        <f t="shared" si="483"/>
        <v>0</v>
      </c>
      <c r="K6204" s="2">
        <f t="shared" si="484"/>
        <v>0</v>
      </c>
    </row>
    <row r="6205" spans="5:11">
      <c r="E6205" s="3" t="s">
        <v>2464</v>
      </c>
      <c r="F6205" s="3" t="s">
        <v>2465</v>
      </c>
      <c r="G6205" s="7" t="str">
        <f t="shared" si="476"/>
        <v>15-12</v>
      </c>
      <c r="H6205" s="1">
        <f>_xlfn.IFNA(VLOOKUP(E6205,'Urban Plastix Holds'!$I$36:$U$498,7,0),0)</f>
        <v>0</v>
      </c>
      <c r="J6205" s="2">
        <f t="shared" si="483"/>
        <v>0</v>
      </c>
      <c r="K6205" s="2">
        <f t="shared" si="484"/>
        <v>0</v>
      </c>
    </row>
    <row r="6206" spans="5:11">
      <c r="E6206" s="3" t="s">
        <v>2464</v>
      </c>
      <c r="F6206" s="3" t="s">
        <v>2465</v>
      </c>
      <c r="G6206" s="8" t="str">
        <f t="shared" si="476"/>
        <v>16-16</v>
      </c>
      <c r="H6206" s="1">
        <f>_xlfn.IFNA(VLOOKUP(E6206,'Urban Plastix Holds'!$I$36:$U$498,8,0),0)</f>
        <v>0</v>
      </c>
      <c r="J6206" s="2">
        <f t="shared" si="483"/>
        <v>0</v>
      </c>
      <c r="K6206" s="2">
        <f t="shared" si="484"/>
        <v>0</v>
      </c>
    </row>
    <row r="6207" spans="5:11">
      <c r="E6207" s="3" t="s">
        <v>2464</v>
      </c>
      <c r="F6207" s="3" t="s">
        <v>2465</v>
      </c>
      <c r="G6207" s="9" t="str">
        <f t="shared" si="476"/>
        <v>13-01</v>
      </c>
      <c r="H6207" s="1">
        <f>_xlfn.IFNA(VLOOKUP(E6207,'Urban Plastix Holds'!$I$36:$U$498,9,0),0)</f>
        <v>0</v>
      </c>
      <c r="J6207" s="2">
        <f t="shared" si="483"/>
        <v>0</v>
      </c>
      <c r="K6207" s="2">
        <f t="shared" si="484"/>
        <v>0</v>
      </c>
    </row>
    <row r="6208" spans="5:11">
      <c r="E6208" s="3" t="s">
        <v>2464</v>
      </c>
      <c r="F6208" s="3" t="s">
        <v>2465</v>
      </c>
      <c r="G6208" s="10" t="str">
        <f t="shared" si="476"/>
        <v>07-13</v>
      </c>
      <c r="H6208" s="1">
        <f>_xlfn.IFNA(VLOOKUP(E6208,'Urban Plastix Holds'!$I$36:$U$498,10,0),0)</f>
        <v>0</v>
      </c>
      <c r="J6208" s="2">
        <f t="shared" si="483"/>
        <v>0</v>
      </c>
      <c r="K6208" s="2">
        <f t="shared" si="484"/>
        <v>0</v>
      </c>
    </row>
    <row r="6209" spans="5:11">
      <c r="E6209" s="3" t="s">
        <v>2464</v>
      </c>
      <c r="F6209" s="3" t="s">
        <v>2465</v>
      </c>
      <c r="G6209" s="11" t="str">
        <f t="shared" si="476"/>
        <v>11-25</v>
      </c>
      <c r="H6209" s="1">
        <f>_xlfn.IFNA(VLOOKUP(E6209,'Urban Plastix Holds'!$I$36:$U$498,11,0),0)</f>
        <v>0</v>
      </c>
      <c r="J6209" s="2">
        <f t="shared" si="483"/>
        <v>0</v>
      </c>
      <c r="K6209" s="2">
        <f t="shared" si="484"/>
        <v>0</v>
      </c>
    </row>
    <row r="6210" spans="5:11">
      <c r="E6210" s="3" t="s">
        <v>2464</v>
      </c>
      <c r="F6210" s="3" t="s">
        <v>2465</v>
      </c>
      <c r="G6210" s="13" t="str">
        <f t="shared" si="476"/>
        <v>18-01</v>
      </c>
      <c r="H6210" s="1">
        <f>_xlfn.IFNA(VLOOKUP(E6210,'Urban Plastix Holds'!$I$36:$U$498,12,0),0)</f>
        <v>0</v>
      </c>
      <c r="J6210" s="2">
        <f t="shared" si="483"/>
        <v>0</v>
      </c>
      <c r="K6210" s="2">
        <f t="shared" si="484"/>
        <v>0</v>
      </c>
    </row>
    <row r="6211" spans="5:11">
      <c r="E6211" s="3" t="s">
        <v>2464</v>
      </c>
      <c r="F6211" s="3" t="s">
        <v>2465</v>
      </c>
      <c r="G6211" s="12" t="str">
        <f t="shared" si="476"/>
        <v>12-01</v>
      </c>
      <c r="H6211" s="1">
        <f>_xlfn.IFNA(VLOOKUP(E6211,'Urban Plastix Holds'!$I$36:$U$498,13,0),0)</f>
        <v>0</v>
      </c>
      <c r="J6211" s="2">
        <f t="shared" si="483"/>
        <v>0</v>
      </c>
      <c r="K6211" s="2">
        <f t="shared" si="484"/>
        <v>0</v>
      </c>
    </row>
    <row r="6212" spans="5:11">
      <c r="E6212" s="3" t="s">
        <v>2473</v>
      </c>
      <c r="F6212" s="3" t="s">
        <v>2476</v>
      </c>
      <c r="G6212" s="5" t="str">
        <f t="shared" si="476"/>
        <v>11-12</v>
      </c>
      <c r="H6212" s="1">
        <f>_xlfn.IFNA(VLOOKUP(E6212,'Urban Plastix Holds'!$I$36:$U$498,5,0),0)</f>
        <v>0</v>
      </c>
      <c r="J6212" s="2">
        <f t="shared" si="483"/>
        <v>0</v>
      </c>
      <c r="K6212" s="2">
        <f t="shared" si="484"/>
        <v>0</v>
      </c>
    </row>
    <row r="6213" spans="5:11">
      <c r="E6213" s="3" t="s">
        <v>2473</v>
      </c>
      <c r="F6213" s="3" t="s">
        <v>2476</v>
      </c>
      <c r="G6213" s="6" t="str">
        <f t="shared" ref="G6213:G6220" si="485">G6168</f>
        <v>14-01</v>
      </c>
      <c r="H6213" s="1">
        <f>_xlfn.IFNA(VLOOKUP(E6213,'Urban Plastix Holds'!$I$36:$U$498,6,0),0)</f>
        <v>0</v>
      </c>
      <c r="J6213" s="2">
        <f t="shared" si="483"/>
        <v>0</v>
      </c>
      <c r="K6213" s="2">
        <f t="shared" si="484"/>
        <v>0</v>
      </c>
    </row>
    <row r="6214" spans="5:11">
      <c r="E6214" s="3" t="s">
        <v>2473</v>
      </c>
      <c r="F6214" s="3" t="s">
        <v>2476</v>
      </c>
      <c r="G6214" s="7" t="str">
        <f t="shared" si="485"/>
        <v>15-12</v>
      </c>
      <c r="H6214" s="1">
        <f>_xlfn.IFNA(VLOOKUP(E6214,'Urban Plastix Holds'!$I$36:$U$498,7,0),0)</f>
        <v>0</v>
      </c>
      <c r="J6214" s="2">
        <f t="shared" si="483"/>
        <v>0</v>
      </c>
      <c r="K6214" s="2">
        <f t="shared" si="484"/>
        <v>0</v>
      </c>
    </row>
    <row r="6215" spans="5:11">
      <c r="E6215" s="3" t="s">
        <v>2473</v>
      </c>
      <c r="F6215" s="3" t="s">
        <v>2476</v>
      </c>
      <c r="G6215" s="8" t="str">
        <f t="shared" si="485"/>
        <v>16-16</v>
      </c>
      <c r="H6215" s="1">
        <f>_xlfn.IFNA(VLOOKUP(E6215,'Urban Plastix Holds'!$I$36:$U$498,8,0),0)</f>
        <v>0</v>
      </c>
      <c r="J6215" s="2">
        <f t="shared" si="483"/>
        <v>0</v>
      </c>
      <c r="K6215" s="2">
        <f t="shared" si="484"/>
        <v>0</v>
      </c>
    </row>
    <row r="6216" spans="5:11">
      <c r="E6216" s="3" t="s">
        <v>2473</v>
      </c>
      <c r="F6216" s="3" t="s">
        <v>2476</v>
      </c>
      <c r="G6216" s="9" t="str">
        <f t="shared" si="485"/>
        <v>13-01</v>
      </c>
      <c r="H6216" s="1">
        <f>_xlfn.IFNA(VLOOKUP(E6216,'Urban Plastix Holds'!$I$36:$U$498,9,0),0)</f>
        <v>0</v>
      </c>
      <c r="J6216" s="2">
        <f t="shared" si="483"/>
        <v>0</v>
      </c>
      <c r="K6216" s="2">
        <f t="shared" si="484"/>
        <v>0</v>
      </c>
    </row>
    <row r="6217" spans="5:11">
      <c r="E6217" s="3" t="s">
        <v>2473</v>
      </c>
      <c r="F6217" s="3" t="s">
        <v>2476</v>
      </c>
      <c r="G6217" s="10" t="str">
        <f t="shared" si="485"/>
        <v>07-13</v>
      </c>
      <c r="H6217" s="1">
        <f>_xlfn.IFNA(VLOOKUP(E6217,'Urban Plastix Holds'!$I$36:$U$498,10,0),0)</f>
        <v>0</v>
      </c>
      <c r="J6217" s="2">
        <f t="shared" si="483"/>
        <v>0</v>
      </c>
      <c r="K6217" s="2">
        <f t="shared" si="484"/>
        <v>0</v>
      </c>
    </row>
    <row r="6218" spans="5:11">
      <c r="E6218" s="3" t="s">
        <v>2473</v>
      </c>
      <c r="F6218" s="3" t="s">
        <v>2476</v>
      </c>
      <c r="G6218" s="11" t="str">
        <f t="shared" si="485"/>
        <v>11-25</v>
      </c>
      <c r="H6218" s="1">
        <f>_xlfn.IFNA(VLOOKUP(E6218,'Urban Plastix Holds'!$I$36:$U$498,11,0),0)</f>
        <v>0</v>
      </c>
      <c r="J6218" s="2">
        <f t="shared" si="483"/>
        <v>0</v>
      </c>
      <c r="K6218" s="2">
        <f t="shared" si="484"/>
        <v>0</v>
      </c>
    </row>
    <row r="6219" spans="5:11">
      <c r="E6219" s="3" t="s">
        <v>2473</v>
      </c>
      <c r="F6219" s="3" t="s">
        <v>2476</v>
      </c>
      <c r="G6219" s="13" t="str">
        <f t="shared" si="485"/>
        <v>18-01</v>
      </c>
      <c r="H6219" s="1">
        <f>_xlfn.IFNA(VLOOKUP(E6219,'Urban Plastix Holds'!$I$36:$U$498,12,0),0)</f>
        <v>0</v>
      </c>
      <c r="J6219" s="2">
        <f t="shared" si="483"/>
        <v>0</v>
      </c>
      <c r="K6219" s="2">
        <f t="shared" si="484"/>
        <v>0</v>
      </c>
    </row>
    <row r="6220" spans="5:11">
      <c r="E6220" s="3" t="s">
        <v>2473</v>
      </c>
      <c r="F6220" s="3" t="s">
        <v>2476</v>
      </c>
      <c r="G6220" s="12" t="str">
        <f t="shared" si="485"/>
        <v>12-01</v>
      </c>
      <c r="H6220" s="1">
        <f>_xlfn.IFNA(VLOOKUP(E6220,'Urban Plastix Holds'!$I$36:$U$498,13,0),0)</f>
        <v>0</v>
      </c>
      <c r="J6220" s="2">
        <f t="shared" si="483"/>
        <v>0</v>
      </c>
      <c r="K6220" s="2">
        <f t="shared" si="484"/>
        <v>0</v>
      </c>
    </row>
    <row r="6221" spans="5:11">
      <c r="E6221" s="3" t="s">
        <v>2466</v>
      </c>
      <c r="F6221" s="3" t="s">
        <v>2467</v>
      </c>
      <c r="G6221" s="5" t="str">
        <f t="shared" ref="G6221:G6284" si="486">G6158</f>
        <v>11-12</v>
      </c>
      <c r="H6221" s="1">
        <f>_xlfn.IFNA(VLOOKUP(E6221,'Urban Plastix Holds'!$I$36:$U$498,5,0),0)</f>
        <v>0</v>
      </c>
      <c r="J6221" s="2">
        <f t="shared" si="481"/>
        <v>0</v>
      </c>
      <c r="K6221" s="2">
        <f t="shared" si="482"/>
        <v>0</v>
      </c>
    </row>
    <row r="6222" spans="5:11">
      <c r="E6222" s="3" t="s">
        <v>2466</v>
      </c>
      <c r="F6222" s="3" t="s">
        <v>2467</v>
      </c>
      <c r="G6222" s="6" t="str">
        <f t="shared" si="486"/>
        <v>14-01</v>
      </c>
      <c r="H6222" s="1">
        <f>_xlfn.IFNA(VLOOKUP(E6222,'Urban Plastix Holds'!$I$36:$U$498,6,0),0)</f>
        <v>0</v>
      </c>
      <c r="J6222" s="2">
        <f t="shared" si="481"/>
        <v>0</v>
      </c>
      <c r="K6222" s="2">
        <f t="shared" si="482"/>
        <v>0</v>
      </c>
    </row>
    <row r="6223" spans="5:11">
      <c r="E6223" s="3" t="s">
        <v>2466</v>
      </c>
      <c r="F6223" s="3" t="s">
        <v>2467</v>
      </c>
      <c r="G6223" s="7" t="str">
        <f t="shared" si="486"/>
        <v>15-12</v>
      </c>
      <c r="H6223" s="1">
        <f>_xlfn.IFNA(VLOOKUP(E6223,'Urban Plastix Holds'!$I$36:$U$498,7,0),0)</f>
        <v>0</v>
      </c>
      <c r="J6223" s="2">
        <f t="shared" si="481"/>
        <v>0</v>
      </c>
      <c r="K6223" s="2">
        <f t="shared" si="482"/>
        <v>0</v>
      </c>
    </row>
    <row r="6224" spans="5:11">
      <c r="E6224" s="3" t="s">
        <v>2466</v>
      </c>
      <c r="F6224" s="3" t="s">
        <v>2467</v>
      </c>
      <c r="G6224" s="8" t="str">
        <f t="shared" si="486"/>
        <v>16-16</v>
      </c>
      <c r="H6224" s="1">
        <f>_xlfn.IFNA(VLOOKUP(E6224,'Urban Plastix Holds'!$I$36:$U$498,8,0),0)</f>
        <v>0</v>
      </c>
      <c r="J6224" s="2">
        <f t="shared" si="481"/>
        <v>0</v>
      </c>
      <c r="K6224" s="2">
        <f t="shared" si="482"/>
        <v>0</v>
      </c>
    </row>
    <row r="6225" spans="5:11">
      <c r="E6225" s="3" t="s">
        <v>2466</v>
      </c>
      <c r="F6225" s="3" t="s">
        <v>2467</v>
      </c>
      <c r="G6225" s="9" t="str">
        <f t="shared" si="486"/>
        <v>13-01</v>
      </c>
      <c r="H6225" s="1">
        <f>_xlfn.IFNA(VLOOKUP(E6225,'Urban Plastix Holds'!$I$36:$U$498,9,0),0)</f>
        <v>0</v>
      </c>
      <c r="J6225" s="2">
        <f t="shared" si="481"/>
        <v>0</v>
      </c>
      <c r="K6225" s="2">
        <f t="shared" si="482"/>
        <v>0</v>
      </c>
    </row>
    <row r="6226" spans="5:11">
      <c r="E6226" s="3" t="s">
        <v>2466</v>
      </c>
      <c r="F6226" s="3" t="s">
        <v>2467</v>
      </c>
      <c r="G6226" s="10" t="str">
        <f t="shared" si="486"/>
        <v>07-13</v>
      </c>
      <c r="H6226" s="1">
        <f>_xlfn.IFNA(VLOOKUP(E6226,'Urban Plastix Holds'!$I$36:$U$498,10,0),0)</f>
        <v>0</v>
      </c>
      <c r="J6226" s="2">
        <f t="shared" si="481"/>
        <v>0</v>
      </c>
      <c r="K6226" s="2">
        <f t="shared" si="482"/>
        <v>0</v>
      </c>
    </row>
    <row r="6227" spans="5:11">
      <c r="E6227" s="3" t="s">
        <v>2466</v>
      </c>
      <c r="F6227" s="3" t="s">
        <v>2467</v>
      </c>
      <c r="G6227" s="11" t="str">
        <f t="shared" si="486"/>
        <v>11-25</v>
      </c>
      <c r="H6227" s="1">
        <f>_xlfn.IFNA(VLOOKUP(E6227,'Urban Plastix Holds'!$I$36:$U$498,11,0),0)</f>
        <v>0</v>
      </c>
      <c r="J6227" s="2">
        <f t="shared" si="481"/>
        <v>0</v>
      </c>
      <c r="K6227" s="2">
        <f t="shared" si="482"/>
        <v>0</v>
      </c>
    </row>
    <row r="6228" spans="5:11">
      <c r="E6228" s="3" t="s">
        <v>2466</v>
      </c>
      <c r="F6228" s="3" t="s">
        <v>2467</v>
      </c>
      <c r="G6228" s="13" t="str">
        <f t="shared" si="486"/>
        <v>18-01</v>
      </c>
      <c r="H6228" s="1">
        <f>_xlfn.IFNA(VLOOKUP(E6228,'Urban Plastix Holds'!$I$36:$U$498,12,0),0)</f>
        <v>0</v>
      </c>
      <c r="J6228" s="2">
        <f t="shared" si="481"/>
        <v>0</v>
      </c>
      <c r="K6228" s="2">
        <f t="shared" si="482"/>
        <v>0</v>
      </c>
    </row>
    <row r="6229" spans="5:11">
      <c r="E6229" s="3" t="s">
        <v>2466</v>
      </c>
      <c r="F6229" s="3" t="s">
        <v>2467</v>
      </c>
      <c r="G6229" s="12" t="str">
        <f t="shared" si="486"/>
        <v>12-01</v>
      </c>
      <c r="H6229" s="1">
        <f>_xlfn.IFNA(VLOOKUP(E6229,'Urban Plastix Holds'!$I$36:$U$498,13,0),0)</f>
        <v>0</v>
      </c>
      <c r="J6229" s="2">
        <f t="shared" si="481"/>
        <v>0</v>
      </c>
      <c r="K6229" s="2">
        <f t="shared" si="482"/>
        <v>0</v>
      </c>
    </row>
    <row r="6230" spans="5:11">
      <c r="E6230" s="3" t="s">
        <v>2468</v>
      </c>
      <c r="F6230" s="3" t="s">
        <v>2469</v>
      </c>
      <c r="G6230" s="5" t="str">
        <f t="shared" si="486"/>
        <v>11-12</v>
      </c>
      <c r="H6230" s="1">
        <f>_xlfn.IFNA(VLOOKUP(E6230,'Urban Plastix Holds'!$I$36:$U$498,5,0),0)</f>
        <v>0</v>
      </c>
      <c r="J6230" s="2">
        <f t="shared" si="481"/>
        <v>0</v>
      </c>
      <c r="K6230" s="2">
        <f t="shared" si="482"/>
        <v>0</v>
      </c>
    </row>
    <row r="6231" spans="5:11">
      <c r="E6231" s="3" t="s">
        <v>2468</v>
      </c>
      <c r="F6231" s="3" t="s">
        <v>2469</v>
      </c>
      <c r="G6231" s="6" t="str">
        <f t="shared" si="486"/>
        <v>14-01</v>
      </c>
      <c r="H6231" s="1">
        <f>_xlfn.IFNA(VLOOKUP(E6231,'Urban Plastix Holds'!$I$36:$U$498,6,0),0)</f>
        <v>0</v>
      </c>
      <c r="J6231" s="2">
        <f t="shared" si="481"/>
        <v>0</v>
      </c>
      <c r="K6231" s="2">
        <f t="shared" si="482"/>
        <v>0</v>
      </c>
    </row>
    <row r="6232" spans="5:11">
      <c r="E6232" s="3" t="s">
        <v>2468</v>
      </c>
      <c r="F6232" s="3" t="s">
        <v>2469</v>
      </c>
      <c r="G6232" s="7" t="str">
        <f t="shared" si="486"/>
        <v>15-12</v>
      </c>
      <c r="H6232" s="1">
        <f>_xlfn.IFNA(VLOOKUP(E6232,'Urban Plastix Holds'!$I$36:$U$498,7,0),0)</f>
        <v>0</v>
      </c>
      <c r="J6232" s="2">
        <f t="shared" si="481"/>
        <v>0</v>
      </c>
      <c r="K6232" s="2">
        <f t="shared" si="482"/>
        <v>0</v>
      </c>
    </row>
    <row r="6233" spans="5:11">
      <c r="E6233" s="3" t="s">
        <v>2468</v>
      </c>
      <c r="F6233" s="3" t="s">
        <v>2469</v>
      </c>
      <c r="G6233" s="8" t="str">
        <f t="shared" si="486"/>
        <v>16-16</v>
      </c>
      <c r="H6233" s="1">
        <f>_xlfn.IFNA(VLOOKUP(E6233,'Urban Plastix Holds'!$I$36:$U$498,8,0),0)</f>
        <v>0</v>
      </c>
      <c r="J6233" s="2">
        <f t="shared" si="481"/>
        <v>0</v>
      </c>
      <c r="K6233" s="2">
        <f t="shared" si="482"/>
        <v>0</v>
      </c>
    </row>
    <row r="6234" spans="5:11">
      <c r="E6234" s="3" t="s">
        <v>2468</v>
      </c>
      <c r="F6234" s="3" t="s">
        <v>2469</v>
      </c>
      <c r="G6234" s="9" t="str">
        <f t="shared" si="486"/>
        <v>13-01</v>
      </c>
      <c r="H6234" s="1">
        <f>_xlfn.IFNA(VLOOKUP(E6234,'Urban Plastix Holds'!$I$36:$U$498,9,0),0)</f>
        <v>0</v>
      </c>
      <c r="J6234" s="2">
        <f t="shared" si="481"/>
        <v>0</v>
      </c>
      <c r="K6234" s="2">
        <f t="shared" si="482"/>
        <v>0</v>
      </c>
    </row>
    <row r="6235" spans="5:11">
      <c r="E6235" s="3" t="s">
        <v>2468</v>
      </c>
      <c r="F6235" s="3" t="s">
        <v>2469</v>
      </c>
      <c r="G6235" s="10" t="str">
        <f t="shared" si="486"/>
        <v>07-13</v>
      </c>
      <c r="H6235" s="1">
        <f>_xlfn.IFNA(VLOOKUP(E6235,'Urban Plastix Holds'!$I$36:$U$498,10,0),0)</f>
        <v>0</v>
      </c>
      <c r="J6235" s="2">
        <f t="shared" si="481"/>
        <v>0</v>
      </c>
      <c r="K6235" s="2">
        <f t="shared" si="482"/>
        <v>0</v>
      </c>
    </row>
    <row r="6236" spans="5:11">
      <c r="E6236" s="3" t="s">
        <v>2468</v>
      </c>
      <c r="F6236" s="3" t="s">
        <v>2469</v>
      </c>
      <c r="G6236" s="11" t="str">
        <f t="shared" si="486"/>
        <v>11-25</v>
      </c>
      <c r="H6236" s="1">
        <f>_xlfn.IFNA(VLOOKUP(E6236,'Urban Plastix Holds'!$I$36:$U$498,11,0),0)</f>
        <v>0</v>
      </c>
      <c r="J6236" s="2">
        <f t="shared" si="481"/>
        <v>0</v>
      </c>
      <c r="K6236" s="2">
        <f t="shared" si="482"/>
        <v>0</v>
      </c>
    </row>
    <row r="6237" spans="5:11">
      <c r="E6237" s="3" t="s">
        <v>2468</v>
      </c>
      <c r="F6237" s="3" t="s">
        <v>2469</v>
      </c>
      <c r="G6237" s="13" t="str">
        <f t="shared" si="486"/>
        <v>18-01</v>
      </c>
      <c r="H6237" s="1">
        <f>_xlfn.IFNA(VLOOKUP(E6237,'Urban Plastix Holds'!$I$36:$U$498,12,0),0)</f>
        <v>0</v>
      </c>
      <c r="J6237" s="2">
        <f t="shared" si="481"/>
        <v>0</v>
      </c>
      <c r="K6237" s="2">
        <f t="shared" si="482"/>
        <v>0</v>
      </c>
    </row>
    <row r="6238" spans="5:11">
      <c r="E6238" s="3" t="s">
        <v>2468</v>
      </c>
      <c r="F6238" s="3" t="s">
        <v>2469</v>
      </c>
      <c r="G6238" s="12" t="str">
        <f t="shared" si="486"/>
        <v>12-01</v>
      </c>
      <c r="H6238" s="1">
        <f>_xlfn.IFNA(VLOOKUP(E6238,'Urban Plastix Holds'!$I$36:$U$498,13,0),0)</f>
        <v>0</v>
      </c>
      <c r="J6238" s="2">
        <f t="shared" si="481"/>
        <v>0</v>
      </c>
      <c r="K6238" s="2">
        <f t="shared" si="482"/>
        <v>0</v>
      </c>
    </row>
    <row r="6239" spans="5:11">
      <c r="E6239" s="3" t="s">
        <v>2535</v>
      </c>
      <c r="F6239" s="3" t="s">
        <v>2536</v>
      </c>
      <c r="G6239" s="5" t="str">
        <f t="shared" si="486"/>
        <v>11-12</v>
      </c>
      <c r="H6239" s="1">
        <f>_xlfn.IFNA(VLOOKUP(E6239,'Urban Plastix Holds'!$I$36:$U$498,5,0),0)</f>
        <v>0</v>
      </c>
      <c r="J6239" s="2">
        <f t="shared" ref="J6239:J6283" si="487">H6239*I6239</f>
        <v>0</v>
      </c>
      <c r="K6239" s="2">
        <f t="shared" ref="K6239:K6283" si="488">IF($V$11="Y",J6239*0.05,0)</f>
        <v>0</v>
      </c>
    </row>
    <row r="6240" spans="5:11">
      <c r="E6240" s="3" t="s">
        <v>2535</v>
      </c>
      <c r="F6240" s="3" t="s">
        <v>2536</v>
      </c>
      <c r="G6240" s="6" t="str">
        <f t="shared" si="486"/>
        <v>14-01</v>
      </c>
      <c r="H6240" s="1">
        <f>_xlfn.IFNA(VLOOKUP(E6240,'Urban Plastix Holds'!$I$36:$U$498,6,0),0)</f>
        <v>0</v>
      </c>
      <c r="J6240" s="2">
        <f t="shared" si="487"/>
        <v>0</v>
      </c>
      <c r="K6240" s="2">
        <f t="shared" si="488"/>
        <v>0</v>
      </c>
    </row>
    <row r="6241" spans="5:11">
      <c r="E6241" s="3" t="s">
        <v>2535</v>
      </c>
      <c r="F6241" s="3" t="s">
        <v>2536</v>
      </c>
      <c r="G6241" s="7" t="str">
        <f t="shared" si="486"/>
        <v>15-12</v>
      </c>
      <c r="H6241" s="1">
        <f>_xlfn.IFNA(VLOOKUP(E6241,'Urban Plastix Holds'!$I$36:$U$498,7,0),0)</f>
        <v>0</v>
      </c>
      <c r="J6241" s="2">
        <f t="shared" si="487"/>
        <v>0</v>
      </c>
      <c r="K6241" s="2">
        <f t="shared" si="488"/>
        <v>0</v>
      </c>
    </row>
    <row r="6242" spans="5:11">
      <c r="E6242" s="3" t="s">
        <v>2535</v>
      </c>
      <c r="F6242" s="3" t="s">
        <v>2536</v>
      </c>
      <c r="G6242" s="8" t="str">
        <f t="shared" si="486"/>
        <v>16-16</v>
      </c>
      <c r="H6242" s="1">
        <f>_xlfn.IFNA(VLOOKUP(E6242,'Urban Plastix Holds'!$I$36:$U$498,8,0),0)</f>
        <v>0</v>
      </c>
      <c r="J6242" s="2">
        <f t="shared" si="487"/>
        <v>0</v>
      </c>
      <c r="K6242" s="2">
        <f t="shared" si="488"/>
        <v>0</v>
      </c>
    </row>
    <row r="6243" spans="5:11">
      <c r="E6243" s="3" t="s">
        <v>2535</v>
      </c>
      <c r="F6243" s="3" t="s">
        <v>2536</v>
      </c>
      <c r="G6243" s="9" t="str">
        <f t="shared" si="486"/>
        <v>13-01</v>
      </c>
      <c r="H6243" s="1">
        <f>_xlfn.IFNA(VLOOKUP(E6243,'Urban Plastix Holds'!$I$36:$U$498,9,0),0)</f>
        <v>0</v>
      </c>
      <c r="J6243" s="2">
        <f t="shared" si="487"/>
        <v>0</v>
      </c>
      <c r="K6243" s="2">
        <f t="shared" si="488"/>
        <v>0</v>
      </c>
    </row>
    <row r="6244" spans="5:11">
      <c r="E6244" s="3" t="s">
        <v>2535</v>
      </c>
      <c r="F6244" s="3" t="s">
        <v>2536</v>
      </c>
      <c r="G6244" s="10" t="str">
        <f t="shared" si="486"/>
        <v>07-13</v>
      </c>
      <c r="H6244" s="1">
        <f>_xlfn.IFNA(VLOOKUP(E6244,'Urban Plastix Holds'!$I$36:$U$498,10,0),0)</f>
        <v>0</v>
      </c>
      <c r="J6244" s="2">
        <f t="shared" si="487"/>
        <v>0</v>
      </c>
      <c r="K6244" s="2">
        <f t="shared" si="488"/>
        <v>0</v>
      </c>
    </row>
    <row r="6245" spans="5:11">
      <c r="E6245" s="3" t="s">
        <v>2535</v>
      </c>
      <c r="F6245" s="3" t="s">
        <v>2536</v>
      </c>
      <c r="G6245" s="11" t="str">
        <f t="shared" si="486"/>
        <v>11-25</v>
      </c>
      <c r="H6245" s="1">
        <f>_xlfn.IFNA(VLOOKUP(E6245,'Urban Plastix Holds'!$I$36:$U$498,11,0),0)</f>
        <v>0</v>
      </c>
      <c r="J6245" s="2">
        <f t="shared" si="487"/>
        <v>0</v>
      </c>
      <c r="K6245" s="2">
        <f t="shared" si="488"/>
        <v>0</v>
      </c>
    </row>
    <row r="6246" spans="5:11">
      <c r="E6246" s="3" t="s">
        <v>2535</v>
      </c>
      <c r="F6246" s="3" t="s">
        <v>2536</v>
      </c>
      <c r="G6246" s="13" t="str">
        <f t="shared" si="486"/>
        <v>18-01</v>
      </c>
      <c r="H6246" s="1">
        <f>_xlfn.IFNA(VLOOKUP(E6246,'Urban Plastix Holds'!$I$36:$U$498,12,0),0)</f>
        <v>0</v>
      </c>
      <c r="J6246" s="2">
        <f t="shared" si="487"/>
        <v>0</v>
      </c>
      <c r="K6246" s="2">
        <f t="shared" si="488"/>
        <v>0</v>
      </c>
    </row>
    <row r="6247" spans="5:11">
      <c r="E6247" s="3" t="s">
        <v>2535</v>
      </c>
      <c r="F6247" s="3" t="s">
        <v>2536</v>
      </c>
      <c r="G6247" s="12" t="str">
        <f t="shared" si="486"/>
        <v>12-01</v>
      </c>
      <c r="H6247" s="1">
        <f>_xlfn.IFNA(VLOOKUP(E6247,'Urban Plastix Holds'!$I$36:$U$498,13,0),0)</f>
        <v>0</v>
      </c>
      <c r="J6247" s="2">
        <f t="shared" si="487"/>
        <v>0</v>
      </c>
      <c r="K6247" s="2">
        <f t="shared" si="488"/>
        <v>0</v>
      </c>
    </row>
    <row r="6248" spans="5:11">
      <c r="E6248" s="3" t="s">
        <v>2537</v>
      </c>
      <c r="F6248" s="3" t="s">
        <v>2538</v>
      </c>
      <c r="G6248" s="5" t="str">
        <f t="shared" si="486"/>
        <v>11-12</v>
      </c>
      <c r="H6248" s="1">
        <f>_xlfn.IFNA(VLOOKUP(E6248,'Urban Plastix Holds'!$I$36:$U$498,5,0),0)</f>
        <v>0</v>
      </c>
      <c r="J6248" s="2">
        <f t="shared" si="487"/>
        <v>0</v>
      </c>
      <c r="K6248" s="2">
        <f t="shared" si="488"/>
        <v>0</v>
      </c>
    </row>
    <row r="6249" spans="5:11">
      <c r="E6249" s="3" t="s">
        <v>2537</v>
      </c>
      <c r="F6249" s="3" t="s">
        <v>2538</v>
      </c>
      <c r="G6249" s="6" t="str">
        <f t="shared" si="486"/>
        <v>14-01</v>
      </c>
      <c r="H6249" s="1">
        <f>_xlfn.IFNA(VLOOKUP(E6249,'Urban Plastix Holds'!$I$36:$U$498,6,0),0)</f>
        <v>0</v>
      </c>
      <c r="J6249" s="2">
        <f t="shared" si="487"/>
        <v>0</v>
      </c>
      <c r="K6249" s="2">
        <f t="shared" si="488"/>
        <v>0</v>
      </c>
    </row>
    <row r="6250" spans="5:11">
      <c r="E6250" s="3" t="s">
        <v>2537</v>
      </c>
      <c r="F6250" s="3" t="s">
        <v>2538</v>
      </c>
      <c r="G6250" s="7" t="str">
        <f t="shared" si="486"/>
        <v>15-12</v>
      </c>
      <c r="H6250" s="1">
        <f>_xlfn.IFNA(VLOOKUP(E6250,'Urban Plastix Holds'!$I$36:$U$498,7,0),0)</f>
        <v>0</v>
      </c>
      <c r="J6250" s="2">
        <f t="shared" si="487"/>
        <v>0</v>
      </c>
      <c r="K6250" s="2">
        <f t="shared" si="488"/>
        <v>0</v>
      </c>
    </row>
    <row r="6251" spans="5:11">
      <c r="E6251" s="3" t="s">
        <v>2537</v>
      </c>
      <c r="F6251" s="3" t="s">
        <v>2538</v>
      </c>
      <c r="G6251" s="8" t="str">
        <f t="shared" si="486"/>
        <v>16-16</v>
      </c>
      <c r="H6251" s="1">
        <f>_xlfn.IFNA(VLOOKUP(E6251,'Urban Plastix Holds'!$I$36:$U$498,8,0),0)</f>
        <v>0</v>
      </c>
      <c r="J6251" s="2">
        <f t="shared" si="487"/>
        <v>0</v>
      </c>
      <c r="K6251" s="2">
        <f t="shared" si="488"/>
        <v>0</v>
      </c>
    </row>
    <row r="6252" spans="5:11">
      <c r="E6252" s="3" t="s">
        <v>2537</v>
      </c>
      <c r="F6252" s="3" t="s">
        <v>2538</v>
      </c>
      <c r="G6252" s="9" t="str">
        <f t="shared" si="486"/>
        <v>13-01</v>
      </c>
      <c r="H6252" s="1">
        <f>_xlfn.IFNA(VLOOKUP(E6252,'Urban Plastix Holds'!$I$36:$U$498,9,0),0)</f>
        <v>0</v>
      </c>
      <c r="J6252" s="2">
        <f t="shared" si="487"/>
        <v>0</v>
      </c>
      <c r="K6252" s="2">
        <f t="shared" si="488"/>
        <v>0</v>
      </c>
    </row>
    <row r="6253" spans="5:11">
      <c r="E6253" s="3" t="s">
        <v>2537</v>
      </c>
      <c r="F6253" s="3" t="s">
        <v>2538</v>
      </c>
      <c r="G6253" s="10" t="str">
        <f t="shared" si="486"/>
        <v>07-13</v>
      </c>
      <c r="H6253" s="1">
        <f>_xlfn.IFNA(VLOOKUP(E6253,'Urban Plastix Holds'!$I$36:$U$498,10,0),0)</f>
        <v>0</v>
      </c>
      <c r="J6253" s="2">
        <f t="shared" si="487"/>
        <v>0</v>
      </c>
      <c r="K6253" s="2">
        <f t="shared" si="488"/>
        <v>0</v>
      </c>
    </row>
    <row r="6254" spans="5:11">
      <c r="E6254" s="3" t="s">
        <v>2537</v>
      </c>
      <c r="F6254" s="3" t="s">
        <v>2538</v>
      </c>
      <c r="G6254" s="11" t="str">
        <f t="shared" si="486"/>
        <v>11-25</v>
      </c>
      <c r="H6254" s="1">
        <f>_xlfn.IFNA(VLOOKUP(E6254,'Urban Plastix Holds'!$I$36:$U$498,11,0),0)</f>
        <v>0</v>
      </c>
      <c r="J6254" s="2">
        <f t="shared" si="487"/>
        <v>0</v>
      </c>
      <c r="K6254" s="2">
        <f t="shared" si="488"/>
        <v>0</v>
      </c>
    </row>
    <row r="6255" spans="5:11">
      <c r="E6255" s="3" t="s">
        <v>2537</v>
      </c>
      <c r="F6255" s="3" t="s">
        <v>2538</v>
      </c>
      <c r="G6255" s="13" t="str">
        <f t="shared" si="486"/>
        <v>18-01</v>
      </c>
      <c r="H6255" s="1">
        <f>_xlfn.IFNA(VLOOKUP(E6255,'Urban Plastix Holds'!$I$36:$U$498,12,0),0)</f>
        <v>0</v>
      </c>
      <c r="J6255" s="2">
        <f t="shared" si="487"/>
        <v>0</v>
      </c>
      <c r="K6255" s="2">
        <f t="shared" si="488"/>
        <v>0</v>
      </c>
    </row>
    <row r="6256" spans="5:11">
      <c r="E6256" s="3" t="s">
        <v>2537</v>
      </c>
      <c r="F6256" s="3" t="s">
        <v>2538</v>
      </c>
      <c r="G6256" s="12" t="str">
        <f t="shared" si="486"/>
        <v>12-01</v>
      </c>
      <c r="H6256" s="1">
        <f>_xlfn.IFNA(VLOOKUP(E6256,'Urban Plastix Holds'!$I$36:$U$498,13,0),0)</f>
        <v>0</v>
      </c>
      <c r="J6256" s="2">
        <f t="shared" si="487"/>
        <v>0</v>
      </c>
      <c r="K6256" s="2">
        <f t="shared" si="488"/>
        <v>0</v>
      </c>
    </row>
    <row r="6257" spans="5:11">
      <c r="E6257" s="3" t="s">
        <v>2532</v>
      </c>
      <c r="F6257" s="3" t="s">
        <v>2539</v>
      </c>
      <c r="G6257" s="5" t="str">
        <f t="shared" si="486"/>
        <v>11-12</v>
      </c>
      <c r="H6257" s="1">
        <f>_xlfn.IFNA(VLOOKUP(E6257,'Urban Plastix Holds'!$I$36:$U$498,5,0),0)</f>
        <v>0</v>
      </c>
      <c r="J6257" s="2">
        <f t="shared" si="487"/>
        <v>0</v>
      </c>
      <c r="K6257" s="2">
        <f t="shared" si="488"/>
        <v>0</v>
      </c>
    </row>
    <row r="6258" spans="5:11">
      <c r="E6258" s="3" t="s">
        <v>2532</v>
      </c>
      <c r="F6258" s="3" t="s">
        <v>2539</v>
      </c>
      <c r="G6258" s="6" t="str">
        <f t="shared" si="486"/>
        <v>14-01</v>
      </c>
      <c r="H6258" s="1">
        <f>_xlfn.IFNA(VLOOKUP(E6258,'Urban Plastix Holds'!$I$36:$U$498,6,0),0)</f>
        <v>0</v>
      </c>
      <c r="J6258" s="2">
        <f t="shared" si="487"/>
        <v>0</v>
      </c>
      <c r="K6258" s="2">
        <f t="shared" si="488"/>
        <v>0</v>
      </c>
    </row>
    <row r="6259" spans="5:11">
      <c r="E6259" s="3" t="s">
        <v>2532</v>
      </c>
      <c r="F6259" s="3" t="s">
        <v>2539</v>
      </c>
      <c r="G6259" s="7" t="str">
        <f t="shared" si="486"/>
        <v>15-12</v>
      </c>
      <c r="H6259" s="1">
        <f>_xlfn.IFNA(VLOOKUP(E6259,'Urban Plastix Holds'!$I$36:$U$498,7,0),0)</f>
        <v>0</v>
      </c>
      <c r="J6259" s="2">
        <f t="shared" si="487"/>
        <v>0</v>
      </c>
      <c r="K6259" s="2">
        <f t="shared" si="488"/>
        <v>0</v>
      </c>
    </row>
    <row r="6260" spans="5:11">
      <c r="E6260" s="3" t="s">
        <v>2532</v>
      </c>
      <c r="F6260" s="3" t="s">
        <v>2539</v>
      </c>
      <c r="G6260" s="8" t="str">
        <f t="shared" si="486"/>
        <v>16-16</v>
      </c>
      <c r="H6260" s="1">
        <f>_xlfn.IFNA(VLOOKUP(E6260,'Urban Plastix Holds'!$I$36:$U$498,8,0),0)</f>
        <v>0</v>
      </c>
      <c r="J6260" s="2">
        <f t="shared" si="487"/>
        <v>0</v>
      </c>
      <c r="K6260" s="2">
        <f t="shared" si="488"/>
        <v>0</v>
      </c>
    </row>
    <row r="6261" spans="5:11">
      <c r="E6261" s="3" t="s">
        <v>2532</v>
      </c>
      <c r="F6261" s="3" t="s">
        <v>2539</v>
      </c>
      <c r="G6261" s="9" t="str">
        <f t="shared" si="486"/>
        <v>13-01</v>
      </c>
      <c r="H6261" s="1">
        <f>_xlfn.IFNA(VLOOKUP(E6261,'Urban Plastix Holds'!$I$36:$U$498,9,0),0)</f>
        <v>0</v>
      </c>
      <c r="J6261" s="2">
        <f t="shared" si="487"/>
        <v>0</v>
      </c>
      <c r="K6261" s="2">
        <f t="shared" si="488"/>
        <v>0</v>
      </c>
    </row>
    <row r="6262" spans="5:11">
      <c r="E6262" s="3" t="s">
        <v>2532</v>
      </c>
      <c r="F6262" s="3" t="s">
        <v>2539</v>
      </c>
      <c r="G6262" s="10" t="str">
        <f t="shared" si="486"/>
        <v>07-13</v>
      </c>
      <c r="H6262" s="1">
        <f>_xlfn.IFNA(VLOOKUP(E6262,'Urban Plastix Holds'!$I$36:$U$498,10,0),0)</f>
        <v>0</v>
      </c>
      <c r="J6262" s="2">
        <f t="shared" si="487"/>
        <v>0</v>
      </c>
      <c r="K6262" s="2">
        <f t="shared" si="488"/>
        <v>0</v>
      </c>
    </row>
    <row r="6263" spans="5:11">
      <c r="E6263" s="3" t="s">
        <v>2532</v>
      </c>
      <c r="F6263" s="3" t="s">
        <v>2539</v>
      </c>
      <c r="G6263" s="11" t="str">
        <f t="shared" si="486"/>
        <v>11-25</v>
      </c>
      <c r="H6263" s="1">
        <f>_xlfn.IFNA(VLOOKUP(E6263,'Urban Plastix Holds'!$I$36:$U$498,11,0),0)</f>
        <v>0</v>
      </c>
      <c r="J6263" s="2">
        <f t="shared" si="487"/>
        <v>0</v>
      </c>
      <c r="K6263" s="2">
        <f t="shared" si="488"/>
        <v>0</v>
      </c>
    </row>
    <row r="6264" spans="5:11">
      <c r="E6264" s="3" t="s">
        <v>2532</v>
      </c>
      <c r="F6264" s="3" t="s">
        <v>2539</v>
      </c>
      <c r="G6264" s="13" t="str">
        <f t="shared" si="486"/>
        <v>18-01</v>
      </c>
      <c r="H6264" s="1">
        <f>_xlfn.IFNA(VLOOKUP(E6264,'Urban Plastix Holds'!$I$36:$U$498,12,0),0)</f>
        <v>0</v>
      </c>
      <c r="J6264" s="2">
        <f t="shared" si="487"/>
        <v>0</v>
      </c>
      <c r="K6264" s="2">
        <f t="shared" si="488"/>
        <v>0</v>
      </c>
    </row>
    <row r="6265" spans="5:11">
      <c r="E6265" s="3" t="s">
        <v>2532</v>
      </c>
      <c r="F6265" s="3" t="s">
        <v>2539</v>
      </c>
      <c r="G6265" s="12" t="str">
        <f t="shared" si="486"/>
        <v>12-01</v>
      </c>
      <c r="H6265" s="1">
        <f>_xlfn.IFNA(VLOOKUP(E6265,'Urban Plastix Holds'!$I$36:$U$498,13,0),0)</f>
        <v>0</v>
      </c>
      <c r="J6265" s="2">
        <f t="shared" si="487"/>
        <v>0</v>
      </c>
      <c r="K6265" s="2">
        <f t="shared" si="488"/>
        <v>0</v>
      </c>
    </row>
    <row r="6266" spans="5:11">
      <c r="E6266" s="3" t="s">
        <v>2533</v>
      </c>
      <c r="F6266" s="3" t="s">
        <v>2540</v>
      </c>
      <c r="G6266" s="5" t="str">
        <f t="shared" si="486"/>
        <v>11-12</v>
      </c>
      <c r="H6266" s="1">
        <f>_xlfn.IFNA(VLOOKUP(E6266,'Urban Plastix Holds'!$I$36:$U$498,5,0),0)</f>
        <v>0</v>
      </c>
      <c r="J6266" s="2">
        <f t="shared" si="487"/>
        <v>0</v>
      </c>
      <c r="K6266" s="2">
        <f t="shared" si="488"/>
        <v>0</v>
      </c>
    </row>
    <row r="6267" spans="5:11">
      <c r="E6267" s="3" t="s">
        <v>2533</v>
      </c>
      <c r="F6267" s="3" t="s">
        <v>2540</v>
      </c>
      <c r="G6267" s="6" t="str">
        <f t="shared" si="486"/>
        <v>14-01</v>
      </c>
      <c r="H6267" s="1">
        <f>_xlfn.IFNA(VLOOKUP(E6267,'Urban Plastix Holds'!$I$36:$U$498,6,0),0)</f>
        <v>0</v>
      </c>
      <c r="J6267" s="2">
        <f t="shared" si="487"/>
        <v>0</v>
      </c>
      <c r="K6267" s="2">
        <f t="shared" si="488"/>
        <v>0</v>
      </c>
    </row>
    <row r="6268" spans="5:11">
      <c r="E6268" s="3" t="s">
        <v>2533</v>
      </c>
      <c r="F6268" s="3" t="s">
        <v>2540</v>
      </c>
      <c r="G6268" s="7" t="str">
        <f t="shared" si="486"/>
        <v>15-12</v>
      </c>
      <c r="H6268" s="1">
        <f>_xlfn.IFNA(VLOOKUP(E6268,'Urban Plastix Holds'!$I$36:$U$498,7,0),0)</f>
        <v>0</v>
      </c>
      <c r="J6268" s="2">
        <f t="shared" si="487"/>
        <v>0</v>
      </c>
      <c r="K6268" s="2">
        <f t="shared" si="488"/>
        <v>0</v>
      </c>
    </row>
    <row r="6269" spans="5:11">
      <c r="E6269" s="3" t="s">
        <v>2533</v>
      </c>
      <c r="F6269" s="3" t="s">
        <v>2540</v>
      </c>
      <c r="G6269" s="8" t="str">
        <f t="shared" si="486"/>
        <v>16-16</v>
      </c>
      <c r="H6269" s="1">
        <f>_xlfn.IFNA(VLOOKUP(E6269,'Urban Plastix Holds'!$I$36:$U$498,8,0),0)</f>
        <v>0</v>
      </c>
      <c r="J6269" s="2">
        <f t="shared" si="487"/>
        <v>0</v>
      </c>
      <c r="K6269" s="2">
        <f t="shared" si="488"/>
        <v>0</v>
      </c>
    </row>
    <row r="6270" spans="5:11">
      <c r="E6270" s="3" t="s">
        <v>2533</v>
      </c>
      <c r="F6270" s="3" t="s">
        <v>2540</v>
      </c>
      <c r="G6270" s="9" t="str">
        <f t="shared" si="486"/>
        <v>13-01</v>
      </c>
      <c r="H6270" s="1">
        <f>_xlfn.IFNA(VLOOKUP(E6270,'Urban Plastix Holds'!$I$36:$U$498,9,0),0)</f>
        <v>0</v>
      </c>
      <c r="J6270" s="2">
        <f t="shared" si="487"/>
        <v>0</v>
      </c>
      <c r="K6270" s="2">
        <f t="shared" si="488"/>
        <v>0</v>
      </c>
    </row>
    <row r="6271" spans="5:11">
      <c r="E6271" s="3" t="s">
        <v>2533</v>
      </c>
      <c r="F6271" s="3" t="s">
        <v>2540</v>
      </c>
      <c r="G6271" s="10" t="str">
        <f t="shared" si="486"/>
        <v>07-13</v>
      </c>
      <c r="H6271" s="1">
        <f>_xlfn.IFNA(VLOOKUP(E6271,'Urban Plastix Holds'!$I$36:$U$498,10,0),0)</f>
        <v>0</v>
      </c>
      <c r="J6271" s="2">
        <f t="shared" si="487"/>
        <v>0</v>
      </c>
      <c r="K6271" s="2">
        <f t="shared" si="488"/>
        <v>0</v>
      </c>
    </row>
    <row r="6272" spans="5:11">
      <c r="E6272" s="3" t="s">
        <v>2533</v>
      </c>
      <c r="F6272" s="3" t="s">
        <v>2540</v>
      </c>
      <c r="G6272" s="11" t="str">
        <f t="shared" si="486"/>
        <v>11-25</v>
      </c>
      <c r="H6272" s="1">
        <f>_xlfn.IFNA(VLOOKUP(E6272,'Urban Plastix Holds'!$I$36:$U$498,11,0),0)</f>
        <v>0</v>
      </c>
      <c r="J6272" s="2">
        <f t="shared" si="487"/>
        <v>0</v>
      </c>
      <c r="K6272" s="2">
        <f t="shared" si="488"/>
        <v>0</v>
      </c>
    </row>
    <row r="6273" spans="5:11">
      <c r="E6273" s="3" t="s">
        <v>2533</v>
      </c>
      <c r="F6273" s="3" t="s">
        <v>2540</v>
      </c>
      <c r="G6273" s="13" t="str">
        <f t="shared" si="486"/>
        <v>18-01</v>
      </c>
      <c r="H6273" s="1">
        <f>_xlfn.IFNA(VLOOKUP(E6273,'Urban Plastix Holds'!$I$36:$U$498,12,0),0)</f>
        <v>0</v>
      </c>
      <c r="J6273" s="2">
        <f t="shared" si="487"/>
        <v>0</v>
      </c>
      <c r="K6273" s="2">
        <f t="shared" si="488"/>
        <v>0</v>
      </c>
    </row>
    <row r="6274" spans="5:11">
      <c r="E6274" s="3" t="s">
        <v>2533</v>
      </c>
      <c r="F6274" s="3" t="s">
        <v>2540</v>
      </c>
      <c r="G6274" s="12" t="str">
        <f t="shared" si="486"/>
        <v>12-01</v>
      </c>
      <c r="H6274" s="1">
        <f>_xlfn.IFNA(VLOOKUP(E6274,'Urban Plastix Holds'!$I$36:$U$498,13,0),0)</f>
        <v>0</v>
      </c>
      <c r="J6274" s="2">
        <f t="shared" si="487"/>
        <v>0</v>
      </c>
      <c r="K6274" s="2">
        <f t="shared" si="488"/>
        <v>0</v>
      </c>
    </row>
    <row r="6275" spans="5:11">
      <c r="E6275" s="3" t="s">
        <v>2534</v>
      </c>
      <c r="F6275" s="3" t="s">
        <v>2541</v>
      </c>
      <c r="G6275" s="5" t="str">
        <f t="shared" si="486"/>
        <v>11-12</v>
      </c>
      <c r="H6275" s="1">
        <f>_xlfn.IFNA(VLOOKUP(E6275,'Urban Plastix Holds'!$I$36:$U$498,5,0),0)</f>
        <v>0</v>
      </c>
      <c r="J6275" s="2">
        <f t="shared" si="487"/>
        <v>0</v>
      </c>
      <c r="K6275" s="2">
        <f t="shared" si="488"/>
        <v>0</v>
      </c>
    </row>
    <row r="6276" spans="5:11">
      <c r="E6276" s="3" t="s">
        <v>2534</v>
      </c>
      <c r="F6276" s="3" t="s">
        <v>2541</v>
      </c>
      <c r="G6276" s="6" t="str">
        <f t="shared" si="486"/>
        <v>14-01</v>
      </c>
      <c r="H6276" s="1">
        <f>_xlfn.IFNA(VLOOKUP(E6276,'Urban Plastix Holds'!$I$36:$U$498,6,0),0)</f>
        <v>0</v>
      </c>
      <c r="J6276" s="2">
        <f t="shared" si="487"/>
        <v>0</v>
      </c>
      <c r="K6276" s="2">
        <f t="shared" si="488"/>
        <v>0</v>
      </c>
    </row>
    <row r="6277" spans="5:11">
      <c r="E6277" s="3" t="s">
        <v>2534</v>
      </c>
      <c r="F6277" s="3" t="s">
        <v>2541</v>
      </c>
      <c r="G6277" s="7" t="str">
        <f t="shared" si="486"/>
        <v>15-12</v>
      </c>
      <c r="H6277" s="1">
        <f>_xlfn.IFNA(VLOOKUP(E6277,'Urban Plastix Holds'!$I$36:$U$498,7,0),0)</f>
        <v>0</v>
      </c>
      <c r="J6277" s="2">
        <f t="shared" si="487"/>
        <v>0</v>
      </c>
      <c r="K6277" s="2">
        <f t="shared" si="488"/>
        <v>0</v>
      </c>
    </row>
    <row r="6278" spans="5:11">
      <c r="E6278" s="3" t="s">
        <v>2534</v>
      </c>
      <c r="F6278" s="3" t="s">
        <v>2541</v>
      </c>
      <c r="G6278" s="8" t="str">
        <f t="shared" si="486"/>
        <v>16-16</v>
      </c>
      <c r="H6278" s="1">
        <f>_xlfn.IFNA(VLOOKUP(E6278,'Urban Plastix Holds'!$I$36:$U$498,8,0),0)</f>
        <v>0</v>
      </c>
      <c r="J6278" s="2">
        <f t="shared" si="487"/>
        <v>0</v>
      </c>
      <c r="K6278" s="2">
        <f t="shared" si="488"/>
        <v>0</v>
      </c>
    </row>
    <row r="6279" spans="5:11">
      <c r="E6279" s="3" t="s">
        <v>2534</v>
      </c>
      <c r="F6279" s="3" t="s">
        <v>2541</v>
      </c>
      <c r="G6279" s="9" t="str">
        <f t="shared" si="486"/>
        <v>13-01</v>
      </c>
      <c r="H6279" s="1">
        <f>_xlfn.IFNA(VLOOKUP(E6279,'Urban Plastix Holds'!$I$36:$U$498,9,0),0)</f>
        <v>0</v>
      </c>
      <c r="J6279" s="2">
        <f t="shared" si="487"/>
        <v>0</v>
      </c>
      <c r="K6279" s="2">
        <f t="shared" si="488"/>
        <v>0</v>
      </c>
    </row>
    <row r="6280" spans="5:11">
      <c r="E6280" s="3" t="s">
        <v>2534</v>
      </c>
      <c r="F6280" s="3" t="s">
        <v>2541</v>
      </c>
      <c r="G6280" s="10" t="str">
        <f t="shared" si="486"/>
        <v>07-13</v>
      </c>
      <c r="H6280" s="1">
        <f>_xlfn.IFNA(VLOOKUP(E6280,'Urban Plastix Holds'!$I$36:$U$498,10,0),0)</f>
        <v>0</v>
      </c>
      <c r="J6280" s="2">
        <f t="shared" si="487"/>
        <v>0</v>
      </c>
      <c r="K6280" s="2">
        <f t="shared" si="488"/>
        <v>0</v>
      </c>
    </row>
    <row r="6281" spans="5:11">
      <c r="E6281" s="3" t="s">
        <v>2534</v>
      </c>
      <c r="F6281" s="3" t="s">
        <v>2541</v>
      </c>
      <c r="G6281" s="11" t="str">
        <f t="shared" si="486"/>
        <v>11-25</v>
      </c>
      <c r="H6281" s="1">
        <f>_xlfn.IFNA(VLOOKUP(E6281,'Urban Plastix Holds'!$I$36:$U$498,11,0),0)</f>
        <v>0</v>
      </c>
      <c r="J6281" s="2">
        <f t="shared" si="487"/>
        <v>0</v>
      </c>
      <c r="K6281" s="2">
        <f t="shared" si="488"/>
        <v>0</v>
      </c>
    </row>
    <row r="6282" spans="5:11">
      <c r="E6282" s="3" t="s">
        <v>2534</v>
      </c>
      <c r="F6282" s="3" t="s">
        <v>2541</v>
      </c>
      <c r="G6282" s="13" t="str">
        <f t="shared" si="486"/>
        <v>18-01</v>
      </c>
      <c r="H6282" s="1">
        <f>_xlfn.IFNA(VLOOKUP(E6282,'Urban Plastix Holds'!$I$36:$U$498,12,0),0)</f>
        <v>0</v>
      </c>
      <c r="J6282" s="2">
        <f t="shared" si="487"/>
        <v>0</v>
      </c>
      <c r="K6282" s="2">
        <f t="shared" si="488"/>
        <v>0</v>
      </c>
    </row>
    <row r="6283" spans="5:11">
      <c r="E6283" s="3" t="s">
        <v>2534</v>
      </c>
      <c r="F6283" s="3" t="s">
        <v>2541</v>
      </c>
      <c r="G6283" s="12" t="str">
        <f t="shared" si="486"/>
        <v>12-01</v>
      </c>
      <c r="H6283" s="1">
        <f>_xlfn.IFNA(VLOOKUP(E6283,'Urban Plastix Holds'!$I$36:$U$498,13,0),0)</f>
        <v>0</v>
      </c>
      <c r="J6283" s="2">
        <f t="shared" si="487"/>
        <v>0</v>
      </c>
      <c r="K6283" s="2">
        <f t="shared" si="488"/>
        <v>0</v>
      </c>
    </row>
    <row r="6284" spans="5:11">
      <c r="E6284" s="3" t="s">
        <v>2590</v>
      </c>
      <c r="F6284" s="3" t="s">
        <v>2591</v>
      </c>
      <c r="G6284" s="5" t="str">
        <f t="shared" si="486"/>
        <v>11-12</v>
      </c>
      <c r="H6284" s="1">
        <f>_xlfn.IFNA(VLOOKUP(E6284,'Urban Plastix Holds'!$I$36:$U$498,5,0),0)</f>
        <v>0</v>
      </c>
      <c r="J6284" s="2">
        <f t="shared" ref="J6284:J6292" si="489">H6284*I6284</f>
        <v>0</v>
      </c>
      <c r="K6284" s="2">
        <f t="shared" ref="K6284:K6292" si="490">IF($V$11="Y",J6284*0.05,0)</f>
        <v>0</v>
      </c>
    </row>
    <row r="6285" spans="5:11">
      <c r="E6285" s="3" t="s">
        <v>2590</v>
      </c>
      <c r="F6285" s="3" t="s">
        <v>2591</v>
      </c>
      <c r="G6285" s="6" t="str">
        <f t="shared" ref="G6285:G6348" si="491">G6222</f>
        <v>14-01</v>
      </c>
      <c r="H6285" s="1">
        <f>_xlfn.IFNA(VLOOKUP(E6285,'Urban Plastix Holds'!$I$36:$U$498,6,0),0)</f>
        <v>0</v>
      </c>
      <c r="J6285" s="2">
        <f t="shared" si="489"/>
        <v>0</v>
      </c>
      <c r="K6285" s="2">
        <f t="shared" si="490"/>
        <v>0</v>
      </c>
    </row>
    <row r="6286" spans="5:11">
      <c r="E6286" s="3" t="s">
        <v>2590</v>
      </c>
      <c r="F6286" s="3" t="s">
        <v>2591</v>
      </c>
      <c r="G6286" s="7" t="str">
        <f t="shared" si="491"/>
        <v>15-12</v>
      </c>
      <c r="H6286" s="1">
        <f>_xlfn.IFNA(VLOOKUP(E6286,'Urban Plastix Holds'!$I$36:$U$498,7,0),0)</f>
        <v>0</v>
      </c>
      <c r="J6286" s="2">
        <f t="shared" si="489"/>
        <v>0</v>
      </c>
      <c r="K6286" s="2">
        <f t="shared" si="490"/>
        <v>0</v>
      </c>
    </row>
    <row r="6287" spans="5:11">
      <c r="E6287" s="3" t="s">
        <v>2590</v>
      </c>
      <c r="F6287" s="3" t="s">
        <v>2591</v>
      </c>
      <c r="G6287" s="8" t="str">
        <f t="shared" si="491"/>
        <v>16-16</v>
      </c>
      <c r="H6287" s="1">
        <f>_xlfn.IFNA(VLOOKUP(E6287,'Urban Plastix Holds'!$I$36:$U$498,8,0),0)</f>
        <v>0</v>
      </c>
      <c r="J6287" s="2">
        <f t="shared" si="489"/>
        <v>0</v>
      </c>
      <c r="K6287" s="2">
        <f t="shared" si="490"/>
        <v>0</v>
      </c>
    </row>
    <row r="6288" spans="5:11">
      <c r="E6288" s="3" t="s">
        <v>2590</v>
      </c>
      <c r="F6288" s="3" t="s">
        <v>2591</v>
      </c>
      <c r="G6288" s="9" t="str">
        <f t="shared" si="491"/>
        <v>13-01</v>
      </c>
      <c r="H6288" s="1">
        <f>_xlfn.IFNA(VLOOKUP(E6288,'Urban Plastix Holds'!$I$36:$U$498,9,0),0)</f>
        <v>0</v>
      </c>
      <c r="J6288" s="2">
        <f t="shared" si="489"/>
        <v>0</v>
      </c>
      <c r="K6288" s="2">
        <f t="shared" si="490"/>
        <v>0</v>
      </c>
    </row>
    <row r="6289" spans="5:11">
      <c r="E6289" s="3" t="s">
        <v>2590</v>
      </c>
      <c r="F6289" s="3" t="s">
        <v>2591</v>
      </c>
      <c r="G6289" s="10" t="str">
        <f t="shared" si="491"/>
        <v>07-13</v>
      </c>
      <c r="H6289" s="1">
        <f>_xlfn.IFNA(VLOOKUP(E6289,'Urban Plastix Holds'!$I$36:$U$498,10,0),0)</f>
        <v>0</v>
      </c>
      <c r="J6289" s="2">
        <f t="shared" si="489"/>
        <v>0</v>
      </c>
      <c r="K6289" s="2">
        <f t="shared" si="490"/>
        <v>0</v>
      </c>
    </row>
    <row r="6290" spans="5:11">
      <c r="E6290" s="3" t="s">
        <v>2590</v>
      </c>
      <c r="F6290" s="3" t="s">
        <v>2591</v>
      </c>
      <c r="G6290" s="11" t="str">
        <f t="shared" si="491"/>
        <v>11-25</v>
      </c>
      <c r="H6290" s="1">
        <f>_xlfn.IFNA(VLOOKUP(E6290,'Urban Plastix Holds'!$I$36:$U$498,11,0),0)</f>
        <v>0</v>
      </c>
      <c r="J6290" s="2">
        <f t="shared" si="489"/>
        <v>0</v>
      </c>
      <c r="K6290" s="2">
        <f t="shared" si="490"/>
        <v>0</v>
      </c>
    </row>
    <row r="6291" spans="5:11">
      <c r="E6291" s="3" t="s">
        <v>2590</v>
      </c>
      <c r="F6291" s="3" t="s">
        <v>2591</v>
      </c>
      <c r="G6291" s="13" t="str">
        <f t="shared" si="491"/>
        <v>18-01</v>
      </c>
      <c r="H6291" s="1">
        <f>_xlfn.IFNA(VLOOKUP(E6291,'Urban Plastix Holds'!$I$36:$U$498,12,0),0)</f>
        <v>0</v>
      </c>
      <c r="J6291" s="2">
        <f t="shared" si="489"/>
        <v>0</v>
      </c>
      <c r="K6291" s="2">
        <f t="shared" si="490"/>
        <v>0</v>
      </c>
    </row>
    <row r="6292" spans="5:11">
      <c r="E6292" s="3" t="s">
        <v>2590</v>
      </c>
      <c r="F6292" s="3" t="s">
        <v>2591</v>
      </c>
      <c r="G6292" s="12" t="str">
        <f t="shared" si="491"/>
        <v>12-01</v>
      </c>
      <c r="H6292" s="1">
        <f>_xlfn.IFNA(VLOOKUP(E6292,'Urban Plastix Holds'!$I$36:$U$498,13,0),0)</f>
        <v>0</v>
      </c>
      <c r="J6292" s="2">
        <f t="shared" si="489"/>
        <v>0</v>
      </c>
      <c r="K6292" s="2">
        <f t="shared" si="490"/>
        <v>0</v>
      </c>
    </row>
    <row r="6293" spans="5:11">
      <c r="E6293" s="3" t="s">
        <v>2594</v>
      </c>
      <c r="F6293" s="3" t="s">
        <v>2595</v>
      </c>
      <c r="G6293" s="5" t="str">
        <f t="shared" si="491"/>
        <v>11-12</v>
      </c>
      <c r="H6293" s="1">
        <f>_xlfn.IFNA(VLOOKUP(E6293,'Urban Plastix Holds'!$I$36:$U$498,5,0),0)</f>
        <v>0</v>
      </c>
      <c r="J6293" s="2">
        <f t="shared" ref="J6293:J6319" si="492">H6293*I6293</f>
        <v>0</v>
      </c>
      <c r="K6293" s="2">
        <f t="shared" ref="K6293:K6319" si="493">IF($V$11="Y",J6293*0.05,0)</f>
        <v>0</v>
      </c>
    </row>
    <row r="6294" spans="5:11">
      <c r="E6294" s="3" t="s">
        <v>2594</v>
      </c>
      <c r="F6294" s="3" t="s">
        <v>2595</v>
      </c>
      <c r="G6294" s="6" t="str">
        <f t="shared" si="491"/>
        <v>14-01</v>
      </c>
      <c r="H6294" s="1">
        <f>_xlfn.IFNA(VLOOKUP(E6294,'Urban Plastix Holds'!$I$36:$U$498,6,0),0)</f>
        <v>0</v>
      </c>
      <c r="J6294" s="2">
        <f t="shared" si="492"/>
        <v>0</v>
      </c>
      <c r="K6294" s="2">
        <f t="shared" si="493"/>
        <v>0</v>
      </c>
    </row>
    <row r="6295" spans="5:11">
      <c r="E6295" s="3" t="s">
        <v>2594</v>
      </c>
      <c r="F6295" s="3" t="s">
        <v>2595</v>
      </c>
      <c r="G6295" s="7" t="str">
        <f t="shared" si="491"/>
        <v>15-12</v>
      </c>
      <c r="H6295" s="1">
        <f>_xlfn.IFNA(VLOOKUP(E6295,'Urban Plastix Holds'!$I$36:$U$498,7,0),0)</f>
        <v>0</v>
      </c>
      <c r="J6295" s="2">
        <f t="shared" si="492"/>
        <v>0</v>
      </c>
      <c r="K6295" s="2">
        <f t="shared" si="493"/>
        <v>0</v>
      </c>
    </row>
    <row r="6296" spans="5:11">
      <c r="E6296" s="3" t="s">
        <v>2594</v>
      </c>
      <c r="F6296" s="3" t="s">
        <v>2595</v>
      </c>
      <c r="G6296" s="8" t="str">
        <f t="shared" si="491"/>
        <v>16-16</v>
      </c>
      <c r="H6296" s="1">
        <f>_xlfn.IFNA(VLOOKUP(E6296,'Urban Plastix Holds'!$I$36:$U$498,8,0),0)</f>
        <v>0</v>
      </c>
      <c r="J6296" s="2">
        <f t="shared" si="492"/>
        <v>0</v>
      </c>
      <c r="K6296" s="2">
        <f t="shared" si="493"/>
        <v>0</v>
      </c>
    </row>
    <row r="6297" spans="5:11">
      <c r="E6297" s="3" t="s">
        <v>2594</v>
      </c>
      <c r="F6297" s="3" t="s">
        <v>2595</v>
      </c>
      <c r="G6297" s="9" t="str">
        <f t="shared" si="491"/>
        <v>13-01</v>
      </c>
      <c r="H6297" s="1">
        <f>_xlfn.IFNA(VLOOKUP(E6297,'Urban Plastix Holds'!$I$36:$U$498,9,0),0)</f>
        <v>0</v>
      </c>
      <c r="J6297" s="2">
        <f t="shared" si="492"/>
        <v>0</v>
      </c>
      <c r="K6297" s="2">
        <f t="shared" si="493"/>
        <v>0</v>
      </c>
    </row>
    <row r="6298" spans="5:11">
      <c r="E6298" s="3" t="s">
        <v>2594</v>
      </c>
      <c r="F6298" s="3" t="s">
        <v>2595</v>
      </c>
      <c r="G6298" s="10" t="str">
        <f t="shared" si="491"/>
        <v>07-13</v>
      </c>
      <c r="H6298" s="1">
        <f>_xlfn.IFNA(VLOOKUP(E6298,'Urban Plastix Holds'!$I$36:$U$498,10,0),0)</f>
        <v>0</v>
      </c>
      <c r="J6298" s="2">
        <f t="shared" si="492"/>
        <v>0</v>
      </c>
      <c r="K6298" s="2">
        <f t="shared" si="493"/>
        <v>0</v>
      </c>
    </row>
    <row r="6299" spans="5:11">
      <c r="E6299" s="3" t="s">
        <v>2594</v>
      </c>
      <c r="F6299" s="3" t="s">
        <v>2595</v>
      </c>
      <c r="G6299" s="11" t="str">
        <f t="shared" si="491"/>
        <v>11-25</v>
      </c>
      <c r="H6299" s="1">
        <f>_xlfn.IFNA(VLOOKUP(E6299,'Urban Plastix Holds'!$I$36:$U$498,11,0),0)</f>
        <v>0</v>
      </c>
      <c r="J6299" s="2">
        <f t="shared" si="492"/>
        <v>0</v>
      </c>
      <c r="K6299" s="2">
        <f t="shared" si="493"/>
        <v>0</v>
      </c>
    </row>
    <row r="6300" spans="5:11">
      <c r="E6300" s="3" t="s">
        <v>2594</v>
      </c>
      <c r="F6300" s="3" t="s">
        <v>2595</v>
      </c>
      <c r="G6300" s="13" t="str">
        <f t="shared" si="491"/>
        <v>18-01</v>
      </c>
      <c r="H6300" s="1">
        <f>_xlfn.IFNA(VLOOKUP(E6300,'Urban Plastix Holds'!$I$36:$U$498,12,0),0)</f>
        <v>0</v>
      </c>
      <c r="J6300" s="2">
        <f t="shared" si="492"/>
        <v>0</v>
      </c>
      <c r="K6300" s="2">
        <f t="shared" si="493"/>
        <v>0</v>
      </c>
    </row>
    <row r="6301" spans="5:11">
      <c r="E6301" s="3" t="s">
        <v>2594</v>
      </c>
      <c r="F6301" s="3" t="s">
        <v>2595</v>
      </c>
      <c r="G6301" s="12" t="str">
        <f t="shared" si="491"/>
        <v>12-01</v>
      </c>
      <c r="H6301" s="1">
        <f>_xlfn.IFNA(VLOOKUP(E6301,'Urban Plastix Holds'!$I$36:$U$498,13,0),0)</f>
        <v>0</v>
      </c>
      <c r="J6301" s="2">
        <f t="shared" si="492"/>
        <v>0</v>
      </c>
      <c r="K6301" s="2">
        <f t="shared" si="493"/>
        <v>0</v>
      </c>
    </row>
    <row r="6302" spans="5:11">
      <c r="E6302" s="3" t="s">
        <v>2596</v>
      </c>
      <c r="F6302" s="3" t="s">
        <v>2597</v>
      </c>
      <c r="G6302" s="5" t="str">
        <f t="shared" si="491"/>
        <v>11-12</v>
      </c>
      <c r="H6302" s="1">
        <f>_xlfn.IFNA(VLOOKUP(E6302,'Urban Plastix Holds'!$I$36:$U$498,5,0),0)</f>
        <v>0</v>
      </c>
      <c r="J6302" s="2">
        <f t="shared" si="492"/>
        <v>0</v>
      </c>
      <c r="K6302" s="2">
        <f t="shared" si="493"/>
        <v>0</v>
      </c>
    </row>
    <row r="6303" spans="5:11">
      <c r="E6303" s="3" t="s">
        <v>2596</v>
      </c>
      <c r="F6303" s="3" t="s">
        <v>2597</v>
      </c>
      <c r="G6303" s="6" t="str">
        <f t="shared" si="491"/>
        <v>14-01</v>
      </c>
      <c r="H6303" s="1">
        <f>_xlfn.IFNA(VLOOKUP(E6303,'Urban Plastix Holds'!$I$36:$U$498,6,0),0)</f>
        <v>0</v>
      </c>
      <c r="J6303" s="2">
        <f t="shared" si="492"/>
        <v>0</v>
      </c>
      <c r="K6303" s="2">
        <f t="shared" si="493"/>
        <v>0</v>
      </c>
    </row>
    <row r="6304" spans="5:11">
      <c r="E6304" s="3" t="s">
        <v>2596</v>
      </c>
      <c r="F6304" s="3" t="s">
        <v>2597</v>
      </c>
      <c r="G6304" s="7" t="str">
        <f t="shared" si="491"/>
        <v>15-12</v>
      </c>
      <c r="H6304" s="1">
        <f>_xlfn.IFNA(VLOOKUP(E6304,'Urban Plastix Holds'!$I$36:$U$498,7,0),0)</f>
        <v>0</v>
      </c>
      <c r="J6304" s="2">
        <f t="shared" si="492"/>
        <v>0</v>
      </c>
      <c r="K6304" s="2">
        <f t="shared" si="493"/>
        <v>0</v>
      </c>
    </row>
    <row r="6305" spans="5:11">
      <c r="E6305" s="3" t="s">
        <v>2596</v>
      </c>
      <c r="F6305" s="3" t="s">
        <v>2597</v>
      </c>
      <c r="G6305" s="8" t="str">
        <f t="shared" si="491"/>
        <v>16-16</v>
      </c>
      <c r="H6305" s="1">
        <f>_xlfn.IFNA(VLOOKUP(E6305,'Urban Plastix Holds'!$I$36:$U$498,8,0),0)</f>
        <v>0</v>
      </c>
      <c r="J6305" s="2">
        <f t="shared" si="492"/>
        <v>0</v>
      </c>
      <c r="K6305" s="2">
        <f t="shared" si="493"/>
        <v>0</v>
      </c>
    </row>
    <row r="6306" spans="5:11">
      <c r="E6306" s="3" t="s">
        <v>2596</v>
      </c>
      <c r="F6306" s="3" t="s">
        <v>2597</v>
      </c>
      <c r="G6306" s="9" t="str">
        <f t="shared" si="491"/>
        <v>13-01</v>
      </c>
      <c r="H6306" s="1">
        <f>_xlfn.IFNA(VLOOKUP(E6306,'Urban Plastix Holds'!$I$36:$U$498,9,0),0)</f>
        <v>0</v>
      </c>
      <c r="J6306" s="2">
        <f t="shared" si="492"/>
        <v>0</v>
      </c>
      <c r="K6306" s="2">
        <f t="shared" si="493"/>
        <v>0</v>
      </c>
    </row>
    <row r="6307" spans="5:11">
      <c r="E6307" s="3" t="s">
        <v>2596</v>
      </c>
      <c r="F6307" s="3" t="s">
        <v>2597</v>
      </c>
      <c r="G6307" s="10" t="str">
        <f t="shared" si="491"/>
        <v>07-13</v>
      </c>
      <c r="H6307" s="1">
        <f>_xlfn.IFNA(VLOOKUP(E6307,'Urban Plastix Holds'!$I$36:$U$498,10,0),0)</f>
        <v>0</v>
      </c>
      <c r="J6307" s="2">
        <f t="shared" si="492"/>
        <v>0</v>
      </c>
      <c r="K6307" s="2">
        <f t="shared" si="493"/>
        <v>0</v>
      </c>
    </row>
    <row r="6308" spans="5:11">
      <c r="E6308" s="3" t="s">
        <v>2596</v>
      </c>
      <c r="F6308" s="3" t="s">
        <v>2597</v>
      </c>
      <c r="G6308" s="11" t="str">
        <f t="shared" si="491"/>
        <v>11-25</v>
      </c>
      <c r="H6308" s="1">
        <f>_xlfn.IFNA(VLOOKUP(E6308,'Urban Plastix Holds'!$I$36:$U$498,11,0),0)</f>
        <v>0</v>
      </c>
      <c r="J6308" s="2">
        <f t="shared" si="492"/>
        <v>0</v>
      </c>
      <c r="K6308" s="2">
        <f t="shared" si="493"/>
        <v>0</v>
      </c>
    </row>
    <row r="6309" spans="5:11">
      <c r="E6309" s="3" t="s">
        <v>2596</v>
      </c>
      <c r="F6309" s="3" t="s">
        <v>2597</v>
      </c>
      <c r="G6309" s="13" t="str">
        <f t="shared" si="491"/>
        <v>18-01</v>
      </c>
      <c r="H6309" s="1">
        <f>_xlfn.IFNA(VLOOKUP(E6309,'Urban Plastix Holds'!$I$36:$U$498,12,0),0)</f>
        <v>0</v>
      </c>
      <c r="J6309" s="2">
        <f t="shared" si="492"/>
        <v>0</v>
      </c>
      <c r="K6309" s="2">
        <f t="shared" si="493"/>
        <v>0</v>
      </c>
    </row>
    <row r="6310" spans="5:11">
      <c r="E6310" s="3" t="s">
        <v>2596</v>
      </c>
      <c r="F6310" s="3" t="s">
        <v>2597</v>
      </c>
      <c r="G6310" s="12" t="str">
        <f t="shared" si="491"/>
        <v>12-01</v>
      </c>
      <c r="H6310" s="1">
        <f>_xlfn.IFNA(VLOOKUP(E6310,'Urban Plastix Holds'!$I$36:$U$498,13,0),0)</f>
        <v>0</v>
      </c>
      <c r="J6310" s="2">
        <f t="shared" si="492"/>
        <v>0</v>
      </c>
      <c r="K6310" s="2">
        <f t="shared" si="493"/>
        <v>0</v>
      </c>
    </row>
    <row r="6311" spans="5:11">
      <c r="E6311" s="3" t="s">
        <v>2592</v>
      </c>
      <c r="F6311" s="3" t="s">
        <v>2598</v>
      </c>
      <c r="G6311" s="5" t="str">
        <f t="shared" si="491"/>
        <v>11-12</v>
      </c>
      <c r="H6311" s="1">
        <f>_xlfn.IFNA(VLOOKUP(E6311,'Urban Plastix Holds'!$I$36:$U$498,5,0),0)</f>
        <v>0</v>
      </c>
      <c r="J6311" s="2">
        <f t="shared" si="492"/>
        <v>0</v>
      </c>
      <c r="K6311" s="2">
        <f t="shared" si="493"/>
        <v>0</v>
      </c>
    </row>
    <row r="6312" spans="5:11">
      <c r="E6312" s="3" t="s">
        <v>2592</v>
      </c>
      <c r="F6312" s="3" t="s">
        <v>2598</v>
      </c>
      <c r="G6312" s="6" t="str">
        <f t="shared" si="491"/>
        <v>14-01</v>
      </c>
      <c r="H6312" s="1">
        <f>_xlfn.IFNA(VLOOKUP(E6312,'Urban Plastix Holds'!$I$36:$U$498,6,0),0)</f>
        <v>0</v>
      </c>
      <c r="J6312" s="2">
        <f t="shared" si="492"/>
        <v>0</v>
      </c>
      <c r="K6312" s="2">
        <f t="shared" si="493"/>
        <v>0</v>
      </c>
    </row>
    <row r="6313" spans="5:11">
      <c r="E6313" s="3" t="s">
        <v>2592</v>
      </c>
      <c r="F6313" s="3" t="s">
        <v>2598</v>
      </c>
      <c r="G6313" s="7" t="str">
        <f t="shared" si="491"/>
        <v>15-12</v>
      </c>
      <c r="H6313" s="1">
        <f>_xlfn.IFNA(VLOOKUP(E6313,'Urban Plastix Holds'!$I$36:$U$498,7,0),0)</f>
        <v>0</v>
      </c>
      <c r="J6313" s="2">
        <f t="shared" si="492"/>
        <v>0</v>
      </c>
      <c r="K6313" s="2">
        <f t="shared" si="493"/>
        <v>0</v>
      </c>
    </row>
    <row r="6314" spans="5:11">
      <c r="E6314" s="3" t="s">
        <v>2592</v>
      </c>
      <c r="F6314" s="3" t="s">
        <v>2598</v>
      </c>
      <c r="G6314" s="8" t="str">
        <f t="shared" si="491"/>
        <v>16-16</v>
      </c>
      <c r="H6314" s="1">
        <f>_xlfn.IFNA(VLOOKUP(E6314,'Urban Plastix Holds'!$I$36:$U$498,8,0),0)</f>
        <v>0</v>
      </c>
      <c r="J6314" s="2">
        <f t="shared" si="492"/>
        <v>0</v>
      </c>
      <c r="K6314" s="2">
        <f t="shared" si="493"/>
        <v>0</v>
      </c>
    </row>
    <row r="6315" spans="5:11">
      <c r="E6315" s="3" t="s">
        <v>2592</v>
      </c>
      <c r="F6315" s="3" t="s">
        <v>2598</v>
      </c>
      <c r="G6315" s="9" t="str">
        <f t="shared" si="491"/>
        <v>13-01</v>
      </c>
      <c r="H6315" s="1">
        <f>_xlfn.IFNA(VLOOKUP(E6315,'Urban Plastix Holds'!$I$36:$U$498,9,0),0)</f>
        <v>0</v>
      </c>
      <c r="J6315" s="2">
        <f t="shared" si="492"/>
        <v>0</v>
      </c>
      <c r="K6315" s="2">
        <f t="shared" si="493"/>
        <v>0</v>
      </c>
    </row>
    <row r="6316" spans="5:11">
      <c r="E6316" s="3" t="s">
        <v>2592</v>
      </c>
      <c r="F6316" s="3" t="s">
        <v>2598</v>
      </c>
      <c r="G6316" s="10" t="str">
        <f t="shared" si="491"/>
        <v>07-13</v>
      </c>
      <c r="H6316" s="1">
        <f>_xlfn.IFNA(VLOOKUP(E6316,'Urban Plastix Holds'!$I$36:$U$498,10,0),0)</f>
        <v>0</v>
      </c>
      <c r="J6316" s="2">
        <f t="shared" si="492"/>
        <v>0</v>
      </c>
      <c r="K6316" s="2">
        <f t="shared" si="493"/>
        <v>0</v>
      </c>
    </row>
    <row r="6317" spans="5:11">
      <c r="E6317" s="3" t="s">
        <v>2592</v>
      </c>
      <c r="F6317" s="3" t="s">
        <v>2598</v>
      </c>
      <c r="G6317" s="11" t="str">
        <f t="shared" si="491"/>
        <v>11-25</v>
      </c>
      <c r="H6317" s="1">
        <f>_xlfn.IFNA(VLOOKUP(E6317,'Urban Plastix Holds'!$I$36:$U$498,11,0),0)</f>
        <v>0</v>
      </c>
      <c r="J6317" s="2">
        <f t="shared" si="492"/>
        <v>0</v>
      </c>
      <c r="K6317" s="2">
        <f t="shared" si="493"/>
        <v>0</v>
      </c>
    </row>
    <row r="6318" spans="5:11">
      <c r="E6318" s="3" t="s">
        <v>2592</v>
      </c>
      <c r="F6318" s="3" t="s">
        <v>2598</v>
      </c>
      <c r="G6318" s="13" t="str">
        <f t="shared" si="491"/>
        <v>18-01</v>
      </c>
      <c r="H6318" s="1">
        <f>_xlfn.IFNA(VLOOKUP(E6318,'Urban Plastix Holds'!$I$36:$U$498,12,0),0)</f>
        <v>0</v>
      </c>
      <c r="J6318" s="2">
        <f t="shared" si="492"/>
        <v>0</v>
      </c>
      <c r="K6318" s="2">
        <f t="shared" si="493"/>
        <v>0</v>
      </c>
    </row>
    <row r="6319" spans="5:11">
      <c r="E6319" s="3" t="s">
        <v>2592</v>
      </c>
      <c r="F6319" s="3" t="s">
        <v>2598</v>
      </c>
      <c r="G6319" s="12" t="str">
        <f t="shared" si="491"/>
        <v>12-01</v>
      </c>
      <c r="H6319" s="1">
        <f>_xlfn.IFNA(VLOOKUP(E6319,'Urban Plastix Holds'!$I$36:$U$498,13,0),0)</f>
        <v>0</v>
      </c>
      <c r="J6319" s="2">
        <f t="shared" si="492"/>
        <v>0</v>
      </c>
      <c r="K6319" s="2">
        <f t="shared" si="493"/>
        <v>0</v>
      </c>
    </row>
    <row r="6320" spans="5:11">
      <c r="E6320" s="3" t="s">
        <v>2593</v>
      </c>
      <c r="F6320" s="3" t="s">
        <v>2599</v>
      </c>
      <c r="G6320" s="5" t="str">
        <f t="shared" si="491"/>
        <v>11-12</v>
      </c>
      <c r="H6320" s="1">
        <f>_xlfn.IFNA(VLOOKUP(E6320,'Urban Plastix Holds'!$I$36:$U$498,5,0),0)</f>
        <v>0</v>
      </c>
      <c r="J6320" s="2">
        <f t="shared" ref="J6320:J6328" si="494">H6320*I6320</f>
        <v>0</v>
      </c>
      <c r="K6320" s="2">
        <f t="shared" ref="K6320:K6328" si="495">IF($V$11="Y",J6320*0.05,0)</f>
        <v>0</v>
      </c>
    </row>
    <row r="6321" spans="5:11">
      <c r="E6321" s="3" t="s">
        <v>2593</v>
      </c>
      <c r="F6321" s="3" t="s">
        <v>2599</v>
      </c>
      <c r="G6321" s="6" t="str">
        <f t="shared" si="491"/>
        <v>14-01</v>
      </c>
      <c r="H6321" s="1">
        <f>_xlfn.IFNA(VLOOKUP(E6321,'Urban Plastix Holds'!$I$36:$U$498,6,0),0)</f>
        <v>0</v>
      </c>
      <c r="J6321" s="2">
        <f t="shared" si="494"/>
        <v>0</v>
      </c>
      <c r="K6321" s="2">
        <f t="shared" si="495"/>
        <v>0</v>
      </c>
    </row>
    <row r="6322" spans="5:11">
      <c r="E6322" s="3" t="s">
        <v>2593</v>
      </c>
      <c r="F6322" s="3" t="s">
        <v>2599</v>
      </c>
      <c r="G6322" s="7" t="str">
        <f t="shared" si="491"/>
        <v>15-12</v>
      </c>
      <c r="H6322" s="1">
        <f>_xlfn.IFNA(VLOOKUP(E6322,'Urban Plastix Holds'!$I$36:$U$498,7,0),0)</f>
        <v>0</v>
      </c>
      <c r="J6322" s="2">
        <f t="shared" si="494"/>
        <v>0</v>
      </c>
      <c r="K6322" s="2">
        <f t="shared" si="495"/>
        <v>0</v>
      </c>
    </row>
    <row r="6323" spans="5:11">
      <c r="E6323" s="3" t="s">
        <v>2593</v>
      </c>
      <c r="F6323" s="3" t="s">
        <v>2599</v>
      </c>
      <c r="G6323" s="8" t="str">
        <f t="shared" si="491"/>
        <v>16-16</v>
      </c>
      <c r="H6323" s="1">
        <f>_xlfn.IFNA(VLOOKUP(E6323,'Urban Plastix Holds'!$I$36:$U$498,8,0),0)</f>
        <v>0</v>
      </c>
      <c r="J6323" s="2">
        <f t="shared" si="494"/>
        <v>0</v>
      </c>
      <c r="K6323" s="2">
        <f t="shared" si="495"/>
        <v>0</v>
      </c>
    </row>
    <row r="6324" spans="5:11">
      <c r="E6324" s="3" t="s">
        <v>2593</v>
      </c>
      <c r="F6324" s="3" t="s">
        <v>2599</v>
      </c>
      <c r="G6324" s="9" t="str">
        <f t="shared" si="491"/>
        <v>13-01</v>
      </c>
      <c r="H6324" s="1">
        <f>_xlfn.IFNA(VLOOKUP(E6324,'Urban Plastix Holds'!$I$36:$U$498,9,0),0)</f>
        <v>0</v>
      </c>
      <c r="J6324" s="2">
        <f t="shared" si="494"/>
        <v>0</v>
      </c>
      <c r="K6324" s="2">
        <f t="shared" si="495"/>
        <v>0</v>
      </c>
    </row>
    <row r="6325" spans="5:11">
      <c r="E6325" s="3" t="s">
        <v>2593</v>
      </c>
      <c r="F6325" s="3" t="s">
        <v>2599</v>
      </c>
      <c r="G6325" s="10" t="str">
        <f t="shared" si="491"/>
        <v>07-13</v>
      </c>
      <c r="H6325" s="1">
        <f>_xlfn.IFNA(VLOOKUP(E6325,'Urban Plastix Holds'!$I$36:$U$498,10,0),0)</f>
        <v>0</v>
      </c>
      <c r="J6325" s="2">
        <f t="shared" si="494"/>
        <v>0</v>
      </c>
      <c r="K6325" s="2">
        <f t="shared" si="495"/>
        <v>0</v>
      </c>
    </row>
    <row r="6326" spans="5:11">
      <c r="E6326" s="3" t="s">
        <v>2593</v>
      </c>
      <c r="F6326" s="3" t="s">
        <v>2599</v>
      </c>
      <c r="G6326" s="11" t="str">
        <f t="shared" si="491"/>
        <v>11-25</v>
      </c>
      <c r="H6326" s="1">
        <f>_xlfn.IFNA(VLOOKUP(E6326,'Urban Plastix Holds'!$I$36:$U$498,11,0),0)</f>
        <v>0</v>
      </c>
      <c r="J6326" s="2">
        <f t="shared" si="494"/>
        <v>0</v>
      </c>
      <c r="K6326" s="2">
        <f t="shared" si="495"/>
        <v>0</v>
      </c>
    </row>
    <row r="6327" spans="5:11">
      <c r="E6327" s="3" t="s">
        <v>2593</v>
      </c>
      <c r="F6327" s="3" t="s">
        <v>2599</v>
      </c>
      <c r="G6327" s="13" t="str">
        <f t="shared" si="491"/>
        <v>18-01</v>
      </c>
      <c r="H6327" s="1">
        <f>_xlfn.IFNA(VLOOKUP(E6327,'Urban Plastix Holds'!$I$36:$U$498,12,0),0)</f>
        <v>0</v>
      </c>
      <c r="J6327" s="2">
        <f t="shared" si="494"/>
        <v>0</v>
      </c>
      <c r="K6327" s="2">
        <f t="shared" si="495"/>
        <v>0</v>
      </c>
    </row>
    <row r="6328" spans="5:11">
      <c r="E6328" s="3" t="s">
        <v>2593</v>
      </c>
      <c r="F6328" s="3" t="s">
        <v>2599</v>
      </c>
      <c r="G6328" s="12" t="str">
        <f t="shared" si="491"/>
        <v>12-01</v>
      </c>
      <c r="H6328" s="1">
        <f>_xlfn.IFNA(VLOOKUP(E6328,'Urban Plastix Holds'!$I$36:$U$498,13,0),0)</f>
        <v>0</v>
      </c>
      <c r="J6328" s="2">
        <f t="shared" si="494"/>
        <v>0</v>
      </c>
      <c r="K6328" s="2">
        <f t="shared" si="495"/>
        <v>0</v>
      </c>
    </row>
    <row r="6329" spans="5:11">
      <c r="E6329" s="3" t="s">
        <v>2642</v>
      </c>
      <c r="F6329" s="3" t="s">
        <v>2643</v>
      </c>
      <c r="G6329" s="5" t="str">
        <f t="shared" si="491"/>
        <v>11-12</v>
      </c>
      <c r="H6329" s="1">
        <f>_xlfn.IFNA(VLOOKUP(E6329,'Urban Plastix Holds'!$I$36:$U$498,5,0),0)</f>
        <v>0</v>
      </c>
      <c r="J6329" s="2">
        <f t="shared" ref="J6329:J6355" si="496">H6329*I6329</f>
        <v>0</v>
      </c>
      <c r="K6329" s="2">
        <f t="shared" ref="K6329:K6355" si="497">IF($V$11="Y",J6329*0.05,0)</f>
        <v>0</v>
      </c>
    </row>
    <row r="6330" spans="5:11">
      <c r="E6330" s="3" t="s">
        <v>2642</v>
      </c>
      <c r="F6330" s="3" t="s">
        <v>2643</v>
      </c>
      <c r="G6330" s="6" t="str">
        <f t="shared" si="491"/>
        <v>14-01</v>
      </c>
      <c r="H6330" s="1">
        <f>_xlfn.IFNA(VLOOKUP(E6330,'Urban Plastix Holds'!$I$36:$U$498,6,0),0)</f>
        <v>0</v>
      </c>
      <c r="J6330" s="2">
        <f t="shared" si="496"/>
        <v>0</v>
      </c>
      <c r="K6330" s="2">
        <f t="shared" si="497"/>
        <v>0</v>
      </c>
    </row>
    <row r="6331" spans="5:11">
      <c r="E6331" s="3" t="s">
        <v>2642</v>
      </c>
      <c r="F6331" s="3" t="s">
        <v>2643</v>
      </c>
      <c r="G6331" s="7" t="str">
        <f t="shared" si="491"/>
        <v>15-12</v>
      </c>
      <c r="H6331" s="1">
        <f>_xlfn.IFNA(VLOOKUP(E6331,'Urban Plastix Holds'!$I$36:$U$498,7,0),0)</f>
        <v>0</v>
      </c>
      <c r="J6331" s="2">
        <f t="shared" si="496"/>
        <v>0</v>
      </c>
      <c r="K6331" s="2">
        <f t="shared" si="497"/>
        <v>0</v>
      </c>
    </row>
    <row r="6332" spans="5:11">
      <c r="E6332" s="3" t="s">
        <v>2642</v>
      </c>
      <c r="F6332" s="3" t="s">
        <v>2643</v>
      </c>
      <c r="G6332" s="8" t="str">
        <f t="shared" si="491"/>
        <v>16-16</v>
      </c>
      <c r="H6332" s="1">
        <f>_xlfn.IFNA(VLOOKUP(E6332,'Urban Plastix Holds'!$I$36:$U$498,8,0),0)</f>
        <v>0</v>
      </c>
      <c r="J6332" s="2">
        <f t="shared" si="496"/>
        <v>0</v>
      </c>
      <c r="K6332" s="2">
        <f t="shared" si="497"/>
        <v>0</v>
      </c>
    </row>
    <row r="6333" spans="5:11">
      <c r="E6333" s="3" t="s">
        <v>2642</v>
      </c>
      <c r="F6333" s="3" t="s">
        <v>2643</v>
      </c>
      <c r="G6333" s="9" t="str">
        <f t="shared" si="491"/>
        <v>13-01</v>
      </c>
      <c r="H6333" s="1">
        <f>_xlfn.IFNA(VLOOKUP(E6333,'Urban Plastix Holds'!$I$36:$U$498,9,0),0)</f>
        <v>0</v>
      </c>
      <c r="J6333" s="2">
        <f t="shared" si="496"/>
        <v>0</v>
      </c>
      <c r="K6333" s="2">
        <f t="shared" si="497"/>
        <v>0</v>
      </c>
    </row>
    <row r="6334" spans="5:11">
      <c r="E6334" s="3" t="s">
        <v>2642</v>
      </c>
      <c r="F6334" s="3" t="s">
        <v>2643</v>
      </c>
      <c r="G6334" s="10" t="str">
        <f t="shared" si="491"/>
        <v>07-13</v>
      </c>
      <c r="H6334" s="1">
        <f>_xlfn.IFNA(VLOOKUP(E6334,'Urban Plastix Holds'!$I$36:$U$498,10,0),0)</f>
        <v>0</v>
      </c>
      <c r="J6334" s="2">
        <f t="shared" si="496"/>
        <v>0</v>
      </c>
      <c r="K6334" s="2">
        <f t="shared" si="497"/>
        <v>0</v>
      </c>
    </row>
    <row r="6335" spans="5:11">
      <c r="E6335" s="3" t="s">
        <v>2642</v>
      </c>
      <c r="F6335" s="3" t="s">
        <v>2643</v>
      </c>
      <c r="G6335" s="11" t="str">
        <f t="shared" si="491"/>
        <v>11-25</v>
      </c>
      <c r="H6335" s="1">
        <f>_xlfn.IFNA(VLOOKUP(E6335,'Urban Plastix Holds'!$I$36:$U$498,11,0),0)</f>
        <v>0</v>
      </c>
      <c r="J6335" s="2">
        <f t="shared" si="496"/>
        <v>0</v>
      </c>
      <c r="K6335" s="2">
        <f t="shared" si="497"/>
        <v>0</v>
      </c>
    </row>
    <row r="6336" spans="5:11">
      <c r="E6336" s="3" t="s">
        <v>2642</v>
      </c>
      <c r="F6336" s="3" t="s">
        <v>2643</v>
      </c>
      <c r="G6336" s="13" t="str">
        <f t="shared" si="491"/>
        <v>18-01</v>
      </c>
      <c r="H6336" s="1">
        <f>_xlfn.IFNA(VLOOKUP(E6336,'Urban Plastix Holds'!$I$36:$U$498,12,0),0)</f>
        <v>0</v>
      </c>
      <c r="J6336" s="2">
        <f t="shared" si="496"/>
        <v>0</v>
      </c>
      <c r="K6336" s="2">
        <f t="shared" si="497"/>
        <v>0</v>
      </c>
    </row>
    <row r="6337" spans="5:11">
      <c r="E6337" s="3" t="s">
        <v>2642</v>
      </c>
      <c r="F6337" s="3" t="s">
        <v>2643</v>
      </c>
      <c r="G6337" s="12" t="str">
        <f t="shared" si="491"/>
        <v>12-01</v>
      </c>
      <c r="H6337" s="1">
        <f>_xlfn.IFNA(VLOOKUP(E6337,'Urban Plastix Holds'!$I$36:$U$498,13,0),0)</f>
        <v>0</v>
      </c>
      <c r="J6337" s="2">
        <f t="shared" si="496"/>
        <v>0</v>
      </c>
      <c r="K6337" s="2">
        <f t="shared" si="497"/>
        <v>0</v>
      </c>
    </row>
    <row r="6338" spans="5:11">
      <c r="E6338" s="3" t="s">
        <v>2644</v>
      </c>
      <c r="F6338" s="3" t="s">
        <v>2645</v>
      </c>
      <c r="G6338" s="5" t="str">
        <f t="shared" si="491"/>
        <v>11-12</v>
      </c>
      <c r="H6338" s="1">
        <f>_xlfn.IFNA(VLOOKUP(E6338,'Urban Plastix Holds'!$I$36:$U$498,5,0),0)</f>
        <v>0</v>
      </c>
      <c r="J6338" s="2">
        <f t="shared" si="496"/>
        <v>0</v>
      </c>
      <c r="K6338" s="2">
        <f t="shared" si="497"/>
        <v>0</v>
      </c>
    </row>
    <row r="6339" spans="5:11">
      <c r="E6339" s="3" t="s">
        <v>2644</v>
      </c>
      <c r="F6339" s="3" t="s">
        <v>2645</v>
      </c>
      <c r="G6339" s="6" t="str">
        <f t="shared" si="491"/>
        <v>14-01</v>
      </c>
      <c r="H6339" s="1">
        <f>_xlfn.IFNA(VLOOKUP(E6339,'Urban Plastix Holds'!$I$36:$U$498,6,0),0)</f>
        <v>0</v>
      </c>
      <c r="J6339" s="2">
        <f t="shared" si="496"/>
        <v>0</v>
      </c>
      <c r="K6339" s="2">
        <f t="shared" si="497"/>
        <v>0</v>
      </c>
    </row>
    <row r="6340" spans="5:11">
      <c r="E6340" s="3" t="s">
        <v>2644</v>
      </c>
      <c r="F6340" s="3" t="s">
        <v>2645</v>
      </c>
      <c r="G6340" s="7" t="str">
        <f t="shared" si="491"/>
        <v>15-12</v>
      </c>
      <c r="H6340" s="1">
        <f>_xlfn.IFNA(VLOOKUP(E6340,'Urban Plastix Holds'!$I$36:$U$498,7,0),0)</f>
        <v>0</v>
      </c>
      <c r="J6340" s="2">
        <f t="shared" si="496"/>
        <v>0</v>
      </c>
      <c r="K6340" s="2">
        <f t="shared" si="497"/>
        <v>0</v>
      </c>
    </row>
    <row r="6341" spans="5:11">
      <c r="E6341" s="3" t="s">
        <v>2644</v>
      </c>
      <c r="F6341" s="3" t="s">
        <v>2645</v>
      </c>
      <c r="G6341" s="8" t="str">
        <f t="shared" si="491"/>
        <v>16-16</v>
      </c>
      <c r="H6341" s="1">
        <f>_xlfn.IFNA(VLOOKUP(E6341,'Urban Plastix Holds'!$I$36:$U$498,8,0),0)</f>
        <v>0</v>
      </c>
      <c r="J6341" s="2">
        <f t="shared" si="496"/>
        <v>0</v>
      </c>
      <c r="K6341" s="2">
        <f t="shared" si="497"/>
        <v>0</v>
      </c>
    </row>
    <row r="6342" spans="5:11">
      <c r="E6342" s="3" t="s">
        <v>2644</v>
      </c>
      <c r="F6342" s="3" t="s">
        <v>2645</v>
      </c>
      <c r="G6342" s="9" t="str">
        <f t="shared" si="491"/>
        <v>13-01</v>
      </c>
      <c r="H6342" s="1">
        <f>_xlfn.IFNA(VLOOKUP(E6342,'Urban Plastix Holds'!$I$36:$U$498,9,0),0)</f>
        <v>0</v>
      </c>
      <c r="J6342" s="2">
        <f t="shared" si="496"/>
        <v>0</v>
      </c>
      <c r="K6342" s="2">
        <f t="shared" si="497"/>
        <v>0</v>
      </c>
    </row>
    <row r="6343" spans="5:11">
      <c r="E6343" s="3" t="s">
        <v>2644</v>
      </c>
      <c r="F6343" s="3" t="s">
        <v>2645</v>
      </c>
      <c r="G6343" s="10" t="str">
        <f t="shared" si="491"/>
        <v>07-13</v>
      </c>
      <c r="H6343" s="1">
        <f>_xlfn.IFNA(VLOOKUP(E6343,'Urban Plastix Holds'!$I$36:$U$498,10,0),0)</f>
        <v>0</v>
      </c>
      <c r="J6343" s="2">
        <f t="shared" si="496"/>
        <v>0</v>
      </c>
      <c r="K6343" s="2">
        <f t="shared" si="497"/>
        <v>0</v>
      </c>
    </row>
    <row r="6344" spans="5:11">
      <c r="E6344" s="3" t="s">
        <v>2644</v>
      </c>
      <c r="F6344" s="3" t="s">
        <v>2645</v>
      </c>
      <c r="G6344" s="11" t="str">
        <f t="shared" si="491"/>
        <v>11-25</v>
      </c>
      <c r="H6344" s="1">
        <f>_xlfn.IFNA(VLOOKUP(E6344,'Urban Plastix Holds'!$I$36:$U$498,11,0),0)</f>
        <v>0</v>
      </c>
      <c r="J6344" s="2">
        <f t="shared" si="496"/>
        <v>0</v>
      </c>
      <c r="K6344" s="2">
        <f t="shared" si="497"/>
        <v>0</v>
      </c>
    </row>
    <row r="6345" spans="5:11">
      <c r="E6345" s="3" t="s">
        <v>2644</v>
      </c>
      <c r="F6345" s="3" t="s">
        <v>2645</v>
      </c>
      <c r="G6345" s="13" t="str">
        <f t="shared" si="491"/>
        <v>18-01</v>
      </c>
      <c r="H6345" s="1">
        <f>_xlfn.IFNA(VLOOKUP(E6345,'Urban Plastix Holds'!$I$36:$U$498,12,0),0)</f>
        <v>0</v>
      </c>
      <c r="J6345" s="2">
        <f t="shared" si="496"/>
        <v>0</v>
      </c>
      <c r="K6345" s="2">
        <f t="shared" si="497"/>
        <v>0</v>
      </c>
    </row>
    <row r="6346" spans="5:11">
      <c r="E6346" s="3" t="s">
        <v>2644</v>
      </c>
      <c r="F6346" s="3" t="s">
        <v>2645</v>
      </c>
      <c r="G6346" s="12" t="str">
        <f t="shared" si="491"/>
        <v>12-01</v>
      </c>
      <c r="H6346" s="1">
        <f>_xlfn.IFNA(VLOOKUP(E6346,'Urban Plastix Holds'!$I$36:$U$498,13,0),0)</f>
        <v>0</v>
      </c>
      <c r="J6346" s="2">
        <f t="shared" si="496"/>
        <v>0</v>
      </c>
      <c r="K6346" s="2">
        <f t="shared" si="497"/>
        <v>0</v>
      </c>
    </row>
    <row r="6347" spans="5:11">
      <c r="E6347" s="3" t="s">
        <v>2646</v>
      </c>
      <c r="F6347" s="3" t="s">
        <v>2647</v>
      </c>
      <c r="G6347" s="5" t="str">
        <f t="shared" si="491"/>
        <v>11-12</v>
      </c>
      <c r="H6347" s="1">
        <f>_xlfn.IFNA(VLOOKUP(E6347,'Urban Plastix Holds'!$I$36:$U$498,5,0),0)</f>
        <v>0</v>
      </c>
      <c r="J6347" s="2">
        <f t="shared" si="496"/>
        <v>0</v>
      </c>
      <c r="K6347" s="2">
        <f t="shared" si="497"/>
        <v>0</v>
      </c>
    </row>
    <row r="6348" spans="5:11">
      <c r="E6348" s="3" t="s">
        <v>2646</v>
      </c>
      <c r="F6348" s="3" t="s">
        <v>2647</v>
      </c>
      <c r="G6348" s="6" t="str">
        <f t="shared" si="491"/>
        <v>14-01</v>
      </c>
      <c r="H6348" s="1">
        <f>_xlfn.IFNA(VLOOKUP(E6348,'Urban Plastix Holds'!$I$36:$U$498,6,0),0)</f>
        <v>0</v>
      </c>
      <c r="J6348" s="2">
        <f t="shared" si="496"/>
        <v>0</v>
      </c>
      <c r="K6348" s="2">
        <f t="shared" si="497"/>
        <v>0</v>
      </c>
    </row>
    <row r="6349" spans="5:11">
      <c r="E6349" s="3" t="s">
        <v>2646</v>
      </c>
      <c r="F6349" s="3" t="s">
        <v>2647</v>
      </c>
      <c r="G6349" s="7" t="str">
        <f t="shared" ref="G6349:G6412" si="498">G6286</f>
        <v>15-12</v>
      </c>
      <c r="H6349" s="1">
        <f>_xlfn.IFNA(VLOOKUP(E6349,'Urban Plastix Holds'!$I$36:$U$498,7,0),0)</f>
        <v>0</v>
      </c>
      <c r="J6349" s="2">
        <f t="shared" si="496"/>
        <v>0</v>
      </c>
      <c r="K6349" s="2">
        <f t="shared" si="497"/>
        <v>0</v>
      </c>
    </row>
    <row r="6350" spans="5:11">
      <c r="E6350" s="3" t="s">
        <v>2646</v>
      </c>
      <c r="F6350" s="3" t="s">
        <v>2647</v>
      </c>
      <c r="G6350" s="8" t="str">
        <f t="shared" si="498"/>
        <v>16-16</v>
      </c>
      <c r="H6350" s="1">
        <f>_xlfn.IFNA(VLOOKUP(E6350,'Urban Plastix Holds'!$I$36:$U$498,8,0),0)</f>
        <v>0</v>
      </c>
      <c r="J6350" s="2">
        <f t="shared" si="496"/>
        <v>0</v>
      </c>
      <c r="K6350" s="2">
        <f t="shared" si="497"/>
        <v>0</v>
      </c>
    </row>
    <row r="6351" spans="5:11">
      <c r="E6351" s="3" t="s">
        <v>2646</v>
      </c>
      <c r="F6351" s="3" t="s">
        <v>2647</v>
      </c>
      <c r="G6351" s="9" t="str">
        <f t="shared" si="498"/>
        <v>13-01</v>
      </c>
      <c r="H6351" s="1">
        <f>_xlfn.IFNA(VLOOKUP(E6351,'Urban Plastix Holds'!$I$36:$U$498,9,0),0)</f>
        <v>0</v>
      </c>
      <c r="J6351" s="2">
        <f t="shared" si="496"/>
        <v>0</v>
      </c>
      <c r="K6351" s="2">
        <f t="shared" si="497"/>
        <v>0</v>
      </c>
    </row>
    <row r="6352" spans="5:11">
      <c r="E6352" s="3" t="s">
        <v>2646</v>
      </c>
      <c r="F6352" s="3" t="s">
        <v>2647</v>
      </c>
      <c r="G6352" s="10" t="str">
        <f t="shared" si="498"/>
        <v>07-13</v>
      </c>
      <c r="H6352" s="1">
        <f>_xlfn.IFNA(VLOOKUP(E6352,'Urban Plastix Holds'!$I$36:$U$498,10,0),0)</f>
        <v>0</v>
      </c>
      <c r="J6352" s="2">
        <f t="shared" si="496"/>
        <v>0</v>
      </c>
      <c r="K6352" s="2">
        <f t="shared" si="497"/>
        <v>0</v>
      </c>
    </row>
    <row r="6353" spans="5:11">
      <c r="E6353" s="3" t="s">
        <v>2646</v>
      </c>
      <c r="F6353" s="3" t="s">
        <v>2647</v>
      </c>
      <c r="G6353" s="11" t="str">
        <f t="shared" si="498"/>
        <v>11-25</v>
      </c>
      <c r="H6353" s="1">
        <f>_xlfn.IFNA(VLOOKUP(E6353,'Urban Plastix Holds'!$I$36:$U$498,11,0),0)</f>
        <v>0</v>
      </c>
      <c r="J6353" s="2">
        <f t="shared" si="496"/>
        <v>0</v>
      </c>
      <c r="K6353" s="2">
        <f t="shared" si="497"/>
        <v>0</v>
      </c>
    </row>
    <row r="6354" spans="5:11">
      <c r="E6354" s="3" t="s">
        <v>2646</v>
      </c>
      <c r="F6354" s="3" t="s">
        <v>2647</v>
      </c>
      <c r="G6354" s="13" t="str">
        <f t="shared" si="498"/>
        <v>18-01</v>
      </c>
      <c r="H6354" s="1">
        <f>_xlfn.IFNA(VLOOKUP(E6354,'Urban Plastix Holds'!$I$36:$U$498,12,0),0)</f>
        <v>0</v>
      </c>
      <c r="J6354" s="2">
        <f t="shared" si="496"/>
        <v>0</v>
      </c>
      <c r="K6354" s="2">
        <f t="shared" si="497"/>
        <v>0</v>
      </c>
    </row>
    <row r="6355" spans="5:11">
      <c r="E6355" s="3" t="s">
        <v>2646</v>
      </c>
      <c r="F6355" s="3" t="s">
        <v>2647</v>
      </c>
      <c r="G6355" s="12" t="str">
        <f t="shared" si="498"/>
        <v>12-01</v>
      </c>
      <c r="H6355" s="1">
        <f>_xlfn.IFNA(VLOOKUP(E6355,'Urban Plastix Holds'!$I$36:$U$498,13,0),0)</f>
        <v>0</v>
      </c>
      <c r="J6355" s="2">
        <f t="shared" si="496"/>
        <v>0</v>
      </c>
      <c r="K6355" s="2">
        <f t="shared" si="497"/>
        <v>0</v>
      </c>
    </row>
    <row r="6356" spans="5:11">
      <c r="E6356" s="3" t="s">
        <v>2648</v>
      </c>
      <c r="F6356" s="3" t="s">
        <v>2650</v>
      </c>
      <c r="G6356" s="5" t="str">
        <f t="shared" si="498"/>
        <v>11-12</v>
      </c>
      <c r="H6356" s="1">
        <f>_xlfn.IFNA(VLOOKUP(E6356,'Urban Plastix Holds'!$I$36:$U$498,5,0),0)</f>
        <v>0</v>
      </c>
      <c r="J6356" s="2">
        <f t="shared" ref="J6356:J6373" si="499">H6356*I6356</f>
        <v>0</v>
      </c>
      <c r="K6356" s="2">
        <f t="shared" ref="K6356:K6373" si="500">IF($V$11="Y",J6356*0.05,0)</f>
        <v>0</v>
      </c>
    </row>
    <row r="6357" spans="5:11">
      <c r="E6357" s="3" t="s">
        <v>2648</v>
      </c>
      <c r="F6357" s="3" t="s">
        <v>2650</v>
      </c>
      <c r="G6357" s="6" t="str">
        <f t="shared" si="498"/>
        <v>14-01</v>
      </c>
      <c r="H6357" s="1">
        <f>_xlfn.IFNA(VLOOKUP(E6357,'Urban Plastix Holds'!$I$36:$U$498,6,0),0)</f>
        <v>0</v>
      </c>
      <c r="J6357" s="2">
        <f t="shared" si="499"/>
        <v>0</v>
      </c>
      <c r="K6357" s="2">
        <f t="shared" si="500"/>
        <v>0</v>
      </c>
    </row>
    <row r="6358" spans="5:11">
      <c r="E6358" s="3" t="s">
        <v>2648</v>
      </c>
      <c r="F6358" s="3" t="s">
        <v>2650</v>
      </c>
      <c r="G6358" s="7" t="str">
        <f t="shared" si="498"/>
        <v>15-12</v>
      </c>
      <c r="H6358" s="1">
        <f>_xlfn.IFNA(VLOOKUP(E6358,'Urban Plastix Holds'!$I$36:$U$498,7,0),0)</f>
        <v>0</v>
      </c>
      <c r="J6358" s="2">
        <f t="shared" si="499"/>
        <v>0</v>
      </c>
      <c r="K6358" s="2">
        <f t="shared" si="500"/>
        <v>0</v>
      </c>
    </row>
    <row r="6359" spans="5:11">
      <c r="E6359" s="3" t="s">
        <v>2648</v>
      </c>
      <c r="F6359" s="3" t="s">
        <v>2650</v>
      </c>
      <c r="G6359" s="8" t="str">
        <f t="shared" si="498"/>
        <v>16-16</v>
      </c>
      <c r="H6359" s="1">
        <f>_xlfn.IFNA(VLOOKUP(E6359,'Urban Plastix Holds'!$I$36:$U$498,8,0),0)</f>
        <v>0</v>
      </c>
      <c r="J6359" s="2">
        <f t="shared" si="499"/>
        <v>0</v>
      </c>
      <c r="K6359" s="2">
        <f t="shared" si="500"/>
        <v>0</v>
      </c>
    </row>
    <row r="6360" spans="5:11">
      <c r="E6360" s="3" t="s">
        <v>2648</v>
      </c>
      <c r="F6360" s="3" t="s">
        <v>2650</v>
      </c>
      <c r="G6360" s="9" t="str">
        <f t="shared" si="498"/>
        <v>13-01</v>
      </c>
      <c r="H6360" s="1">
        <f>_xlfn.IFNA(VLOOKUP(E6360,'Urban Plastix Holds'!$I$36:$U$498,9,0),0)</f>
        <v>0</v>
      </c>
      <c r="J6360" s="2">
        <f t="shared" si="499"/>
        <v>0</v>
      </c>
      <c r="K6360" s="2">
        <f t="shared" si="500"/>
        <v>0</v>
      </c>
    </row>
    <row r="6361" spans="5:11">
      <c r="E6361" s="3" t="s">
        <v>2648</v>
      </c>
      <c r="F6361" s="3" t="s">
        <v>2650</v>
      </c>
      <c r="G6361" s="10" t="str">
        <f t="shared" si="498"/>
        <v>07-13</v>
      </c>
      <c r="H6361" s="1">
        <f>_xlfn.IFNA(VLOOKUP(E6361,'Urban Plastix Holds'!$I$36:$U$498,10,0),0)</f>
        <v>0</v>
      </c>
      <c r="J6361" s="2">
        <f t="shared" si="499"/>
        <v>0</v>
      </c>
      <c r="K6361" s="2">
        <f t="shared" si="500"/>
        <v>0</v>
      </c>
    </row>
    <row r="6362" spans="5:11">
      <c r="E6362" s="3" t="s">
        <v>2648</v>
      </c>
      <c r="F6362" s="3" t="s">
        <v>2650</v>
      </c>
      <c r="G6362" s="11" t="str">
        <f t="shared" si="498"/>
        <v>11-25</v>
      </c>
      <c r="H6362" s="1">
        <f>_xlfn.IFNA(VLOOKUP(E6362,'Urban Plastix Holds'!$I$36:$U$498,11,0),0)</f>
        <v>0</v>
      </c>
      <c r="J6362" s="2">
        <f t="shared" si="499"/>
        <v>0</v>
      </c>
      <c r="K6362" s="2">
        <f t="shared" si="500"/>
        <v>0</v>
      </c>
    </row>
    <row r="6363" spans="5:11">
      <c r="E6363" s="3" t="s">
        <v>2648</v>
      </c>
      <c r="F6363" s="3" t="s">
        <v>2650</v>
      </c>
      <c r="G6363" s="13" t="str">
        <f t="shared" si="498"/>
        <v>18-01</v>
      </c>
      <c r="H6363" s="1">
        <f>_xlfn.IFNA(VLOOKUP(E6363,'Urban Plastix Holds'!$I$36:$U$498,12,0),0)</f>
        <v>0</v>
      </c>
      <c r="J6363" s="2">
        <f t="shared" si="499"/>
        <v>0</v>
      </c>
      <c r="K6363" s="2">
        <f t="shared" si="500"/>
        <v>0</v>
      </c>
    </row>
    <row r="6364" spans="5:11">
      <c r="E6364" s="3" t="s">
        <v>2648</v>
      </c>
      <c r="F6364" s="3" t="s">
        <v>2650</v>
      </c>
      <c r="G6364" s="12" t="str">
        <f t="shared" si="498"/>
        <v>12-01</v>
      </c>
      <c r="H6364" s="1">
        <f>_xlfn.IFNA(VLOOKUP(E6364,'Urban Plastix Holds'!$I$36:$U$498,13,0),0)</f>
        <v>0</v>
      </c>
      <c r="J6364" s="2">
        <f t="shared" si="499"/>
        <v>0</v>
      </c>
      <c r="K6364" s="2">
        <f t="shared" si="500"/>
        <v>0</v>
      </c>
    </row>
    <row r="6365" spans="5:11">
      <c r="E6365" s="3" t="s">
        <v>2649</v>
      </c>
      <c r="F6365" s="3" t="s">
        <v>2651</v>
      </c>
      <c r="G6365" s="5" t="str">
        <f t="shared" si="498"/>
        <v>11-12</v>
      </c>
      <c r="H6365" s="1">
        <f>_xlfn.IFNA(VLOOKUP(E6365,'Urban Plastix Holds'!$I$36:$U$498,5,0),0)</f>
        <v>0</v>
      </c>
      <c r="J6365" s="2">
        <f t="shared" si="499"/>
        <v>0</v>
      </c>
      <c r="K6365" s="2">
        <f t="shared" si="500"/>
        <v>0</v>
      </c>
    </row>
    <row r="6366" spans="5:11">
      <c r="E6366" s="3" t="s">
        <v>2649</v>
      </c>
      <c r="F6366" s="3" t="s">
        <v>2651</v>
      </c>
      <c r="G6366" s="6" t="str">
        <f t="shared" si="498"/>
        <v>14-01</v>
      </c>
      <c r="H6366" s="1">
        <f>_xlfn.IFNA(VLOOKUP(E6366,'Urban Plastix Holds'!$I$36:$U$498,6,0),0)</f>
        <v>0</v>
      </c>
      <c r="J6366" s="2">
        <f t="shared" si="499"/>
        <v>0</v>
      </c>
      <c r="K6366" s="2">
        <f t="shared" si="500"/>
        <v>0</v>
      </c>
    </row>
    <row r="6367" spans="5:11">
      <c r="E6367" s="3" t="s">
        <v>2649</v>
      </c>
      <c r="F6367" s="3" t="s">
        <v>2651</v>
      </c>
      <c r="G6367" s="7" t="str">
        <f t="shared" si="498"/>
        <v>15-12</v>
      </c>
      <c r="H6367" s="1">
        <f>_xlfn.IFNA(VLOOKUP(E6367,'Urban Plastix Holds'!$I$36:$U$498,7,0),0)</f>
        <v>0</v>
      </c>
      <c r="J6367" s="2">
        <f t="shared" si="499"/>
        <v>0</v>
      </c>
      <c r="K6367" s="2">
        <f t="shared" si="500"/>
        <v>0</v>
      </c>
    </row>
    <row r="6368" spans="5:11">
      <c r="E6368" s="3" t="s">
        <v>2649</v>
      </c>
      <c r="F6368" s="3" t="s">
        <v>2651</v>
      </c>
      <c r="G6368" s="8" t="str">
        <f t="shared" si="498"/>
        <v>16-16</v>
      </c>
      <c r="H6368" s="1">
        <f>_xlfn.IFNA(VLOOKUP(E6368,'Urban Plastix Holds'!$I$36:$U$498,8,0),0)</f>
        <v>0</v>
      </c>
      <c r="J6368" s="2">
        <f t="shared" si="499"/>
        <v>0</v>
      </c>
      <c r="K6368" s="2">
        <f t="shared" si="500"/>
        <v>0</v>
      </c>
    </row>
    <row r="6369" spans="5:11">
      <c r="E6369" s="3" t="s">
        <v>2649</v>
      </c>
      <c r="F6369" s="3" t="s">
        <v>2651</v>
      </c>
      <c r="G6369" s="9" t="str">
        <f t="shared" si="498"/>
        <v>13-01</v>
      </c>
      <c r="H6369" s="1">
        <f>_xlfn.IFNA(VLOOKUP(E6369,'Urban Plastix Holds'!$I$36:$U$498,9,0),0)</f>
        <v>0</v>
      </c>
      <c r="J6369" s="2">
        <f t="shared" si="499"/>
        <v>0</v>
      </c>
      <c r="K6369" s="2">
        <f t="shared" si="500"/>
        <v>0</v>
      </c>
    </row>
    <row r="6370" spans="5:11">
      <c r="E6370" s="3" t="s">
        <v>2649</v>
      </c>
      <c r="F6370" s="3" t="s">
        <v>2651</v>
      </c>
      <c r="G6370" s="10" t="str">
        <f t="shared" si="498"/>
        <v>07-13</v>
      </c>
      <c r="H6370" s="1">
        <f>_xlfn.IFNA(VLOOKUP(E6370,'Urban Plastix Holds'!$I$36:$U$498,10,0),0)</f>
        <v>0</v>
      </c>
      <c r="J6370" s="2">
        <f t="shared" si="499"/>
        <v>0</v>
      </c>
      <c r="K6370" s="2">
        <f t="shared" si="500"/>
        <v>0</v>
      </c>
    </row>
    <row r="6371" spans="5:11">
      <c r="E6371" s="3" t="s">
        <v>2649</v>
      </c>
      <c r="F6371" s="3" t="s">
        <v>2651</v>
      </c>
      <c r="G6371" s="11" t="str">
        <f t="shared" si="498"/>
        <v>11-25</v>
      </c>
      <c r="H6371" s="1">
        <f>_xlfn.IFNA(VLOOKUP(E6371,'Urban Plastix Holds'!$I$36:$U$498,11,0),0)</f>
        <v>0</v>
      </c>
      <c r="J6371" s="2">
        <f t="shared" si="499"/>
        <v>0</v>
      </c>
      <c r="K6371" s="2">
        <f t="shared" si="500"/>
        <v>0</v>
      </c>
    </row>
    <row r="6372" spans="5:11">
      <c r="E6372" s="3" t="s">
        <v>2649</v>
      </c>
      <c r="F6372" s="3" t="s">
        <v>2651</v>
      </c>
      <c r="G6372" s="13" t="str">
        <f t="shared" si="498"/>
        <v>18-01</v>
      </c>
      <c r="H6372" s="1">
        <f>_xlfn.IFNA(VLOOKUP(E6372,'Urban Plastix Holds'!$I$36:$U$498,12,0),0)</f>
        <v>0</v>
      </c>
      <c r="J6372" s="2">
        <f t="shared" si="499"/>
        <v>0</v>
      </c>
      <c r="K6372" s="2">
        <f t="shared" si="500"/>
        <v>0</v>
      </c>
    </row>
    <row r="6373" spans="5:11">
      <c r="E6373" s="3" t="s">
        <v>2649</v>
      </c>
      <c r="F6373" s="3" t="s">
        <v>2651</v>
      </c>
      <c r="G6373" s="12" t="str">
        <f t="shared" si="498"/>
        <v>12-01</v>
      </c>
      <c r="H6373" s="1">
        <f>_xlfn.IFNA(VLOOKUP(E6373,'Urban Plastix Holds'!$I$36:$U$498,13,0),0)</f>
        <v>0</v>
      </c>
      <c r="J6373" s="2">
        <f t="shared" si="499"/>
        <v>0</v>
      </c>
      <c r="K6373" s="2">
        <f t="shared" si="500"/>
        <v>0</v>
      </c>
    </row>
    <row r="6374" spans="5:11">
      <c r="E6374" s="3" t="s">
        <v>2655</v>
      </c>
      <c r="F6374" s="3" t="s">
        <v>2659</v>
      </c>
      <c r="G6374" s="5" t="str">
        <f t="shared" si="498"/>
        <v>11-12</v>
      </c>
      <c r="H6374" s="1">
        <f>_xlfn.IFNA(VLOOKUP(E6374,'Urban Plastix Holds'!$I$36:$U$498,5,0),0)</f>
        <v>0</v>
      </c>
      <c r="J6374" s="2">
        <f t="shared" ref="J6374:J6418" si="501">H6374*I6374</f>
        <v>0</v>
      </c>
      <c r="K6374" s="2">
        <f t="shared" ref="K6374:K6418" si="502">IF($V$11="Y",J6374*0.05,0)</f>
        <v>0</v>
      </c>
    </row>
    <row r="6375" spans="5:11">
      <c r="E6375" s="3" t="s">
        <v>2655</v>
      </c>
      <c r="F6375" s="3" t="s">
        <v>2659</v>
      </c>
      <c r="G6375" s="6" t="str">
        <f t="shared" si="498"/>
        <v>14-01</v>
      </c>
      <c r="H6375" s="1">
        <f>_xlfn.IFNA(VLOOKUP(E6375,'Urban Plastix Holds'!$I$36:$U$498,6,0),0)</f>
        <v>0</v>
      </c>
      <c r="J6375" s="2">
        <f t="shared" si="501"/>
        <v>0</v>
      </c>
      <c r="K6375" s="2">
        <f t="shared" si="502"/>
        <v>0</v>
      </c>
    </row>
    <row r="6376" spans="5:11">
      <c r="E6376" s="3" t="s">
        <v>2655</v>
      </c>
      <c r="F6376" s="3" t="s">
        <v>2659</v>
      </c>
      <c r="G6376" s="7" t="str">
        <f t="shared" si="498"/>
        <v>15-12</v>
      </c>
      <c r="H6376" s="1">
        <f>_xlfn.IFNA(VLOOKUP(E6376,'Urban Plastix Holds'!$I$36:$U$498,7,0),0)</f>
        <v>0</v>
      </c>
      <c r="J6376" s="2">
        <f t="shared" si="501"/>
        <v>0</v>
      </c>
      <c r="K6376" s="2">
        <f t="shared" si="502"/>
        <v>0</v>
      </c>
    </row>
    <row r="6377" spans="5:11">
      <c r="E6377" s="3" t="s">
        <v>2655</v>
      </c>
      <c r="F6377" s="3" t="s">
        <v>2659</v>
      </c>
      <c r="G6377" s="8" t="str">
        <f t="shared" si="498"/>
        <v>16-16</v>
      </c>
      <c r="H6377" s="1">
        <f>_xlfn.IFNA(VLOOKUP(E6377,'Urban Plastix Holds'!$I$36:$U$498,8,0),0)</f>
        <v>0</v>
      </c>
      <c r="J6377" s="2">
        <f t="shared" si="501"/>
        <v>0</v>
      </c>
      <c r="K6377" s="2">
        <f t="shared" si="502"/>
        <v>0</v>
      </c>
    </row>
    <row r="6378" spans="5:11">
      <c r="E6378" s="3" t="s">
        <v>2655</v>
      </c>
      <c r="F6378" s="3" t="s">
        <v>2659</v>
      </c>
      <c r="G6378" s="9" t="str">
        <f t="shared" si="498"/>
        <v>13-01</v>
      </c>
      <c r="H6378" s="1">
        <f>_xlfn.IFNA(VLOOKUP(E6378,'Urban Plastix Holds'!$I$36:$U$498,9,0),0)</f>
        <v>0</v>
      </c>
      <c r="J6378" s="2">
        <f t="shared" si="501"/>
        <v>0</v>
      </c>
      <c r="K6378" s="2">
        <f t="shared" si="502"/>
        <v>0</v>
      </c>
    </row>
    <row r="6379" spans="5:11">
      <c r="E6379" s="3" t="s">
        <v>2655</v>
      </c>
      <c r="F6379" s="3" t="s">
        <v>2659</v>
      </c>
      <c r="G6379" s="10" t="str">
        <f t="shared" si="498"/>
        <v>07-13</v>
      </c>
      <c r="H6379" s="1">
        <f>_xlfn.IFNA(VLOOKUP(E6379,'Urban Plastix Holds'!$I$36:$U$498,10,0),0)</f>
        <v>0</v>
      </c>
      <c r="J6379" s="2">
        <f t="shared" si="501"/>
        <v>0</v>
      </c>
      <c r="K6379" s="2">
        <f t="shared" si="502"/>
        <v>0</v>
      </c>
    </row>
    <row r="6380" spans="5:11">
      <c r="E6380" s="3" t="s">
        <v>2655</v>
      </c>
      <c r="F6380" s="3" t="s">
        <v>2659</v>
      </c>
      <c r="G6380" s="11" t="str">
        <f t="shared" si="498"/>
        <v>11-25</v>
      </c>
      <c r="H6380" s="1">
        <f>_xlfn.IFNA(VLOOKUP(E6380,'Urban Plastix Holds'!$I$36:$U$498,11,0),0)</f>
        <v>0</v>
      </c>
      <c r="J6380" s="2">
        <f t="shared" si="501"/>
        <v>0</v>
      </c>
      <c r="K6380" s="2">
        <f t="shared" si="502"/>
        <v>0</v>
      </c>
    </row>
    <row r="6381" spans="5:11">
      <c r="E6381" s="3" t="s">
        <v>2655</v>
      </c>
      <c r="F6381" s="3" t="s">
        <v>2659</v>
      </c>
      <c r="G6381" s="13" t="str">
        <f t="shared" si="498"/>
        <v>18-01</v>
      </c>
      <c r="H6381" s="1">
        <f>_xlfn.IFNA(VLOOKUP(E6381,'Urban Plastix Holds'!$I$36:$U$498,12,0),0)</f>
        <v>0</v>
      </c>
      <c r="J6381" s="2">
        <f t="shared" si="501"/>
        <v>0</v>
      </c>
      <c r="K6381" s="2">
        <f t="shared" si="502"/>
        <v>0</v>
      </c>
    </row>
    <row r="6382" spans="5:11">
      <c r="E6382" s="3" t="s">
        <v>2655</v>
      </c>
      <c r="F6382" s="3" t="s">
        <v>2659</v>
      </c>
      <c r="G6382" s="12" t="str">
        <f t="shared" si="498"/>
        <v>12-01</v>
      </c>
      <c r="H6382" s="1">
        <f>_xlfn.IFNA(VLOOKUP(E6382,'Urban Plastix Holds'!$I$36:$U$498,13,0),0)</f>
        <v>0</v>
      </c>
      <c r="J6382" s="2">
        <f t="shared" si="501"/>
        <v>0</v>
      </c>
      <c r="K6382" s="2">
        <f t="shared" si="502"/>
        <v>0</v>
      </c>
    </row>
    <row r="6383" spans="5:11">
      <c r="E6383" s="3" t="s">
        <v>2657</v>
      </c>
      <c r="F6383" s="3" t="s">
        <v>2660</v>
      </c>
      <c r="G6383" s="5" t="str">
        <f t="shared" si="498"/>
        <v>11-12</v>
      </c>
      <c r="H6383" s="1">
        <f>_xlfn.IFNA(VLOOKUP(E6383,'Urban Plastix Holds'!$I$36:$U$498,5,0),0)</f>
        <v>0</v>
      </c>
      <c r="J6383" s="2">
        <f t="shared" si="501"/>
        <v>0</v>
      </c>
      <c r="K6383" s="2">
        <f t="shared" si="502"/>
        <v>0</v>
      </c>
    </row>
    <row r="6384" spans="5:11">
      <c r="E6384" s="3" t="s">
        <v>2657</v>
      </c>
      <c r="F6384" s="3" t="s">
        <v>2660</v>
      </c>
      <c r="G6384" s="6" t="str">
        <f t="shared" si="498"/>
        <v>14-01</v>
      </c>
      <c r="H6384" s="1">
        <f>_xlfn.IFNA(VLOOKUP(E6384,'Urban Plastix Holds'!$I$36:$U$498,6,0),0)</f>
        <v>0</v>
      </c>
      <c r="J6384" s="2">
        <f t="shared" si="501"/>
        <v>0</v>
      </c>
      <c r="K6384" s="2">
        <f t="shared" si="502"/>
        <v>0</v>
      </c>
    </row>
    <row r="6385" spans="5:11">
      <c r="E6385" s="3" t="s">
        <v>2657</v>
      </c>
      <c r="F6385" s="3" t="s">
        <v>2660</v>
      </c>
      <c r="G6385" s="7" t="str">
        <f t="shared" si="498"/>
        <v>15-12</v>
      </c>
      <c r="H6385" s="1">
        <f>_xlfn.IFNA(VLOOKUP(E6385,'Urban Plastix Holds'!$I$36:$U$498,7,0),0)</f>
        <v>0</v>
      </c>
      <c r="J6385" s="2">
        <f t="shared" si="501"/>
        <v>0</v>
      </c>
      <c r="K6385" s="2">
        <f t="shared" si="502"/>
        <v>0</v>
      </c>
    </row>
    <row r="6386" spans="5:11">
      <c r="E6386" s="3" t="s">
        <v>2657</v>
      </c>
      <c r="F6386" s="3" t="s">
        <v>2660</v>
      </c>
      <c r="G6386" s="8" t="str">
        <f t="shared" si="498"/>
        <v>16-16</v>
      </c>
      <c r="H6386" s="1">
        <f>_xlfn.IFNA(VLOOKUP(E6386,'Urban Plastix Holds'!$I$36:$U$498,8,0),0)</f>
        <v>0</v>
      </c>
      <c r="J6386" s="2">
        <f t="shared" si="501"/>
        <v>0</v>
      </c>
      <c r="K6386" s="2">
        <f t="shared" si="502"/>
        <v>0</v>
      </c>
    </row>
    <row r="6387" spans="5:11">
      <c r="E6387" s="3" t="s">
        <v>2657</v>
      </c>
      <c r="F6387" s="3" t="s">
        <v>2660</v>
      </c>
      <c r="G6387" s="9" t="str">
        <f t="shared" si="498"/>
        <v>13-01</v>
      </c>
      <c r="H6387" s="1">
        <f>_xlfn.IFNA(VLOOKUP(E6387,'Urban Plastix Holds'!$I$36:$U$498,9,0),0)</f>
        <v>0</v>
      </c>
      <c r="J6387" s="2">
        <f t="shared" si="501"/>
        <v>0</v>
      </c>
      <c r="K6387" s="2">
        <f t="shared" si="502"/>
        <v>0</v>
      </c>
    </row>
    <row r="6388" spans="5:11">
      <c r="E6388" s="3" t="s">
        <v>2657</v>
      </c>
      <c r="F6388" s="3" t="s">
        <v>2660</v>
      </c>
      <c r="G6388" s="10" t="str">
        <f t="shared" si="498"/>
        <v>07-13</v>
      </c>
      <c r="H6388" s="1">
        <f>_xlfn.IFNA(VLOOKUP(E6388,'Urban Plastix Holds'!$I$36:$U$498,10,0),0)</f>
        <v>0</v>
      </c>
      <c r="J6388" s="2">
        <f t="shared" si="501"/>
        <v>0</v>
      </c>
      <c r="K6388" s="2">
        <f t="shared" si="502"/>
        <v>0</v>
      </c>
    </row>
    <row r="6389" spans="5:11">
      <c r="E6389" s="3" t="s">
        <v>2657</v>
      </c>
      <c r="F6389" s="3" t="s">
        <v>2660</v>
      </c>
      <c r="G6389" s="11" t="str">
        <f t="shared" si="498"/>
        <v>11-25</v>
      </c>
      <c r="H6389" s="1">
        <f>_xlfn.IFNA(VLOOKUP(E6389,'Urban Plastix Holds'!$I$36:$U$498,11,0),0)</f>
        <v>0</v>
      </c>
      <c r="J6389" s="2">
        <f t="shared" si="501"/>
        <v>0</v>
      </c>
      <c r="K6389" s="2">
        <f t="shared" si="502"/>
        <v>0</v>
      </c>
    </row>
    <row r="6390" spans="5:11">
      <c r="E6390" s="3" t="s">
        <v>2657</v>
      </c>
      <c r="F6390" s="3" t="s">
        <v>2660</v>
      </c>
      <c r="G6390" s="13" t="str">
        <f t="shared" si="498"/>
        <v>18-01</v>
      </c>
      <c r="H6390" s="1">
        <f>_xlfn.IFNA(VLOOKUP(E6390,'Urban Plastix Holds'!$I$36:$U$498,12,0),0)</f>
        <v>0</v>
      </c>
      <c r="J6390" s="2">
        <f t="shared" si="501"/>
        <v>0</v>
      </c>
      <c r="K6390" s="2">
        <f t="shared" si="502"/>
        <v>0</v>
      </c>
    </row>
    <row r="6391" spans="5:11">
      <c r="E6391" s="3" t="s">
        <v>2657</v>
      </c>
      <c r="F6391" s="3" t="s">
        <v>2660</v>
      </c>
      <c r="G6391" s="12" t="str">
        <f t="shared" si="498"/>
        <v>12-01</v>
      </c>
      <c r="H6391" s="1">
        <f>_xlfn.IFNA(VLOOKUP(E6391,'Urban Plastix Holds'!$I$36:$U$498,13,0),0)</f>
        <v>0</v>
      </c>
      <c r="J6391" s="2">
        <f t="shared" si="501"/>
        <v>0</v>
      </c>
      <c r="K6391" s="2">
        <f t="shared" si="502"/>
        <v>0</v>
      </c>
    </row>
    <row r="6392" spans="5:11">
      <c r="E6392" s="3" t="s">
        <v>2658</v>
      </c>
      <c r="F6392" s="3" t="s">
        <v>2661</v>
      </c>
      <c r="G6392" s="5" t="str">
        <f t="shared" si="498"/>
        <v>11-12</v>
      </c>
      <c r="H6392" s="1">
        <f>_xlfn.IFNA(VLOOKUP(E6392,'Urban Plastix Holds'!$I$36:$U$498,5,0),0)</f>
        <v>0</v>
      </c>
      <c r="J6392" s="2">
        <f t="shared" si="501"/>
        <v>0</v>
      </c>
      <c r="K6392" s="2">
        <f t="shared" si="502"/>
        <v>0</v>
      </c>
    </row>
    <row r="6393" spans="5:11">
      <c r="E6393" s="3" t="s">
        <v>2658</v>
      </c>
      <c r="F6393" s="3" t="s">
        <v>2661</v>
      </c>
      <c r="G6393" s="6" t="str">
        <f t="shared" si="498"/>
        <v>14-01</v>
      </c>
      <c r="H6393" s="1">
        <f>_xlfn.IFNA(VLOOKUP(E6393,'Urban Plastix Holds'!$I$36:$U$498,6,0),0)</f>
        <v>0</v>
      </c>
      <c r="J6393" s="2">
        <f t="shared" si="501"/>
        <v>0</v>
      </c>
      <c r="K6393" s="2">
        <f t="shared" si="502"/>
        <v>0</v>
      </c>
    </row>
    <row r="6394" spans="5:11">
      <c r="E6394" s="3" t="s">
        <v>2658</v>
      </c>
      <c r="F6394" s="3" t="s">
        <v>2661</v>
      </c>
      <c r="G6394" s="7" t="str">
        <f t="shared" si="498"/>
        <v>15-12</v>
      </c>
      <c r="H6394" s="1">
        <f>_xlfn.IFNA(VLOOKUP(E6394,'Urban Plastix Holds'!$I$36:$U$498,7,0),0)</f>
        <v>0</v>
      </c>
      <c r="J6394" s="2">
        <f t="shared" si="501"/>
        <v>0</v>
      </c>
      <c r="K6394" s="2">
        <f t="shared" si="502"/>
        <v>0</v>
      </c>
    </row>
    <row r="6395" spans="5:11">
      <c r="E6395" s="3" t="s">
        <v>2658</v>
      </c>
      <c r="F6395" s="3" t="s">
        <v>2661</v>
      </c>
      <c r="G6395" s="8" t="str">
        <f t="shared" si="498"/>
        <v>16-16</v>
      </c>
      <c r="H6395" s="1">
        <f>_xlfn.IFNA(VLOOKUP(E6395,'Urban Plastix Holds'!$I$36:$U$498,8,0),0)</f>
        <v>0</v>
      </c>
      <c r="J6395" s="2">
        <f t="shared" si="501"/>
        <v>0</v>
      </c>
      <c r="K6395" s="2">
        <f t="shared" si="502"/>
        <v>0</v>
      </c>
    </row>
    <row r="6396" spans="5:11">
      <c r="E6396" s="3" t="s">
        <v>2658</v>
      </c>
      <c r="F6396" s="3" t="s">
        <v>2661</v>
      </c>
      <c r="G6396" s="9" t="str">
        <f t="shared" si="498"/>
        <v>13-01</v>
      </c>
      <c r="H6396" s="1">
        <f>_xlfn.IFNA(VLOOKUP(E6396,'Urban Plastix Holds'!$I$36:$U$498,9,0),0)</f>
        <v>0</v>
      </c>
      <c r="J6396" s="2">
        <f t="shared" si="501"/>
        <v>0</v>
      </c>
      <c r="K6396" s="2">
        <f t="shared" si="502"/>
        <v>0</v>
      </c>
    </row>
    <row r="6397" spans="5:11">
      <c r="E6397" s="3" t="s">
        <v>2658</v>
      </c>
      <c r="F6397" s="3" t="s">
        <v>2661</v>
      </c>
      <c r="G6397" s="10" t="str">
        <f t="shared" si="498"/>
        <v>07-13</v>
      </c>
      <c r="H6397" s="1">
        <f>_xlfn.IFNA(VLOOKUP(E6397,'Urban Plastix Holds'!$I$36:$U$498,10,0),0)</f>
        <v>0</v>
      </c>
      <c r="J6397" s="2">
        <f t="shared" si="501"/>
        <v>0</v>
      </c>
      <c r="K6397" s="2">
        <f t="shared" si="502"/>
        <v>0</v>
      </c>
    </row>
    <row r="6398" spans="5:11">
      <c r="E6398" s="3" t="s">
        <v>2658</v>
      </c>
      <c r="F6398" s="3" t="s">
        <v>2661</v>
      </c>
      <c r="G6398" s="11" t="str">
        <f t="shared" si="498"/>
        <v>11-25</v>
      </c>
      <c r="H6398" s="1">
        <f>_xlfn.IFNA(VLOOKUP(E6398,'Urban Plastix Holds'!$I$36:$U$498,11,0),0)</f>
        <v>0</v>
      </c>
      <c r="J6398" s="2">
        <f t="shared" si="501"/>
        <v>0</v>
      </c>
      <c r="K6398" s="2">
        <f t="shared" si="502"/>
        <v>0</v>
      </c>
    </row>
    <row r="6399" spans="5:11">
      <c r="E6399" s="3" t="s">
        <v>2658</v>
      </c>
      <c r="F6399" s="3" t="s">
        <v>2661</v>
      </c>
      <c r="G6399" s="13" t="str">
        <f t="shared" si="498"/>
        <v>18-01</v>
      </c>
      <c r="H6399" s="1">
        <f>_xlfn.IFNA(VLOOKUP(E6399,'Urban Plastix Holds'!$I$36:$U$498,12,0),0)</f>
        <v>0</v>
      </c>
      <c r="J6399" s="2">
        <f t="shared" si="501"/>
        <v>0</v>
      </c>
      <c r="K6399" s="2">
        <f t="shared" si="502"/>
        <v>0</v>
      </c>
    </row>
    <row r="6400" spans="5:11">
      <c r="E6400" s="3" t="s">
        <v>2658</v>
      </c>
      <c r="F6400" s="3" t="s">
        <v>2661</v>
      </c>
      <c r="G6400" s="12" t="str">
        <f t="shared" si="498"/>
        <v>12-01</v>
      </c>
      <c r="H6400" s="1">
        <f>_xlfn.IFNA(VLOOKUP(E6400,'Urban Plastix Holds'!$I$36:$U$498,13,0),0)</f>
        <v>0</v>
      </c>
      <c r="J6400" s="2">
        <f t="shared" si="501"/>
        <v>0</v>
      </c>
      <c r="K6400" s="2">
        <f t="shared" si="502"/>
        <v>0</v>
      </c>
    </row>
    <row r="6401" spans="5:11">
      <c r="E6401" s="3" t="s">
        <v>2654</v>
      </c>
      <c r="F6401" s="3" t="s">
        <v>2662</v>
      </c>
      <c r="G6401" s="5" t="str">
        <f t="shared" si="498"/>
        <v>11-12</v>
      </c>
      <c r="H6401" s="1">
        <f>_xlfn.IFNA(VLOOKUP(E6401,'Urban Plastix Holds'!$I$36:$U$498,5,0),0)</f>
        <v>0</v>
      </c>
      <c r="J6401" s="2">
        <f t="shared" si="501"/>
        <v>0</v>
      </c>
      <c r="K6401" s="2">
        <f t="shared" si="502"/>
        <v>0</v>
      </c>
    </row>
    <row r="6402" spans="5:11">
      <c r="E6402" s="3" t="s">
        <v>2654</v>
      </c>
      <c r="F6402" s="3" t="s">
        <v>2662</v>
      </c>
      <c r="G6402" s="6" t="str">
        <f t="shared" si="498"/>
        <v>14-01</v>
      </c>
      <c r="H6402" s="1">
        <f>_xlfn.IFNA(VLOOKUP(E6402,'Urban Plastix Holds'!$I$36:$U$498,6,0),0)</f>
        <v>0</v>
      </c>
      <c r="J6402" s="2">
        <f t="shared" si="501"/>
        <v>0</v>
      </c>
      <c r="K6402" s="2">
        <f t="shared" si="502"/>
        <v>0</v>
      </c>
    </row>
    <row r="6403" spans="5:11">
      <c r="E6403" s="3" t="s">
        <v>2654</v>
      </c>
      <c r="F6403" s="3" t="s">
        <v>2662</v>
      </c>
      <c r="G6403" s="7" t="str">
        <f t="shared" si="498"/>
        <v>15-12</v>
      </c>
      <c r="H6403" s="1">
        <f>_xlfn.IFNA(VLOOKUP(E6403,'Urban Plastix Holds'!$I$36:$U$498,7,0),0)</f>
        <v>0</v>
      </c>
      <c r="J6403" s="2">
        <f t="shared" si="501"/>
        <v>0</v>
      </c>
      <c r="K6403" s="2">
        <f t="shared" si="502"/>
        <v>0</v>
      </c>
    </row>
    <row r="6404" spans="5:11">
      <c r="E6404" s="3" t="s">
        <v>2654</v>
      </c>
      <c r="F6404" s="3" t="s">
        <v>2662</v>
      </c>
      <c r="G6404" s="8" t="str">
        <f t="shared" si="498"/>
        <v>16-16</v>
      </c>
      <c r="H6404" s="1">
        <f>_xlfn.IFNA(VLOOKUP(E6404,'Urban Plastix Holds'!$I$36:$U$498,8,0),0)</f>
        <v>0</v>
      </c>
      <c r="J6404" s="2">
        <f t="shared" si="501"/>
        <v>0</v>
      </c>
      <c r="K6404" s="2">
        <f t="shared" si="502"/>
        <v>0</v>
      </c>
    </row>
    <row r="6405" spans="5:11">
      <c r="E6405" s="3" t="s">
        <v>2654</v>
      </c>
      <c r="F6405" s="3" t="s">
        <v>2662</v>
      </c>
      <c r="G6405" s="9" t="str">
        <f t="shared" si="498"/>
        <v>13-01</v>
      </c>
      <c r="H6405" s="1">
        <f>_xlfn.IFNA(VLOOKUP(E6405,'Urban Plastix Holds'!$I$36:$U$498,9,0),0)</f>
        <v>0</v>
      </c>
      <c r="J6405" s="2">
        <f t="shared" si="501"/>
        <v>0</v>
      </c>
      <c r="K6405" s="2">
        <f t="shared" si="502"/>
        <v>0</v>
      </c>
    </row>
    <row r="6406" spans="5:11">
      <c r="E6406" s="3" t="s">
        <v>2654</v>
      </c>
      <c r="F6406" s="3" t="s">
        <v>2662</v>
      </c>
      <c r="G6406" s="10" t="str">
        <f t="shared" si="498"/>
        <v>07-13</v>
      </c>
      <c r="H6406" s="1">
        <f>_xlfn.IFNA(VLOOKUP(E6406,'Urban Plastix Holds'!$I$36:$U$498,10,0),0)</f>
        <v>0</v>
      </c>
      <c r="J6406" s="2">
        <f t="shared" si="501"/>
        <v>0</v>
      </c>
      <c r="K6406" s="2">
        <f t="shared" si="502"/>
        <v>0</v>
      </c>
    </row>
    <row r="6407" spans="5:11">
      <c r="E6407" s="3" t="s">
        <v>2654</v>
      </c>
      <c r="F6407" s="3" t="s">
        <v>2662</v>
      </c>
      <c r="G6407" s="11" t="str">
        <f t="shared" si="498"/>
        <v>11-25</v>
      </c>
      <c r="H6407" s="1">
        <f>_xlfn.IFNA(VLOOKUP(E6407,'Urban Plastix Holds'!$I$36:$U$498,11,0),0)</f>
        <v>0</v>
      </c>
      <c r="J6407" s="2">
        <f t="shared" si="501"/>
        <v>0</v>
      </c>
      <c r="K6407" s="2">
        <f t="shared" si="502"/>
        <v>0</v>
      </c>
    </row>
    <row r="6408" spans="5:11">
      <c r="E6408" s="3" t="s">
        <v>2654</v>
      </c>
      <c r="F6408" s="3" t="s">
        <v>2662</v>
      </c>
      <c r="G6408" s="13" t="str">
        <f t="shared" si="498"/>
        <v>18-01</v>
      </c>
      <c r="H6408" s="1">
        <f>_xlfn.IFNA(VLOOKUP(E6408,'Urban Plastix Holds'!$I$36:$U$498,12,0),0)</f>
        <v>0</v>
      </c>
      <c r="J6408" s="2">
        <f t="shared" si="501"/>
        <v>0</v>
      </c>
      <c r="K6408" s="2">
        <f t="shared" si="502"/>
        <v>0</v>
      </c>
    </row>
    <row r="6409" spans="5:11">
      <c r="E6409" s="3" t="s">
        <v>2654</v>
      </c>
      <c r="F6409" s="3" t="s">
        <v>2662</v>
      </c>
      <c r="G6409" s="12" t="str">
        <f t="shared" si="498"/>
        <v>12-01</v>
      </c>
      <c r="H6409" s="1">
        <f>_xlfn.IFNA(VLOOKUP(E6409,'Urban Plastix Holds'!$I$36:$U$498,13,0),0)</f>
        <v>0</v>
      </c>
      <c r="J6409" s="2">
        <f t="shared" si="501"/>
        <v>0</v>
      </c>
      <c r="K6409" s="2">
        <f t="shared" si="502"/>
        <v>0</v>
      </c>
    </row>
    <row r="6410" spans="5:11">
      <c r="E6410" s="3" t="s">
        <v>2656</v>
      </c>
      <c r="F6410" s="3" t="s">
        <v>2663</v>
      </c>
      <c r="G6410" s="5" t="str">
        <f t="shared" si="498"/>
        <v>11-12</v>
      </c>
      <c r="H6410" s="1">
        <f>_xlfn.IFNA(VLOOKUP(E6410,'Urban Plastix Holds'!$I$36:$U$498,5,0),0)</f>
        <v>0</v>
      </c>
      <c r="J6410" s="2">
        <f t="shared" si="501"/>
        <v>0</v>
      </c>
      <c r="K6410" s="2">
        <f t="shared" si="502"/>
        <v>0</v>
      </c>
    </row>
    <row r="6411" spans="5:11">
      <c r="E6411" s="3" t="s">
        <v>2656</v>
      </c>
      <c r="F6411" s="3" t="s">
        <v>2663</v>
      </c>
      <c r="G6411" s="6" t="str">
        <f t="shared" si="498"/>
        <v>14-01</v>
      </c>
      <c r="H6411" s="1">
        <f>_xlfn.IFNA(VLOOKUP(E6411,'Urban Plastix Holds'!$I$36:$U$498,6,0),0)</f>
        <v>0</v>
      </c>
      <c r="J6411" s="2">
        <f t="shared" si="501"/>
        <v>0</v>
      </c>
      <c r="K6411" s="2">
        <f t="shared" si="502"/>
        <v>0</v>
      </c>
    </row>
    <row r="6412" spans="5:11">
      <c r="E6412" s="3" t="s">
        <v>2656</v>
      </c>
      <c r="F6412" s="3" t="s">
        <v>2663</v>
      </c>
      <c r="G6412" s="7" t="str">
        <f t="shared" si="498"/>
        <v>15-12</v>
      </c>
      <c r="H6412" s="1">
        <f>_xlfn.IFNA(VLOOKUP(E6412,'Urban Plastix Holds'!$I$36:$U$498,7,0),0)</f>
        <v>0</v>
      </c>
      <c r="J6412" s="2">
        <f t="shared" si="501"/>
        <v>0</v>
      </c>
      <c r="K6412" s="2">
        <f t="shared" si="502"/>
        <v>0</v>
      </c>
    </row>
    <row r="6413" spans="5:11">
      <c r="E6413" s="3" t="s">
        <v>2656</v>
      </c>
      <c r="F6413" s="3" t="s">
        <v>2663</v>
      </c>
      <c r="G6413" s="8" t="str">
        <f t="shared" ref="G6413:G6476" si="503">G6350</f>
        <v>16-16</v>
      </c>
      <c r="H6413" s="1">
        <f>_xlfn.IFNA(VLOOKUP(E6413,'Urban Plastix Holds'!$I$36:$U$498,8,0),0)</f>
        <v>0</v>
      </c>
      <c r="J6413" s="2">
        <f t="shared" si="501"/>
        <v>0</v>
      </c>
      <c r="K6413" s="2">
        <f t="shared" si="502"/>
        <v>0</v>
      </c>
    </row>
    <row r="6414" spans="5:11">
      <c r="E6414" s="3" t="s">
        <v>2656</v>
      </c>
      <c r="F6414" s="3" t="s">
        <v>2663</v>
      </c>
      <c r="G6414" s="9" t="str">
        <f t="shared" si="503"/>
        <v>13-01</v>
      </c>
      <c r="H6414" s="1">
        <f>_xlfn.IFNA(VLOOKUP(E6414,'Urban Plastix Holds'!$I$36:$U$498,9,0),0)</f>
        <v>0</v>
      </c>
      <c r="J6414" s="2">
        <f t="shared" si="501"/>
        <v>0</v>
      </c>
      <c r="K6414" s="2">
        <f t="shared" si="502"/>
        <v>0</v>
      </c>
    </row>
    <row r="6415" spans="5:11">
      <c r="E6415" s="3" t="s">
        <v>2656</v>
      </c>
      <c r="F6415" s="3" t="s">
        <v>2663</v>
      </c>
      <c r="G6415" s="10" t="str">
        <f t="shared" si="503"/>
        <v>07-13</v>
      </c>
      <c r="H6415" s="1">
        <f>_xlfn.IFNA(VLOOKUP(E6415,'Urban Plastix Holds'!$I$36:$U$498,10,0),0)</f>
        <v>0</v>
      </c>
      <c r="J6415" s="2">
        <f t="shared" si="501"/>
        <v>0</v>
      </c>
      <c r="K6415" s="2">
        <f t="shared" si="502"/>
        <v>0</v>
      </c>
    </row>
    <row r="6416" spans="5:11">
      <c r="E6416" s="3" t="s">
        <v>2656</v>
      </c>
      <c r="F6416" s="3" t="s">
        <v>2663</v>
      </c>
      <c r="G6416" s="11" t="str">
        <f t="shared" si="503"/>
        <v>11-25</v>
      </c>
      <c r="H6416" s="1">
        <f>_xlfn.IFNA(VLOOKUP(E6416,'Urban Plastix Holds'!$I$36:$U$498,11,0),0)</f>
        <v>0</v>
      </c>
      <c r="J6416" s="2">
        <f t="shared" si="501"/>
        <v>0</v>
      </c>
      <c r="K6416" s="2">
        <f t="shared" si="502"/>
        <v>0</v>
      </c>
    </row>
    <row r="6417" spans="5:11">
      <c r="E6417" s="3" t="s">
        <v>2656</v>
      </c>
      <c r="F6417" s="3" t="s">
        <v>2663</v>
      </c>
      <c r="G6417" s="13" t="str">
        <f t="shared" si="503"/>
        <v>18-01</v>
      </c>
      <c r="H6417" s="1">
        <f>_xlfn.IFNA(VLOOKUP(E6417,'Urban Plastix Holds'!$I$36:$U$498,12,0),0)</f>
        <v>0</v>
      </c>
      <c r="J6417" s="2">
        <f t="shared" si="501"/>
        <v>0</v>
      </c>
      <c r="K6417" s="2">
        <f t="shared" si="502"/>
        <v>0</v>
      </c>
    </row>
    <row r="6418" spans="5:11">
      <c r="E6418" s="3" t="s">
        <v>2656</v>
      </c>
      <c r="F6418" s="3" t="s">
        <v>2663</v>
      </c>
      <c r="G6418" s="12" t="str">
        <f t="shared" si="503"/>
        <v>12-01</v>
      </c>
      <c r="H6418" s="1">
        <f>_xlfn.IFNA(VLOOKUP(E6418,'Urban Plastix Holds'!$I$36:$U$498,13,0),0)</f>
        <v>0</v>
      </c>
      <c r="J6418" s="2">
        <f t="shared" si="501"/>
        <v>0</v>
      </c>
      <c r="K6418" s="2">
        <f t="shared" si="502"/>
        <v>0</v>
      </c>
    </row>
    <row r="6419" spans="5:11">
      <c r="E6419" s="3" t="s">
        <v>2664</v>
      </c>
      <c r="F6419" s="3" t="s">
        <v>2665</v>
      </c>
      <c r="G6419" s="5" t="str">
        <f t="shared" si="503"/>
        <v>11-12</v>
      </c>
      <c r="H6419" s="1">
        <f>_xlfn.IFNA(VLOOKUP(E6419,'Urban Plastix Holds'!$I$36:$U$498,5,0),0)</f>
        <v>0</v>
      </c>
      <c r="J6419" s="2">
        <f t="shared" ref="J6419:J6427" si="504">H6419*I6419</f>
        <v>0</v>
      </c>
      <c r="K6419" s="2">
        <f t="shared" ref="K6419:K6427" si="505">IF($V$11="Y",J6419*0.05,0)</f>
        <v>0</v>
      </c>
    </row>
    <row r="6420" spans="5:11">
      <c r="E6420" s="3" t="s">
        <v>2664</v>
      </c>
      <c r="F6420" s="3" t="s">
        <v>2665</v>
      </c>
      <c r="G6420" s="6" t="str">
        <f t="shared" si="503"/>
        <v>14-01</v>
      </c>
      <c r="H6420" s="1">
        <f>_xlfn.IFNA(VLOOKUP(E6420,'Urban Plastix Holds'!$I$36:$U$498,6,0),0)</f>
        <v>0</v>
      </c>
      <c r="J6420" s="2">
        <f t="shared" si="504"/>
        <v>0</v>
      </c>
      <c r="K6420" s="2">
        <f t="shared" si="505"/>
        <v>0</v>
      </c>
    </row>
    <row r="6421" spans="5:11">
      <c r="E6421" s="3" t="s">
        <v>2664</v>
      </c>
      <c r="F6421" s="3" t="s">
        <v>2665</v>
      </c>
      <c r="G6421" s="7" t="str">
        <f t="shared" si="503"/>
        <v>15-12</v>
      </c>
      <c r="H6421" s="1">
        <f>_xlfn.IFNA(VLOOKUP(E6421,'Urban Plastix Holds'!$I$36:$U$498,7,0),0)</f>
        <v>0</v>
      </c>
      <c r="J6421" s="2">
        <f t="shared" si="504"/>
        <v>0</v>
      </c>
      <c r="K6421" s="2">
        <f t="shared" si="505"/>
        <v>0</v>
      </c>
    </row>
    <row r="6422" spans="5:11">
      <c r="E6422" s="3" t="s">
        <v>2664</v>
      </c>
      <c r="F6422" s="3" t="s">
        <v>2665</v>
      </c>
      <c r="G6422" s="8" t="str">
        <f t="shared" si="503"/>
        <v>16-16</v>
      </c>
      <c r="H6422" s="1">
        <f>_xlfn.IFNA(VLOOKUP(E6422,'Urban Plastix Holds'!$I$36:$U$498,8,0),0)</f>
        <v>0</v>
      </c>
      <c r="J6422" s="2">
        <f t="shared" si="504"/>
        <v>0</v>
      </c>
      <c r="K6422" s="2">
        <f t="shared" si="505"/>
        <v>0</v>
      </c>
    </row>
    <row r="6423" spans="5:11">
      <c r="E6423" s="3" t="s">
        <v>2664</v>
      </c>
      <c r="F6423" s="3" t="s">
        <v>2665</v>
      </c>
      <c r="G6423" s="9" t="str">
        <f t="shared" si="503"/>
        <v>13-01</v>
      </c>
      <c r="H6423" s="1">
        <f>_xlfn.IFNA(VLOOKUP(E6423,'Urban Plastix Holds'!$I$36:$U$498,9,0),0)</f>
        <v>0</v>
      </c>
      <c r="J6423" s="2">
        <f t="shared" si="504"/>
        <v>0</v>
      </c>
      <c r="K6423" s="2">
        <f t="shared" si="505"/>
        <v>0</v>
      </c>
    </row>
    <row r="6424" spans="5:11">
      <c r="E6424" s="3" t="s">
        <v>2664</v>
      </c>
      <c r="F6424" s="3" t="s">
        <v>2665</v>
      </c>
      <c r="G6424" s="10" t="str">
        <f t="shared" si="503"/>
        <v>07-13</v>
      </c>
      <c r="H6424" s="1">
        <f>_xlfn.IFNA(VLOOKUP(E6424,'Urban Plastix Holds'!$I$36:$U$498,10,0),0)</f>
        <v>0</v>
      </c>
      <c r="J6424" s="2">
        <f t="shared" si="504"/>
        <v>0</v>
      </c>
      <c r="K6424" s="2">
        <f t="shared" si="505"/>
        <v>0</v>
      </c>
    </row>
    <row r="6425" spans="5:11">
      <c r="E6425" s="3" t="s">
        <v>2664</v>
      </c>
      <c r="F6425" s="3" t="s">
        <v>2665</v>
      </c>
      <c r="G6425" s="11" t="str">
        <f t="shared" si="503"/>
        <v>11-25</v>
      </c>
      <c r="H6425" s="1">
        <f>_xlfn.IFNA(VLOOKUP(E6425,'Urban Plastix Holds'!$I$36:$U$498,11,0),0)</f>
        <v>0</v>
      </c>
      <c r="J6425" s="2">
        <f t="shared" si="504"/>
        <v>0</v>
      </c>
      <c r="K6425" s="2">
        <f t="shared" si="505"/>
        <v>0</v>
      </c>
    </row>
    <row r="6426" spans="5:11">
      <c r="E6426" s="3" t="s">
        <v>2664</v>
      </c>
      <c r="F6426" s="3" t="s">
        <v>2665</v>
      </c>
      <c r="G6426" s="13" t="str">
        <f t="shared" si="503"/>
        <v>18-01</v>
      </c>
      <c r="H6426" s="1">
        <f>_xlfn.IFNA(VLOOKUP(E6426,'Urban Plastix Holds'!$I$36:$U$498,12,0),0)</f>
        <v>0</v>
      </c>
      <c r="J6426" s="2">
        <f t="shared" si="504"/>
        <v>0</v>
      </c>
      <c r="K6426" s="2">
        <f t="shared" si="505"/>
        <v>0</v>
      </c>
    </row>
    <row r="6427" spans="5:11">
      <c r="E6427" s="3" t="s">
        <v>2664</v>
      </c>
      <c r="F6427" s="3" t="s">
        <v>2665</v>
      </c>
      <c r="G6427" s="12" t="str">
        <f t="shared" si="503"/>
        <v>12-01</v>
      </c>
      <c r="H6427" s="1">
        <f>_xlfn.IFNA(VLOOKUP(E6427,'Urban Plastix Holds'!$I$36:$U$498,13,0),0)</f>
        <v>0</v>
      </c>
      <c r="J6427" s="2">
        <f t="shared" si="504"/>
        <v>0</v>
      </c>
      <c r="K6427" s="2">
        <f t="shared" si="505"/>
        <v>0</v>
      </c>
    </row>
    <row r="6428" spans="5:11">
      <c r="E6428" s="3" t="s">
        <v>2666</v>
      </c>
      <c r="F6428" s="3" t="s">
        <v>2667</v>
      </c>
      <c r="G6428" s="5" t="str">
        <f t="shared" si="503"/>
        <v>11-12</v>
      </c>
      <c r="H6428" s="1">
        <f>_xlfn.IFNA(VLOOKUP(E6428,'Urban Plastix Holds'!$I$36:$U$498,5,0),0)</f>
        <v>0</v>
      </c>
      <c r="J6428" s="2">
        <f t="shared" ref="J6428:J6454" si="506">H6428*I6428</f>
        <v>0</v>
      </c>
      <c r="K6428" s="2">
        <f t="shared" ref="K6428:K6454" si="507">IF($V$11="Y",J6428*0.05,0)</f>
        <v>0</v>
      </c>
    </row>
    <row r="6429" spans="5:11">
      <c r="E6429" s="3" t="s">
        <v>2666</v>
      </c>
      <c r="F6429" s="3" t="s">
        <v>2667</v>
      </c>
      <c r="G6429" s="6" t="str">
        <f t="shared" si="503"/>
        <v>14-01</v>
      </c>
      <c r="H6429" s="1">
        <f>_xlfn.IFNA(VLOOKUP(E6429,'Urban Plastix Holds'!$I$36:$U$498,6,0),0)</f>
        <v>0</v>
      </c>
      <c r="J6429" s="2">
        <f t="shared" si="506"/>
        <v>0</v>
      </c>
      <c r="K6429" s="2">
        <f t="shared" si="507"/>
        <v>0</v>
      </c>
    </row>
    <row r="6430" spans="5:11">
      <c r="E6430" s="3" t="s">
        <v>2666</v>
      </c>
      <c r="F6430" s="3" t="s">
        <v>2667</v>
      </c>
      <c r="G6430" s="7" t="str">
        <f t="shared" si="503"/>
        <v>15-12</v>
      </c>
      <c r="H6430" s="1">
        <f>_xlfn.IFNA(VLOOKUP(E6430,'Urban Plastix Holds'!$I$36:$U$498,7,0),0)</f>
        <v>0</v>
      </c>
      <c r="J6430" s="2">
        <f t="shared" si="506"/>
        <v>0</v>
      </c>
      <c r="K6430" s="2">
        <f t="shared" si="507"/>
        <v>0</v>
      </c>
    </row>
    <row r="6431" spans="5:11">
      <c r="E6431" s="3" t="s">
        <v>2666</v>
      </c>
      <c r="F6431" s="3" t="s">
        <v>2667</v>
      </c>
      <c r="G6431" s="8" t="str">
        <f t="shared" si="503"/>
        <v>16-16</v>
      </c>
      <c r="H6431" s="1">
        <f>_xlfn.IFNA(VLOOKUP(E6431,'Urban Plastix Holds'!$I$36:$U$498,8,0),0)</f>
        <v>0</v>
      </c>
      <c r="J6431" s="2">
        <f t="shared" si="506"/>
        <v>0</v>
      </c>
      <c r="K6431" s="2">
        <f t="shared" si="507"/>
        <v>0</v>
      </c>
    </row>
    <row r="6432" spans="5:11">
      <c r="E6432" s="3" t="s">
        <v>2666</v>
      </c>
      <c r="F6432" s="3" t="s">
        <v>2667</v>
      </c>
      <c r="G6432" s="9" t="str">
        <f t="shared" si="503"/>
        <v>13-01</v>
      </c>
      <c r="H6432" s="1">
        <f>_xlfn.IFNA(VLOOKUP(E6432,'Urban Plastix Holds'!$I$36:$U$498,9,0),0)</f>
        <v>0</v>
      </c>
      <c r="J6432" s="2">
        <f t="shared" si="506"/>
        <v>0</v>
      </c>
      <c r="K6432" s="2">
        <f t="shared" si="507"/>
        <v>0</v>
      </c>
    </row>
    <row r="6433" spans="5:11">
      <c r="E6433" s="3" t="s">
        <v>2666</v>
      </c>
      <c r="F6433" s="3" t="s">
        <v>2667</v>
      </c>
      <c r="G6433" s="10" t="str">
        <f t="shared" si="503"/>
        <v>07-13</v>
      </c>
      <c r="H6433" s="1">
        <f>_xlfn.IFNA(VLOOKUP(E6433,'Urban Plastix Holds'!$I$36:$U$498,10,0),0)</f>
        <v>0</v>
      </c>
      <c r="J6433" s="2">
        <f t="shared" si="506"/>
        <v>0</v>
      </c>
      <c r="K6433" s="2">
        <f t="shared" si="507"/>
        <v>0</v>
      </c>
    </row>
    <row r="6434" spans="5:11">
      <c r="E6434" s="3" t="s">
        <v>2666</v>
      </c>
      <c r="F6434" s="3" t="s">
        <v>2667</v>
      </c>
      <c r="G6434" s="11" t="str">
        <f t="shared" si="503"/>
        <v>11-25</v>
      </c>
      <c r="H6434" s="1">
        <f>_xlfn.IFNA(VLOOKUP(E6434,'Urban Plastix Holds'!$I$36:$U$498,11,0),0)</f>
        <v>0</v>
      </c>
      <c r="J6434" s="2">
        <f t="shared" si="506"/>
        <v>0</v>
      </c>
      <c r="K6434" s="2">
        <f t="shared" si="507"/>
        <v>0</v>
      </c>
    </row>
    <row r="6435" spans="5:11">
      <c r="E6435" s="3" t="s">
        <v>2666</v>
      </c>
      <c r="F6435" s="3" t="s">
        <v>2667</v>
      </c>
      <c r="G6435" s="13" t="str">
        <f t="shared" si="503"/>
        <v>18-01</v>
      </c>
      <c r="H6435" s="1">
        <f>_xlfn.IFNA(VLOOKUP(E6435,'Urban Plastix Holds'!$I$36:$U$498,12,0),0)</f>
        <v>0</v>
      </c>
      <c r="J6435" s="2">
        <f t="shared" si="506"/>
        <v>0</v>
      </c>
      <c r="K6435" s="2">
        <f t="shared" si="507"/>
        <v>0</v>
      </c>
    </row>
    <row r="6436" spans="5:11">
      <c r="E6436" s="3" t="s">
        <v>2666</v>
      </c>
      <c r="F6436" s="3" t="s">
        <v>2667</v>
      </c>
      <c r="G6436" s="12" t="str">
        <f t="shared" si="503"/>
        <v>12-01</v>
      </c>
      <c r="H6436" s="1">
        <f>_xlfn.IFNA(VLOOKUP(E6436,'Urban Plastix Holds'!$I$36:$U$498,13,0),0)</f>
        <v>0</v>
      </c>
      <c r="J6436" s="2">
        <f t="shared" si="506"/>
        <v>0</v>
      </c>
      <c r="K6436" s="2">
        <f t="shared" si="507"/>
        <v>0</v>
      </c>
    </row>
    <row r="6437" spans="5:11">
      <c r="E6437" s="3" t="s">
        <v>2668</v>
      </c>
      <c r="F6437" s="3" t="s">
        <v>2669</v>
      </c>
      <c r="G6437" s="5" t="str">
        <f t="shared" si="503"/>
        <v>11-12</v>
      </c>
      <c r="H6437" s="1">
        <f>_xlfn.IFNA(VLOOKUP(E6437,'Urban Plastix Holds'!$I$36:$U$498,5,0),0)</f>
        <v>0</v>
      </c>
      <c r="J6437" s="2">
        <f t="shared" si="506"/>
        <v>0</v>
      </c>
      <c r="K6437" s="2">
        <f t="shared" si="507"/>
        <v>0</v>
      </c>
    </row>
    <row r="6438" spans="5:11">
      <c r="E6438" s="3" t="s">
        <v>2668</v>
      </c>
      <c r="F6438" s="3" t="s">
        <v>2669</v>
      </c>
      <c r="G6438" s="6" t="str">
        <f t="shared" si="503"/>
        <v>14-01</v>
      </c>
      <c r="H6438" s="1">
        <f>_xlfn.IFNA(VLOOKUP(E6438,'Urban Plastix Holds'!$I$36:$U$498,6,0),0)</f>
        <v>0</v>
      </c>
      <c r="J6438" s="2">
        <f t="shared" si="506"/>
        <v>0</v>
      </c>
      <c r="K6438" s="2">
        <f t="shared" si="507"/>
        <v>0</v>
      </c>
    </row>
    <row r="6439" spans="5:11">
      <c r="E6439" s="3" t="s">
        <v>2668</v>
      </c>
      <c r="F6439" s="3" t="s">
        <v>2669</v>
      </c>
      <c r="G6439" s="7" t="str">
        <f t="shared" si="503"/>
        <v>15-12</v>
      </c>
      <c r="H6439" s="1">
        <f>_xlfn.IFNA(VLOOKUP(E6439,'Urban Plastix Holds'!$I$36:$U$498,7,0),0)</f>
        <v>0</v>
      </c>
      <c r="J6439" s="2">
        <f t="shared" si="506"/>
        <v>0</v>
      </c>
      <c r="K6439" s="2">
        <f t="shared" si="507"/>
        <v>0</v>
      </c>
    </row>
    <row r="6440" spans="5:11">
      <c r="E6440" s="3" t="s">
        <v>2668</v>
      </c>
      <c r="F6440" s="3" t="s">
        <v>2669</v>
      </c>
      <c r="G6440" s="8" t="str">
        <f t="shared" si="503"/>
        <v>16-16</v>
      </c>
      <c r="H6440" s="1">
        <f>_xlfn.IFNA(VLOOKUP(E6440,'Urban Plastix Holds'!$I$36:$U$498,8,0),0)</f>
        <v>0</v>
      </c>
      <c r="J6440" s="2">
        <f t="shared" si="506"/>
        <v>0</v>
      </c>
      <c r="K6440" s="2">
        <f t="shared" si="507"/>
        <v>0</v>
      </c>
    </row>
    <row r="6441" spans="5:11">
      <c r="E6441" s="3" t="s">
        <v>2668</v>
      </c>
      <c r="F6441" s="3" t="s">
        <v>2669</v>
      </c>
      <c r="G6441" s="9" t="str">
        <f t="shared" si="503"/>
        <v>13-01</v>
      </c>
      <c r="H6441" s="1">
        <f>_xlfn.IFNA(VLOOKUP(E6441,'Urban Plastix Holds'!$I$36:$U$498,9,0),0)</f>
        <v>0</v>
      </c>
      <c r="J6441" s="2">
        <f t="shared" si="506"/>
        <v>0</v>
      </c>
      <c r="K6441" s="2">
        <f t="shared" si="507"/>
        <v>0</v>
      </c>
    </row>
    <row r="6442" spans="5:11">
      <c r="E6442" s="3" t="s">
        <v>2668</v>
      </c>
      <c r="F6442" s="3" t="s">
        <v>2669</v>
      </c>
      <c r="G6442" s="10" t="str">
        <f t="shared" si="503"/>
        <v>07-13</v>
      </c>
      <c r="H6442" s="1">
        <f>_xlfn.IFNA(VLOOKUP(E6442,'Urban Plastix Holds'!$I$36:$U$498,10,0),0)</f>
        <v>0</v>
      </c>
      <c r="J6442" s="2">
        <f t="shared" si="506"/>
        <v>0</v>
      </c>
      <c r="K6442" s="2">
        <f t="shared" si="507"/>
        <v>0</v>
      </c>
    </row>
    <row r="6443" spans="5:11">
      <c r="E6443" s="3" t="s">
        <v>2668</v>
      </c>
      <c r="F6443" s="3" t="s">
        <v>2669</v>
      </c>
      <c r="G6443" s="11" t="str">
        <f t="shared" si="503"/>
        <v>11-25</v>
      </c>
      <c r="H6443" s="1">
        <f>_xlfn.IFNA(VLOOKUP(E6443,'Urban Plastix Holds'!$I$36:$U$498,11,0),0)</f>
        <v>0</v>
      </c>
      <c r="J6443" s="2">
        <f t="shared" si="506"/>
        <v>0</v>
      </c>
      <c r="K6443" s="2">
        <f t="shared" si="507"/>
        <v>0</v>
      </c>
    </row>
    <row r="6444" spans="5:11">
      <c r="E6444" s="3" t="s">
        <v>2668</v>
      </c>
      <c r="F6444" s="3" t="s">
        <v>2669</v>
      </c>
      <c r="G6444" s="13" t="str">
        <f t="shared" si="503"/>
        <v>18-01</v>
      </c>
      <c r="H6444" s="1">
        <f>_xlfn.IFNA(VLOOKUP(E6444,'Urban Plastix Holds'!$I$36:$U$498,12,0),0)</f>
        <v>0</v>
      </c>
      <c r="J6444" s="2">
        <f t="shared" si="506"/>
        <v>0</v>
      </c>
      <c r="K6444" s="2">
        <f t="shared" si="507"/>
        <v>0</v>
      </c>
    </row>
    <row r="6445" spans="5:11">
      <c r="E6445" s="3" t="s">
        <v>2668</v>
      </c>
      <c r="F6445" s="3" t="s">
        <v>2669</v>
      </c>
      <c r="G6445" s="12" t="str">
        <f t="shared" si="503"/>
        <v>12-01</v>
      </c>
      <c r="H6445" s="1">
        <f>_xlfn.IFNA(VLOOKUP(E6445,'Urban Plastix Holds'!$I$36:$U$498,13,0),0)</f>
        <v>0</v>
      </c>
      <c r="J6445" s="2">
        <f t="shared" si="506"/>
        <v>0</v>
      </c>
      <c r="K6445" s="2">
        <f t="shared" si="507"/>
        <v>0</v>
      </c>
    </row>
    <row r="6446" spans="5:11">
      <c r="E6446" s="3" t="s">
        <v>2670</v>
      </c>
      <c r="F6446" s="3" t="s">
        <v>2671</v>
      </c>
      <c r="G6446" s="5" t="str">
        <f t="shared" si="503"/>
        <v>11-12</v>
      </c>
      <c r="H6446" s="1">
        <f>_xlfn.IFNA(VLOOKUP(E6446,'Urban Plastix Holds'!$I$36:$U$498,5,0),0)</f>
        <v>0</v>
      </c>
      <c r="J6446" s="2">
        <f t="shared" si="506"/>
        <v>0</v>
      </c>
      <c r="K6446" s="2">
        <f t="shared" si="507"/>
        <v>0</v>
      </c>
    </row>
    <row r="6447" spans="5:11">
      <c r="E6447" s="3" t="s">
        <v>2670</v>
      </c>
      <c r="F6447" s="3" t="s">
        <v>2671</v>
      </c>
      <c r="G6447" s="6" t="str">
        <f t="shared" si="503"/>
        <v>14-01</v>
      </c>
      <c r="H6447" s="1">
        <f>_xlfn.IFNA(VLOOKUP(E6447,'Urban Plastix Holds'!$I$36:$U$498,6,0),0)</f>
        <v>0</v>
      </c>
      <c r="J6447" s="2">
        <f t="shared" si="506"/>
        <v>0</v>
      </c>
      <c r="K6447" s="2">
        <f t="shared" si="507"/>
        <v>0</v>
      </c>
    </row>
    <row r="6448" spans="5:11">
      <c r="E6448" s="3" t="s">
        <v>2670</v>
      </c>
      <c r="F6448" s="3" t="s">
        <v>2671</v>
      </c>
      <c r="G6448" s="7" t="str">
        <f t="shared" si="503"/>
        <v>15-12</v>
      </c>
      <c r="H6448" s="1">
        <f>_xlfn.IFNA(VLOOKUP(E6448,'Urban Plastix Holds'!$I$36:$U$498,7,0),0)</f>
        <v>0</v>
      </c>
      <c r="J6448" s="2">
        <f t="shared" si="506"/>
        <v>0</v>
      </c>
      <c r="K6448" s="2">
        <f t="shared" si="507"/>
        <v>0</v>
      </c>
    </row>
    <row r="6449" spans="5:11">
      <c r="E6449" s="3" t="s">
        <v>2670</v>
      </c>
      <c r="F6449" s="3" t="s">
        <v>2671</v>
      </c>
      <c r="G6449" s="8" t="str">
        <f t="shared" si="503"/>
        <v>16-16</v>
      </c>
      <c r="H6449" s="1">
        <f>_xlfn.IFNA(VLOOKUP(E6449,'Urban Plastix Holds'!$I$36:$U$498,8,0),0)</f>
        <v>0</v>
      </c>
      <c r="J6449" s="2">
        <f t="shared" si="506"/>
        <v>0</v>
      </c>
      <c r="K6449" s="2">
        <f t="shared" si="507"/>
        <v>0</v>
      </c>
    </row>
    <row r="6450" spans="5:11">
      <c r="E6450" s="3" t="s">
        <v>2670</v>
      </c>
      <c r="F6450" s="3" t="s">
        <v>2671</v>
      </c>
      <c r="G6450" s="9" t="str">
        <f t="shared" si="503"/>
        <v>13-01</v>
      </c>
      <c r="H6450" s="1">
        <f>_xlfn.IFNA(VLOOKUP(E6450,'Urban Plastix Holds'!$I$36:$U$498,9,0),0)</f>
        <v>0</v>
      </c>
      <c r="J6450" s="2">
        <f t="shared" si="506"/>
        <v>0</v>
      </c>
      <c r="K6450" s="2">
        <f t="shared" si="507"/>
        <v>0</v>
      </c>
    </row>
    <row r="6451" spans="5:11">
      <c r="E6451" s="3" t="s">
        <v>2670</v>
      </c>
      <c r="F6451" s="3" t="s">
        <v>2671</v>
      </c>
      <c r="G6451" s="10" t="str">
        <f t="shared" si="503"/>
        <v>07-13</v>
      </c>
      <c r="H6451" s="1">
        <f>_xlfn.IFNA(VLOOKUP(E6451,'Urban Plastix Holds'!$I$36:$U$498,10,0),0)</f>
        <v>0</v>
      </c>
      <c r="J6451" s="2">
        <f t="shared" si="506"/>
        <v>0</v>
      </c>
      <c r="K6451" s="2">
        <f t="shared" si="507"/>
        <v>0</v>
      </c>
    </row>
    <row r="6452" spans="5:11">
      <c r="E6452" s="3" t="s">
        <v>2670</v>
      </c>
      <c r="F6452" s="3" t="s">
        <v>2671</v>
      </c>
      <c r="G6452" s="11" t="str">
        <f t="shared" si="503"/>
        <v>11-25</v>
      </c>
      <c r="H6452" s="1">
        <f>_xlfn.IFNA(VLOOKUP(E6452,'Urban Plastix Holds'!$I$36:$U$498,11,0),0)</f>
        <v>0</v>
      </c>
      <c r="J6452" s="2">
        <f t="shared" si="506"/>
        <v>0</v>
      </c>
      <c r="K6452" s="2">
        <f t="shared" si="507"/>
        <v>0</v>
      </c>
    </row>
    <row r="6453" spans="5:11">
      <c r="E6453" s="3" t="s">
        <v>2670</v>
      </c>
      <c r="F6453" s="3" t="s">
        <v>2671</v>
      </c>
      <c r="G6453" s="13" t="str">
        <f t="shared" si="503"/>
        <v>18-01</v>
      </c>
      <c r="H6453" s="1">
        <f>_xlfn.IFNA(VLOOKUP(E6453,'Urban Plastix Holds'!$I$36:$U$498,12,0),0)</f>
        <v>0</v>
      </c>
      <c r="J6453" s="2">
        <f t="shared" si="506"/>
        <v>0</v>
      </c>
      <c r="K6453" s="2">
        <f t="shared" si="507"/>
        <v>0</v>
      </c>
    </row>
    <row r="6454" spans="5:11">
      <c r="E6454" s="3" t="s">
        <v>2670</v>
      </c>
      <c r="F6454" s="3" t="s">
        <v>2671</v>
      </c>
      <c r="G6454" s="12" t="str">
        <f t="shared" si="503"/>
        <v>12-01</v>
      </c>
      <c r="H6454" s="1">
        <f>_xlfn.IFNA(VLOOKUP(E6454,'Urban Plastix Holds'!$I$36:$U$498,13,0),0)</f>
        <v>0</v>
      </c>
      <c r="J6454" s="2">
        <f t="shared" si="506"/>
        <v>0</v>
      </c>
      <c r="K6454" s="2">
        <f t="shared" si="507"/>
        <v>0</v>
      </c>
    </row>
    <row r="6455" spans="5:11">
      <c r="E6455" s="3" t="s">
        <v>2690</v>
      </c>
      <c r="F6455" s="3" t="s">
        <v>2691</v>
      </c>
      <c r="G6455" s="5" t="str">
        <f t="shared" si="503"/>
        <v>11-12</v>
      </c>
      <c r="H6455" s="1">
        <f>_xlfn.IFNA(VLOOKUP(E6455,'Urban Plastix Holds'!$I$36:$U$498,5,0),0)</f>
        <v>0</v>
      </c>
      <c r="J6455" s="2">
        <f t="shared" ref="J6455:J6508" si="508">H6455*I6455</f>
        <v>0</v>
      </c>
      <c r="K6455" s="2">
        <f t="shared" ref="K6455:K6508" si="509">IF($V$11="Y",J6455*0.05,0)</f>
        <v>0</v>
      </c>
    </row>
    <row r="6456" spans="5:11">
      <c r="E6456" s="3" t="s">
        <v>2690</v>
      </c>
      <c r="F6456" s="3" t="s">
        <v>2691</v>
      </c>
      <c r="G6456" s="6" t="str">
        <f t="shared" si="503"/>
        <v>14-01</v>
      </c>
      <c r="H6456" s="1">
        <f>_xlfn.IFNA(VLOOKUP(E6456,'Urban Plastix Holds'!$I$36:$U$498,6,0),0)</f>
        <v>0</v>
      </c>
      <c r="J6456" s="2">
        <f t="shared" si="508"/>
        <v>0</v>
      </c>
      <c r="K6456" s="2">
        <f t="shared" si="509"/>
        <v>0</v>
      </c>
    </row>
    <row r="6457" spans="5:11">
      <c r="E6457" s="3" t="s">
        <v>2690</v>
      </c>
      <c r="F6457" s="3" t="s">
        <v>2691</v>
      </c>
      <c r="G6457" s="7" t="str">
        <f t="shared" si="503"/>
        <v>15-12</v>
      </c>
      <c r="H6457" s="1">
        <f>_xlfn.IFNA(VLOOKUP(E6457,'Urban Plastix Holds'!$I$36:$U$498,7,0),0)</f>
        <v>0</v>
      </c>
      <c r="J6457" s="2">
        <f t="shared" si="508"/>
        <v>0</v>
      </c>
      <c r="K6457" s="2">
        <f t="shared" si="509"/>
        <v>0</v>
      </c>
    </row>
    <row r="6458" spans="5:11">
      <c r="E6458" s="3" t="s">
        <v>2690</v>
      </c>
      <c r="F6458" s="3" t="s">
        <v>2691</v>
      </c>
      <c r="G6458" s="8" t="str">
        <f t="shared" si="503"/>
        <v>16-16</v>
      </c>
      <c r="H6458" s="1">
        <f>_xlfn.IFNA(VLOOKUP(E6458,'Urban Plastix Holds'!$I$36:$U$498,8,0),0)</f>
        <v>0</v>
      </c>
      <c r="J6458" s="2">
        <f t="shared" si="508"/>
        <v>0</v>
      </c>
      <c r="K6458" s="2">
        <f t="shared" si="509"/>
        <v>0</v>
      </c>
    </row>
    <row r="6459" spans="5:11">
      <c r="E6459" s="3" t="s">
        <v>2690</v>
      </c>
      <c r="F6459" s="3" t="s">
        <v>2691</v>
      </c>
      <c r="G6459" s="9" t="str">
        <f t="shared" si="503"/>
        <v>13-01</v>
      </c>
      <c r="H6459" s="1">
        <f>_xlfn.IFNA(VLOOKUP(E6459,'Urban Plastix Holds'!$I$36:$U$498,9,0),0)</f>
        <v>0</v>
      </c>
      <c r="J6459" s="2">
        <f t="shared" si="508"/>
        <v>0</v>
      </c>
      <c r="K6459" s="2">
        <f t="shared" si="509"/>
        <v>0</v>
      </c>
    </row>
    <row r="6460" spans="5:11">
      <c r="E6460" s="3" t="s">
        <v>2690</v>
      </c>
      <c r="F6460" s="3" t="s">
        <v>2691</v>
      </c>
      <c r="G6460" s="10" t="str">
        <f t="shared" si="503"/>
        <v>07-13</v>
      </c>
      <c r="H6460" s="1">
        <f>_xlfn.IFNA(VLOOKUP(E6460,'Urban Plastix Holds'!$I$36:$U$498,10,0),0)</f>
        <v>0</v>
      </c>
      <c r="J6460" s="2">
        <f t="shared" si="508"/>
        <v>0</v>
      </c>
      <c r="K6460" s="2">
        <f t="shared" si="509"/>
        <v>0</v>
      </c>
    </row>
    <row r="6461" spans="5:11">
      <c r="E6461" s="3" t="s">
        <v>2690</v>
      </c>
      <c r="F6461" s="3" t="s">
        <v>2691</v>
      </c>
      <c r="G6461" s="11" t="str">
        <f t="shared" si="503"/>
        <v>11-25</v>
      </c>
      <c r="H6461" s="1">
        <f>_xlfn.IFNA(VLOOKUP(E6461,'Urban Plastix Holds'!$I$36:$U$498,11,0),0)</f>
        <v>0</v>
      </c>
      <c r="J6461" s="2">
        <f t="shared" si="508"/>
        <v>0</v>
      </c>
      <c r="K6461" s="2">
        <f t="shared" si="509"/>
        <v>0</v>
      </c>
    </row>
    <row r="6462" spans="5:11">
      <c r="E6462" s="3" t="s">
        <v>2690</v>
      </c>
      <c r="F6462" s="3" t="s">
        <v>2691</v>
      </c>
      <c r="G6462" s="13" t="str">
        <f t="shared" si="503"/>
        <v>18-01</v>
      </c>
      <c r="H6462" s="1">
        <f>_xlfn.IFNA(VLOOKUP(E6462,'Urban Plastix Holds'!$I$36:$U$498,12,0),0)</f>
        <v>0</v>
      </c>
      <c r="J6462" s="2">
        <f t="shared" si="508"/>
        <v>0</v>
      </c>
      <c r="K6462" s="2">
        <f t="shared" si="509"/>
        <v>0</v>
      </c>
    </row>
    <row r="6463" spans="5:11">
      <c r="E6463" s="3" t="s">
        <v>2690</v>
      </c>
      <c r="F6463" s="3" t="s">
        <v>2691</v>
      </c>
      <c r="G6463" s="12" t="str">
        <f t="shared" si="503"/>
        <v>12-01</v>
      </c>
      <c r="H6463" s="1">
        <f>_xlfn.IFNA(VLOOKUP(E6463,'Urban Plastix Holds'!$I$36:$U$498,13,0),0)</f>
        <v>0</v>
      </c>
      <c r="J6463" s="2">
        <f t="shared" si="508"/>
        <v>0</v>
      </c>
      <c r="K6463" s="2">
        <f t="shared" si="509"/>
        <v>0</v>
      </c>
    </row>
    <row r="6464" spans="5:11">
      <c r="E6464" s="3" t="s">
        <v>2692</v>
      </c>
      <c r="F6464" s="3" t="s">
        <v>2693</v>
      </c>
      <c r="G6464" s="5" t="str">
        <f t="shared" si="503"/>
        <v>11-12</v>
      </c>
      <c r="H6464" s="1">
        <f>_xlfn.IFNA(VLOOKUP(E6464,'Urban Plastix Holds'!$I$36:$U$498,5,0),0)</f>
        <v>0</v>
      </c>
      <c r="J6464" s="2">
        <f t="shared" si="508"/>
        <v>0</v>
      </c>
      <c r="K6464" s="2">
        <f t="shared" si="509"/>
        <v>0</v>
      </c>
    </row>
    <row r="6465" spans="5:11">
      <c r="E6465" s="3" t="s">
        <v>2692</v>
      </c>
      <c r="F6465" s="3" t="s">
        <v>2693</v>
      </c>
      <c r="G6465" s="6" t="str">
        <f t="shared" si="503"/>
        <v>14-01</v>
      </c>
      <c r="H6465" s="1">
        <f>_xlfn.IFNA(VLOOKUP(E6465,'Urban Plastix Holds'!$I$36:$U$498,6,0),0)</f>
        <v>0</v>
      </c>
      <c r="J6465" s="2">
        <f t="shared" si="508"/>
        <v>0</v>
      </c>
      <c r="K6465" s="2">
        <f t="shared" si="509"/>
        <v>0</v>
      </c>
    </row>
    <row r="6466" spans="5:11">
      <c r="E6466" s="3" t="s">
        <v>2692</v>
      </c>
      <c r="F6466" s="3" t="s">
        <v>2693</v>
      </c>
      <c r="G6466" s="7" t="str">
        <f t="shared" si="503"/>
        <v>15-12</v>
      </c>
      <c r="H6466" s="1">
        <f>_xlfn.IFNA(VLOOKUP(E6466,'Urban Plastix Holds'!$I$36:$U$498,7,0),0)</f>
        <v>0</v>
      </c>
      <c r="J6466" s="2">
        <f t="shared" si="508"/>
        <v>0</v>
      </c>
      <c r="K6466" s="2">
        <f t="shared" si="509"/>
        <v>0</v>
      </c>
    </row>
    <row r="6467" spans="5:11">
      <c r="E6467" s="3" t="s">
        <v>2692</v>
      </c>
      <c r="F6467" s="3" t="s">
        <v>2693</v>
      </c>
      <c r="G6467" s="8" t="str">
        <f t="shared" si="503"/>
        <v>16-16</v>
      </c>
      <c r="H6467" s="1">
        <f>_xlfn.IFNA(VLOOKUP(E6467,'Urban Plastix Holds'!$I$36:$U$498,8,0),0)</f>
        <v>0</v>
      </c>
      <c r="J6467" s="2">
        <f t="shared" si="508"/>
        <v>0</v>
      </c>
      <c r="K6467" s="2">
        <f t="shared" si="509"/>
        <v>0</v>
      </c>
    </row>
    <row r="6468" spans="5:11">
      <c r="E6468" s="3" t="s">
        <v>2692</v>
      </c>
      <c r="F6468" s="3" t="s">
        <v>2693</v>
      </c>
      <c r="G6468" s="9" t="str">
        <f t="shared" si="503"/>
        <v>13-01</v>
      </c>
      <c r="H6468" s="1">
        <f>_xlfn.IFNA(VLOOKUP(E6468,'Urban Plastix Holds'!$I$36:$U$498,9,0),0)</f>
        <v>0</v>
      </c>
      <c r="J6468" s="2">
        <f t="shared" si="508"/>
        <v>0</v>
      </c>
      <c r="K6468" s="2">
        <f t="shared" si="509"/>
        <v>0</v>
      </c>
    </row>
    <row r="6469" spans="5:11">
      <c r="E6469" s="3" t="s">
        <v>2692</v>
      </c>
      <c r="F6469" s="3" t="s">
        <v>2693</v>
      </c>
      <c r="G6469" s="10" t="str">
        <f t="shared" si="503"/>
        <v>07-13</v>
      </c>
      <c r="H6469" s="1">
        <f>_xlfn.IFNA(VLOOKUP(E6469,'Urban Plastix Holds'!$I$36:$U$498,10,0),0)</f>
        <v>0</v>
      </c>
      <c r="J6469" s="2">
        <f t="shared" si="508"/>
        <v>0</v>
      </c>
      <c r="K6469" s="2">
        <f t="shared" si="509"/>
        <v>0</v>
      </c>
    </row>
    <row r="6470" spans="5:11">
      <c r="E6470" s="3" t="s">
        <v>2692</v>
      </c>
      <c r="F6470" s="3" t="s">
        <v>2693</v>
      </c>
      <c r="G6470" s="11" t="str">
        <f t="shared" si="503"/>
        <v>11-25</v>
      </c>
      <c r="H6470" s="1">
        <f>_xlfn.IFNA(VLOOKUP(E6470,'Urban Plastix Holds'!$I$36:$U$498,11,0),0)</f>
        <v>0</v>
      </c>
      <c r="J6470" s="2">
        <f t="shared" si="508"/>
        <v>0</v>
      </c>
      <c r="K6470" s="2">
        <f t="shared" si="509"/>
        <v>0</v>
      </c>
    </row>
    <row r="6471" spans="5:11">
      <c r="E6471" s="3" t="s">
        <v>2692</v>
      </c>
      <c r="F6471" s="3" t="s">
        <v>2693</v>
      </c>
      <c r="G6471" s="13" t="str">
        <f t="shared" si="503"/>
        <v>18-01</v>
      </c>
      <c r="H6471" s="1">
        <f>_xlfn.IFNA(VLOOKUP(E6471,'Urban Plastix Holds'!$I$36:$U$498,12,0),0)</f>
        <v>0</v>
      </c>
      <c r="J6471" s="2">
        <f t="shared" si="508"/>
        <v>0</v>
      </c>
      <c r="K6471" s="2">
        <f t="shared" si="509"/>
        <v>0</v>
      </c>
    </row>
    <row r="6472" spans="5:11">
      <c r="E6472" s="3" t="s">
        <v>2692</v>
      </c>
      <c r="F6472" s="3" t="s">
        <v>2693</v>
      </c>
      <c r="G6472" s="12" t="str">
        <f t="shared" si="503"/>
        <v>12-01</v>
      </c>
      <c r="H6472" s="1">
        <f>_xlfn.IFNA(VLOOKUP(E6472,'Urban Plastix Holds'!$I$36:$U$498,13,0),0)</f>
        <v>0</v>
      </c>
      <c r="J6472" s="2">
        <f t="shared" si="508"/>
        <v>0</v>
      </c>
      <c r="K6472" s="2">
        <f t="shared" si="509"/>
        <v>0</v>
      </c>
    </row>
    <row r="6473" spans="5:11">
      <c r="E6473" s="3" t="s">
        <v>2694</v>
      </c>
      <c r="F6473" s="3" t="s">
        <v>2695</v>
      </c>
      <c r="G6473" s="5" t="str">
        <f t="shared" si="503"/>
        <v>11-12</v>
      </c>
      <c r="H6473" s="1">
        <f>_xlfn.IFNA(VLOOKUP(E6473,'Urban Plastix Holds'!$I$36:$U$498,5,0),0)</f>
        <v>0</v>
      </c>
      <c r="J6473" s="2">
        <f t="shared" si="508"/>
        <v>0</v>
      </c>
      <c r="K6473" s="2">
        <f t="shared" si="509"/>
        <v>0</v>
      </c>
    </row>
    <row r="6474" spans="5:11">
      <c r="E6474" s="3" t="s">
        <v>2694</v>
      </c>
      <c r="F6474" s="3" t="s">
        <v>2695</v>
      </c>
      <c r="G6474" s="6" t="str">
        <f t="shared" si="503"/>
        <v>14-01</v>
      </c>
      <c r="H6474" s="1">
        <f>_xlfn.IFNA(VLOOKUP(E6474,'Urban Plastix Holds'!$I$36:$U$498,6,0),0)</f>
        <v>0</v>
      </c>
      <c r="J6474" s="2">
        <f t="shared" si="508"/>
        <v>0</v>
      </c>
      <c r="K6474" s="2">
        <f t="shared" si="509"/>
        <v>0</v>
      </c>
    </row>
    <row r="6475" spans="5:11">
      <c r="E6475" s="3" t="s">
        <v>2694</v>
      </c>
      <c r="F6475" s="3" t="s">
        <v>2695</v>
      </c>
      <c r="G6475" s="7" t="str">
        <f t="shared" si="503"/>
        <v>15-12</v>
      </c>
      <c r="H6475" s="1">
        <f>_xlfn.IFNA(VLOOKUP(E6475,'Urban Plastix Holds'!$I$36:$U$498,7,0),0)</f>
        <v>0</v>
      </c>
      <c r="J6475" s="2">
        <f t="shared" si="508"/>
        <v>0</v>
      </c>
      <c r="K6475" s="2">
        <f t="shared" si="509"/>
        <v>0</v>
      </c>
    </row>
    <row r="6476" spans="5:11">
      <c r="E6476" s="3" t="s">
        <v>2694</v>
      </c>
      <c r="F6476" s="3" t="s">
        <v>2695</v>
      </c>
      <c r="G6476" s="8" t="str">
        <f t="shared" si="503"/>
        <v>16-16</v>
      </c>
      <c r="H6476" s="1">
        <f>_xlfn.IFNA(VLOOKUP(E6476,'Urban Plastix Holds'!$I$36:$U$498,8,0),0)</f>
        <v>0</v>
      </c>
      <c r="J6476" s="2">
        <f t="shared" si="508"/>
        <v>0</v>
      </c>
      <c r="K6476" s="2">
        <f t="shared" si="509"/>
        <v>0</v>
      </c>
    </row>
    <row r="6477" spans="5:11">
      <c r="E6477" s="3" t="s">
        <v>2694</v>
      </c>
      <c r="F6477" s="3" t="s">
        <v>2695</v>
      </c>
      <c r="G6477" s="9" t="str">
        <f t="shared" ref="G6477:G6540" si="510">G6414</f>
        <v>13-01</v>
      </c>
      <c r="H6477" s="1">
        <f>_xlfn.IFNA(VLOOKUP(E6477,'Urban Plastix Holds'!$I$36:$U$498,9,0),0)</f>
        <v>0</v>
      </c>
      <c r="J6477" s="2">
        <f t="shared" si="508"/>
        <v>0</v>
      </c>
      <c r="K6477" s="2">
        <f t="shared" si="509"/>
        <v>0</v>
      </c>
    </row>
    <row r="6478" spans="5:11">
      <c r="E6478" s="3" t="s">
        <v>2694</v>
      </c>
      <c r="F6478" s="3" t="s">
        <v>2695</v>
      </c>
      <c r="G6478" s="10" t="str">
        <f t="shared" si="510"/>
        <v>07-13</v>
      </c>
      <c r="H6478" s="1">
        <f>_xlfn.IFNA(VLOOKUP(E6478,'Urban Plastix Holds'!$I$36:$U$498,10,0),0)</f>
        <v>0</v>
      </c>
      <c r="J6478" s="2">
        <f t="shared" si="508"/>
        <v>0</v>
      </c>
      <c r="K6478" s="2">
        <f t="shared" si="509"/>
        <v>0</v>
      </c>
    </row>
    <row r="6479" spans="5:11">
      <c r="E6479" s="3" t="s">
        <v>2694</v>
      </c>
      <c r="F6479" s="3" t="s">
        <v>2695</v>
      </c>
      <c r="G6479" s="11" t="str">
        <f t="shared" si="510"/>
        <v>11-25</v>
      </c>
      <c r="H6479" s="1">
        <f>_xlfn.IFNA(VLOOKUP(E6479,'Urban Plastix Holds'!$I$36:$U$498,11,0),0)</f>
        <v>0</v>
      </c>
      <c r="J6479" s="2">
        <f t="shared" si="508"/>
        <v>0</v>
      </c>
      <c r="K6479" s="2">
        <f t="shared" si="509"/>
        <v>0</v>
      </c>
    </row>
    <row r="6480" spans="5:11">
      <c r="E6480" s="3" t="s">
        <v>2694</v>
      </c>
      <c r="F6480" s="3" t="s">
        <v>2695</v>
      </c>
      <c r="G6480" s="13" t="str">
        <f t="shared" si="510"/>
        <v>18-01</v>
      </c>
      <c r="H6480" s="1">
        <f>_xlfn.IFNA(VLOOKUP(E6480,'Urban Plastix Holds'!$I$36:$U$498,12,0),0)</f>
        <v>0</v>
      </c>
      <c r="J6480" s="2">
        <f t="shared" si="508"/>
        <v>0</v>
      </c>
      <c r="K6480" s="2">
        <f t="shared" si="509"/>
        <v>0</v>
      </c>
    </row>
    <row r="6481" spans="5:11">
      <c r="E6481" s="3" t="s">
        <v>2694</v>
      </c>
      <c r="F6481" s="3" t="s">
        <v>2695</v>
      </c>
      <c r="G6481" s="12" t="str">
        <f t="shared" si="510"/>
        <v>12-01</v>
      </c>
      <c r="H6481" s="1">
        <f>_xlfn.IFNA(VLOOKUP(E6481,'Urban Plastix Holds'!$I$36:$U$498,13,0),0)</f>
        <v>0</v>
      </c>
      <c r="J6481" s="2">
        <f t="shared" si="508"/>
        <v>0</v>
      </c>
      <c r="K6481" s="2">
        <f t="shared" si="509"/>
        <v>0</v>
      </c>
    </row>
    <row r="6482" spans="5:11">
      <c r="E6482" s="3" t="s">
        <v>2696</v>
      </c>
      <c r="F6482" s="3" t="s">
        <v>2697</v>
      </c>
      <c r="G6482" s="5" t="str">
        <f t="shared" si="510"/>
        <v>11-12</v>
      </c>
      <c r="H6482" s="1">
        <f>_xlfn.IFNA(VLOOKUP(E6482,'Urban Plastix Holds'!$I$36:$U$498,5,0),0)</f>
        <v>0</v>
      </c>
      <c r="J6482" s="2">
        <f t="shared" si="508"/>
        <v>0</v>
      </c>
      <c r="K6482" s="2">
        <f t="shared" si="509"/>
        <v>0</v>
      </c>
    </row>
    <row r="6483" spans="5:11">
      <c r="E6483" s="3" t="s">
        <v>2696</v>
      </c>
      <c r="F6483" s="3" t="s">
        <v>2697</v>
      </c>
      <c r="G6483" s="6" t="str">
        <f t="shared" si="510"/>
        <v>14-01</v>
      </c>
      <c r="H6483" s="1">
        <f>_xlfn.IFNA(VLOOKUP(E6483,'Urban Plastix Holds'!$I$36:$U$498,6,0),0)</f>
        <v>0</v>
      </c>
      <c r="J6483" s="2">
        <f t="shared" si="508"/>
        <v>0</v>
      </c>
      <c r="K6483" s="2">
        <f t="shared" si="509"/>
        <v>0</v>
      </c>
    </row>
    <row r="6484" spans="5:11">
      <c r="E6484" s="3" t="s">
        <v>2696</v>
      </c>
      <c r="F6484" s="3" t="s">
        <v>2697</v>
      </c>
      <c r="G6484" s="7" t="str">
        <f t="shared" si="510"/>
        <v>15-12</v>
      </c>
      <c r="H6484" s="1">
        <f>_xlfn.IFNA(VLOOKUP(E6484,'Urban Plastix Holds'!$I$36:$U$498,7,0),0)</f>
        <v>0</v>
      </c>
      <c r="J6484" s="2">
        <f t="shared" si="508"/>
        <v>0</v>
      </c>
      <c r="K6484" s="2">
        <f t="shared" si="509"/>
        <v>0</v>
      </c>
    </row>
    <row r="6485" spans="5:11">
      <c r="E6485" s="3" t="s">
        <v>2696</v>
      </c>
      <c r="F6485" s="3" t="s">
        <v>2697</v>
      </c>
      <c r="G6485" s="8" t="str">
        <f t="shared" si="510"/>
        <v>16-16</v>
      </c>
      <c r="H6485" s="1">
        <f>_xlfn.IFNA(VLOOKUP(E6485,'Urban Plastix Holds'!$I$36:$U$498,8,0),0)</f>
        <v>0</v>
      </c>
      <c r="J6485" s="2">
        <f t="shared" si="508"/>
        <v>0</v>
      </c>
      <c r="K6485" s="2">
        <f t="shared" si="509"/>
        <v>0</v>
      </c>
    </row>
    <row r="6486" spans="5:11">
      <c r="E6486" s="3" t="s">
        <v>2696</v>
      </c>
      <c r="F6486" s="3" t="s">
        <v>2697</v>
      </c>
      <c r="G6486" s="9" t="str">
        <f t="shared" si="510"/>
        <v>13-01</v>
      </c>
      <c r="H6486" s="1">
        <f>_xlfn.IFNA(VLOOKUP(E6486,'Urban Plastix Holds'!$I$36:$U$498,9,0),0)</f>
        <v>0</v>
      </c>
      <c r="J6486" s="2">
        <f t="shared" si="508"/>
        <v>0</v>
      </c>
      <c r="K6486" s="2">
        <f t="shared" si="509"/>
        <v>0</v>
      </c>
    </row>
    <row r="6487" spans="5:11">
      <c r="E6487" s="3" t="s">
        <v>2696</v>
      </c>
      <c r="F6487" s="3" t="s">
        <v>2697</v>
      </c>
      <c r="G6487" s="10" t="str">
        <f t="shared" si="510"/>
        <v>07-13</v>
      </c>
      <c r="H6487" s="1">
        <f>_xlfn.IFNA(VLOOKUP(E6487,'Urban Plastix Holds'!$I$36:$U$498,10,0),0)</f>
        <v>0</v>
      </c>
      <c r="J6487" s="2">
        <f t="shared" si="508"/>
        <v>0</v>
      </c>
      <c r="K6487" s="2">
        <f t="shared" si="509"/>
        <v>0</v>
      </c>
    </row>
    <row r="6488" spans="5:11">
      <c r="E6488" s="3" t="s">
        <v>2696</v>
      </c>
      <c r="F6488" s="3" t="s">
        <v>2697</v>
      </c>
      <c r="G6488" s="11" t="str">
        <f t="shared" si="510"/>
        <v>11-25</v>
      </c>
      <c r="H6488" s="1">
        <f>_xlfn.IFNA(VLOOKUP(E6488,'Urban Plastix Holds'!$I$36:$U$498,11,0),0)</f>
        <v>0</v>
      </c>
      <c r="J6488" s="2">
        <f t="shared" si="508"/>
        <v>0</v>
      </c>
      <c r="K6488" s="2">
        <f t="shared" si="509"/>
        <v>0</v>
      </c>
    </row>
    <row r="6489" spans="5:11">
      <c r="E6489" s="3" t="s">
        <v>2696</v>
      </c>
      <c r="F6489" s="3" t="s">
        <v>2697</v>
      </c>
      <c r="G6489" s="13" t="str">
        <f t="shared" si="510"/>
        <v>18-01</v>
      </c>
      <c r="H6489" s="1">
        <f>_xlfn.IFNA(VLOOKUP(E6489,'Urban Plastix Holds'!$I$36:$U$498,12,0),0)</f>
        <v>0</v>
      </c>
      <c r="J6489" s="2">
        <f t="shared" si="508"/>
        <v>0</v>
      </c>
      <c r="K6489" s="2">
        <f t="shared" si="509"/>
        <v>0</v>
      </c>
    </row>
    <row r="6490" spans="5:11">
      <c r="E6490" s="3" t="s">
        <v>2696</v>
      </c>
      <c r="F6490" s="3" t="s">
        <v>2697</v>
      </c>
      <c r="G6490" s="12" t="str">
        <f t="shared" si="510"/>
        <v>12-01</v>
      </c>
      <c r="H6490" s="1">
        <f>_xlfn.IFNA(VLOOKUP(E6490,'Urban Plastix Holds'!$I$36:$U$498,13,0),0)</f>
        <v>0</v>
      </c>
      <c r="J6490" s="2">
        <f t="shared" si="508"/>
        <v>0</v>
      </c>
      <c r="K6490" s="2">
        <f t="shared" si="509"/>
        <v>0</v>
      </c>
    </row>
    <row r="6491" spans="5:11">
      <c r="E6491" s="3" t="s">
        <v>2698</v>
      </c>
      <c r="F6491" s="3" t="s">
        <v>2699</v>
      </c>
      <c r="G6491" s="5" t="str">
        <f t="shared" si="510"/>
        <v>11-12</v>
      </c>
      <c r="H6491" s="1">
        <f>_xlfn.IFNA(VLOOKUP(E6491,'Urban Plastix Holds'!$I$36:$U$498,5,0),0)</f>
        <v>0</v>
      </c>
      <c r="J6491" s="2">
        <f t="shared" si="508"/>
        <v>0</v>
      </c>
      <c r="K6491" s="2">
        <f t="shared" si="509"/>
        <v>0</v>
      </c>
    </row>
    <row r="6492" spans="5:11">
      <c r="E6492" s="3" t="s">
        <v>2698</v>
      </c>
      <c r="F6492" s="3" t="s">
        <v>2699</v>
      </c>
      <c r="G6492" s="6" t="str">
        <f t="shared" si="510"/>
        <v>14-01</v>
      </c>
      <c r="H6492" s="1">
        <f>_xlfn.IFNA(VLOOKUP(E6492,'Urban Plastix Holds'!$I$36:$U$498,6,0),0)</f>
        <v>0</v>
      </c>
      <c r="J6492" s="2">
        <f t="shared" si="508"/>
        <v>0</v>
      </c>
      <c r="K6492" s="2">
        <f t="shared" si="509"/>
        <v>0</v>
      </c>
    </row>
    <row r="6493" spans="5:11">
      <c r="E6493" s="3" t="s">
        <v>2698</v>
      </c>
      <c r="F6493" s="3" t="s">
        <v>2699</v>
      </c>
      <c r="G6493" s="7" t="str">
        <f t="shared" si="510"/>
        <v>15-12</v>
      </c>
      <c r="H6493" s="1">
        <f>_xlfn.IFNA(VLOOKUP(E6493,'Urban Plastix Holds'!$I$36:$U$498,7,0),0)</f>
        <v>0</v>
      </c>
      <c r="J6493" s="2">
        <f t="shared" si="508"/>
        <v>0</v>
      </c>
      <c r="K6493" s="2">
        <f t="shared" si="509"/>
        <v>0</v>
      </c>
    </row>
    <row r="6494" spans="5:11">
      <c r="E6494" s="3" t="s">
        <v>2698</v>
      </c>
      <c r="F6494" s="3" t="s">
        <v>2699</v>
      </c>
      <c r="G6494" s="8" t="str">
        <f t="shared" si="510"/>
        <v>16-16</v>
      </c>
      <c r="H6494" s="1">
        <f>_xlfn.IFNA(VLOOKUP(E6494,'Urban Plastix Holds'!$I$36:$U$498,8,0),0)</f>
        <v>0</v>
      </c>
      <c r="J6494" s="2">
        <f t="shared" si="508"/>
        <v>0</v>
      </c>
      <c r="K6494" s="2">
        <f t="shared" si="509"/>
        <v>0</v>
      </c>
    </row>
    <row r="6495" spans="5:11">
      <c r="E6495" s="3" t="s">
        <v>2698</v>
      </c>
      <c r="F6495" s="3" t="s">
        <v>2699</v>
      </c>
      <c r="G6495" s="9" t="str">
        <f t="shared" si="510"/>
        <v>13-01</v>
      </c>
      <c r="H6495" s="1">
        <f>_xlfn.IFNA(VLOOKUP(E6495,'Urban Plastix Holds'!$I$36:$U$498,9,0),0)</f>
        <v>0</v>
      </c>
      <c r="J6495" s="2">
        <f t="shared" si="508"/>
        <v>0</v>
      </c>
      <c r="K6495" s="2">
        <f t="shared" si="509"/>
        <v>0</v>
      </c>
    </row>
    <row r="6496" spans="5:11">
      <c r="E6496" s="3" t="s">
        <v>2698</v>
      </c>
      <c r="F6496" s="3" t="s">
        <v>2699</v>
      </c>
      <c r="G6496" s="10" t="str">
        <f t="shared" si="510"/>
        <v>07-13</v>
      </c>
      <c r="H6496" s="1">
        <f>_xlfn.IFNA(VLOOKUP(E6496,'Urban Plastix Holds'!$I$36:$U$498,10,0),0)</f>
        <v>0</v>
      </c>
      <c r="J6496" s="2">
        <f t="shared" si="508"/>
        <v>0</v>
      </c>
      <c r="K6496" s="2">
        <f t="shared" si="509"/>
        <v>0</v>
      </c>
    </row>
    <row r="6497" spans="5:11">
      <c r="E6497" s="3" t="s">
        <v>2698</v>
      </c>
      <c r="F6497" s="3" t="s">
        <v>2699</v>
      </c>
      <c r="G6497" s="11" t="str">
        <f t="shared" si="510"/>
        <v>11-25</v>
      </c>
      <c r="H6497" s="1">
        <f>_xlfn.IFNA(VLOOKUP(E6497,'Urban Plastix Holds'!$I$36:$U$498,11,0),0)</f>
        <v>0</v>
      </c>
      <c r="J6497" s="2">
        <f t="shared" si="508"/>
        <v>0</v>
      </c>
      <c r="K6497" s="2">
        <f t="shared" si="509"/>
        <v>0</v>
      </c>
    </row>
    <row r="6498" spans="5:11">
      <c r="E6498" s="3" t="s">
        <v>2698</v>
      </c>
      <c r="F6498" s="3" t="s">
        <v>2699</v>
      </c>
      <c r="G6498" s="13" t="str">
        <f t="shared" si="510"/>
        <v>18-01</v>
      </c>
      <c r="H6498" s="1">
        <f>_xlfn.IFNA(VLOOKUP(E6498,'Urban Plastix Holds'!$I$36:$U$498,12,0),0)</f>
        <v>0</v>
      </c>
      <c r="J6498" s="2">
        <f t="shared" si="508"/>
        <v>0</v>
      </c>
      <c r="K6498" s="2">
        <f t="shared" si="509"/>
        <v>0</v>
      </c>
    </row>
    <row r="6499" spans="5:11">
      <c r="E6499" s="3" t="s">
        <v>2698</v>
      </c>
      <c r="F6499" s="3" t="s">
        <v>2699</v>
      </c>
      <c r="G6499" s="12" t="str">
        <f t="shared" si="510"/>
        <v>12-01</v>
      </c>
      <c r="H6499" s="1">
        <f>_xlfn.IFNA(VLOOKUP(E6499,'Urban Plastix Holds'!$I$36:$U$498,13,0),0)</f>
        <v>0</v>
      </c>
      <c r="J6499" s="2">
        <f t="shared" si="508"/>
        <v>0</v>
      </c>
      <c r="K6499" s="2">
        <f t="shared" si="509"/>
        <v>0</v>
      </c>
    </row>
    <row r="6500" spans="5:11">
      <c r="E6500" s="3" t="s">
        <v>2700</v>
      </c>
      <c r="F6500" s="3" t="s">
        <v>2701</v>
      </c>
      <c r="G6500" s="5" t="str">
        <f t="shared" si="510"/>
        <v>11-12</v>
      </c>
      <c r="H6500" s="1">
        <f>_xlfn.IFNA(VLOOKUP(E6500,'Urban Plastix Holds'!$I$36:$U$498,5,0),0)</f>
        <v>0</v>
      </c>
      <c r="J6500" s="2">
        <f t="shared" si="508"/>
        <v>0</v>
      </c>
      <c r="K6500" s="2">
        <f t="shared" si="509"/>
        <v>0</v>
      </c>
    </row>
    <row r="6501" spans="5:11">
      <c r="E6501" s="3" t="s">
        <v>2700</v>
      </c>
      <c r="F6501" s="3" t="s">
        <v>2701</v>
      </c>
      <c r="G6501" s="6" t="str">
        <f t="shared" si="510"/>
        <v>14-01</v>
      </c>
      <c r="H6501" s="1">
        <f>_xlfn.IFNA(VLOOKUP(E6501,'Urban Plastix Holds'!$I$36:$U$498,6,0),0)</f>
        <v>0</v>
      </c>
      <c r="J6501" s="2">
        <f t="shared" si="508"/>
        <v>0</v>
      </c>
      <c r="K6501" s="2">
        <f t="shared" si="509"/>
        <v>0</v>
      </c>
    </row>
    <row r="6502" spans="5:11">
      <c r="E6502" s="3" t="s">
        <v>2700</v>
      </c>
      <c r="F6502" s="3" t="s">
        <v>2701</v>
      </c>
      <c r="G6502" s="7" t="str">
        <f t="shared" si="510"/>
        <v>15-12</v>
      </c>
      <c r="H6502" s="1">
        <f>_xlfn.IFNA(VLOOKUP(E6502,'Urban Plastix Holds'!$I$36:$U$498,7,0),0)</f>
        <v>0</v>
      </c>
      <c r="J6502" s="2">
        <f t="shared" si="508"/>
        <v>0</v>
      </c>
      <c r="K6502" s="2">
        <f t="shared" si="509"/>
        <v>0</v>
      </c>
    </row>
    <row r="6503" spans="5:11">
      <c r="E6503" s="3" t="s">
        <v>2700</v>
      </c>
      <c r="F6503" s="3" t="s">
        <v>2701</v>
      </c>
      <c r="G6503" s="8" t="str">
        <f t="shared" si="510"/>
        <v>16-16</v>
      </c>
      <c r="H6503" s="1">
        <f>_xlfn.IFNA(VLOOKUP(E6503,'Urban Plastix Holds'!$I$36:$U$498,8,0),0)</f>
        <v>0</v>
      </c>
      <c r="J6503" s="2">
        <f t="shared" si="508"/>
        <v>0</v>
      </c>
      <c r="K6503" s="2">
        <f t="shared" si="509"/>
        <v>0</v>
      </c>
    </row>
    <row r="6504" spans="5:11">
      <c r="E6504" s="3" t="s">
        <v>2700</v>
      </c>
      <c r="F6504" s="3" t="s">
        <v>2701</v>
      </c>
      <c r="G6504" s="9" t="str">
        <f t="shared" si="510"/>
        <v>13-01</v>
      </c>
      <c r="H6504" s="1">
        <f>_xlfn.IFNA(VLOOKUP(E6504,'Urban Plastix Holds'!$I$36:$U$498,9,0),0)</f>
        <v>0</v>
      </c>
      <c r="J6504" s="2">
        <f t="shared" si="508"/>
        <v>0</v>
      </c>
      <c r="K6504" s="2">
        <f t="shared" si="509"/>
        <v>0</v>
      </c>
    </row>
    <row r="6505" spans="5:11">
      <c r="E6505" s="3" t="s">
        <v>2700</v>
      </c>
      <c r="F6505" s="3" t="s">
        <v>2701</v>
      </c>
      <c r="G6505" s="10" t="str">
        <f t="shared" si="510"/>
        <v>07-13</v>
      </c>
      <c r="H6505" s="1">
        <f>_xlfn.IFNA(VLOOKUP(E6505,'Urban Plastix Holds'!$I$36:$U$498,10,0),0)</f>
        <v>0</v>
      </c>
      <c r="J6505" s="2">
        <f t="shared" si="508"/>
        <v>0</v>
      </c>
      <c r="K6505" s="2">
        <f t="shared" si="509"/>
        <v>0</v>
      </c>
    </row>
    <row r="6506" spans="5:11">
      <c r="E6506" s="3" t="s">
        <v>2700</v>
      </c>
      <c r="F6506" s="3" t="s">
        <v>2701</v>
      </c>
      <c r="G6506" s="11" t="str">
        <f t="shared" si="510"/>
        <v>11-25</v>
      </c>
      <c r="H6506" s="1">
        <f>_xlfn.IFNA(VLOOKUP(E6506,'Urban Plastix Holds'!$I$36:$U$498,11,0),0)</f>
        <v>0</v>
      </c>
      <c r="J6506" s="2">
        <f t="shared" si="508"/>
        <v>0</v>
      </c>
      <c r="K6506" s="2">
        <f t="shared" si="509"/>
        <v>0</v>
      </c>
    </row>
    <row r="6507" spans="5:11">
      <c r="E6507" s="3" t="s">
        <v>2700</v>
      </c>
      <c r="F6507" s="3" t="s">
        <v>2701</v>
      </c>
      <c r="G6507" s="13" t="str">
        <f t="shared" si="510"/>
        <v>18-01</v>
      </c>
      <c r="H6507" s="1">
        <f>_xlfn.IFNA(VLOOKUP(E6507,'Urban Plastix Holds'!$I$36:$U$498,12,0),0)</f>
        <v>0</v>
      </c>
      <c r="J6507" s="2">
        <f t="shared" si="508"/>
        <v>0</v>
      </c>
      <c r="K6507" s="2">
        <f t="shared" si="509"/>
        <v>0</v>
      </c>
    </row>
    <row r="6508" spans="5:11">
      <c r="E6508" s="3" t="s">
        <v>2700</v>
      </c>
      <c r="F6508" s="3" t="s">
        <v>2701</v>
      </c>
      <c r="G6508" s="12" t="str">
        <f t="shared" si="510"/>
        <v>12-01</v>
      </c>
      <c r="H6508" s="1">
        <f>_xlfn.IFNA(VLOOKUP(E6508,'Urban Plastix Holds'!$I$36:$U$498,13,0),0)</f>
        <v>0</v>
      </c>
      <c r="J6508" s="2">
        <f t="shared" si="508"/>
        <v>0</v>
      </c>
      <c r="K6508" s="2">
        <f t="shared" si="509"/>
        <v>0</v>
      </c>
    </row>
    <row r="6509" spans="5:11">
      <c r="E6509" s="3" t="s">
        <v>2708</v>
      </c>
      <c r="F6509" s="3" t="s">
        <v>2709</v>
      </c>
      <c r="G6509" s="5" t="str">
        <f t="shared" si="510"/>
        <v>11-12</v>
      </c>
      <c r="H6509" s="1">
        <f>_xlfn.IFNA(VLOOKUP(E6509,'Urban Plastix Holds'!$I$36:$U$498,5,0),0)</f>
        <v>0</v>
      </c>
      <c r="J6509" s="2">
        <f t="shared" ref="J6509:J6562" si="511">H6509*I6509</f>
        <v>0</v>
      </c>
      <c r="K6509" s="2">
        <f t="shared" ref="K6509:K6562" si="512">IF($V$11="Y",J6509*0.05,0)</f>
        <v>0</v>
      </c>
    </row>
    <row r="6510" spans="5:11">
      <c r="E6510" s="3" t="s">
        <v>2708</v>
      </c>
      <c r="F6510" s="3" t="s">
        <v>2709</v>
      </c>
      <c r="G6510" s="6" t="str">
        <f t="shared" si="510"/>
        <v>14-01</v>
      </c>
      <c r="H6510" s="1">
        <f>_xlfn.IFNA(VLOOKUP(E6510,'Urban Plastix Holds'!$I$36:$U$498,6,0),0)</f>
        <v>0</v>
      </c>
      <c r="J6510" s="2">
        <f t="shared" si="511"/>
        <v>0</v>
      </c>
      <c r="K6510" s="2">
        <f t="shared" si="512"/>
        <v>0</v>
      </c>
    </row>
    <row r="6511" spans="5:11">
      <c r="E6511" s="3" t="s">
        <v>2708</v>
      </c>
      <c r="F6511" s="3" t="s">
        <v>2709</v>
      </c>
      <c r="G6511" s="7" t="str">
        <f t="shared" si="510"/>
        <v>15-12</v>
      </c>
      <c r="H6511" s="1">
        <f>_xlfn.IFNA(VLOOKUP(E6511,'Urban Plastix Holds'!$I$36:$U$498,7,0),0)</f>
        <v>0</v>
      </c>
      <c r="J6511" s="2">
        <f t="shared" si="511"/>
        <v>0</v>
      </c>
      <c r="K6511" s="2">
        <f t="shared" si="512"/>
        <v>0</v>
      </c>
    </row>
    <row r="6512" spans="5:11">
      <c r="E6512" s="3" t="s">
        <v>2708</v>
      </c>
      <c r="F6512" s="3" t="s">
        <v>2709</v>
      </c>
      <c r="G6512" s="8" t="str">
        <f t="shared" si="510"/>
        <v>16-16</v>
      </c>
      <c r="H6512" s="1">
        <f>_xlfn.IFNA(VLOOKUP(E6512,'Urban Plastix Holds'!$I$36:$U$498,8,0),0)</f>
        <v>0</v>
      </c>
      <c r="J6512" s="2">
        <f t="shared" si="511"/>
        <v>0</v>
      </c>
      <c r="K6512" s="2">
        <f t="shared" si="512"/>
        <v>0</v>
      </c>
    </row>
    <row r="6513" spans="5:11">
      <c r="E6513" s="3" t="s">
        <v>2708</v>
      </c>
      <c r="F6513" s="3" t="s">
        <v>2709</v>
      </c>
      <c r="G6513" s="9" t="str">
        <f t="shared" si="510"/>
        <v>13-01</v>
      </c>
      <c r="H6513" s="1">
        <f>_xlfn.IFNA(VLOOKUP(E6513,'Urban Plastix Holds'!$I$36:$U$498,9,0),0)</f>
        <v>0</v>
      </c>
      <c r="J6513" s="2">
        <f t="shared" si="511"/>
        <v>0</v>
      </c>
      <c r="K6513" s="2">
        <f t="shared" si="512"/>
        <v>0</v>
      </c>
    </row>
    <row r="6514" spans="5:11">
      <c r="E6514" s="3" t="s">
        <v>2708</v>
      </c>
      <c r="F6514" s="3" t="s">
        <v>2709</v>
      </c>
      <c r="G6514" s="10" t="str">
        <f t="shared" si="510"/>
        <v>07-13</v>
      </c>
      <c r="H6514" s="1">
        <f>_xlfn.IFNA(VLOOKUP(E6514,'Urban Plastix Holds'!$I$36:$U$498,10,0),0)</f>
        <v>0</v>
      </c>
      <c r="J6514" s="2">
        <f t="shared" si="511"/>
        <v>0</v>
      </c>
      <c r="K6514" s="2">
        <f t="shared" si="512"/>
        <v>0</v>
      </c>
    </row>
    <row r="6515" spans="5:11">
      <c r="E6515" s="3" t="s">
        <v>2708</v>
      </c>
      <c r="F6515" s="3" t="s">
        <v>2709</v>
      </c>
      <c r="G6515" s="11" t="str">
        <f t="shared" si="510"/>
        <v>11-25</v>
      </c>
      <c r="H6515" s="1">
        <f>_xlfn.IFNA(VLOOKUP(E6515,'Urban Plastix Holds'!$I$36:$U$498,11,0),0)</f>
        <v>0</v>
      </c>
      <c r="J6515" s="2">
        <f t="shared" si="511"/>
        <v>0</v>
      </c>
      <c r="K6515" s="2">
        <f t="shared" si="512"/>
        <v>0</v>
      </c>
    </row>
    <row r="6516" spans="5:11">
      <c r="E6516" s="3" t="s">
        <v>2708</v>
      </c>
      <c r="F6516" s="3" t="s">
        <v>2709</v>
      </c>
      <c r="G6516" s="13" t="str">
        <f t="shared" si="510"/>
        <v>18-01</v>
      </c>
      <c r="H6516" s="1">
        <f>_xlfn.IFNA(VLOOKUP(E6516,'Urban Plastix Holds'!$I$36:$U$498,12,0),0)</f>
        <v>0</v>
      </c>
      <c r="J6516" s="2">
        <f t="shared" si="511"/>
        <v>0</v>
      </c>
      <c r="K6516" s="2">
        <f t="shared" si="512"/>
        <v>0</v>
      </c>
    </row>
    <row r="6517" spans="5:11">
      <c r="E6517" s="3" t="s">
        <v>2708</v>
      </c>
      <c r="F6517" s="3" t="s">
        <v>2709</v>
      </c>
      <c r="G6517" s="12" t="str">
        <f t="shared" si="510"/>
        <v>12-01</v>
      </c>
      <c r="H6517" s="1">
        <f>_xlfn.IFNA(VLOOKUP(E6517,'Urban Plastix Holds'!$I$36:$U$498,13,0),0)</f>
        <v>0</v>
      </c>
      <c r="J6517" s="2">
        <f t="shared" si="511"/>
        <v>0</v>
      </c>
      <c r="K6517" s="2">
        <f t="shared" si="512"/>
        <v>0</v>
      </c>
    </row>
    <row r="6518" spans="5:11">
      <c r="E6518" s="3" t="s">
        <v>2710</v>
      </c>
      <c r="F6518" s="3" t="s">
        <v>2711</v>
      </c>
      <c r="G6518" s="5" t="str">
        <f t="shared" si="510"/>
        <v>11-12</v>
      </c>
      <c r="H6518" s="1">
        <f>_xlfn.IFNA(VLOOKUP(E6518,'Urban Plastix Holds'!$I$36:$U$498,5,0),0)</f>
        <v>0</v>
      </c>
      <c r="J6518" s="2">
        <f t="shared" si="511"/>
        <v>0</v>
      </c>
      <c r="K6518" s="2">
        <f t="shared" si="512"/>
        <v>0</v>
      </c>
    </row>
    <row r="6519" spans="5:11">
      <c r="E6519" s="3" t="s">
        <v>2710</v>
      </c>
      <c r="F6519" s="3" t="s">
        <v>2711</v>
      </c>
      <c r="G6519" s="6" t="str">
        <f t="shared" si="510"/>
        <v>14-01</v>
      </c>
      <c r="H6519" s="1">
        <f>_xlfn.IFNA(VLOOKUP(E6519,'Urban Plastix Holds'!$I$36:$U$498,6,0),0)</f>
        <v>0</v>
      </c>
      <c r="J6519" s="2">
        <f t="shared" si="511"/>
        <v>0</v>
      </c>
      <c r="K6519" s="2">
        <f t="shared" si="512"/>
        <v>0</v>
      </c>
    </row>
    <row r="6520" spans="5:11">
      <c r="E6520" s="3" t="s">
        <v>2710</v>
      </c>
      <c r="F6520" s="3" t="s">
        <v>2711</v>
      </c>
      <c r="G6520" s="7" t="str">
        <f t="shared" si="510"/>
        <v>15-12</v>
      </c>
      <c r="H6520" s="1">
        <f>_xlfn.IFNA(VLOOKUP(E6520,'Urban Plastix Holds'!$I$36:$U$498,7,0),0)</f>
        <v>0</v>
      </c>
      <c r="J6520" s="2">
        <f t="shared" si="511"/>
        <v>0</v>
      </c>
      <c r="K6520" s="2">
        <f t="shared" si="512"/>
        <v>0</v>
      </c>
    </row>
    <row r="6521" spans="5:11">
      <c r="E6521" s="3" t="s">
        <v>2710</v>
      </c>
      <c r="F6521" s="3" t="s">
        <v>2711</v>
      </c>
      <c r="G6521" s="8" t="str">
        <f t="shared" si="510"/>
        <v>16-16</v>
      </c>
      <c r="H6521" s="1">
        <f>_xlfn.IFNA(VLOOKUP(E6521,'Urban Plastix Holds'!$I$36:$U$498,8,0),0)</f>
        <v>0</v>
      </c>
      <c r="J6521" s="2">
        <f t="shared" si="511"/>
        <v>0</v>
      </c>
      <c r="K6521" s="2">
        <f t="shared" si="512"/>
        <v>0</v>
      </c>
    </row>
    <row r="6522" spans="5:11">
      <c r="E6522" s="3" t="s">
        <v>2710</v>
      </c>
      <c r="F6522" s="3" t="s">
        <v>2711</v>
      </c>
      <c r="G6522" s="9" t="str">
        <f t="shared" si="510"/>
        <v>13-01</v>
      </c>
      <c r="H6522" s="1">
        <f>_xlfn.IFNA(VLOOKUP(E6522,'Urban Plastix Holds'!$I$36:$U$498,9,0),0)</f>
        <v>0</v>
      </c>
      <c r="J6522" s="2">
        <f t="shared" si="511"/>
        <v>0</v>
      </c>
      <c r="K6522" s="2">
        <f t="shared" si="512"/>
        <v>0</v>
      </c>
    </row>
    <row r="6523" spans="5:11">
      <c r="E6523" s="3" t="s">
        <v>2710</v>
      </c>
      <c r="F6523" s="3" t="s">
        <v>2711</v>
      </c>
      <c r="G6523" s="10" t="str">
        <f t="shared" si="510"/>
        <v>07-13</v>
      </c>
      <c r="H6523" s="1">
        <f>_xlfn.IFNA(VLOOKUP(E6523,'Urban Plastix Holds'!$I$36:$U$498,10,0),0)</f>
        <v>0</v>
      </c>
      <c r="J6523" s="2">
        <f t="shared" si="511"/>
        <v>0</v>
      </c>
      <c r="K6523" s="2">
        <f t="shared" si="512"/>
        <v>0</v>
      </c>
    </row>
    <row r="6524" spans="5:11">
      <c r="E6524" s="3" t="s">
        <v>2710</v>
      </c>
      <c r="F6524" s="3" t="s">
        <v>2711</v>
      </c>
      <c r="G6524" s="11" t="str">
        <f t="shared" si="510"/>
        <v>11-25</v>
      </c>
      <c r="H6524" s="1">
        <f>_xlfn.IFNA(VLOOKUP(E6524,'Urban Plastix Holds'!$I$36:$U$498,11,0),0)</f>
        <v>0</v>
      </c>
      <c r="J6524" s="2">
        <f t="shared" si="511"/>
        <v>0</v>
      </c>
      <c r="K6524" s="2">
        <f t="shared" si="512"/>
        <v>0</v>
      </c>
    </row>
    <row r="6525" spans="5:11">
      <c r="E6525" s="3" t="s">
        <v>2710</v>
      </c>
      <c r="F6525" s="3" t="s">
        <v>2711</v>
      </c>
      <c r="G6525" s="13" t="str">
        <f t="shared" si="510"/>
        <v>18-01</v>
      </c>
      <c r="H6525" s="1">
        <f>_xlfn.IFNA(VLOOKUP(E6525,'Urban Plastix Holds'!$I$36:$U$498,12,0),0)</f>
        <v>0</v>
      </c>
      <c r="J6525" s="2">
        <f t="shared" si="511"/>
        <v>0</v>
      </c>
      <c r="K6525" s="2">
        <f t="shared" si="512"/>
        <v>0</v>
      </c>
    </row>
    <row r="6526" spans="5:11">
      <c r="E6526" s="3" t="s">
        <v>2710</v>
      </c>
      <c r="F6526" s="3" t="s">
        <v>2711</v>
      </c>
      <c r="G6526" s="12" t="str">
        <f t="shared" si="510"/>
        <v>12-01</v>
      </c>
      <c r="H6526" s="1">
        <f>_xlfn.IFNA(VLOOKUP(E6526,'Urban Plastix Holds'!$I$36:$U$498,13,0),0)</f>
        <v>0</v>
      </c>
      <c r="J6526" s="2">
        <f t="shared" si="511"/>
        <v>0</v>
      </c>
      <c r="K6526" s="2">
        <f t="shared" si="512"/>
        <v>0</v>
      </c>
    </row>
    <row r="6527" spans="5:11">
      <c r="E6527" s="3" t="s">
        <v>2712</v>
      </c>
      <c r="F6527" s="3" t="s">
        <v>2713</v>
      </c>
      <c r="G6527" s="5" t="str">
        <f t="shared" si="510"/>
        <v>11-12</v>
      </c>
      <c r="H6527" s="1">
        <f>_xlfn.IFNA(VLOOKUP(E6527,'Urban Plastix Holds'!$I$36:$U$498,5,0),0)</f>
        <v>0</v>
      </c>
      <c r="J6527" s="2">
        <f t="shared" si="511"/>
        <v>0</v>
      </c>
      <c r="K6527" s="2">
        <f t="shared" si="512"/>
        <v>0</v>
      </c>
    </row>
    <row r="6528" spans="5:11">
      <c r="E6528" s="3" t="s">
        <v>2712</v>
      </c>
      <c r="F6528" s="3" t="s">
        <v>2713</v>
      </c>
      <c r="G6528" s="6" t="str">
        <f t="shared" si="510"/>
        <v>14-01</v>
      </c>
      <c r="H6528" s="1">
        <f>_xlfn.IFNA(VLOOKUP(E6528,'Urban Plastix Holds'!$I$36:$U$498,6,0),0)</f>
        <v>0</v>
      </c>
      <c r="J6528" s="2">
        <f t="shared" si="511"/>
        <v>0</v>
      </c>
      <c r="K6528" s="2">
        <f t="shared" si="512"/>
        <v>0</v>
      </c>
    </row>
    <row r="6529" spans="5:11">
      <c r="E6529" s="3" t="s">
        <v>2712</v>
      </c>
      <c r="F6529" s="3" t="s">
        <v>2713</v>
      </c>
      <c r="G6529" s="7" t="str">
        <f t="shared" si="510"/>
        <v>15-12</v>
      </c>
      <c r="H6529" s="1">
        <f>_xlfn.IFNA(VLOOKUP(E6529,'Urban Plastix Holds'!$I$36:$U$498,7,0),0)</f>
        <v>0</v>
      </c>
      <c r="J6529" s="2">
        <f t="shared" si="511"/>
        <v>0</v>
      </c>
      <c r="K6529" s="2">
        <f t="shared" si="512"/>
        <v>0</v>
      </c>
    </row>
    <row r="6530" spans="5:11">
      <c r="E6530" s="3" t="s">
        <v>2712</v>
      </c>
      <c r="F6530" s="3" t="s">
        <v>2713</v>
      </c>
      <c r="G6530" s="8" t="str">
        <f t="shared" si="510"/>
        <v>16-16</v>
      </c>
      <c r="H6530" s="1">
        <f>_xlfn.IFNA(VLOOKUP(E6530,'Urban Plastix Holds'!$I$36:$U$498,8,0),0)</f>
        <v>0</v>
      </c>
      <c r="J6530" s="2">
        <f t="shared" si="511"/>
        <v>0</v>
      </c>
      <c r="K6530" s="2">
        <f t="shared" si="512"/>
        <v>0</v>
      </c>
    </row>
    <row r="6531" spans="5:11">
      <c r="E6531" s="3" t="s">
        <v>2712</v>
      </c>
      <c r="F6531" s="3" t="s">
        <v>2713</v>
      </c>
      <c r="G6531" s="9" t="str">
        <f t="shared" si="510"/>
        <v>13-01</v>
      </c>
      <c r="H6531" s="1">
        <f>_xlfn.IFNA(VLOOKUP(E6531,'Urban Plastix Holds'!$I$36:$U$498,9,0),0)</f>
        <v>0</v>
      </c>
      <c r="J6531" s="2">
        <f t="shared" si="511"/>
        <v>0</v>
      </c>
      <c r="K6531" s="2">
        <f t="shared" si="512"/>
        <v>0</v>
      </c>
    </row>
    <row r="6532" spans="5:11">
      <c r="E6532" s="3" t="s">
        <v>2712</v>
      </c>
      <c r="F6532" s="3" t="s">
        <v>2713</v>
      </c>
      <c r="G6532" s="10" t="str">
        <f t="shared" si="510"/>
        <v>07-13</v>
      </c>
      <c r="H6532" s="1">
        <f>_xlfn.IFNA(VLOOKUP(E6532,'Urban Plastix Holds'!$I$36:$U$498,10,0),0)</f>
        <v>0</v>
      </c>
      <c r="J6532" s="2">
        <f t="shared" si="511"/>
        <v>0</v>
      </c>
      <c r="K6532" s="2">
        <f t="shared" si="512"/>
        <v>0</v>
      </c>
    </row>
    <row r="6533" spans="5:11">
      <c r="E6533" s="3" t="s">
        <v>2712</v>
      </c>
      <c r="F6533" s="3" t="s">
        <v>2713</v>
      </c>
      <c r="G6533" s="11" t="str">
        <f t="shared" si="510"/>
        <v>11-25</v>
      </c>
      <c r="H6533" s="1">
        <f>_xlfn.IFNA(VLOOKUP(E6533,'Urban Plastix Holds'!$I$36:$U$498,11,0),0)</f>
        <v>0</v>
      </c>
      <c r="J6533" s="2">
        <f t="shared" si="511"/>
        <v>0</v>
      </c>
      <c r="K6533" s="2">
        <f t="shared" si="512"/>
        <v>0</v>
      </c>
    </row>
    <row r="6534" spans="5:11">
      <c r="E6534" s="3" t="s">
        <v>2712</v>
      </c>
      <c r="F6534" s="3" t="s">
        <v>2713</v>
      </c>
      <c r="G6534" s="13" t="str">
        <f t="shared" si="510"/>
        <v>18-01</v>
      </c>
      <c r="H6534" s="1">
        <f>_xlfn.IFNA(VLOOKUP(E6534,'Urban Plastix Holds'!$I$36:$U$498,12,0),0)</f>
        <v>0</v>
      </c>
      <c r="J6534" s="2">
        <f t="shared" si="511"/>
        <v>0</v>
      </c>
      <c r="K6534" s="2">
        <f t="shared" si="512"/>
        <v>0</v>
      </c>
    </row>
    <row r="6535" spans="5:11">
      <c r="E6535" s="3" t="s">
        <v>2712</v>
      </c>
      <c r="F6535" s="3" t="s">
        <v>2713</v>
      </c>
      <c r="G6535" s="12" t="str">
        <f t="shared" si="510"/>
        <v>12-01</v>
      </c>
      <c r="H6535" s="1">
        <f>_xlfn.IFNA(VLOOKUP(E6535,'Urban Plastix Holds'!$I$36:$U$498,13,0),0)</f>
        <v>0</v>
      </c>
      <c r="J6535" s="2">
        <f t="shared" si="511"/>
        <v>0</v>
      </c>
      <c r="K6535" s="2">
        <f t="shared" si="512"/>
        <v>0</v>
      </c>
    </row>
    <row r="6536" spans="5:11">
      <c r="E6536" s="3" t="s">
        <v>2714</v>
      </c>
      <c r="F6536" s="3" t="s">
        <v>2715</v>
      </c>
      <c r="G6536" s="5" t="str">
        <f t="shared" si="510"/>
        <v>11-12</v>
      </c>
      <c r="H6536" s="1">
        <f>_xlfn.IFNA(VLOOKUP(E6536,'Urban Plastix Holds'!$I$36:$U$498,5,0),0)</f>
        <v>0</v>
      </c>
      <c r="J6536" s="2">
        <f t="shared" si="511"/>
        <v>0</v>
      </c>
      <c r="K6536" s="2">
        <f t="shared" si="512"/>
        <v>0</v>
      </c>
    </row>
    <row r="6537" spans="5:11">
      <c r="E6537" s="3" t="s">
        <v>2714</v>
      </c>
      <c r="F6537" s="3" t="s">
        <v>2715</v>
      </c>
      <c r="G6537" s="6" t="str">
        <f t="shared" si="510"/>
        <v>14-01</v>
      </c>
      <c r="H6537" s="1">
        <f>_xlfn.IFNA(VLOOKUP(E6537,'Urban Plastix Holds'!$I$36:$U$498,6,0),0)</f>
        <v>0</v>
      </c>
      <c r="J6537" s="2">
        <f t="shared" si="511"/>
        <v>0</v>
      </c>
      <c r="K6537" s="2">
        <f t="shared" si="512"/>
        <v>0</v>
      </c>
    </row>
    <row r="6538" spans="5:11">
      <c r="E6538" s="3" t="s">
        <v>2714</v>
      </c>
      <c r="F6538" s="3" t="s">
        <v>2715</v>
      </c>
      <c r="G6538" s="7" t="str">
        <f t="shared" si="510"/>
        <v>15-12</v>
      </c>
      <c r="H6538" s="1">
        <f>_xlfn.IFNA(VLOOKUP(E6538,'Urban Plastix Holds'!$I$36:$U$498,7,0),0)</f>
        <v>0</v>
      </c>
      <c r="J6538" s="2">
        <f t="shared" si="511"/>
        <v>0</v>
      </c>
      <c r="K6538" s="2">
        <f t="shared" si="512"/>
        <v>0</v>
      </c>
    </row>
    <row r="6539" spans="5:11">
      <c r="E6539" s="3" t="s">
        <v>2714</v>
      </c>
      <c r="F6539" s="3" t="s">
        <v>2715</v>
      </c>
      <c r="G6539" s="8" t="str">
        <f t="shared" si="510"/>
        <v>16-16</v>
      </c>
      <c r="H6539" s="1">
        <f>_xlfn.IFNA(VLOOKUP(E6539,'Urban Plastix Holds'!$I$36:$U$498,8,0),0)</f>
        <v>0</v>
      </c>
      <c r="J6539" s="2">
        <f t="shared" si="511"/>
        <v>0</v>
      </c>
      <c r="K6539" s="2">
        <f t="shared" si="512"/>
        <v>0</v>
      </c>
    </row>
    <row r="6540" spans="5:11">
      <c r="E6540" s="3" t="s">
        <v>2714</v>
      </c>
      <c r="F6540" s="3" t="s">
        <v>2715</v>
      </c>
      <c r="G6540" s="9" t="str">
        <f t="shared" si="510"/>
        <v>13-01</v>
      </c>
      <c r="H6540" s="1">
        <f>_xlfn.IFNA(VLOOKUP(E6540,'Urban Plastix Holds'!$I$36:$U$498,9,0),0)</f>
        <v>0</v>
      </c>
      <c r="J6540" s="2">
        <f t="shared" si="511"/>
        <v>0</v>
      </c>
      <c r="K6540" s="2">
        <f t="shared" si="512"/>
        <v>0</v>
      </c>
    </row>
    <row r="6541" spans="5:11">
      <c r="E6541" s="3" t="s">
        <v>2714</v>
      </c>
      <c r="F6541" s="3" t="s">
        <v>2715</v>
      </c>
      <c r="G6541" s="10" t="str">
        <f t="shared" ref="G6541:G6604" si="513">G6478</f>
        <v>07-13</v>
      </c>
      <c r="H6541" s="1">
        <f>_xlfn.IFNA(VLOOKUP(E6541,'Urban Plastix Holds'!$I$36:$U$498,10,0),0)</f>
        <v>0</v>
      </c>
      <c r="J6541" s="2">
        <f t="shared" si="511"/>
        <v>0</v>
      </c>
      <c r="K6541" s="2">
        <f t="shared" si="512"/>
        <v>0</v>
      </c>
    </row>
    <row r="6542" spans="5:11">
      <c r="E6542" s="3" t="s">
        <v>2714</v>
      </c>
      <c r="F6542" s="3" t="s">
        <v>2715</v>
      </c>
      <c r="G6542" s="11" t="str">
        <f t="shared" si="513"/>
        <v>11-25</v>
      </c>
      <c r="H6542" s="1">
        <f>_xlfn.IFNA(VLOOKUP(E6542,'Urban Plastix Holds'!$I$36:$U$498,11,0),0)</f>
        <v>0</v>
      </c>
      <c r="J6542" s="2">
        <f t="shared" si="511"/>
        <v>0</v>
      </c>
      <c r="K6542" s="2">
        <f t="shared" si="512"/>
        <v>0</v>
      </c>
    </row>
    <row r="6543" spans="5:11">
      <c r="E6543" s="3" t="s">
        <v>2714</v>
      </c>
      <c r="F6543" s="3" t="s">
        <v>2715</v>
      </c>
      <c r="G6543" s="13" t="str">
        <f t="shared" si="513"/>
        <v>18-01</v>
      </c>
      <c r="H6543" s="1">
        <f>_xlfn.IFNA(VLOOKUP(E6543,'Urban Plastix Holds'!$I$36:$U$498,12,0),0)</f>
        <v>0</v>
      </c>
      <c r="J6543" s="2">
        <f t="shared" si="511"/>
        <v>0</v>
      </c>
      <c r="K6543" s="2">
        <f t="shared" si="512"/>
        <v>0</v>
      </c>
    </row>
    <row r="6544" spans="5:11">
      <c r="E6544" s="3" t="s">
        <v>2714</v>
      </c>
      <c r="F6544" s="3" t="s">
        <v>2715</v>
      </c>
      <c r="G6544" s="12" t="str">
        <f t="shared" si="513"/>
        <v>12-01</v>
      </c>
      <c r="H6544" s="1">
        <f>_xlfn.IFNA(VLOOKUP(E6544,'Urban Plastix Holds'!$I$36:$U$498,13,0),0)</f>
        <v>0</v>
      </c>
      <c r="J6544" s="2">
        <f t="shared" si="511"/>
        <v>0</v>
      </c>
      <c r="K6544" s="2">
        <f t="shared" si="512"/>
        <v>0</v>
      </c>
    </row>
    <row r="6545" spans="5:11">
      <c r="E6545" s="3" t="s">
        <v>2716</v>
      </c>
      <c r="F6545" s="3" t="s">
        <v>2717</v>
      </c>
      <c r="G6545" s="5" t="str">
        <f t="shared" si="513"/>
        <v>11-12</v>
      </c>
      <c r="H6545" s="1">
        <f>_xlfn.IFNA(VLOOKUP(E6545,'Urban Plastix Holds'!$I$36:$U$498,5,0),0)</f>
        <v>0</v>
      </c>
      <c r="J6545" s="2">
        <f t="shared" si="511"/>
        <v>0</v>
      </c>
      <c r="K6545" s="2">
        <f t="shared" si="512"/>
        <v>0</v>
      </c>
    </row>
    <row r="6546" spans="5:11">
      <c r="E6546" s="3" t="s">
        <v>2716</v>
      </c>
      <c r="F6546" s="3" t="s">
        <v>2717</v>
      </c>
      <c r="G6546" s="6" t="str">
        <f t="shared" si="513"/>
        <v>14-01</v>
      </c>
      <c r="H6546" s="1">
        <f>_xlfn.IFNA(VLOOKUP(E6546,'Urban Plastix Holds'!$I$36:$U$498,6,0),0)</f>
        <v>0</v>
      </c>
      <c r="J6546" s="2">
        <f t="shared" si="511"/>
        <v>0</v>
      </c>
      <c r="K6546" s="2">
        <f t="shared" si="512"/>
        <v>0</v>
      </c>
    </row>
    <row r="6547" spans="5:11">
      <c r="E6547" s="3" t="s">
        <v>2716</v>
      </c>
      <c r="F6547" s="3" t="s">
        <v>2717</v>
      </c>
      <c r="G6547" s="7" t="str">
        <f t="shared" si="513"/>
        <v>15-12</v>
      </c>
      <c r="H6547" s="1">
        <f>_xlfn.IFNA(VLOOKUP(E6547,'Urban Plastix Holds'!$I$36:$U$498,7,0),0)</f>
        <v>0</v>
      </c>
      <c r="J6547" s="2">
        <f t="shared" si="511"/>
        <v>0</v>
      </c>
      <c r="K6547" s="2">
        <f t="shared" si="512"/>
        <v>0</v>
      </c>
    </row>
    <row r="6548" spans="5:11">
      <c r="E6548" s="3" t="s">
        <v>2716</v>
      </c>
      <c r="F6548" s="3" t="s">
        <v>2717</v>
      </c>
      <c r="G6548" s="8" t="str">
        <f t="shared" si="513"/>
        <v>16-16</v>
      </c>
      <c r="H6548" s="1">
        <f>_xlfn.IFNA(VLOOKUP(E6548,'Urban Plastix Holds'!$I$36:$U$498,8,0),0)</f>
        <v>0</v>
      </c>
      <c r="J6548" s="2">
        <f t="shared" si="511"/>
        <v>0</v>
      </c>
      <c r="K6548" s="2">
        <f t="shared" si="512"/>
        <v>0</v>
      </c>
    </row>
    <row r="6549" spans="5:11">
      <c r="E6549" s="3" t="s">
        <v>2716</v>
      </c>
      <c r="F6549" s="3" t="s">
        <v>2717</v>
      </c>
      <c r="G6549" s="9" t="str">
        <f t="shared" si="513"/>
        <v>13-01</v>
      </c>
      <c r="H6549" s="1">
        <f>_xlfn.IFNA(VLOOKUP(E6549,'Urban Plastix Holds'!$I$36:$U$498,9,0),0)</f>
        <v>0</v>
      </c>
      <c r="J6549" s="2">
        <f t="shared" si="511"/>
        <v>0</v>
      </c>
      <c r="K6549" s="2">
        <f t="shared" si="512"/>
        <v>0</v>
      </c>
    </row>
    <row r="6550" spans="5:11">
      <c r="E6550" s="3" t="s">
        <v>2716</v>
      </c>
      <c r="F6550" s="3" t="s">
        <v>2717</v>
      </c>
      <c r="G6550" s="10" t="str">
        <f t="shared" si="513"/>
        <v>07-13</v>
      </c>
      <c r="H6550" s="1">
        <f>_xlfn.IFNA(VLOOKUP(E6550,'Urban Plastix Holds'!$I$36:$U$498,10,0),0)</f>
        <v>0</v>
      </c>
      <c r="J6550" s="2">
        <f t="shared" si="511"/>
        <v>0</v>
      </c>
      <c r="K6550" s="2">
        <f t="shared" si="512"/>
        <v>0</v>
      </c>
    </row>
    <row r="6551" spans="5:11">
      <c r="E6551" s="3" t="s">
        <v>2716</v>
      </c>
      <c r="F6551" s="3" t="s">
        <v>2717</v>
      </c>
      <c r="G6551" s="11" t="str">
        <f t="shared" si="513"/>
        <v>11-25</v>
      </c>
      <c r="H6551" s="1">
        <f>_xlfn.IFNA(VLOOKUP(E6551,'Urban Plastix Holds'!$I$36:$U$498,11,0),0)</f>
        <v>0</v>
      </c>
      <c r="J6551" s="2">
        <f t="shared" si="511"/>
        <v>0</v>
      </c>
      <c r="K6551" s="2">
        <f t="shared" si="512"/>
        <v>0</v>
      </c>
    </row>
    <row r="6552" spans="5:11">
      <c r="E6552" s="3" t="s">
        <v>2716</v>
      </c>
      <c r="F6552" s="3" t="s">
        <v>2717</v>
      </c>
      <c r="G6552" s="13" t="str">
        <f t="shared" si="513"/>
        <v>18-01</v>
      </c>
      <c r="H6552" s="1">
        <f>_xlfn.IFNA(VLOOKUP(E6552,'Urban Plastix Holds'!$I$36:$U$498,12,0),0)</f>
        <v>0</v>
      </c>
      <c r="J6552" s="2">
        <f t="shared" si="511"/>
        <v>0</v>
      </c>
      <c r="K6552" s="2">
        <f t="shared" si="512"/>
        <v>0</v>
      </c>
    </row>
    <row r="6553" spans="5:11">
      <c r="E6553" s="3" t="s">
        <v>2716</v>
      </c>
      <c r="F6553" s="3" t="s">
        <v>2717</v>
      </c>
      <c r="G6553" s="12" t="str">
        <f t="shared" si="513"/>
        <v>12-01</v>
      </c>
      <c r="H6553" s="1">
        <f>_xlfn.IFNA(VLOOKUP(E6553,'Urban Plastix Holds'!$I$36:$U$498,13,0),0)</f>
        <v>0</v>
      </c>
      <c r="J6553" s="2">
        <f t="shared" si="511"/>
        <v>0</v>
      </c>
      <c r="K6553" s="2">
        <f t="shared" si="512"/>
        <v>0</v>
      </c>
    </row>
    <row r="6554" spans="5:11">
      <c r="E6554" s="3" t="s">
        <v>2718</v>
      </c>
      <c r="F6554" s="3" t="s">
        <v>2719</v>
      </c>
      <c r="G6554" s="5" t="str">
        <f t="shared" si="513"/>
        <v>11-12</v>
      </c>
      <c r="H6554" s="1">
        <f>_xlfn.IFNA(VLOOKUP(E6554,'Urban Plastix Holds'!$I$36:$U$498,5,0),0)</f>
        <v>0</v>
      </c>
      <c r="J6554" s="2">
        <f t="shared" si="511"/>
        <v>0</v>
      </c>
      <c r="K6554" s="2">
        <f t="shared" si="512"/>
        <v>0</v>
      </c>
    </row>
    <row r="6555" spans="5:11">
      <c r="E6555" s="3" t="s">
        <v>2718</v>
      </c>
      <c r="F6555" s="3" t="s">
        <v>2719</v>
      </c>
      <c r="G6555" s="6" t="str">
        <f t="shared" si="513"/>
        <v>14-01</v>
      </c>
      <c r="H6555" s="1">
        <f>_xlfn.IFNA(VLOOKUP(E6555,'Urban Plastix Holds'!$I$36:$U$498,6,0),0)</f>
        <v>0</v>
      </c>
      <c r="J6555" s="2">
        <f t="shared" si="511"/>
        <v>0</v>
      </c>
      <c r="K6555" s="2">
        <f t="shared" si="512"/>
        <v>0</v>
      </c>
    </row>
    <row r="6556" spans="5:11">
      <c r="E6556" s="3" t="s">
        <v>2718</v>
      </c>
      <c r="F6556" s="3" t="s">
        <v>2719</v>
      </c>
      <c r="G6556" s="7" t="str">
        <f t="shared" si="513"/>
        <v>15-12</v>
      </c>
      <c r="H6556" s="1">
        <f>_xlfn.IFNA(VLOOKUP(E6556,'Urban Plastix Holds'!$I$36:$U$498,7,0),0)</f>
        <v>0</v>
      </c>
      <c r="J6556" s="2">
        <f t="shared" si="511"/>
        <v>0</v>
      </c>
      <c r="K6556" s="2">
        <f t="shared" si="512"/>
        <v>0</v>
      </c>
    </row>
    <row r="6557" spans="5:11">
      <c r="E6557" s="3" t="s">
        <v>2718</v>
      </c>
      <c r="F6557" s="3" t="s">
        <v>2719</v>
      </c>
      <c r="G6557" s="8" t="str">
        <f t="shared" si="513"/>
        <v>16-16</v>
      </c>
      <c r="H6557" s="1">
        <f>_xlfn.IFNA(VLOOKUP(E6557,'Urban Plastix Holds'!$I$36:$U$498,8,0),0)</f>
        <v>0</v>
      </c>
      <c r="J6557" s="2">
        <f t="shared" si="511"/>
        <v>0</v>
      </c>
      <c r="K6557" s="2">
        <f t="shared" si="512"/>
        <v>0</v>
      </c>
    </row>
    <row r="6558" spans="5:11">
      <c r="E6558" s="3" t="s">
        <v>2718</v>
      </c>
      <c r="F6558" s="3" t="s">
        <v>2719</v>
      </c>
      <c r="G6558" s="9" t="str">
        <f t="shared" si="513"/>
        <v>13-01</v>
      </c>
      <c r="H6558" s="1">
        <f>_xlfn.IFNA(VLOOKUP(E6558,'Urban Plastix Holds'!$I$36:$U$498,9,0),0)</f>
        <v>0</v>
      </c>
      <c r="J6558" s="2">
        <f t="shared" si="511"/>
        <v>0</v>
      </c>
      <c r="K6558" s="2">
        <f t="shared" si="512"/>
        <v>0</v>
      </c>
    </row>
    <row r="6559" spans="5:11">
      <c r="E6559" s="3" t="s">
        <v>2718</v>
      </c>
      <c r="F6559" s="3" t="s">
        <v>2719</v>
      </c>
      <c r="G6559" s="10" t="str">
        <f t="shared" si="513"/>
        <v>07-13</v>
      </c>
      <c r="H6559" s="1">
        <f>_xlfn.IFNA(VLOOKUP(E6559,'Urban Plastix Holds'!$I$36:$U$498,10,0),0)</f>
        <v>0</v>
      </c>
      <c r="J6559" s="2">
        <f t="shared" si="511"/>
        <v>0</v>
      </c>
      <c r="K6559" s="2">
        <f t="shared" si="512"/>
        <v>0</v>
      </c>
    </row>
    <row r="6560" spans="5:11">
      <c r="E6560" s="3" t="s">
        <v>2718</v>
      </c>
      <c r="F6560" s="3" t="s">
        <v>2719</v>
      </c>
      <c r="G6560" s="11" t="str">
        <f t="shared" si="513"/>
        <v>11-25</v>
      </c>
      <c r="H6560" s="1">
        <f>_xlfn.IFNA(VLOOKUP(E6560,'Urban Plastix Holds'!$I$36:$U$498,11,0),0)</f>
        <v>0</v>
      </c>
      <c r="J6560" s="2">
        <f t="shared" si="511"/>
        <v>0</v>
      </c>
      <c r="K6560" s="2">
        <f t="shared" si="512"/>
        <v>0</v>
      </c>
    </row>
    <row r="6561" spans="5:11">
      <c r="E6561" s="3" t="s">
        <v>2718</v>
      </c>
      <c r="F6561" s="3" t="s">
        <v>2719</v>
      </c>
      <c r="G6561" s="13" t="str">
        <f t="shared" si="513"/>
        <v>18-01</v>
      </c>
      <c r="H6561" s="1">
        <f>_xlfn.IFNA(VLOOKUP(E6561,'Urban Plastix Holds'!$I$36:$U$498,12,0),0)</f>
        <v>0</v>
      </c>
      <c r="J6561" s="2">
        <f t="shared" si="511"/>
        <v>0</v>
      </c>
      <c r="K6561" s="2">
        <f t="shared" si="512"/>
        <v>0</v>
      </c>
    </row>
    <row r="6562" spans="5:11">
      <c r="E6562" s="3" t="s">
        <v>2718</v>
      </c>
      <c r="F6562" s="3" t="s">
        <v>2719</v>
      </c>
      <c r="G6562" s="12" t="str">
        <f t="shared" si="513"/>
        <v>12-01</v>
      </c>
      <c r="H6562" s="1">
        <f>_xlfn.IFNA(VLOOKUP(E6562,'Urban Plastix Holds'!$I$36:$U$498,13,0),0)</f>
        <v>0</v>
      </c>
      <c r="J6562" s="2">
        <f t="shared" si="511"/>
        <v>0</v>
      </c>
      <c r="K6562" s="2">
        <f t="shared" si="512"/>
        <v>0</v>
      </c>
    </row>
    <row r="6563" spans="5:11">
      <c r="E6563" s="3" t="s">
        <v>2741</v>
      </c>
      <c r="F6563" s="3" t="s">
        <v>2742</v>
      </c>
      <c r="G6563" s="5" t="str">
        <f t="shared" si="513"/>
        <v>11-12</v>
      </c>
      <c r="H6563" s="1">
        <f>_xlfn.IFNA(VLOOKUP(E6563,'Urban Plastix Holds'!$I$36:$U$498,5,0),0)</f>
        <v>0</v>
      </c>
      <c r="J6563" s="2">
        <f t="shared" ref="J6563:J6598" si="514">H6563*I6563</f>
        <v>0</v>
      </c>
      <c r="K6563" s="2">
        <f t="shared" ref="K6563:K6598" si="515">IF($V$11="Y",J6563*0.05,0)</f>
        <v>0</v>
      </c>
    </row>
    <row r="6564" spans="5:11">
      <c r="E6564" s="3" t="s">
        <v>2741</v>
      </c>
      <c r="F6564" s="3" t="s">
        <v>2742</v>
      </c>
      <c r="G6564" s="6" t="str">
        <f t="shared" si="513"/>
        <v>14-01</v>
      </c>
      <c r="H6564" s="1">
        <f>_xlfn.IFNA(VLOOKUP(E6564,'Urban Plastix Holds'!$I$36:$U$498,6,0),0)</f>
        <v>0</v>
      </c>
      <c r="J6564" s="2">
        <f t="shared" si="514"/>
        <v>0</v>
      </c>
      <c r="K6564" s="2">
        <f t="shared" si="515"/>
        <v>0</v>
      </c>
    </row>
    <row r="6565" spans="5:11">
      <c r="E6565" s="3" t="s">
        <v>2741</v>
      </c>
      <c r="F6565" s="3" t="s">
        <v>2742</v>
      </c>
      <c r="G6565" s="7" t="str">
        <f t="shared" si="513"/>
        <v>15-12</v>
      </c>
      <c r="H6565" s="1">
        <f>_xlfn.IFNA(VLOOKUP(E6565,'Urban Plastix Holds'!$I$36:$U$498,7,0),0)</f>
        <v>0</v>
      </c>
      <c r="J6565" s="2">
        <f t="shared" si="514"/>
        <v>0</v>
      </c>
      <c r="K6565" s="2">
        <f t="shared" si="515"/>
        <v>0</v>
      </c>
    </row>
    <row r="6566" spans="5:11">
      <c r="E6566" s="3" t="s">
        <v>2741</v>
      </c>
      <c r="F6566" s="3" t="s">
        <v>2742</v>
      </c>
      <c r="G6566" s="8" t="str">
        <f t="shared" si="513"/>
        <v>16-16</v>
      </c>
      <c r="H6566" s="1">
        <f>_xlfn.IFNA(VLOOKUP(E6566,'Urban Plastix Holds'!$I$36:$U$498,8,0),0)</f>
        <v>0</v>
      </c>
      <c r="J6566" s="2">
        <f t="shared" si="514"/>
        <v>0</v>
      </c>
      <c r="K6566" s="2">
        <f t="shared" si="515"/>
        <v>0</v>
      </c>
    </row>
    <row r="6567" spans="5:11">
      <c r="E6567" s="3" t="s">
        <v>2741</v>
      </c>
      <c r="F6567" s="3" t="s">
        <v>2742</v>
      </c>
      <c r="G6567" s="9" t="str">
        <f t="shared" si="513"/>
        <v>13-01</v>
      </c>
      <c r="H6567" s="1">
        <f>_xlfn.IFNA(VLOOKUP(E6567,'Urban Plastix Holds'!$I$36:$U$498,9,0),0)</f>
        <v>0</v>
      </c>
      <c r="J6567" s="2">
        <f t="shared" si="514"/>
        <v>0</v>
      </c>
      <c r="K6567" s="2">
        <f t="shared" si="515"/>
        <v>0</v>
      </c>
    </row>
    <row r="6568" spans="5:11">
      <c r="E6568" s="3" t="s">
        <v>2741</v>
      </c>
      <c r="F6568" s="3" t="s">
        <v>2742</v>
      </c>
      <c r="G6568" s="10" t="str">
        <f t="shared" si="513"/>
        <v>07-13</v>
      </c>
      <c r="H6568" s="1">
        <f>_xlfn.IFNA(VLOOKUP(E6568,'Urban Plastix Holds'!$I$36:$U$498,10,0),0)</f>
        <v>0</v>
      </c>
      <c r="J6568" s="2">
        <f t="shared" si="514"/>
        <v>0</v>
      </c>
      <c r="K6568" s="2">
        <f t="shared" si="515"/>
        <v>0</v>
      </c>
    </row>
    <row r="6569" spans="5:11">
      <c r="E6569" s="3" t="s">
        <v>2741</v>
      </c>
      <c r="F6569" s="3" t="s">
        <v>2742</v>
      </c>
      <c r="G6569" s="11" t="str">
        <f t="shared" si="513"/>
        <v>11-25</v>
      </c>
      <c r="H6569" s="1">
        <f>_xlfn.IFNA(VLOOKUP(E6569,'Urban Plastix Holds'!$I$36:$U$498,11,0),0)</f>
        <v>0</v>
      </c>
      <c r="J6569" s="2">
        <f t="shared" si="514"/>
        <v>0</v>
      </c>
      <c r="K6569" s="2">
        <f t="shared" si="515"/>
        <v>0</v>
      </c>
    </row>
    <row r="6570" spans="5:11">
      <c r="E6570" s="3" t="s">
        <v>2741</v>
      </c>
      <c r="F6570" s="3" t="s">
        <v>2742</v>
      </c>
      <c r="G6570" s="13" t="str">
        <f t="shared" si="513"/>
        <v>18-01</v>
      </c>
      <c r="H6570" s="1">
        <f>_xlfn.IFNA(VLOOKUP(E6570,'Urban Plastix Holds'!$I$36:$U$498,12,0),0)</f>
        <v>0</v>
      </c>
      <c r="J6570" s="2">
        <f t="shared" si="514"/>
        <v>0</v>
      </c>
      <c r="K6570" s="2">
        <f t="shared" si="515"/>
        <v>0</v>
      </c>
    </row>
    <row r="6571" spans="5:11">
      <c r="E6571" s="3" t="s">
        <v>2741</v>
      </c>
      <c r="F6571" s="3" t="s">
        <v>2742</v>
      </c>
      <c r="G6571" s="12" t="str">
        <f t="shared" si="513"/>
        <v>12-01</v>
      </c>
      <c r="H6571" s="1">
        <f>_xlfn.IFNA(VLOOKUP(E6571,'Urban Plastix Holds'!$I$36:$U$498,13,0),0)</f>
        <v>0</v>
      </c>
      <c r="J6571" s="2">
        <f t="shared" si="514"/>
        <v>0</v>
      </c>
      <c r="K6571" s="2">
        <f t="shared" si="515"/>
        <v>0</v>
      </c>
    </row>
    <row r="6572" spans="5:11">
      <c r="E6572" s="3" t="s">
        <v>2743</v>
      </c>
      <c r="F6572" s="3" t="s">
        <v>2744</v>
      </c>
      <c r="G6572" s="5" t="str">
        <f t="shared" si="513"/>
        <v>11-12</v>
      </c>
      <c r="H6572" s="1">
        <f>_xlfn.IFNA(VLOOKUP(E6572,'Urban Plastix Holds'!$I$36:$U$498,5,0),0)</f>
        <v>0</v>
      </c>
      <c r="J6572" s="2">
        <f t="shared" si="514"/>
        <v>0</v>
      </c>
      <c r="K6572" s="2">
        <f t="shared" si="515"/>
        <v>0</v>
      </c>
    </row>
    <row r="6573" spans="5:11">
      <c r="E6573" s="3" t="s">
        <v>2743</v>
      </c>
      <c r="F6573" s="3" t="s">
        <v>2744</v>
      </c>
      <c r="G6573" s="6" t="str">
        <f t="shared" si="513"/>
        <v>14-01</v>
      </c>
      <c r="H6573" s="1">
        <f>_xlfn.IFNA(VLOOKUP(E6573,'Urban Plastix Holds'!$I$36:$U$498,6,0),0)</f>
        <v>0</v>
      </c>
      <c r="J6573" s="2">
        <f t="shared" si="514"/>
        <v>0</v>
      </c>
      <c r="K6573" s="2">
        <f t="shared" si="515"/>
        <v>0</v>
      </c>
    </row>
    <row r="6574" spans="5:11">
      <c r="E6574" s="3" t="s">
        <v>2743</v>
      </c>
      <c r="F6574" s="3" t="s">
        <v>2744</v>
      </c>
      <c r="G6574" s="7" t="str">
        <f t="shared" si="513"/>
        <v>15-12</v>
      </c>
      <c r="H6574" s="1">
        <f>_xlfn.IFNA(VLOOKUP(E6574,'Urban Plastix Holds'!$I$36:$U$498,7,0),0)</f>
        <v>0</v>
      </c>
      <c r="J6574" s="2">
        <f t="shared" si="514"/>
        <v>0</v>
      </c>
      <c r="K6574" s="2">
        <f t="shared" si="515"/>
        <v>0</v>
      </c>
    </row>
    <row r="6575" spans="5:11">
      <c r="E6575" s="3" t="s">
        <v>2743</v>
      </c>
      <c r="F6575" s="3" t="s">
        <v>2744</v>
      </c>
      <c r="G6575" s="8" t="str">
        <f t="shared" si="513"/>
        <v>16-16</v>
      </c>
      <c r="H6575" s="1">
        <f>_xlfn.IFNA(VLOOKUP(E6575,'Urban Plastix Holds'!$I$36:$U$498,8,0),0)</f>
        <v>0</v>
      </c>
      <c r="J6575" s="2">
        <f t="shared" si="514"/>
        <v>0</v>
      </c>
      <c r="K6575" s="2">
        <f t="shared" si="515"/>
        <v>0</v>
      </c>
    </row>
    <row r="6576" spans="5:11">
      <c r="E6576" s="3" t="s">
        <v>2743</v>
      </c>
      <c r="F6576" s="3" t="s">
        <v>2744</v>
      </c>
      <c r="G6576" s="9" t="str">
        <f t="shared" si="513"/>
        <v>13-01</v>
      </c>
      <c r="H6576" s="1">
        <f>_xlfn.IFNA(VLOOKUP(E6576,'Urban Plastix Holds'!$I$36:$U$498,9,0),0)</f>
        <v>0</v>
      </c>
      <c r="J6576" s="2">
        <f t="shared" si="514"/>
        <v>0</v>
      </c>
      <c r="K6576" s="2">
        <f t="shared" si="515"/>
        <v>0</v>
      </c>
    </row>
    <row r="6577" spans="5:11">
      <c r="E6577" s="3" t="s">
        <v>2743</v>
      </c>
      <c r="F6577" s="3" t="s">
        <v>2744</v>
      </c>
      <c r="G6577" s="10" t="str">
        <f t="shared" si="513"/>
        <v>07-13</v>
      </c>
      <c r="H6577" s="1">
        <f>_xlfn.IFNA(VLOOKUP(E6577,'Urban Plastix Holds'!$I$36:$U$498,10,0),0)</f>
        <v>0</v>
      </c>
      <c r="J6577" s="2">
        <f t="shared" si="514"/>
        <v>0</v>
      </c>
      <c r="K6577" s="2">
        <f t="shared" si="515"/>
        <v>0</v>
      </c>
    </row>
    <row r="6578" spans="5:11">
      <c r="E6578" s="3" t="s">
        <v>2743</v>
      </c>
      <c r="F6578" s="3" t="s">
        <v>2744</v>
      </c>
      <c r="G6578" s="11" t="str">
        <f t="shared" si="513"/>
        <v>11-25</v>
      </c>
      <c r="H6578" s="1">
        <f>_xlfn.IFNA(VLOOKUP(E6578,'Urban Plastix Holds'!$I$36:$U$498,11,0),0)</f>
        <v>0</v>
      </c>
      <c r="J6578" s="2">
        <f t="shared" si="514"/>
        <v>0</v>
      </c>
      <c r="K6578" s="2">
        <f t="shared" si="515"/>
        <v>0</v>
      </c>
    </row>
    <row r="6579" spans="5:11">
      <c r="E6579" s="3" t="s">
        <v>2743</v>
      </c>
      <c r="F6579" s="3" t="s">
        <v>2744</v>
      </c>
      <c r="G6579" s="13" t="str">
        <f t="shared" si="513"/>
        <v>18-01</v>
      </c>
      <c r="H6579" s="1">
        <f>_xlfn.IFNA(VLOOKUP(E6579,'Urban Plastix Holds'!$I$36:$U$498,12,0),0)</f>
        <v>0</v>
      </c>
      <c r="J6579" s="2">
        <f t="shared" si="514"/>
        <v>0</v>
      </c>
      <c r="K6579" s="2">
        <f t="shared" si="515"/>
        <v>0</v>
      </c>
    </row>
    <row r="6580" spans="5:11">
      <c r="E6580" s="3" t="s">
        <v>2743</v>
      </c>
      <c r="F6580" s="3" t="s">
        <v>2744</v>
      </c>
      <c r="G6580" s="12" t="str">
        <f t="shared" si="513"/>
        <v>12-01</v>
      </c>
      <c r="H6580" s="1">
        <f>_xlfn.IFNA(VLOOKUP(E6580,'Urban Plastix Holds'!$I$36:$U$498,13,0),0)</f>
        <v>0</v>
      </c>
      <c r="J6580" s="2">
        <f t="shared" si="514"/>
        <v>0</v>
      </c>
      <c r="K6580" s="2">
        <f t="shared" si="515"/>
        <v>0</v>
      </c>
    </row>
    <row r="6581" spans="5:11">
      <c r="E6581" s="3" t="s">
        <v>2745</v>
      </c>
      <c r="F6581" s="3" t="s">
        <v>2746</v>
      </c>
      <c r="G6581" s="5" t="str">
        <f t="shared" si="513"/>
        <v>11-12</v>
      </c>
      <c r="H6581" s="1">
        <f>_xlfn.IFNA(VLOOKUP(E6581,'Urban Plastix Holds'!$I$36:$U$498,5,0),0)</f>
        <v>0</v>
      </c>
      <c r="J6581" s="2">
        <f t="shared" si="514"/>
        <v>0</v>
      </c>
      <c r="K6581" s="2">
        <f t="shared" si="515"/>
        <v>0</v>
      </c>
    </row>
    <row r="6582" spans="5:11">
      <c r="E6582" s="3" t="s">
        <v>2745</v>
      </c>
      <c r="F6582" s="3" t="s">
        <v>2746</v>
      </c>
      <c r="G6582" s="6" t="str">
        <f t="shared" si="513"/>
        <v>14-01</v>
      </c>
      <c r="H6582" s="1">
        <f>_xlfn.IFNA(VLOOKUP(E6582,'Urban Plastix Holds'!$I$36:$U$498,6,0),0)</f>
        <v>0</v>
      </c>
      <c r="J6582" s="2">
        <f t="shared" si="514"/>
        <v>0</v>
      </c>
      <c r="K6582" s="2">
        <f t="shared" si="515"/>
        <v>0</v>
      </c>
    </row>
    <row r="6583" spans="5:11">
      <c r="E6583" s="3" t="s">
        <v>2745</v>
      </c>
      <c r="F6583" s="3" t="s">
        <v>2746</v>
      </c>
      <c r="G6583" s="7" t="str">
        <f t="shared" si="513"/>
        <v>15-12</v>
      </c>
      <c r="H6583" s="1">
        <f>_xlfn.IFNA(VLOOKUP(E6583,'Urban Plastix Holds'!$I$36:$U$498,7,0),0)</f>
        <v>0</v>
      </c>
      <c r="J6583" s="2">
        <f t="shared" si="514"/>
        <v>0</v>
      </c>
      <c r="K6583" s="2">
        <f t="shared" si="515"/>
        <v>0</v>
      </c>
    </row>
    <row r="6584" spans="5:11">
      <c r="E6584" s="3" t="s">
        <v>2745</v>
      </c>
      <c r="F6584" s="3" t="s">
        <v>2746</v>
      </c>
      <c r="G6584" s="8" t="str">
        <f t="shared" si="513"/>
        <v>16-16</v>
      </c>
      <c r="H6584" s="1">
        <f>_xlfn.IFNA(VLOOKUP(E6584,'Urban Plastix Holds'!$I$36:$U$498,8,0),0)</f>
        <v>0</v>
      </c>
      <c r="J6584" s="2">
        <f t="shared" si="514"/>
        <v>0</v>
      </c>
      <c r="K6584" s="2">
        <f t="shared" si="515"/>
        <v>0</v>
      </c>
    </row>
    <row r="6585" spans="5:11">
      <c r="E6585" s="3" t="s">
        <v>2745</v>
      </c>
      <c r="F6585" s="3" t="s">
        <v>2746</v>
      </c>
      <c r="G6585" s="9" t="str">
        <f t="shared" si="513"/>
        <v>13-01</v>
      </c>
      <c r="H6585" s="1">
        <f>_xlfn.IFNA(VLOOKUP(E6585,'Urban Plastix Holds'!$I$36:$U$498,9,0),0)</f>
        <v>0</v>
      </c>
      <c r="J6585" s="2">
        <f t="shared" si="514"/>
        <v>0</v>
      </c>
      <c r="K6585" s="2">
        <f t="shared" si="515"/>
        <v>0</v>
      </c>
    </row>
    <row r="6586" spans="5:11">
      <c r="E6586" s="3" t="s">
        <v>2745</v>
      </c>
      <c r="F6586" s="3" t="s">
        <v>2746</v>
      </c>
      <c r="G6586" s="10" t="str">
        <f t="shared" si="513"/>
        <v>07-13</v>
      </c>
      <c r="H6586" s="1">
        <f>_xlfn.IFNA(VLOOKUP(E6586,'Urban Plastix Holds'!$I$36:$U$498,10,0),0)</f>
        <v>0</v>
      </c>
      <c r="J6586" s="2">
        <f t="shared" si="514"/>
        <v>0</v>
      </c>
      <c r="K6586" s="2">
        <f t="shared" si="515"/>
        <v>0</v>
      </c>
    </row>
    <row r="6587" spans="5:11">
      <c r="E6587" s="3" t="s">
        <v>2745</v>
      </c>
      <c r="F6587" s="3" t="s">
        <v>2746</v>
      </c>
      <c r="G6587" s="11" t="str">
        <f t="shared" si="513"/>
        <v>11-25</v>
      </c>
      <c r="H6587" s="1">
        <f>_xlfn.IFNA(VLOOKUP(E6587,'Urban Plastix Holds'!$I$36:$U$498,11,0),0)</f>
        <v>0</v>
      </c>
      <c r="J6587" s="2">
        <f t="shared" si="514"/>
        <v>0</v>
      </c>
      <c r="K6587" s="2">
        <f t="shared" si="515"/>
        <v>0</v>
      </c>
    </row>
    <row r="6588" spans="5:11">
      <c r="E6588" s="3" t="s">
        <v>2745</v>
      </c>
      <c r="F6588" s="3" t="s">
        <v>2746</v>
      </c>
      <c r="G6588" s="13" t="str">
        <f t="shared" si="513"/>
        <v>18-01</v>
      </c>
      <c r="H6588" s="1">
        <f>_xlfn.IFNA(VLOOKUP(E6588,'Urban Plastix Holds'!$I$36:$U$498,12,0),0)</f>
        <v>0</v>
      </c>
      <c r="J6588" s="2">
        <f t="shared" si="514"/>
        <v>0</v>
      </c>
      <c r="K6588" s="2">
        <f t="shared" si="515"/>
        <v>0</v>
      </c>
    </row>
    <row r="6589" spans="5:11">
      <c r="E6589" s="3" t="s">
        <v>2745</v>
      </c>
      <c r="F6589" s="3" t="s">
        <v>2746</v>
      </c>
      <c r="G6589" s="12" t="str">
        <f t="shared" si="513"/>
        <v>12-01</v>
      </c>
      <c r="H6589" s="1">
        <f>_xlfn.IFNA(VLOOKUP(E6589,'Urban Plastix Holds'!$I$36:$U$498,13,0),0)</f>
        <v>0</v>
      </c>
      <c r="J6589" s="2">
        <f t="shared" si="514"/>
        <v>0</v>
      </c>
      <c r="K6589" s="2">
        <f t="shared" si="515"/>
        <v>0</v>
      </c>
    </row>
    <row r="6590" spans="5:11">
      <c r="E6590" s="3" t="s">
        <v>2747</v>
      </c>
      <c r="F6590" s="3" t="s">
        <v>2748</v>
      </c>
      <c r="G6590" s="5" t="str">
        <f t="shared" si="513"/>
        <v>11-12</v>
      </c>
      <c r="H6590" s="1">
        <f>_xlfn.IFNA(VLOOKUP(E6590,'Urban Plastix Holds'!$I$36:$U$498,5,0),0)</f>
        <v>0</v>
      </c>
      <c r="J6590" s="2">
        <f t="shared" si="514"/>
        <v>0</v>
      </c>
      <c r="K6590" s="2">
        <f t="shared" si="515"/>
        <v>0</v>
      </c>
    </row>
    <row r="6591" spans="5:11">
      <c r="E6591" s="3" t="s">
        <v>2747</v>
      </c>
      <c r="F6591" s="3" t="s">
        <v>2748</v>
      </c>
      <c r="G6591" s="6" t="str">
        <f t="shared" si="513"/>
        <v>14-01</v>
      </c>
      <c r="H6591" s="1">
        <f>_xlfn.IFNA(VLOOKUP(E6591,'Urban Plastix Holds'!$I$36:$U$498,6,0),0)</f>
        <v>0</v>
      </c>
      <c r="J6591" s="2">
        <f t="shared" si="514"/>
        <v>0</v>
      </c>
      <c r="K6591" s="2">
        <f t="shared" si="515"/>
        <v>0</v>
      </c>
    </row>
    <row r="6592" spans="5:11">
      <c r="E6592" s="3" t="s">
        <v>2747</v>
      </c>
      <c r="F6592" s="3" t="s">
        <v>2748</v>
      </c>
      <c r="G6592" s="7" t="str">
        <f t="shared" si="513"/>
        <v>15-12</v>
      </c>
      <c r="H6592" s="1">
        <f>_xlfn.IFNA(VLOOKUP(E6592,'Urban Plastix Holds'!$I$36:$U$498,7,0),0)</f>
        <v>0</v>
      </c>
      <c r="J6592" s="2">
        <f t="shared" si="514"/>
        <v>0</v>
      </c>
      <c r="K6592" s="2">
        <f t="shared" si="515"/>
        <v>0</v>
      </c>
    </row>
    <row r="6593" spans="5:11">
      <c r="E6593" s="3" t="s">
        <v>2747</v>
      </c>
      <c r="F6593" s="3" t="s">
        <v>2748</v>
      </c>
      <c r="G6593" s="8" t="str">
        <f t="shared" si="513"/>
        <v>16-16</v>
      </c>
      <c r="H6593" s="1">
        <f>_xlfn.IFNA(VLOOKUP(E6593,'Urban Plastix Holds'!$I$36:$U$498,8,0),0)</f>
        <v>0</v>
      </c>
      <c r="J6593" s="2">
        <f t="shared" si="514"/>
        <v>0</v>
      </c>
      <c r="K6593" s="2">
        <f t="shared" si="515"/>
        <v>0</v>
      </c>
    </row>
    <row r="6594" spans="5:11">
      <c r="E6594" s="3" t="s">
        <v>2747</v>
      </c>
      <c r="F6594" s="3" t="s">
        <v>2748</v>
      </c>
      <c r="G6594" s="9" t="str">
        <f t="shared" si="513"/>
        <v>13-01</v>
      </c>
      <c r="H6594" s="1">
        <f>_xlfn.IFNA(VLOOKUP(E6594,'Urban Plastix Holds'!$I$36:$U$498,9,0),0)</f>
        <v>0</v>
      </c>
      <c r="J6594" s="2">
        <f t="shared" si="514"/>
        <v>0</v>
      </c>
      <c r="K6594" s="2">
        <f t="shared" si="515"/>
        <v>0</v>
      </c>
    </row>
    <row r="6595" spans="5:11">
      <c r="E6595" s="3" t="s">
        <v>2747</v>
      </c>
      <c r="F6595" s="3" t="s">
        <v>2748</v>
      </c>
      <c r="G6595" s="10" t="str">
        <f t="shared" si="513"/>
        <v>07-13</v>
      </c>
      <c r="H6595" s="1">
        <f>_xlfn.IFNA(VLOOKUP(E6595,'Urban Plastix Holds'!$I$36:$U$498,10,0),0)</f>
        <v>0</v>
      </c>
      <c r="J6595" s="2">
        <f t="shared" si="514"/>
        <v>0</v>
      </c>
      <c r="K6595" s="2">
        <f t="shared" si="515"/>
        <v>0</v>
      </c>
    </row>
    <row r="6596" spans="5:11">
      <c r="E6596" s="3" t="s">
        <v>2747</v>
      </c>
      <c r="F6596" s="3" t="s">
        <v>2748</v>
      </c>
      <c r="G6596" s="11" t="str">
        <f t="shared" si="513"/>
        <v>11-25</v>
      </c>
      <c r="H6596" s="1">
        <f>_xlfn.IFNA(VLOOKUP(E6596,'Urban Plastix Holds'!$I$36:$U$498,11,0),0)</f>
        <v>0</v>
      </c>
      <c r="J6596" s="2">
        <f t="shared" si="514"/>
        <v>0</v>
      </c>
      <c r="K6596" s="2">
        <f t="shared" si="515"/>
        <v>0</v>
      </c>
    </row>
    <row r="6597" spans="5:11">
      <c r="E6597" s="3" t="s">
        <v>2747</v>
      </c>
      <c r="F6597" s="3" t="s">
        <v>2748</v>
      </c>
      <c r="G6597" s="13" t="str">
        <f t="shared" si="513"/>
        <v>18-01</v>
      </c>
      <c r="H6597" s="1">
        <f>_xlfn.IFNA(VLOOKUP(E6597,'Urban Plastix Holds'!$I$36:$U$498,12,0),0)</f>
        <v>0</v>
      </c>
      <c r="J6597" s="2">
        <f t="shared" si="514"/>
        <v>0</v>
      </c>
      <c r="K6597" s="2">
        <f t="shared" si="515"/>
        <v>0</v>
      </c>
    </row>
    <row r="6598" spans="5:11">
      <c r="E6598" s="3" t="s">
        <v>2747</v>
      </c>
      <c r="F6598" s="3" t="s">
        <v>2748</v>
      </c>
      <c r="G6598" s="12" t="str">
        <f t="shared" si="513"/>
        <v>12-01</v>
      </c>
      <c r="H6598" s="1">
        <f>_xlfn.IFNA(VLOOKUP(E6598,'Urban Plastix Holds'!$I$36:$U$498,13,0),0)</f>
        <v>0</v>
      </c>
      <c r="J6598" s="2">
        <f t="shared" si="514"/>
        <v>0</v>
      </c>
      <c r="K6598" s="2">
        <f t="shared" si="515"/>
        <v>0</v>
      </c>
    </row>
    <row r="6599" spans="5:11">
      <c r="E6599" s="3" t="s">
        <v>2753</v>
      </c>
      <c r="F6599" s="3" t="s">
        <v>2754</v>
      </c>
      <c r="G6599" s="5" t="str">
        <f t="shared" si="513"/>
        <v>11-12</v>
      </c>
      <c r="H6599" s="1">
        <f>_xlfn.IFNA(VLOOKUP(E6599,'Urban Plastix Holds'!$I$36:$U$498,5,0),0)</f>
        <v>0</v>
      </c>
      <c r="J6599" s="2">
        <f t="shared" ref="J6599:J6661" si="516">H6599*I6599</f>
        <v>0</v>
      </c>
      <c r="K6599" s="2">
        <f t="shared" ref="K6599:K6661" si="517">IF($V$11="Y",J6599*0.05,0)</f>
        <v>0</v>
      </c>
    </row>
    <row r="6600" spans="5:11">
      <c r="E6600" s="3" t="s">
        <v>2753</v>
      </c>
      <c r="F6600" s="3" t="s">
        <v>2754</v>
      </c>
      <c r="G6600" s="6" t="str">
        <f t="shared" si="513"/>
        <v>14-01</v>
      </c>
      <c r="H6600" s="1">
        <f>_xlfn.IFNA(VLOOKUP(E6600,'Urban Plastix Holds'!$I$36:$U$498,6,0),0)</f>
        <v>0</v>
      </c>
      <c r="J6600" s="2">
        <f t="shared" si="516"/>
        <v>0</v>
      </c>
      <c r="K6600" s="2">
        <f t="shared" si="517"/>
        <v>0</v>
      </c>
    </row>
    <row r="6601" spans="5:11">
      <c r="E6601" s="3" t="s">
        <v>2753</v>
      </c>
      <c r="F6601" s="3" t="s">
        <v>2754</v>
      </c>
      <c r="G6601" s="7" t="str">
        <f t="shared" si="513"/>
        <v>15-12</v>
      </c>
      <c r="H6601" s="1">
        <f>_xlfn.IFNA(VLOOKUP(E6601,'Urban Plastix Holds'!$I$36:$U$498,7,0),0)</f>
        <v>0</v>
      </c>
      <c r="J6601" s="2">
        <f t="shared" si="516"/>
        <v>0</v>
      </c>
      <c r="K6601" s="2">
        <f t="shared" si="517"/>
        <v>0</v>
      </c>
    </row>
    <row r="6602" spans="5:11">
      <c r="E6602" s="3" t="s">
        <v>2753</v>
      </c>
      <c r="F6602" s="3" t="s">
        <v>2754</v>
      </c>
      <c r="G6602" s="8" t="str">
        <f t="shared" si="513"/>
        <v>16-16</v>
      </c>
      <c r="H6602" s="1">
        <f>_xlfn.IFNA(VLOOKUP(E6602,'Urban Plastix Holds'!$I$36:$U$498,8,0),0)</f>
        <v>0</v>
      </c>
      <c r="J6602" s="2">
        <f t="shared" si="516"/>
        <v>0</v>
      </c>
      <c r="K6602" s="2">
        <f t="shared" si="517"/>
        <v>0</v>
      </c>
    </row>
    <row r="6603" spans="5:11">
      <c r="E6603" s="3" t="s">
        <v>2753</v>
      </c>
      <c r="F6603" s="3" t="s">
        <v>2754</v>
      </c>
      <c r="G6603" s="9" t="str">
        <f t="shared" si="513"/>
        <v>13-01</v>
      </c>
      <c r="H6603" s="1">
        <f>_xlfn.IFNA(VLOOKUP(E6603,'Urban Plastix Holds'!$I$36:$U$498,9,0),0)</f>
        <v>0</v>
      </c>
      <c r="J6603" s="2">
        <f t="shared" si="516"/>
        <v>0</v>
      </c>
      <c r="K6603" s="2">
        <f t="shared" si="517"/>
        <v>0</v>
      </c>
    </row>
    <row r="6604" spans="5:11">
      <c r="E6604" s="3" t="s">
        <v>2753</v>
      </c>
      <c r="F6604" s="3" t="s">
        <v>2754</v>
      </c>
      <c r="G6604" s="10" t="str">
        <f t="shared" si="513"/>
        <v>07-13</v>
      </c>
      <c r="H6604" s="1">
        <f>_xlfn.IFNA(VLOOKUP(E6604,'Urban Plastix Holds'!$I$36:$U$498,10,0),0)</f>
        <v>0</v>
      </c>
      <c r="J6604" s="2">
        <f t="shared" si="516"/>
        <v>0</v>
      </c>
      <c r="K6604" s="2">
        <f t="shared" si="517"/>
        <v>0</v>
      </c>
    </row>
    <row r="6605" spans="5:11">
      <c r="E6605" s="3" t="s">
        <v>2753</v>
      </c>
      <c r="F6605" s="3" t="s">
        <v>2754</v>
      </c>
      <c r="G6605" s="11" t="str">
        <f t="shared" ref="G6605:G6668" si="518">G6542</f>
        <v>11-25</v>
      </c>
      <c r="H6605" s="1">
        <f>_xlfn.IFNA(VLOOKUP(E6605,'Urban Plastix Holds'!$I$36:$U$498,11,0),0)</f>
        <v>0</v>
      </c>
      <c r="J6605" s="2">
        <f t="shared" si="516"/>
        <v>0</v>
      </c>
      <c r="K6605" s="2">
        <f t="shared" si="517"/>
        <v>0</v>
      </c>
    </row>
    <row r="6606" spans="5:11">
      <c r="E6606" s="3" t="s">
        <v>2753</v>
      </c>
      <c r="F6606" s="3" t="s">
        <v>2754</v>
      </c>
      <c r="G6606" s="13" t="str">
        <f t="shared" si="518"/>
        <v>18-01</v>
      </c>
      <c r="H6606" s="1">
        <f>_xlfn.IFNA(VLOOKUP(E6606,'Urban Plastix Holds'!$I$36:$U$498,12,0),0)</f>
        <v>0</v>
      </c>
      <c r="J6606" s="2">
        <f t="shared" si="516"/>
        <v>0</v>
      </c>
      <c r="K6606" s="2">
        <f t="shared" si="517"/>
        <v>0</v>
      </c>
    </row>
    <row r="6607" spans="5:11">
      <c r="E6607" s="3" t="s">
        <v>2753</v>
      </c>
      <c r="F6607" s="3" t="s">
        <v>2754</v>
      </c>
      <c r="G6607" s="12" t="str">
        <f t="shared" si="518"/>
        <v>12-01</v>
      </c>
      <c r="H6607" s="1">
        <f>_xlfn.IFNA(VLOOKUP(E6607,'Urban Plastix Holds'!$I$36:$U$498,13,0),0)</f>
        <v>0</v>
      </c>
      <c r="J6607" s="2">
        <f t="shared" si="516"/>
        <v>0</v>
      </c>
      <c r="K6607" s="2">
        <f t="shared" si="517"/>
        <v>0</v>
      </c>
    </row>
    <row r="6608" spans="5:11">
      <c r="E6608" s="3" t="s">
        <v>2755</v>
      </c>
      <c r="F6608" s="3" t="s">
        <v>2756</v>
      </c>
      <c r="G6608" s="5" t="str">
        <f t="shared" si="518"/>
        <v>11-12</v>
      </c>
      <c r="H6608" s="1">
        <f>_xlfn.IFNA(VLOOKUP(E6608,'Urban Plastix Holds'!$I$36:$U$498,5,0),0)</f>
        <v>0</v>
      </c>
      <c r="J6608" s="2">
        <f t="shared" si="516"/>
        <v>0</v>
      </c>
      <c r="K6608" s="2">
        <f t="shared" si="517"/>
        <v>0</v>
      </c>
    </row>
    <row r="6609" spans="5:11">
      <c r="E6609" s="3" t="s">
        <v>2755</v>
      </c>
      <c r="F6609" s="3" t="s">
        <v>2756</v>
      </c>
      <c r="G6609" s="6" t="str">
        <f t="shared" si="518"/>
        <v>14-01</v>
      </c>
      <c r="H6609" s="1">
        <f>_xlfn.IFNA(VLOOKUP(E6609,'Urban Plastix Holds'!$I$36:$U$498,6,0),0)</f>
        <v>0</v>
      </c>
      <c r="J6609" s="2">
        <f t="shared" si="516"/>
        <v>0</v>
      </c>
      <c r="K6609" s="2">
        <f t="shared" si="517"/>
        <v>0</v>
      </c>
    </row>
    <row r="6610" spans="5:11">
      <c r="E6610" s="3" t="s">
        <v>2755</v>
      </c>
      <c r="F6610" s="3" t="s">
        <v>2756</v>
      </c>
      <c r="G6610" s="7" t="str">
        <f t="shared" si="518"/>
        <v>15-12</v>
      </c>
      <c r="H6610" s="1">
        <f>_xlfn.IFNA(VLOOKUP(E6610,'Urban Plastix Holds'!$I$36:$U$498,7,0),0)</f>
        <v>0</v>
      </c>
      <c r="J6610" s="2">
        <f t="shared" si="516"/>
        <v>0</v>
      </c>
      <c r="K6610" s="2">
        <f t="shared" si="517"/>
        <v>0</v>
      </c>
    </row>
    <row r="6611" spans="5:11">
      <c r="E6611" s="3" t="s">
        <v>2755</v>
      </c>
      <c r="F6611" s="3" t="s">
        <v>2756</v>
      </c>
      <c r="G6611" s="8" t="str">
        <f t="shared" si="518"/>
        <v>16-16</v>
      </c>
      <c r="H6611" s="1">
        <f>_xlfn.IFNA(VLOOKUP(E6611,'Urban Plastix Holds'!$I$36:$U$498,8,0),0)</f>
        <v>0</v>
      </c>
      <c r="J6611" s="2">
        <f t="shared" si="516"/>
        <v>0</v>
      </c>
      <c r="K6611" s="2">
        <f t="shared" si="517"/>
        <v>0</v>
      </c>
    </row>
    <row r="6612" spans="5:11">
      <c r="E6612" s="3" t="s">
        <v>2755</v>
      </c>
      <c r="F6612" s="3" t="s">
        <v>2756</v>
      </c>
      <c r="G6612" s="9" t="str">
        <f t="shared" si="518"/>
        <v>13-01</v>
      </c>
      <c r="H6612" s="1">
        <f>_xlfn.IFNA(VLOOKUP(E6612,'Urban Plastix Holds'!$I$36:$U$498,9,0),0)</f>
        <v>0</v>
      </c>
      <c r="J6612" s="2">
        <f t="shared" si="516"/>
        <v>0</v>
      </c>
      <c r="K6612" s="2">
        <f t="shared" si="517"/>
        <v>0</v>
      </c>
    </row>
    <row r="6613" spans="5:11">
      <c r="E6613" s="3" t="s">
        <v>2755</v>
      </c>
      <c r="F6613" s="3" t="s">
        <v>2756</v>
      </c>
      <c r="G6613" s="10" t="str">
        <f t="shared" si="518"/>
        <v>07-13</v>
      </c>
      <c r="H6613" s="1">
        <f>_xlfn.IFNA(VLOOKUP(E6613,'Urban Plastix Holds'!$I$36:$U$498,10,0),0)</f>
        <v>0</v>
      </c>
      <c r="J6613" s="2">
        <f t="shared" si="516"/>
        <v>0</v>
      </c>
      <c r="K6613" s="2">
        <f t="shared" si="517"/>
        <v>0</v>
      </c>
    </row>
    <row r="6614" spans="5:11">
      <c r="E6614" s="3" t="s">
        <v>2755</v>
      </c>
      <c r="F6614" s="3" t="s">
        <v>2756</v>
      </c>
      <c r="G6614" s="11" t="str">
        <f t="shared" si="518"/>
        <v>11-25</v>
      </c>
      <c r="H6614" s="1">
        <f>_xlfn.IFNA(VLOOKUP(E6614,'Urban Plastix Holds'!$I$36:$U$498,11,0),0)</f>
        <v>0</v>
      </c>
      <c r="J6614" s="2">
        <f t="shared" si="516"/>
        <v>0</v>
      </c>
      <c r="K6614" s="2">
        <f t="shared" si="517"/>
        <v>0</v>
      </c>
    </row>
    <row r="6615" spans="5:11">
      <c r="E6615" s="3" t="s">
        <v>2755</v>
      </c>
      <c r="F6615" s="3" t="s">
        <v>2756</v>
      </c>
      <c r="G6615" s="13" t="str">
        <f t="shared" si="518"/>
        <v>18-01</v>
      </c>
      <c r="H6615" s="1">
        <f>_xlfn.IFNA(VLOOKUP(E6615,'Urban Plastix Holds'!$I$36:$U$498,12,0),0)</f>
        <v>0</v>
      </c>
      <c r="J6615" s="2">
        <f t="shared" si="516"/>
        <v>0</v>
      </c>
      <c r="K6615" s="2">
        <f t="shared" si="517"/>
        <v>0</v>
      </c>
    </row>
    <row r="6616" spans="5:11">
      <c r="E6616" s="3" t="s">
        <v>2755</v>
      </c>
      <c r="F6616" s="3" t="s">
        <v>2756</v>
      </c>
      <c r="G6616" s="12" t="str">
        <f t="shared" si="518"/>
        <v>12-01</v>
      </c>
      <c r="H6616" s="1">
        <f>_xlfn.IFNA(VLOOKUP(E6616,'Urban Plastix Holds'!$I$36:$U$498,13,0),0)</f>
        <v>0</v>
      </c>
      <c r="J6616" s="2">
        <f t="shared" si="516"/>
        <v>0</v>
      </c>
      <c r="K6616" s="2">
        <f t="shared" si="517"/>
        <v>0</v>
      </c>
    </row>
    <row r="6617" spans="5:11">
      <c r="E6617" s="3" t="s">
        <v>2757</v>
      </c>
      <c r="F6617" s="3" t="s">
        <v>2758</v>
      </c>
      <c r="G6617" s="5" t="str">
        <f t="shared" si="518"/>
        <v>11-12</v>
      </c>
      <c r="H6617" s="1">
        <f>_xlfn.IFNA(VLOOKUP(E6617,'Urban Plastix Holds'!$I$36:$U$498,5,0),0)</f>
        <v>0</v>
      </c>
      <c r="J6617" s="2">
        <f t="shared" si="516"/>
        <v>0</v>
      </c>
      <c r="K6617" s="2">
        <f t="shared" si="517"/>
        <v>0</v>
      </c>
    </row>
    <row r="6618" spans="5:11">
      <c r="E6618" s="3" t="s">
        <v>2757</v>
      </c>
      <c r="F6618" s="3" t="s">
        <v>2758</v>
      </c>
      <c r="G6618" s="6" t="str">
        <f t="shared" si="518"/>
        <v>14-01</v>
      </c>
      <c r="H6618" s="1">
        <f>_xlfn.IFNA(VLOOKUP(E6618,'Urban Plastix Holds'!$I$36:$U$498,6,0),0)</f>
        <v>0</v>
      </c>
      <c r="J6618" s="2">
        <f t="shared" si="516"/>
        <v>0</v>
      </c>
      <c r="K6618" s="2">
        <f t="shared" si="517"/>
        <v>0</v>
      </c>
    </row>
    <row r="6619" spans="5:11">
      <c r="E6619" s="3" t="s">
        <v>2757</v>
      </c>
      <c r="F6619" s="3" t="s">
        <v>2758</v>
      </c>
      <c r="G6619" s="7" t="str">
        <f t="shared" si="518"/>
        <v>15-12</v>
      </c>
      <c r="H6619" s="1">
        <f>_xlfn.IFNA(VLOOKUP(E6619,'Urban Plastix Holds'!$I$36:$U$498,7,0),0)</f>
        <v>0</v>
      </c>
      <c r="J6619" s="2">
        <f t="shared" si="516"/>
        <v>0</v>
      </c>
      <c r="K6619" s="2">
        <f t="shared" si="517"/>
        <v>0</v>
      </c>
    </row>
    <row r="6620" spans="5:11">
      <c r="E6620" s="3" t="s">
        <v>2757</v>
      </c>
      <c r="F6620" s="3" t="s">
        <v>2758</v>
      </c>
      <c r="G6620" s="8" t="str">
        <f t="shared" si="518"/>
        <v>16-16</v>
      </c>
      <c r="H6620" s="1">
        <f>_xlfn.IFNA(VLOOKUP(E6620,'Urban Plastix Holds'!$I$36:$U$498,8,0),0)</f>
        <v>0</v>
      </c>
      <c r="J6620" s="2">
        <f t="shared" si="516"/>
        <v>0</v>
      </c>
      <c r="K6620" s="2">
        <f t="shared" si="517"/>
        <v>0</v>
      </c>
    </row>
    <row r="6621" spans="5:11">
      <c r="E6621" s="3" t="s">
        <v>2757</v>
      </c>
      <c r="F6621" s="3" t="s">
        <v>2758</v>
      </c>
      <c r="G6621" s="9" t="str">
        <f t="shared" si="518"/>
        <v>13-01</v>
      </c>
      <c r="H6621" s="1">
        <f>_xlfn.IFNA(VLOOKUP(E6621,'Urban Plastix Holds'!$I$36:$U$498,9,0),0)</f>
        <v>0</v>
      </c>
      <c r="J6621" s="2">
        <f t="shared" si="516"/>
        <v>0</v>
      </c>
      <c r="K6621" s="2">
        <f t="shared" si="517"/>
        <v>0</v>
      </c>
    </row>
    <row r="6622" spans="5:11">
      <c r="E6622" s="3" t="s">
        <v>2757</v>
      </c>
      <c r="F6622" s="3" t="s">
        <v>2758</v>
      </c>
      <c r="G6622" s="10" t="str">
        <f t="shared" si="518"/>
        <v>07-13</v>
      </c>
      <c r="H6622" s="1">
        <f>_xlfn.IFNA(VLOOKUP(E6622,'Urban Plastix Holds'!$I$36:$U$498,10,0),0)</f>
        <v>0</v>
      </c>
      <c r="J6622" s="2">
        <f t="shared" si="516"/>
        <v>0</v>
      </c>
      <c r="K6622" s="2">
        <f t="shared" si="517"/>
        <v>0</v>
      </c>
    </row>
    <row r="6623" spans="5:11">
      <c r="E6623" s="3" t="s">
        <v>2757</v>
      </c>
      <c r="F6623" s="3" t="s">
        <v>2758</v>
      </c>
      <c r="G6623" s="11" t="str">
        <f t="shared" si="518"/>
        <v>11-25</v>
      </c>
      <c r="H6623" s="1">
        <f>_xlfn.IFNA(VLOOKUP(E6623,'Urban Plastix Holds'!$I$36:$U$498,11,0),0)</f>
        <v>0</v>
      </c>
      <c r="J6623" s="2">
        <f t="shared" si="516"/>
        <v>0</v>
      </c>
      <c r="K6623" s="2">
        <f t="shared" si="517"/>
        <v>0</v>
      </c>
    </row>
    <row r="6624" spans="5:11">
      <c r="E6624" s="3" t="s">
        <v>2757</v>
      </c>
      <c r="F6624" s="3" t="s">
        <v>2758</v>
      </c>
      <c r="G6624" s="13" t="str">
        <f t="shared" si="518"/>
        <v>18-01</v>
      </c>
      <c r="H6624" s="1">
        <f>_xlfn.IFNA(VLOOKUP(E6624,'Urban Plastix Holds'!$I$36:$U$498,12,0),0)</f>
        <v>0</v>
      </c>
      <c r="J6624" s="2">
        <f t="shared" si="516"/>
        <v>0</v>
      </c>
      <c r="K6624" s="2">
        <f t="shared" si="517"/>
        <v>0</v>
      </c>
    </row>
    <row r="6625" spans="5:11">
      <c r="E6625" s="3" t="s">
        <v>2757</v>
      </c>
      <c r="F6625" s="3" t="s">
        <v>2758</v>
      </c>
      <c r="G6625" s="12" t="str">
        <f t="shared" si="518"/>
        <v>12-01</v>
      </c>
      <c r="H6625" s="1">
        <f>_xlfn.IFNA(VLOOKUP(E6625,'Urban Plastix Holds'!$I$36:$U$498,13,0),0)</f>
        <v>0</v>
      </c>
      <c r="J6625" s="2">
        <f t="shared" si="516"/>
        <v>0</v>
      </c>
      <c r="K6625" s="2">
        <f t="shared" si="517"/>
        <v>0</v>
      </c>
    </row>
    <row r="6626" spans="5:11">
      <c r="E6626" s="3" t="s">
        <v>2749</v>
      </c>
      <c r="F6626" s="3" t="s">
        <v>2759</v>
      </c>
      <c r="G6626" s="5" t="str">
        <f t="shared" si="518"/>
        <v>11-12</v>
      </c>
      <c r="H6626" s="1">
        <f>_xlfn.IFNA(VLOOKUP(E6626,'Urban Plastix Holds'!$I$36:$U$498,5,0),0)</f>
        <v>0</v>
      </c>
      <c r="J6626" s="2">
        <f t="shared" si="516"/>
        <v>0</v>
      </c>
      <c r="K6626" s="2">
        <f t="shared" si="517"/>
        <v>0</v>
      </c>
    </row>
    <row r="6627" spans="5:11">
      <c r="E6627" s="3" t="s">
        <v>2749</v>
      </c>
      <c r="F6627" s="3" t="s">
        <v>2759</v>
      </c>
      <c r="G6627" s="6" t="str">
        <f t="shared" si="518"/>
        <v>14-01</v>
      </c>
      <c r="H6627" s="1">
        <f>_xlfn.IFNA(VLOOKUP(E6627,'Urban Plastix Holds'!$I$36:$U$498,6,0),0)</f>
        <v>0</v>
      </c>
      <c r="J6627" s="2">
        <f t="shared" si="516"/>
        <v>0</v>
      </c>
      <c r="K6627" s="2">
        <f t="shared" si="517"/>
        <v>0</v>
      </c>
    </row>
    <row r="6628" spans="5:11">
      <c r="E6628" s="3" t="s">
        <v>2749</v>
      </c>
      <c r="F6628" s="3" t="s">
        <v>2759</v>
      </c>
      <c r="G6628" s="7" t="str">
        <f t="shared" si="518"/>
        <v>15-12</v>
      </c>
      <c r="H6628" s="1">
        <f>_xlfn.IFNA(VLOOKUP(E6628,'Urban Plastix Holds'!$I$36:$U$498,7,0),0)</f>
        <v>0</v>
      </c>
      <c r="J6628" s="2">
        <f t="shared" si="516"/>
        <v>0</v>
      </c>
      <c r="K6628" s="2">
        <f t="shared" si="517"/>
        <v>0</v>
      </c>
    </row>
    <row r="6629" spans="5:11">
      <c r="E6629" s="3" t="s">
        <v>2749</v>
      </c>
      <c r="F6629" s="3" t="s">
        <v>2759</v>
      </c>
      <c r="G6629" s="8" t="str">
        <f t="shared" si="518"/>
        <v>16-16</v>
      </c>
      <c r="H6629" s="1">
        <f>_xlfn.IFNA(VLOOKUP(E6629,'Urban Plastix Holds'!$I$36:$U$498,8,0),0)</f>
        <v>0</v>
      </c>
      <c r="J6629" s="2">
        <f t="shared" si="516"/>
        <v>0</v>
      </c>
      <c r="K6629" s="2">
        <f t="shared" si="517"/>
        <v>0</v>
      </c>
    </row>
    <row r="6630" spans="5:11">
      <c r="E6630" s="3" t="s">
        <v>2749</v>
      </c>
      <c r="F6630" s="3" t="s">
        <v>2759</v>
      </c>
      <c r="G6630" s="9" t="str">
        <f t="shared" si="518"/>
        <v>13-01</v>
      </c>
      <c r="H6630" s="1">
        <f>_xlfn.IFNA(VLOOKUP(E6630,'Urban Plastix Holds'!$I$36:$U$498,9,0),0)</f>
        <v>0</v>
      </c>
      <c r="J6630" s="2">
        <f t="shared" si="516"/>
        <v>0</v>
      </c>
      <c r="K6630" s="2">
        <f t="shared" si="517"/>
        <v>0</v>
      </c>
    </row>
    <row r="6631" spans="5:11">
      <c r="E6631" s="3" t="s">
        <v>2749</v>
      </c>
      <c r="F6631" s="3" t="s">
        <v>2759</v>
      </c>
      <c r="G6631" s="10" t="str">
        <f t="shared" si="518"/>
        <v>07-13</v>
      </c>
      <c r="H6631" s="1">
        <f>_xlfn.IFNA(VLOOKUP(E6631,'Urban Plastix Holds'!$I$36:$U$498,10,0),0)</f>
        <v>0</v>
      </c>
      <c r="J6631" s="2">
        <f t="shared" si="516"/>
        <v>0</v>
      </c>
      <c r="K6631" s="2">
        <f t="shared" si="517"/>
        <v>0</v>
      </c>
    </row>
    <row r="6632" spans="5:11">
      <c r="E6632" s="3" t="s">
        <v>2749</v>
      </c>
      <c r="F6632" s="3" t="s">
        <v>2759</v>
      </c>
      <c r="G6632" s="11" t="str">
        <f t="shared" si="518"/>
        <v>11-25</v>
      </c>
      <c r="H6632" s="1">
        <f>_xlfn.IFNA(VLOOKUP(E6632,'Urban Plastix Holds'!$I$36:$U$498,11,0),0)</f>
        <v>0</v>
      </c>
      <c r="J6632" s="2">
        <f t="shared" si="516"/>
        <v>0</v>
      </c>
      <c r="K6632" s="2">
        <f t="shared" si="517"/>
        <v>0</v>
      </c>
    </row>
    <row r="6633" spans="5:11">
      <c r="E6633" s="3" t="s">
        <v>2749</v>
      </c>
      <c r="F6633" s="3" t="s">
        <v>2759</v>
      </c>
      <c r="G6633" s="13" t="str">
        <f t="shared" si="518"/>
        <v>18-01</v>
      </c>
      <c r="H6633" s="1">
        <f>_xlfn.IFNA(VLOOKUP(E6633,'Urban Plastix Holds'!$I$36:$U$498,12,0),0)</f>
        <v>0</v>
      </c>
      <c r="J6633" s="2">
        <f t="shared" si="516"/>
        <v>0</v>
      </c>
      <c r="K6633" s="2">
        <f t="shared" si="517"/>
        <v>0</v>
      </c>
    </row>
    <row r="6634" spans="5:11">
      <c r="E6634" s="3" t="s">
        <v>2749</v>
      </c>
      <c r="F6634" s="3" t="s">
        <v>2759</v>
      </c>
      <c r="G6634" s="12" t="str">
        <f t="shared" si="518"/>
        <v>12-01</v>
      </c>
      <c r="H6634" s="1">
        <f>_xlfn.IFNA(VLOOKUP(E6634,'Urban Plastix Holds'!$I$36:$U$498,13,0),0)</f>
        <v>0</v>
      </c>
      <c r="J6634" s="2">
        <f t="shared" si="516"/>
        <v>0</v>
      </c>
      <c r="K6634" s="2">
        <f t="shared" si="517"/>
        <v>0</v>
      </c>
    </row>
    <row r="6635" spans="5:11">
      <c r="E6635" s="3" t="s">
        <v>2750</v>
      </c>
      <c r="F6635" s="3" t="s">
        <v>2760</v>
      </c>
      <c r="G6635" s="5" t="str">
        <f t="shared" si="518"/>
        <v>11-12</v>
      </c>
      <c r="H6635" s="1">
        <f>_xlfn.IFNA(VLOOKUP(E6635,'Urban Plastix Holds'!$I$36:$U$498,5,0),0)</f>
        <v>0</v>
      </c>
      <c r="J6635" s="2">
        <f t="shared" si="516"/>
        <v>0</v>
      </c>
      <c r="K6635" s="2">
        <f t="shared" si="517"/>
        <v>0</v>
      </c>
    </row>
    <row r="6636" spans="5:11">
      <c r="E6636" s="3" t="s">
        <v>2750</v>
      </c>
      <c r="F6636" s="3" t="s">
        <v>2760</v>
      </c>
      <c r="G6636" s="6" t="str">
        <f t="shared" si="518"/>
        <v>14-01</v>
      </c>
      <c r="H6636" s="1">
        <f>_xlfn.IFNA(VLOOKUP(E6636,'Urban Plastix Holds'!$I$36:$U$498,6,0),0)</f>
        <v>0</v>
      </c>
      <c r="J6636" s="2">
        <f t="shared" si="516"/>
        <v>0</v>
      </c>
      <c r="K6636" s="2">
        <f t="shared" si="517"/>
        <v>0</v>
      </c>
    </row>
    <row r="6637" spans="5:11">
      <c r="E6637" s="3" t="s">
        <v>2750</v>
      </c>
      <c r="F6637" s="3" t="s">
        <v>2760</v>
      </c>
      <c r="G6637" s="7" t="str">
        <f t="shared" si="518"/>
        <v>15-12</v>
      </c>
      <c r="H6637" s="1">
        <f>_xlfn.IFNA(VLOOKUP(E6637,'Urban Plastix Holds'!$I$36:$U$498,7,0),0)</f>
        <v>0</v>
      </c>
      <c r="J6637" s="2">
        <f t="shared" si="516"/>
        <v>0</v>
      </c>
      <c r="K6637" s="2">
        <f t="shared" si="517"/>
        <v>0</v>
      </c>
    </row>
    <row r="6638" spans="5:11">
      <c r="E6638" s="3" t="s">
        <v>2750</v>
      </c>
      <c r="F6638" s="3" t="s">
        <v>2760</v>
      </c>
      <c r="G6638" s="8" t="str">
        <f t="shared" si="518"/>
        <v>16-16</v>
      </c>
      <c r="H6638" s="1">
        <f>_xlfn.IFNA(VLOOKUP(E6638,'Urban Plastix Holds'!$I$36:$U$498,8,0),0)</f>
        <v>0</v>
      </c>
      <c r="J6638" s="2">
        <f t="shared" si="516"/>
        <v>0</v>
      </c>
      <c r="K6638" s="2">
        <f t="shared" si="517"/>
        <v>0</v>
      </c>
    </row>
    <row r="6639" spans="5:11">
      <c r="E6639" s="3" t="s">
        <v>2750</v>
      </c>
      <c r="F6639" s="3" t="s">
        <v>2760</v>
      </c>
      <c r="G6639" s="9" t="str">
        <f t="shared" si="518"/>
        <v>13-01</v>
      </c>
      <c r="H6639" s="1">
        <f>_xlfn.IFNA(VLOOKUP(E6639,'Urban Plastix Holds'!$I$36:$U$498,9,0),0)</f>
        <v>0</v>
      </c>
      <c r="J6639" s="2">
        <f t="shared" si="516"/>
        <v>0</v>
      </c>
      <c r="K6639" s="2">
        <f t="shared" si="517"/>
        <v>0</v>
      </c>
    </row>
    <row r="6640" spans="5:11">
      <c r="E6640" s="3" t="s">
        <v>2750</v>
      </c>
      <c r="F6640" s="3" t="s">
        <v>2760</v>
      </c>
      <c r="G6640" s="10" t="str">
        <f t="shared" si="518"/>
        <v>07-13</v>
      </c>
      <c r="H6640" s="1">
        <f>_xlfn.IFNA(VLOOKUP(E6640,'Urban Plastix Holds'!$I$36:$U$498,10,0),0)</f>
        <v>0</v>
      </c>
      <c r="J6640" s="2">
        <f t="shared" si="516"/>
        <v>0</v>
      </c>
      <c r="K6640" s="2">
        <f t="shared" si="517"/>
        <v>0</v>
      </c>
    </row>
    <row r="6641" spans="5:11">
      <c r="E6641" s="3" t="s">
        <v>2750</v>
      </c>
      <c r="F6641" s="3" t="s">
        <v>2760</v>
      </c>
      <c r="G6641" s="11" t="str">
        <f t="shared" si="518"/>
        <v>11-25</v>
      </c>
      <c r="H6641" s="1">
        <f>_xlfn.IFNA(VLOOKUP(E6641,'Urban Plastix Holds'!$I$36:$U$498,11,0),0)</f>
        <v>0</v>
      </c>
      <c r="J6641" s="2">
        <f t="shared" si="516"/>
        <v>0</v>
      </c>
      <c r="K6641" s="2">
        <f t="shared" si="517"/>
        <v>0</v>
      </c>
    </row>
    <row r="6642" spans="5:11">
      <c r="E6642" s="3" t="s">
        <v>2750</v>
      </c>
      <c r="F6642" s="3" t="s">
        <v>2760</v>
      </c>
      <c r="G6642" s="13" t="str">
        <f t="shared" si="518"/>
        <v>18-01</v>
      </c>
      <c r="H6642" s="1">
        <f>_xlfn.IFNA(VLOOKUP(E6642,'Urban Plastix Holds'!$I$36:$U$498,12,0),0)</f>
        <v>0</v>
      </c>
      <c r="J6642" s="2">
        <f t="shared" si="516"/>
        <v>0</v>
      </c>
      <c r="K6642" s="2">
        <f t="shared" si="517"/>
        <v>0</v>
      </c>
    </row>
    <row r="6643" spans="5:11">
      <c r="E6643" s="3" t="s">
        <v>2750</v>
      </c>
      <c r="F6643" s="3" t="s">
        <v>2760</v>
      </c>
      <c r="G6643" s="12" t="str">
        <f t="shared" si="518"/>
        <v>12-01</v>
      </c>
      <c r="H6643" s="1">
        <f>_xlfn.IFNA(VLOOKUP(E6643,'Urban Plastix Holds'!$I$36:$U$498,13,0),0)</f>
        <v>0</v>
      </c>
      <c r="J6643" s="2">
        <f t="shared" si="516"/>
        <v>0</v>
      </c>
      <c r="K6643" s="2">
        <f t="shared" si="517"/>
        <v>0</v>
      </c>
    </row>
    <row r="6644" spans="5:11">
      <c r="E6644" s="3" t="s">
        <v>2751</v>
      </c>
      <c r="F6644" s="3" t="s">
        <v>2761</v>
      </c>
      <c r="G6644" s="5" t="str">
        <f t="shared" si="518"/>
        <v>11-12</v>
      </c>
      <c r="H6644" s="1">
        <f>_xlfn.IFNA(VLOOKUP(E6644,'Urban Plastix Holds'!$I$36:$U$498,5,0),0)</f>
        <v>0</v>
      </c>
      <c r="J6644" s="2">
        <f t="shared" si="516"/>
        <v>0</v>
      </c>
      <c r="K6644" s="2">
        <f t="shared" si="517"/>
        <v>0</v>
      </c>
    </row>
    <row r="6645" spans="5:11">
      <c r="E6645" s="3" t="s">
        <v>2751</v>
      </c>
      <c r="F6645" s="3" t="s">
        <v>2761</v>
      </c>
      <c r="G6645" s="6" t="str">
        <f t="shared" si="518"/>
        <v>14-01</v>
      </c>
      <c r="H6645" s="1">
        <f>_xlfn.IFNA(VLOOKUP(E6645,'Urban Plastix Holds'!$I$36:$U$498,6,0),0)</f>
        <v>0</v>
      </c>
      <c r="J6645" s="2">
        <f t="shared" si="516"/>
        <v>0</v>
      </c>
      <c r="K6645" s="2">
        <f t="shared" si="517"/>
        <v>0</v>
      </c>
    </row>
    <row r="6646" spans="5:11">
      <c r="E6646" s="3" t="s">
        <v>2751</v>
      </c>
      <c r="F6646" s="3" t="s">
        <v>2761</v>
      </c>
      <c r="G6646" s="7" t="str">
        <f t="shared" si="518"/>
        <v>15-12</v>
      </c>
      <c r="H6646" s="1">
        <f>_xlfn.IFNA(VLOOKUP(E6646,'Urban Plastix Holds'!$I$36:$U$498,7,0),0)</f>
        <v>0</v>
      </c>
      <c r="J6646" s="2">
        <f t="shared" si="516"/>
        <v>0</v>
      </c>
      <c r="K6646" s="2">
        <f t="shared" si="517"/>
        <v>0</v>
      </c>
    </row>
    <row r="6647" spans="5:11">
      <c r="E6647" s="3" t="s">
        <v>2751</v>
      </c>
      <c r="F6647" s="3" t="s">
        <v>2761</v>
      </c>
      <c r="G6647" s="8" t="str">
        <f t="shared" si="518"/>
        <v>16-16</v>
      </c>
      <c r="H6647" s="1">
        <f>_xlfn.IFNA(VLOOKUP(E6647,'Urban Plastix Holds'!$I$36:$U$498,8,0),0)</f>
        <v>0</v>
      </c>
      <c r="J6647" s="2">
        <f t="shared" si="516"/>
        <v>0</v>
      </c>
      <c r="K6647" s="2">
        <f t="shared" si="517"/>
        <v>0</v>
      </c>
    </row>
    <row r="6648" spans="5:11">
      <c r="E6648" s="3" t="s">
        <v>2751</v>
      </c>
      <c r="F6648" s="3" t="s">
        <v>2761</v>
      </c>
      <c r="G6648" s="9" t="str">
        <f t="shared" si="518"/>
        <v>13-01</v>
      </c>
      <c r="H6648" s="1">
        <f>_xlfn.IFNA(VLOOKUP(E6648,'Urban Plastix Holds'!$I$36:$U$498,9,0),0)</f>
        <v>0</v>
      </c>
      <c r="J6648" s="2">
        <f t="shared" si="516"/>
        <v>0</v>
      </c>
      <c r="K6648" s="2">
        <f t="shared" si="517"/>
        <v>0</v>
      </c>
    </row>
    <row r="6649" spans="5:11">
      <c r="E6649" s="3" t="s">
        <v>2751</v>
      </c>
      <c r="F6649" s="3" t="s">
        <v>2761</v>
      </c>
      <c r="G6649" s="10" t="str">
        <f t="shared" si="518"/>
        <v>07-13</v>
      </c>
      <c r="H6649" s="1">
        <f>_xlfn.IFNA(VLOOKUP(E6649,'Urban Plastix Holds'!$I$36:$U$498,10,0),0)</f>
        <v>0</v>
      </c>
      <c r="J6649" s="2">
        <f t="shared" si="516"/>
        <v>0</v>
      </c>
      <c r="K6649" s="2">
        <f t="shared" si="517"/>
        <v>0</v>
      </c>
    </row>
    <row r="6650" spans="5:11">
      <c r="E6650" s="3" t="s">
        <v>2751</v>
      </c>
      <c r="F6650" s="3" t="s">
        <v>2761</v>
      </c>
      <c r="G6650" s="11" t="str">
        <f t="shared" si="518"/>
        <v>11-25</v>
      </c>
      <c r="H6650" s="1">
        <f>_xlfn.IFNA(VLOOKUP(E6650,'Urban Plastix Holds'!$I$36:$U$498,11,0),0)</f>
        <v>0</v>
      </c>
      <c r="J6650" s="2">
        <f t="shared" si="516"/>
        <v>0</v>
      </c>
      <c r="K6650" s="2">
        <f t="shared" si="517"/>
        <v>0</v>
      </c>
    </row>
    <row r="6651" spans="5:11">
      <c r="E6651" s="3" t="s">
        <v>2751</v>
      </c>
      <c r="F6651" s="3" t="s">
        <v>2761</v>
      </c>
      <c r="G6651" s="13" t="str">
        <f t="shared" si="518"/>
        <v>18-01</v>
      </c>
      <c r="H6651" s="1">
        <f>_xlfn.IFNA(VLOOKUP(E6651,'Urban Plastix Holds'!$I$36:$U$498,12,0),0)</f>
        <v>0</v>
      </c>
      <c r="J6651" s="2">
        <f t="shared" si="516"/>
        <v>0</v>
      </c>
      <c r="K6651" s="2">
        <f t="shared" si="517"/>
        <v>0</v>
      </c>
    </row>
    <row r="6652" spans="5:11">
      <c r="E6652" s="3" t="s">
        <v>2751</v>
      </c>
      <c r="F6652" s="3" t="s">
        <v>2761</v>
      </c>
      <c r="G6652" s="12" t="str">
        <f t="shared" si="518"/>
        <v>12-01</v>
      </c>
      <c r="H6652" s="1">
        <f>_xlfn.IFNA(VLOOKUP(E6652,'Urban Plastix Holds'!$I$36:$U$498,13,0),0)</f>
        <v>0</v>
      </c>
      <c r="J6652" s="2">
        <f t="shared" si="516"/>
        <v>0</v>
      </c>
      <c r="K6652" s="2">
        <f t="shared" si="517"/>
        <v>0</v>
      </c>
    </row>
    <row r="6653" spans="5:11">
      <c r="E6653" s="3" t="s">
        <v>2752</v>
      </c>
      <c r="F6653" s="3" t="s">
        <v>2762</v>
      </c>
      <c r="G6653" s="5" t="str">
        <f t="shared" si="518"/>
        <v>11-12</v>
      </c>
      <c r="H6653" s="1">
        <f>_xlfn.IFNA(VLOOKUP(E6653,'Urban Plastix Holds'!$I$36:$U$498,5,0),0)</f>
        <v>0</v>
      </c>
      <c r="J6653" s="2">
        <f t="shared" si="516"/>
        <v>0</v>
      </c>
      <c r="K6653" s="2">
        <f t="shared" si="517"/>
        <v>0</v>
      </c>
    </row>
    <row r="6654" spans="5:11">
      <c r="E6654" s="3" t="s">
        <v>2752</v>
      </c>
      <c r="F6654" s="3" t="s">
        <v>2762</v>
      </c>
      <c r="G6654" s="6" t="str">
        <f t="shared" si="518"/>
        <v>14-01</v>
      </c>
      <c r="H6654" s="1">
        <f>_xlfn.IFNA(VLOOKUP(E6654,'Urban Plastix Holds'!$I$36:$U$498,6,0),0)</f>
        <v>0</v>
      </c>
      <c r="J6654" s="2">
        <f t="shared" si="516"/>
        <v>0</v>
      </c>
      <c r="K6654" s="2">
        <f t="shared" si="517"/>
        <v>0</v>
      </c>
    </row>
    <row r="6655" spans="5:11">
      <c r="E6655" s="3" t="s">
        <v>2752</v>
      </c>
      <c r="F6655" s="3" t="s">
        <v>2762</v>
      </c>
      <c r="G6655" s="7" t="str">
        <f t="shared" si="518"/>
        <v>15-12</v>
      </c>
      <c r="H6655" s="1">
        <f>_xlfn.IFNA(VLOOKUP(E6655,'Urban Plastix Holds'!$I$36:$U$498,7,0),0)</f>
        <v>0</v>
      </c>
      <c r="J6655" s="2">
        <f t="shared" si="516"/>
        <v>0</v>
      </c>
      <c r="K6655" s="2">
        <f t="shared" si="517"/>
        <v>0</v>
      </c>
    </row>
    <row r="6656" spans="5:11">
      <c r="E6656" s="3" t="s">
        <v>2752</v>
      </c>
      <c r="F6656" s="3" t="s">
        <v>2762</v>
      </c>
      <c r="G6656" s="8" t="str">
        <f t="shared" si="518"/>
        <v>16-16</v>
      </c>
      <c r="H6656" s="1">
        <f>_xlfn.IFNA(VLOOKUP(E6656,'Urban Plastix Holds'!$I$36:$U$498,8,0),0)</f>
        <v>0</v>
      </c>
      <c r="J6656" s="2">
        <f t="shared" si="516"/>
        <v>0</v>
      </c>
      <c r="K6656" s="2">
        <f t="shared" si="517"/>
        <v>0</v>
      </c>
    </row>
    <row r="6657" spans="5:11">
      <c r="E6657" s="3" t="s">
        <v>2752</v>
      </c>
      <c r="F6657" s="3" t="s">
        <v>2762</v>
      </c>
      <c r="G6657" s="9" t="str">
        <f t="shared" si="518"/>
        <v>13-01</v>
      </c>
      <c r="H6657" s="1">
        <f>_xlfn.IFNA(VLOOKUP(E6657,'Urban Plastix Holds'!$I$36:$U$498,9,0),0)</f>
        <v>0</v>
      </c>
      <c r="J6657" s="2">
        <f t="shared" si="516"/>
        <v>0</v>
      </c>
      <c r="K6657" s="2">
        <f t="shared" si="517"/>
        <v>0</v>
      </c>
    </row>
    <row r="6658" spans="5:11">
      <c r="E6658" s="3" t="s">
        <v>2752</v>
      </c>
      <c r="F6658" s="3" t="s">
        <v>2762</v>
      </c>
      <c r="G6658" s="10" t="str">
        <f t="shared" si="518"/>
        <v>07-13</v>
      </c>
      <c r="H6658" s="1">
        <f>_xlfn.IFNA(VLOOKUP(E6658,'Urban Plastix Holds'!$I$36:$U$498,10,0),0)</f>
        <v>0</v>
      </c>
      <c r="J6658" s="2">
        <f t="shared" si="516"/>
        <v>0</v>
      </c>
      <c r="K6658" s="2">
        <f t="shared" si="517"/>
        <v>0</v>
      </c>
    </row>
    <row r="6659" spans="5:11">
      <c r="E6659" s="3" t="s">
        <v>2752</v>
      </c>
      <c r="F6659" s="3" t="s">
        <v>2762</v>
      </c>
      <c r="G6659" s="11" t="str">
        <f t="shared" si="518"/>
        <v>11-25</v>
      </c>
      <c r="H6659" s="1">
        <f>_xlfn.IFNA(VLOOKUP(E6659,'Urban Plastix Holds'!$I$36:$U$498,11,0),0)</f>
        <v>0</v>
      </c>
      <c r="J6659" s="2">
        <f t="shared" si="516"/>
        <v>0</v>
      </c>
      <c r="K6659" s="2">
        <f t="shared" si="517"/>
        <v>0</v>
      </c>
    </row>
    <row r="6660" spans="5:11">
      <c r="E6660" s="3" t="s">
        <v>2752</v>
      </c>
      <c r="F6660" s="3" t="s">
        <v>2762</v>
      </c>
      <c r="G6660" s="13" t="str">
        <f t="shared" si="518"/>
        <v>18-01</v>
      </c>
      <c r="H6660" s="1">
        <f>_xlfn.IFNA(VLOOKUP(E6660,'Urban Plastix Holds'!$I$36:$U$498,12,0),0)</f>
        <v>0</v>
      </c>
      <c r="J6660" s="2">
        <f t="shared" si="516"/>
        <v>0</v>
      </c>
      <c r="K6660" s="2">
        <f t="shared" si="517"/>
        <v>0</v>
      </c>
    </row>
    <row r="6661" spans="5:11">
      <c r="E6661" s="3" t="s">
        <v>2752</v>
      </c>
      <c r="F6661" s="3" t="s">
        <v>2762</v>
      </c>
      <c r="G6661" s="12" t="str">
        <f t="shared" si="518"/>
        <v>12-01</v>
      </c>
      <c r="H6661" s="1">
        <f>_xlfn.IFNA(VLOOKUP(E6661,'Urban Plastix Holds'!$I$36:$U$498,13,0),0)</f>
        <v>0</v>
      </c>
      <c r="J6661" s="2">
        <f t="shared" si="516"/>
        <v>0</v>
      </c>
      <c r="K6661" s="2">
        <f t="shared" si="517"/>
        <v>0</v>
      </c>
    </row>
    <row r="6662" spans="5:11">
      <c r="E6662" s="3" t="s">
        <v>2788</v>
      </c>
      <c r="F6662" s="3" t="s">
        <v>2797</v>
      </c>
      <c r="G6662" s="5" t="str">
        <f t="shared" si="518"/>
        <v>11-12</v>
      </c>
      <c r="H6662" s="1">
        <f>_xlfn.IFNA(VLOOKUP(E6662,'Urban Plastix Holds'!$I$36:$U$498,5,0),0)</f>
        <v>0</v>
      </c>
      <c r="J6662" s="2">
        <f t="shared" ref="J6662:J6725" si="519">H6662*I6662</f>
        <v>0</v>
      </c>
      <c r="K6662" s="2">
        <f t="shared" ref="K6662:K6725" si="520">IF($V$11="Y",J6662*0.05,0)</f>
        <v>0</v>
      </c>
    </row>
    <row r="6663" spans="5:11">
      <c r="E6663" s="3" t="s">
        <v>2788</v>
      </c>
      <c r="F6663" s="3" t="s">
        <v>2797</v>
      </c>
      <c r="G6663" s="6" t="str">
        <f t="shared" si="518"/>
        <v>14-01</v>
      </c>
      <c r="H6663" s="1">
        <f>_xlfn.IFNA(VLOOKUP(E6663,'Urban Plastix Holds'!$I$36:$U$498,6,0),0)</f>
        <v>0</v>
      </c>
      <c r="J6663" s="2">
        <f t="shared" si="519"/>
        <v>0</v>
      </c>
      <c r="K6663" s="2">
        <f t="shared" si="520"/>
        <v>0</v>
      </c>
    </row>
    <row r="6664" spans="5:11">
      <c r="E6664" s="3" t="s">
        <v>2788</v>
      </c>
      <c r="F6664" s="3" t="s">
        <v>2797</v>
      </c>
      <c r="G6664" s="7" t="str">
        <f t="shared" si="518"/>
        <v>15-12</v>
      </c>
      <c r="H6664" s="1">
        <f>_xlfn.IFNA(VLOOKUP(E6664,'Urban Plastix Holds'!$I$36:$U$498,7,0),0)</f>
        <v>0</v>
      </c>
      <c r="J6664" s="2">
        <f t="shared" si="519"/>
        <v>0</v>
      </c>
      <c r="K6664" s="2">
        <f t="shared" si="520"/>
        <v>0</v>
      </c>
    </row>
    <row r="6665" spans="5:11">
      <c r="E6665" s="3" t="s">
        <v>2788</v>
      </c>
      <c r="F6665" s="3" t="s">
        <v>2797</v>
      </c>
      <c r="G6665" s="8" t="str">
        <f t="shared" si="518"/>
        <v>16-16</v>
      </c>
      <c r="H6665" s="1">
        <f>_xlfn.IFNA(VLOOKUP(E6665,'Urban Plastix Holds'!$I$36:$U$498,8,0),0)</f>
        <v>0</v>
      </c>
      <c r="J6665" s="2">
        <f t="shared" si="519"/>
        <v>0</v>
      </c>
      <c r="K6665" s="2">
        <f t="shared" si="520"/>
        <v>0</v>
      </c>
    </row>
    <row r="6666" spans="5:11">
      <c r="E6666" s="3" t="s">
        <v>2788</v>
      </c>
      <c r="F6666" s="3" t="s">
        <v>2797</v>
      </c>
      <c r="G6666" s="9" t="str">
        <f t="shared" si="518"/>
        <v>13-01</v>
      </c>
      <c r="H6666" s="1">
        <f>_xlfn.IFNA(VLOOKUP(E6666,'Urban Plastix Holds'!$I$36:$U$498,9,0),0)</f>
        <v>0</v>
      </c>
      <c r="J6666" s="2">
        <f t="shared" si="519"/>
        <v>0</v>
      </c>
      <c r="K6666" s="2">
        <f t="shared" si="520"/>
        <v>0</v>
      </c>
    </row>
    <row r="6667" spans="5:11">
      <c r="E6667" s="3" t="s">
        <v>2788</v>
      </c>
      <c r="F6667" s="3" t="s">
        <v>2797</v>
      </c>
      <c r="G6667" s="10" t="str">
        <f t="shared" si="518"/>
        <v>07-13</v>
      </c>
      <c r="H6667" s="1">
        <f>_xlfn.IFNA(VLOOKUP(E6667,'Urban Plastix Holds'!$I$36:$U$498,10,0),0)</f>
        <v>0</v>
      </c>
      <c r="J6667" s="2">
        <f t="shared" si="519"/>
        <v>0</v>
      </c>
      <c r="K6667" s="2">
        <f t="shared" si="520"/>
        <v>0</v>
      </c>
    </row>
    <row r="6668" spans="5:11">
      <c r="E6668" s="3" t="s">
        <v>2788</v>
      </c>
      <c r="F6668" s="3" t="s">
        <v>2797</v>
      </c>
      <c r="G6668" s="11" t="str">
        <f t="shared" si="518"/>
        <v>11-25</v>
      </c>
      <c r="H6668" s="1">
        <f>_xlfn.IFNA(VLOOKUP(E6668,'Urban Plastix Holds'!$I$36:$U$498,11,0),0)</f>
        <v>0</v>
      </c>
      <c r="J6668" s="2">
        <f t="shared" si="519"/>
        <v>0</v>
      </c>
      <c r="K6668" s="2">
        <f t="shared" si="520"/>
        <v>0</v>
      </c>
    </row>
    <row r="6669" spans="5:11">
      <c r="E6669" s="3" t="s">
        <v>2788</v>
      </c>
      <c r="F6669" s="3" t="s">
        <v>2797</v>
      </c>
      <c r="G6669" s="13" t="str">
        <f t="shared" ref="G6669:G6732" si="521">G6606</f>
        <v>18-01</v>
      </c>
      <c r="H6669" s="1">
        <f>_xlfn.IFNA(VLOOKUP(E6669,'Urban Plastix Holds'!$I$36:$U$498,12,0),0)</f>
        <v>0</v>
      </c>
      <c r="J6669" s="2">
        <f t="shared" si="519"/>
        <v>0</v>
      </c>
      <c r="K6669" s="2">
        <f t="shared" si="520"/>
        <v>0</v>
      </c>
    </row>
    <row r="6670" spans="5:11">
      <c r="E6670" s="3" t="s">
        <v>2788</v>
      </c>
      <c r="F6670" s="3" t="s">
        <v>2797</v>
      </c>
      <c r="G6670" s="12" t="str">
        <f t="shared" si="521"/>
        <v>12-01</v>
      </c>
      <c r="H6670" s="1">
        <f>_xlfn.IFNA(VLOOKUP(E6670,'Urban Plastix Holds'!$I$36:$U$498,13,0),0)</f>
        <v>0</v>
      </c>
      <c r="J6670" s="2">
        <f t="shared" si="519"/>
        <v>0</v>
      </c>
      <c r="K6670" s="2">
        <f t="shared" si="520"/>
        <v>0</v>
      </c>
    </row>
    <row r="6671" spans="5:11">
      <c r="E6671" s="3" t="s">
        <v>2787</v>
      </c>
      <c r="F6671" s="3" t="s">
        <v>2798</v>
      </c>
      <c r="G6671" s="5" t="str">
        <f t="shared" si="521"/>
        <v>11-12</v>
      </c>
      <c r="H6671" s="1">
        <f>_xlfn.IFNA(VLOOKUP(E6671,'Urban Plastix Holds'!$I$36:$U$498,5,0),0)</f>
        <v>0</v>
      </c>
      <c r="J6671" s="2">
        <f t="shared" si="519"/>
        <v>0</v>
      </c>
      <c r="K6671" s="2">
        <f t="shared" si="520"/>
        <v>0</v>
      </c>
    </row>
    <row r="6672" spans="5:11">
      <c r="E6672" s="3" t="s">
        <v>2787</v>
      </c>
      <c r="F6672" s="3" t="s">
        <v>2798</v>
      </c>
      <c r="G6672" s="6" t="str">
        <f t="shared" si="521"/>
        <v>14-01</v>
      </c>
      <c r="H6672" s="1">
        <f>_xlfn.IFNA(VLOOKUP(E6672,'Urban Plastix Holds'!$I$36:$U$498,6,0),0)</f>
        <v>0</v>
      </c>
      <c r="J6672" s="2">
        <f t="shared" si="519"/>
        <v>0</v>
      </c>
      <c r="K6672" s="2">
        <f t="shared" si="520"/>
        <v>0</v>
      </c>
    </row>
    <row r="6673" spans="5:11">
      <c r="E6673" s="3" t="s">
        <v>2787</v>
      </c>
      <c r="F6673" s="3" t="s">
        <v>2798</v>
      </c>
      <c r="G6673" s="7" t="str">
        <f t="shared" si="521"/>
        <v>15-12</v>
      </c>
      <c r="H6673" s="1">
        <f>_xlfn.IFNA(VLOOKUP(E6673,'Urban Plastix Holds'!$I$36:$U$498,7,0),0)</f>
        <v>0</v>
      </c>
      <c r="J6673" s="2">
        <f t="shared" si="519"/>
        <v>0</v>
      </c>
      <c r="K6673" s="2">
        <f t="shared" si="520"/>
        <v>0</v>
      </c>
    </row>
    <row r="6674" spans="5:11">
      <c r="E6674" s="3" t="s">
        <v>2787</v>
      </c>
      <c r="F6674" s="3" t="s">
        <v>2798</v>
      </c>
      <c r="G6674" s="8" t="str">
        <f t="shared" si="521"/>
        <v>16-16</v>
      </c>
      <c r="H6674" s="1">
        <f>_xlfn.IFNA(VLOOKUP(E6674,'Urban Plastix Holds'!$I$36:$U$498,8,0),0)</f>
        <v>0</v>
      </c>
      <c r="J6674" s="2">
        <f t="shared" si="519"/>
        <v>0</v>
      </c>
      <c r="K6674" s="2">
        <f t="shared" si="520"/>
        <v>0</v>
      </c>
    </row>
    <row r="6675" spans="5:11">
      <c r="E6675" s="3" t="s">
        <v>2787</v>
      </c>
      <c r="F6675" s="3" t="s">
        <v>2798</v>
      </c>
      <c r="G6675" s="9" t="str">
        <f t="shared" si="521"/>
        <v>13-01</v>
      </c>
      <c r="H6675" s="1">
        <f>_xlfn.IFNA(VLOOKUP(E6675,'Urban Plastix Holds'!$I$36:$U$498,9,0),0)</f>
        <v>0</v>
      </c>
      <c r="J6675" s="2">
        <f t="shared" si="519"/>
        <v>0</v>
      </c>
      <c r="K6675" s="2">
        <f t="shared" si="520"/>
        <v>0</v>
      </c>
    </row>
    <row r="6676" spans="5:11">
      <c r="E6676" s="3" t="s">
        <v>2787</v>
      </c>
      <c r="F6676" s="3" t="s">
        <v>2798</v>
      </c>
      <c r="G6676" s="10" t="str">
        <f t="shared" si="521"/>
        <v>07-13</v>
      </c>
      <c r="H6676" s="1">
        <f>_xlfn.IFNA(VLOOKUP(E6676,'Urban Plastix Holds'!$I$36:$U$498,10,0),0)</f>
        <v>0</v>
      </c>
      <c r="J6676" s="2">
        <f t="shared" si="519"/>
        <v>0</v>
      </c>
      <c r="K6676" s="2">
        <f t="shared" si="520"/>
        <v>0</v>
      </c>
    </row>
    <row r="6677" spans="5:11">
      <c r="E6677" s="3" t="s">
        <v>2787</v>
      </c>
      <c r="F6677" s="3" t="s">
        <v>2798</v>
      </c>
      <c r="G6677" s="11" t="str">
        <f t="shared" si="521"/>
        <v>11-25</v>
      </c>
      <c r="H6677" s="1">
        <f>_xlfn.IFNA(VLOOKUP(E6677,'Urban Plastix Holds'!$I$36:$U$498,11,0),0)</f>
        <v>0</v>
      </c>
      <c r="J6677" s="2">
        <f t="shared" si="519"/>
        <v>0</v>
      </c>
      <c r="K6677" s="2">
        <f t="shared" si="520"/>
        <v>0</v>
      </c>
    </row>
    <row r="6678" spans="5:11">
      <c r="E6678" s="3" t="s">
        <v>2787</v>
      </c>
      <c r="F6678" s="3" t="s">
        <v>2798</v>
      </c>
      <c r="G6678" s="13" t="str">
        <f t="shared" si="521"/>
        <v>18-01</v>
      </c>
      <c r="H6678" s="1">
        <f>_xlfn.IFNA(VLOOKUP(E6678,'Urban Plastix Holds'!$I$36:$U$498,12,0),0)</f>
        <v>0</v>
      </c>
      <c r="J6678" s="2">
        <f t="shared" si="519"/>
        <v>0</v>
      </c>
      <c r="K6678" s="2">
        <f t="shared" si="520"/>
        <v>0</v>
      </c>
    </row>
    <row r="6679" spans="5:11">
      <c r="E6679" s="3" t="s">
        <v>2787</v>
      </c>
      <c r="F6679" s="3" t="s">
        <v>2798</v>
      </c>
      <c r="G6679" s="12" t="str">
        <f t="shared" si="521"/>
        <v>12-01</v>
      </c>
      <c r="H6679" s="1">
        <f>_xlfn.IFNA(VLOOKUP(E6679,'Urban Plastix Holds'!$I$36:$U$498,13,0),0)</f>
        <v>0</v>
      </c>
      <c r="J6679" s="2">
        <f t="shared" si="519"/>
        <v>0</v>
      </c>
      <c r="K6679" s="2">
        <f t="shared" si="520"/>
        <v>0</v>
      </c>
    </row>
    <row r="6680" spans="5:11">
      <c r="E6680" s="3" t="s">
        <v>2789</v>
      </c>
      <c r="F6680" s="3" t="s">
        <v>2799</v>
      </c>
      <c r="G6680" s="5" t="str">
        <f t="shared" si="521"/>
        <v>11-12</v>
      </c>
      <c r="H6680" s="1">
        <f>_xlfn.IFNA(VLOOKUP(E6680,'Urban Plastix Holds'!$I$36:$U$498,5,0),0)</f>
        <v>0</v>
      </c>
      <c r="J6680" s="2">
        <f t="shared" si="519"/>
        <v>0</v>
      </c>
      <c r="K6680" s="2">
        <f t="shared" si="520"/>
        <v>0</v>
      </c>
    </row>
    <row r="6681" spans="5:11">
      <c r="E6681" s="3" t="s">
        <v>2789</v>
      </c>
      <c r="F6681" s="3" t="s">
        <v>2799</v>
      </c>
      <c r="G6681" s="6" t="str">
        <f t="shared" si="521"/>
        <v>14-01</v>
      </c>
      <c r="H6681" s="1">
        <f>_xlfn.IFNA(VLOOKUP(E6681,'Urban Plastix Holds'!$I$36:$U$498,6,0),0)</f>
        <v>0</v>
      </c>
      <c r="J6681" s="2">
        <f t="shared" si="519"/>
        <v>0</v>
      </c>
      <c r="K6681" s="2">
        <f t="shared" si="520"/>
        <v>0</v>
      </c>
    </row>
    <row r="6682" spans="5:11">
      <c r="E6682" s="3" t="s">
        <v>2789</v>
      </c>
      <c r="F6682" s="3" t="s">
        <v>2799</v>
      </c>
      <c r="G6682" s="7" t="str">
        <f t="shared" si="521"/>
        <v>15-12</v>
      </c>
      <c r="H6682" s="1">
        <f>_xlfn.IFNA(VLOOKUP(E6682,'Urban Plastix Holds'!$I$36:$U$498,7,0),0)</f>
        <v>0</v>
      </c>
      <c r="J6682" s="2">
        <f t="shared" si="519"/>
        <v>0</v>
      </c>
      <c r="K6682" s="2">
        <f t="shared" si="520"/>
        <v>0</v>
      </c>
    </row>
    <row r="6683" spans="5:11">
      <c r="E6683" s="3" t="s">
        <v>2789</v>
      </c>
      <c r="F6683" s="3" t="s">
        <v>2799</v>
      </c>
      <c r="G6683" s="8" t="str">
        <f t="shared" si="521"/>
        <v>16-16</v>
      </c>
      <c r="H6683" s="1">
        <f>_xlfn.IFNA(VLOOKUP(E6683,'Urban Plastix Holds'!$I$36:$U$498,8,0),0)</f>
        <v>0</v>
      </c>
      <c r="J6683" s="2">
        <f t="shared" si="519"/>
        <v>0</v>
      </c>
      <c r="K6683" s="2">
        <f t="shared" si="520"/>
        <v>0</v>
      </c>
    </row>
    <row r="6684" spans="5:11">
      <c r="E6684" s="3" t="s">
        <v>2789</v>
      </c>
      <c r="F6684" s="3" t="s">
        <v>2799</v>
      </c>
      <c r="G6684" s="9" t="str">
        <f t="shared" si="521"/>
        <v>13-01</v>
      </c>
      <c r="H6684" s="1">
        <f>_xlfn.IFNA(VLOOKUP(E6684,'Urban Plastix Holds'!$I$36:$U$498,9,0),0)</f>
        <v>0</v>
      </c>
      <c r="J6684" s="2">
        <f t="shared" si="519"/>
        <v>0</v>
      </c>
      <c r="K6684" s="2">
        <f t="shared" si="520"/>
        <v>0</v>
      </c>
    </row>
    <row r="6685" spans="5:11">
      <c r="E6685" s="3" t="s">
        <v>2789</v>
      </c>
      <c r="F6685" s="3" t="s">
        <v>2799</v>
      </c>
      <c r="G6685" s="10" t="str">
        <f t="shared" si="521"/>
        <v>07-13</v>
      </c>
      <c r="H6685" s="1">
        <f>_xlfn.IFNA(VLOOKUP(E6685,'Urban Plastix Holds'!$I$36:$U$498,10,0),0)</f>
        <v>0</v>
      </c>
      <c r="J6685" s="2">
        <f t="shared" si="519"/>
        <v>0</v>
      </c>
      <c r="K6685" s="2">
        <f t="shared" si="520"/>
        <v>0</v>
      </c>
    </row>
    <row r="6686" spans="5:11">
      <c r="E6686" s="3" t="s">
        <v>2789</v>
      </c>
      <c r="F6686" s="3" t="s">
        <v>2799</v>
      </c>
      <c r="G6686" s="11" t="str">
        <f t="shared" si="521"/>
        <v>11-25</v>
      </c>
      <c r="H6686" s="1">
        <f>_xlfn.IFNA(VLOOKUP(E6686,'Urban Plastix Holds'!$I$36:$U$498,11,0),0)</f>
        <v>0</v>
      </c>
      <c r="J6686" s="2">
        <f t="shared" si="519"/>
        <v>0</v>
      </c>
      <c r="K6686" s="2">
        <f t="shared" si="520"/>
        <v>0</v>
      </c>
    </row>
    <row r="6687" spans="5:11">
      <c r="E6687" s="3" t="s">
        <v>2789</v>
      </c>
      <c r="F6687" s="3" t="s">
        <v>2799</v>
      </c>
      <c r="G6687" s="13" t="str">
        <f t="shared" si="521"/>
        <v>18-01</v>
      </c>
      <c r="H6687" s="1">
        <f>_xlfn.IFNA(VLOOKUP(E6687,'Urban Plastix Holds'!$I$36:$U$498,12,0),0)</f>
        <v>0</v>
      </c>
      <c r="J6687" s="2">
        <f t="shared" si="519"/>
        <v>0</v>
      </c>
      <c r="K6687" s="2">
        <f t="shared" si="520"/>
        <v>0</v>
      </c>
    </row>
    <row r="6688" spans="5:11">
      <c r="E6688" s="3" t="s">
        <v>2789</v>
      </c>
      <c r="F6688" s="3" t="s">
        <v>2799</v>
      </c>
      <c r="G6688" s="12" t="str">
        <f t="shared" si="521"/>
        <v>12-01</v>
      </c>
      <c r="H6688" s="1">
        <f>_xlfn.IFNA(VLOOKUP(E6688,'Urban Plastix Holds'!$I$36:$U$498,13,0),0)</f>
        <v>0</v>
      </c>
      <c r="J6688" s="2">
        <f t="shared" si="519"/>
        <v>0</v>
      </c>
      <c r="K6688" s="2">
        <f t="shared" si="520"/>
        <v>0</v>
      </c>
    </row>
    <row r="6689" spans="5:11">
      <c r="E6689" s="3" t="s">
        <v>2790</v>
      </c>
      <c r="F6689" s="3" t="s">
        <v>2800</v>
      </c>
      <c r="G6689" s="5" t="str">
        <f t="shared" si="521"/>
        <v>11-12</v>
      </c>
      <c r="H6689" s="1">
        <f>_xlfn.IFNA(VLOOKUP(E6689,'Urban Plastix Holds'!$I$36:$U$498,5,0),0)</f>
        <v>0</v>
      </c>
      <c r="J6689" s="2">
        <f t="shared" si="519"/>
        <v>0</v>
      </c>
      <c r="K6689" s="2">
        <f t="shared" si="520"/>
        <v>0</v>
      </c>
    </row>
    <row r="6690" spans="5:11">
      <c r="E6690" s="3" t="s">
        <v>2790</v>
      </c>
      <c r="F6690" s="3" t="s">
        <v>2800</v>
      </c>
      <c r="G6690" s="6" t="str">
        <f t="shared" si="521"/>
        <v>14-01</v>
      </c>
      <c r="H6690" s="1">
        <f>_xlfn.IFNA(VLOOKUP(E6690,'Urban Plastix Holds'!$I$36:$U$498,6,0),0)</f>
        <v>0</v>
      </c>
      <c r="J6690" s="2">
        <f t="shared" si="519"/>
        <v>0</v>
      </c>
      <c r="K6690" s="2">
        <f t="shared" si="520"/>
        <v>0</v>
      </c>
    </row>
    <row r="6691" spans="5:11">
      <c r="E6691" s="3" t="s">
        <v>2790</v>
      </c>
      <c r="F6691" s="3" t="s">
        <v>2800</v>
      </c>
      <c r="G6691" s="7" t="str">
        <f t="shared" si="521"/>
        <v>15-12</v>
      </c>
      <c r="H6691" s="1">
        <f>_xlfn.IFNA(VLOOKUP(E6691,'Urban Plastix Holds'!$I$36:$U$498,7,0),0)</f>
        <v>0</v>
      </c>
      <c r="J6691" s="2">
        <f t="shared" si="519"/>
        <v>0</v>
      </c>
      <c r="K6691" s="2">
        <f t="shared" si="520"/>
        <v>0</v>
      </c>
    </row>
    <row r="6692" spans="5:11">
      <c r="E6692" s="3" t="s">
        <v>2790</v>
      </c>
      <c r="F6692" s="3" t="s">
        <v>2800</v>
      </c>
      <c r="G6692" s="8" t="str">
        <f t="shared" si="521"/>
        <v>16-16</v>
      </c>
      <c r="H6692" s="1">
        <f>_xlfn.IFNA(VLOOKUP(E6692,'Urban Plastix Holds'!$I$36:$U$498,8,0),0)</f>
        <v>0</v>
      </c>
      <c r="J6692" s="2">
        <f t="shared" si="519"/>
        <v>0</v>
      </c>
      <c r="K6692" s="2">
        <f t="shared" si="520"/>
        <v>0</v>
      </c>
    </row>
    <row r="6693" spans="5:11">
      <c r="E6693" s="3" t="s">
        <v>2790</v>
      </c>
      <c r="F6693" s="3" t="s">
        <v>2800</v>
      </c>
      <c r="G6693" s="9" t="str">
        <f t="shared" si="521"/>
        <v>13-01</v>
      </c>
      <c r="H6693" s="1">
        <f>_xlfn.IFNA(VLOOKUP(E6693,'Urban Plastix Holds'!$I$36:$U$498,9,0),0)</f>
        <v>0</v>
      </c>
      <c r="J6693" s="2">
        <f t="shared" si="519"/>
        <v>0</v>
      </c>
      <c r="K6693" s="2">
        <f t="shared" si="520"/>
        <v>0</v>
      </c>
    </row>
    <row r="6694" spans="5:11">
      <c r="E6694" s="3" t="s">
        <v>2790</v>
      </c>
      <c r="F6694" s="3" t="s">
        <v>2800</v>
      </c>
      <c r="G6694" s="10" t="str">
        <f t="shared" si="521"/>
        <v>07-13</v>
      </c>
      <c r="H6694" s="1">
        <f>_xlfn.IFNA(VLOOKUP(E6694,'Urban Plastix Holds'!$I$36:$U$498,10,0),0)</f>
        <v>0</v>
      </c>
      <c r="J6694" s="2">
        <f t="shared" si="519"/>
        <v>0</v>
      </c>
      <c r="K6694" s="2">
        <f t="shared" si="520"/>
        <v>0</v>
      </c>
    </row>
    <row r="6695" spans="5:11">
      <c r="E6695" s="3" t="s">
        <v>2790</v>
      </c>
      <c r="F6695" s="3" t="s">
        <v>2800</v>
      </c>
      <c r="G6695" s="11" t="str">
        <f t="shared" si="521"/>
        <v>11-25</v>
      </c>
      <c r="H6695" s="1">
        <f>_xlfn.IFNA(VLOOKUP(E6695,'Urban Plastix Holds'!$I$36:$U$498,11,0),0)</f>
        <v>0</v>
      </c>
      <c r="J6695" s="2">
        <f t="shared" si="519"/>
        <v>0</v>
      </c>
      <c r="K6695" s="2">
        <f t="shared" si="520"/>
        <v>0</v>
      </c>
    </row>
    <row r="6696" spans="5:11">
      <c r="E6696" s="3" t="s">
        <v>2790</v>
      </c>
      <c r="F6696" s="3" t="s">
        <v>2800</v>
      </c>
      <c r="G6696" s="13" t="str">
        <f t="shared" si="521"/>
        <v>18-01</v>
      </c>
      <c r="H6696" s="1">
        <f>_xlfn.IFNA(VLOOKUP(E6696,'Urban Plastix Holds'!$I$36:$U$498,12,0),0)</f>
        <v>0</v>
      </c>
      <c r="J6696" s="2">
        <f t="shared" si="519"/>
        <v>0</v>
      </c>
      <c r="K6696" s="2">
        <f t="shared" si="520"/>
        <v>0</v>
      </c>
    </row>
    <row r="6697" spans="5:11">
      <c r="E6697" s="3" t="s">
        <v>2790</v>
      </c>
      <c r="F6697" s="3" t="s">
        <v>2800</v>
      </c>
      <c r="G6697" s="12" t="str">
        <f t="shared" si="521"/>
        <v>12-01</v>
      </c>
      <c r="H6697" s="1">
        <f>_xlfn.IFNA(VLOOKUP(E6697,'Urban Plastix Holds'!$I$36:$U$498,13,0),0)</f>
        <v>0</v>
      </c>
      <c r="J6697" s="2">
        <f t="shared" si="519"/>
        <v>0</v>
      </c>
      <c r="K6697" s="2">
        <f t="shared" si="520"/>
        <v>0</v>
      </c>
    </row>
    <row r="6698" spans="5:11">
      <c r="E6698" s="3" t="s">
        <v>2791</v>
      </c>
      <c r="F6698" s="3" t="s">
        <v>2801</v>
      </c>
      <c r="G6698" s="5" t="str">
        <f t="shared" si="521"/>
        <v>11-12</v>
      </c>
      <c r="H6698" s="1">
        <f>_xlfn.IFNA(VLOOKUP(E6698,'Urban Plastix Holds'!$I$36:$U$498,5,0),0)</f>
        <v>0</v>
      </c>
      <c r="J6698" s="2">
        <f t="shared" si="519"/>
        <v>0</v>
      </c>
      <c r="K6698" s="2">
        <f t="shared" si="520"/>
        <v>0</v>
      </c>
    </row>
    <row r="6699" spans="5:11">
      <c r="E6699" s="3" t="s">
        <v>2791</v>
      </c>
      <c r="F6699" s="3" t="s">
        <v>2801</v>
      </c>
      <c r="G6699" s="6" t="str">
        <f t="shared" si="521"/>
        <v>14-01</v>
      </c>
      <c r="H6699" s="1">
        <f>_xlfn.IFNA(VLOOKUP(E6699,'Urban Plastix Holds'!$I$36:$U$498,6,0),0)</f>
        <v>0</v>
      </c>
      <c r="J6699" s="2">
        <f t="shared" si="519"/>
        <v>0</v>
      </c>
      <c r="K6699" s="2">
        <f t="shared" si="520"/>
        <v>0</v>
      </c>
    </row>
    <row r="6700" spans="5:11">
      <c r="E6700" s="3" t="s">
        <v>2791</v>
      </c>
      <c r="F6700" s="3" t="s">
        <v>2801</v>
      </c>
      <c r="G6700" s="7" t="str">
        <f t="shared" si="521"/>
        <v>15-12</v>
      </c>
      <c r="H6700" s="1">
        <f>_xlfn.IFNA(VLOOKUP(E6700,'Urban Plastix Holds'!$I$36:$U$498,7,0),0)</f>
        <v>0</v>
      </c>
      <c r="J6700" s="2">
        <f t="shared" si="519"/>
        <v>0</v>
      </c>
      <c r="K6700" s="2">
        <f t="shared" si="520"/>
        <v>0</v>
      </c>
    </row>
    <row r="6701" spans="5:11">
      <c r="E6701" s="3" t="s">
        <v>2791</v>
      </c>
      <c r="F6701" s="3" t="s">
        <v>2801</v>
      </c>
      <c r="G6701" s="8" t="str">
        <f t="shared" si="521"/>
        <v>16-16</v>
      </c>
      <c r="H6701" s="1">
        <f>_xlfn.IFNA(VLOOKUP(E6701,'Urban Plastix Holds'!$I$36:$U$498,8,0),0)</f>
        <v>0</v>
      </c>
      <c r="J6701" s="2">
        <f t="shared" si="519"/>
        <v>0</v>
      </c>
      <c r="K6701" s="2">
        <f t="shared" si="520"/>
        <v>0</v>
      </c>
    </row>
    <row r="6702" spans="5:11">
      <c r="E6702" s="3" t="s">
        <v>2791</v>
      </c>
      <c r="F6702" s="3" t="s">
        <v>2801</v>
      </c>
      <c r="G6702" s="9" t="str">
        <f t="shared" si="521"/>
        <v>13-01</v>
      </c>
      <c r="H6702" s="1">
        <f>_xlfn.IFNA(VLOOKUP(E6702,'Urban Plastix Holds'!$I$36:$U$498,9,0),0)</f>
        <v>0</v>
      </c>
      <c r="J6702" s="2">
        <f t="shared" si="519"/>
        <v>0</v>
      </c>
      <c r="K6702" s="2">
        <f t="shared" si="520"/>
        <v>0</v>
      </c>
    </row>
    <row r="6703" spans="5:11">
      <c r="E6703" s="3" t="s">
        <v>2791</v>
      </c>
      <c r="F6703" s="3" t="s">
        <v>2801</v>
      </c>
      <c r="G6703" s="10" t="str">
        <f t="shared" si="521"/>
        <v>07-13</v>
      </c>
      <c r="H6703" s="1">
        <f>_xlfn.IFNA(VLOOKUP(E6703,'Urban Plastix Holds'!$I$36:$U$498,10,0),0)</f>
        <v>0</v>
      </c>
      <c r="J6703" s="2">
        <f t="shared" si="519"/>
        <v>0</v>
      </c>
      <c r="K6703" s="2">
        <f t="shared" si="520"/>
        <v>0</v>
      </c>
    </row>
    <row r="6704" spans="5:11">
      <c r="E6704" s="3" t="s">
        <v>2791</v>
      </c>
      <c r="F6704" s="3" t="s">
        <v>2801</v>
      </c>
      <c r="G6704" s="11" t="str">
        <f t="shared" si="521"/>
        <v>11-25</v>
      </c>
      <c r="H6704" s="1">
        <f>_xlfn.IFNA(VLOOKUP(E6704,'Urban Plastix Holds'!$I$36:$U$498,11,0),0)</f>
        <v>0</v>
      </c>
      <c r="J6704" s="2">
        <f t="shared" si="519"/>
        <v>0</v>
      </c>
      <c r="K6704" s="2">
        <f t="shared" si="520"/>
        <v>0</v>
      </c>
    </row>
    <row r="6705" spans="5:11">
      <c r="E6705" s="3" t="s">
        <v>2791</v>
      </c>
      <c r="F6705" s="3" t="s">
        <v>2801</v>
      </c>
      <c r="G6705" s="13" t="str">
        <f t="shared" si="521"/>
        <v>18-01</v>
      </c>
      <c r="H6705" s="1">
        <f>_xlfn.IFNA(VLOOKUP(E6705,'Urban Plastix Holds'!$I$36:$U$498,12,0),0)</f>
        <v>0</v>
      </c>
      <c r="J6705" s="2">
        <f t="shared" si="519"/>
        <v>0</v>
      </c>
      <c r="K6705" s="2">
        <f t="shared" si="520"/>
        <v>0</v>
      </c>
    </row>
    <row r="6706" spans="5:11">
      <c r="E6706" s="3" t="s">
        <v>2791</v>
      </c>
      <c r="F6706" s="3" t="s">
        <v>2801</v>
      </c>
      <c r="G6706" s="12" t="str">
        <f t="shared" si="521"/>
        <v>12-01</v>
      </c>
      <c r="H6706" s="1">
        <f>_xlfn.IFNA(VLOOKUP(E6706,'Urban Plastix Holds'!$I$36:$U$498,13,0),0)</f>
        <v>0</v>
      </c>
      <c r="J6706" s="2">
        <f t="shared" si="519"/>
        <v>0</v>
      </c>
      <c r="K6706" s="2">
        <f t="shared" si="520"/>
        <v>0</v>
      </c>
    </row>
    <row r="6707" spans="5:11">
      <c r="E6707" s="3" t="s">
        <v>2792</v>
      </c>
      <c r="F6707" s="3" t="s">
        <v>2802</v>
      </c>
      <c r="G6707" s="5" t="str">
        <f t="shared" si="521"/>
        <v>11-12</v>
      </c>
      <c r="H6707" s="1">
        <f>_xlfn.IFNA(VLOOKUP(E6707,'Urban Plastix Holds'!$I$36:$U$498,5,0),0)</f>
        <v>0</v>
      </c>
      <c r="J6707" s="2">
        <f t="shared" si="519"/>
        <v>0</v>
      </c>
      <c r="K6707" s="2">
        <f t="shared" si="520"/>
        <v>0</v>
      </c>
    </row>
    <row r="6708" spans="5:11">
      <c r="E6708" s="3" t="s">
        <v>2792</v>
      </c>
      <c r="F6708" s="3" t="s">
        <v>2802</v>
      </c>
      <c r="G6708" s="6" t="str">
        <f t="shared" si="521"/>
        <v>14-01</v>
      </c>
      <c r="H6708" s="1">
        <f>_xlfn.IFNA(VLOOKUP(E6708,'Urban Plastix Holds'!$I$36:$U$498,6,0),0)</f>
        <v>0</v>
      </c>
      <c r="J6708" s="2">
        <f t="shared" si="519"/>
        <v>0</v>
      </c>
      <c r="K6708" s="2">
        <f t="shared" si="520"/>
        <v>0</v>
      </c>
    </row>
    <row r="6709" spans="5:11">
      <c r="E6709" s="3" t="s">
        <v>2792</v>
      </c>
      <c r="F6709" s="3" t="s">
        <v>2802</v>
      </c>
      <c r="G6709" s="7" t="str">
        <f t="shared" si="521"/>
        <v>15-12</v>
      </c>
      <c r="H6709" s="1">
        <f>_xlfn.IFNA(VLOOKUP(E6709,'Urban Plastix Holds'!$I$36:$U$498,7,0),0)</f>
        <v>0</v>
      </c>
      <c r="J6709" s="2">
        <f t="shared" si="519"/>
        <v>0</v>
      </c>
      <c r="K6709" s="2">
        <f t="shared" si="520"/>
        <v>0</v>
      </c>
    </row>
    <row r="6710" spans="5:11">
      <c r="E6710" s="3" t="s">
        <v>2792</v>
      </c>
      <c r="F6710" s="3" t="s">
        <v>2802</v>
      </c>
      <c r="G6710" s="8" t="str">
        <f t="shared" si="521"/>
        <v>16-16</v>
      </c>
      <c r="H6710" s="1">
        <f>_xlfn.IFNA(VLOOKUP(E6710,'Urban Plastix Holds'!$I$36:$U$498,8,0),0)</f>
        <v>0</v>
      </c>
      <c r="J6710" s="2">
        <f t="shared" si="519"/>
        <v>0</v>
      </c>
      <c r="K6710" s="2">
        <f t="shared" si="520"/>
        <v>0</v>
      </c>
    </row>
    <row r="6711" spans="5:11">
      <c r="E6711" s="3" t="s">
        <v>2792</v>
      </c>
      <c r="F6711" s="3" t="s">
        <v>2802</v>
      </c>
      <c r="G6711" s="9" t="str">
        <f t="shared" si="521"/>
        <v>13-01</v>
      </c>
      <c r="H6711" s="1">
        <f>_xlfn.IFNA(VLOOKUP(E6711,'Urban Plastix Holds'!$I$36:$U$498,9,0),0)</f>
        <v>0</v>
      </c>
      <c r="J6711" s="2">
        <f t="shared" si="519"/>
        <v>0</v>
      </c>
      <c r="K6711" s="2">
        <f t="shared" si="520"/>
        <v>0</v>
      </c>
    </row>
    <row r="6712" spans="5:11">
      <c r="E6712" s="3" t="s">
        <v>2792</v>
      </c>
      <c r="F6712" s="3" t="s">
        <v>2802</v>
      </c>
      <c r="G6712" s="10" t="str">
        <f t="shared" si="521"/>
        <v>07-13</v>
      </c>
      <c r="H6712" s="1">
        <f>_xlfn.IFNA(VLOOKUP(E6712,'Urban Plastix Holds'!$I$36:$U$498,10,0),0)</f>
        <v>0</v>
      </c>
      <c r="J6712" s="2">
        <f t="shared" si="519"/>
        <v>0</v>
      </c>
      <c r="K6712" s="2">
        <f t="shared" si="520"/>
        <v>0</v>
      </c>
    </row>
    <row r="6713" spans="5:11">
      <c r="E6713" s="3" t="s">
        <v>2792</v>
      </c>
      <c r="F6713" s="3" t="s">
        <v>2802</v>
      </c>
      <c r="G6713" s="11" t="str">
        <f t="shared" si="521"/>
        <v>11-25</v>
      </c>
      <c r="H6713" s="1">
        <f>_xlfn.IFNA(VLOOKUP(E6713,'Urban Plastix Holds'!$I$36:$U$498,11,0),0)</f>
        <v>0</v>
      </c>
      <c r="J6713" s="2">
        <f t="shared" si="519"/>
        <v>0</v>
      </c>
      <c r="K6713" s="2">
        <f t="shared" si="520"/>
        <v>0</v>
      </c>
    </row>
    <row r="6714" spans="5:11">
      <c r="E6714" s="3" t="s">
        <v>2792</v>
      </c>
      <c r="F6714" s="3" t="s">
        <v>2802</v>
      </c>
      <c r="G6714" s="13" t="str">
        <f t="shared" si="521"/>
        <v>18-01</v>
      </c>
      <c r="H6714" s="1">
        <f>_xlfn.IFNA(VLOOKUP(E6714,'Urban Plastix Holds'!$I$36:$U$498,12,0),0)</f>
        <v>0</v>
      </c>
      <c r="J6714" s="2">
        <f t="shared" si="519"/>
        <v>0</v>
      </c>
      <c r="K6714" s="2">
        <f t="shared" si="520"/>
        <v>0</v>
      </c>
    </row>
    <row r="6715" spans="5:11">
      <c r="E6715" s="3" t="s">
        <v>2792</v>
      </c>
      <c r="F6715" s="3" t="s">
        <v>2802</v>
      </c>
      <c r="G6715" s="12" t="str">
        <f t="shared" si="521"/>
        <v>12-01</v>
      </c>
      <c r="H6715" s="1">
        <f>_xlfn.IFNA(VLOOKUP(E6715,'Urban Plastix Holds'!$I$36:$U$498,13,0),0)</f>
        <v>0</v>
      </c>
      <c r="J6715" s="2">
        <f t="shared" si="519"/>
        <v>0</v>
      </c>
      <c r="K6715" s="2">
        <f t="shared" si="520"/>
        <v>0</v>
      </c>
    </row>
    <row r="6716" spans="5:11">
      <c r="E6716" s="3" t="s">
        <v>2793</v>
      </c>
      <c r="F6716" s="3" t="s">
        <v>2803</v>
      </c>
      <c r="G6716" s="5" t="str">
        <f t="shared" si="521"/>
        <v>11-12</v>
      </c>
      <c r="H6716" s="1">
        <f>_xlfn.IFNA(VLOOKUP(E6716,'Urban Plastix Holds'!$I$36:$U$498,5,0),0)</f>
        <v>0</v>
      </c>
      <c r="J6716" s="2">
        <f t="shared" si="519"/>
        <v>0</v>
      </c>
      <c r="K6716" s="2">
        <f t="shared" si="520"/>
        <v>0</v>
      </c>
    </row>
    <row r="6717" spans="5:11">
      <c r="E6717" s="3" t="s">
        <v>2793</v>
      </c>
      <c r="F6717" s="3" t="s">
        <v>2803</v>
      </c>
      <c r="G6717" s="6" t="str">
        <f t="shared" si="521"/>
        <v>14-01</v>
      </c>
      <c r="H6717" s="1">
        <f>_xlfn.IFNA(VLOOKUP(E6717,'Urban Plastix Holds'!$I$36:$U$498,6,0),0)</f>
        <v>0</v>
      </c>
      <c r="J6717" s="2">
        <f t="shared" si="519"/>
        <v>0</v>
      </c>
      <c r="K6717" s="2">
        <f t="shared" si="520"/>
        <v>0</v>
      </c>
    </row>
    <row r="6718" spans="5:11">
      <c r="E6718" s="3" t="s">
        <v>2793</v>
      </c>
      <c r="F6718" s="3" t="s">
        <v>2803</v>
      </c>
      <c r="G6718" s="7" t="str">
        <f t="shared" si="521"/>
        <v>15-12</v>
      </c>
      <c r="H6718" s="1">
        <f>_xlfn.IFNA(VLOOKUP(E6718,'Urban Plastix Holds'!$I$36:$U$498,7,0),0)</f>
        <v>0</v>
      </c>
      <c r="J6718" s="2">
        <f t="shared" si="519"/>
        <v>0</v>
      </c>
      <c r="K6718" s="2">
        <f t="shared" si="520"/>
        <v>0</v>
      </c>
    </row>
    <row r="6719" spans="5:11">
      <c r="E6719" s="3" t="s">
        <v>2793</v>
      </c>
      <c r="F6719" s="3" t="s">
        <v>2803</v>
      </c>
      <c r="G6719" s="8" t="str">
        <f t="shared" si="521"/>
        <v>16-16</v>
      </c>
      <c r="H6719" s="1">
        <f>_xlfn.IFNA(VLOOKUP(E6719,'Urban Plastix Holds'!$I$36:$U$498,8,0),0)</f>
        <v>0</v>
      </c>
      <c r="J6719" s="2">
        <f t="shared" si="519"/>
        <v>0</v>
      </c>
      <c r="K6719" s="2">
        <f t="shared" si="520"/>
        <v>0</v>
      </c>
    </row>
    <row r="6720" spans="5:11">
      <c r="E6720" s="3" t="s">
        <v>2793</v>
      </c>
      <c r="F6720" s="3" t="s">
        <v>2803</v>
      </c>
      <c r="G6720" s="9" t="str">
        <f t="shared" si="521"/>
        <v>13-01</v>
      </c>
      <c r="H6720" s="1">
        <f>_xlfn.IFNA(VLOOKUP(E6720,'Urban Plastix Holds'!$I$36:$U$498,9,0),0)</f>
        <v>0</v>
      </c>
      <c r="J6720" s="2">
        <f t="shared" si="519"/>
        <v>0</v>
      </c>
      <c r="K6720" s="2">
        <f t="shared" si="520"/>
        <v>0</v>
      </c>
    </row>
    <row r="6721" spans="5:11">
      <c r="E6721" s="3" t="s">
        <v>2793</v>
      </c>
      <c r="F6721" s="3" t="s">
        <v>2803</v>
      </c>
      <c r="G6721" s="10" t="str">
        <f t="shared" si="521"/>
        <v>07-13</v>
      </c>
      <c r="H6721" s="1">
        <f>_xlfn.IFNA(VLOOKUP(E6721,'Urban Plastix Holds'!$I$36:$U$498,10,0),0)</f>
        <v>0</v>
      </c>
      <c r="J6721" s="2">
        <f t="shared" si="519"/>
        <v>0</v>
      </c>
      <c r="K6721" s="2">
        <f t="shared" si="520"/>
        <v>0</v>
      </c>
    </row>
    <row r="6722" spans="5:11">
      <c r="E6722" s="3" t="s">
        <v>2793</v>
      </c>
      <c r="F6722" s="3" t="s">
        <v>2803</v>
      </c>
      <c r="G6722" s="11" t="str">
        <f t="shared" si="521"/>
        <v>11-25</v>
      </c>
      <c r="H6722" s="1">
        <f>_xlfn.IFNA(VLOOKUP(E6722,'Urban Plastix Holds'!$I$36:$U$498,11,0),0)</f>
        <v>0</v>
      </c>
      <c r="J6722" s="2">
        <f t="shared" si="519"/>
        <v>0</v>
      </c>
      <c r="K6722" s="2">
        <f t="shared" si="520"/>
        <v>0</v>
      </c>
    </row>
    <row r="6723" spans="5:11">
      <c r="E6723" s="3" t="s">
        <v>2793</v>
      </c>
      <c r="F6723" s="3" t="s">
        <v>2803</v>
      </c>
      <c r="G6723" s="13" t="str">
        <f t="shared" si="521"/>
        <v>18-01</v>
      </c>
      <c r="H6723" s="1">
        <f>_xlfn.IFNA(VLOOKUP(E6723,'Urban Plastix Holds'!$I$36:$U$498,12,0),0)</f>
        <v>0</v>
      </c>
      <c r="J6723" s="2">
        <f t="shared" si="519"/>
        <v>0</v>
      </c>
      <c r="K6723" s="2">
        <f t="shared" si="520"/>
        <v>0</v>
      </c>
    </row>
    <row r="6724" spans="5:11">
      <c r="E6724" s="3" t="s">
        <v>2793</v>
      </c>
      <c r="F6724" s="3" t="s">
        <v>2803</v>
      </c>
      <c r="G6724" s="12" t="str">
        <f t="shared" si="521"/>
        <v>12-01</v>
      </c>
      <c r="H6724" s="1">
        <f>_xlfn.IFNA(VLOOKUP(E6724,'Urban Plastix Holds'!$I$36:$U$498,13,0),0)</f>
        <v>0</v>
      </c>
      <c r="J6724" s="2">
        <f t="shared" si="519"/>
        <v>0</v>
      </c>
      <c r="K6724" s="2">
        <f t="shared" si="520"/>
        <v>0</v>
      </c>
    </row>
    <row r="6725" spans="5:11">
      <c r="E6725" s="3" t="s">
        <v>2794</v>
      </c>
      <c r="F6725" s="3" t="s">
        <v>2804</v>
      </c>
      <c r="G6725" s="5" t="str">
        <f t="shared" si="521"/>
        <v>11-12</v>
      </c>
      <c r="H6725" s="1">
        <f>_xlfn.IFNA(VLOOKUP(E6725,'Urban Plastix Holds'!$I$36:$U$498,5,0),0)</f>
        <v>0</v>
      </c>
      <c r="J6725" s="2">
        <f t="shared" si="519"/>
        <v>0</v>
      </c>
      <c r="K6725" s="2">
        <f t="shared" si="520"/>
        <v>0</v>
      </c>
    </row>
    <row r="6726" spans="5:11">
      <c r="E6726" s="3" t="s">
        <v>2794</v>
      </c>
      <c r="F6726" s="3" t="s">
        <v>2804</v>
      </c>
      <c r="G6726" s="6" t="str">
        <f t="shared" si="521"/>
        <v>14-01</v>
      </c>
      <c r="H6726" s="1">
        <f>_xlfn.IFNA(VLOOKUP(E6726,'Urban Plastix Holds'!$I$36:$U$498,6,0),0)</f>
        <v>0</v>
      </c>
      <c r="J6726" s="2">
        <f t="shared" ref="J6726:J6751" si="522">H6726*I6726</f>
        <v>0</v>
      </c>
      <c r="K6726" s="2">
        <f t="shared" ref="K6726:K6751" si="523">IF($V$11="Y",J6726*0.05,0)</f>
        <v>0</v>
      </c>
    </row>
    <row r="6727" spans="5:11">
      <c r="E6727" s="3" t="s">
        <v>2794</v>
      </c>
      <c r="F6727" s="3" t="s">
        <v>2804</v>
      </c>
      <c r="G6727" s="7" t="str">
        <f t="shared" si="521"/>
        <v>15-12</v>
      </c>
      <c r="H6727" s="1">
        <f>_xlfn.IFNA(VLOOKUP(E6727,'Urban Plastix Holds'!$I$36:$U$498,7,0),0)</f>
        <v>0</v>
      </c>
      <c r="J6727" s="2">
        <f t="shared" si="522"/>
        <v>0</v>
      </c>
      <c r="K6727" s="2">
        <f t="shared" si="523"/>
        <v>0</v>
      </c>
    </row>
    <row r="6728" spans="5:11">
      <c r="E6728" s="3" t="s">
        <v>2794</v>
      </c>
      <c r="F6728" s="3" t="s">
        <v>2804</v>
      </c>
      <c r="G6728" s="8" t="str">
        <f t="shared" si="521"/>
        <v>16-16</v>
      </c>
      <c r="H6728" s="1">
        <f>_xlfn.IFNA(VLOOKUP(E6728,'Urban Plastix Holds'!$I$36:$U$498,8,0),0)</f>
        <v>0</v>
      </c>
      <c r="J6728" s="2">
        <f t="shared" si="522"/>
        <v>0</v>
      </c>
      <c r="K6728" s="2">
        <f t="shared" si="523"/>
        <v>0</v>
      </c>
    </row>
    <row r="6729" spans="5:11">
      <c r="E6729" s="3" t="s">
        <v>2794</v>
      </c>
      <c r="F6729" s="3" t="s">
        <v>2804</v>
      </c>
      <c r="G6729" s="9" t="str">
        <f t="shared" si="521"/>
        <v>13-01</v>
      </c>
      <c r="H6729" s="1">
        <f>_xlfn.IFNA(VLOOKUP(E6729,'Urban Plastix Holds'!$I$36:$U$498,9,0),0)</f>
        <v>0</v>
      </c>
      <c r="J6729" s="2">
        <f t="shared" si="522"/>
        <v>0</v>
      </c>
      <c r="K6729" s="2">
        <f t="shared" si="523"/>
        <v>0</v>
      </c>
    </row>
    <row r="6730" spans="5:11">
      <c r="E6730" s="3" t="s">
        <v>2794</v>
      </c>
      <c r="F6730" s="3" t="s">
        <v>2804</v>
      </c>
      <c r="G6730" s="10" t="str">
        <f t="shared" si="521"/>
        <v>07-13</v>
      </c>
      <c r="H6730" s="1">
        <f>_xlfn.IFNA(VLOOKUP(E6730,'Urban Plastix Holds'!$I$36:$U$498,10,0),0)</f>
        <v>0</v>
      </c>
      <c r="J6730" s="2">
        <f t="shared" si="522"/>
        <v>0</v>
      </c>
      <c r="K6730" s="2">
        <f t="shared" si="523"/>
        <v>0</v>
      </c>
    </row>
    <row r="6731" spans="5:11">
      <c r="E6731" s="3" t="s">
        <v>2794</v>
      </c>
      <c r="F6731" s="3" t="s">
        <v>2804</v>
      </c>
      <c r="G6731" s="11" t="str">
        <f t="shared" si="521"/>
        <v>11-25</v>
      </c>
      <c r="H6731" s="1">
        <f>_xlfn.IFNA(VLOOKUP(E6731,'Urban Plastix Holds'!$I$36:$U$498,11,0),0)</f>
        <v>0</v>
      </c>
      <c r="J6731" s="2">
        <f t="shared" si="522"/>
        <v>0</v>
      </c>
      <c r="K6731" s="2">
        <f t="shared" si="523"/>
        <v>0</v>
      </c>
    </row>
    <row r="6732" spans="5:11">
      <c r="E6732" s="3" t="s">
        <v>2794</v>
      </c>
      <c r="F6732" s="3" t="s">
        <v>2804</v>
      </c>
      <c r="G6732" s="13" t="str">
        <f t="shared" si="521"/>
        <v>18-01</v>
      </c>
      <c r="H6732" s="1">
        <f>_xlfn.IFNA(VLOOKUP(E6732,'Urban Plastix Holds'!$I$36:$U$498,12,0),0)</f>
        <v>0</v>
      </c>
      <c r="J6732" s="2">
        <f t="shared" si="522"/>
        <v>0</v>
      </c>
      <c r="K6732" s="2">
        <f t="shared" si="523"/>
        <v>0</v>
      </c>
    </row>
    <row r="6733" spans="5:11">
      <c r="E6733" s="3" t="s">
        <v>2794</v>
      </c>
      <c r="F6733" s="3" t="s">
        <v>2804</v>
      </c>
      <c r="G6733" s="12" t="str">
        <f t="shared" ref="G6733:G6796" si="524">G6670</f>
        <v>12-01</v>
      </c>
      <c r="H6733" s="1">
        <f>_xlfn.IFNA(VLOOKUP(E6733,'Urban Plastix Holds'!$I$36:$U$498,13,0),0)</f>
        <v>0</v>
      </c>
      <c r="J6733" s="2">
        <f t="shared" si="522"/>
        <v>0</v>
      </c>
      <c r="K6733" s="2">
        <f t="shared" si="523"/>
        <v>0</v>
      </c>
    </row>
    <row r="6734" spans="5:11">
      <c r="E6734" s="3" t="s">
        <v>2795</v>
      </c>
      <c r="F6734" s="3" t="s">
        <v>2805</v>
      </c>
      <c r="G6734" s="5" t="str">
        <f t="shared" si="524"/>
        <v>11-12</v>
      </c>
      <c r="H6734" s="1">
        <f>_xlfn.IFNA(VLOOKUP(E6734,'Urban Plastix Holds'!$I$36:$U$498,5,0),0)</f>
        <v>0</v>
      </c>
      <c r="J6734" s="2">
        <f t="shared" si="522"/>
        <v>0</v>
      </c>
      <c r="K6734" s="2">
        <f t="shared" si="523"/>
        <v>0</v>
      </c>
    </row>
    <row r="6735" spans="5:11">
      <c r="E6735" s="3" t="s">
        <v>2795</v>
      </c>
      <c r="F6735" s="3" t="s">
        <v>2805</v>
      </c>
      <c r="G6735" s="6" t="str">
        <f t="shared" si="524"/>
        <v>14-01</v>
      </c>
      <c r="H6735" s="1">
        <f>_xlfn.IFNA(VLOOKUP(E6735,'Urban Plastix Holds'!$I$36:$U$498,6,0),0)</f>
        <v>0</v>
      </c>
      <c r="J6735" s="2">
        <f t="shared" si="522"/>
        <v>0</v>
      </c>
      <c r="K6735" s="2">
        <f t="shared" si="523"/>
        <v>0</v>
      </c>
    </row>
    <row r="6736" spans="5:11">
      <c r="E6736" s="3" t="s">
        <v>2795</v>
      </c>
      <c r="F6736" s="3" t="s">
        <v>2805</v>
      </c>
      <c r="G6736" s="7" t="str">
        <f t="shared" si="524"/>
        <v>15-12</v>
      </c>
      <c r="H6736" s="1">
        <f>_xlfn.IFNA(VLOOKUP(E6736,'Urban Plastix Holds'!$I$36:$U$498,7,0),0)</f>
        <v>0</v>
      </c>
      <c r="J6736" s="2">
        <f t="shared" si="522"/>
        <v>0</v>
      </c>
      <c r="K6736" s="2">
        <f t="shared" si="523"/>
        <v>0</v>
      </c>
    </row>
    <row r="6737" spans="5:11">
      <c r="E6737" s="3" t="s">
        <v>2795</v>
      </c>
      <c r="F6737" s="3" t="s">
        <v>2805</v>
      </c>
      <c r="G6737" s="8" t="str">
        <f t="shared" si="524"/>
        <v>16-16</v>
      </c>
      <c r="H6737" s="1">
        <f>_xlfn.IFNA(VLOOKUP(E6737,'Urban Plastix Holds'!$I$36:$U$498,8,0),0)</f>
        <v>0</v>
      </c>
      <c r="J6737" s="2">
        <f t="shared" si="522"/>
        <v>0</v>
      </c>
      <c r="K6737" s="2">
        <f t="shared" si="523"/>
        <v>0</v>
      </c>
    </row>
    <row r="6738" spans="5:11">
      <c r="E6738" s="3" t="s">
        <v>2795</v>
      </c>
      <c r="F6738" s="3" t="s">
        <v>2805</v>
      </c>
      <c r="G6738" s="9" t="str">
        <f t="shared" si="524"/>
        <v>13-01</v>
      </c>
      <c r="H6738" s="1">
        <f>_xlfn.IFNA(VLOOKUP(E6738,'Urban Plastix Holds'!$I$36:$U$498,9,0),0)</f>
        <v>0</v>
      </c>
      <c r="J6738" s="2">
        <f t="shared" si="522"/>
        <v>0</v>
      </c>
      <c r="K6738" s="2">
        <f t="shared" si="523"/>
        <v>0</v>
      </c>
    </row>
    <row r="6739" spans="5:11">
      <c r="E6739" s="3" t="s">
        <v>2795</v>
      </c>
      <c r="F6739" s="3" t="s">
        <v>2805</v>
      </c>
      <c r="G6739" s="10" t="str">
        <f t="shared" si="524"/>
        <v>07-13</v>
      </c>
      <c r="H6739" s="1">
        <f>_xlfn.IFNA(VLOOKUP(E6739,'Urban Plastix Holds'!$I$36:$U$498,10,0),0)</f>
        <v>0</v>
      </c>
      <c r="J6739" s="2">
        <f t="shared" si="522"/>
        <v>0</v>
      </c>
      <c r="K6739" s="2">
        <f t="shared" si="523"/>
        <v>0</v>
      </c>
    </row>
    <row r="6740" spans="5:11">
      <c r="E6740" s="3" t="s">
        <v>2795</v>
      </c>
      <c r="F6740" s="3" t="s">
        <v>2805</v>
      </c>
      <c r="G6740" s="11" t="str">
        <f t="shared" si="524"/>
        <v>11-25</v>
      </c>
      <c r="H6740" s="1">
        <f>_xlfn.IFNA(VLOOKUP(E6740,'Urban Plastix Holds'!$I$36:$U$498,11,0),0)</f>
        <v>0</v>
      </c>
      <c r="J6740" s="2">
        <f t="shared" si="522"/>
        <v>0</v>
      </c>
      <c r="K6740" s="2">
        <f t="shared" si="523"/>
        <v>0</v>
      </c>
    </row>
    <row r="6741" spans="5:11">
      <c r="E6741" s="3" t="s">
        <v>2795</v>
      </c>
      <c r="F6741" s="3" t="s">
        <v>2805</v>
      </c>
      <c r="G6741" s="13" t="str">
        <f t="shared" si="524"/>
        <v>18-01</v>
      </c>
      <c r="H6741" s="1">
        <f>_xlfn.IFNA(VLOOKUP(E6741,'Urban Plastix Holds'!$I$36:$U$498,12,0),0)</f>
        <v>0</v>
      </c>
      <c r="J6741" s="2">
        <f t="shared" si="522"/>
        <v>0</v>
      </c>
      <c r="K6741" s="2">
        <f t="shared" si="523"/>
        <v>0</v>
      </c>
    </row>
    <row r="6742" spans="5:11">
      <c r="E6742" s="3" t="s">
        <v>2795</v>
      </c>
      <c r="F6742" s="3" t="s">
        <v>2805</v>
      </c>
      <c r="G6742" s="12" t="str">
        <f t="shared" si="524"/>
        <v>12-01</v>
      </c>
      <c r="H6742" s="1">
        <f>_xlfn.IFNA(VLOOKUP(E6742,'Urban Plastix Holds'!$I$36:$U$498,13,0),0)</f>
        <v>0</v>
      </c>
      <c r="J6742" s="2">
        <f t="shared" si="522"/>
        <v>0</v>
      </c>
      <c r="K6742" s="2">
        <f t="shared" si="523"/>
        <v>0</v>
      </c>
    </row>
    <row r="6743" spans="5:11">
      <c r="E6743" s="3" t="s">
        <v>2796</v>
      </c>
      <c r="F6743" s="3" t="s">
        <v>2806</v>
      </c>
      <c r="G6743" s="5" t="str">
        <f t="shared" si="524"/>
        <v>11-12</v>
      </c>
      <c r="H6743" s="1">
        <f>_xlfn.IFNA(VLOOKUP(E6743,'Urban Plastix Holds'!$I$36:$U$498,5,0),0)</f>
        <v>0</v>
      </c>
      <c r="J6743" s="2">
        <f t="shared" si="522"/>
        <v>0</v>
      </c>
      <c r="K6743" s="2">
        <f t="shared" si="523"/>
        <v>0</v>
      </c>
    </row>
    <row r="6744" spans="5:11">
      <c r="E6744" s="3" t="s">
        <v>2796</v>
      </c>
      <c r="F6744" s="3" t="s">
        <v>2806</v>
      </c>
      <c r="G6744" s="6" t="str">
        <f t="shared" si="524"/>
        <v>14-01</v>
      </c>
      <c r="H6744" s="1">
        <f>_xlfn.IFNA(VLOOKUP(E6744,'Urban Plastix Holds'!$I$36:$U$498,6,0),0)</f>
        <v>0</v>
      </c>
      <c r="J6744" s="2">
        <f t="shared" si="522"/>
        <v>0</v>
      </c>
      <c r="K6744" s="2">
        <f t="shared" si="523"/>
        <v>0</v>
      </c>
    </row>
    <row r="6745" spans="5:11">
      <c r="E6745" s="3" t="s">
        <v>2796</v>
      </c>
      <c r="F6745" s="3" t="s">
        <v>2806</v>
      </c>
      <c r="G6745" s="7" t="str">
        <f t="shared" si="524"/>
        <v>15-12</v>
      </c>
      <c r="H6745" s="1">
        <f>_xlfn.IFNA(VLOOKUP(E6745,'Urban Plastix Holds'!$I$36:$U$498,7,0),0)</f>
        <v>0</v>
      </c>
      <c r="J6745" s="2">
        <f t="shared" si="522"/>
        <v>0</v>
      </c>
      <c r="K6745" s="2">
        <f t="shared" si="523"/>
        <v>0</v>
      </c>
    </row>
    <row r="6746" spans="5:11">
      <c r="E6746" s="3" t="s">
        <v>2796</v>
      </c>
      <c r="F6746" s="3" t="s">
        <v>2806</v>
      </c>
      <c r="G6746" s="8" t="str">
        <f t="shared" si="524"/>
        <v>16-16</v>
      </c>
      <c r="H6746" s="1">
        <f>_xlfn.IFNA(VLOOKUP(E6746,'Urban Plastix Holds'!$I$36:$U$498,8,0),0)</f>
        <v>0</v>
      </c>
      <c r="J6746" s="2">
        <f t="shared" si="522"/>
        <v>0</v>
      </c>
      <c r="K6746" s="2">
        <f t="shared" si="523"/>
        <v>0</v>
      </c>
    </row>
    <row r="6747" spans="5:11">
      <c r="E6747" s="3" t="s">
        <v>2796</v>
      </c>
      <c r="F6747" s="3" t="s">
        <v>2806</v>
      </c>
      <c r="G6747" s="9" t="str">
        <f t="shared" si="524"/>
        <v>13-01</v>
      </c>
      <c r="H6747" s="1">
        <f>_xlfn.IFNA(VLOOKUP(E6747,'Urban Plastix Holds'!$I$36:$U$498,9,0),0)</f>
        <v>0</v>
      </c>
      <c r="J6747" s="2">
        <f t="shared" si="522"/>
        <v>0</v>
      </c>
      <c r="K6747" s="2">
        <f t="shared" si="523"/>
        <v>0</v>
      </c>
    </row>
    <row r="6748" spans="5:11">
      <c r="E6748" s="3" t="s">
        <v>2796</v>
      </c>
      <c r="F6748" s="3" t="s">
        <v>2806</v>
      </c>
      <c r="G6748" s="10" t="str">
        <f t="shared" si="524"/>
        <v>07-13</v>
      </c>
      <c r="H6748" s="1">
        <f>_xlfn.IFNA(VLOOKUP(E6748,'Urban Plastix Holds'!$I$36:$U$498,10,0),0)</f>
        <v>0</v>
      </c>
      <c r="J6748" s="2">
        <f t="shared" si="522"/>
        <v>0</v>
      </c>
      <c r="K6748" s="2">
        <f t="shared" si="523"/>
        <v>0</v>
      </c>
    </row>
    <row r="6749" spans="5:11">
      <c r="E6749" s="3" t="s">
        <v>2796</v>
      </c>
      <c r="F6749" s="3" t="s">
        <v>2806</v>
      </c>
      <c r="G6749" s="11" t="str">
        <f t="shared" si="524"/>
        <v>11-25</v>
      </c>
      <c r="H6749" s="1">
        <f>_xlfn.IFNA(VLOOKUP(E6749,'Urban Plastix Holds'!$I$36:$U$498,11,0),0)</f>
        <v>0</v>
      </c>
      <c r="J6749" s="2">
        <f t="shared" si="522"/>
        <v>0</v>
      </c>
      <c r="K6749" s="2">
        <f t="shared" si="523"/>
        <v>0</v>
      </c>
    </row>
    <row r="6750" spans="5:11">
      <c r="E6750" s="3" t="s">
        <v>2796</v>
      </c>
      <c r="F6750" s="3" t="s">
        <v>2806</v>
      </c>
      <c r="G6750" s="13" t="str">
        <f t="shared" si="524"/>
        <v>18-01</v>
      </c>
      <c r="H6750" s="1">
        <f>_xlfn.IFNA(VLOOKUP(E6750,'Urban Plastix Holds'!$I$36:$U$498,12,0),0)</f>
        <v>0</v>
      </c>
      <c r="J6750" s="2">
        <f t="shared" si="522"/>
        <v>0</v>
      </c>
      <c r="K6750" s="2">
        <f t="shared" si="523"/>
        <v>0</v>
      </c>
    </row>
    <row r="6751" spans="5:11">
      <c r="E6751" s="3" t="s">
        <v>2796</v>
      </c>
      <c r="F6751" s="3" t="s">
        <v>2806</v>
      </c>
      <c r="G6751" s="12" t="str">
        <f t="shared" si="524"/>
        <v>12-01</v>
      </c>
      <c r="H6751" s="1">
        <f>_xlfn.IFNA(VLOOKUP(E6751,'Urban Plastix Holds'!$I$36:$U$498,13,0),0)</f>
        <v>0</v>
      </c>
      <c r="J6751" s="2">
        <f t="shared" si="522"/>
        <v>0</v>
      </c>
      <c r="K6751" s="2">
        <f t="shared" si="523"/>
        <v>0</v>
      </c>
    </row>
    <row r="6752" spans="5:11">
      <c r="E6752" s="3" t="s">
        <v>2961</v>
      </c>
      <c r="F6752" s="3" t="s">
        <v>2962</v>
      </c>
      <c r="G6752" s="5" t="str">
        <f t="shared" si="524"/>
        <v>11-12</v>
      </c>
      <c r="H6752" s="1">
        <f>_xlfn.IFNA(VLOOKUP(E6752,'Urban Plastix Holds'!$I$36:$U$498,5,0),0)</f>
        <v>0</v>
      </c>
      <c r="J6752" s="2">
        <f t="shared" ref="J6752:J6778" si="525">H6752*I6752</f>
        <v>0</v>
      </c>
      <c r="K6752" s="2">
        <f t="shared" ref="K6752:K6778" si="526">IF($V$11="Y",J6752*0.05,0)</f>
        <v>0</v>
      </c>
    </row>
    <row r="6753" spans="5:11">
      <c r="E6753" s="3" t="s">
        <v>2961</v>
      </c>
      <c r="F6753" s="3" t="s">
        <v>2962</v>
      </c>
      <c r="G6753" s="6" t="str">
        <f t="shared" si="524"/>
        <v>14-01</v>
      </c>
      <c r="H6753" s="1">
        <f>_xlfn.IFNA(VLOOKUP(E6753,'Urban Plastix Holds'!$I$36:$U$498,6,0),0)</f>
        <v>0</v>
      </c>
      <c r="J6753" s="2">
        <f t="shared" si="525"/>
        <v>0</v>
      </c>
      <c r="K6753" s="2">
        <f t="shared" si="526"/>
        <v>0</v>
      </c>
    </row>
    <row r="6754" spans="5:11">
      <c r="E6754" s="3" t="s">
        <v>2961</v>
      </c>
      <c r="F6754" s="3" t="s">
        <v>2962</v>
      </c>
      <c r="G6754" s="7" t="str">
        <f t="shared" si="524"/>
        <v>15-12</v>
      </c>
      <c r="H6754" s="1">
        <f>_xlfn.IFNA(VLOOKUP(E6754,'Urban Plastix Holds'!$I$36:$U$498,7,0),0)</f>
        <v>0</v>
      </c>
      <c r="J6754" s="2">
        <f t="shared" si="525"/>
        <v>0</v>
      </c>
      <c r="K6754" s="2">
        <f t="shared" si="526"/>
        <v>0</v>
      </c>
    </row>
    <row r="6755" spans="5:11">
      <c r="E6755" s="3" t="s">
        <v>2961</v>
      </c>
      <c r="F6755" s="3" t="s">
        <v>2962</v>
      </c>
      <c r="G6755" s="8" t="str">
        <f t="shared" si="524"/>
        <v>16-16</v>
      </c>
      <c r="H6755" s="1">
        <f>_xlfn.IFNA(VLOOKUP(E6755,'Urban Plastix Holds'!$I$36:$U$498,8,0),0)</f>
        <v>0</v>
      </c>
      <c r="J6755" s="2">
        <f t="shared" si="525"/>
        <v>0</v>
      </c>
      <c r="K6755" s="2">
        <f t="shared" si="526"/>
        <v>0</v>
      </c>
    </row>
    <row r="6756" spans="5:11">
      <c r="E6756" s="3" t="s">
        <v>2961</v>
      </c>
      <c r="F6756" s="3" t="s">
        <v>2962</v>
      </c>
      <c r="G6756" s="9" t="str">
        <f t="shared" si="524"/>
        <v>13-01</v>
      </c>
      <c r="H6756" s="1">
        <f>_xlfn.IFNA(VLOOKUP(E6756,'Urban Plastix Holds'!$I$36:$U$498,9,0),0)</f>
        <v>0</v>
      </c>
      <c r="J6756" s="2">
        <f t="shared" si="525"/>
        <v>0</v>
      </c>
      <c r="K6756" s="2">
        <f t="shared" si="526"/>
        <v>0</v>
      </c>
    </row>
    <row r="6757" spans="5:11">
      <c r="E6757" s="3" t="s">
        <v>2961</v>
      </c>
      <c r="F6757" s="3" t="s">
        <v>2962</v>
      </c>
      <c r="G6757" s="10" t="str">
        <f t="shared" si="524"/>
        <v>07-13</v>
      </c>
      <c r="H6757" s="1">
        <f>_xlfn.IFNA(VLOOKUP(E6757,'Urban Plastix Holds'!$I$36:$U$498,10,0),0)</f>
        <v>0</v>
      </c>
      <c r="J6757" s="2">
        <f t="shared" si="525"/>
        <v>0</v>
      </c>
      <c r="K6757" s="2">
        <f t="shared" si="526"/>
        <v>0</v>
      </c>
    </row>
    <row r="6758" spans="5:11">
      <c r="E6758" s="3" t="s">
        <v>2961</v>
      </c>
      <c r="F6758" s="3" t="s">
        <v>2962</v>
      </c>
      <c r="G6758" s="11" t="str">
        <f t="shared" si="524"/>
        <v>11-25</v>
      </c>
      <c r="H6758" s="1">
        <f>_xlfn.IFNA(VLOOKUP(E6758,'Urban Plastix Holds'!$I$36:$U$498,11,0),0)</f>
        <v>0</v>
      </c>
      <c r="J6758" s="2">
        <f t="shared" si="525"/>
        <v>0</v>
      </c>
      <c r="K6758" s="2">
        <f t="shared" si="526"/>
        <v>0</v>
      </c>
    </row>
    <row r="6759" spans="5:11">
      <c r="E6759" s="3" t="s">
        <v>2961</v>
      </c>
      <c r="F6759" s="3" t="s">
        <v>2962</v>
      </c>
      <c r="G6759" s="13" t="str">
        <f t="shared" si="524"/>
        <v>18-01</v>
      </c>
      <c r="H6759" s="1">
        <f>_xlfn.IFNA(VLOOKUP(E6759,'Urban Plastix Holds'!$I$36:$U$498,12,0),0)</f>
        <v>0</v>
      </c>
      <c r="J6759" s="2">
        <f t="shared" si="525"/>
        <v>0</v>
      </c>
      <c r="K6759" s="2">
        <f t="shared" si="526"/>
        <v>0</v>
      </c>
    </row>
    <row r="6760" spans="5:11">
      <c r="E6760" s="3" t="s">
        <v>2961</v>
      </c>
      <c r="F6760" s="3" t="s">
        <v>2962</v>
      </c>
      <c r="G6760" s="12" t="str">
        <f t="shared" si="524"/>
        <v>12-01</v>
      </c>
      <c r="H6760" s="1">
        <f>_xlfn.IFNA(VLOOKUP(E6760,'Urban Plastix Holds'!$I$36:$U$498,13,0),0)</f>
        <v>0</v>
      </c>
      <c r="J6760" s="2">
        <f t="shared" si="525"/>
        <v>0</v>
      </c>
      <c r="K6760" s="2">
        <f t="shared" si="526"/>
        <v>0</v>
      </c>
    </row>
    <row r="6761" spans="5:11">
      <c r="E6761" s="3" t="s">
        <v>2963</v>
      </c>
      <c r="F6761" s="3" t="s">
        <v>2964</v>
      </c>
      <c r="G6761" s="5" t="str">
        <f t="shared" si="524"/>
        <v>11-12</v>
      </c>
      <c r="H6761" s="1">
        <f>_xlfn.IFNA(VLOOKUP(E6761,'Urban Plastix Holds'!$I$36:$U$498,5,0),0)</f>
        <v>0</v>
      </c>
      <c r="J6761" s="2">
        <f t="shared" si="525"/>
        <v>0</v>
      </c>
      <c r="K6761" s="2">
        <f t="shared" si="526"/>
        <v>0</v>
      </c>
    </row>
    <row r="6762" spans="5:11">
      <c r="E6762" s="3" t="s">
        <v>2963</v>
      </c>
      <c r="F6762" s="3" t="s">
        <v>2964</v>
      </c>
      <c r="G6762" s="6" t="str">
        <f t="shared" si="524"/>
        <v>14-01</v>
      </c>
      <c r="H6762" s="1">
        <f>_xlfn.IFNA(VLOOKUP(E6762,'Urban Plastix Holds'!$I$36:$U$498,6,0),0)</f>
        <v>0</v>
      </c>
      <c r="J6762" s="2">
        <f t="shared" si="525"/>
        <v>0</v>
      </c>
      <c r="K6762" s="2">
        <f t="shared" si="526"/>
        <v>0</v>
      </c>
    </row>
    <row r="6763" spans="5:11">
      <c r="E6763" s="3" t="s">
        <v>2963</v>
      </c>
      <c r="F6763" s="3" t="s">
        <v>2964</v>
      </c>
      <c r="G6763" s="7" t="str">
        <f t="shared" si="524"/>
        <v>15-12</v>
      </c>
      <c r="H6763" s="1">
        <f>_xlfn.IFNA(VLOOKUP(E6763,'Urban Plastix Holds'!$I$36:$U$498,7,0),0)</f>
        <v>0</v>
      </c>
      <c r="J6763" s="2">
        <f t="shared" si="525"/>
        <v>0</v>
      </c>
      <c r="K6763" s="2">
        <f t="shared" si="526"/>
        <v>0</v>
      </c>
    </row>
    <row r="6764" spans="5:11">
      <c r="E6764" s="3" t="s">
        <v>2963</v>
      </c>
      <c r="F6764" s="3" t="s">
        <v>2964</v>
      </c>
      <c r="G6764" s="8" t="str">
        <f t="shared" si="524"/>
        <v>16-16</v>
      </c>
      <c r="H6764" s="1">
        <f>_xlfn.IFNA(VLOOKUP(E6764,'Urban Plastix Holds'!$I$36:$U$498,8,0),0)</f>
        <v>0</v>
      </c>
      <c r="J6764" s="2">
        <f t="shared" si="525"/>
        <v>0</v>
      </c>
      <c r="K6764" s="2">
        <f t="shared" si="526"/>
        <v>0</v>
      </c>
    </row>
    <row r="6765" spans="5:11">
      <c r="E6765" s="3" t="s">
        <v>2963</v>
      </c>
      <c r="F6765" s="3" t="s">
        <v>2964</v>
      </c>
      <c r="G6765" s="9" t="str">
        <f t="shared" si="524"/>
        <v>13-01</v>
      </c>
      <c r="H6765" s="1">
        <f>_xlfn.IFNA(VLOOKUP(E6765,'Urban Plastix Holds'!$I$36:$U$498,9,0),0)</f>
        <v>0</v>
      </c>
      <c r="J6765" s="2">
        <f t="shared" si="525"/>
        <v>0</v>
      </c>
      <c r="K6765" s="2">
        <f t="shared" si="526"/>
        <v>0</v>
      </c>
    </row>
    <row r="6766" spans="5:11">
      <c r="E6766" s="3" t="s">
        <v>2963</v>
      </c>
      <c r="F6766" s="3" t="s">
        <v>2964</v>
      </c>
      <c r="G6766" s="10" t="str">
        <f t="shared" si="524"/>
        <v>07-13</v>
      </c>
      <c r="H6766" s="1">
        <f>_xlfn.IFNA(VLOOKUP(E6766,'Urban Plastix Holds'!$I$36:$U$498,10,0),0)</f>
        <v>0</v>
      </c>
      <c r="J6766" s="2">
        <f t="shared" si="525"/>
        <v>0</v>
      </c>
      <c r="K6766" s="2">
        <f t="shared" si="526"/>
        <v>0</v>
      </c>
    </row>
    <row r="6767" spans="5:11">
      <c r="E6767" s="3" t="s">
        <v>2963</v>
      </c>
      <c r="F6767" s="3" t="s">
        <v>2964</v>
      </c>
      <c r="G6767" s="11" t="str">
        <f t="shared" si="524"/>
        <v>11-25</v>
      </c>
      <c r="H6767" s="1">
        <f>_xlfn.IFNA(VLOOKUP(E6767,'Urban Plastix Holds'!$I$36:$U$498,11,0),0)</f>
        <v>0</v>
      </c>
      <c r="J6767" s="2">
        <f t="shared" si="525"/>
        <v>0</v>
      </c>
      <c r="K6767" s="2">
        <f t="shared" si="526"/>
        <v>0</v>
      </c>
    </row>
    <row r="6768" spans="5:11">
      <c r="E6768" s="3" t="s">
        <v>2963</v>
      </c>
      <c r="F6768" s="3" t="s">
        <v>2964</v>
      </c>
      <c r="G6768" s="13" t="str">
        <f t="shared" si="524"/>
        <v>18-01</v>
      </c>
      <c r="H6768" s="1">
        <f>_xlfn.IFNA(VLOOKUP(E6768,'Urban Plastix Holds'!$I$36:$U$498,12,0),0)</f>
        <v>0</v>
      </c>
      <c r="J6768" s="2">
        <f t="shared" si="525"/>
        <v>0</v>
      </c>
      <c r="K6768" s="2">
        <f t="shared" si="526"/>
        <v>0</v>
      </c>
    </row>
    <row r="6769" spans="5:11">
      <c r="E6769" s="3" t="s">
        <v>2963</v>
      </c>
      <c r="F6769" s="3" t="s">
        <v>2964</v>
      </c>
      <c r="G6769" s="12" t="str">
        <f t="shared" si="524"/>
        <v>12-01</v>
      </c>
      <c r="H6769" s="1">
        <f>_xlfn.IFNA(VLOOKUP(E6769,'Urban Plastix Holds'!$I$36:$U$498,13,0),0)</f>
        <v>0</v>
      </c>
      <c r="J6769" s="2">
        <f t="shared" si="525"/>
        <v>0</v>
      </c>
      <c r="K6769" s="2">
        <f t="shared" si="526"/>
        <v>0</v>
      </c>
    </row>
    <row r="6770" spans="5:11">
      <c r="E6770" s="3" t="s">
        <v>2960</v>
      </c>
      <c r="F6770" s="3" t="s">
        <v>2965</v>
      </c>
      <c r="G6770" s="5" t="str">
        <f t="shared" si="524"/>
        <v>11-12</v>
      </c>
      <c r="H6770" s="1">
        <f>_xlfn.IFNA(VLOOKUP(E6770,'Urban Plastix Holds'!$I$36:$U$498,5,0),0)</f>
        <v>0</v>
      </c>
      <c r="J6770" s="2">
        <f t="shared" si="525"/>
        <v>0</v>
      </c>
      <c r="K6770" s="2">
        <f t="shared" si="526"/>
        <v>0</v>
      </c>
    </row>
    <row r="6771" spans="5:11">
      <c r="E6771" s="3" t="s">
        <v>2960</v>
      </c>
      <c r="F6771" s="3" t="s">
        <v>2965</v>
      </c>
      <c r="G6771" s="6" t="str">
        <f t="shared" si="524"/>
        <v>14-01</v>
      </c>
      <c r="H6771" s="1">
        <f>_xlfn.IFNA(VLOOKUP(E6771,'Urban Plastix Holds'!$I$36:$U$498,6,0),0)</f>
        <v>0</v>
      </c>
      <c r="J6771" s="2">
        <f t="shared" si="525"/>
        <v>0</v>
      </c>
      <c r="K6771" s="2">
        <f t="shared" si="526"/>
        <v>0</v>
      </c>
    </row>
    <row r="6772" spans="5:11">
      <c r="E6772" s="3" t="s">
        <v>2960</v>
      </c>
      <c r="F6772" s="3" t="s">
        <v>2965</v>
      </c>
      <c r="G6772" s="7" t="str">
        <f t="shared" si="524"/>
        <v>15-12</v>
      </c>
      <c r="H6772" s="1">
        <f>_xlfn.IFNA(VLOOKUP(E6772,'Urban Plastix Holds'!$I$36:$U$498,7,0),0)</f>
        <v>0</v>
      </c>
      <c r="J6772" s="2">
        <f t="shared" si="525"/>
        <v>0</v>
      </c>
      <c r="K6772" s="2">
        <f t="shared" si="526"/>
        <v>0</v>
      </c>
    </row>
    <row r="6773" spans="5:11">
      <c r="E6773" s="3" t="s">
        <v>2960</v>
      </c>
      <c r="F6773" s="3" t="s">
        <v>2965</v>
      </c>
      <c r="G6773" s="8" t="str">
        <f t="shared" si="524"/>
        <v>16-16</v>
      </c>
      <c r="H6773" s="1">
        <f>_xlfn.IFNA(VLOOKUP(E6773,'Urban Plastix Holds'!$I$36:$U$498,8,0),0)</f>
        <v>0</v>
      </c>
      <c r="J6773" s="2">
        <f t="shared" si="525"/>
        <v>0</v>
      </c>
      <c r="K6773" s="2">
        <f t="shared" si="526"/>
        <v>0</v>
      </c>
    </row>
    <row r="6774" spans="5:11">
      <c r="E6774" s="3" t="s">
        <v>2960</v>
      </c>
      <c r="F6774" s="3" t="s">
        <v>2965</v>
      </c>
      <c r="G6774" s="9" t="str">
        <f t="shared" si="524"/>
        <v>13-01</v>
      </c>
      <c r="H6774" s="1">
        <f>_xlfn.IFNA(VLOOKUP(E6774,'Urban Plastix Holds'!$I$36:$U$498,9,0),0)</f>
        <v>0</v>
      </c>
      <c r="J6774" s="2">
        <f t="shared" si="525"/>
        <v>0</v>
      </c>
      <c r="K6774" s="2">
        <f t="shared" si="526"/>
        <v>0</v>
      </c>
    </row>
    <row r="6775" spans="5:11">
      <c r="E6775" s="3" t="s">
        <v>2960</v>
      </c>
      <c r="F6775" s="3" t="s">
        <v>2965</v>
      </c>
      <c r="G6775" s="10" t="str">
        <f t="shared" si="524"/>
        <v>07-13</v>
      </c>
      <c r="H6775" s="1">
        <f>_xlfn.IFNA(VLOOKUP(E6775,'Urban Plastix Holds'!$I$36:$U$498,10,0),0)</f>
        <v>0</v>
      </c>
      <c r="J6775" s="2">
        <f t="shared" si="525"/>
        <v>0</v>
      </c>
      <c r="K6775" s="2">
        <f t="shared" si="526"/>
        <v>0</v>
      </c>
    </row>
    <row r="6776" spans="5:11">
      <c r="E6776" s="3" t="s">
        <v>2960</v>
      </c>
      <c r="F6776" s="3" t="s">
        <v>2965</v>
      </c>
      <c r="G6776" s="11" t="str">
        <f t="shared" si="524"/>
        <v>11-25</v>
      </c>
      <c r="H6776" s="1">
        <f>_xlfn.IFNA(VLOOKUP(E6776,'Urban Plastix Holds'!$I$36:$U$498,11,0),0)</f>
        <v>0</v>
      </c>
      <c r="J6776" s="2">
        <f t="shared" si="525"/>
        <v>0</v>
      </c>
      <c r="K6776" s="2">
        <f t="shared" si="526"/>
        <v>0</v>
      </c>
    </row>
    <row r="6777" spans="5:11">
      <c r="E6777" s="3" t="s">
        <v>2960</v>
      </c>
      <c r="F6777" s="3" t="s">
        <v>2965</v>
      </c>
      <c r="G6777" s="13" t="str">
        <f t="shared" si="524"/>
        <v>18-01</v>
      </c>
      <c r="H6777" s="1">
        <f>_xlfn.IFNA(VLOOKUP(E6777,'Urban Plastix Holds'!$I$36:$U$498,12,0),0)</f>
        <v>0</v>
      </c>
      <c r="J6777" s="2">
        <f t="shared" si="525"/>
        <v>0</v>
      </c>
      <c r="K6777" s="2">
        <f t="shared" si="526"/>
        <v>0</v>
      </c>
    </row>
    <row r="6778" spans="5:11">
      <c r="E6778" s="3" t="s">
        <v>2960</v>
      </c>
      <c r="F6778" s="3" t="s">
        <v>2965</v>
      </c>
      <c r="G6778" s="12" t="str">
        <f t="shared" si="524"/>
        <v>12-01</v>
      </c>
      <c r="H6778" s="1">
        <f>_xlfn.IFNA(VLOOKUP(E6778,'Urban Plastix Holds'!$I$36:$U$498,13,0),0)</f>
        <v>0</v>
      </c>
      <c r="J6778" s="2">
        <f t="shared" si="525"/>
        <v>0</v>
      </c>
      <c r="K6778" s="2">
        <f t="shared" si="526"/>
        <v>0</v>
      </c>
    </row>
    <row r="6779" spans="5:11">
      <c r="E6779" s="3" t="s">
        <v>2984</v>
      </c>
      <c r="F6779" s="3" t="s">
        <v>2985</v>
      </c>
      <c r="G6779" s="5" t="str">
        <f t="shared" si="524"/>
        <v>11-12</v>
      </c>
      <c r="H6779" s="1">
        <f>_xlfn.IFNA(VLOOKUP(E6779,'Urban Plastix Holds'!$I$36:$U$498,5,0),0)</f>
        <v>0</v>
      </c>
      <c r="J6779" s="2">
        <f t="shared" ref="J6779:J6787" si="527">H6779*I6779</f>
        <v>0</v>
      </c>
      <c r="K6779" s="2">
        <f t="shared" ref="K6779:K6787" si="528">IF($V$11="Y",J6779*0.05,0)</f>
        <v>0</v>
      </c>
    </row>
    <row r="6780" spans="5:11">
      <c r="E6780" s="3" t="s">
        <v>2984</v>
      </c>
      <c r="F6780" s="3" t="s">
        <v>2985</v>
      </c>
      <c r="G6780" s="6" t="str">
        <f t="shared" si="524"/>
        <v>14-01</v>
      </c>
      <c r="H6780" s="1">
        <f>_xlfn.IFNA(VLOOKUP(E6780,'Urban Plastix Holds'!$I$36:$U$498,6,0),0)</f>
        <v>0</v>
      </c>
      <c r="J6780" s="2">
        <f t="shared" si="527"/>
        <v>0</v>
      </c>
      <c r="K6780" s="2">
        <f t="shared" si="528"/>
        <v>0</v>
      </c>
    </row>
    <row r="6781" spans="5:11">
      <c r="E6781" s="3" t="s">
        <v>2984</v>
      </c>
      <c r="F6781" s="3" t="s">
        <v>2985</v>
      </c>
      <c r="G6781" s="7" t="str">
        <f t="shared" si="524"/>
        <v>15-12</v>
      </c>
      <c r="H6781" s="1">
        <f>_xlfn.IFNA(VLOOKUP(E6781,'Urban Plastix Holds'!$I$36:$U$498,7,0),0)</f>
        <v>0</v>
      </c>
      <c r="J6781" s="2">
        <f t="shared" si="527"/>
        <v>0</v>
      </c>
      <c r="K6781" s="2">
        <f t="shared" si="528"/>
        <v>0</v>
      </c>
    </row>
    <row r="6782" spans="5:11">
      <c r="E6782" s="3" t="s">
        <v>2984</v>
      </c>
      <c r="F6782" s="3" t="s">
        <v>2985</v>
      </c>
      <c r="G6782" s="8" t="str">
        <f t="shared" si="524"/>
        <v>16-16</v>
      </c>
      <c r="H6782" s="1">
        <f>_xlfn.IFNA(VLOOKUP(E6782,'Urban Plastix Holds'!$I$36:$U$498,8,0),0)</f>
        <v>0</v>
      </c>
      <c r="J6782" s="2">
        <f t="shared" si="527"/>
        <v>0</v>
      </c>
      <c r="K6782" s="2">
        <f t="shared" si="528"/>
        <v>0</v>
      </c>
    </row>
    <row r="6783" spans="5:11">
      <c r="E6783" s="3" t="s">
        <v>2984</v>
      </c>
      <c r="F6783" s="3" t="s">
        <v>2985</v>
      </c>
      <c r="G6783" s="9" t="str">
        <f t="shared" si="524"/>
        <v>13-01</v>
      </c>
      <c r="H6783" s="1">
        <f>_xlfn.IFNA(VLOOKUP(E6783,'Urban Plastix Holds'!$I$36:$U$498,9,0),0)</f>
        <v>0</v>
      </c>
      <c r="J6783" s="2">
        <f t="shared" si="527"/>
        <v>0</v>
      </c>
      <c r="K6783" s="2">
        <f t="shared" si="528"/>
        <v>0</v>
      </c>
    </row>
    <row r="6784" spans="5:11">
      <c r="E6784" s="3" t="s">
        <v>2984</v>
      </c>
      <c r="F6784" s="3" t="s">
        <v>2985</v>
      </c>
      <c r="G6784" s="10" t="str">
        <f t="shared" si="524"/>
        <v>07-13</v>
      </c>
      <c r="H6784" s="1">
        <f>_xlfn.IFNA(VLOOKUP(E6784,'Urban Plastix Holds'!$I$36:$U$498,10,0),0)</f>
        <v>0</v>
      </c>
      <c r="J6784" s="2">
        <f t="shared" si="527"/>
        <v>0</v>
      </c>
      <c r="K6784" s="2">
        <f t="shared" si="528"/>
        <v>0</v>
      </c>
    </row>
    <row r="6785" spans="5:11">
      <c r="E6785" s="3" t="s">
        <v>2984</v>
      </c>
      <c r="F6785" s="3" t="s">
        <v>2985</v>
      </c>
      <c r="G6785" s="11" t="str">
        <f t="shared" si="524"/>
        <v>11-25</v>
      </c>
      <c r="H6785" s="1">
        <f>_xlfn.IFNA(VLOOKUP(E6785,'Urban Plastix Holds'!$I$36:$U$498,11,0),0)</f>
        <v>0</v>
      </c>
      <c r="J6785" s="2">
        <f t="shared" si="527"/>
        <v>0</v>
      </c>
      <c r="K6785" s="2">
        <f t="shared" si="528"/>
        <v>0</v>
      </c>
    </row>
    <row r="6786" spans="5:11">
      <c r="E6786" s="3" t="s">
        <v>2984</v>
      </c>
      <c r="F6786" s="3" t="s">
        <v>2985</v>
      </c>
      <c r="G6786" s="13" t="str">
        <f t="shared" si="524"/>
        <v>18-01</v>
      </c>
      <c r="H6786" s="1">
        <f>_xlfn.IFNA(VLOOKUP(E6786,'Urban Plastix Holds'!$I$36:$U$498,12,0),0)</f>
        <v>0</v>
      </c>
      <c r="J6786" s="2">
        <f t="shared" si="527"/>
        <v>0</v>
      </c>
      <c r="K6786" s="2">
        <f t="shared" si="528"/>
        <v>0</v>
      </c>
    </row>
    <row r="6787" spans="5:11">
      <c r="E6787" s="3" t="s">
        <v>2984</v>
      </c>
      <c r="F6787" s="3" t="s">
        <v>2985</v>
      </c>
      <c r="G6787" s="12" t="str">
        <f t="shared" si="524"/>
        <v>12-01</v>
      </c>
      <c r="H6787" s="1">
        <f>_xlfn.IFNA(VLOOKUP(E6787,'Urban Plastix Holds'!$I$36:$U$498,13,0),0)</f>
        <v>0</v>
      </c>
      <c r="J6787" s="2">
        <f t="shared" si="527"/>
        <v>0</v>
      </c>
      <c r="K6787" s="2">
        <f t="shared" si="528"/>
        <v>0</v>
      </c>
    </row>
    <row r="6788" spans="5:11">
      <c r="E6788" s="3" t="s">
        <v>2988</v>
      </c>
      <c r="F6788" s="3" t="s">
        <v>2989</v>
      </c>
      <c r="G6788" s="5" t="str">
        <f t="shared" si="524"/>
        <v>11-12</v>
      </c>
      <c r="H6788" s="1">
        <f>_xlfn.IFNA(VLOOKUP(E6788,'Urban Plastix Holds'!$I$36:$U$498,5,0),0)</f>
        <v>0</v>
      </c>
      <c r="J6788" s="2">
        <f t="shared" ref="J6788:J6814" si="529">H6788*I6788</f>
        <v>0</v>
      </c>
      <c r="K6788" s="2">
        <f t="shared" ref="K6788:K6814" si="530">IF($V$11="Y",J6788*0.05,0)</f>
        <v>0</v>
      </c>
    </row>
    <row r="6789" spans="5:11">
      <c r="E6789" s="3" t="s">
        <v>2988</v>
      </c>
      <c r="F6789" s="3" t="s">
        <v>2989</v>
      </c>
      <c r="G6789" s="6" t="str">
        <f t="shared" si="524"/>
        <v>14-01</v>
      </c>
      <c r="H6789" s="1">
        <f>_xlfn.IFNA(VLOOKUP(E6789,'Urban Plastix Holds'!$I$36:$U$498,6,0),0)</f>
        <v>0</v>
      </c>
      <c r="J6789" s="2">
        <f t="shared" si="529"/>
        <v>0</v>
      </c>
      <c r="K6789" s="2">
        <f t="shared" si="530"/>
        <v>0</v>
      </c>
    </row>
    <row r="6790" spans="5:11">
      <c r="E6790" s="3" t="s">
        <v>2988</v>
      </c>
      <c r="F6790" s="3" t="s">
        <v>2989</v>
      </c>
      <c r="G6790" s="7" t="str">
        <f t="shared" si="524"/>
        <v>15-12</v>
      </c>
      <c r="H6790" s="1">
        <f>_xlfn.IFNA(VLOOKUP(E6790,'Urban Plastix Holds'!$I$36:$U$498,7,0),0)</f>
        <v>0</v>
      </c>
      <c r="J6790" s="2">
        <f t="shared" si="529"/>
        <v>0</v>
      </c>
      <c r="K6790" s="2">
        <f t="shared" si="530"/>
        <v>0</v>
      </c>
    </row>
    <row r="6791" spans="5:11">
      <c r="E6791" s="3" t="s">
        <v>2988</v>
      </c>
      <c r="F6791" s="3" t="s">
        <v>2989</v>
      </c>
      <c r="G6791" s="8" t="str">
        <f t="shared" si="524"/>
        <v>16-16</v>
      </c>
      <c r="H6791" s="1">
        <f>_xlfn.IFNA(VLOOKUP(E6791,'Urban Plastix Holds'!$I$36:$U$498,8,0),0)</f>
        <v>0</v>
      </c>
      <c r="J6791" s="2">
        <f t="shared" si="529"/>
        <v>0</v>
      </c>
      <c r="K6791" s="2">
        <f t="shared" si="530"/>
        <v>0</v>
      </c>
    </row>
    <row r="6792" spans="5:11">
      <c r="E6792" s="3" t="s">
        <v>2988</v>
      </c>
      <c r="F6792" s="3" t="s">
        <v>2989</v>
      </c>
      <c r="G6792" s="9" t="str">
        <f t="shared" si="524"/>
        <v>13-01</v>
      </c>
      <c r="H6792" s="1">
        <f>_xlfn.IFNA(VLOOKUP(E6792,'Urban Plastix Holds'!$I$36:$U$498,9,0),0)</f>
        <v>0</v>
      </c>
      <c r="J6792" s="2">
        <f t="shared" si="529"/>
        <v>0</v>
      </c>
      <c r="K6792" s="2">
        <f t="shared" si="530"/>
        <v>0</v>
      </c>
    </row>
    <row r="6793" spans="5:11">
      <c r="E6793" s="3" t="s">
        <v>2988</v>
      </c>
      <c r="F6793" s="3" t="s">
        <v>2989</v>
      </c>
      <c r="G6793" s="10" t="str">
        <f t="shared" si="524"/>
        <v>07-13</v>
      </c>
      <c r="H6793" s="1">
        <f>_xlfn.IFNA(VLOOKUP(E6793,'Urban Plastix Holds'!$I$36:$U$498,10,0),0)</f>
        <v>0</v>
      </c>
      <c r="J6793" s="2">
        <f t="shared" si="529"/>
        <v>0</v>
      </c>
      <c r="K6793" s="2">
        <f t="shared" si="530"/>
        <v>0</v>
      </c>
    </row>
    <row r="6794" spans="5:11">
      <c r="E6794" s="3" t="s">
        <v>2988</v>
      </c>
      <c r="F6794" s="3" t="s">
        <v>2989</v>
      </c>
      <c r="G6794" s="11" t="str">
        <f t="shared" si="524"/>
        <v>11-25</v>
      </c>
      <c r="H6794" s="1">
        <f>_xlfn.IFNA(VLOOKUP(E6794,'Urban Plastix Holds'!$I$36:$U$498,11,0),0)</f>
        <v>0</v>
      </c>
      <c r="J6794" s="2">
        <f t="shared" si="529"/>
        <v>0</v>
      </c>
      <c r="K6794" s="2">
        <f t="shared" si="530"/>
        <v>0</v>
      </c>
    </row>
    <row r="6795" spans="5:11">
      <c r="E6795" s="3" t="s">
        <v>2988</v>
      </c>
      <c r="F6795" s="3" t="s">
        <v>2989</v>
      </c>
      <c r="G6795" s="13" t="str">
        <f t="shared" si="524"/>
        <v>18-01</v>
      </c>
      <c r="H6795" s="1">
        <f>_xlfn.IFNA(VLOOKUP(E6795,'Urban Plastix Holds'!$I$36:$U$498,12,0),0)</f>
        <v>0</v>
      </c>
      <c r="J6795" s="2">
        <f t="shared" si="529"/>
        <v>0</v>
      </c>
      <c r="K6795" s="2">
        <f t="shared" si="530"/>
        <v>0</v>
      </c>
    </row>
    <row r="6796" spans="5:11">
      <c r="E6796" s="3" t="s">
        <v>2988</v>
      </c>
      <c r="F6796" s="3" t="s">
        <v>2989</v>
      </c>
      <c r="G6796" s="12" t="str">
        <f t="shared" si="524"/>
        <v>12-01</v>
      </c>
      <c r="H6796" s="1">
        <f>_xlfn.IFNA(VLOOKUP(E6796,'Urban Plastix Holds'!$I$36:$U$498,13,0),0)</f>
        <v>0</v>
      </c>
      <c r="J6796" s="2">
        <f t="shared" si="529"/>
        <v>0</v>
      </c>
      <c r="K6796" s="2">
        <f t="shared" si="530"/>
        <v>0</v>
      </c>
    </row>
    <row r="6797" spans="5:11">
      <c r="E6797" s="3" t="s">
        <v>2990</v>
      </c>
      <c r="F6797" s="3" t="s">
        <v>2991</v>
      </c>
      <c r="G6797" s="5" t="str">
        <f t="shared" ref="G6797:G6860" si="531">G6734</f>
        <v>11-12</v>
      </c>
      <c r="H6797" s="1">
        <f>_xlfn.IFNA(VLOOKUP(E6797,'Urban Plastix Holds'!$I$36:$U$498,5,0),0)</f>
        <v>0</v>
      </c>
      <c r="J6797" s="2">
        <f t="shared" si="529"/>
        <v>0</v>
      </c>
      <c r="K6797" s="2">
        <f t="shared" si="530"/>
        <v>0</v>
      </c>
    </row>
    <row r="6798" spans="5:11">
      <c r="E6798" s="3" t="s">
        <v>2990</v>
      </c>
      <c r="F6798" s="3" t="s">
        <v>2991</v>
      </c>
      <c r="G6798" s="6" t="str">
        <f t="shared" si="531"/>
        <v>14-01</v>
      </c>
      <c r="H6798" s="1">
        <f>_xlfn.IFNA(VLOOKUP(E6798,'Urban Plastix Holds'!$I$36:$U$498,6,0),0)</f>
        <v>0</v>
      </c>
      <c r="J6798" s="2">
        <f t="shared" si="529"/>
        <v>0</v>
      </c>
      <c r="K6798" s="2">
        <f t="shared" si="530"/>
        <v>0</v>
      </c>
    </row>
    <row r="6799" spans="5:11">
      <c r="E6799" s="3" t="s">
        <v>2990</v>
      </c>
      <c r="F6799" s="3" t="s">
        <v>2991</v>
      </c>
      <c r="G6799" s="7" t="str">
        <f t="shared" si="531"/>
        <v>15-12</v>
      </c>
      <c r="H6799" s="1">
        <f>_xlfn.IFNA(VLOOKUP(E6799,'Urban Plastix Holds'!$I$36:$U$498,7,0),0)</f>
        <v>0</v>
      </c>
      <c r="J6799" s="2">
        <f t="shared" si="529"/>
        <v>0</v>
      </c>
      <c r="K6799" s="2">
        <f t="shared" si="530"/>
        <v>0</v>
      </c>
    </row>
    <row r="6800" spans="5:11">
      <c r="E6800" s="3" t="s">
        <v>2990</v>
      </c>
      <c r="F6800" s="3" t="s">
        <v>2991</v>
      </c>
      <c r="G6800" s="8" t="str">
        <f t="shared" si="531"/>
        <v>16-16</v>
      </c>
      <c r="H6800" s="1">
        <f>_xlfn.IFNA(VLOOKUP(E6800,'Urban Plastix Holds'!$I$36:$U$498,8,0),0)</f>
        <v>0</v>
      </c>
      <c r="J6800" s="2">
        <f t="shared" si="529"/>
        <v>0</v>
      </c>
      <c r="K6800" s="2">
        <f t="shared" si="530"/>
        <v>0</v>
      </c>
    </row>
    <row r="6801" spans="5:11">
      <c r="E6801" s="3" t="s">
        <v>2990</v>
      </c>
      <c r="F6801" s="3" t="s">
        <v>2991</v>
      </c>
      <c r="G6801" s="9" t="str">
        <f t="shared" si="531"/>
        <v>13-01</v>
      </c>
      <c r="H6801" s="1">
        <f>_xlfn.IFNA(VLOOKUP(E6801,'Urban Plastix Holds'!$I$36:$U$498,9,0),0)</f>
        <v>0</v>
      </c>
      <c r="J6801" s="2">
        <f t="shared" si="529"/>
        <v>0</v>
      </c>
      <c r="K6801" s="2">
        <f t="shared" si="530"/>
        <v>0</v>
      </c>
    </row>
    <row r="6802" spans="5:11">
      <c r="E6802" s="3" t="s">
        <v>2990</v>
      </c>
      <c r="F6802" s="3" t="s">
        <v>2991</v>
      </c>
      <c r="G6802" s="10" t="str">
        <f t="shared" si="531"/>
        <v>07-13</v>
      </c>
      <c r="H6802" s="1">
        <f>_xlfn.IFNA(VLOOKUP(E6802,'Urban Plastix Holds'!$I$36:$U$498,10,0),0)</f>
        <v>0</v>
      </c>
      <c r="J6802" s="2">
        <f t="shared" si="529"/>
        <v>0</v>
      </c>
      <c r="K6802" s="2">
        <f t="shared" si="530"/>
        <v>0</v>
      </c>
    </row>
    <row r="6803" spans="5:11">
      <c r="E6803" s="3" t="s">
        <v>2990</v>
      </c>
      <c r="F6803" s="3" t="s">
        <v>2991</v>
      </c>
      <c r="G6803" s="11" t="str">
        <f t="shared" si="531"/>
        <v>11-25</v>
      </c>
      <c r="H6803" s="1">
        <f>_xlfn.IFNA(VLOOKUP(E6803,'Urban Plastix Holds'!$I$36:$U$498,11,0),0)</f>
        <v>0</v>
      </c>
      <c r="J6803" s="2">
        <f t="shared" si="529"/>
        <v>0</v>
      </c>
      <c r="K6803" s="2">
        <f t="shared" si="530"/>
        <v>0</v>
      </c>
    </row>
    <row r="6804" spans="5:11">
      <c r="E6804" s="3" t="s">
        <v>2990</v>
      </c>
      <c r="F6804" s="3" t="s">
        <v>2991</v>
      </c>
      <c r="G6804" s="13" t="str">
        <f t="shared" si="531"/>
        <v>18-01</v>
      </c>
      <c r="H6804" s="1">
        <f>_xlfn.IFNA(VLOOKUP(E6804,'Urban Plastix Holds'!$I$36:$U$498,12,0),0)</f>
        <v>0</v>
      </c>
      <c r="J6804" s="2">
        <f t="shared" si="529"/>
        <v>0</v>
      </c>
      <c r="K6804" s="2">
        <f t="shared" si="530"/>
        <v>0</v>
      </c>
    </row>
    <row r="6805" spans="5:11">
      <c r="E6805" s="3" t="s">
        <v>2990</v>
      </c>
      <c r="F6805" s="3" t="s">
        <v>2991</v>
      </c>
      <c r="G6805" s="12" t="str">
        <f t="shared" si="531"/>
        <v>12-01</v>
      </c>
      <c r="H6805" s="1">
        <f>_xlfn.IFNA(VLOOKUP(E6805,'Urban Plastix Holds'!$I$36:$U$498,13,0),0)</f>
        <v>0</v>
      </c>
      <c r="J6805" s="2">
        <f t="shared" si="529"/>
        <v>0</v>
      </c>
      <c r="K6805" s="2">
        <f t="shared" si="530"/>
        <v>0</v>
      </c>
    </row>
    <row r="6806" spans="5:11">
      <c r="E6806" s="3" t="s">
        <v>2992</v>
      </c>
      <c r="F6806" s="3" t="s">
        <v>2993</v>
      </c>
      <c r="G6806" s="5" t="str">
        <f t="shared" si="531"/>
        <v>11-12</v>
      </c>
      <c r="H6806" s="1">
        <f>_xlfn.IFNA(VLOOKUP(E6806,'Urban Plastix Holds'!$I$36:$U$498,5,0),0)</f>
        <v>0</v>
      </c>
      <c r="J6806" s="2">
        <f t="shared" si="529"/>
        <v>0</v>
      </c>
      <c r="K6806" s="2">
        <f t="shared" si="530"/>
        <v>0</v>
      </c>
    </row>
    <row r="6807" spans="5:11">
      <c r="E6807" s="3" t="s">
        <v>2992</v>
      </c>
      <c r="F6807" s="3" t="s">
        <v>2993</v>
      </c>
      <c r="G6807" s="6" t="str">
        <f t="shared" si="531"/>
        <v>14-01</v>
      </c>
      <c r="H6807" s="1">
        <f>_xlfn.IFNA(VLOOKUP(E6807,'Urban Plastix Holds'!$I$36:$U$498,6,0),0)</f>
        <v>0</v>
      </c>
      <c r="J6807" s="2">
        <f t="shared" si="529"/>
        <v>0</v>
      </c>
      <c r="K6807" s="2">
        <f t="shared" si="530"/>
        <v>0</v>
      </c>
    </row>
    <row r="6808" spans="5:11">
      <c r="E6808" s="3" t="s">
        <v>2992</v>
      </c>
      <c r="F6808" s="3" t="s">
        <v>2993</v>
      </c>
      <c r="G6808" s="7" t="str">
        <f t="shared" si="531"/>
        <v>15-12</v>
      </c>
      <c r="H6808" s="1">
        <f>_xlfn.IFNA(VLOOKUP(E6808,'Urban Plastix Holds'!$I$36:$U$498,7,0),0)</f>
        <v>0</v>
      </c>
      <c r="J6808" s="2">
        <f t="shared" si="529"/>
        <v>0</v>
      </c>
      <c r="K6808" s="2">
        <f t="shared" si="530"/>
        <v>0</v>
      </c>
    </row>
    <row r="6809" spans="5:11">
      <c r="E6809" s="3" t="s">
        <v>2992</v>
      </c>
      <c r="F6809" s="3" t="s">
        <v>2993</v>
      </c>
      <c r="G6809" s="8" t="str">
        <f t="shared" si="531"/>
        <v>16-16</v>
      </c>
      <c r="H6809" s="1">
        <f>_xlfn.IFNA(VLOOKUP(E6809,'Urban Plastix Holds'!$I$36:$U$498,8,0),0)</f>
        <v>0</v>
      </c>
      <c r="J6809" s="2">
        <f t="shared" si="529"/>
        <v>0</v>
      </c>
      <c r="K6809" s="2">
        <f t="shared" si="530"/>
        <v>0</v>
      </c>
    </row>
    <row r="6810" spans="5:11">
      <c r="E6810" s="3" t="s">
        <v>2992</v>
      </c>
      <c r="F6810" s="3" t="s">
        <v>2993</v>
      </c>
      <c r="G6810" s="9" t="str">
        <f t="shared" si="531"/>
        <v>13-01</v>
      </c>
      <c r="H6810" s="1">
        <f>_xlfn.IFNA(VLOOKUP(E6810,'Urban Plastix Holds'!$I$36:$U$498,9,0),0)</f>
        <v>0</v>
      </c>
      <c r="J6810" s="2">
        <f t="shared" si="529"/>
        <v>0</v>
      </c>
      <c r="K6810" s="2">
        <f t="shared" si="530"/>
        <v>0</v>
      </c>
    </row>
    <row r="6811" spans="5:11">
      <c r="E6811" s="3" t="s">
        <v>2992</v>
      </c>
      <c r="F6811" s="3" t="s">
        <v>2993</v>
      </c>
      <c r="G6811" s="10" t="str">
        <f t="shared" si="531"/>
        <v>07-13</v>
      </c>
      <c r="H6811" s="1">
        <f>_xlfn.IFNA(VLOOKUP(E6811,'Urban Plastix Holds'!$I$36:$U$498,10,0),0)</f>
        <v>0</v>
      </c>
      <c r="J6811" s="2">
        <f t="shared" si="529"/>
        <v>0</v>
      </c>
      <c r="K6811" s="2">
        <f t="shared" si="530"/>
        <v>0</v>
      </c>
    </row>
    <row r="6812" spans="5:11">
      <c r="E6812" s="3" t="s">
        <v>2992</v>
      </c>
      <c r="F6812" s="3" t="s">
        <v>2993</v>
      </c>
      <c r="G6812" s="11" t="str">
        <f t="shared" si="531"/>
        <v>11-25</v>
      </c>
      <c r="H6812" s="1">
        <f>_xlfn.IFNA(VLOOKUP(E6812,'Urban Plastix Holds'!$I$36:$U$498,11,0),0)</f>
        <v>0</v>
      </c>
      <c r="J6812" s="2">
        <f t="shared" si="529"/>
        <v>0</v>
      </c>
      <c r="K6812" s="2">
        <f t="shared" si="530"/>
        <v>0</v>
      </c>
    </row>
    <row r="6813" spans="5:11">
      <c r="E6813" s="3" t="s">
        <v>2992</v>
      </c>
      <c r="F6813" s="3" t="s">
        <v>2993</v>
      </c>
      <c r="G6813" s="13" t="str">
        <f t="shared" si="531"/>
        <v>18-01</v>
      </c>
      <c r="H6813" s="1">
        <f>_xlfn.IFNA(VLOOKUP(E6813,'Urban Plastix Holds'!$I$36:$U$498,12,0),0)</f>
        <v>0</v>
      </c>
      <c r="J6813" s="2">
        <f t="shared" si="529"/>
        <v>0</v>
      </c>
      <c r="K6813" s="2">
        <f t="shared" si="530"/>
        <v>0</v>
      </c>
    </row>
    <row r="6814" spans="5:11">
      <c r="E6814" s="3" t="s">
        <v>2992</v>
      </c>
      <c r="F6814" s="3" t="s">
        <v>2993</v>
      </c>
      <c r="G6814" s="12" t="str">
        <f t="shared" si="531"/>
        <v>12-01</v>
      </c>
      <c r="H6814" s="1">
        <f>_xlfn.IFNA(VLOOKUP(E6814,'Urban Plastix Holds'!$I$36:$U$498,13,0),0)</f>
        <v>0</v>
      </c>
      <c r="J6814" s="2">
        <f t="shared" si="529"/>
        <v>0</v>
      </c>
      <c r="K6814" s="2">
        <f t="shared" si="530"/>
        <v>0</v>
      </c>
    </row>
    <row r="6815" spans="5:11">
      <c r="E6815" s="3" t="s">
        <v>2999</v>
      </c>
      <c r="F6815" s="3" t="s">
        <v>3000</v>
      </c>
      <c r="G6815" s="5" t="str">
        <f t="shared" si="531"/>
        <v>11-12</v>
      </c>
      <c r="H6815" s="1">
        <f>_xlfn.IFNA(VLOOKUP(E6815,'Urban Plastix Holds'!$I$36:$U$498,5,0),0)</f>
        <v>0</v>
      </c>
      <c r="J6815" s="2">
        <f t="shared" ref="J6815:J6832" si="532">H6815*I6815</f>
        <v>0</v>
      </c>
      <c r="K6815" s="2">
        <f t="shared" ref="K6815:K6832" si="533">IF($V$11="Y",J6815*0.05,0)</f>
        <v>0</v>
      </c>
    </row>
    <row r="6816" spans="5:11">
      <c r="E6816" s="3" t="s">
        <v>2999</v>
      </c>
      <c r="F6816" s="3" t="s">
        <v>3000</v>
      </c>
      <c r="G6816" s="6" t="str">
        <f t="shared" si="531"/>
        <v>14-01</v>
      </c>
      <c r="H6816" s="1">
        <f>_xlfn.IFNA(VLOOKUP(E6816,'Urban Plastix Holds'!$I$36:$U$498,6,0),0)</f>
        <v>0</v>
      </c>
      <c r="J6816" s="2">
        <f t="shared" si="532"/>
        <v>0</v>
      </c>
      <c r="K6816" s="2">
        <f t="shared" si="533"/>
        <v>0</v>
      </c>
    </row>
    <row r="6817" spans="5:11">
      <c r="E6817" s="3" t="s">
        <v>2999</v>
      </c>
      <c r="F6817" s="3" t="s">
        <v>3000</v>
      </c>
      <c r="G6817" s="7" t="str">
        <f t="shared" si="531"/>
        <v>15-12</v>
      </c>
      <c r="H6817" s="1">
        <f>_xlfn.IFNA(VLOOKUP(E6817,'Urban Plastix Holds'!$I$36:$U$498,7,0),0)</f>
        <v>0</v>
      </c>
      <c r="J6817" s="2">
        <f t="shared" si="532"/>
        <v>0</v>
      </c>
      <c r="K6817" s="2">
        <f t="shared" si="533"/>
        <v>0</v>
      </c>
    </row>
    <row r="6818" spans="5:11">
      <c r="E6818" s="3" t="s">
        <v>2999</v>
      </c>
      <c r="F6818" s="3" t="s">
        <v>3000</v>
      </c>
      <c r="G6818" s="8" t="str">
        <f t="shared" si="531"/>
        <v>16-16</v>
      </c>
      <c r="H6818" s="1">
        <f>_xlfn.IFNA(VLOOKUP(E6818,'Urban Plastix Holds'!$I$36:$U$498,8,0),0)</f>
        <v>0</v>
      </c>
      <c r="J6818" s="2">
        <f t="shared" si="532"/>
        <v>0</v>
      </c>
      <c r="K6818" s="2">
        <f t="shared" si="533"/>
        <v>0</v>
      </c>
    </row>
    <row r="6819" spans="5:11">
      <c r="E6819" s="3" t="s">
        <v>2999</v>
      </c>
      <c r="F6819" s="3" t="s">
        <v>3000</v>
      </c>
      <c r="G6819" s="9" t="str">
        <f t="shared" si="531"/>
        <v>13-01</v>
      </c>
      <c r="H6819" s="1">
        <f>_xlfn.IFNA(VLOOKUP(E6819,'Urban Plastix Holds'!$I$36:$U$498,9,0),0)</f>
        <v>0</v>
      </c>
      <c r="J6819" s="2">
        <f t="shared" si="532"/>
        <v>0</v>
      </c>
      <c r="K6819" s="2">
        <f t="shared" si="533"/>
        <v>0</v>
      </c>
    </row>
    <row r="6820" spans="5:11">
      <c r="E6820" s="3" t="s">
        <v>2999</v>
      </c>
      <c r="F6820" s="3" t="s">
        <v>3000</v>
      </c>
      <c r="G6820" s="10" t="str">
        <f t="shared" si="531"/>
        <v>07-13</v>
      </c>
      <c r="H6820" s="1">
        <f>_xlfn.IFNA(VLOOKUP(E6820,'Urban Plastix Holds'!$I$36:$U$498,10,0),0)</f>
        <v>0</v>
      </c>
      <c r="J6820" s="2">
        <f t="shared" si="532"/>
        <v>0</v>
      </c>
      <c r="K6820" s="2">
        <f t="shared" si="533"/>
        <v>0</v>
      </c>
    </row>
    <row r="6821" spans="5:11">
      <c r="E6821" s="3" t="s">
        <v>2999</v>
      </c>
      <c r="F6821" s="3" t="s">
        <v>3000</v>
      </c>
      <c r="G6821" s="11" t="str">
        <f t="shared" si="531"/>
        <v>11-25</v>
      </c>
      <c r="H6821" s="1">
        <f>_xlfn.IFNA(VLOOKUP(E6821,'Urban Plastix Holds'!$I$36:$U$498,11,0),0)</f>
        <v>0</v>
      </c>
      <c r="J6821" s="2">
        <f t="shared" si="532"/>
        <v>0</v>
      </c>
      <c r="K6821" s="2">
        <f t="shared" si="533"/>
        <v>0</v>
      </c>
    </row>
    <row r="6822" spans="5:11">
      <c r="E6822" s="3" t="s">
        <v>2999</v>
      </c>
      <c r="F6822" s="3" t="s">
        <v>3000</v>
      </c>
      <c r="G6822" s="13" t="str">
        <f t="shared" si="531"/>
        <v>18-01</v>
      </c>
      <c r="H6822" s="1">
        <f>_xlfn.IFNA(VLOOKUP(E6822,'Urban Plastix Holds'!$I$36:$U$498,12,0),0)</f>
        <v>0</v>
      </c>
      <c r="J6822" s="2">
        <f t="shared" si="532"/>
        <v>0</v>
      </c>
      <c r="K6822" s="2">
        <f t="shared" si="533"/>
        <v>0</v>
      </c>
    </row>
    <row r="6823" spans="5:11">
      <c r="E6823" s="3" t="s">
        <v>2999</v>
      </c>
      <c r="F6823" s="3" t="s">
        <v>3000</v>
      </c>
      <c r="G6823" s="12" t="str">
        <f t="shared" si="531"/>
        <v>12-01</v>
      </c>
      <c r="H6823" s="1">
        <f>_xlfn.IFNA(VLOOKUP(E6823,'Urban Plastix Holds'!$I$36:$U$498,13,0),0)</f>
        <v>0</v>
      </c>
      <c r="J6823" s="2">
        <f t="shared" si="532"/>
        <v>0</v>
      </c>
      <c r="K6823" s="2">
        <f t="shared" si="533"/>
        <v>0</v>
      </c>
    </row>
    <row r="6824" spans="5:11">
      <c r="E6824" s="3" t="s">
        <v>3001</v>
      </c>
      <c r="F6824" s="3" t="s">
        <v>3002</v>
      </c>
      <c r="G6824" s="5" t="str">
        <f t="shared" si="531"/>
        <v>11-12</v>
      </c>
      <c r="H6824" s="1">
        <f>_xlfn.IFNA(VLOOKUP(E6824,'Urban Plastix Holds'!$I$36:$U$498,5,0),0)</f>
        <v>0</v>
      </c>
      <c r="J6824" s="2">
        <f t="shared" si="532"/>
        <v>0</v>
      </c>
      <c r="K6824" s="2">
        <f t="shared" si="533"/>
        <v>0</v>
      </c>
    </row>
    <row r="6825" spans="5:11">
      <c r="E6825" s="3" t="s">
        <v>3001</v>
      </c>
      <c r="F6825" s="3" t="s">
        <v>3002</v>
      </c>
      <c r="G6825" s="6" t="str">
        <f t="shared" si="531"/>
        <v>14-01</v>
      </c>
      <c r="H6825" s="1">
        <f>_xlfn.IFNA(VLOOKUP(E6825,'Urban Plastix Holds'!$I$36:$U$498,6,0),0)</f>
        <v>0</v>
      </c>
      <c r="J6825" s="2">
        <f t="shared" si="532"/>
        <v>0</v>
      </c>
      <c r="K6825" s="2">
        <f t="shared" si="533"/>
        <v>0</v>
      </c>
    </row>
    <row r="6826" spans="5:11">
      <c r="E6826" s="3" t="s">
        <v>3001</v>
      </c>
      <c r="F6826" s="3" t="s">
        <v>3002</v>
      </c>
      <c r="G6826" s="7" t="str">
        <f t="shared" si="531"/>
        <v>15-12</v>
      </c>
      <c r="H6826" s="1">
        <f>_xlfn.IFNA(VLOOKUP(E6826,'Urban Plastix Holds'!$I$36:$U$498,7,0),0)</f>
        <v>0</v>
      </c>
      <c r="J6826" s="2">
        <f t="shared" si="532"/>
        <v>0</v>
      </c>
      <c r="K6826" s="2">
        <f t="shared" si="533"/>
        <v>0</v>
      </c>
    </row>
    <row r="6827" spans="5:11">
      <c r="E6827" s="3" t="s">
        <v>3001</v>
      </c>
      <c r="F6827" s="3" t="s">
        <v>3002</v>
      </c>
      <c r="G6827" s="8" t="str">
        <f t="shared" si="531"/>
        <v>16-16</v>
      </c>
      <c r="H6827" s="1">
        <f>_xlfn.IFNA(VLOOKUP(E6827,'Urban Plastix Holds'!$I$36:$U$498,8,0),0)</f>
        <v>0</v>
      </c>
      <c r="J6827" s="2">
        <f t="shared" si="532"/>
        <v>0</v>
      </c>
      <c r="K6827" s="2">
        <f t="shared" si="533"/>
        <v>0</v>
      </c>
    </row>
    <row r="6828" spans="5:11">
      <c r="E6828" s="3" t="s">
        <v>3001</v>
      </c>
      <c r="F6828" s="3" t="s">
        <v>3002</v>
      </c>
      <c r="G6828" s="9" t="str">
        <f t="shared" si="531"/>
        <v>13-01</v>
      </c>
      <c r="H6828" s="1">
        <f>_xlfn.IFNA(VLOOKUP(E6828,'Urban Plastix Holds'!$I$36:$U$498,9,0),0)</f>
        <v>0</v>
      </c>
      <c r="J6828" s="2">
        <f t="shared" si="532"/>
        <v>0</v>
      </c>
      <c r="K6828" s="2">
        <f t="shared" si="533"/>
        <v>0</v>
      </c>
    </row>
    <row r="6829" spans="5:11">
      <c r="E6829" s="3" t="s">
        <v>3001</v>
      </c>
      <c r="F6829" s="3" t="s">
        <v>3002</v>
      </c>
      <c r="G6829" s="10" t="str">
        <f t="shared" si="531"/>
        <v>07-13</v>
      </c>
      <c r="H6829" s="1">
        <f>_xlfn.IFNA(VLOOKUP(E6829,'Urban Plastix Holds'!$I$36:$U$498,10,0),0)</f>
        <v>0</v>
      </c>
      <c r="J6829" s="2">
        <f t="shared" si="532"/>
        <v>0</v>
      </c>
      <c r="K6829" s="2">
        <f t="shared" si="533"/>
        <v>0</v>
      </c>
    </row>
    <row r="6830" spans="5:11">
      <c r="E6830" s="3" t="s">
        <v>3001</v>
      </c>
      <c r="F6830" s="3" t="s">
        <v>3002</v>
      </c>
      <c r="G6830" s="11" t="str">
        <f t="shared" si="531"/>
        <v>11-25</v>
      </c>
      <c r="H6830" s="1">
        <f>_xlfn.IFNA(VLOOKUP(E6830,'Urban Plastix Holds'!$I$36:$U$498,11,0),0)</f>
        <v>0</v>
      </c>
      <c r="J6830" s="2">
        <f t="shared" si="532"/>
        <v>0</v>
      </c>
      <c r="K6830" s="2">
        <f t="shared" si="533"/>
        <v>0</v>
      </c>
    </row>
    <row r="6831" spans="5:11">
      <c r="E6831" s="3" t="s">
        <v>3001</v>
      </c>
      <c r="F6831" s="3" t="s">
        <v>3002</v>
      </c>
      <c r="G6831" s="13" t="str">
        <f t="shared" si="531"/>
        <v>18-01</v>
      </c>
      <c r="H6831" s="1">
        <f>_xlfn.IFNA(VLOOKUP(E6831,'Urban Plastix Holds'!$I$36:$U$498,12,0),0)</f>
        <v>0</v>
      </c>
      <c r="J6831" s="2">
        <f t="shared" si="532"/>
        <v>0</v>
      </c>
      <c r="K6831" s="2">
        <f t="shared" si="533"/>
        <v>0</v>
      </c>
    </row>
    <row r="6832" spans="5:11">
      <c r="E6832" s="3" t="s">
        <v>3001</v>
      </c>
      <c r="F6832" s="3" t="s">
        <v>3002</v>
      </c>
      <c r="G6832" s="12" t="str">
        <f t="shared" si="531"/>
        <v>12-01</v>
      </c>
      <c r="H6832" s="1">
        <f>_xlfn.IFNA(VLOOKUP(E6832,'Urban Plastix Holds'!$I$36:$U$498,13,0),0)</f>
        <v>0</v>
      </c>
      <c r="J6832" s="2">
        <f t="shared" si="532"/>
        <v>0</v>
      </c>
      <c r="K6832" s="2">
        <f t="shared" si="533"/>
        <v>0</v>
      </c>
    </row>
    <row r="6833" spans="5:11">
      <c r="E6833" s="3" t="s">
        <v>3003</v>
      </c>
      <c r="F6833" s="3" t="s">
        <v>3004</v>
      </c>
      <c r="G6833" s="5" t="str">
        <f t="shared" si="531"/>
        <v>11-12</v>
      </c>
      <c r="H6833" s="1">
        <f>_xlfn.IFNA(VLOOKUP(E6833,'Urban Plastix Holds'!$I$36:$U$498,5,0),0)</f>
        <v>0</v>
      </c>
      <c r="J6833" s="2">
        <f t="shared" ref="J6833:J6896" si="534">H6833*I6833</f>
        <v>0</v>
      </c>
      <c r="K6833" s="2">
        <f t="shared" ref="K6833:K6896" si="535">IF($V$11="Y",J6833*0.05,0)</f>
        <v>0</v>
      </c>
    </row>
    <row r="6834" spans="5:11">
      <c r="E6834" s="3" t="s">
        <v>3003</v>
      </c>
      <c r="F6834" s="3" t="s">
        <v>3004</v>
      </c>
      <c r="G6834" s="6" t="str">
        <f t="shared" si="531"/>
        <v>14-01</v>
      </c>
      <c r="H6834" s="1">
        <f>_xlfn.IFNA(VLOOKUP(E6834,'Urban Plastix Holds'!$I$36:$U$498,6,0),0)</f>
        <v>0</v>
      </c>
      <c r="J6834" s="2">
        <f t="shared" si="534"/>
        <v>0</v>
      </c>
      <c r="K6834" s="2">
        <f t="shared" si="535"/>
        <v>0</v>
      </c>
    </row>
    <row r="6835" spans="5:11">
      <c r="E6835" s="3" t="s">
        <v>3003</v>
      </c>
      <c r="F6835" s="3" t="s">
        <v>3004</v>
      </c>
      <c r="G6835" s="7" t="str">
        <f t="shared" si="531"/>
        <v>15-12</v>
      </c>
      <c r="H6835" s="1">
        <f>_xlfn.IFNA(VLOOKUP(E6835,'Urban Plastix Holds'!$I$36:$U$498,7,0),0)</f>
        <v>0</v>
      </c>
      <c r="J6835" s="2">
        <f t="shared" si="534"/>
        <v>0</v>
      </c>
      <c r="K6835" s="2">
        <f t="shared" si="535"/>
        <v>0</v>
      </c>
    </row>
    <row r="6836" spans="5:11">
      <c r="E6836" s="3" t="s">
        <v>3003</v>
      </c>
      <c r="F6836" s="3" t="s">
        <v>3004</v>
      </c>
      <c r="G6836" s="8" t="str">
        <f t="shared" si="531"/>
        <v>16-16</v>
      </c>
      <c r="H6836" s="1">
        <f>_xlfn.IFNA(VLOOKUP(E6836,'Urban Plastix Holds'!$I$36:$U$498,8,0),0)</f>
        <v>0</v>
      </c>
      <c r="J6836" s="2">
        <f t="shared" si="534"/>
        <v>0</v>
      </c>
      <c r="K6836" s="2">
        <f t="shared" si="535"/>
        <v>0</v>
      </c>
    </row>
    <row r="6837" spans="5:11">
      <c r="E6837" s="3" t="s">
        <v>3003</v>
      </c>
      <c r="F6837" s="3" t="s">
        <v>3004</v>
      </c>
      <c r="G6837" s="9" t="str">
        <f t="shared" si="531"/>
        <v>13-01</v>
      </c>
      <c r="H6837" s="1">
        <f>_xlfn.IFNA(VLOOKUP(E6837,'Urban Plastix Holds'!$I$36:$U$498,9,0),0)</f>
        <v>0</v>
      </c>
      <c r="J6837" s="2">
        <f t="shared" si="534"/>
        <v>0</v>
      </c>
      <c r="K6837" s="2">
        <f t="shared" si="535"/>
        <v>0</v>
      </c>
    </row>
    <row r="6838" spans="5:11">
      <c r="E6838" s="3" t="s">
        <v>3003</v>
      </c>
      <c r="F6838" s="3" t="s">
        <v>3004</v>
      </c>
      <c r="G6838" s="10" t="str">
        <f t="shared" si="531"/>
        <v>07-13</v>
      </c>
      <c r="H6838" s="1">
        <f>_xlfn.IFNA(VLOOKUP(E6838,'Urban Plastix Holds'!$I$36:$U$498,10,0),0)</f>
        <v>0</v>
      </c>
      <c r="J6838" s="2">
        <f t="shared" si="534"/>
        <v>0</v>
      </c>
      <c r="K6838" s="2">
        <f t="shared" si="535"/>
        <v>0</v>
      </c>
    </row>
    <row r="6839" spans="5:11">
      <c r="E6839" s="3" t="s">
        <v>3003</v>
      </c>
      <c r="F6839" s="3" t="s">
        <v>3004</v>
      </c>
      <c r="G6839" s="11" t="str">
        <f t="shared" si="531"/>
        <v>11-25</v>
      </c>
      <c r="H6839" s="1">
        <f>_xlfn.IFNA(VLOOKUP(E6839,'Urban Plastix Holds'!$I$36:$U$498,11,0),0)</f>
        <v>0</v>
      </c>
      <c r="J6839" s="2">
        <f t="shared" si="534"/>
        <v>0</v>
      </c>
      <c r="K6839" s="2">
        <f t="shared" si="535"/>
        <v>0</v>
      </c>
    </row>
    <row r="6840" spans="5:11">
      <c r="E6840" s="3" t="s">
        <v>3003</v>
      </c>
      <c r="F6840" s="3" t="s">
        <v>3004</v>
      </c>
      <c r="G6840" s="13" t="str">
        <f t="shared" si="531"/>
        <v>18-01</v>
      </c>
      <c r="H6840" s="1">
        <f>_xlfn.IFNA(VLOOKUP(E6840,'Urban Plastix Holds'!$I$36:$U$498,12,0),0)</f>
        <v>0</v>
      </c>
      <c r="J6840" s="2">
        <f t="shared" si="534"/>
        <v>0</v>
      </c>
      <c r="K6840" s="2">
        <f t="shared" si="535"/>
        <v>0</v>
      </c>
    </row>
    <row r="6841" spans="5:11">
      <c r="E6841" s="3" t="s">
        <v>3003</v>
      </c>
      <c r="F6841" s="3" t="s">
        <v>3004</v>
      </c>
      <c r="G6841" s="12" t="str">
        <f t="shared" si="531"/>
        <v>12-01</v>
      </c>
      <c r="H6841" s="1">
        <f>_xlfn.IFNA(VLOOKUP(E6841,'Urban Plastix Holds'!$I$36:$U$498,13,0),0)</f>
        <v>0</v>
      </c>
      <c r="J6841" s="2">
        <f t="shared" si="534"/>
        <v>0</v>
      </c>
      <c r="K6841" s="2">
        <f t="shared" si="535"/>
        <v>0</v>
      </c>
    </row>
    <row r="6842" spans="5:11">
      <c r="E6842" s="3" t="s">
        <v>3005</v>
      </c>
      <c r="F6842" s="3" t="s">
        <v>3006</v>
      </c>
      <c r="G6842" s="5" t="str">
        <f t="shared" si="531"/>
        <v>11-12</v>
      </c>
      <c r="H6842" s="1">
        <f>_xlfn.IFNA(VLOOKUP(E6842,'Urban Plastix Holds'!$I$36:$U$498,5,0),0)</f>
        <v>0</v>
      </c>
      <c r="J6842" s="2">
        <f t="shared" si="534"/>
        <v>0</v>
      </c>
      <c r="K6842" s="2">
        <f t="shared" si="535"/>
        <v>0</v>
      </c>
    </row>
    <row r="6843" spans="5:11">
      <c r="E6843" s="3" t="s">
        <v>3005</v>
      </c>
      <c r="F6843" s="3" t="s">
        <v>3006</v>
      </c>
      <c r="G6843" s="6" t="str">
        <f t="shared" si="531"/>
        <v>14-01</v>
      </c>
      <c r="H6843" s="1">
        <f>_xlfn.IFNA(VLOOKUP(E6843,'Urban Plastix Holds'!$I$36:$U$498,6,0),0)</f>
        <v>0</v>
      </c>
      <c r="J6843" s="2">
        <f t="shared" si="534"/>
        <v>0</v>
      </c>
      <c r="K6843" s="2">
        <f t="shared" si="535"/>
        <v>0</v>
      </c>
    </row>
    <row r="6844" spans="5:11">
      <c r="E6844" s="3" t="s">
        <v>3005</v>
      </c>
      <c r="F6844" s="3" t="s">
        <v>3006</v>
      </c>
      <c r="G6844" s="7" t="str">
        <f t="shared" si="531"/>
        <v>15-12</v>
      </c>
      <c r="H6844" s="1">
        <f>_xlfn.IFNA(VLOOKUP(E6844,'Urban Plastix Holds'!$I$36:$U$498,7,0),0)</f>
        <v>0</v>
      </c>
      <c r="J6844" s="2">
        <f t="shared" si="534"/>
        <v>0</v>
      </c>
      <c r="K6844" s="2">
        <f t="shared" si="535"/>
        <v>0</v>
      </c>
    </row>
    <row r="6845" spans="5:11">
      <c r="E6845" s="3" t="s">
        <v>3005</v>
      </c>
      <c r="F6845" s="3" t="s">
        <v>3006</v>
      </c>
      <c r="G6845" s="8" t="str">
        <f t="shared" si="531"/>
        <v>16-16</v>
      </c>
      <c r="H6845" s="1">
        <f>_xlfn.IFNA(VLOOKUP(E6845,'Urban Plastix Holds'!$I$36:$U$498,8,0),0)</f>
        <v>0</v>
      </c>
      <c r="J6845" s="2">
        <f t="shared" si="534"/>
        <v>0</v>
      </c>
      <c r="K6845" s="2">
        <f t="shared" si="535"/>
        <v>0</v>
      </c>
    </row>
    <row r="6846" spans="5:11">
      <c r="E6846" s="3" t="s">
        <v>3005</v>
      </c>
      <c r="F6846" s="3" t="s">
        <v>3006</v>
      </c>
      <c r="G6846" s="9" t="str">
        <f t="shared" si="531"/>
        <v>13-01</v>
      </c>
      <c r="H6846" s="1">
        <f>_xlfn.IFNA(VLOOKUP(E6846,'Urban Plastix Holds'!$I$36:$U$498,9,0),0)</f>
        <v>0</v>
      </c>
      <c r="J6846" s="2">
        <f t="shared" si="534"/>
        <v>0</v>
      </c>
      <c r="K6846" s="2">
        <f t="shared" si="535"/>
        <v>0</v>
      </c>
    </row>
    <row r="6847" spans="5:11">
      <c r="E6847" s="3" t="s">
        <v>3005</v>
      </c>
      <c r="F6847" s="3" t="s">
        <v>3006</v>
      </c>
      <c r="G6847" s="10" t="str">
        <f t="shared" si="531"/>
        <v>07-13</v>
      </c>
      <c r="H6847" s="1">
        <f>_xlfn.IFNA(VLOOKUP(E6847,'Urban Plastix Holds'!$I$36:$U$498,10,0),0)</f>
        <v>0</v>
      </c>
      <c r="J6847" s="2">
        <f t="shared" si="534"/>
        <v>0</v>
      </c>
      <c r="K6847" s="2">
        <f t="shared" si="535"/>
        <v>0</v>
      </c>
    </row>
    <row r="6848" spans="5:11">
      <c r="E6848" s="3" t="s">
        <v>3005</v>
      </c>
      <c r="F6848" s="3" t="s">
        <v>3006</v>
      </c>
      <c r="G6848" s="11" t="str">
        <f t="shared" si="531"/>
        <v>11-25</v>
      </c>
      <c r="H6848" s="1">
        <f>_xlfn.IFNA(VLOOKUP(E6848,'Urban Plastix Holds'!$I$36:$U$498,11,0),0)</f>
        <v>0</v>
      </c>
      <c r="J6848" s="2">
        <f t="shared" si="534"/>
        <v>0</v>
      </c>
      <c r="K6848" s="2">
        <f t="shared" si="535"/>
        <v>0</v>
      </c>
    </row>
    <row r="6849" spans="5:11">
      <c r="E6849" s="3" t="s">
        <v>3005</v>
      </c>
      <c r="F6849" s="3" t="s">
        <v>3006</v>
      </c>
      <c r="G6849" s="13" t="str">
        <f t="shared" si="531"/>
        <v>18-01</v>
      </c>
      <c r="H6849" s="1">
        <f>_xlfn.IFNA(VLOOKUP(E6849,'Urban Plastix Holds'!$I$36:$U$498,12,0),0)</f>
        <v>0</v>
      </c>
      <c r="J6849" s="2">
        <f t="shared" si="534"/>
        <v>0</v>
      </c>
      <c r="K6849" s="2">
        <f t="shared" si="535"/>
        <v>0</v>
      </c>
    </row>
    <row r="6850" spans="5:11">
      <c r="E6850" s="3" t="s">
        <v>3005</v>
      </c>
      <c r="F6850" s="3" t="s">
        <v>3006</v>
      </c>
      <c r="G6850" s="12" t="str">
        <f t="shared" si="531"/>
        <v>12-01</v>
      </c>
      <c r="H6850" s="1">
        <f>_xlfn.IFNA(VLOOKUP(E6850,'Urban Plastix Holds'!$I$36:$U$498,13,0),0)</f>
        <v>0</v>
      </c>
      <c r="J6850" s="2">
        <f t="shared" si="534"/>
        <v>0</v>
      </c>
      <c r="K6850" s="2">
        <f t="shared" si="535"/>
        <v>0</v>
      </c>
    </row>
    <row r="6851" spans="5:11">
      <c r="E6851" s="3" t="s">
        <v>3007</v>
      </c>
      <c r="F6851" s="3" t="s">
        <v>3008</v>
      </c>
      <c r="G6851" s="5" t="str">
        <f t="shared" si="531"/>
        <v>11-12</v>
      </c>
      <c r="H6851" s="1">
        <f>_xlfn.IFNA(VLOOKUP(E6851,'Urban Plastix Holds'!$I$36:$U$498,5,0),0)</f>
        <v>0</v>
      </c>
      <c r="J6851" s="2">
        <f t="shared" si="534"/>
        <v>0</v>
      </c>
      <c r="K6851" s="2">
        <f t="shared" si="535"/>
        <v>0</v>
      </c>
    </row>
    <row r="6852" spans="5:11">
      <c r="E6852" s="3" t="s">
        <v>3007</v>
      </c>
      <c r="F6852" s="3" t="s">
        <v>3008</v>
      </c>
      <c r="G6852" s="6" t="str">
        <f t="shared" si="531"/>
        <v>14-01</v>
      </c>
      <c r="H6852" s="1">
        <f>_xlfn.IFNA(VLOOKUP(E6852,'Urban Plastix Holds'!$I$36:$U$498,6,0),0)</f>
        <v>0</v>
      </c>
      <c r="J6852" s="2">
        <f t="shared" si="534"/>
        <v>0</v>
      </c>
      <c r="K6852" s="2">
        <f t="shared" si="535"/>
        <v>0</v>
      </c>
    </row>
    <row r="6853" spans="5:11">
      <c r="E6853" s="3" t="s">
        <v>3007</v>
      </c>
      <c r="F6853" s="3" t="s">
        <v>3008</v>
      </c>
      <c r="G6853" s="7" t="str">
        <f t="shared" si="531"/>
        <v>15-12</v>
      </c>
      <c r="H6853" s="1">
        <f>_xlfn.IFNA(VLOOKUP(E6853,'Urban Plastix Holds'!$I$36:$U$498,7,0),0)</f>
        <v>0</v>
      </c>
      <c r="J6853" s="2">
        <f t="shared" si="534"/>
        <v>0</v>
      </c>
      <c r="K6853" s="2">
        <f t="shared" si="535"/>
        <v>0</v>
      </c>
    </row>
    <row r="6854" spans="5:11">
      <c r="E6854" s="3" t="s">
        <v>3007</v>
      </c>
      <c r="F6854" s="3" t="s">
        <v>3008</v>
      </c>
      <c r="G6854" s="8" t="str">
        <f t="shared" si="531"/>
        <v>16-16</v>
      </c>
      <c r="H6854" s="1">
        <f>_xlfn.IFNA(VLOOKUP(E6854,'Urban Plastix Holds'!$I$36:$U$498,8,0),0)</f>
        <v>0</v>
      </c>
      <c r="J6854" s="2">
        <f t="shared" si="534"/>
        <v>0</v>
      </c>
      <c r="K6854" s="2">
        <f t="shared" si="535"/>
        <v>0</v>
      </c>
    </row>
    <row r="6855" spans="5:11">
      <c r="E6855" s="3" t="s">
        <v>3007</v>
      </c>
      <c r="F6855" s="3" t="s">
        <v>3008</v>
      </c>
      <c r="G6855" s="9" t="str">
        <f t="shared" si="531"/>
        <v>13-01</v>
      </c>
      <c r="H6855" s="1">
        <f>_xlfn.IFNA(VLOOKUP(E6855,'Urban Plastix Holds'!$I$36:$U$498,9,0),0)</f>
        <v>0</v>
      </c>
      <c r="J6855" s="2">
        <f t="shared" si="534"/>
        <v>0</v>
      </c>
      <c r="K6855" s="2">
        <f t="shared" si="535"/>
        <v>0</v>
      </c>
    </row>
    <row r="6856" spans="5:11">
      <c r="E6856" s="3" t="s">
        <v>3007</v>
      </c>
      <c r="F6856" s="3" t="s">
        <v>3008</v>
      </c>
      <c r="G6856" s="10" t="str">
        <f t="shared" si="531"/>
        <v>07-13</v>
      </c>
      <c r="H6856" s="1">
        <f>_xlfn.IFNA(VLOOKUP(E6856,'Urban Plastix Holds'!$I$36:$U$498,10,0),0)</f>
        <v>0</v>
      </c>
      <c r="J6856" s="2">
        <f t="shared" si="534"/>
        <v>0</v>
      </c>
      <c r="K6856" s="2">
        <f t="shared" si="535"/>
        <v>0</v>
      </c>
    </row>
    <row r="6857" spans="5:11">
      <c r="E6857" s="3" t="s">
        <v>3007</v>
      </c>
      <c r="F6857" s="3" t="s">
        <v>3008</v>
      </c>
      <c r="G6857" s="11" t="str">
        <f t="shared" si="531"/>
        <v>11-25</v>
      </c>
      <c r="H6857" s="1">
        <f>_xlfn.IFNA(VLOOKUP(E6857,'Urban Plastix Holds'!$I$36:$U$498,11,0),0)</f>
        <v>0</v>
      </c>
      <c r="J6857" s="2">
        <f t="shared" si="534"/>
        <v>0</v>
      </c>
      <c r="K6857" s="2">
        <f t="shared" si="535"/>
        <v>0</v>
      </c>
    </row>
    <row r="6858" spans="5:11">
      <c r="E6858" s="3" t="s">
        <v>3007</v>
      </c>
      <c r="F6858" s="3" t="s">
        <v>3008</v>
      </c>
      <c r="G6858" s="13" t="str">
        <f t="shared" si="531"/>
        <v>18-01</v>
      </c>
      <c r="H6858" s="1">
        <f>_xlfn.IFNA(VLOOKUP(E6858,'Urban Plastix Holds'!$I$36:$U$498,12,0),0)</f>
        <v>0</v>
      </c>
      <c r="J6858" s="2">
        <f t="shared" si="534"/>
        <v>0</v>
      </c>
      <c r="K6858" s="2">
        <f t="shared" si="535"/>
        <v>0</v>
      </c>
    </row>
    <row r="6859" spans="5:11">
      <c r="E6859" s="3" t="s">
        <v>3007</v>
      </c>
      <c r="F6859" s="3" t="s">
        <v>3008</v>
      </c>
      <c r="G6859" s="12" t="str">
        <f t="shared" si="531"/>
        <v>12-01</v>
      </c>
      <c r="H6859" s="1">
        <f>_xlfn.IFNA(VLOOKUP(E6859,'Urban Plastix Holds'!$I$36:$U$498,13,0),0)</f>
        <v>0</v>
      </c>
      <c r="J6859" s="2">
        <f t="shared" si="534"/>
        <v>0</v>
      </c>
      <c r="K6859" s="2">
        <f t="shared" si="535"/>
        <v>0</v>
      </c>
    </row>
    <row r="6860" spans="5:11">
      <c r="E6860" s="3" t="s">
        <v>3009</v>
      </c>
      <c r="F6860" s="3" t="s">
        <v>3010</v>
      </c>
      <c r="G6860" s="5" t="str">
        <f t="shared" si="531"/>
        <v>11-12</v>
      </c>
      <c r="H6860" s="1">
        <f>_xlfn.IFNA(VLOOKUP(E6860,'Urban Plastix Holds'!$I$36:$U$498,5,0),0)</f>
        <v>0</v>
      </c>
      <c r="J6860" s="2">
        <f t="shared" si="534"/>
        <v>0</v>
      </c>
      <c r="K6860" s="2">
        <f t="shared" si="535"/>
        <v>0</v>
      </c>
    </row>
    <row r="6861" spans="5:11">
      <c r="E6861" s="3" t="s">
        <v>3009</v>
      </c>
      <c r="F6861" s="3" t="s">
        <v>3010</v>
      </c>
      <c r="G6861" s="6" t="str">
        <f t="shared" ref="G6861:G6924" si="536">G6798</f>
        <v>14-01</v>
      </c>
      <c r="H6861" s="1">
        <f>_xlfn.IFNA(VLOOKUP(E6861,'Urban Plastix Holds'!$I$36:$U$498,6,0),0)</f>
        <v>0</v>
      </c>
      <c r="J6861" s="2">
        <f t="shared" si="534"/>
        <v>0</v>
      </c>
      <c r="K6861" s="2">
        <f t="shared" si="535"/>
        <v>0</v>
      </c>
    </row>
    <row r="6862" spans="5:11">
      <c r="E6862" s="3" t="s">
        <v>3009</v>
      </c>
      <c r="F6862" s="3" t="s">
        <v>3010</v>
      </c>
      <c r="G6862" s="7" t="str">
        <f t="shared" si="536"/>
        <v>15-12</v>
      </c>
      <c r="H6862" s="1">
        <f>_xlfn.IFNA(VLOOKUP(E6862,'Urban Plastix Holds'!$I$36:$U$498,7,0),0)</f>
        <v>0</v>
      </c>
      <c r="J6862" s="2">
        <f t="shared" si="534"/>
        <v>0</v>
      </c>
      <c r="K6862" s="2">
        <f t="shared" si="535"/>
        <v>0</v>
      </c>
    </row>
    <row r="6863" spans="5:11">
      <c r="E6863" s="3" t="s">
        <v>3009</v>
      </c>
      <c r="F6863" s="3" t="s">
        <v>3010</v>
      </c>
      <c r="G6863" s="8" t="str">
        <f t="shared" si="536"/>
        <v>16-16</v>
      </c>
      <c r="H6863" s="1">
        <f>_xlfn.IFNA(VLOOKUP(E6863,'Urban Plastix Holds'!$I$36:$U$498,8,0),0)</f>
        <v>0</v>
      </c>
      <c r="J6863" s="2">
        <f t="shared" si="534"/>
        <v>0</v>
      </c>
      <c r="K6863" s="2">
        <f t="shared" si="535"/>
        <v>0</v>
      </c>
    </row>
    <row r="6864" spans="5:11">
      <c r="E6864" s="3" t="s">
        <v>3009</v>
      </c>
      <c r="F6864" s="3" t="s">
        <v>3010</v>
      </c>
      <c r="G6864" s="9" t="str">
        <f t="shared" si="536"/>
        <v>13-01</v>
      </c>
      <c r="H6864" s="1">
        <f>_xlfn.IFNA(VLOOKUP(E6864,'Urban Plastix Holds'!$I$36:$U$498,9,0),0)</f>
        <v>0</v>
      </c>
      <c r="J6864" s="2">
        <f t="shared" si="534"/>
        <v>0</v>
      </c>
      <c r="K6864" s="2">
        <f t="shared" si="535"/>
        <v>0</v>
      </c>
    </row>
    <row r="6865" spans="5:11">
      <c r="E6865" s="3" t="s">
        <v>3009</v>
      </c>
      <c r="F6865" s="3" t="s">
        <v>3010</v>
      </c>
      <c r="G6865" s="10" t="str">
        <f t="shared" si="536"/>
        <v>07-13</v>
      </c>
      <c r="H6865" s="1">
        <f>_xlfn.IFNA(VLOOKUP(E6865,'Urban Plastix Holds'!$I$36:$U$498,10,0),0)</f>
        <v>0</v>
      </c>
      <c r="J6865" s="2">
        <f t="shared" si="534"/>
        <v>0</v>
      </c>
      <c r="K6865" s="2">
        <f t="shared" si="535"/>
        <v>0</v>
      </c>
    </row>
    <row r="6866" spans="5:11">
      <c r="E6866" s="3" t="s">
        <v>3009</v>
      </c>
      <c r="F6866" s="3" t="s">
        <v>3010</v>
      </c>
      <c r="G6866" s="11" t="str">
        <f t="shared" si="536"/>
        <v>11-25</v>
      </c>
      <c r="H6866" s="1">
        <f>_xlfn.IFNA(VLOOKUP(E6866,'Urban Plastix Holds'!$I$36:$U$498,11,0),0)</f>
        <v>0</v>
      </c>
      <c r="J6866" s="2">
        <f t="shared" si="534"/>
        <v>0</v>
      </c>
      <c r="K6866" s="2">
        <f t="shared" si="535"/>
        <v>0</v>
      </c>
    </row>
    <row r="6867" spans="5:11">
      <c r="E6867" s="3" t="s">
        <v>3009</v>
      </c>
      <c r="F6867" s="3" t="s">
        <v>3010</v>
      </c>
      <c r="G6867" s="13" t="str">
        <f t="shared" si="536"/>
        <v>18-01</v>
      </c>
      <c r="H6867" s="1">
        <f>_xlfn.IFNA(VLOOKUP(E6867,'Urban Plastix Holds'!$I$36:$U$498,12,0),0)</f>
        <v>0</v>
      </c>
      <c r="J6867" s="2">
        <f t="shared" si="534"/>
        <v>0</v>
      </c>
      <c r="K6867" s="2">
        <f t="shared" si="535"/>
        <v>0</v>
      </c>
    </row>
    <row r="6868" spans="5:11">
      <c r="E6868" s="3" t="s">
        <v>3009</v>
      </c>
      <c r="F6868" s="3" t="s">
        <v>3010</v>
      </c>
      <c r="G6868" s="12" t="str">
        <f t="shared" si="536"/>
        <v>12-01</v>
      </c>
      <c r="H6868" s="1">
        <f>_xlfn.IFNA(VLOOKUP(E6868,'Urban Plastix Holds'!$I$36:$U$498,13,0),0)</f>
        <v>0</v>
      </c>
      <c r="J6868" s="2">
        <f t="shared" si="534"/>
        <v>0</v>
      </c>
      <c r="K6868" s="2">
        <f t="shared" si="535"/>
        <v>0</v>
      </c>
    </row>
    <row r="6869" spans="5:11">
      <c r="E6869" s="3" t="s">
        <v>3011</v>
      </c>
      <c r="F6869" s="3" t="s">
        <v>3012</v>
      </c>
      <c r="G6869" s="5" t="str">
        <f t="shared" si="536"/>
        <v>11-12</v>
      </c>
      <c r="H6869" s="1">
        <f>_xlfn.IFNA(VLOOKUP(E6869,'Urban Plastix Holds'!$I$36:$U$498,5,0),0)</f>
        <v>0</v>
      </c>
      <c r="J6869" s="2">
        <f t="shared" si="534"/>
        <v>0</v>
      </c>
      <c r="K6869" s="2">
        <f t="shared" si="535"/>
        <v>0</v>
      </c>
    </row>
    <row r="6870" spans="5:11">
      <c r="E6870" s="3" t="s">
        <v>3011</v>
      </c>
      <c r="F6870" s="3" t="s">
        <v>3012</v>
      </c>
      <c r="G6870" s="6" t="str">
        <f t="shared" si="536"/>
        <v>14-01</v>
      </c>
      <c r="H6870" s="1">
        <f>_xlfn.IFNA(VLOOKUP(E6870,'Urban Plastix Holds'!$I$36:$U$498,6,0),0)</f>
        <v>0</v>
      </c>
      <c r="J6870" s="2">
        <f t="shared" si="534"/>
        <v>0</v>
      </c>
      <c r="K6870" s="2">
        <f t="shared" si="535"/>
        <v>0</v>
      </c>
    </row>
    <row r="6871" spans="5:11">
      <c r="E6871" s="3" t="s">
        <v>3011</v>
      </c>
      <c r="F6871" s="3" t="s">
        <v>3012</v>
      </c>
      <c r="G6871" s="7" t="str">
        <f t="shared" si="536"/>
        <v>15-12</v>
      </c>
      <c r="H6871" s="1">
        <f>_xlfn.IFNA(VLOOKUP(E6871,'Urban Plastix Holds'!$I$36:$U$498,7,0),0)</f>
        <v>0</v>
      </c>
      <c r="J6871" s="2">
        <f t="shared" si="534"/>
        <v>0</v>
      </c>
      <c r="K6871" s="2">
        <f t="shared" si="535"/>
        <v>0</v>
      </c>
    </row>
    <row r="6872" spans="5:11">
      <c r="E6872" s="3" t="s">
        <v>3011</v>
      </c>
      <c r="F6872" s="3" t="s">
        <v>3012</v>
      </c>
      <c r="G6872" s="8" t="str">
        <f t="shared" si="536"/>
        <v>16-16</v>
      </c>
      <c r="H6872" s="1">
        <f>_xlfn.IFNA(VLOOKUP(E6872,'Urban Plastix Holds'!$I$36:$U$498,8,0),0)</f>
        <v>0</v>
      </c>
      <c r="J6872" s="2">
        <f t="shared" si="534"/>
        <v>0</v>
      </c>
      <c r="K6872" s="2">
        <f t="shared" si="535"/>
        <v>0</v>
      </c>
    </row>
    <row r="6873" spans="5:11">
      <c r="E6873" s="3" t="s">
        <v>3011</v>
      </c>
      <c r="F6873" s="3" t="s">
        <v>3012</v>
      </c>
      <c r="G6873" s="9" t="str">
        <f t="shared" si="536"/>
        <v>13-01</v>
      </c>
      <c r="H6873" s="1">
        <f>_xlfn.IFNA(VLOOKUP(E6873,'Urban Plastix Holds'!$I$36:$U$498,9,0),0)</f>
        <v>0</v>
      </c>
      <c r="J6873" s="2">
        <f t="shared" si="534"/>
        <v>0</v>
      </c>
      <c r="K6873" s="2">
        <f t="shared" si="535"/>
        <v>0</v>
      </c>
    </row>
    <row r="6874" spans="5:11">
      <c r="E6874" s="3" t="s">
        <v>3011</v>
      </c>
      <c r="F6874" s="3" t="s">
        <v>3012</v>
      </c>
      <c r="G6874" s="10" t="str">
        <f t="shared" si="536"/>
        <v>07-13</v>
      </c>
      <c r="H6874" s="1">
        <f>_xlfn.IFNA(VLOOKUP(E6874,'Urban Plastix Holds'!$I$36:$U$498,10,0),0)</f>
        <v>0</v>
      </c>
      <c r="J6874" s="2">
        <f t="shared" si="534"/>
        <v>0</v>
      </c>
      <c r="K6874" s="2">
        <f t="shared" si="535"/>
        <v>0</v>
      </c>
    </row>
    <row r="6875" spans="5:11">
      <c r="E6875" s="3" t="s">
        <v>3011</v>
      </c>
      <c r="F6875" s="3" t="s">
        <v>3012</v>
      </c>
      <c r="G6875" s="11" t="str">
        <f t="shared" si="536"/>
        <v>11-25</v>
      </c>
      <c r="H6875" s="1">
        <f>_xlfn.IFNA(VLOOKUP(E6875,'Urban Plastix Holds'!$I$36:$U$498,11,0),0)</f>
        <v>0</v>
      </c>
      <c r="J6875" s="2">
        <f t="shared" si="534"/>
        <v>0</v>
      </c>
      <c r="K6875" s="2">
        <f t="shared" si="535"/>
        <v>0</v>
      </c>
    </row>
    <row r="6876" spans="5:11">
      <c r="E6876" s="3" t="s">
        <v>3011</v>
      </c>
      <c r="F6876" s="3" t="s">
        <v>3012</v>
      </c>
      <c r="G6876" s="13" t="str">
        <f t="shared" si="536"/>
        <v>18-01</v>
      </c>
      <c r="H6876" s="1">
        <f>_xlfn.IFNA(VLOOKUP(E6876,'Urban Plastix Holds'!$I$36:$U$498,12,0),0)</f>
        <v>0</v>
      </c>
      <c r="J6876" s="2">
        <f t="shared" si="534"/>
        <v>0</v>
      </c>
      <c r="K6876" s="2">
        <f t="shared" si="535"/>
        <v>0</v>
      </c>
    </row>
    <row r="6877" spans="5:11">
      <c r="E6877" s="3" t="s">
        <v>3011</v>
      </c>
      <c r="F6877" s="3" t="s">
        <v>3012</v>
      </c>
      <c r="G6877" s="12" t="str">
        <f t="shared" si="536"/>
        <v>12-01</v>
      </c>
      <c r="H6877" s="1">
        <f>_xlfn.IFNA(VLOOKUP(E6877,'Urban Plastix Holds'!$I$36:$U$498,13,0),0)</f>
        <v>0</v>
      </c>
      <c r="J6877" s="2">
        <f t="shared" si="534"/>
        <v>0</v>
      </c>
      <c r="K6877" s="2">
        <f t="shared" si="535"/>
        <v>0</v>
      </c>
    </row>
    <row r="6878" spans="5:11">
      <c r="E6878" s="3" t="s">
        <v>3013</v>
      </c>
      <c r="F6878" s="3" t="s">
        <v>3014</v>
      </c>
      <c r="G6878" s="5" t="str">
        <f t="shared" si="536"/>
        <v>11-12</v>
      </c>
      <c r="H6878" s="1">
        <f>_xlfn.IFNA(VLOOKUP(E6878,'Urban Plastix Holds'!$I$36:$U$498,5,0),0)</f>
        <v>0</v>
      </c>
      <c r="J6878" s="2">
        <f t="shared" si="534"/>
        <v>0</v>
      </c>
      <c r="K6878" s="2">
        <f t="shared" si="535"/>
        <v>0</v>
      </c>
    </row>
    <row r="6879" spans="5:11">
      <c r="E6879" s="3" t="s">
        <v>3013</v>
      </c>
      <c r="F6879" s="3" t="s">
        <v>3014</v>
      </c>
      <c r="G6879" s="6" t="str">
        <f t="shared" si="536"/>
        <v>14-01</v>
      </c>
      <c r="H6879" s="1">
        <f>_xlfn.IFNA(VLOOKUP(E6879,'Urban Plastix Holds'!$I$36:$U$498,6,0),0)</f>
        <v>0</v>
      </c>
      <c r="J6879" s="2">
        <f t="shared" si="534"/>
        <v>0</v>
      </c>
      <c r="K6879" s="2">
        <f t="shared" si="535"/>
        <v>0</v>
      </c>
    </row>
    <row r="6880" spans="5:11">
      <c r="E6880" s="3" t="s">
        <v>3013</v>
      </c>
      <c r="F6880" s="3" t="s">
        <v>3014</v>
      </c>
      <c r="G6880" s="7" t="str">
        <f t="shared" si="536"/>
        <v>15-12</v>
      </c>
      <c r="H6880" s="1">
        <f>_xlfn.IFNA(VLOOKUP(E6880,'Urban Plastix Holds'!$I$36:$U$498,7,0),0)</f>
        <v>0</v>
      </c>
      <c r="J6880" s="2">
        <f t="shared" si="534"/>
        <v>0</v>
      </c>
      <c r="K6880" s="2">
        <f t="shared" si="535"/>
        <v>0</v>
      </c>
    </row>
    <row r="6881" spans="5:11">
      <c r="E6881" s="3" t="s">
        <v>3013</v>
      </c>
      <c r="F6881" s="3" t="s">
        <v>3014</v>
      </c>
      <c r="G6881" s="8" t="str">
        <f t="shared" si="536"/>
        <v>16-16</v>
      </c>
      <c r="H6881" s="1">
        <f>_xlfn.IFNA(VLOOKUP(E6881,'Urban Plastix Holds'!$I$36:$U$498,8,0),0)</f>
        <v>0</v>
      </c>
      <c r="J6881" s="2">
        <f t="shared" si="534"/>
        <v>0</v>
      </c>
      <c r="K6881" s="2">
        <f t="shared" si="535"/>
        <v>0</v>
      </c>
    </row>
    <row r="6882" spans="5:11">
      <c r="E6882" s="3" t="s">
        <v>3013</v>
      </c>
      <c r="F6882" s="3" t="s">
        <v>3014</v>
      </c>
      <c r="G6882" s="9" t="str">
        <f t="shared" si="536"/>
        <v>13-01</v>
      </c>
      <c r="H6882" s="1">
        <f>_xlfn.IFNA(VLOOKUP(E6882,'Urban Plastix Holds'!$I$36:$U$498,9,0),0)</f>
        <v>0</v>
      </c>
      <c r="J6882" s="2">
        <f t="shared" si="534"/>
        <v>0</v>
      </c>
      <c r="K6882" s="2">
        <f t="shared" si="535"/>
        <v>0</v>
      </c>
    </row>
    <row r="6883" spans="5:11">
      <c r="E6883" s="3" t="s">
        <v>3013</v>
      </c>
      <c r="F6883" s="3" t="s">
        <v>3014</v>
      </c>
      <c r="G6883" s="10" t="str">
        <f t="shared" si="536"/>
        <v>07-13</v>
      </c>
      <c r="H6883" s="1">
        <f>_xlfn.IFNA(VLOOKUP(E6883,'Urban Plastix Holds'!$I$36:$U$498,10,0),0)</f>
        <v>0</v>
      </c>
      <c r="J6883" s="2">
        <f t="shared" si="534"/>
        <v>0</v>
      </c>
      <c r="K6883" s="2">
        <f t="shared" si="535"/>
        <v>0</v>
      </c>
    </row>
    <row r="6884" spans="5:11">
      <c r="E6884" s="3" t="s">
        <v>3013</v>
      </c>
      <c r="F6884" s="3" t="s">
        <v>3014</v>
      </c>
      <c r="G6884" s="11" t="str">
        <f t="shared" si="536"/>
        <v>11-25</v>
      </c>
      <c r="H6884" s="1">
        <f>_xlfn.IFNA(VLOOKUP(E6884,'Urban Plastix Holds'!$I$36:$U$498,11,0),0)</f>
        <v>0</v>
      </c>
      <c r="J6884" s="2">
        <f t="shared" si="534"/>
        <v>0</v>
      </c>
      <c r="K6884" s="2">
        <f t="shared" si="535"/>
        <v>0</v>
      </c>
    </row>
    <row r="6885" spans="5:11">
      <c r="E6885" s="3" t="s">
        <v>3013</v>
      </c>
      <c r="F6885" s="3" t="s">
        <v>3014</v>
      </c>
      <c r="G6885" s="13" t="str">
        <f t="shared" si="536"/>
        <v>18-01</v>
      </c>
      <c r="H6885" s="1">
        <f>_xlfn.IFNA(VLOOKUP(E6885,'Urban Plastix Holds'!$I$36:$U$498,12,0),0)</f>
        <v>0</v>
      </c>
      <c r="J6885" s="2">
        <f t="shared" si="534"/>
        <v>0</v>
      </c>
      <c r="K6885" s="2">
        <f t="shared" si="535"/>
        <v>0</v>
      </c>
    </row>
    <row r="6886" spans="5:11">
      <c r="E6886" s="3" t="s">
        <v>3013</v>
      </c>
      <c r="F6886" s="3" t="s">
        <v>3014</v>
      </c>
      <c r="G6886" s="12" t="str">
        <f t="shared" si="536"/>
        <v>12-01</v>
      </c>
      <c r="H6886" s="1">
        <f>_xlfn.IFNA(VLOOKUP(E6886,'Urban Plastix Holds'!$I$36:$U$498,13,0),0)</f>
        <v>0</v>
      </c>
      <c r="J6886" s="2">
        <f t="shared" si="534"/>
        <v>0</v>
      </c>
      <c r="K6886" s="2">
        <f t="shared" si="535"/>
        <v>0</v>
      </c>
    </row>
    <row r="6887" spans="5:11">
      <c r="E6887" s="3" t="s">
        <v>3015</v>
      </c>
      <c r="F6887" s="3" t="s">
        <v>3016</v>
      </c>
      <c r="G6887" s="5" t="str">
        <f t="shared" si="536"/>
        <v>11-12</v>
      </c>
      <c r="H6887" s="1">
        <f>_xlfn.IFNA(VLOOKUP(E6887,'Urban Plastix Holds'!$I$36:$U$498,5,0),0)</f>
        <v>0</v>
      </c>
      <c r="J6887" s="2">
        <f t="shared" si="534"/>
        <v>0</v>
      </c>
      <c r="K6887" s="2">
        <f t="shared" si="535"/>
        <v>0</v>
      </c>
    </row>
    <row r="6888" spans="5:11">
      <c r="E6888" s="3" t="s">
        <v>3015</v>
      </c>
      <c r="F6888" s="3" t="s">
        <v>3016</v>
      </c>
      <c r="G6888" s="6" t="str">
        <f t="shared" si="536"/>
        <v>14-01</v>
      </c>
      <c r="H6888" s="1">
        <f>_xlfn.IFNA(VLOOKUP(E6888,'Urban Plastix Holds'!$I$36:$U$498,6,0),0)</f>
        <v>0</v>
      </c>
      <c r="J6888" s="2">
        <f t="shared" si="534"/>
        <v>0</v>
      </c>
      <c r="K6888" s="2">
        <f t="shared" si="535"/>
        <v>0</v>
      </c>
    </row>
    <row r="6889" spans="5:11">
      <c r="E6889" s="3" t="s">
        <v>3015</v>
      </c>
      <c r="F6889" s="3" t="s">
        <v>3016</v>
      </c>
      <c r="G6889" s="7" t="str">
        <f t="shared" si="536"/>
        <v>15-12</v>
      </c>
      <c r="H6889" s="1">
        <f>_xlfn.IFNA(VLOOKUP(E6889,'Urban Plastix Holds'!$I$36:$U$498,7,0),0)</f>
        <v>0</v>
      </c>
      <c r="J6889" s="2">
        <f t="shared" si="534"/>
        <v>0</v>
      </c>
      <c r="K6889" s="2">
        <f t="shared" si="535"/>
        <v>0</v>
      </c>
    </row>
    <row r="6890" spans="5:11">
      <c r="E6890" s="3" t="s">
        <v>3015</v>
      </c>
      <c r="F6890" s="3" t="s">
        <v>3016</v>
      </c>
      <c r="G6890" s="8" t="str">
        <f t="shared" si="536"/>
        <v>16-16</v>
      </c>
      <c r="H6890" s="1">
        <f>_xlfn.IFNA(VLOOKUP(E6890,'Urban Plastix Holds'!$I$36:$U$498,8,0),0)</f>
        <v>0</v>
      </c>
      <c r="J6890" s="2">
        <f t="shared" si="534"/>
        <v>0</v>
      </c>
      <c r="K6890" s="2">
        <f t="shared" si="535"/>
        <v>0</v>
      </c>
    </row>
    <row r="6891" spans="5:11">
      <c r="E6891" s="3" t="s">
        <v>3015</v>
      </c>
      <c r="F6891" s="3" t="s">
        <v>3016</v>
      </c>
      <c r="G6891" s="9" t="str">
        <f t="shared" si="536"/>
        <v>13-01</v>
      </c>
      <c r="H6891" s="1">
        <f>_xlfn.IFNA(VLOOKUP(E6891,'Urban Plastix Holds'!$I$36:$U$498,9,0),0)</f>
        <v>0</v>
      </c>
      <c r="J6891" s="2">
        <f t="shared" si="534"/>
        <v>0</v>
      </c>
      <c r="K6891" s="2">
        <f t="shared" si="535"/>
        <v>0</v>
      </c>
    </row>
    <row r="6892" spans="5:11">
      <c r="E6892" s="3" t="s">
        <v>3015</v>
      </c>
      <c r="F6892" s="3" t="s">
        <v>3016</v>
      </c>
      <c r="G6892" s="10" t="str">
        <f t="shared" si="536"/>
        <v>07-13</v>
      </c>
      <c r="H6892" s="1">
        <f>_xlfn.IFNA(VLOOKUP(E6892,'Urban Plastix Holds'!$I$36:$U$498,10,0),0)</f>
        <v>0</v>
      </c>
      <c r="J6892" s="2">
        <f t="shared" si="534"/>
        <v>0</v>
      </c>
      <c r="K6892" s="2">
        <f t="shared" si="535"/>
        <v>0</v>
      </c>
    </row>
    <row r="6893" spans="5:11">
      <c r="E6893" s="3" t="s">
        <v>3015</v>
      </c>
      <c r="F6893" s="3" t="s">
        <v>3016</v>
      </c>
      <c r="G6893" s="11" t="str">
        <f t="shared" si="536"/>
        <v>11-25</v>
      </c>
      <c r="H6893" s="1">
        <f>_xlfn.IFNA(VLOOKUP(E6893,'Urban Plastix Holds'!$I$36:$U$498,11,0),0)</f>
        <v>0</v>
      </c>
      <c r="J6893" s="2">
        <f t="shared" si="534"/>
        <v>0</v>
      </c>
      <c r="K6893" s="2">
        <f t="shared" si="535"/>
        <v>0</v>
      </c>
    </row>
    <row r="6894" spans="5:11">
      <c r="E6894" s="3" t="s">
        <v>3015</v>
      </c>
      <c r="F6894" s="3" t="s">
        <v>3016</v>
      </c>
      <c r="G6894" s="13" t="str">
        <f t="shared" si="536"/>
        <v>18-01</v>
      </c>
      <c r="H6894" s="1">
        <f>_xlfn.IFNA(VLOOKUP(E6894,'Urban Plastix Holds'!$I$36:$U$498,12,0),0)</f>
        <v>0</v>
      </c>
      <c r="J6894" s="2">
        <f t="shared" si="534"/>
        <v>0</v>
      </c>
      <c r="K6894" s="2">
        <f t="shared" si="535"/>
        <v>0</v>
      </c>
    </row>
    <row r="6895" spans="5:11">
      <c r="E6895" s="3" t="s">
        <v>3015</v>
      </c>
      <c r="F6895" s="3" t="s">
        <v>3016</v>
      </c>
      <c r="G6895" s="12" t="str">
        <f t="shared" si="536"/>
        <v>12-01</v>
      </c>
      <c r="H6895" s="1">
        <f>_xlfn.IFNA(VLOOKUP(E6895,'Urban Plastix Holds'!$I$36:$U$498,13,0),0)</f>
        <v>0</v>
      </c>
      <c r="J6895" s="2">
        <f t="shared" si="534"/>
        <v>0</v>
      </c>
      <c r="K6895" s="2">
        <f t="shared" si="535"/>
        <v>0</v>
      </c>
    </row>
    <row r="6896" spans="5:11">
      <c r="E6896" s="3" t="s">
        <v>3017</v>
      </c>
      <c r="F6896" s="3" t="s">
        <v>3018</v>
      </c>
      <c r="G6896" s="5" t="str">
        <f t="shared" si="536"/>
        <v>11-12</v>
      </c>
      <c r="H6896" s="1">
        <f>_xlfn.IFNA(VLOOKUP(E6896,'Urban Plastix Holds'!$I$36:$U$498,5,0),0)</f>
        <v>0</v>
      </c>
      <c r="J6896" s="2">
        <f t="shared" si="534"/>
        <v>0</v>
      </c>
      <c r="K6896" s="2">
        <f t="shared" si="535"/>
        <v>0</v>
      </c>
    </row>
    <row r="6897" spans="5:11">
      <c r="E6897" s="3" t="s">
        <v>3017</v>
      </c>
      <c r="F6897" s="3" t="s">
        <v>3018</v>
      </c>
      <c r="G6897" s="6" t="str">
        <f t="shared" si="536"/>
        <v>14-01</v>
      </c>
      <c r="H6897" s="1">
        <f>_xlfn.IFNA(VLOOKUP(E6897,'Urban Plastix Holds'!$I$36:$U$498,6,0),0)</f>
        <v>0</v>
      </c>
      <c r="J6897" s="2">
        <f t="shared" ref="J6897:J6913" si="537">H6897*I6897</f>
        <v>0</v>
      </c>
      <c r="K6897" s="2">
        <f t="shared" ref="K6897:K6913" si="538">IF($V$11="Y",J6897*0.05,0)</f>
        <v>0</v>
      </c>
    </row>
    <row r="6898" spans="5:11">
      <c r="E6898" s="3" t="s">
        <v>3017</v>
      </c>
      <c r="F6898" s="3" t="s">
        <v>3018</v>
      </c>
      <c r="G6898" s="7" t="str">
        <f t="shared" si="536"/>
        <v>15-12</v>
      </c>
      <c r="H6898" s="1">
        <f>_xlfn.IFNA(VLOOKUP(E6898,'Urban Plastix Holds'!$I$36:$U$498,7,0),0)</f>
        <v>0</v>
      </c>
      <c r="J6898" s="2">
        <f t="shared" si="537"/>
        <v>0</v>
      </c>
      <c r="K6898" s="2">
        <f t="shared" si="538"/>
        <v>0</v>
      </c>
    </row>
    <row r="6899" spans="5:11">
      <c r="E6899" s="3" t="s">
        <v>3017</v>
      </c>
      <c r="F6899" s="3" t="s">
        <v>3018</v>
      </c>
      <c r="G6899" s="8" t="str">
        <f t="shared" si="536"/>
        <v>16-16</v>
      </c>
      <c r="H6899" s="1">
        <f>_xlfn.IFNA(VLOOKUP(E6899,'Urban Plastix Holds'!$I$36:$U$498,8,0),0)</f>
        <v>0</v>
      </c>
      <c r="J6899" s="2">
        <f t="shared" si="537"/>
        <v>0</v>
      </c>
      <c r="K6899" s="2">
        <f t="shared" si="538"/>
        <v>0</v>
      </c>
    </row>
    <row r="6900" spans="5:11">
      <c r="E6900" s="3" t="s">
        <v>3017</v>
      </c>
      <c r="F6900" s="3" t="s">
        <v>3018</v>
      </c>
      <c r="G6900" s="9" t="str">
        <f t="shared" si="536"/>
        <v>13-01</v>
      </c>
      <c r="H6900" s="1">
        <f>_xlfn.IFNA(VLOOKUP(E6900,'Urban Plastix Holds'!$I$36:$U$498,9,0),0)</f>
        <v>0</v>
      </c>
      <c r="J6900" s="2">
        <f t="shared" si="537"/>
        <v>0</v>
      </c>
      <c r="K6900" s="2">
        <f t="shared" si="538"/>
        <v>0</v>
      </c>
    </row>
    <row r="6901" spans="5:11">
      <c r="E6901" s="3" t="s">
        <v>3017</v>
      </c>
      <c r="F6901" s="3" t="s">
        <v>3018</v>
      </c>
      <c r="G6901" s="10" t="str">
        <f t="shared" si="536"/>
        <v>07-13</v>
      </c>
      <c r="H6901" s="1">
        <f>_xlfn.IFNA(VLOOKUP(E6901,'Urban Plastix Holds'!$I$36:$U$498,10,0),0)</f>
        <v>0</v>
      </c>
      <c r="J6901" s="2">
        <f t="shared" si="537"/>
        <v>0</v>
      </c>
      <c r="K6901" s="2">
        <f t="shared" si="538"/>
        <v>0</v>
      </c>
    </row>
    <row r="6902" spans="5:11">
      <c r="E6902" s="3" t="s">
        <v>3017</v>
      </c>
      <c r="F6902" s="3" t="s">
        <v>3018</v>
      </c>
      <c r="G6902" s="11" t="str">
        <f t="shared" si="536"/>
        <v>11-25</v>
      </c>
      <c r="H6902" s="1">
        <f>_xlfn.IFNA(VLOOKUP(E6902,'Urban Plastix Holds'!$I$36:$U$498,11,0),0)</f>
        <v>0</v>
      </c>
      <c r="J6902" s="2">
        <f t="shared" si="537"/>
        <v>0</v>
      </c>
      <c r="K6902" s="2">
        <f t="shared" si="538"/>
        <v>0</v>
      </c>
    </row>
    <row r="6903" spans="5:11">
      <c r="E6903" s="3" t="s">
        <v>3017</v>
      </c>
      <c r="F6903" s="3" t="s">
        <v>3018</v>
      </c>
      <c r="G6903" s="13" t="str">
        <f t="shared" si="536"/>
        <v>18-01</v>
      </c>
      <c r="H6903" s="1">
        <f>_xlfn.IFNA(VLOOKUP(E6903,'Urban Plastix Holds'!$I$36:$U$498,12,0),0)</f>
        <v>0</v>
      </c>
      <c r="J6903" s="2">
        <f t="shared" si="537"/>
        <v>0</v>
      </c>
      <c r="K6903" s="2">
        <f t="shared" si="538"/>
        <v>0</v>
      </c>
    </row>
    <row r="6904" spans="5:11">
      <c r="E6904" s="3" t="s">
        <v>3017</v>
      </c>
      <c r="F6904" s="3" t="s">
        <v>3018</v>
      </c>
      <c r="G6904" s="12" t="str">
        <f t="shared" si="536"/>
        <v>12-01</v>
      </c>
      <c r="H6904" s="1">
        <f>_xlfn.IFNA(VLOOKUP(E6904,'Urban Plastix Holds'!$I$36:$U$498,13,0),0)</f>
        <v>0</v>
      </c>
      <c r="J6904" s="2">
        <f t="shared" si="537"/>
        <v>0</v>
      </c>
      <c r="K6904" s="2">
        <f t="shared" si="538"/>
        <v>0</v>
      </c>
    </row>
    <row r="6905" spans="5:11">
      <c r="E6905" s="3" t="s">
        <v>3019</v>
      </c>
      <c r="F6905" s="3" t="s">
        <v>3020</v>
      </c>
      <c r="G6905" s="5" t="str">
        <f t="shared" si="536"/>
        <v>11-12</v>
      </c>
      <c r="H6905" s="1">
        <f>_xlfn.IFNA(VLOOKUP(E6905,'Urban Plastix Holds'!$I$36:$U$498,5,0),0)</f>
        <v>0</v>
      </c>
      <c r="J6905" s="2">
        <f t="shared" si="537"/>
        <v>0</v>
      </c>
      <c r="K6905" s="2">
        <f t="shared" si="538"/>
        <v>0</v>
      </c>
    </row>
    <row r="6906" spans="5:11">
      <c r="E6906" s="3" t="s">
        <v>3019</v>
      </c>
      <c r="F6906" s="3" t="s">
        <v>3020</v>
      </c>
      <c r="G6906" s="6" t="str">
        <f t="shared" si="536"/>
        <v>14-01</v>
      </c>
      <c r="H6906" s="1">
        <f>_xlfn.IFNA(VLOOKUP(E6906,'Urban Plastix Holds'!$I$36:$U$498,6,0),0)</f>
        <v>0</v>
      </c>
      <c r="J6906" s="2">
        <f t="shared" si="537"/>
        <v>0</v>
      </c>
      <c r="K6906" s="2">
        <f t="shared" si="538"/>
        <v>0</v>
      </c>
    </row>
    <row r="6907" spans="5:11">
      <c r="E6907" s="3" t="s">
        <v>3019</v>
      </c>
      <c r="F6907" s="3" t="s">
        <v>3020</v>
      </c>
      <c r="G6907" s="7" t="str">
        <f t="shared" si="536"/>
        <v>15-12</v>
      </c>
      <c r="H6907" s="1">
        <f>_xlfn.IFNA(VLOOKUP(E6907,'Urban Plastix Holds'!$I$36:$U$498,7,0),0)</f>
        <v>0</v>
      </c>
      <c r="J6907" s="2">
        <f t="shared" si="537"/>
        <v>0</v>
      </c>
      <c r="K6907" s="2">
        <f t="shared" si="538"/>
        <v>0</v>
      </c>
    </row>
    <row r="6908" spans="5:11">
      <c r="E6908" s="3" t="s">
        <v>3019</v>
      </c>
      <c r="F6908" s="3" t="s">
        <v>3020</v>
      </c>
      <c r="G6908" s="8" t="str">
        <f t="shared" si="536"/>
        <v>16-16</v>
      </c>
      <c r="H6908" s="1">
        <f>_xlfn.IFNA(VLOOKUP(E6908,'Urban Plastix Holds'!$I$36:$U$498,8,0),0)</f>
        <v>0</v>
      </c>
      <c r="J6908" s="2">
        <f t="shared" si="537"/>
        <v>0</v>
      </c>
      <c r="K6908" s="2">
        <f t="shared" si="538"/>
        <v>0</v>
      </c>
    </row>
    <row r="6909" spans="5:11">
      <c r="E6909" s="3" t="s">
        <v>3019</v>
      </c>
      <c r="F6909" s="3" t="s">
        <v>3020</v>
      </c>
      <c r="G6909" s="9" t="str">
        <f t="shared" si="536"/>
        <v>13-01</v>
      </c>
      <c r="H6909" s="1">
        <f>_xlfn.IFNA(VLOOKUP(E6909,'Urban Plastix Holds'!$I$36:$U$498,9,0),0)</f>
        <v>0</v>
      </c>
      <c r="J6909" s="2">
        <f t="shared" si="537"/>
        <v>0</v>
      </c>
      <c r="K6909" s="2">
        <f t="shared" si="538"/>
        <v>0</v>
      </c>
    </row>
    <row r="6910" spans="5:11">
      <c r="E6910" s="3" t="s">
        <v>3019</v>
      </c>
      <c r="F6910" s="3" t="s">
        <v>3020</v>
      </c>
      <c r="G6910" s="10" t="str">
        <f t="shared" si="536"/>
        <v>07-13</v>
      </c>
      <c r="H6910" s="1">
        <f>_xlfn.IFNA(VLOOKUP(E6910,'Urban Plastix Holds'!$I$36:$U$498,10,0),0)</f>
        <v>0</v>
      </c>
      <c r="J6910" s="2">
        <f t="shared" si="537"/>
        <v>0</v>
      </c>
      <c r="K6910" s="2">
        <f t="shared" si="538"/>
        <v>0</v>
      </c>
    </row>
    <row r="6911" spans="5:11">
      <c r="E6911" s="3" t="s">
        <v>3019</v>
      </c>
      <c r="F6911" s="3" t="s">
        <v>3020</v>
      </c>
      <c r="G6911" s="11" t="str">
        <f t="shared" si="536"/>
        <v>11-25</v>
      </c>
      <c r="H6911" s="1">
        <f>_xlfn.IFNA(VLOOKUP(E6911,'Urban Plastix Holds'!$I$36:$U$498,11,0),0)</f>
        <v>0</v>
      </c>
      <c r="J6911" s="2">
        <f t="shared" si="537"/>
        <v>0</v>
      </c>
      <c r="K6911" s="2">
        <f t="shared" si="538"/>
        <v>0</v>
      </c>
    </row>
    <row r="6912" spans="5:11">
      <c r="E6912" s="3" t="s">
        <v>3019</v>
      </c>
      <c r="F6912" s="3" t="s">
        <v>3020</v>
      </c>
      <c r="G6912" s="13" t="str">
        <f t="shared" si="536"/>
        <v>18-01</v>
      </c>
      <c r="H6912" s="1">
        <f>_xlfn.IFNA(VLOOKUP(E6912,'Urban Plastix Holds'!$I$36:$U$498,12,0),0)</f>
        <v>0</v>
      </c>
      <c r="J6912" s="2">
        <f t="shared" si="537"/>
        <v>0</v>
      </c>
      <c r="K6912" s="2">
        <f t="shared" si="538"/>
        <v>0</v>
      </c>
    </row>
    <row r="6913" spans="5:11">
      <c r="E6913" s="3" t="s">
        <v>3019</v>
      </c>
      <c r="F6913" s="3" t="s">
        <v>3020</v>
      </c>
      <c r="G6913" s="12" t="str">
        <f t="shared" si="536"/>
        <v>12-01</v>
      </c>
      <c r="H6913" s="1">
        <f>_xlfn.IFNA(VLOOKUP(E6913,'Urban Plastix Holds'!$I$36:$U$498,13,0),0)</f>
        <v>0</v>
      </c>
      <c r="J6913" s="2">
        <f t="shared" si="537"/>
        <v>0</v>
      </c>
      <c r="K6913" s="2">
        <f t="shared" si="538"/>
        <v>0</v>
      </c>
    </row>
    <row r="6914" spans="5:11">
      <c r="E6914" s="3" t="s">
        <v>3021</v>
      </c>
      <c r="F6914" s="3" t="s">
        <v>3022</v>
      </c>
      <c r="G6914" s="5" t="str">
        <f t="shared" si="536"/>
        <v>11-12</v>
      </c>
      <c r="H6914" s="1">
        <f>_xlfn.IFNA(VLOOKUP(E6914,'Urban Plastix Holds'!$I$36:$U$498,5,0),0)</f>
        <v>0</v>
      </c>
      <c r="J6914" s="2">
        <f t="shared" ref="J6914:J6958" si="539">H6914*I6914</f>
        <v>0</v>
      </c>
      <c r="K6914" s="2">
        <f t="shared" ref="K6914:K6958" si="540">IF($V$11="Y",J6914*0.05,0)</f>
        <v>0</v>
      </c>
    </row>
    <row r="6915" spans="5:11">
      <c r="E6915" s="3" t="s">
        <v>3021</v>
      </c>
      <c r="F6915" s="3" t="s">
        <v>3022</v>
      </c>
      <c r="G6915" s="6" t="str">
        <f t="shared" si="536"/>
        <v>14-01</v>
      </c>
      <c r="H6915" s="1">
        <f>_xlfn.IFNA(VLOOKUP(E6915,'Urban Plastix Holds'!$I$36:$U$498,6,0),0)</f>
        <v>0</v>
      </c>
      <c r="J6915" s="2">
        <f t="shared" si="539"/>
        <v>0</v>
      </c>
      <c r="K6915" s="2">
        <f t="shared" si="540"/>
        <v>0</v>
      </c>
    </row>
    <row r="6916" spans="5:11">
      <c r="E6916" s="3" t="s">
        <v>3021</v>
      </c>
      <c r="F6916" s="3" t="s">
        <v>3022</v>
      </c>
      <c r="G6916" s="7" t="str">
        <f t="shared" si="536"/>
        <v>15-12</v>
      </c>
      <c r="H6916" s="1">
        <f>_xlfn.IFNA(VLOOKUP(E6916,'Urban Plastix Holds'!$I$36:$U$498,7,0),0)</f>
        <v>0</v>
      </c>
      <c r="J6916" s="2">
        <f t="shared" si="539"/>
        <v>0</v>
      </c>
      <c r="K6916" s="2">
        <f t="shared" si="540"/>
        <v>0</v>
      </c>
    </row>
    <row r="6917" spans="5:11">
      <c r="E6917" s="3" t="s">
        <v>3021</v>
      </c>
      <c r="F6917" s="3" t="s">
        <v>3022</v>
      </c>
      <c r="G6917" s="8" t="str">
        <f t="shared" si="536"/>
        <v>16-16</v>
      </c>
      <c r="H6917" s="1">
        <f>_xlfn.IFNA(VLOOKUP(E6917,'Urban Plastix Holds'!$I$36:$U$498,8,0),0)</f>
        <v>0</v>
      </c>
      <c r="J6917" s="2">
        <f t="shared" si="539"/>
        <v>0</v>
      </c>
      <c r="K6917" s="2">
        <f t="shared" si="540"/>
        <v>0</v>
      </c>
    </row>
    <row r="6918" spans="5:11">
      <c r="E6918" s="3" t="s">
        <v>3021</v>
      </c>
      <c r="F6918" s="3" t="s">
        <v>3022</v>
      </c>
      <c r="G6918" s="9" t="str">
        <f t="shared" si="536"/>
        <v>13-01</v>
      </c>
      <c r="H6918" s="1">
        <f>_xlfn.IFNA(VLOOKUP(E6918,'Urban Plastix Holds'!$I$36:$U$498,9,0),0)</f>
        <v>0</v>
      </c>
      <c r="J6918" s="2">
        <f t="shared" si="539"/>
        <v>0</v>
      </c>
      <c r="K6918" s="2">
        <f t="shared" si="540"/>
        <v>0</v>
      </c>
    </row>
    <row r="6919" spans="5:11">
      <c r="E6919" s="3" t="s">
        <v>3021</v>
      </c>
      <c r="F6919" s="3" t="s">
        <v>3022</v>
      </c>
      <c r="G6919" s="10" t="str">
        <f t="shared" si="536"/>
        <v>07-13</v>
      </c>
      <c r="H6919" s="1">
        <f>_xlfn.IFNA(VLOOKUP(E6919,'Urban Plastix Holds'!$I$36:$U$498,10,0),0)</f>
        <v>0</v>
      </c>
      <c r="J6919" s="2">
        <f t="shared" si="539"/>
        <v>0</v>
      </c>
      <c r="K6919" s="2">
        <f t="shared" si="540"/>
        <v>0</v>
      </c>
    </row>
    <row r="6920" spans="5:11">
      <c r="E6920" s="3" t="s">
        <v>3021</v>
      </c>
      <c r="F6920" s="3" t="s">
        <v>3022</v>
      </c>
      <c r="G6920" s="11" t="str">
        <f t="shared" si="536"/>
        <v>11-25</v>
      </c>
      <c r="H6920" s="1">
        <f>_xlfn.IFNA(VLOOKUP(E6920,'Urban Plastix Holds'!$I$36:$U$498,11,0),0)</f>
        <v>0</v>
      </c>
      <c r="J6920" s="2">
        <f t="shared" si="539"/>
        <v>0</v>
      </c>
      <c r="K6920" s="2">
        <f t="shared" si="540"/>
        <v>0</v>
      </c>
    </row>
    <row r="6921" spans="5:11">
      <c r="E6921" s="3" t="s">
        <v>3021</v>
      </c>
      <c r="F6921" s="3" t="s">
        <v>3022</v>
      </c>
      <c r="G6921" s="13" t="str">
        <f t="shared" si="536"/>
        <v>18-01</v>
      </c>
      <c r="H6921" s="1">
        <f>_xlfn.IFNA(VLOOKUP(E6921,'Urban Plastix Holds'!$I$36:$U$498,12,0),0)</f>
        <v>0</v>
      </c>
      <c r="J6921" s="2">
        <f t="shared" si="539"/>
        <v>0</v>
      </c>
      <c r="K6921" s="2">
        <f t="shared" si="540"/>
        <v>0</v>
      </c>
    </row>
    <row r="6922" spans="5:11">
      <c r="E6922" s="3" t="s">
        <v>3021</v>
      </c>
      <c r="F6922" s="3" t="s">
        <v>3022</v>
      </c>
      <c r="G6922" s="12" t="str">
        <f t="shared" si="536"/>
        <v>12-01</v>
      </c>
      <c r="H6922" s="1">
        <f>_xlfn.IFNA(VLOOKUP(E6922,'Urban Plastix Holds'!$I$36:$U$498,13,0),0)</f>
        <v>0</v>
      </c>
      <c r="J6922" s="2">
        <f t="shared" si="539"/>
        <v>0</v>
      </c>
      <c r="K6922" s="2">
        <f t="shared" si="540"/>
        <v>0</v>
      </c>
    </row>
    <row r="6923" spans="5:11">
      <c r="E6923" s="3" t="s">
        <v>3023</v>
      </c>
      <c r="F6923" s="3" t="s">
        <v>3024</v>
      </c>
      <c r="G6923" s="5" t="str">
        <f t="shared" si="536"/>
        <v>11-12</v>
      </c>
      <c r="H6923" s="1">
        <f>_xlfn.IFNA(VLOOKUP(E6923,'Urban Plastix Holds'!$I$36:$U$498,5,0),0)</f>
        <v>0</v>
      </c>
      <c r="J6923" s="2">
        <f t="shared" si="539"/>
        <v>0</v>
      </c>
      <c r="K6923" s="2">
        <f t="shared" si="540"/>
        <v>0</v>
      </c>
    </row>
    <row r="6924" spans="5:11">
      <c r="E6924" s="3" t="s">
        <v>3023</v>
      </c>
      <c r="F6924" s="3" t="s">
        <v>3024</v>
      </c>
      <c r="G6924" s="6" t="str">
        <f t="shared" si="536"/>
        <v>14-01</v>
      </c>
      <c r="H6924" s="1">
        <f>_xlfn.IFNA(VLOOKUP(E6924,'Urban Plastix Holds'!$I$36:$U$498,6,0),0)</f>
        <v>0</v>
      </c>
      <c r="J6924" s="2">
        <f t="shared" si="539"/>
        <v>0</v>
      </c>
      <c r="K6924" s="2">
        <f t="shared" si="540"/>
        <v>0</v>
      </c>
    </row>
    <row r="6925" spans="5:11">
      <c r="E6925" s="3" t="s">
        <v>3023</v>
      </c>
      <c r="F6925" s="3" t="s">
        <v>3024</v>
      </c>
      <c r="G6925" s="7" t="str">
        <f t="shared" ref="G6925:G6988" si="541">G6862</f>
        <v>15-12</v>
      </c>
      <c r="H6925" s="1">
        <f>_xlfn.IFNA(VLOOKUP(E6925,'Urban Plastix Holds'!$I$36:$U$498,7,0),0)</f>
        <v>0</v>
      </c>
      <c r="J6925" s="2">
        <f t="shared" si="539"/>
        <v>0</v>
      </c>
      <c r="K6925" s="2">
        <f t="shared" si="540"/>
        <v>0</v>
      </c>
    </row>
    <row r="6926" spans="5:11">
      <c r="E6926" s="3" t="s">
        <v>3023</v>
      </c>
      <c r="F6926" s="3" t="s">
        <v>3024</v>
      </c>
      <c r="G6926" s="8" t="str">
        <f t="shared" si="541"/>
        <v>16-16</v>
      </c>
      <c r="H6926" s="1">
        <f>_xlfn.IFNA(VLOOKUP(E6926,'Urban Plastix Holds'!$I$36:$U$498,8,0),0)</f>
        <v>0</v>
      </c>
      <c r="J6926" s="2">
        <f t="shared" si="539"/>
        <v>0</v>
      </c>
      <c r="K6926" s="2">
        <f t="shared" si="540"/>
        <v>0</v>
      </c>
    </row>
    <row r="6927" spans="5:11">
      <c r="E6927" s="3" t="s">
        <v>3023</v>
      </c>
      <c r="F6927" s="3" t="s">
        <v>3024</v>
      </c>
      <c r="G6927" s="9" t="str">
        <f t="shared" si="541"/>
        <v>13-01</v>
      </c>
      <c r="H6927" s="1">
        <f>_xlfn.IFNA(VLOOKUP(E6927,'Urban Plastix Holds'!$I$36:$U$498,9,0),0)</f>
        <v>0</v>
      </c>
      <c r="J6927" s="2">
        <f t="shared" si="539"/>
        <v>0</v>
      </c>
      <c r="K6927" s="2">
        <f t="shared" si="540"/>
        <v>0</v>
      </c>
    </row>
    <row r="6928" spans="5:11">
      <c r="E6928" s="3" t="s">
        <v>3023</v>
      </c>
      <c r="F6928" s="3" t="s">
        <v>3024</v>
      </c>
      <c r="G6928" s="10" t="str">
        <f t="shared" si="541"/>
        <v>07-13</v>
      </c>
      <c r="H6928" s="1">
        <f>_xlfn.IFNA(VLOOKUP(E6928,'Urban Plastix Holds'!$I$36:$U$498,10,0),0)</f>
        <v>0</v>
      </c>
      <c r="J6928" s="2">
        <f t="shared" si="539"/>
        <v>0</v>
      </c>
      <c r="K6928" s="2">
        <f t="shared" si="540"/>
        <v>0</v>
      </c>
    </row>
    <row r="6929" spans="5:11">
      <c r="E6929" s="3" t="s">
        <v>3023</v>
      </c>
      <c r="F6929" s="3" t="s">
        <v>3024</v>
      </c>
      <c r="G6929" s="11" t="str">
        <f t="shared" si="541"/>
        <v>11-25</v>
      </c>
      <c r="H6929" s="1">
        <f>_xlfn.IFNA(VLOOKUP(E6929,'Urban Plastix Holds'!$I$36:$U$498,11,0),0)</f>
        <v>0</v>
      </c>
      <c r="J6929" s="2">
        <f t="shared" si="539"/>
        <v>0</v>
      </c>
      <c r="K6929" s="2">
        <f t="shared" si="540"/>
        <v>0</v>
      </c>
    </row>
    <row r="6930" spans="5:11">
      <c r="E6930" s="3" t="s">
        <v>3023</v>
      </c>
      <c r="F6930" s="3" t="s">
        <v>3024</v>
      </c>
      <c r="G6930" s="13" t="str">
        <f t="shared" si="541"/>
        <v>18-01</v>
      </c>
      <c r="H6930" s="1">
        <f>_xlfn.IFNA(VLOOKUP(E6930,'Urban Plastix Holds'!$I$36:$U$498,12,0),0)</f>
        <v>0</v>
      </c>
      <c r="J6930" s="2">
        <f t="shared" si="539"/>
        <v>0</v>
      </c>
      <c r="K6930" s="2">
        <f t="shared" si="540"/>
        <v>0</v>
      </c>
    </row>
    <row r="6931" spans="5:11">
      <c r="E6931" s="3" t="s">
        <v>3023</v>
      </c>
      <c r="F6931" s="3" t="s">
        <v>3024</v>
      </c>
      <c r="G6931" s="12" t="str">
        <f t="shared" si="541"/>
        <v>12-01</v>
      </c>
      <c r="H6931" s="1">
        <f>_xlfn.IFNA(VLOOKUP(E6931,'Urban Plastix Holds'!$I$36:$U$498,13,0),0)</f>
        <v>0</v>
      </c>
      <c r="J6931" s="2">
        <f t="shared" si="539"/>
        <v>0</v>
      </c>
      <c r="K6931" s="2">
        <f t="shared" si="540"/>
        <v>0</v>
      </c>
    </row>
    <row r="6932" spans="5:11">
      <c r="E6932" s="3" t="s">
        <v>3025</v>
      </c>
      <c r="F6932" s="3" t="s">
        <v>3026</v>
      </c>
      <c r="G6932" s="5" t="str">
        <f t="shared" si="541"/>
        <v>11-12</v>
      </c>
      <c r="H6932" s="1">
        <f>_xlfn.IFNA(VLOOKUP(E6932,'Urban Plastix Holds'!$I$36:$U$498,5,0),0)</f>
        <v>0</v>
      </c>
      <c r="J6932" s="2">
        <f t="shared" si="539"/>
        <v>0</v>
      </c>
      <c r="K6932" s="2">
        <f t="shared" si="540"/>
        <v>0</v>
      </c>
    </row>
    <row r="6933" spans="5:11">
      <c r="E6933" s="3" t="s">
        <v>3025</v>
      </c>
      <c r="F6933" s="3" t="s">
        <v>3026</v>
      </c>
      <c r="G6933" s="6" t="str">
        <f t="shared" si="541"/>
        <v>14-01</v>
      </c>
      <c r="H6933" s="1">
        <f>_xlfn.IFNA(VLOOKUP(E6933,'Urban Plastix Holds'!$I$36:$U$498,6,0),0)</f>
        <v>0</v>
      </c>
      <c r="J6933" s="2">
        <f t="shared" si="539"/>
        <v>0</v>
      </c>
      <c r="K6933" s="2">
        <f t="shared" si="540"/>
        <v>0</v>
      </c>
    </row>
    <row r="6934" spans="5:11">
      <c r="E6934" s="3" t="s">
        <v>3025</v>
      </c>
      <c r="F6934" s="3" t="s">
        <v>3026</v>
      </c>
      <c r="G6934" s="7" t="str">
        <f t="shared" si="541"/>
        <v>15-12</v>
      </c>
      <c r="H6934" s="1">
        <f>_xlfn.IFNA(VLOOKUP(E6934,'Urban Plastix Holds'!$I$36:$U$498,7,0),0)</f>
        <v>0</v>
      </c>
      <c r="J6934" s="2">
        <f t="shared" si="539"/>
        <v>0</v>
      </c>
      <c r="K6934" s="2">
        <f t="shared" si="540"/>
        <v>0</v>
      </c>
    </row>
    <row r="6935" spans="5:11">
      <c r="E6935" s="3" t="s">
        <v>3025</v>
      </c>
      <c r="F6935" s="3" t="s">
        <v>3026</v>
      </c>
      <c r="G6935" s="8" t="str">
        <f t="shared" si="541"/>
        <v>16-16</v>
      </c>
      <c r="H6935" s="1">
        <f>_xlfn.IFNA(VLOOKUP(E6935,'Urban Plastix Holds'!$I$36:$U$498,8,0),0)</f>
        <v>0</v>
      </c>
      <c r="J6935" s="2">
        <f t="shared" si="539"/>
        <v>0</v>
      </c>
      <c r="K6935" s="2">
        <f t="shared" si="540"/>
        <v>0</v>
      </c>
    </row>
    <row r="6936" spans="5:11">
      <c r="E6936" s="3" t="s">
        <v>3025</v>
      </c>
      <c r="F6936" s="3" t="s">
        <v>3026</v>
      </c>
      <c r="G6936" s="9" t="str">
        <f t="shared" si="541"/>
        <v>13-01</v>
      </c>
      <c r="H6936" s="1">
        <f>_xlfn.IFNA(VLOOKUP(E6936,'Urban Plastix Holds'!$I$36:$U$498,9,0),0)</f>
        <v>0</v>
      </c>
      <c r="J6936" s="2">
        <f t="shared" si="539"/>
        <v>0</v>
      </c>
      <c r="K6936" s="2">
        <f t="shared" si="540"/>
        <v>0</v>
      </c>
    </row>
    <row r="6937" spans="5:11">
      <c r="E6937" s="3" t="s">
        <v>3025</v>
      </c>
      <c r="F6937" s="3" t="s">
        <v>3026</v>
      </c>
      <c r="G6937" s="10" t="str">
        <f t="shared" si="541"/>
        <v>07-13</v>
      </c>
      <c r="H6937" s="1">
        <f>_xlfn.IFNA(VLOOKUP(E6937,'Urban Plastix Holds'!$I$36:$U$498,10,0),0)</f>
        <v>0</v>
      </c>
      <c r="J6937" s="2">
        <f t="shared" si="539"/>
        <v>0</v>
      </c>
      <c r="K6937" s="2">
        <f t="shared" si="540"/>
        <v>0</v>
      </c>
    </row>
    <row r="6938" spans="5:11">
      <c r="E6938" s="3" t="s">
        <v>3025</v>
      </c>
      <c r="F6938" s="3" t="s">
        <v>3026</v>
      </c>
      <c r="G6938" s="11" t="str">
        <f t="shared" si="541"/>
        <v>11-25</v>
      </c>
      <c r="H6938" s="1">
        <f>_xlfn.IFNA(VLOOKUP(E6938,'Urban Plastix Holds'!$I$36:$U$498,11,0),0)</f>
        <v>0</v>
      </c>
      <c r="J6938" s="2">
        <f t="shared" si="539"/>
        <v>0</v>
      </c>
      <c r="K6938" s="2">
        <f t="shared" si="540"/>
        <v>0</v>
      </c>
    </row>
    <row r="6939" spans="5:11">
      <c r="E6939" s="3" t="s">
        <v>3025</v>
      </c>
      <c r="F6939" s="3" t="s">
        <v>3026</v>
      </c>
      <c r="G6939" s="13" t="str">
        <f t="shared" si="541"/>
        <v>18-01</v>
      </c>
      <c r="H6939" s="1">
        <f>_xlfn.IFNA(VLOOKUP(E6939,'Urban Plastix Holds'!$I$36:$U$498,12,0),0)</f>
        <v>0</v>
      </c>
      <c r="J6939" s="2">
        <f t="shared" si="539"/>
        <v>0</v>
      </c>
      <c r="K6939" s="2">
        <f t="shared" si="540"/>
        <v>0</v>
      </c>
    </row>
    <row r="6940" spans="5:11">
      <c r="E6940" s="3" t="s">
        <v>3025</v>
      </c>
      <c r="F6940" s="3" t="s">
        <v>3026</v>
      </c>
      <c r="G6940" s="12" t="str">
        <f t="shared" si="541"/>
        <v>12-01</v>
      </c>
      <c r="H6940" s="1">
        <f>_xlfn.IFNA(VLOOKUP(E6940,'Urban Plastix Holds'!$I$36:$U$498,13,0),0)</f>
        <v>0</v>
      </c>
      <c r="J6940" s="2">
        <f t="shared" si="539"/>
        <v>0</v>
      </c>
      <c r="K6940" s="2">
        <f t="shared" si="540"/>
        <v>0</v>
      </c>
    </row>
    <row r="6941" spans="5:11">
      <c r="E6941" s="3" t="s">
        <v>3027</v>
      </c>
      <c r="F6941" s="3" t="s">
        <v>3028</v>
      </c>
      <c r="G6941" s="5" t="str">
        <f t="shared" si="541"/>
        <v>11-12</v>
      </c>
      <c r="H6941" s="1">
        <f>_xlfn.IFNA(VLOOKUP(E6941,'Urban Plastix Holds'!$I$36:$U$498,5,0),0)</f>
        <v>0</v>
      </c>
      <c r="J6941" s="2">
        <f t="shared" si="539"/>
        <v>0</v>
      </c>
      <c r="K6941" s="2">
        <f t="shared" si="540"/>
        <v>0</v>
      </c>
    </row>
    <row r="6942" spans="5:11">
      <c r="E6942" s="3" t="s">
        <v>3027</v>
      </c>
      <c r="F6942" s="3" t="s">
        <v>3028</v>
      </c>
      <c r="G6942" s="6" t="str">
        <f t="shared" si="541"/>
        <v>14-01</v>
      </c>
      <c r="H6942" s="1">
        <f>_xlfn.IFNA(VLOOKUP(E6942,'Urban Plastix Holds'!$I$36:$U$498,6,0),0)</f>
        <v>0</v>
      </c>
      <c r="J6942" s="2">
        <f t="shared" si="539"/>
        <v>0</v>
      </c>
      <c r="K6942" s="2">
        <f t="shared" si="540"/>
        <v>0</v>
      </c>
    </row>
    <row r="6943" spans="5:11">
      <c r="E6943" s="3" t="s">
        <v>3027</v>
      </c>
      <c r="F6943" s="3" t="s">
        <v>3028</v>
      </c>
      <c r="G6943" s="7" t="str">
        <f t="shared" si="541"/>
        <v>15-12</v>
      </c>
      <c r="H6943" s="1">
        <f>_xlfn.IFNA(VLOOKUP(E6943,'Urban Plastix Holds'!$I$36:$U$498,7,0),0)</f>
        <v>0</v>
      </c>
      <c r="J6943" s="2">
        <f t="shared" si="539"/>
        <v>0</v>
      </c>
      <c r="K6943" s="2">
        <f t="shared" si="540"/>
        <v>0</v>
      </c>
    </row>
    <row r="6944" spans="5:11">
      <c r="E6944" s="3" t="s">
        <v>3027</v>
      </c>
      <c r="F6944" s="3" t="s">
        <v>3028</v>
      </c>
      <c r="G6944" s="8" t="str">
        <f t="shared" si="541"/>
        <v>16-16</v>
      </c>
      <c r="H6944" s="1">
        <f>_xlfn.IFNA(VLOOKUP(E6944,'Urban Plastix Holds'!$I$36:$U$498,8,0),0)</f>
        <v>0</v>
      </c>
      <c r="J6944" s="2">
        <f t="shared" si="539"/>
        <v>0</v>
      </c>
      <c r="K6944" s="2">
        <f t="shared" si="540"/>
        <v>0</v>
      </c>
    </row>
    <row r="6945" spans="5:11">
      <c r="E6945" s="3" t="s">
        <v>3027</v>
      </c>
      <c r="F6945" s="3" t="s">
        <v>3028</v>
      </c>
      <c r="G6945" s="9" t="str">
        <f t="shared" si="541"/>
        <v>13-01</v>
      </c>
      <c r="H6945" s="1">
        <f>_xlfn.IFNA(VLOOKUP(E6945,'Urban Plastix Holds'!$I$36:$U$498,9,0),0)</f>
        <v>0</v>
      </c>
      <c r="J6945" s="2">
        <f t="shared" si="539"/>
        <v>0</v>
      </c>
      <c r="K6945" s="2">
        <f t="shared" si="540"/>
        <v>0</v>
      </c>
    </row>
    <row r="6946" spans="5:11">
      <c r="E6946" s="3" t="s">
        <v>3027</v>
      </c>
      <c r="F6946" s="3" t="s">
        <v>3028</v>
      </c>
      <c r="G6946" s="10" t="str">
        <f t="shared" si="541"/>
        <v>07-13</v>
      </c>
      <c r="H6946" s="1">
        <f>_xlfn.IFNA(VLOOKUP(E6946,'Urban Plastix Holds'!$I$36:$U$498,10,0),0)</f>
        <v>0</v>
      </c>
      <c r="J6946" s="2">
        <f t="shared" si="539"/>
        <v>0</v>
      </c>
      <c r="K6946" s="2">
        <f t="shared" si="540"/>
        <v>0</v>
      </c>
    </row>
    <row r="6947" spans="5:11">
      <c r="E6947" s="3" t="s">
        <v>3027</v>
      </c>
      <c r="F6947" s="3" t="s">
        <v>3028</v>
      </c>
      <c r="G6947" s="11" t="str">
        <f t="shared" si="541"/>
        <v>11-25</v>
      </c>
      <c r="H6947" s="1">
        <f>_xlfn.IFNA(VLOOKUP(E6947,'Urban Plastix Holds'!$I$36:$U$498,11,0),0)</f>
        <v>0</v>
      </c>
      <c r="J6947" s="2">
        <f t="shared" si="539"/>
        <v>0</v>
      </c>
      <c r="K6947" s="2">
        <f t="shared" si="540"/>
        <v>0</v>
      </c>
    </row>
    <row r="6948" spans="5:11">
      <c r="E6948" s="3" t="s">
        <v>3027</v>
      </c>
      <c r="F6948" s="3" t="s">
        <v>3028</v>
      </c>
      <c r="G6948" s="13" t="str">
        <f t="shared" si="541"/>
        <v>18-01</v>
      </c>
      <c r="H6948" s="1">
        <f>_xlfn.IFNA(VLOOKUP(E6948,'Urban Plastix Holds'!$I$36:$U$498,12,0),0)</f>
        <v>0</v>
      </c>
      <c r="J6948" s="2">
        <f t="shared" si="539"/>
        <v>0</v>
      </c>
      <c r="K6948" s="2">
        <f t="shared" si="540"/>
        <v>0</v>
      </c>
    </row>
    <row r="6949" spans="5:11">
      <c r="E6949" s="3" t="s">
        <v>3027</v>
      </c>
      <c r="F6949" s="3" t="s">
        <v>3028</v>
      </c>
      <c r="G6949" s="12" t="str">
        <f t="shared" si="541"/>
        <v>12-01</v>
      </c>
      <c r="H6949" s="1">
        <f>_xlfn.IFNA(VLOOKUP(E6949,'Urban Plastix Holds'!$I$36:$U$498,13,0),0)</f>
        <v>0</v>
      </c>
      <c r="J6949" s="2">
        <f t="shared" si="539"/>
        <v>0</v>
      </c>
      <c r="K6949" s="2">
        <f t="shared" si="540"/>
        <v>0</v>
      </c>
    </row>
    <row r="6950" spans="5:11">
      <c r="E6950" s="3" t="s">
        <v>3029</v>
      </c>
      <c r="F6950" s="3" t="s">
        <v>3030</v>
      </c>
      <c r="G6950" s="5" t="str">
        <f t="shared" si="541"/>
        <v>11-12</v>
      </c>
      <c r="H6950" s="1">
        <f>_xlfn.IFNA(VLOOKUP(E6950,'Urban Plastix Holds'!$I$36:$U$498,5,0),0)</f>
        <v>0</v>
      </c>
      <c r="J6950" s="2">
        <f t="shared" si="539"/>
        <v>0</v>
      </c>
      <c r="K6950" s="2">
        <f t="shared" si="540"/>
        <v>0</v>
      </c>
    </row>
    <row r="6951" spans="5:11">
      <c r="E6951" s="3" t="s">
        <v>3029</v>
      </c>
      <c r="F6951" s="3" t="s">
        <v>3030</v>
      </c>
      <c r="G6951" s="6" t="str">
        <f t="shared" si="541"/>
        <v>14-01</v>
      </c>
      <c r="H6951" s="1">
        <f>_xlfn.IFNA(VLOOKUP(E6951,'Urban Plastix Holds'!$I$36:$U$498,6,0),0)</f>
        <v>0</v>
      </c>
      <c r="J6951" s="2">
        <f t="shared" si="539"/>
        <v>0</v>
      </c>
      <c r="K6951" s="2">
        <f t="shared" si="540"/>
        <v>0</v>
      </c>
    </row>
    <row r="6952" spans="5:11">
      <c r="E6952" s="3" t="s">
        <v>3029</v>
      </c>
      <c r="F6952" s="3" t="s">
        <v>3030</v>
      </c>
      <c r="G6952" s="7" t="str">
        <f t="shared" si="541"/>
        <v>15-12</v>
      </c>
      <c r="H6952" s="1">
        <f>_xlfn.IFNA(VLOOKUP(E6952,'Urban Plastix Holds'!$I$36:$U$498,7,0),0)</f>
        <v>0</v>
      </c>
      <c r="J6952" s="2">
        <f t="shared" si="539"/>
        <v>0</v>
      </c>
      <c r="K6952" s="2">
        <f t="shared" si="540"/>
        <v>0</v>
      </c>
    </row>
    <row r="6953" spans="5:11">
      <c r="E6953" s="3" t="s">
        <v>3029</v>
      </c>
      <c r="F6953" s="3" t="s">
        <v>3030</v>
      </c>
      <c r="G6953" s="8" t="str">
        <f t="shared" si="541"/>
        <v>16-16</v>
      </c>
      <c r="H6953" s="1">
        <f>_xlfn.IFNA(VLOOKUP(E6953,'Urban Plastix Holds'!$I$36:$U$498,8,0),0)</f>
        <v>0</v>
      </c>
      <c r="J6953" s="2">
        <f t="shared" si="539"/>
        <v>0</v>
      </c>
      <c r="K6953" s="2">
        <f t="shared" si="540"/>
        <v>0</v>
      </c>
    </row>
    <row r="6954" spans="5:11">
      <c r="E6954" s="3" t="s">
        <v>3029</v>
      </c>
      <c r="F6954" s="3" t="s">
        <v>3030</v>
      </c>
      <c r="G6954" s="9" t="str">
        <f t="shared" si="541"/>
        <v>13-01</v>
      </c>
      <c r="H6954" s="1">
        <f>_xlfn.IFNA(VLOOKUP(E6954,'Urban Plastix Holds'!$I$36:$U$498,9,0),0)</f>
        <v>0</v>
      </c>
      <c r="J6954" s="2">
        <f t="shared" si="539"/>
        <v>0</v>
      </c>
      <c r="K6954" s="2">
        <f t="shared" si="540"/>
        <v>0</v>
      </c>
    </row>
    <row r="6955" spans="5:11">
      <c r="E6955" s="3" t="s">
        <v>3029</v>
      </c>
      <c r="F6955" s="3" t="s">
        <v>3030</v>
      </c>
      <c r="G6955" s="10" t="str">
        <f t="shared" si="541"/>
        <v>07-13</v>
      </c>
      <c r="H6955" s="1">
        <f>_xlfn.IFNA(VLOOKUP(E6955,'Urban Plastix Holds'!$I$36:$U$498,10,0),0)</f>
        <v>0</v>
      </c>
      <c r="J6955" s="2">
        <f t="shared" si="539"/>
        <v>0</v>
      </c>
      <c r="K6955" s="2">
        <f t="shared" si="540"/>
        <v>0</v>
      </c>
    </row>
    <row r="6956" spans="5:11">
      <c r="E6956" s="3" t="s">
        <v>3029</v>
      </c>
      <c r="F6956" s="3" t="s">
        <v>3030</v>
      </c>
      <c r="G6956" s="11" t="str">
        <f t="shared" si="541"/>
        <v>11-25</v>
      </c>
      <c r="H6956" s="1">
        <f>_xlfn.IFNA(VLOOKUP(E6956,'Urban Plastix Holds'!$I$36:$U$498,11,0),0)</f>
        <v>0</v>
      </c>
      <c r="J6956" s="2">
        <f t="shared" si="539"/>
        <v>0</v>
      </c>
      <c r="K6956" s="2">
        <f t="shared" si="540"/>
        <v>0</v>
      </c>
    </row>
    <row r="6957" spans="5:11">
      <c r="E6957" s="3" t="s">
        <v>3029</v>
      </c>
      <c r="F6957" s="3" t="s">
        <v>3030</v>
      </c>
      <c r="G6957" s="13" t="str">
        <f t="shared" si="541"/>
        <v>18-01</v>
      </c>
      <c r="H6957" s="1">
        <f>_xlfn.IFNA(VLOOKUP(E6957,'Urban Plastix Holds'!$I$36:$U$498,12,0),0)</f>
        <v>0</v>
      </c>
      <c r="J6957" s="2">
        <f t="shared" si="539"/>
        <v>0</v>
      </c>
      <c r="K6957" s="2">
        <f t="shared" si="540"/>
        <v>0</v>
      </c>
    </row>
    <row r="6958" spans="5:11">
      <c r="E6958" s="3" t="s">
        <v>3029</v>
      </c>
      <c r="F6958" s="3" t="s">
        <v>3030</v>
      </c>
      <c r="G6958" s="12" t="str">
        <f t="shared" si="541"/>
        <v>12-01</v>
      </c>
      <c r="H6958" s="1">
        <f>_xlfn.IFNA(VLOOKUP(E6958,'Urban Plastix Holds'!$I$36:$U$498,13,0),0)</f>
        <v>0</v>
      </c>
      <c r="J6958" s="2">
        <f t="shared" si="539"/>
        <v>0</v>
      </c>
      <c r="K6958" s="2">
        <f t="shared" si="540"/>
        <v>0</v>
      </c>
    </row>
    <row r="6959" spans="5:11">
      <c r="E6959" s="3" t="s">
        <v>3088</v>
      </c>
      <c r="F6959" s="3" t="s">
        <v>3090</v>
      </c>
      <c r="G6959" s="5" t="str">
        <f t="shared" si="541"/>
        <v>11-12</v>
      </c>
      <c r="H6959" s="1">
        <f>_xlfn.IFNA(VLOOKUP(E6959,'Urban Plastix Holds'!$I$36:$U$498,5,0),0)</f>
        <v>0</v>
      </c>
      <c r="J6959" s="2">
        <f t="shared" ref="J6959:J6985" si="542">H6959*I6959</f>
        <v>0</v>
      </c>
      <c r="K6959" s="2">
        <f t="shared" ref="K6959:K6985" si="543">IF($V$11="Y",J6959*0.05,0)</f>
        <v>0</v>
      </c>
    </row>
    <row r="6960" spans="5:11">
      <c r="E6960" s="3" t="s">
        <v>3088</v>
      </c>
      <c r="F6960" s="3" t="s">
        <v>3090</v>
      </c>
      <c r="G6960" s="6" t="str">
        <f t="shared" si="541"/>
        <v>14-01</v>
      </c>
      <c r="H6960" s="1">
        <f>_xlfn.IFNA(VLOOKUP(E6960,'Urban Plastix Holds'!$I$36:$U$498,6,0),0)</f>
        <v>0</v>
      </c>
      <c r="J6960" s="2">
        <f t="shared" si="542"/>
        <v>0</v>
      </c>
      <c r="K6960" s="2">
        <f t="shared" si="543"/>
        <v>0</v>
      </c>
    </row>
    <row r="6961" spans="5:11">
      <c r="E6961" s="3" t="s">
        <v>3088</v>
      </c>
      <c r="F6961" s="3" t="s">
        <v>3090</v>
      </c>
      <c r="G6961" s="7" t="str">
        <f t="shared" si="541"/>
        <v>15-12</v>
      </c>
      <c r="H6961" s="1">
        <f>_xlfn.IFNA(VLOOKUP(E6961,'Urban Plastix Holds'!$I$36:$U$498,7,0),0)</f>
        <v>0</v>
      </c>
      <c r="J6961" s="2">
        <f t="shared" si="542"/>
        <v>0</v>
      </c>
      <c r="K6961" s="2">
        <f t="shared" si="543"/>
        <v>0</v>
      </c>
    </row>
    <row r="6962" spans="5:11">
      <c r="E6962" s="3" t="s">
        <v>3088</v>
      </c>
      <c r="F6962" s="3" t="s">
        <v>3090</v>
      </c>
      <c r="G6962" s="8" t="str">
        <f t="shared" si="541"/>
        <v>16-16</v>
      </c>
      <c r="H6962" s="1">
        <f>_xlfn.IFNA(VLOOKUP(E6962,'Urban Plastix Holds'!$I$36:$U$498,8,0),0)</f>
        <v>0</v>
      </c>
      <c r="J6962" s="2">
        <f t="shared" si="542"/>
        <v>0</v>
      </c>
      <c r="K6962" s="2">
        <f t="shared" si="543"/>
        <v>0</v>
      </c>
    </row>
    <row r="6963" spans="5:11">
      <c r="E6963" s="3" t="s">
        <v>3088</v>
      </c>
      <c r="F6963" s="3" t="s">
        <v>3090</v>
      </c>
      <c r="G6963" s="9" t="str">
        <f t="shared" si="541"/>
        <v>13-01</v>
      </c>
      <c r="H6963" s="1">
        <f>_xlfn.IFNA(VLOOKUP(E6963,'Urban Plastix Holds'!$I$36:$U$498,9,0),0)</f>
        <v>0</v>
      </c>
      <c r="J6963" s="2">
        <f t="shared" si="542"/>
        <v>0</v>
      </c>
      <c r="K6963" s="2">
        <f t="shared" si="543"/>
        <v>0</v>
      </c>
    </row>
    <row r="6964" spans="5:11">
      <c r="E6964" s="3" t="s">
        <v>3088</v>
      </c>
      <c r="F6964" s="3" t="s">
        <v>3090</v>
      </c>
      <c r="G6964" s="10" t="str">
        <f t="shared" si="541"/>
        <v>07-13</v>
      </c>
      <c r="H6964" s="1">
        <f>_xlfn.IFNA(VLOOKUP(E6964,'Urban Plastix Holds'!$I$36:$U$498,10,0),0)</f>
        <v>0</v>
      </c>
      <c r="J6964" s="2">
        <f t="shared" si="542"/>
        <v>0</v>
      </c>
      <c r="K6964" s="2">
        <f t="shared" si="543"/>
        <v>0</v>
      </c>
    </row>
    <row r="6965" spans="5:11">
      <c r="E6965" s="3" t="s">
        <v>3088</v>
      </c>
      <c r="F6965" s="3" t="s">
        <v>3090</v>
      </c>
      <c r="G6965" s="11" t="str">
        <f t="shared" si="541"/>
        <v>11-25</v>
      </c>
      <c r="H6965" s="1">
        <f>_xlfn.IFNA(VLOOKUP(E6965,'Urban Plastix Holds'!$I$36:$U$498,11,0),0)</f>
        <v>0</v>
      </c>
      <c r="J6965" s="2">
        <f t="shared" si="542"/>
        <v>0</v>
      </c>
      <c r="K6965" s="2">
        <f t="shared" si="543"/>
        <v>0</v>
      </c>
    </row>
    <row r="6966" spans="5:11">
      <c r="E6966" s="3" t="s">
        <v>3088</v>
      </c>
      <c r="F6966" s="3" t="s">
        <v>3090</v>
      </c>
      <c r="G6966" s="13" t="str">
        <f t="shared" si="541"/>
        <v>18-01</v>
      </c>
      <c r="H6966" s="1">
        <f>_xlfn.IFNA(VLOOKUP(E6966,'Urban Plastix Holds'!$I$36:$U$498,12,0),0)</f>
        <v>0</v>
      </c>
      <c r="J6966" s="2">
        <f t="shared" si="542"/>
        <v>0</v>
      </c>
      <c r="K6966" s="2">
        <f t="shared" si="543"/>
        <v>0</v>
      </c>
    </row>
    <row r="6967" spans="5:11">
      <c r="E6967" s="3" t="s">
        <v>3088</v>
      </c>
      <c r="F6967" s="3" t="s">
        <v>3090</v>
      </c>
      <c r="G6967" s="12" t="str">
        <f t="shared" si="541"/>
        <v>12-01</v>
      </c>
      <c r="H6967" s="1">
        <f>_xlfn.IFNA(VLOOKUP(E6967,'Urban Plastix Holds'!$I$36:$U$498,13,0),0)</f>
        <v>0</v>
      </c>
      <c r="J6967" s="2">
        <f t="shared" si="542"/>
        <v>0</v>
      </c>
      <c r="K6967" s="2">
        <f t="shared" si="543"/>
        <v>0</v>
      </c>
    </row>
    <row r="6968" spans="5:11">
      <c r="E6968" s="3" t="s">
        <v>3091</v>
      </c>
      <c r="F6968" s="3" t="s">
        <v>3092</v>
      </c>
      <c r="G6968" s="5" t="str">
        <f t="shared" si="541"/>
        <v>11-12</v>
      </c>
      <c r="H6968" s="1">
        <f>_xlfn.IFNA(VLOOKUP(E6968,'Urban Plastix Holds'!$I$36:$U$498,5,0),0)</f>
        <v>0</v>
      </c>
      <c r="J6968" s="2">
        <f t="shared" si="542"/>
        <v>0</v>
      </c>
      <c r="K6968" s="2">
        <f t="shared" si="543"/>
        <v>0</v>
      </c>
    </row>
    <row r="6969" spans="5:11">
      <c r="E6969" s="3" t="s">
        <v>3091</v>
      </c>
      <c r="F6969" s="3" t="s">
        <v>3092</v>
      </c>
      <c r="G6969" s="6" t="str">
        <f t="shared" si="541"/>
        <v>14-01</v>
      </c>
      <c r="H6969" s="1">
        <f>_xlfn.IFNA(VLOOKUP(E6969,'Urban Plastix Holds'!$I$36:$U$498,6,0),0)</f>
        <v>0</v>
      </c>
      <c r="J6969" s="2">
        <f t="shared" si="542"/>
        <v>0</v>
      </c>
      <c r="K6969" s="2">
        <f t="shared" si="543"/>
        <v>0</v>
      </c>
    </row>
    <row r="6970" spans="5:11">
      <c r="E6970" s="3" t="s">
        <v>3091</v>
      </c>
      <c r="F6970" s="3" t="s">
        <v>3092</v>
      </c>
      <c r="G6970" s="7" t="str">
        <f t="shared" si="541"/>
        <v>15-12</v>
      </c>
      <c r="H6970" s="1">
        <f>_xlfn.IFNA(VLOOKUP(E6970,'Urban Plastix Holds'!$I$36:$U$498,7,0),0)</f>
        <v>0</v>
      </c>
      <c r="J6970" s="2">
        <f t="shared" si="542"/>
        <v>0</v>
      </c>
      <c r="K6970" s="2">
        <f t="shared" si="543"/>
        <v>0</v>
      </c>
    </row>
    <row r="6971" spans="5:11">
      <c r="E6971" s="3" t="s">
        <v>3091</v>
      </c>
      <c r="F6971" s="3" t="s">
        <v>3092</v>
      </c>
      <c r="G6971" s="8" t="str">
        <f t="shared" si="541"/>
        <v>16-16</v>
      </c>
      <c r="H6971" s="1">
        <f>_xlfn.IFNA(VLOOKUP(E6971,'Urban Plastix Holds'!$I$36:$U$498,8,0),0)</f>
        <v>0</v>
      </c>
      <c r="J6971" s="2">
        <f t="shared" si="542"/>
        <v>0</v>
      </c>
      <c r="K6971" s="2">
        <f t="shared" si="543"/>
        <v>0</v>
      </c>
    </row>
    <row r="6972" spans="5:11">
      <c r="E6972" s="3" t="s">
        <v>3091</v>
      </c>
      <c r="F6972" s="3" t="s">
        <v>3092</v>
      </c>
      <c r="G6972" s="9" t="str">
        <f t="shared" si="541"/>
        <v>13-01</v>
      </c>
      <c r="H6972" s="1">
        <f>_xlfn.IFNA(VLOOKUP(E6972,'Urban Plastix Holds'!$I$36:$U$498,9,0),0)</f>
        <v>0</v>
      </c>
      <c r="J6972" s="2">
        <f t="shared" si="542"/>
        <v>0</v>
      </c>
      <c r="K6972" s="2">
        <f t="shared" si="543"/>
        <v>0</v>
      </c>
    </row>
    <row r="6973" spans="5:11">
      <c r="E6973" s="3" t="s">
        <v>3091</v>
      </c>
      <c r="F6973" s="3" t="s">
        <v>3092</v>
      </c>
      <c r="G6973" s="10" t="str">
        <f t="shared" si="541"/>
        <v>07-13</v>
      </c>
      <c r="H6973" s="1">
        <f>_xlfn.IFNA(VLOOKUP(E6973,'Urban Plastix Holds'!$I$36:$U$498,10,0),0)</f>
        <v>0</v>
      </c>
      <c r="J6973" s="2">
        <f t="shared" si="542"/>
        <v>0</v>
      </c>
      <c r="K6973" s="2">
        <f t="shared" si="543"/>
        <v>0</v>
      </c>
    </row>
    <row r="6974" spans="5:11">
      <c r="E6974" s="3" t="s">
        <v>3091</v>
      </c>
      <c r="F6974" s="3" t="s">
        <v>3092</v>
      </c>
      <c r="G6974" s="11" t="str">
        <f t="shared" si="541"/>
        <v>11-25</v>
      </c>
      <c r="H6974" s="1">
        <f>_xlfn.IFNA(VLOOKUP(E6974,'Urban Plastix Holds'!$I$36:$U$498,11,0),0)</f>
        <v>0</v>
      </c>
      <c r="J6974" s="2">
        <f t="shared" si="542"/>
        <v>0</v>
      </c>
      <c r="K6974" s="2">
        <f t="shared" si="543"/>
        <v>0</v>
      </c>
    </row>
    <row r="6975" spans="5:11">
      <c r="E6975" s="3" t="s">
        <v>3091</v>
      </c>
      <c r="F6975" s="3" t="s">
        <v>3092</v>
      </c>
      <c r="G6975" s="13" t="str">
        <f t="shared" si="541"/>
        <v>18-01</v>
      </c>
      <c r="H6975" s="1">
        <f>_xlfn.IFNA(VLOOKUP(E6975,'Urban Plastix Holds'!$I$36:$U$498,12,0),0)</f>
        <v>0</v>
      </c>
      <c r="J6975" s="2">
        <f t="shared" si="542"/>
        <v>0</v>
      </c>
      <c r="K6975" s="2">
        <f t="shared" si="543"/>
        <v>0</v>
      </c>
    </row>
    <row r="6976" spans="5:11">
      <c r="E6976" s="3" t="s">
        <v>3091</v>
      </c>
      <c r="F6976" s="3" t="s">
        <v>3092</v>
      </c>
      <c r="G6976" s="12" t="str">
        <f t="shared" si="541"/>
        <v>12-01</v>
      </c>
      <c r="H6976" s="1">
        <f>_xlfn.IFNA(VLOOKUP(E6976,'Urban Plastix Holds'!$I$36:$U$498,13,0),0)</f>
        <v>0</v>
      </c>
      <c r="J6976" s="2">
        <f t="shared" si="542"/>
        <v>0</v>
      </c>
      <c r="K6976" s="2">
        <f t="shared" si="543"/>
        <v>0</v>
      </c>
    </row>
    <row r="6977" spans="5:11">
      <c r="E6977" s="3" t="s">
        <v>3089</v>
      </c>
      <c r="F6977" s="3" t="s">
        <v>3093</v>
      </c>
      <c r="G6977" s="5" t="str">
        <f t="shared" si="541"/>
        <v>11-12</v>
      </c>
      <c r="H6977" s="1">
        <f>_xlfn.IFNA(VLOOKUP(E6977,'Urban Plastix Holds'!$I$36:$U$498,5,0),0)</f>
        <v>0</v>
      </c>
      <c r="J6977" s="2">
        <f t="shared" si="542"/>
        <v>0</v>
      </c>
      <c r="K6977" s="2">
        <f t="shared" si="543"/>
        <v>0</v>
      </c>
    </row>
    <row r="6978" spans="5:11">
      <c r="E6978" s="3" t="s">
        <v>3089</v>
      </c>
      <c r="F6978" s="3" t="s">
        <v>3093</v>
      </c>
      <c r="G6978" s="6" t="str">
        <f t="shared" si="541"/>
        <v>14-01</v>
      </c>
      <c r="H6978" s="1">
        <f>_xlfn.IFNA(VLOOKUP(E6978,'Urban Plastix Holds'!$I$36:$U$498,6,0),0)</f>
        <v>0</v>
      </c>
      <c r="J6978" s="2">
        <f t="shared" si="542"/>
        <v>0</v>
      </c>
      <c r="K6978" s="2">
        <f t="shared" si="543"/>
        <v>0</v>
      </c>
    </row>
    <row r="6979" spans="5:11">
      <c r="E6979" s="3" t="s">
        <v>3089</v>
      </c>
      <c r="F6979" s="3" t="s">
        <v>3093</v>
      </c>
      <c r="G6979" s="7" t="str">
        <f t="shared" si="541"/>
        <v>15-12</v>
      </c>
      <c r="H6979" s="1">
        <f>_xlfn.IFNA(VLOOKUP(E6979,'Urban Plastix Holds'!$I$36:$U$498,7,0),0)</f>
        <v>0</v>
      </c>
      <c r="J6979" s="2">
        <f t="shared" si="542"/>
        <v>0</v>
      </c>
      <c r="K6979" s="2">
        <f t="shared" si="543"/>
        <v>0</v>
      </c>
    </row>
    <row r="6980" spans="5:11">
      <c r="E6980" s="3" t="s">
        <v>3089</v>
      </c>
      <c r="F6980" s="3" t="s">
        <v>3093</v>
      </c>
      <c r="G6980" s="8" t="str">
        <f t="shared" si="541"/>
        <v>16-16</v>
      </c>
      <c r="H6980" s="1">
        <f>_xlfn.IFNA(VLOOKUP(E6980,'Urban Plastix Holds'!$I$36:$U$498,8,0),0)</f>
        <v>0</v>
      </c>
      <c r="J6980" s="2">
        <f t="shared" si="542"/>
        <v>0</v>
      </c>
      <c r="K6980" s="2">
        <f t="shared" si="543"/>
        <v>0</v>
      </c>
    </row>
    <row r="6981" spans="5:11">
      <c r="E6981" s="3" t="s">
        <v>3089</v>
      </c>
      <c r="F6981" s="3" t="s">
        <v>3093</v>
      </c>
      <c r="G6981" s="9" t="str">
        <f t="shared" si="541"/>
        <v>13-01</v>
      </c>
      <c r="H6981" s="1">
        <f>_xlfn.IFNA(VLOOKUP(E6981,'Urban Plastix Holds'!$I$36:$U$498,9,0),0)</f>
        <v>0</v>
      </c>
      <c r="J6981" s="2">
        <f t="shared" si="542"/>
        <v>0</v>
      </c>
      <c r="K6981" s="2">
        <f t="shared" si="543"/>
        <v>0</v>
      </c>
    </row>
    <row r="6982" spans="5:11">
      <c r="E6982" s="3" t="s">
        <v>3089</v>
      </c>
      <c r="F6982" s="3" t="s">
        <v>3093</v>
      </c>
      <c r="G6982" s="10" t="str">
        <f t="shared" si="541"/>
        <v>07-13</v>
      </c>
      <c r="H6982" s="1">
        <f>_xlfn.IFNA(VLOOKUP(E6982,'Urban Plastix Holds'!$I$36:$U$498,10,0),0)</f>
        <v>0</v>
      </c>
      <c r="J6982" s="2">
        <f t="shared" si="542"/>
        <v>0</v>
      </c>
      <c r="K6982" s="2">
        <f t="shared" si="543"/>
        <v>0</v>
      </c>
    </row>
    <row r="6983" spans="5:11">
      <c r="E6983" s="3" t="s">
        <v>3089</v>
      </c>
      <c r="F6983" s="3" t="s">
        <v>3093</v>
      </c>
      <c r="G6983" s="11" t="str">
        <f t="shared" si="541"/>
        <v>11-25</v>
      </c>
      <c r="H6983" s="1">
        <f>_xlfn.IFNA(VLOOKUP(E6983,'Urban Plastix Holds'!$I$36:$U$498,11,0),0)</f>
        <v>0</v>
      </c>
      <c r="J6983" s="2">
        <f t="shared" si="542"/>
        <v>0</v>
      </c>
      <c r="K6983" s="2">
        <f t="shared" si="543"/>
        <v>0</v>
      </c>
    </row>
    <row r="6984" spans="5:11">
      <c r="E6984" s="3" t="s">
        <v>3089</v>
      </c>
      <c r="F6984" s="3" t="s">
        <v>3093</v>
      </c>
      <c r="G6984" s="13" t="str">
        <f t="shared" si="541"/>
        <v>18-01</v>
      </c>
      <c r="H6984" s="1">
        <f>_xlfn.IFNA(VLOOKUP(E6984,'Urban Plastix Holds'!$I$36:$U$498,12,0),0)</f>
        <v>0</v>
      </c>
      <c r="J6984" s="2">
        <f t="shared" si="542"/>
        <v>0</v>
      </c>
      <c r="K6984" s="2">
        <f t="shared" si="543"/>
        <v>0</v>
      </c>
    </row>
    <row r="6985" spans="5:11">
      <c r="E6985" s="3" t="s">
        <v>3089</v>
      </c>
      <c r="F6985" s="3" t="s">
        <v>3093</v>
      </c>
      <c r="G6985" s="12" t="str">
        <f t="shared" si="541"/>
        <v>12-01</v>
      </c>
      <c r="H6985" s="1">
        <f>_xlfn.IFNA(VLOOKUP(E6985,'Urban Plastix Holds'!$I$36:$U$498,13,0),0)</f>
        <v>0</v>
      </c>
      <c r="J6985" s="2">
        <f t="shared" si="542"/>
        <v>0</v>
      </c>
      <c r="K6985" s="2">
        <f t="shared" si="543"/>
        <v>0</v>
      </c>
    </row>
    <row r="6986" spans="5:11">
      <c r="E6986" s="3" t="s">
        <v>3131</v>
      </c>
      <c r="F6986" s="3" t="s">
        <v>3132</v>
      </c>
      <c r="G6986" s="5" t="str">
        <f t="shared" si="541"/>
        <v>11-12</v>
      </c>
      <c r="H6986" s="1">
        <f>_xlfn.IFNA(VLOOKUP(E6986,'Urban Plastix Holds'!$I$36:$U$498,5,0),0)</f>
        <v>0</v>
      </c>
      <c r="J6986" s="2">
        <f t="shared" ref="J6986:J6994" si="544">H6986*I6986</f>
        <v>0</v>
      </c>
      <c r="K6986" s="2">
        <f t="shared" ref="K6986:K6994" si="545">IF($V$11="Y",J6986*0.05,0)</f>
        <v>0</v>
      </c>
    </row>
    <row r="6987" spans="5:11">
      <c r="E6987" s="3" t="s">
        <v>3131</v>
      </c>
      <c r="F6987" s="3" t="s">
        <v>3132</v>
      </c>
      <c r="G6987" s="6" t="str">
        <f t="shared" si="541"/>
        <v>14-01</v>
      </c>
      <c r="H6987" s="1">
        <f>_xlfn.IFNA(VLOOKUP(E6987,'Urban Plastix Holds'!$I$36:$U$498,6,0),0)</f>
        <v>0</v>
      </c>
      <c r="J6987" s="2">
        <f t="shared" si="544"/>
        <v>0</v>
      </c>
      <c r="K6987" s="2">
        <f t="shared" si="545"/>
        <v>0</v>
      </c>
    </row>
    <row r="6988" spans="5:11">
      <c r="E6988" s="3" t="s">
        <v>3131</v>
      </c>
      <c r="F6988" s="3" t="s">
        <v>3132</v>
      </c>
      <c r="G6988" s="7" t="str">
        <f t="shared" si="541"/>
        <v>15-12</v>
      </c>
      <c r="H6988" s="1">
        <f>_xlfn.IFNA(VLOOKUP(E6988,'Urban Plastix Holds'!$I$36:$U$498,7,0),0)</f>
        <v>0</v>
      </c>
      <c r="J6988" s="2">
        <f t="shared" si="544"/>
        <v>0</v>
      </c>
      <c r="K6988" s="2">
        <f t="shared" si="545"/>
        <v>0</v>
      </c>
    </row>
    <row r="6989" spans="5:11">
      <c r="E6989" s="3" t="s">
        <v>3131</v>
      </c>
      <c r="F6989" s="3" t="s">
        <v>3132</v>
      </c>
      <c r="G6989" s="8" t="str">
        <f t="shared" ref="G6989:G7039" si="546">G6926</f>
        <v>16-16</v>
      </c>
      <c r="H6989" s="1">
        <f>_xlfn.IFNA(VLOOKUP(E6989,'Urban Plastix Holds'!$I$36:$U$498,8,0),0)</f>
        <v>0</v>
      </c>
      <c r="J6989" s="2">
        <f t="shared" si="544"/>
        <v>0</v>
      </c>
      <c r="K6989" s="2">
        <f t="shared" si="545"/>
        <v>0</v>
      </c>
    </row>
    <row r="6990" spans="5:11">
      <c r="E6990" s="3" t="s">
        <v>3131</v>
      </c>
      <c r="F6990" s="3" t="s">
        <v>3132</v>
      </c>
      <c r="G6990" s="9" t="str">
        <f t="shared" si="546"/>
        <v>13-01</v>
      </c>
      <c r="H6990" s="1">
        <f>_xlfn.IFNA(VLOOKUP(E6990,'Urban Plastix Holds'!$I$36:$U$498,9,0),0)</f>
        <v>0</v>
      </c>
      <c r="J6990" s="2">
        <f t="shared" si="544"/>
        <v>0</v>
      </c>
      <c r="K6990" s="2">
        <f t="shared" si="545"/>
        <v>0</v>
      </c>
    </row>
    <row r="6991" spans="5:11">
      <c r="E6991" s="3" t="s">
        <v>3131</v>
      </c>
      <c r="F6991" s="3" t="s">
        <v>3132</v>
      </c>
      <c r="G6991" s="10" t="str">
        <f t="shared" si="546"/>
        <v>07-13</v>
      </c>
      <c r="H6991" s="1">
        <f>_xlfn.IFNA(VLOOKUP(E6991,'Urban Plastix Holds'!$I$36:$U$498,10,0),0)</f>
        <v>0</v>
      </c>
      <c r="J6991" s="2">
        <f t="shared" si="544"/>
        <v>0</v>
      </c>
      <c r="K6991" s="2">
        <f t="shared" si="545"/>
        <v>0</v>
      </c>
    </row>
    <row r="6992" spans="5:11">
      <c r="E6992" s="3" t="s">
        <v>3131</v>
      </c>
      <c r="F6992" s="3" t="s">
        <v>3132</v>
      </c>
      <c r="G6992" s="11" t="str">
        <f t="shared" si="546"/>
        <v>11-25</v>
      </c>
      <c r="H6992" s="1">
        <f>_xlfn.IFNA(VLOOKUP(E6992,'Urban Plastix Holds'!$I$36:$U$498,11,0),0)</f>
        <v>0</v>
      </c>
      <c r="J6992" s="2">
        <f t="shared" si="544"/>
        <v>0</v>
      </c>
      <c r="K6992" s="2">
        <f t="shared" si="545"/>
        <v>0</v>
      </c>
    </row>
    <row r="6993" spans="5:11">
      <c r="E6993" s="3" t="s">
        <v>3131</v>
      </c>
      <c r="F6993" s="3" t="s">
        <v>3132</v>
      </c>
      <c r="G6993" s="13" t="str">
        <f t="shared" si="546"/>
        <v>18-01</v>
      </c>
      <c r="H6993" s="1">
        <f>_xlfn.IFNA(VLOOKUP(E6993,'Urban Plastix Holds'!$I$36:$U$498,12,0),0)</f>
        <v>0</v>
      </c>
      <c r="J6993" s="2">
        <f t="shared" si="544"/>
        <v>0</v>
      </c>
      <c r="K6993" s="2">
        <f t="shared" si="545"/>
        <v>0</v>
      </c>
    </row>
    <row r="6994" spans="5:11">
      <c r="E6994" s="3" t="s">
        <v>3131</v>
      </c>
      <c r="F6994" s="3" t="s">
        <v>3132</v>
      </c>
      <c r="G6994" s="12" t="str">
        <f t="shared" si="546"/>
        <v>12-01</v>
      </c>
      <c r="H6994" s="1">
        <f>_xlfn.IFNA(VLOOKUP(E6994,'Urban Plastix Holds'!$I$36:$U$498,13,0),0)</f>
        <v>0</v>
      </c>
      <c r="J6994" s="2">
        <f t="shared" si="544"/>
        <v>0</v>
      </c>
      <c r="K6994" s="2">
        <f t="shared" si="545"/>
        <v>0</v>
      </c>
    </row>
    <row r="6995" spans="5:11">
      <c r="E6995" s="3" t="s">
        <v>3133</v>
      </c>
      <c r="F6995" s="3" t="s">
        <v>3134</v>
      </c>
      <c r="G6995" s="5" t="str">
        <f t="shared" si="546"/>
        <v>11-12</v>
      </c>
      <c r="H6995" s="1">
        <f>_xlfn.IFNA(VLOOKUP(E6995,'Urban Plastix Holds'!$I$36:$U$498,5,0),0)</f>
        <v>0</v>
      </c>
      <c r="J6995" s="2">
        <f t="shared" ref="J6995:J7039" si="547">H6995*I6995</f>
        <v>0</v>
      </c>
      <c r="K6995" s="2">
        <f t="shared" ref="K6995:K7039" si="548">IF($V$11="Y",J6995*0.05,0)</f>
        <v>0</v>
      </c>
    </row>
    <row r="6996" spans="5:11">
      <c r="E6996" s="3" t="s">
        <v>3133</v>
      </c>
      <c r="F6996" s="3" t="s">
        <v>3134</v>
      </c>
      <c r="G6996" s="6" t="str">
        <f t="shared" si="546"/>
        <v>14-01</v>
      </c>
      <c r="H6996" s="1">
        <f>_xlfn.IFNA(VLOOKUP(E6996,'Urban Plastix Holds'!$I$36:$U$498,6,0),0)</f>
        <v>0</v>
      </c>
      <c r="J6996" s="2">
        <f t="shared" si="547"/>
        <v>0</v>
      </c>
      <c r="K6996" s="2">
        <f t="shared" si="548"/>
        <v>0</v>
      </c>
    </row>
    <row r="6997" spans="5:11">
      <c r="E6997" s="3" t="s">
        <v>3133</v>
      </c>
      <c r="F6997" s="3" t="s">
        <v>3134</v>
      </c>
      <c r="G6997" s="7" t="str">
        <f t="shared" si="546"/>
        <v>15-12</v>
      </c>
      <c r="H6997" s="1">
        <f>_xlfn.IFNA(VLOOKUP(E6997,'Urban Plastix Holds'!$I$36:$U$498,7,0),0)</f>
        <v>0</v>
      </c>
      <c r="J6997" s="2">
        <f t="shared" si="547"/>
        <v>0</v>
      </c>
      <c r="K6997" s="2">
        <f t="shared" si="548"/>
        <v>0</v>
      </c>
    </row>
    <row r="6998" spans="5:11">
      <c r="E6998" s="3" t="s">
        <v>3133</v>
      </c>
      <c r="F6998" s="3" t="s">
        <v>3134</v>
      </c>
      <c r="G6998" s="8" t="str">
        <f t="shared" si="546"/>
        <v>16-16</v>
      </c>
      <c r="H6998" s="1">
        <f>_xlfn.IFNA(VLOOKUP(E6998,'Urban Plastix Holds'!$I$36:$U$498,8,0),0)</f>
        <v>0</v>
      </c>
      <c r="J6998" s="2">
        <f t="shared" si="547"/>
        <v>0</v>
      </c>
      <c r="K6998" s="2">
        <f t="shared" si="548"/>
        <v>0</v>
      </c>
    </row>
    <row r="6999" spans="5:11">
      <c r="E6999" s="3" t="s">
        <v>3133</v>
      </c>
      <c r="F6999" s="3" t="s">
        <v>3134</v>
      </c>
      <c r="G6999" s="9" t="str">
        <f t="shared" si="546"/>
        <v>13-01</v>
      </c>
      <c r="H6999" s="1">
        <f>_xlfn.IFNA(VLOOKUP(E6999,'Urban Plastix Holds'!$I$36:$U$498,9,0),0)</f>
        <v>0</v>
      </c>
      <c r="J6999" s="2">
        <f t="shared" si="547"/>
        <v>0</v>
      </c>
      <c r="K6999" s="2">
        <f t="shared" si="548"/>
        <v>0</v>
      </c>
    </row>
    <row r="7000" spans="5:11">
      <c r="E7000" s="3" t="s">
        <v>3133</v>
      </c>
      <c r="F7000" s="3" t="s">
        <v>3134</v>
      </c>
      <c r="G7000" s="10" t="str">
        <f t="shared" si="546"/>
        <v>07-13</v>
      </c>
      <c r="H7000" s="1">
        <f>_xlfn.IFNA(VLOOKUP(E7000,'Urban Plastix Holds'!$I$36:$U$498,10,0),0)</f>
        <v>0</v>
      </c>
      <c r="J7000" s="2">
        <f t="shared" si="547"/>
        <v>0</v>
      </c>
      <c r="K7000" s="2">
        <f t="shared" si="548"/>
        <v>0</v>
      </c>
    </row>
    <row r="7001" spans="5:11">
      <c r="E7001" s="3" t="s">
        <v>3133</v>
      </c>
      <c r="F7001" s="3" t="s">
        <v>3134</v>
      </c>
      <c r="G7001" s="11" t="str">
        <f t="shared" si="546"/>
        <v>11-25</v>
      </c>
      <c r="H7001" s="1">
        <f>_xlfn.IFNA(VLOOKUP(E7001,'Urban Plastix Holds'!$I$36:$U$498,11,0),0)</f>
        <v>0</v>
      </c>
      <c r="J7001" s="2">
        <f t="shared" si="547"/>
        <v>0</v>
      </c>
      <c r="K7001" s="2">
        <f t="shared" si="548"/>
        <v>0</v>
      </c>
    </row>
    <row r="7002" spans="5:11">
      <c r="E7002" s="3" t="s">
        <v>3133</v>
      </c>
      <c r="F7002" s="3" t="s">
        <v>3134</v>
      </c>
      <c r="G7002" s="13" t="str">
        <f t="shared" si="546"/>
        <v>18-01</v>
      </c>
      <c r="H7002" s="1">
        <f>_xlfn.IFNA(VLOOKUP(E7002,'Urban Plastix Holds'!$I$36:$U$498,12,0),0)</f>
        <v>0</v>
      </c>
      <c r="J7002" s="2">
        <f t="shared" si="547"/>
        <v>0</v>
      </c>
      <c r="K7002" s="2">
        <f t="shared" si="548"/>
        <v>0</v>
      </c>
    </row>
    <row r="7003" spans="5:11">
      <c r="E7003" s="3" t="s">
        <v>3133</v>
      </c>
      <c r="F7003" s="3" t="s">
        <v>3134</v>
      </c>
      <c r="G7003" s="12" t="str">
        <f t="shared" si="546"/>
        <v>12-01</v>
      </c>
      <c r="H7003" s="1">
        <f>_xlfn.IFNA(VLOOKUP(E7003,'Urban Plastix Holds'!$I$36:$U$498,13,0),0)</f>
        <v>0</v>
      </c>
      <c r="J7003" s="2">
        <f t="shared" si="547"/>
        <v>0</v>
      </c>
      <c r="K7003" s="2">
        <f t="shared" si="548"/>
        <v>0</v>
      </c>
    </row>
    <row r="7004" spans="5:11">
      <c r="E7004" s="3" t="s">
        <v>3135</v>
      </c>
      <c r="F7004" s="3" t="s">
        <v>3136</v>
      </c>
      <c r="G7004" s="5" t="str">
        <f t="shared" si="546"/>
        <v>11-12</v>
      </c>
      <c r="H7004" s="1">
        <f>_xlfn.IFNA(VLOOKUP(E7004,'Urban Plastix Holds'!$I$36:$U$498,5,0),0)</f>
        <v>0</v>
      </c>
      <c r="J7004" s="2">
        <f t="shared" si="547"/>
        <v>0</v>
      </c>
      <c r="K7004" s="2">
        <f t="shared" si="548"/>
        <v>0</v>
      </c>
    </row>
    <row r="7005" spans="5:11">
      <c r="E7005" s="3" t="s">
        <v>3135</v>
      </c>
      <c r="F7005" s="3" t="s">
        <v>3136</v>
      </c>
      <c r="G7005" s="6" t="str">
        <f t="shared" si="546"/>
        <v>14-01</v>
      </c>
      <c r="H7005" s="1">
        <f>_xlfn.IFNA(VLOOKUP(E7005,'Urban Plastix Holds'!$I$36:$U$498,6,0),0)</f>
        <v>0</v>
      </c>
      <c r="J7005" s="2">
        <f t="shared" si="547"/>
        <v>0</v>
      </c>
      <c r="K7005" s="2">
        <f t="shared" si="548"/>
        <v>0</v>
      </c>
    </row>
    <row r="7006" spans="5:11">
      <c r="E7006" s="3" t="s">
        <v>3135</v>
      </c>
      <c r="F7006" s="3" t="s">
        <v>3136</v>
      </c>
      <c r="G7006" s="7" t="str">
        <f t="shared" si="546"/>
        <v>15-12</v>
      </c>
      <c r="H7006" s="1">
        <f>_xlfn.IFNA(VLOOKUP(E7006,'Urban Plastix Holds'!$I$36:$U$498,7,0),0)</f>
        <v>0</v>
      </c>
      <c r="J7006" s="2">
        <f t="shared" si="547"/>
        <v>0</v>
      </c>
      <c r="K7006" s="2">
        <f t="shared" si="548"/>
        <v>0</v>
      </c>
    </row>
    <row r="7007" spans="5:11">
      <c r="E7007" s="3" t="s">
        <v>3135</v>
      </c>
      <c r="F7007" s="3" t="s">
        <v>3136</v>
      </c>
      <c r="G7007" s="8" t="str">
        <f t="shared" si="546"/>
        <v>16-16</v>
      </c>
      <c r="H7007" s="1">
        <f>_xlfn.IFNA(VLOOKUP(E7007,'Urban Plastix Holds'!$I$36:$U$498,8,0),0)</f>
        <v>0</v>
      </c>
      <c r="J7007" s="2">
        <f t="shared" si="547"/>
        <v>0</v>
      </c>
      <c r="K7007" s="2">
        <f t="shared" si="548"/>
        <v>0</v>
      </c>
    </row>
    <row r="7008" spans="5:11">
      <c r="E7008" s="3" t="s">
        <v>3135</v>
      </c>
      <c r="F7008" s="3" t="s">
        <v>3136</v>
      </c>
      <c r="G7008" s="9" t="str">
        <f t="shared" si="546"/>
        <v>13-01</v>
      </c>
      <c r="H7008" s="1">
        <f>_xlfn.IFNA(VLOOKUP(E7008,'Urban Plastix Holds'!$I$36:$U$498,9,0),0)</f>
        <v>0</v>
      </c>
      <c r="J7008" s="2">
        <f t="shared" si="547"/>
        <v>0</v>
      </c>
      <c r="K7008" s="2">
        <f t="shared" si="548"/>
        <v>0</v>
      </c>
    </row>
    <row r="7009" spans="5:11">
      <c r="E7009" s="3" t="s">
        <v>3135</v>
      </c>
      <c r="F7009" s="3" t="s">
        <v>3136</v>
      </c>
      <c r="G7009" s="10" t="str">
        <f t="shared" si="546"/>
        <v>07-13</v>
      </c>
      <c r="H7009" s="1">
        <f>_xlfn.IFNA(VLOOKUP(E7009,'Urban Plastix Holds'!$I$36:$U$498,10,0),0)</f>
        <v>0</v>
      </c>
      <c r="J7009" s="2">
        <f t="shared" si="547"/>
        <v>0</v>
      </c>
      <c r="K7009" s="2">
        <f t="shared" si="548"/>
        <v>0</v>
      </c>
    </row>
    <row r="7010" spans="5:11">
      <c r="E7010" s="3" t="s">
        <v>3135</v>
      </c>
      <c r="F7010" s="3" t="s">
        <v>3136</v>
      </c>
      <c r="G7010" s="11" t="str">
        <f t="shared" si="546"/>
        <v>11-25</v>
      </c>
      <c r="H7010" s="1">
        <f>_xlfn.IFNA(VLOOKUP(E7010,'Urban Plastix Holds'!$I$36:$U$498,11,0),0)</f>
        <v>0</v>
      </c>
      <c r="J7010" s="2">
        <f t="shared" si="547"/>
        <v>0</v>
      </c>
      <c r="K7010" s="2">
        <f t="shared" si="548"/>
        <v>0</v>
      </c>
    </row>
    <row r="7011" spans="5:11">
      <c r="E7011" s="3" t="s">
        <v>3135</v>
      </c>
      <c r="F7011" s="3" t="s">
        <v>3136</v>
      </c>
      <c r="G7011" s="13" t="str">
        <f t="shared" si="546"/>
        <v>18-01</v>
      </c>
      <c r="H7011" s="1">
        <f>_xlfn.IFNA(VLOOKUP(E7011,'Urban Plastix Holds'!$I$36:$U$498,12,0),0)</f>
        <v>0</v>
      </c>
      <c r="J7011" s="2">
        <f t="shared" si="547"/>
        <v>0</v>
      </c>
      <c r="K7011" s="2">
        <f t="shared" si="548"/>
        <v>0</v>
      </c>
    </row>
    <row r="7012" spans="5:11">
      <c r="E7012" s="3" t="s">
        <v>3135</v>
      </c>
      <c r="F7012" s="3" t="s">
        <v>3136</v>
      </c>
      <c r="G7012" s="12" t="str">
        <f t="shared" si="546"/>
        <v>12-01</v>
      </c>
      <c r="H7012" s="1">
        <f>_xlfn.IFNA(VLOOKUP(E7012,'Urban Plastix Holds'!$I$36:$U$498,13,0),0)</f>
        <v>0</v>
      </c>
      <c r="J7012" s="2">
        <f t="shared" si="547"/>
        <v>0</v>
      </c>
      <c r="K7012" s="2">
        <f t="shared" si="548"/>
        <v>0</v>
      </c>
    </row>
    <row r="7013" spans="5:11">
      <c r="E7013" s="3" t="s">
        <v>3137</v>
      </c>
      <c r="F7013" s="3" t="s">
        <v>3138</v>
      </c>
      <c r="G7013" s="5" t="str">
        <f t="shared" si="546"/>
        <v>11-12</v>
      </c>
      <c r="H7013" s="1">
        <f>_xlfn.IFNA(VLOOKUP(E7013,'Urban Plastix Holds'!$I$36:$U$498,5,0),0)</f>
        <v>0</v>
      </c>
      <c r="J7013" s="2">
        <f t="shared" si="547"/>
        <v>0</v>
      </c>
      <c r="K7013" s="2">
        <f t="shared" si="548"/>
        <v>0</v>
      </c>
    </row>
    <row r="7014" spans="5:11">
      <c r="E7014" s="3" t="s">
        <v>3137</v>
      </c>
      <c r="F7014" s="3" t="s">
        <v>3138</v>
      </c>
      <c r="G7014" s="6" t="str">
        <f t="shared" si="546"/>
        <v>14-01</v>
      </c>
      <c r="H7014" s="1">
        <f>_xlfn.IFNA(VLOOKUP(E7014,'Urban Plastix Holds'!$I$36:$U$498,6,0),0)</f>
        <v>0</v>
      </c>
      <c r="J7014" s="2">
        <f t="shared" si="547"/>
        <v>0</v>
      </c>
      <c r="K7014" s="2">
        <f t="shared" si="548"/>
        <v>0</v>
      </c>
    </row>
    <row r="7015" spans="5:11">
      <c r="E7015" s="3" t="s">
        <v>3137</v>
      </c>
      <c r="F7015" s="3" t="s">
        <v>3138</v>
      </c>
      <c r="G7015" s="7" t="str">
        <f t="shared" si="546"/>
        <v>15-12</v>
      </c>
      <c r="H7015" s="1">
        <f>_xlfn.IFNA(VLOOKUP(E7015,'Urban Plastix Holds'!$I$36:$U$498,7,0),0)</f>
        <v>0</v>
      </c>
      <c r="J7015" s="2">
        <f t="shared" si="547"/>
        <v>0</v>
      </c>
      <c r="K7015" s="2">
        <f t="shared" si="548"/>
        <v>0</v>
      </c>
    </row>
    <row r="7016" spans="5:11">
      <c r="E7016" s="3" t="s">
        <v>3137</v>
      </c>
      <c r="F7016" s="3" t="s">
        <v>3138</v>
      </c>
      <c r="G7016" s="8" t="str">
        <f t="shared" si="546"/>
        <v>16-16</v>
      </c>
      <c r="H7016" s="1">
        <f>_xlfn.IFNA(VLOOKUP(E7016,'Urban Plastix Holds'!$I$36:$U$498,8,0),0)</f>
        <v>0</v>
      </c>
      <c r="J7016" s="2">
        <f t="shared" si="547"/>
        <v>0</v>
      </c>
      <c r="K7016" s="2">
        <f t="shared" si="548"/>
        <v>0</v>
      </c>
    </row>
    <row r="7017" spans="5:11">
      <c r="E7017" s="3" t="s">
        <v>3137</v>
      </c>
      <c r="F7017" s="3" t="s">
        <v>3138</v>
      </c>
      <c r="G7017" s="9" t="str">
        <f t="shared" si="546"/>
        <v>13-01</v>
      </c>
      <c r="H7017" s="1">
        <f>_xlfn.IFNA(VLOOKUP(E7017,'Urban Plastix Holds'!$I$36:$U$498,9,0),0)</f>
        <v>0</v>
      </c>
      <c r="J7017" s="2">
        <f t="shared" si="547"/>
        <v>0</v>
      </c>
      <c r="K7017" s="2">
        <f t="shared" si="548"/>
        <v>0</v>
      </c>
    </row>
    <row r="7018" spans="5:11">
      <c r="E7018" s="3" t="s">
        <v>3137</v>
      </c>
      <c r="F7018" s="3" t="s">
        <v>3138</v>
      </c>
      <c r="G7018" s="10" t="str">
        <f t="shared" si="546"/>
        <v>07-13</v>
      </c>
      <c r="H7018" s="1">
        <f>_xlfn.IFNA(VLOOKUP(E7018,'Urban Plastix Holds'!$I$36:$U$498,10,0),0)</f>
        <v>0</v>
      </c>
      <c r="J7018" s="2">
        <f t="shared" si="547"/>
        <v>0</v>
      </c>
      <c r="K7018" s="2">
        <f t="shared" si="548"/>
        <v>0</v>
      </c>
    </row>
    <row r="7019" spans="5:11">
      <c r="E7019" s="3" t="s">
        <v>3137</v>
      </c>
      <c r="F7019" s="3" t="s">
        <v>3138</v>
      </c>
      <c r="G7019" s="11" t="str">
        <f t="shared" si="546"/>
        <v>11-25</v>
      </c>
      <c r="H7019" s="1">
        <f>_xlfn.IFNA(VLOOKUP(E7019,'Urban Plastix Holds'!$I$36:$U$498,11,0),0)</f>
        <v>0</v>
      </c>
      <c r="J7019" s="2">
        <f t="shared" si="547"/>
        <v>0</v>
      </c>
      <c r="K7019" s="2">
        <f t="shared" si="548"/>
        <v>0</v>
      </c>
    </row>
    <row r="7020" spans="5:11">
      <c r="E7020" s="3" t="s">
        <v>3137</v>
      </c>
      <c r="F7020" s="3" t="s">
        <v>3138</v>
      </c>
      <c r="G7020" s="13" t="str">
        <f t="shared" si="546"/>
        <v>18-01</v>
      </c>
      <c r="H7020" s="1">
        <f>_xlfn.IFNA(VLOOKUP(E7020,'Urban Plastix Holds'!$I$36:$U$498,12,0),0)</f>
        <v>0</v>
      </c>
      <c r="J7020" s="2">
        <f t="shared" si="547"/>
        <v>0</v>
      </c>
      <c r="K7020" s="2">
        <f t="shared" si="548"/>
        <v>0</v>
      </c>
    </row>
    <row r="7021" spans="5:11">
      <c r="E7021" s="3" t="s">
        <v>3137</v>
      </c>
      <c r="F7021" s="3" t="s">
        <v>3138</v>
      </c>
      <c r="G7021" s="12" t="str">
        <f t="shared" si="546"/>
        <v>12-01</v>
      </c>
      <c r="H7021" s="1">
        <f>_xlfn.IFNA(VLOOKUP(E7021,'Urban Plastix Holds'!$I$36:$U$498,13,0),0)</f>
        <v>0</v>
      </c>
      <c r="J7021" s="2">
        <f t="shared" si="547"/>
        <v>0</v>
      </c>
      <c r="K7021" s="2">
        <f t="shared" si="548"/>
        <v>0</v>
      </c>
    </row>
    <row r="7022" spans="5:11">
      <c r="E7022" s="3" t="s">
        <v>3139</v>
      </c>
      <c r="F7022" s="3" t="s">
        <v>3140</v>
      </c>
      <c r="G7022" s="5" t="str">
        <f t="shared" si="546"/>
        <v>11-12</v>
      </c>
      <c r="H7022" s="1">
        <f>_xlfn.IFNA(VLOOKUP(E7022,'Urban Plastix Holds'!$I$36:$U$498,5,0),0)</f>
        <v>0</v>
      </c>
      <c r="J7022" s="2">
        <f t="shared" si="547"/>
        <v>0</v>
      </c>
      <c r="K7022" s="2">
        <f t="shared" si="548"/>
        <v>0</v>
      </c>
    </row>
    <row r="7023" spans="5:11">
      <c r="E7023" s="3" t="s">
        <v>3139</v>
      </c>
      <c r="F7023" s="3" t="s">
        <v>3140</v>
      </c>
      <c r="G7023" s="6" t="str">
        <f t="shared" si="546"/>
        <v>14-01</v>
      </c>
      <c r="H7023" s="1">
        <f>_xlfn.IFNA(VLOOKUP(E7023,'Urban Plastix Holds'!$I$36:$U$498,6,0),0)</f>
        <v>0</v>
      </c>
      <c r="J7023" s="2">
        <f t="shared" si="547"/>
        <v>0</v>
      </c>
      <c r="K7023" s="2">
        <f t="shared" si="548"/>
        <v>0</v>
      </c>
    </row>
    <row r="7024" spans="5:11">
      <c r="E7024" s="3" t="s">
        <v>3139</v>
      </c>
      <c r="F7024" s="3" t="s">
        <v>3140</v>
      </c>
      <c r="G7024" s="7" t="str">
        <f t="shared" si="546"/>
        <v>15-12</v>
      </c>
      <c r="H7024" s="1">
        <f>_xlfn.IFNA(VLOOKUP(E7024,'Urban Plastix Holds'!$I$36:$U$498,7,0),0)</f>
        <v>0</v>
      </c>
      <c r="J7024" s="2">
        <f t="shared" si="547"/>
        <v>0</v>
      </c>
      <c r="K7024" s="2">
        <f t="shared" si="548"/>
        <v>0</v>
      </c>
    </row>
    <row r="7025" spans="5:11">
      <c r="E7025" s="3" t="s">
        <v>3139</v>
      </c>
      <c r="F7025" s="3" t="s">
        <v>3140</v>
      </c>
      <c r="G7025" s="8" t="str">
        <f t="shared" si="546"/>
        <v>16-16</v>
      </c>
      <c r="H7025" s="1">
        <f>_xlfn.IFNA(VLOOKUP(E7025,'Urban Plastix Holds'!$I$36:$U$498,8,0),0)</f>
        <v>0</v>
      </c>
      <c r="J7025" s="2">
        <f t="shared" si="547"/>
        <v>0</v>
      </c>
      <c r="K7025" s="2">
        <f t="shared" si="548"/>
        <v>0</v>
      </c>
    </row>
    <row r="7026" spans="5:11">
      <c r="E7026" s="3" t="s">
        <v>3139</v>
      </c>
      <c r="F7026" s="3" t="s">
        <v>3140</v>
      </c>
      <c r="G7026" s="9" t="str">
        <f t="shared" si="546"/>
        <v>13-01</v>
      </c>
      <c r="H7026" s="1">
        <f>_xlfn.IFNA(VLOOKUP(E7026,'Urban Plastix Holds'!$I$36:$U$498,9,0),0)</f>
        <v>0</v>
      </c>
      <c r="J7026" s="2">
        <f t="shared" si="547"/>
        <v>0</v>
      </c>
      <c r="K7026" s="2">
        <f t="shared" si="548"/>
        <v>0</v>
      </c>
    </row>
    <row r="7027" spans="5:11">
      <c r="E7027" s="3" t="s">
        <v>3139</v>
      </c>
      <c r="F7027" s="3" t="s">
        <v>3140</v>
      </c>
      <c r="G7027" s="10" t="str">
        <f t="shared" si="546"/>
        <v>07-13</v>
      </c>
      <c r="H7027" s="1">
        <f>_xlfn.IFNA(VLOOKUP(E7027,'Urban Plastix Holds'!$I$36:$U$498,10,0),0)</f>
        <v>0</v>
      </c>
      <c r="J7027" s="2">
        <f t="shared" si="547"/>
        <v>0</v>
      </c>
      <c r="K7027" s="2">
        <f t="shared" si="548"/>
        <v>0</v>
      </c>
    </row>
    <row r="7028" spans="5:11">
      <c r="E7028" s="3" t="s">
        <v>3139</v>
      </c>
      <c r="F7028" s="3" t="s">
        <v>3140</v>
      </c>
      <c r="G7028" s="11" t="str">
        <f t="shared" si="546"/>
        <v>11-25</v>
      </c>
      <c r="H7028" s="1">
        <f>_xlfn.IFNA(VLOOKUP(E7028,'Urban Plastix Holds'!$I$36:$U$498,11,0),0)</f>
        <v>0</v>
      </c>
      <c r="J7028" s="2">
        <f t="shared" si="547"/>
        <v>0</v>
      </c>
      <c r="K7028" s="2">
        <f t="shared" si="548"/>
        <v>0</v>
      </c>
    </row>
    <row r="7029" spans="5:11">
      <c r="E7029" s="3" t="s">
        <v>3139</v>
      </c>
      <c r="F7029" s="3" t="s">
        <v>3140</v>
      </c>
      <c r="G7029" s="13" t="str">
        <f t="shared" si="546"/>
        <v>18-01</v>
      </c>
      <c r="H7029" s="1">
        <f>_xlfn.IFNA(VLOOKUP(E7029,'Urban Plastix Holds'!$I$36:$U$498,12,0),0)</f>
        <v>0</v>
      </c>
      <c r="J7029" s="2">
        <f t="shared" si="547"/>
        <v>0</v>
      </c>
      <c r="K7029" s="2">
        <f t="shared" si="548"/>
        <v>0</v>
      </c>
    </row>
    <row r="7030" spans="5:11">
      <c r="E7030" s="3" t="s">
        <v>3139</v>
      </c>
      <c r="F7030" s="3" t="s">
        <v>3140</v>
      </c>
      <c r="G7030" s="12" t="str">
        <f t="shared" si="546"/>
        <v>12-01</v>
      </c>
      <c r="H7030" s="1">
        <f>_xlfn.IFNA(VLOOKUP(E7030,'Urban Plastix Holds'!$I$36:$U$498,13,0),0)</f>
        <v>0</v>
      </c>
      <c r="J7030" s="2">
        <f t="shared" si="547"/>
        <v>0</v>
      </c>
      <c r="K7030" s="2">
        <f t="shared" si="548"/>
        <v>0</v>
      </c>
    </row>
    <row r="7031" spans="5:11">
      <c r="E7031" s="3" t="s">
        <v>3141</v>
      </c>
      <c r="F7031" s="3" t="s">
        <v>3142</v>
      </c>
      <c r="G7031" s="5" t="str">
        <f t="shared" si="546"/>
        <v>11-12</v>
      </c>
      <c r="H7031" s="1">
        <f>_xlfn.IFNA(VLOOKUP(E7031,'Urban Plastix Holds'!$I$36:$U$498,5,0),0)</f>
        <v>0</v>
      </c>
      <c r="J7031" s="2">
        <f t="shared" si="547"/>
        <v>0</v>
      </c>
      <c r="K7031" s="2">
        <f t="shared" si="548"/>
        <v>0</v>
      </c>
    </row>
    <row r="7032" spans="5:11">
      <c r="E7032" s="3" t="s">
        <v>3141</v>
      </c>
      <c r="F7032" s="3" t="s">
        <v>3142</v>
      </c>
      <c r="G7032" s="6" t="str">
        <f t="shared" si="546"/>
        <v>14-01</v>
      </c>
      <c r="H7032" s="1">
        <f>_xlfn.IFNA(VLOOKUP(E7032,'Urban Plastix Holds'!$I$36:$U$498,6,0),0)</f>
        <v>0</v>
      </c>
      <c r="J7032" s="2">
        <f t="shared" si="547"/>
        <v>0</v>
      </c>
      <c r="K7032" s="2">
        <f t="shared" si="548"/>
        <v>0</v>
      </c>
    </row>
    <row r="7033" spans="5:11">
      <c r="E7033" s="3" t="s">
        <v>3141</v>
      </c>
      <c r="F7033" s="3" t="s">
        <v>3142</v>
      </c>
      <c r="G7033" s="7" t="str">
        <f t="shared" si="546"/>
        <v>15-12</v>
      </c>
      <c r="H7033" s="1">
        <f>_xlfn.IFNA(VLOOKUP(E7033,'Urban Plastix Holds'!$I$36:$U$498,7,0),0)</f>
        <v>0</v>
      </c>
      <c r="J7033" s="2">
        <f t="shared" si="547"/>
        <v>0</v>
      </c>
      <c r="K7033" s="2">
        <f t="shared" si="548"/>
        <v>0</v>
      </c>
    </row>
    <row r="7034" spans="5:11">
      <c r="E7034" s="3" t="s">
        <v>3141</v>
      </c>
      <c r="F7034" s="3" t="s">
        <v>3142</v>
      </c>
      <c r="G7034" s="8" t="str">
        <f t="shared" si="546"/>
        <v>16-16</v>
      </c>
      <c r="H7034" s="1">
        <f>_xlfn.IFNA(VLOOKUP(E7034,'Urban Plastix Holds'!$I$36:$U$498,8,0),0)</f>
        <v>0</v>
      </c>
      <c r="J7034" s="2">
        <f t="shared" si="547"/>
        <v>0</v>
      </c>
      <c r="K7034" s="2">
        <f t="shared" si="548"/>
        <v>0</v>
      </c>
    </row>
    <row r="7035" spans="5:11">
      <c r="E7035" s="3" t="s">
        <v>3141</v>
      </c>
      <c r="F7035" s="3" t="s">
        <v>3142</v>
      </c>
      <c r="G7035" s="9" t="str">
        <f t="shared" si="546"/>
        <v>13-01</v>
      </c>
      <c r="H7035" s="1">
        <f>_xlfn.IFNA(VLOOKUP(E7035,'Urban Plastix Holds'!$I$36:$U$498,9,0),0)</f>
        <v>0</v>
      </c>
      <c r="J7035" s="2">
        <f t="shared" si="547"/>
        <v>0</v>
      </c>
      <c r="K7035" s="2">
        <f t="shared" si="548"/>
        <v>0</v>
      </c>
    </row>
    <row r="7036" spans="5:11">
      <c r="E7036" s="3" t="s">
        <v>3141</v>
      </c>
      <c r="F7036" s="3" t="s">
        <v>3142</v>
      </c>
      <c r="G7036" s="10" t="str">
        <f t="shared" si="546"/>
        <v>07-13</v>
      </c>
      <c r="H7036" s="1">
        <f>_xlfn.IFNA(VLOOKUP(E7036,'Urban Plastix Holds'!$I$36:$U$498,10,0),0)</f>
        <v>0</v>
      </c>
      <c r="J7036" s="2">
        <f t="shared" si="547"/>
        <v>0</v>
      </c>
      <c r="K7036" s="2">
        <f t="shared" si="548"/>
        <v>0</v>
      </c>
    </row>
    <row r="7037" spans="5:11">
      <c r="E7037" s="3" t="s">
        <v>3141</v>
      </c>
      <c r="F7037" s="3" t="s">
        <v>3142</v>
      </c>
      <c r="G7037" s="11" t="str">
        <f t="shared" si="546"/>
        <v>11-25</v>
      </c>
      <c r="H7037" s="1">
        <f>_xlfn.IFNA(VLOOKUP(E7037,'Urban Plastix Holds'!$I$36:$U$498,11,0),0)</f>
        <v>0</v>
      </c>
      <c r="J7037" s="2">
        <f t="shared" si="547"/>
        <v>0</v>
      </c>
      <c r="K7037" s="2">
        <f t="shared" si="548"/>
        <v>0</v>
      </c>
    </row>
    <row r="7038" spans="5:11">
      <c r="E7038" s="3" t="s">
        <v>3141</v>
      </c>
      <c r="F7038" s="3" t="s">
        <v>3142</v>
      </c>
      <c r="G7038" s="13" t="str">
        <f t="shared" si="546"/>
        <v>18-01</v>
      </c>
      <c r="H7038" s="1">
        <f>_xlfn.IFNA(VLOOKUP(E7038,'Urban Plastix Holds'!$I$36:$U$498,12,0),0)</f>
        <v>0</v>
      </c>
      <c r="J7038" s="2">
        <f t="shared" si="547"/>
        <v>0</v>
      </c>
      <c r="K7038" s="2">
        <f t="shared" si="548"/>
        <v>0</v>
      </c>
    </row>
    <row r="7039" spans="5:11">
      <c r="E7039" s="3" t="s">
        <v>3141</v>
      </c>
      <c r="F7039" s="3" t="s">
        <v>3142</v>
      </c>
      <c r="G7039" s="12" t="str">
        <f t="shared" si="546"/>
        <v>12-01</v>
      </c>
      <c r="H7039" s="1">
        <f>_xlfn.IFNA(VLOOKUP(E7039,'Urban Plastix Holds'!$I$36:$U$498,13,0),0)</f>
        <v>0</v>
      </c>
      <c r="J7039" s="2">
        <f t="shared" si="547"/>
        <v>0</v>
      </c>
      <c r="K7039" s="2">
        <f t="shared" si="548"/>
        <v>0</v>
      </c>
    </row>
    <row r="7040" spans="5:11">
      <c r="E7040" s="3" t="s">
        <v>2115</v>
      </c>
      <c r="F7040" s="3" t="s">
        <v>2119</v>
      </c>
      <c r="G7040" s="5" t="str">
        <f t="shared" ref="G7040:G7048" si="549">G5897</f>
        <v>11-12</v>
      </c>
      <c r="H7040" s="1">
        <f>_xlfn.IFNA(VLOOKUP(E7040,'Urban Plastix Holds'!$I$36:$U$498,5,0),0)</f>
        <v>0</v>
      </c>
      <c r="J7040" s="2">
        <f t="shared" ref="J7040:J7048" si="550">H7040*I7040</f>
        <v>0</v>
      </c>
      <c r="K7040" s="2">
        <f t="shared" ref="K7040:K7048" si="551">IF($V$11="Y",J7040*0.05,0)</f>
        <v>0</v>
      </c>
    </row>
    <row r="7041" spans="5:11">
      <c r="E7041" s="3" t="s">
        <v>2115</v>
      </c>
      <c r="F7041" s="3" t="s">
        <v>2119</v>
      </c>
      <c r="G7041" s="6" t="str">
        <f t="shared" si="549"/>
        <v>14-01</v>
      </c>
      <c r="H7041" s="1">
        <f>_xlfn.IFNA(VLOOKUP(E7041,'Urban Plastix Holds'!$I$36:$U$498,6,0),0)</f>
        <v>0</v>
      </c>
      <c r="J7041" s="2">
        <f t="shared" si="550"/>
        <v>0</v>
      </c>
      <c r="K7041" s="2">
        <f t="shared" si="551"/>
        <v>0</v>
      </c>
    </row>
    <row r="7042" spans="5:11">
      <c r="E7042" s="3" t="s">
        <v>2115</v>
      </c>
      <c r="F7042" s="3" t="s">
        <v>2119</v>
      </c>
      <c r="G7042" s="7" t="str">
        <f t="shared" si="549"/>
        <v>15-12</v>
      </c>
      <c r="H7042" s="1">
        <f>_xlfn.IFNA(VLOOKUP(E7042,'Urban Plastix Holds'!$I$36:$U$498,7,0),0)</f>
        <v>0</v>
      </c>
      <c r="J7042" s="2">
        <f t="shared" si="550"/>
        <v>0</v>
      </c>
      <c r="K7042" s="2">
        <f t="shared" si="551"/>
        <v>0</v>
      </c>
    </row>
    <row r="7043" spans="5:11">
      <c r="E7043" s="3" t="s">
        <v>2115</v>
      </c>
      <c r="F7043" s="3" t="s">
        <v>2119</v>
      </c>
      <c r="G7043" s="8" t="str">
        <f t="shared" si="549"/>
        <v>16-16</v>
      </c>
      <c r="H7043" s="1">
        <f>_xlfn.IFNA(VLOOKUP(E7043,'Urban Plastix Holds'!$I$36:$U$498,8,0),0)</f>
        <v>0</v>
      </c>
      <c r="J7043" s="2">
        <f t="shared" si="550"/>
        <v>0</v>
      </c>
      <c r="K7043" s="2">
        <f t="shared" si="551"/>
        <v>0</v>
      </c>
    </row>
    <row r="7044" spans="5:11">
      <c r="E7044" s="3" t="s">
        <v>2115</v>
      </c>
      <c r="F7044" s="3" t="s">
        <v>2119</v>
      </c>
      <c r="G7044" s="9" t="str">
        <f t="shared" si="549"/>
        <v>13-01</v>
      </c>
      <c r="H7044" s="1">
        <f>_xlfn.IFNA(VLOOKUP(E7044,'Urban Plastix Holds'!$I$36:$U$498,9,0),0)</f>
        <v>0</v>
      </c>
      <c r="J7044" s="2">
        <f t="shared" si="550"/>
        <v>0</v>
      </c>
      <c r="K7044" s="2">
        <f t="shared" si="551"/>
        <v>0</v>
      </c>
    </row>
    <row r="7045" spans="5:11">
      <c r="E7045" s="3" t="s">
        <v>2115</v>
      </c>
      <c r="F7045" s="3" t="s">
        <v>2119</v>
      </c>
      <c r="G7045" s="10" t="str">
        <f t="shared" si="549"/>
        <v>07-13</v>
      </c>
      <c r="H7045" s="1">
        <f>_xlfn.IFNA(VLOOKUP(E7045,'Urban Plastix Holds'!$I$36:$U$498,10,0),0)</f>
        <v>0</v>
      </c>
      <c r="J7045" s="2">
        <f t="shared" si="550"/>
        <v>0</v>
      </c>
      <c r="K7045" s="2">
        <f t="shared" si="551"/>
        <v>0</v>
      </c>
    </row>
    <row r="7046" spans="5:11">
      <c r="E7046" s="3" t="s">
        <v>2115</v>
      </c>
      <c r="F7046" s="3" t="s">
        <v>2119</v>
      </c>
      <c r="G7046" s="11" t="str">
        <f t="shared" si="549"/>
        <v>11-25</v>
      </c>
      <c r="H7046" s="1">
        <f>_xlfn.IFNA(VLOOKUP(E7046,'Urban Plastix Holds'!$I$36:$U$498,11,0),0)</f>
        <v>0</v>
      </c>
      <c r="J7046" s="2">
        <f t="shared" si="550"/>
        <v>0</v>
      </c>
      <c r="K7046" s="2">
        <f t="shared" si="551"/>
        <v>0</v>
      </c>
    </row>
    <row r="7047" spans="5:11">
      <c r="E7047" s="3" t="s">
        <v>2115</v>
      </c>
      <c r="F7047" s="3" t="s">
        <v>2119</v>
      </c>
      <c r="G7047" s="13" t="str">
        <f t="shared" si="549"/>
        <v>18-01</v>
      </c>
      <c r="H7047" s="1">
        <f>_xlfn.IFNA(VLOOKUP(E7047,'Urban Plastix Holds'!$I$36:$U$498,12,0),0)</f>
        <v>0</v>
      </c>
      <c r="J7047" s="2">
        <f t="shared" si="550"/>
        <v>0</v>
      </c>
      <c r="K7047" s="2">
        <f t="shared" si="551"/>
        <v>0</v>
      </c>
    </row>
    <row r="7048" spans="5:11">
      <c r="E7048" s="3" t="s">
        <v>2115</v>
      </c>
      <c r="F7048" s="3" t="s">
        <v>2119</v>
      </c>
      <c r="G7048" s="12" t="str">
        <f t="shared" si="549"/>
        <v>12-01</v>
      </c>
      <c r="H7048" s="1">
        <f>_xlfn.IFNA(VLOOKUP(E7048,'Urban Plastix Holds'!$I$36:$U$498,13,0),0)</f>
        <v>0</v>
      </c>
      <c r="J7048" s="2">
        <f t="shared" si="550"/>
        <v>0</v>
      </c>
      <c r="K7048" s="2">
        <f t="shared" si="551"/>
        <v>0</v>
      </c>
    </row>
  </sheetData>
  <autoFilter ref="E1:N1" xr:uid="{925FCE55-ED73-4F81-9719-9FADB42FAC02}"/>
  <phoneticPr fontId="39" type="noConversion"/>
  <pageMargins left="0.7" right="0.7" top="0.75" bottom="0.75" header="0.3" footer="0.3"/>
  <pageSetup orientation="portrait" horizontalDpi="0"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Button 1">
              <controlPr defaultSize="0" print="0" autoFill="0" autoPict="0" macro="[0]!FinalSort">
                <anchor moveWithCells="1" sizeWithCells="1">
                  <from>
                    <xdr:col>14</xdr:col>
                    <xdr:colOff>1009650</xdr:colOff>
                    <xdr:row>9</xdr:row>
                    <xdr:rowOff>12700</xdr:rowOff>
                  </from>
                  <to>
                    <xdr:col>18</xdr:col>
                    <xdr:colOff>0</xdr:colOff>
                    <xdr:row>13</xdr:row>
                    <xdr:rowOff>152400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2825F-F399-41E5-AA0E-1CCF8D366258}">
  <dimension ref="A1:J217"/>
  <sheetViews>
    <sheetView workbookViewId="0"/>
  </sheetViews>
  <sheetFormatPr defaultColWidth="11.84375" defaultRowHeight="13.5"/>
  <cols>
    <col min="1" max="1" width="11.765625" bestFit="1" customWidth="1"/>
    <col min="2" max="2" width="44.765625" bestFit="1" customWidth="1"/>
    <col min="3" max="3" width="9.765625" bestFit="1" customWidth="1"/>
    <col min="4" max="4" width="9.4609375" bestFit="1" customWidth="1"/>
    <col min="5" max="5" width="6.15234375" bestFit="1" customWidth="1"/>
    <col min="6" max="6" width="8.61328125" bestFit="1" customWidth="1"/>
    <col min="7" max="7" width="12.15234375" bestFit="1" customWidth="1"/>
    <col min="8" max="8" width="8.61328125" bestFit="1" customWidth="1"/>
    <col min="9" max="9" width="6.61328125" bestFit="1" customWidth="1"/>
    <col min="10" max="10" width="6.84375" bestFit="1" customWidth="1"/>
  </cols>
  <sheetData>
    <row r="1" spans="1:10">
      <c r="A1" s="3" t="s">
        <v>31</v>
      </c>
      <c r="B1" s="3" t="s">
        <v>522</v>
      </c>
      <c r="C1" s="3" t="s">
        <v>483</v>
      </c>
      <c r="D1" s="14" t="s">
        <v>484</v>
      </c>
      <c r="E1" s="4" t="s">
        <v>523</v>
      </c>
      <c r="F1" s="4" t="s">
        <v>524</v>
      </c>
      <c r="G1" s="4" t="s">
        <v>528</v>
      </c>
      <c r="H1" s="3" t="s">
        <v>525</v>
      </c>
      <c r="I1" s="3" t="s">
        <v>526</v>
      </c>
      <c r="J1" s="410" t="s">
        <v>1538</v>
      </c>
    </row>
    <row r="2" spans="1:10">
      <c r="A2" t="s">
        <v>2157</v>
      </c>
      <c r="B2" t="s">
        <v>2391</v>
      </c>
      <c r="C2" s="22" t="str">
        <f>'Kilter Holds'!T35</f>
        <v>11-12</v>
      </c>
      <c r="D2">
        <f>_xlfn.IFNA(VLOOKUP(Walltopia!A2,'Kilter Holds'!$P$36:$AB$370,5,0),0)</f>
        <v>0</v>
      </c>
    </row>
    <row r="3" spans="1:10">
      <c r="A3" t="s">
        <v>2157</v>
      </c>
      <c r="B3" t="s">
        <v>2391</v>
      </c>
      <c r="C3" s="23" t="str">
        <f>'Kilter Holds'!U35</f>
        <v>14-01</v>
      </c>
      <c r="D3">
        <f>_xlfn.IFNA(VLOOKUP(Walltopia!A3,'Kilter Holds'!$P$36:$AB$370,6,0),0)</f>
        <v>0</v>
      </c>
    </row>
    <row r="4" spans="1:10">
      <c r="A4" t="s">
        <v>2157</v>
      </c>
      <c r="B4" t="s">
        <v>2391</v>
      </c>
      <c r="C4" s="24" t="str">
        <f>'Kilter Holds'!V35</f>
        <v>15-12</v>
      </c>
      <c r="D4">
        <f>_xlfn.IFNA(VLOOKUP(Walltopia!A4,'Kilter Holds'!$P$36:$AB$370,7,0),0)</f>
        <v>0</v>
      </c>
    </row>
    <row r="5" spans="1:10">
      <c r="A5" t="s">
        <v>2157</v>
      </c>
      <c r="B5" t="s">
        <v>2391</v>
      </c>
      <c r="C5" s="25" t="str">
        <f>'Kilter Holds'!W35</f>
        <v>16-16</v>
      </c>
      <c r="D5">
        <f>_xlfn.IFNA(VLOOKUP(Walltopia!A5,'Kilter Holds'!$P$36:$AB$370,8,0),0)</f>
        <v>0</v>
      </c>
    </row>
    <row r="6" spans="1:10">
      <c r="A6" t="s">
        <v>2157</v>
      </c>
      <c r="B6" t="s">
        <v>2391</v>
      </c>
      <c r="C6" s="26" t="str">
        <f>'Kilter Holds'!X35</f>
        <v>13-01</v>
      </c>
      <c r="D6">
        <f>_xlfn.IFNA(VLOOKUP(Walltopia!A6,'Kilter Holds'!$P$36:$AB$370,9,0),0)</f>
        <v>0</v>
      </c>
    </row>
    <row r="7" spans="1:10">
      <c r="A7" t="s">
        <v>2157</v>
      </c>
      <c r="B7" t="s">
        <v>2391</v>
      </c>
      <c r="C7" s="27" t="str">
        <f>'Kilter Holds'!Y35</f>
        <v>07-13</v>
      </c>
      <c r="D7">
        <f>_xlfn.IFNA(VLOOKUP(Walltopia!A7,'Kilter Holds'!$P$36:$AB$370,10,0),0)</f>
        <v>0</v>
      </c>
    </row>
    <row r="8" spans="1:10">
      <c r="A8" t="s">
        <v>2157</v>
      </c>
      <c r="B8" t="s">
        <v>2391</v>
      </c>
      <c r="C8" s="28" t="str">
        <f>'Kilter Holds'!Z35</f>
        <v>11-25</v>
      </c>
      <c r="D8">
        <f>_xlfn.IFNA(VLOOKUP(Walltopia!A8,'Kilter Holds'!$P$36:$AB$370,11,0),0)</f>
        <v>0</v>
      </c>
    </row>
    <row r="9" spans="1:10">
      <c r="A9" t="s">
        <v>2157</v>
      </c>
      <c r="B9" t="s">
        <v>2391</v>
      </c>
      <c r="C9" s="29" t="str">
        <f>'Kilter Holds'!AA35</f>
        <v>18-01</v>
      </c>
      <c r="D9">
        <f>_xlfn.IFNA(VLOOKUP(Walltopia!A9,'Kilter Holds'!$P$36:$AB$370,12,0),0)</f>
        <v>0</v>
      </c>
    </row>
    <row r="10" spans="1:10">
      <c r="A10" t="s">
        <v>2157</v>
      </c>
      <c r="B10" t="s">
        <v>2391</v>
      </c>
      <c r="C10" s="617" t="str">
        <f>'Kilter Holds'!AB35</f>
        <v>12-01</v>
      </c>
      <c r="D10">
        <f>_xlfn.IFNA(VLOOKUP(Walltopia!A10,'Kilter Holds'!$P$36:$AB$370,13,0),0)</f>
        <v>0</v>
      </c>
    </row>
    <row r="11" spans="1:10">
      <c r="A11" t="s">
        <v>2158</v>
      </c>
      <c r="B11" t="s">
        <v>2392</v>
      </c>
      <c r="C11" s="618" t="str">
        <f t="shared" ref="C11:C19" si="0">C2</f>
        <v>11-12</v>
      </c>
      <c r="D11">
        <f>_xlfn.IFNA(VLOOKUP(Walltopia!A11,'Kilter Holds'!$P$36:$AB$370,5,0),0)</f>
        <v>0</v>
      </c>
    </row>
    <row r="12" spans="1:10">
      <c r="A12" t="s">
        <v>2158</v>
      </c>
      <c r="B12" t="s">
        <v>2392</v>
      </c>
      <c r="C12" s="23" t="str">
        <f t="shared" si="0"/>
        <v>14-01</v>
      </c>
      <c r="D12">
        <f>_xlfn.IFNA(VLOOKUP(Walltopia!A12,'Kilter Holds'!$P$36:$AB$370,6,0),0)</f>
        <v>0</v>
      </c>
    </row>
    <row r="13" spans="1:10">
      <c r="A13" t="s">
        <v>2158</v>
      </c>
      <c r="B13" t="s">
        <v>2392</v>
      </c>
      <c r="C13" s="24" t="str">
        <f t="shared" si="0"/>
        <v>15-12</v>
      </c>
      <c r="D13">
        <f>_xlfn.IFNA(VLOOKUP(Walltopia!A13,'Kilter Holds'!$P$36:$AB$370,7,0),0)</f>
        <v>0</v>
      </c>
    </row>
    <row r="14" spans="1:10">
      <c r="A14" t="s">
        <v>2158</v>
      </c>
      <c r="B14" t="s">
        <v>2392</v>
      </c>
      <c r="C14" s="25" t="str">
        <f t="shared" si="0"/>
        <v>16-16</v>
      </c>
      <c r="D14">
        <f>_xlfn.IFNA(VLOOKUP(Walltopia!A14,'Kilter Holds'!$P$36:$AB$370,8,0),0)</f>
        <v>0</v>
      </c>
    </row>
    <row r="15" spans="1:10">
      <c r="A15" t="s">
        <v>2158</v>
      </c>
      <c r="B15" t="s">
        <v>2392</v>
      </c>
      <c r="C15" s="26" t="str">
        <f t="shared" si="0"/>
        <v>13-01</v>
      </c>
      <c r="D15">
        <f>_xlfn.IFNA(VLOOKUP(Walltopia!A15,'Kilter Holds'!$P$36:$AB$370,9,0),0)</f>
        <v>0</v>
      </c>
    </row>
    <row r="16" spans="1:10">
      <c r="A16" t="s">
        <v>2158</v>
      </c>
      <c r="B16" t="s">
        <v>2392</v>
      </c>
      <c r="C16" s="27" t="str">
        <f t="shared" si="0"/>
        <v>07-13</v>
      </c>
      <c r="D16">
        <f>_xlfn.IFNA(VLOOKUP(Walltopia!A16,'Kilter Holds'!$P$36:$AB$370,10,0),0)</f>
        <v>0</v>
      </c>
    </row>
    <row r="17" spans="1:4">
      <c r="A17" t="s">
        <v>2158</v>
      </c>
      <c r="B17" t="s">
        <v>2392</v>
      </c>
      <c r="C17" s="28" t="str">
        <f t="shared" si="0"/>
        <v>11-25</v>
      </c>
      <c r="D17">
        <f>_xlfn.IFNA(VLOOKUP(Walltopia!A17,'Kilter Holds'!$P$36:$AB$370,11,0),0)</f>
        <v>0</v>
      </c>
    </row>
    <row r="18" spans="1:4">
      <c r="A18" t="s">
        <v>2158</v>
      </c>
      <c r="B18" t="s">
        <v>2392</v>
      </c>
      <c r="C18" s="29" t="str">
        <f t="shared" si="0"/>
        <v>18-01</v>
      </c>
      <c r="D18">
        <f>_xlfn.IFNA(VLOOKUP(Walltopia!A18,'Kilter Holds'!$P$36:$AB$370,12,0),0)</f>
        <v>0</v>
      </c>
    </row>
    <row r="19" spans="1:4">
      <c r="A19" t="s">
        <v>2158</v>
      </c>
      <c r="B19" t="s">
        <v>2392</v>
      </c>
      <c r="C19" s="617" t="str">
        <f t="shared" si="0"/>
        <v>12-01</v>
      </c>
      <c r="D19">
        <f>_xlfn.IFNA(VLOOKUP(Walltopia!A19,'Kilter Holds'!$P$36:$AB$370,13,0),0)</f>
        <v>0</v>
      </c>
    </row>
    <row r="20" spans="1:4">
      <c r="A20" t="s">
        <v>2156</v>
      </c>
      <c r="B20" t="s">
        <v>2393</v>
      </c>
      <c r="C20" s="618" t="str">
        <f t="shared" ref="C20:C83" si="1">C11</f>
        <v>11-12</v>
      </c>
      <c r="D20">
        <f>_xlfn.IFNA(VLOOKUP(Walltopia!A20,'Kilter Holds'!$P$36:$AB$370,5,0),0)</f>
        <v>0</v>
      </c>
    </row>
    <row r="21" spans="1:4">
      <c r="A21" t="s">
        <v>2156</v>
      </c>
      <c r="B21" t="s">
        <v>2393</v>
      </c>
      <c r="C21" s="23" t="str">
        <f t="shared" si="1"/>
        <v>14-01</v>
      </c>
      <c r="D21">
        <f>_xlfn.IFNA(VLOOKUP(Walltopia!A21,'Kilter Holds'!$P$36:$AB$370,6,0),0)</f>
        <v>0</v>
      </c>
    </row>
    <row r="22" spans="1:4">
      <c r="A22" t="s">
        <v>2156</v>
      </c>
      <c r="B22" t="s">
        <v>2393</v>
      </c>
      <c r="C22" s="24" t="str">
        <f t="shared" si="1"/>
        <v>15-12</v>
      </c>
      <c r="D22">
        <f>_xlfn.IFNA(VLOOKUP(Walltopia!A22,'Kilter Holds'!$P$36:$AB$370,7,0),0)</f>
        <v>0</v>
      </c>
    </row>
    <row r="23" spans="1:4">
      <c r="A23" t="s">
        <v>2156</v>
      </c>
      <c r="B23" t="s">
        <v>2393</v>
      </c>
      <c r="C23" s="25" t="str">
        <f t="shared" si="1"/>
        <v>16-16</v>
      </c>
      <c r="D23">
        <f>_xlfn.IFNA(VLOOKUP(Walltopia!A23,'Kilter Holds'!$P$36:$AB$370,8,0),0)</f>
        <v>0</v>
      </c>
    </row>
    <row r="24" spans="1:4">
      <c r="A24" t="s">
        <v>2156</v>
      </c>
      <c r="B24" t="s">
        <v>2393</v>
      </c>
      <c r="C24" s="26" t="str">
        <f t="shared" si="1"/>
        <v>13-01</v>
      </c>
      <c r="D24">
        <f>_xlfn.IFNA(VLOOKUP(Walltopia!A24,'Kilter Holds'!$P$36:$AB$370,9,0),0)</f>
        <v>0</v>
      </c>
    </row>
    <row r="25" spans="1:4">
      <c r="A25" t="s">
        <v>2156</v>
      </c>
      <c r="B25" t="s">
        <v>2393</v>
      </c>
      <c r="C25" s="27" t="str">
        <f t="shared" si="1"/>
        <v>07-13</v>
      </c>
      <c r="D25">
        <f>_xlfn.IFNA(VLOOKUP(Walltopia!A25,'Kilter Holds'!$P$36:$AB$370,10,0),0)</f>
        <v>0</v>
      </c>
    </row>
    <row r="26" spans="1:4">
      <c r="A26" t="s">
        <v>2156</v>
      </c>
      <c r="B26" t="s">
        <v>2393</v>
      </c>
      <c r="C26" s="28" t="str">
        <f t="shared" si="1"/>
        <v>11-25</v>
      </c>
      <c r="D26">
        <f>_xlfn.IFNA(VLOOKUP(Walltopia!A26,'Kilter Holds'!$P$36:$AB$370,11,0),0)</f>
        <v>0</v>
      </c>
    </row>
    <row r="27" spans="1:4">
      <c r="A27" t="s">
        <v>2156</v>
      </c>
      <c r="B27" t="s">
        <v>2393</v>
      </c>
      <c r="C27" s="29" t="str">
        <f t="shared" si="1"/>
        <v>18-01</v>
      </c>
      <c r="D27">
        <f>_xlfn.IFNA(VLOOKUP(Walltopia!A27,'Kilter Holds'!$P$36:$AB$370,12,0),0)</f>
        <v>0</v>
      </c>
    </row>
    <row r="28" spans="1:4">
      <c r="A28" t="s">
        <v>2156</v>
      </c>
      <c r="B28" t="s">
        <v>2393</v>
      </c>
      <c r="C28" s="617" t="str">
        <f t="shared" si="1"/>
        <v>12-01</v>
      </c>
      <c r="D28">
        <f>_xlfn.IFNA(VLOOKUP(Walltopia!A28,'Kilter Holds'!$P$36:$AB$370,13,0),0)</f>
        <v>0</v>
      </c>
    </row>
    <row r="29" spans="1:4">
      <c r="A29" t="s">
        <v>2154</v>
      </c>
      <c r="B29" t="s">
        <v>2394</v>
      </c>
      <c r="C29" s="618" t="str">
        <f t="shared" si="1"/>
        <v>11-12</v>
      </c>
      <c r="D29">
        <f>_xlfn.IFNA(VLOOKUP(Walltopia!A29,'Kilter Holds'!$P$36:$AB$370,5,0),0)</f>
        <v>0</v>
      </c>
    </row>
    <row r="30" spans="1:4">
      <c r="A30" t="s">
        <v>2154</v>
      </c>
      <c r="B30" t="s">
        <v>2394</v>
      </c>
      <c r="C30" s="23" t="str">
        <f t="shared" si="1"/>
        <v>14-01</v>
      </c>
      <c r="D30">
        <f>_xlfn.IFNA(VLOOKUP(Walltopia!A30,'Kilter Holds'!$P$36:$AB$370,6,0),0)</f>
        <v>0</v>
      </c>
    </row>
    <row r="31" spans="1:4">
      <c r="A31" t="s">
        <v>2154</v>
      </c>
      <c r="B31" t="s">
        <v>2394</v>
      </c>
      <c r="C31" s="24" t="str">
        <f t="shared" si="1"/>
        <v>15-12</v>
      </c>
      <c r="D31">
        <f>_xlfn.IFNA(VLOOKUP(Walltopia!A31,'Kilter Holds'!$P$36:$AB$370,7,0),0)</f>
        <v>0</v>
      </c>
    </row>
    <row r="32" spans="1:4">
      <c r="A32" t="s">
        <v>2154</v>
      </c>
      <c r="B32" t="s">
        <v>2394</v>
      </c>
      <c r="C32" s="25" t="str">
        <f t="shared" si="1"/>
        <v>16-16</v>
      </c>
      <c r="D32">
        <f>_xlfn.IFNA(VLOOKUP(Walltopia!A32,'Kilter Holds'!$P$36:$AB$370,8,0),0)</f>
        <v>0</v>
      </c>
    </row>
    <row r="33" spans="1:4">
      <c r="A33" t="s">
        <v>2154</v>
      </c>
      <c r="B33" t="s">
        <v>2394</v>
      </c>
      <c r="C33" s="26" t="str">
        <f t="shared" si="1"/>
        <v>13-01</v>
      </c>
      <c r="D33">
        <f>_xlfn.IFNA(VLOOKUP(Walltopia!A33,'Kilter Holds'!$P$36:$AB$370,9,0),0)</f>
        <v>0</v>
      </c>
    </row>
    <row r="34" spans="1:4">
      <c r="A34" t="s">
        <v>2154</v>
      </c>
      <c r="B34" t="s">
        <v>2394</v>
      </c>
      <c r="C34" s="27" t="str">
        <f t="shared" si="1"/>
        <v>07-13</v>
      </c>
      <c r="D34">
        <f>_xlfn.IFNA(VLOOKUP(Walltopia!A34,'Kilter Holds'!$P$36:$AB$370,10,0),0)</f>
        <v>0</v>
      </c>
    </row>
    <row r="35" spans="1:4">
      <c r="A35" t="s">
        <v>2154</v>
      </c>
      <c r="B35" t="s">
        <v>2394</v>
      </c>
      <c r="C35" s="28" t="str">
        <f t="shared" si="1"/>
        <v>11-25</v>
      </c>
      <c r="D35">
        <f>_xlfn.IFNA(VLOOKUP(Walltopia!A35,'Kilter Holds'!$P$36:$AB$370,11,0),0)</f>
        <v>0</v>
      </c>
    </row>
    <row r="36" spans="1:4">
      <c r="A36" t="s">
        <v>2154</v>
      </c>
      <c r="B36" t="s">
        <v>2394</v>
      </c>
      <c r="C36" s="29" t="str">
        <f t="shared" si="1"/>
        <v>18-01</v>
      </c>
      <c r="D36">
        <f>_xlfn.IFNA(VLOOKUP(Walltopia!A36,'Kilter Holds'!$P$36:$AB$370,12,0),0)</f>
        <v>0</v>
      </c>
    </row>
    <row r="37" spans="1:4">
      <c r="A37" t="s">
        <v>2154</v>
      </c>
      <c r="B37" t="s">
        <v>2394</v>
      </c>
      <c r="C37" s="617" t="str">
        <f t="shared" si="1"/>
        <v>12-01</v>
      </c>
      <c r="D37">
        <f>_xlfn.IFNA(VLOOKUP(Walltopia!A37,'Kilter Holds'!$P$36:$AB$370,13,0),0)</f>
        <v>0</v>
      </c>
    </row>
    <row r="38" spans="1:4">
      <c r="A38" t="s">
        <v>2153</v>
      </c>
      <c r="B38" t="s">
        <v>2395</v>
      </c>
      <c r="C38" s="618" t="str">
        <f t="shared" si="1"/>
        <v>11-12</v>
      </c>
      <c r="D38">
        <f>_xlfn.IFNA(VLOOKUP(Walltopia!A38,'Kilter Holds'!$P$36:$AB$370,5,0),0)</f>
        <v>0</v>
      </c>
    </row>
    <row r="39" spans="1:4">
      <c r="A39" t="s">
        <v>2153</v>
      </c>
      <c r="B39" t="s">
        <v>2395</v>
      </c>
      <c r="C39" s="23" t="str">
        <f t="shared" si="1"/>
        <v>14-01</v>
      </c>
      <c r="D39">
        <f>_xlfn.IFNA(VLOOKUP(Walltopia!A39,'Kilter Holds'!$P$36:$AB$370,6,0),0)</f>
        <v>0</v>
      </c>
    </row>
    <row r="40" spans="1:4">
      <c r="A40" t="s">
        <v>2153</v>
      </c>
      <c r="B40" t="s">
        <v>2395</v>
      </c>
      <c r="C40" s="24" t="str">
        <f t="shared" si="1"/>
        <v>15-12</v>
      </c>
      <c r="D40">
        <f>_xlfn.IFNA(VLOOKUP(Walltopia!A40,'Kilter Holds'!$P$36:$AB$370,7,0),0)</f>
        <v>0</v>
      </c>
    </row>
    <row r="41" spans="1:4">
      <c r="A41" t="s">
        <v>2153</v>
      </c>
      <c r="B41" t="s">
        <v>2395</v>
      </c>
      <c r="C41" s="25" t="str">
        <f t="shared" si="1"/>
        <v>16-16</v>
      </c>
      <c r="D41">
        <f>_xlfn.IFNA(VLOOKUP(Walltopia!A41,'Kilter Holds'!$P$36:$AB$370,8,0),0)</f>
        <v>0</v>
      </c>
    </row>
    <row r="42" spans="1:4">
      <c r="A42" t="s">
        <v>2153</v>
      </c>
      <c r="B42" t="s">
        <v>2395</v>
      </c>
      <c r="C42" s="26" t="str">
        <f t="shared" si="1"/>
        <v>13-01</v>
      </c>
      <c r="D42">
        <f>_xlfn.IFNA(VLOOKUP(Walltopia!A42,'Kilter Holds'!$P$36:$AB$370,9,0),0)</f>
        <v>0</v>
      </c>
    </row>
    <row r="43" spans="1:4">
      <c r="A43" t="s">
        <v>2153</v>
      </c>
      <c r="B43" t="s">
        <v>2395</v>
      </c>
      <c r="C43" s="27" t="str">
        <f t="shared" si="1"/>
        <v>07-13</v>
      </c>
      <c r="D43">
        <f>_xlfn.IFNA(VLOOKUP(Walltopia!A43,'Kilter Holds'!$P$36:$AB$370,10,0),0)</f>
        <v>0</v>
      </c>
    </row>
    <row r="44" spans="1:4">
      <c r="A44" t="s">
        <v>2153</v>
      </c>
      <c r="B44" t="s">
        <v>2395</v>
      </c>
      <c r="C44" s="28" t="str">
        <f t="shared" si="1"/>
        <v>11-25</v>
      </c>
      <c r="D44">
        <f>_xlfn.IFNA(VLOOKUP(Walltopia!A44,'Kilter Holds'!$P$36:$AB$370,11,0),0)</f>
        <v>0</v>
      </c>
    </row>
    <row r="45" spans="1:4">
      <c r="A45" t="s">
        <v>2153</v>
      </c>
      <c r="B45" t="s">
        <v>2395</v>
      </c>
      <c r="C45" s="29" t="str">
        <f t="shared" si="1"/>
        <v>18-01</v>
      </c>
      <c r="D45">
        <f>_xlfn.IFNA(VLOOKUP(Walltopia!A45,'Kilter Holds'!$P$36:$AB$370,12,0),0)</f>
        <v>0</v>
      </c>
    </row>
    <row r="46" spans="1:4">
      <c r="A46" t="s">
        <v>2153</v>
      </c>
      <c r="B46" t="s">
        <v>2395</v>
      </c>
      <c r="C46" s="617" t="str">
        <f t="shared" si="1"/>
        <v>12-01</v>
      </c>
      <c r="D46">
        <f>_xlfn.IFNA(VLOOKUP(Walltopia!A46,'Kilter Holds'!$P$36:$AB$370,13,0),0)</f>
        <v>0</v>
      </c>
    </row>
    <row r="47" spans="1:4">
      <c r="A47" t="s">
        <v>2155</v>
      </c>
      <c r="B47" t="s">
        <v>2396</v>
      </c>
      <c r="C47" s="618" t="str">
        <f t="shared" si="1"/>
        <v>11-12</v>
      </c>
      <c r="D47">
        <f>_xlfn.IFNA(VLOOKUP(Walltopia!A47,'Kilter Holds'!$P$36:$AB$370,5,0),0)</f>
        <v>0</v>
      </c>
    </row>
    <row r="48" spans="1:4">
      <c r="A48" t="s">
        <v>2155</v>
      </c>
      <c r="B48" t="s">
        <v>2396</v>
      </c>
      <c r="C48" s="23" t="str">
        <f t="shared" si="1"/>
        <v>14-01</v>
      </c>
      <c r="D48">
        <f>_xlfn.IFNA(VLOOKUP(Walltopia!A48,'Kilter Holds'!$P$36:$AB$370,6,0),0)</f>
        <v>0</v>
      </c>
    </row>
    <row r="49" spans="1:4">
      <c r="A49" t="s">
        <v>2155</v>
      </c>
      <c r="B49" t="s">
        <v>2396</v>
      </c>
      <c r="C49" s="24" t="str">
        <f t="shared" si="1"/>
        <v>15-12</v>
      </c>
      <c r="D49">
        <f>_xlfn.IFNA(VLOOKUP(Walltopia!A49,'Kilter Holds'!$P$36:$AB$370,7,0),0)</f>
        <v>0</v>
      </c>
    </row>
    <row r="50" spans="1:4">
      <c r="A50" t="s">
        <v>2155</v>
      </c>
      <c r="B50" t="s">
        <v>2396</v>
      </c>
      <c r="C50" s="25" t="str">
        <f t="shared" si="1"/>
        <v>16-16</v>
      </c>
      <c r="D50">
        <f>_xlfn.IFNA(VLOOKUP(Walltopia!A50,'Kilter Holds'!$P$36:$AB$370,8,0),0)</f>
        <v>0</v>
      </c>
    </row>
    <row r="51" spans="1:4">
      <c r="A51" t="s">
        <v>2155</v>
      </c>
      <c r="B51" t="s">
        <v>2396</v>
      </c>
      <c r="C51" s="26" t="str">
        <f t="shared" si="1"/>
        <v>13-01</v>
      </c>
      <c r="D51">
        <f>_xlfn.IFNA(VLOOKUP(Walltopia!A51,'Kilter Holds'!$P$36:$AB$370,9,0),0)</f>
        <v>0</v>
      </c>
    </row>
    <row r="52" spans="1:4">
      <c r="A52" t="s">
        <v>2155</v>
      </c>
      <c r="B52" t="s">
        <v>2396</v>
      </c>
      <c r="C52" s="27" t="str">
        <f t="shared" si="1"/>
        <v>07-13</v>
      </c>
      <c r="D52">
        <f>_xlfn.IFNA(VLOOKUP(Walltopia!A52,'Kilter Holds'!$P$36:$AB$370,10,0),0)</f>
        <v>0</v>
      </c>
    </row>
    <row r="53" spans="1:4">
      <c r="A53" t="s">
        <v>2155</v>
      </c>
      <c r="B53" t="s">
        <v>2396</v>
      </c>
      <c r="C53" s="28" t="str">
        <f t="shared" si="1"/>
        <v>11-25</v>
      </c>
      <c r="D53">
        <f>_xlfn.IFNA(VLOOKUP(Walltopia!A53,'Kilter Holds'!$P$36:$AB$370,11,0),0)</f>
        <v>0</v>
      </c>
    </row>
    <row r="54" spans="1:4">
      <c r="A54" t="s">
        <v>2155</v>
      </c>
      <c r="B54" t="s">
        <v>2396</v>
      </c>
      <c r="C54" s="29" t="str">
        <f t="shared" si="1"/>
        <v>18-01</v>
      </c>
      <c r="D54">
        <f>_xlfn.IFNA(VLOOKUP(Walltopia!A54,'Kilter Holds'!$P$36:$AB$370,12,0),0)</f>
        <v>0</v>
      </c>
    </row>
    <row r="55" spans="1:4">
      <c r="A55" t="s">
        <v>2155</v>
      </c>
      <c r="B55" t="s">
        <v>2396</v>
      </c>
      <c r="C55" s="617" t="str">
        <f t="shared" si="1"/>
        <v>12-01</v>
      </c>
      <c r="D55">
        <f>_xlfn.IFNA(VLOOKUP(Walltopia!A55,'Kilter Holds'!$P$36:$AB$370,13,0),0)</f>
        <v>0</v>
      </c>
    </row>
    <row r="56" spans="1:4">
      <c r="A56" t="s">
        <v>2253</v>
      </c>
      <c r="B56" t="s">
        <v>2397</v>
      </c>
      <c r="C56" s="618" t="str">
        <f t="shared" si="1"/>
        <v>11-12</v>
      </c>
      <c r="D56">
        <f>_xlfn.IFNA(VLOOKUP(Walltopia!A56,'Kilter Holds'!$P$36:$AB$370,5,0),0)</f>
        <v>0</v>
      </c>
    </row>
    <row r="57" spans="1:4">
      <c r="A57" t="s">
        <v>2253</v>
      </c>
      <c r="B57" t="s">
        <v>2397</v>
      </c>
      <c r="C57" s="23" t="str">
        <f t="shared" si="1"/>
        <v>14-01</v>
      </c>
      <c r="D57">
        <f>_xlfn.IFNA(VLOOKUP(Walltopia!A57,'Kilter Holds'!$P$36:$AB$370,6,0),0)</f>
        <v>0</v>
      </c>
    </row>
    <row r="58" spans="1:4">
      <c r="A58" t="s">
        <v>2253</v>
      </c>
      <c r="B58" t="s">
        <v>2397</v>
      </c>
      <c r="C58" s="24" t="str">
        <f t="shared" si="1"/>
        <v>15-12</v>
      </c>
      <c r="D58">
        <f>_xlfn.IFNA(VLOOKUP(Walltopia!A58,'Kilter Holds'!$P$36:$AB$370,7,0),0)</f>
        <v>0</v>
      </c>
    </row>
    <row r="59" spans="1:4">
      <c r="A59" t="s">
        <v>2253</v>
      </c>
      <c r="B59" t="s">
        <v>2397</v>
      </c>
      <c r="C59" s="25" t="str">
        <f t="shared" si="1"/>
        <v>16-16</v>
      </c>
      <c r="D59">
        <f>_xlfn.IFNA(VLOOKUP(Walltopia!A59,'Kilter Holds'!$P$36:$AB$370,8,0),0)</f>
        <v>0</v>
      </c>
    </row>
    <row r="60" spans="1:4">
      <c r="A60" t="s">
        <v>2253</v>
      </c>
      <c r="B60" t="s">
        <v>2397</v>
      </c>
      <c r="C60" s="26" t="str">
        <f t="shared" si="1"/>
        <v>13-01</v>
      </c>
      <c r="D60">
        <f>_xlfn.IFNA(VLOOKUP(Walltopia!A60,'Kilter Holds'!$P$36:$AB$370,9,0),0)</f>
        <v>0</v>
      </c>
    </row>
    <row r="61" spans="1:4">
      <c r="A61" t="s">
        <v>2253</v>
      </c>
      <c r="B61" t="s">
        <v>2397</v>
      </c>
      <c r="C61" s="27" t="str">
        <f t="shared" si="1"/>
        <v>07-13</v>
      </c>
      <c r="D61">
        <f>_xlfn.IFNA(VLOOKUP(Walltopia!A61,'Kilter Holds'!$P$36:$AB$370,10,0),0)</f>
        <v>0</v>
      </c>
    </row>
    <row r="62" spans="1:4">
      <c r="A62" t="s">
        <v>2253</v>
      </c>
      <c r="B62" t="s">
        <v>2397</v>
      </c>
      <c r="C62" s="28" t="str">
        <f t="shared" si="1"/>
        <v>11-25</v>
      </c>
      <c r="D62">
        <f>_xlfn.IFNA(VLOOKUP(Walltopia!A62,'Kilter Holds'!$P$36:$AB$370,11,0),0)</f>
        <v>0</v>
      </c>
    </row>
    <row r="63" spans="1:4">
      <c r="A63" t="s">
        <v>2253</v>
      </c>
      <c r="B63" t="s">
        <v>2397</v>
      </c>
      <c r="C63" s="29" t="str">
        <f t="shared" si="1"/>
        <v>18-01</v>
      </c>
      <c r="D63">
        <f>_xlfn.IFNA(VLOOKUP(Walltopia!A63,'Kilter Holds'!$P$36:$AB$370,12,0),0)</f>
        <v>0</v>
      </c>
    </row>
    <row r="64" spans="1:4">
      <c r="A64" t="s">
        <v>2253</v>
      </c>
      <c r="B64" t="s">
        <v>2397</v>
      </c>
      <c r="C64" s="617" t="str">
        <f t="shared" si="1"/>
        <v>12-01</v>
      </c>
      <c r="D64">
        <f>_xlfn.IFNA(VLOOKUP(Walltopia!A64,'Kilter Holds'!$P$36:$AB$370,13,0),0)</f>
        <v>0</v>
      </c>
    </row>
    <row r="65" spans="1:4">
      <c r="A65" t="s">
        <v>2254</v>
      </c>
      <c r="B65" t="s">
        <v>2398</v>
      </c>
      <c r="C65" s="618" t="str">
        <f t="shared" si="1"/>
        <v>11-12</v>
      </c>
      <c r="D65">
        <f>_xlfn.IFNA(VLOOKUP(Walltopia!A65,'Kilter Holds'!$P$36:$AB$370,5,0),0)</f>
        <v>0</v>
      </c>
    </row>
    <row r="66" spans="1:4">
      <c r="A66" t="s">
        <v>2254</v>
      </c>
      <c r="B66" t="s">
        <v>2398</v>
      </c>
      <c r="C66" s="23" t="str">
        <f t="shared" si="1"/>
        <v>14-01</v>
      </c>
      <c r="D66">
        <f>_xlfn.IFNA(VLOOKUP(Walltopia!A66,'Kilter Holds'!$P$36:$AB$370,6,0),0)</f>
        <v>0</v>
      </c>
    </row>
    <row r="67" spans="1:4">
      <c r="A67" t="s">
        <v>2254</v>
      </c>
      <c r="B67" t="s">
        <v>2398</v>
      </c>
      <c r="C67" s="24" t="str">
        <f t="shared" si="1"/>
        <v>15-12</v>
      </c>
      <c r="D67">
        <f>_xlfn.IFNA(VLOOKUP(Walltopia!A67,'Kilter Holds'!$P$36:$AB$370,7,0),0)</f>
        <v>0</v>
      </c>
    </row>
    <row r="68" spans="1:4">
      <c r="A68" t="s">
        <v>2254</v>
      </c>
      <c r="B68" t="s">
        <v>2398</v>
      </c>
      <c r="C68" s="25" t="str">
        <f t="shared" si="1"/>
        <v>16-16</v>
      </c>
      <c r="D68">
        <f>_xlfn.IFNA(VLOOKUP(Walltopia!A68,'Kilter Holds'!$P$36:$AB$370,8,0),0)</f>
        <v>0</v>
      </c>
    </row>
    <row r="69" spans="1:4">
      <c r="A69" t="s">
        <v>2254</v>
      </c>
      <c r="B69" t="s">
        <v>2398</v>
      </c>
      <c r="C69" s="26" t="str">
        <f t="shared" si="1"/>
        <v>13-01</v>
      </c>
      <c r="D69">
        <f>_xlfn.IFNA(VLOOKUP(Walltopia!A69,'Kilter Holds'!$P$36:$AB$370,9,0),0)</f>
        <v>0</v>
      </c>
    </row>
    <row r="70" spans="1:4">
      <c r="A70" t="s">
        <v>2254</v>
      </c>
      <c r="B70" t="s">
        <v>2398</v>
      </c>
      <c r="C70" s="27" t="str">
        <f t="shared" si="1"/>
        <v>07-13</v>
      </c>
      <c r="D70">
        <f>_xlfn.IFNA(VLOOKUP(Walltopia!A70,'Kilter Holds'!$P$36:$AB$370,10,0),0)</f>
        <v>0</v>
      </c>
    </row>
    <row r="71" spans="1:4">
      <c r="A71" t="s">
        <v>2254</v>
      </c>
      <c r="B71" t="s">
        <v>2398</v>
      </c>
      <c r="C71" s="28" t="str">
        <f t="shared" si="1"/>
        <v>11-25</v>
      </c>
      <c r="D71">
        <f>_xlfn.IFNA(VLOOKUP(Walltopia!A71,'Kilter Holds'!$P$36:$AB$370,11,0),0)</f>
        <v>0</v>
      </c>
    </row>
    <row r="72" spans="1:4">
      <c r="A72" t="s">
        <v>2254</v>
      </c>
      <c r="B72" t="s">
        <v>2398</v>
      </c>
      <c r="C72" s="29" t="str">
        <f t="shared" si="1"/>
        <v>18-01</v>
      </c>
      <c r="D72">
        <f>_xlfn.IFNA(VLOOKUP(Walltopia!A72,'Kilter Holds'!$P$36:$AB$370,12,0),0)</f>
        <v>0</v>
      </c>
    </row>
    <row r="73" spans="1:4">
      <c r="A73" t="s">
        <v>2254</v>
      </c>
      <c r="B73" t="s">
        <v>2398</v>
      </c>
      <c r="C73" s="617" t="str">
        <f t="shared" si="1"/>
        <v>12-01</v>
      </c>
      <c r="D73">
        <f>_xlfn.IFNA(VLOOKUP(Walltopia!A73,'Kilter Holds'!$P$36:$AB$370,13,0),0)</f>
        <v>0</v>
      </c>
    </row>
    <row r="74" spans="1:4">
      <c r="A74" t="s">
        <v>2255</v>
      </c>
      <c r="B74" t="s">
        <v>2399</v>
      </c>
      <c r="C74" s="618" t="str">
        <f t="shared" si="1"/>
        <v>11-12</v>
      </c>
      <c r="D74">
        <f>_xlfn.IFNA(VLOOKUP(Walltopia!A74,'Kilter Holds'!$P$36:$AB$370,5,0),0)</f>
        <v>0</v>
      </c>
    </row>
    <row r="75" spans="1:4">
      <c r="A75" t="s">
        <v>2255</v>
      </c>
      <c r="B75" t="s">
        <v>2399</v>
      </c>
      <c r="C75" s="23" t="str">
        <f t="shared" si="1"/>
        <v>14-01</v>
      </c>
      <c r="D75">
        <f>_xlfn.IFNA(VLOOKUP(Walltopia!A75,'Kilter Holds'!$P$36:$AB$370,6,0),0)</f>
        <v>0</v>
      </c>
    </row>
    <row r="76" spans="1:4">
      <c r="A76" t="s">
        <v>2255</v>
      </c>
      <c r="B76" t="s">
        <v>2399</v>
      </c>
      <c r="C76" s="24" t="str">
        <f t="shared" si="1"/>
        <v>15-12</v>
      </c>
      <c r="D76">
        <f>_xlfn.IFNA(VLOOKUP(Walltopia!A76,'Kilter Holds'!$P$36:$AB$370,7,0),0)</f>
        <v>0</v>
      </c>
    </row>
    <row r="77" spans="1:4">
      <c r="A77" t="s">
        <v>2255</v>
      </c>
      <c r="B77" t="s">
        <v>2399</v>
      </c>
      <c r="C77" s="25" t="str">
        <f t="shared" si="1"/>
        <v>16-16</v>
      </c>
      <c r="D77">
        <f>_xlfn.IFNA(VLOOKUP(Walltopia!A77,'Kilter Holds'!$P$36:$AB$370,8,0),0)</f>
        <v>0</v>
      </c>
    </row>
    <row r="78" spans="1:4">
      <c r="A78" t="s">
        <v>2255</v>
      </c>
      <c r="B78" t="s">
        <v>2399</v>
      </c>
      <c r="C78" s="26" t="str">
        <f t="shared" si="1"/>
        <v>13-01</v>
      </c>
      <c r="D78">
        <f>_xlfn.IFNA(VLOOKUP(Walltopia!A78,'Kilter Holds'!$P$36:$AB$370,9,0),0)</f>
        <v>0</v>
      </c>
    </row>
    <row r="79" spans="1:4">
      <c r="A79" t="s">
        <v>2255</v>
      </c>
      <c r="B79" t="s">
        <v>2399</v>
      </c>
      <c r="C79" s="27" t="str">
        <f t="shared" si="1"/>
        <v>07-13</v>
      </c>
      <c r="D79">
        <f>_xlfn.IFNA(VLOOKUP(Walltopia!A79,'Kilter Holds'!$P$36:$AB$370,10,0),0)</f>
        <v>0</v>
      </c>
    </row>
    <row r="80" spans="1:4">
      <c r="A80" t="s">
        <v>2255</v>
      </c>
      <c r="B80" t="s">
        <v>2399</v>
      </c>
      <c r="C80" s="28" t="str">
        <f t="shared" si="1"/>
        <v>11-25</v>
      </c>
      <c r="D80">
        <f>_xlfn.IFNA(VLOOKUP(Walltopia!A80,'Kilter Holds'!$P$36:$AB$370,11,0),0)</f>
        <v>0</v>
      </c>
    </row>
    <row r="81" spans="1:4">
      <c r="A81" t="s">
        <v>2255</v>
      </c>
      <c r="B81" t="s">
        <v>2399</v>
      </c>
      <c r="C81" s="29" t="str">
        <f t="shared" si="1"/>
        <v>18-01</v>
      </c>
      <c r="D81">
        <f>_xlfn.IFNA(VLOOKUP(Walltopia!A81,'Kilter Holds'!$P$36:$AB$370,12,0),0)</f>
        <v>0</v>
      </c>
    </row>
    <row r="82" spans="1:4">
      <c r="A82" t="s">
        <v>2255</v>
      </c>
      <c r="B82" t="s">
        <v>2399</v>
      </c>
      <c r="C82" s="617" t="str">
        <f t="shared" si="1"/>
        <v>12-01</v>
      </c>
      <c r="D82">
        <f>_xlfn.IFNA(VLOOKUP(Walltopia!A82,'Kilter Holds'!$P$36:$AB$370,13,0),0)</f>
        <v>0</v>
      </c>
    </row>
    <row r="83" spans="1:4">
      <c r="A83" t="s">
        <v>2256</v>
      </c>
      <c r="B83" t="s">
        <v>2400</v>
      </c>
      <c r="C83" s="618" t="str">
        <f t="shared" si="1"/>
        <v>11-12</v>
      </c>
      <c r="D83">
        <f>_xlfn.IFNA(VLOOKUP(Walltopia!A83,'Kilter Holds'!$P$36:$AB$370,5,0),0)</f>
        <v>0</v>
      </c>
    </row>
    <row r="84" spans="1:4">
      <c r="A84" t="s">
        <v>2256</v>
      </c>
      <c r="B84" t="s">
        <v>2400</v>
      </c>
      <c r="C84" s="23" t="str">
        <f t="shared" ref="C84:C147" si="2">C75</f>
        <v>14-01</v>
      </c>
      <c r="D84">
        <f>_xlfn.IFNA(VLOOKUP(Walltopia!A84,'Kilter Holds'!$P$36:$AB$370,6,0),0)</f>
        <v>0</v>
      </c>
    </row>
    <row r="85" spans="1:4">
      <c r="A85" t="s">
        <v>2256</v>
      </c>
      <c r="B85" t="s">
        <v>2400</v>
      </c>
      <c r="C85" s="24" t="str">
        <f t="shared" si="2"/>
        <v>15-12</v>
      </c>
      <c r="D85">
        <f>_xlfn.IFNA(VLOOKUP(Walltopia!A85,'Kilter Holds'!$P$36:$AB$370,7,0),0)</f>
        <v>0</v>
      </c>
    </row>
    <row r="86" spans="1:4">
      <c r="A86" t="s">
        <v>2256</v>
      </c>
      <c r="B86" t="s">
        <v>2400</v>
      </c>
      <c r="C86" s="25" t="str">
        <f t="shared" si="2"/>
        <v>16-16</v>
      </c>
      <c r="D86">
        <f>_xlfn.IFNA(VLOOKUP(Walltopia!A86,'Kilter Holds'!$P$36:$AB$370,8,0),0)</f>
        <v>0</v>
      </c>
    </row>
    <row r="87" spans="1:4">
      <c r="A87" t="s">
        <v>2256</v>
      </c>
      <c r="B87" t="s">
        <v>2400</v>
      </c>
      <c r="C87" s="26" t="str">
        <f t="shared" si="2"/>
        <v>13-01</v>
      </c>
      <c r="D87">
        <f>_xlfn.IFNA(VLOOKUP(Walltopia!A87,'Kilter Holds'!$P$36:$AB$370,9,0),0)</f>
        <v>0</v>
      </c>
    </row>
    <row r="88" spans="1:4">
      <c r="A88" t="s">
        <v>2256</v>
      </c>
      <c r="B88" t="s">
        <v>2400</v>
      </c>
      <c r="C88" s="27" t="str">
        <f t="shared" si="2"/>
        <v>07-13</v>
      </c>
      <c r="D88">
        <f>_xlfn.IFNA(VLOOKUP(Walltopia!A88,'Kilter Holds'!$P$36:$AB$370,10,0),0)</f>
        <v>0</v>
      </c>
    </row>
    <row r="89" spans="1:4">
      <c r="A89" t="s">
        <v>2256</v>
      </c>
      <c r="B89" t="s">
        <v>2400</v>
      </c>
      <c r="C89" s="28" t="str">
        <f t="shared" si="2"/>
        <v>11-25</v>
      </c>
      <c r="D89">
        <f>_xlfn.IFNA(VLOOKUP(Walltopia!A89,'Kilter Holds'!$P$36:$AB$370,11,0),0)</f>
        <v>0</v>
      </c>
    </row>
    <row r="90" spans="1:4">
      <c r="A90" t="s">
        <v>2256</v>
      </c>
      <c r="B90" t="s">
        <v>2400</v>
      </c>
      <c r="C90" s="29" t="str">
        <f t="shared" si="2"/>
        <v>18-01</v>
      </c>
      <c r="D90">
        <f>_xlfn.IFNA(VLOOKUP(Walltopia!A90,'Kilter Holds'!$P$36:$AB$370,12,0),0)</f>
        <v>0</v>
      </c>
    </row>
    <row r="91" spans="1:4">
      <c r="A91" t="s">
        <v>2256</v>
      </c>
      <c r="B91" t="s">
        <v>2400</v>
      </c>
      <c r="C91" s="617" t="str">
        <f t="shared" si="2"/>
        <v>12-01</v>
      </c>
      <c r="D91">
        <f>_xlfn.IFNA(VLOOKUP(Walltopia!A91,'Kilter Holds'!$P$36:$AB$370,13,0),0)</f>
        <v>0</v>
      </c>
    </row>
    <row r="92" spans="1:4">
      <c r="A92" t="s">
        <v>2257</v>
      </c>
      <c r="B92" t="s">
        <v>2401</v>
      </c>
      <c r="C92" s="618" t="str">
        <f t="shared" si="2"/>
        <v>11-12</v>
      </c>
      <c r="D92">
        <f>_xlfn.IFNA(VLOOKUP(Walltopia!A92,'Kilter Holds'!$P$36:$AB$370,5,0),0)</f>
        <v>0</v>
      </c>
    </row>
    <row r="93" spans="1:4">
      <c r="A93" t="s">
        <v>2257</v>
      </c>
      <c r="B93" t="s">
        <v>2401</v>
      </c>
      <c r="C93" s="23" t="str">
        <f t="shared" si="2"/>
        <v>14-01</v>
      </c>
      <c r="D93">
        <f>_xlfn.IFNA(VLOOKUP(Walltopia!A93,'Kilter Holds'!$P$36:$AB$370,6,0),0)</f>
        <v>0</v>
      </c>
    </row>
    <row r="94" spans="1:4">
      <c r="A94" t="s">
        <v>2257</v>
      </c>
      <c r="B94" t="s">
        <v>2401</v>
      </c>
      <c r="C94" s="24" t="str">
        <f t="shared" si="2"/>
        <v>15-12</v>
      </c>
      <c r="D94">
        <f>_xlfn.IFNA(VLOOKUP(Walltopia!A94,'Kilter Holds'!$P$36:$AB$370,7,0),0)</f>
        <v>0</v>
      </c>
    </row>
    <row r="95" spans="1:4">
      <c r="A95" t="s">
        <v>2257</v>
      </c>
      <c r="B95" t="s">
        <v>2401</v>
      </c>
      <c r="C95" s="25" t="str">
        <f t="shared" si="2"/>
        <v>16-16</v>
      </c>
      <c r="D95">
        <f>_xlfn.IFNA(VLOOKUP(Walltopia!A95,'Kilter Holds'!$P$36:$AB$370,8,0),0)</f>
        <v>0</v>
      </c>
    </row>
    <row r="96" spans="1:4">
      <c r="A96" t="s">
        <v>2257</v>
      </c>
      <c r="B96" t="s">
        <v>2401</v>
      </c>
      <c r="C96" s="26" t="str">
        <f t="shared" si="2"/>
        <v>13-01</v>
      </c>
      <c r="D96">
        <f>_xlfn.IFNA(VLOOKUP(Walltopia!A96,'Kilter Holds'!$P$36:$AB$370,9,0),0)</f>
        <v>0</v>
      </c>
    </row>
    <row r="97" spans="1:4">
      <c r="A97" t="s">
        <v>2257</v>
      </c>
      <c r="B97" t="s">
        <v>2401</v>
      </c>
      <c r="C97" s="27" t="str">
        <f t="shared" si="2"/>
        <v>07-13</v>
      </c>
      <c r="D97">
        <f>_xlfn.IFNA(VLOOKUP(Walltopia!A97,'Kilter Holds'!$P$36:$AB$370,10,0),0)</f>
        <v>0</v>
      </c>
    </row>
    <row r="98" spans="1:4">
      <c r="A98" t="s">
        <v>2257</v>
      </c>
      <c r="B98" t="s">
        <v>2401</v>
      </c>
      <c r="C98" s="28" t="str">
        <f t="shared" si="2"/>
        <v>11-25</v>
      </c>
      <c r="D98">
        <f>_xlfn.IFNA(VLOOKUP(Walltopia!A98,'Kilter Holds'!$P$36:$AB$370,11,0),0)</f>
        <v>0</v>
      </c>
    </row>
    <row r="99" spans="1:4">
      <c r="A99" t="s">
        <v>2257</v>
      </c>
      <c r="B99" t="s">
        <v>2401</v>
      </c>
      <c r="C99" s="29" t="str">
        <f t="shared" si="2"/>
        <v>18-01</v>
      </c>
      <c r="D99">
        <f>_xlfn.IFNA(VLOOKUP(Walltopia!A99,'Kilter Holds'!$P$36:$AB$370,12,0),0)</f>
        <v>0</v>
      </c>
    </row>
    <row r="100" spans="1:4">
      <c r="A100" t="s">
        <v>2257</v>
      </c>
      <c r="B100" t="s">
        <v>2401</v>
      </c>
      <c r="C100" s="617" t="str">
        <f t="shared" si="2"/>
        <v>12-01</v>
      </c>
      <c r="D100">
        <f>_xlfn.IFNA(VLOOKUP(Walltopia!A100,'Kilter Holds'!$P$36:$AB$370,13,0),0)</f>
        <v>0</v>
      </c>
    </row>
    <row r="101" spans="1:4">
      <c r="A101" t="s">
        <v>2258</v>
      </c>
      <c r="B101" t="s">
        <v>2402</v>
      </c>
      <c r="C101" s="618" t="str">
        <f t="shared" si="2"/>
        <v>11-12</v>
      </c>
      <c r="D101">
        <f>_xlfn.IFNA(VLOOKUP(Walltopia!A101,'Kilter Holds'!$P$36:$AB$370,5,0),0)</f>
        <v>0</v>
      </c>
    </row>
    <row r="102" spans="1:4">
      <c r="A102" t="s">
        <v>2258</v>
      </c>
      <c r="B102" t="s">
        <v>2402</v>
      </c>
      <c r="C102" s="23" t="str">
        <f t="shared" si="2"/>
        <v>14-01</v>
      </c>
      <c r="D102">
        <f>_xlfn.IFNA(VLOOKUP(Walltopia!A102,'Kilter Holds'!$P$36:$AB$370,6,0),0)</f>
        <v>0</v>
      </c>
    </row>
    <row r="103" spans="1:4">
      <c r="A103" t="s">
        <v>2258</v>
      </c>
      <c r="B103" t="s">
        <v>2402</v>
      </c>
      <c r="C103" s="24" t="str">
        <f t="shared" si="2"/>
        <v>15-12</v>
      </c>
      <c r="D103">
        <f>_xlfn.IFNA(VLOOKUP(Walltopia!A103,'Kilter Holds'!$P$36:$AB$370,7,0),0)</f>
        <v>0</v>
      </c>
    </row>
    <row r="104" spans="1:4">
      <c r="A104" t="s">
        <v>2258</v>
      </c>
      <c r="B104" t="s">
        <v>2402</v>
      </c>
      <c r="C104" s="25" t="str">
        <f t="shared" si="2"/>
        <v>16-16</v>
      </c>
      <c r="D104">
        <f>_xlfn.IFNA(VLOOKUP(Walltopia!A104,'Kilter Holds'!$P$36:$AB$370,8,0),0)</f>
        <v>0</v>
      </c>
    </row>
    <row r="105" spans="1:4">
      <c r="A105" t="s">
        <v>2258</v>
      </c>
      <c r="B105" t="s">
        <v>2402</v>
      </c>
      <c r="C105" s="26" t="str">
        <f t="shared" si="2"/>
        <v>13-01</v>
      </c>
      <c r="D105">
        <f>_xlfn.IFNA(VLOOKUP(Walltopia!A105,'Kilter Holds'!$P$36:$AB$370,9,0),0)</f>
        <v>0</v>
      </c>
    </row>
    <row r="106" spans="1:4">
      <c r="A106" t="s">
        <v>2258</v>
      </c>
      <c r="B106" t="s">
        <v>2402</v>
      </c>
      <c r="C106" s="27" t="str">
        <f t="shared" si="2"/>
        <v>07-13</v>
      </c>
      <c r="D106">
        <f>_xlfn.IFNA(VLOOKUP(Walltopia!A106,'Kilter Holds'!$P$36:$AB$370,10,0),0)</f>
        <v>0</v>
      </c>
    </row>
    <row r="107" spans="1:4">
      <c r="A107" t="s">
        <v>2258</v>
      </c>
      <c r="B107" t="s">
        <v>2402</v>
      </c>
      <c r="C107" s="28" t="str">
        <f t="shared" si="2"/>
        <v>11-25</v>
      </c>
      <c r="D107">
        <f>_xlfn.IFNA(VLOOKUP(Walltopia!A107,'Kilter Holds'!$P$36:$AB$370,11,0),0)</f>
        <v>0</v>
      </c>
    </row>
    <row r="108" spans="1:4">
      <c r="A108" t="s">
        <v>2258</v>
      </c>
      <c r="B108" t="s">
        <v>2402</v>
      </c>
      <c r="C108" s="29" t="str">
        <f t="shared" si="2"/>
        <v>18-01</v>
      </c>
      <c r="D108">
        <f>_xlfn.IFNA(VLOOKUP(Walltopia!A108,'Kilter Holds'!$P$36:$AB$370,12,0),0)</f>
        <v>0</v>
      </c>
    </row>
    <row r="109" spans="1:4">
      <c r="A109" t="s">
        <v>2258</v>
      </c>
      <c r="B109" t="s">
        <v>2402</v>
      </c>
      <c r="C109" s="617" t="str">
        <f t="shared" si="2"/>
        <v>12-01</v>
      </c>
      <c r="D109">
        <f>_xlfn.IFNA(VLOOKUP(Walltopia!A109,'Kilter Holds'!$P$36:$AB$370,13,0),0)</f>
        <v>0</v>
      </c>
    </row>
    <row r="110" spans="1:4">
      <c r="A110" t="s">
        <v>2259</v>
      </c>
      <c r="B110" t="s">
        <v>2403</v>
      </c>
      <c r="C110" s="618" t="str">
        <f t="shared" si="2"/>
        <v>11-12</v>
      </c>
      <c r="D110">
        <f>_xlfn.IFNA(VLOOKUP(Walltopia!A110,'Kilter Holds'!$P$36:$AB$370,5,0),0)</f>
        <v>0</v>
      </c>
    </row>
    <row r="111" spans="1:4">
      <c r="A111" t="s">
        <v>2259</v>
      </c>
      <c r="B111" t="s">
        <v>2403</v>
      </c>
      <c r="C111" s="23" t="str">
        <f t="shared" si="2"/>
        <v>14-01</v>
      </c>
      <c r="D111">
        <f>_xlfn.IFNA(VLOOKUP(Walltopia!A111,'Kilter Holds'!$P$36:$AB$370,6,0),0)</f>
        <v>0</v>
      </c>
    </row>
    <row r="112" spans="1:4">
      <c r="A112" t="s">
        <v>2259</v>
      </c>
      <c r="B112" t="s">
        <v>2403</v>
      </c>
      <c r="C112" s="24" t="str">
        <f t="shared" si="2"/>
        <v>15-12</v>
      </c>
      <c r="D112">
        <f>_xlfn.IFNA(VLOOKUP(Walltopia!A112,'Kilter Holds'!$P$36:$AB$370,7,0),0)</f>
        <v>0</v>
      </c>
    </row>
    <row r="113" spans="1:4">
      <c r="A113" t="s">
        <v>2259</v>
      </c>
      <c r="B113" t="s">
        <v>2403</v>
      </c>
      <c r="C113" s="25" t="str">
        <f t="shared" si="2"/>
        <v>16-16</v>
      </c>
      <c r="D113">
        <f>_xlfn.IFNA(VLOOKUP(Walltopia!A113,'Kilter Holds'!$P$36:$AB$370,8,0),0)</f>
        <v>0</v>
      </c>
    </row>
    <row r="114" spans="1:4">
      <c r="A114" t="s">
        <v>2259</v>
      </c>
      <c r="B114" t="s">
        <v>2403</v>
      </c>
      <c r="C114" s="26" t="str">
        <f t="shared" si="2"/>
        <v>13-01</v>
      </c>
      <c r="D114">
        <f>_xlfn.IFNA(VLOOKUP(Walltopia!A114,'Kilter Holds'!$P$36:$AB$370,9,0),0)</f>
        <v>0</v>
      </c>
    </row>
    <row r="115" spans="1:4">
      <c r="A115" t="s">
        <v>2259</v>
      </c>
      <c r="B115" t="s">
        <v>2403</v>
      </c>
      <c r="C115" s="27" t="str">
        <f t="shared" si="2"/>
        <v>07-13</v>
      </c>
      <c r="D115">
        <f>_xlfn.IFNA(VLOOKUP(Walltopia!A115,'Kilter Holds'!$P$36:$AB$370,10,0),0)</f>
        <v>0</v>
      </c>
    </row>
    <row r="116" spans="1:4">
      <c r="A116" t="s">
        <v>2259</v>
      </c>
      <c r="B116" t="s">
        <v>2403</v>
      </c>
      <c r="C116" s="28" t="str">
        <f t="shared" si="2"/>
        <v>11-25</v>
      </c>
      <c r="D116">
        <f>_xlfn.IFNA(VLOOKUP(Walltopia!A116,'Kilter Holds'!$P$36:$AB$370,11,0),0)</f>
        <v>0</v>
      </c>
    </row>
    <row r="117" spans="1:4">
      <c r="A117" t="s">
        <v>2259</v>
      </c>
      <c r="B117" t="s">
        <v>2403</v>
      </c>
      <c r="C117" s="29" t="str">
        <f t="shared" si="2"/>
        <v>18-01</v>
      </c>
      <c r="D117">
        <f>_xlfn.IFNA(VLOOKUP(Walltopia!A117,'Kilter Holds'!$P$36:$AB$370,12,0),0)</f>
        <v>0</v>
      </c>
    </row>
    <row r="118" spans="1:4">
      <c r="A118" t="s">
        <v>2259</v>
      </c>
      <c r="B118" t="s">
        <v>2403</v>
      </c>
      <c r="C118" s="617" t="str">
        <f t="shared" si="2"/>
        <v>12-01</v>
      </c>
      <c r="D118">
        <f>_xlfn.IFNA(VLOOKUP(Walltopia!A118,'Kilter Holds'!$P$36:$AB$370,13,0),0)</f>
        <v>0</v>
      </c>
    </row>
    <row r="119" spans="1:4">
      <c r="A119" t="s">
        <v>2260</v>
      </c>
      <c r="B119" t="s">
        <v>2404</v>
      </c>
      <c r="C119" s="618" t="str">
        <f t="shared" si="2"/>
        <v>11-12</v>
      </c>
      <c r="D119">
        <f>_xlfn.IFNA(VLOOKUP(Walltopia!A119,'Kilter Holds'!$P$36:$AB$370,5,0),0)</f>
        <v>0</v>
      </c>
    </row>
    <row r="120" spans="1:4">
      <c r="A120" t="s">
        <v>2260</v>
      </c>
      <c r="B120" t="s">
        <v>2404</v>
      </c>
      <c r="C120" s="23" t="str">
        <f t="shared" si="2"/>
        <v>14-01</v>
      </c>
      <c r="D120">
        <f>_xlfn.IFNA(VLOOKUP(Walltopia!A120,'Kilter Holds'!$P$36:$AB$370,6,0),0)</f>
        <v>0</v>
      </c>
    </row>
    <row r="121" spans="1:4">
      <c r="A121" t="s">
        <v>2260</v>
      </c>
      <c r="B121" t="s">
        <v>2404</v>
      </c>
      <c r="C121" s="24" t="str">
        <f t="shared" si="2"/>
        <v>15-12</v>
      </c>
      <c r="D121">
        <f>_xlfn.IFNA(VLOOKUP(Walltopia!A121,'Kilter Holds'!$P$36:$AB$370,7,0),0)</f>
        <v>0</v>
      </c>
    </row>
    <row r="122" spans="1:4">
      <c r="A122" t="s">
        <v>2260</v>
      </c>
      <c r="B122" t="s">
        <v>2404</v>
      </c>
      <c r="C122" s="25" t="str">
        <f t="shared" si="2"/>
        <v>16-16</v>
      </c>
      <c r="D122">
        <f>_xlfn.IFNA(VLOOKUP(Walltopia!A122,'Kilter Holds'!$P$36:$AB$370,8,0),0)</f>
        <v>0</v>
      </c>
    </row>
    <row r="123" spans="1:4">
      <c r="A123" t="s">
        <v>2260</v>
      </c>
      <c r="B123" t="s">
        <v>2404</v>
      </c>
      <c r="C123" s="26" t="str">
        <f t="shared" si="2"/>
        <v>13-01</v>
      </c>
      <c r="D123">
        <f>_xlfn.IFNA(VLOOKUP(Walltopia!A123,'Kilter Holds'!$P$36:$AB$370,9,0),0)</f>
        <v>0</v>
      </c>
    </row>
    <row r="124" spans="1:4">
      <c r="A124" t="s">
        <v>2260</v>
      </c>
      <c r="B124" t="s">
        <v>2404</v>
      </c>
      <c r="C124" s="27" t="str">
        <f t="shared" si="2"/>
        <v>07-13</v>
      </c>
      <c r="D124">
        <f>_xlfn.IFNA(VLOOKUP(Walltopia!A124,'Kilter Holds'!$P$36:$AB$370,10,0),0)</f>
        <v>0</v>
      </c>
    </row>
    <row r="125" spans="1:4">
      <c r="A125" t="s">
        <v>2260</v>
      </c>
      <c r="B125" t="s">
        <v>2404</v>
      </c>
      <c r="C125" s="28" t="str">
        <f t="shared" si="2"/>
        <v>11-25</v>
      </c>
      <c r="D125">
        <f>_xlfn.IFNA(VLOOKUP(Walltopia!A125,'Kilter Holds'!$P$36:$AB$370,11,0),0)</f>
        <v>0</v>
      </c>
    </row>
    <row r="126" spans="1:4">
      <c r="A126" t="s">
        <v>2260</v>
      </c>
      <c r="B126" t="s">
        <v>2404</v>
      </c>
      <c r="C126" s="29" t="str">
        <f t="shared" si="2"/>
        <v>18-01</v>
      </c>
      <c r="D126">
        <f>_xlfn.IFNA(VLOOKUP(Walltopia!A126,'Kilter Holds'!$P$36:$AB$370,12,0),0)</f>
        <v>0</v>
      </c>
    </row>
    <row r="127" spans="1:4">
      <c r="A127" t="s">
        <v>2260</v>
      </c>
      <c r="B127" t="s">
        <v>2404</v>
      </c>
      <c r="C127" s="617" t="str">
        <f t="shared" si="2"/>
        <v>12-01</v>
      </c>
      <c r="D127">
        <f>_xlfn.IFNA(VLOOKUP(Walltopia!A127,'Kilter Holds'!$P$36:$AB$370,13,0),0)</f>
        <v>0</v>
      </c>
    </row>
    <row r="128" spans="1:4">
      <c r="A128" t="s">
        <v>2261</v>
      </c>
      <c r="B128" t="s">
        <v>2405</v>
      </c>
      <c r="C128" s="618" t="str">
        <f t="shared" si="2"/>
        <v>11-12</v>
      </c>
      <c r="D128">
        <f>_xlfn.IFNA(VLOOKUP(Walltopia!A128,'Kilter Holds'!$P$36:$AB$370,5,0),0)</f>
        <v>0</v>
      </c>
    </row>
    <row r="129" spans="1:4">
      <c r="A129" t="s">
        <v>2261</v>
      </c>
      <c r="B129" t="s">
        <v>2405</v>
      </c>
      <c r="C129" s="23" t="str">
        <f t="shared" si="2"/>
        <v>14-01</v>
      </c>
      <c r="D129">
        <f>_xlfn.IFNA(VLOOKUP(Walltopia!A129,'Kilter Holds'!$P$36:$AB$370,6,0),0)</f>
        <v>0</v>
      </c>
    </row>
    <row r="130" spans="1:4">
      <c r="A130" t="s">
        <v>2261</v>
      </c>
      <c r="B130" t="s">
        <v>2405</v>
      </c>
      <c r="C130" s="24" t="str">
        <f t="shared" si="2"/>
        <v>15-12</v>
      </c>
      <c r="D130">
        <f>_xlfn.IFNA(VLOOKUP(Walltopia!A130,'Kilter Holds'!$P$36:$AB$370,7,0),0)</f>
        <v>0</v>
      </c>
    </row>
    <row r="131" spans="1:4">
      <c r="A131" t="s">
        <v>2261</v>
      </c>
      <c r="B131" t="s">
        <v>2405</v>
      </c>
      <c r="C131" s="25" t="str">
        <f t="shared" si="2"/>
        <v>16-16</v>
      </c>
      <c r="D131">
        <f>_xlfn.IFNA(VLOOKUP(Walltopia!A131,'Kilter Holds'!$P$36:$AB$370,8,0),0)</f>
        <v>0</v>
      </c>
    </row>
    <row r="132" spans="1:4">
      <c r="A132" t="s">
        <v>2261</v>
      </c>
      <c r="B132" t="s">
        <v>2405</v>
      </c>
      <c r="C132" s="26" t="str">
        <f t="shared" si="2"/>
        <v>13-01</v>
      </c>
      <c r="D132">
        <f>_xlfn.IFNA(VLOOKUP(Walltopia!A132,'Kilter Holds'!$P$36:$AB$370,9,0),0)</f>
        <v>0</v>
      </c>
    </row>
    <row r="133" spans="1:4">
      <c r="A133" t="s">
        <v>2261</v>
      </c>
      <c r="B133" t="s">
        <v>2405</v>
      </c>
      <c r="C133" s="27" t="str">
        <f t="shared" si="2"/>
        <v>07-13</v>
      </c>
      <c r="D133">
        <f>_xlfn.IFNA(VLOOKUP(Walltopia!A133,'Kilter Holds'!$P$36:$AB$370,10,0),0)</f>
        <v>0</v>
      </c>
    </row>
    <row r="134" spans="1:4">
      <c r="A134" t="s">
        <v>2261</v>
      </c>
      <c r="B134" t="s">
        <v>2405</v>
      </c>
      <c r="C134" s="28" t="str">
        <f t="shared" si="2"/>
        <v>11-25</v>
      </c>
      <c r="D134">
        <f>_xlfn.IFNA(VLOOKUP(Walltopia!A134,'Kilter Holds'!$P$36:$AB$370,11,0),0)</f>
        <v>0</v>
      </c>
    </row>
    <row r="135" spans="1:4">
      <c r="A135" t="s">
        <v>2261</v>
      </c>
      <c r="B135" t="s">
        <v>2405</v>
      </c>
      <c r="C135" s="29" t="str">
        <f t="shared" si="2"/>
        <v>18-01</v>
      </c>
      <c r="D135">
        <f>_xlfn.IFNA(VLOOKUP(Walltopia!A135,'Kilter Holds'!$P$36:$AB$370,12,0),0)</f>
        <v>0</v>
      </c>
    </row>
    <row r="136" spans="1:4">
      <c r="A136" t="s">
        <v>2261</v>
      </c>
      <c r="B136" t="s">
        <v>2405</v>
      </c>
      <c r="C136" s="617" t="str">
        <f t="shared" si="2"/>
        <v>12-01</v>
      </c>
      <c r="D136">
        <f>_xlfn.IFNA(VLOOKUP(Walltopia!A136,'Kilter Holds'!$P$36:$AB$370,13,0),0)</f>
        <v>0</v>
      </c>
    </row>
    <row r="137" spans="1:4">
      <c r="A137" t="s">
        <v>2262</v>
      </c>
      <c r="B137" t="s">
        <v>2406</v>
      </c>
      <c r="C137" s="618" t="str">
        <f t="shared" si="2"/>
        <v>11-12</v>
      </c>
      <c r="D137">
        <f>_xlfn.IFNA(VLOOKUP(Walltopia!A137,'Kilter Holds'!$P$36:$AB$370,5,0),0)</f>
        <v>0</v>
      </c>
    </row>
    <row r="138" spans="1:4">
      <c r="A138" t="s">
        <v>2262</v>
      </c>
      <c r="B138" t="s">
        <v>2406</v>
      </c>
      <c r="C138" s="23" t="str">
        <f t="shared" si="2"/>
        <v>14-01</v>
      </c>
      <c r="D138">
        <f>_xlfn.IFNA(VLOOKUP(Walltopia!A138,'Kilter Holds'!$P$36:$AB$370,6,0),0)</f>
        <v>0</v>
      </c>
    </row>
    <row r="139" spans="1:4">
      <c r="A139" t="s">
        <v>2262</v>
      </c>
      <c r="B139" t="s">
        <v>2406</v>
      </c>
      <c r="C139" s="24" t="str">
        <f t="shared" si="2"/>
        <v>15-12</v>
      </c>
      <c r="D139">
        <f>_xlfn.IFNA(VLOOKUP(Walltopia!A139,'Kilter Holds'!$P$36:$AB$370,7,0),0)</f>
        <v>0</v>
      </c>
    </row>
    <row r="140" spans="1:4">
      <c r="A140" t="s">
        <v>2262</v>
      </c>
      <c r="B140" t="s">
        <v>2406</v>
      </c>
      <c r="C140" s="25" t="str">
        <f t="shared" si="2"/>
        <v>16-16</v>
      </c>
      <c r="D140">
        <f>_xlfn.IFNA(VLOOKUP(Walltopia!A140,'Kilter Holds'!$P$36:$AB$370,8,0),0)</f>
        <v>0</v>
      </c>
    </row>
    <row r="141" spans="1:4">
      <c r="A141" t="s">
        <v>2262</v>
      </c>
      <c r="B141" t="s">
        <v>2406</v>
      </c>
      <c r="C141" s="26" t="str">
        <f t="shared" si="2"/>
        <v>13-01</v>
      </c>
      <c r="D141">
        <f>_xlfn.IFNA(VLOOKUP(Walltopia!A141,'Kilter Holds'!$P$36:$AB$370,9,0),0)</f>
        <v>0</v>
      </c>
    </row>
    <row r="142" spans="1:4">
      <c r="A142" t="s">
        <v>2262</v>
      </c>
      <c r="B142" t="s">
        <v>2406</v>
      </c>
      <c r="C142" s="27" t="str">
        <f t="shared" si="2"/>
        <v>07-13</v>
      </c>
      <c r="D142">
        <f>_xlfn.IFNA(VLOOKUP(Walltopia!A142,'Kilter Holds'!$P$36:$AB$370,10,0),0)</f>
        <v>0</v>
      </c>
    </row>
    <row r="143" spans="1:4">
      <c r="A143" t="s">
        <v>2262</v>
      </c>
      <c r="B143" t="s">
        <v>2406</v>
      </c>
      <c r="C143" s="28" t="str">
        <f t="shared" si="2"/>
        <v>11-25</v>
      </c>
      <c r="D143">
        <f>_xlfn.IFNA(VLOOKUP(Walltopia!A143,'Kilter Holds'!$P$36:$AB$370,11,0),0)</f>
        <v>0</v>
      </c>
    </row>
    <row r="144" spans="1:4">
      <c r="A144" t="s">
        <v>2262</v>
      </c>
      <c r="B144" t="s">
        <v>2406</v>
      </c>
      <c r="C144" s="29" t="str">
        <f t="shared" si="2"/>
        <v>18-01</v>
      </c>
      <c r="D144">
        <f>_xlfn.IFNA(VLOOKUP(Walltopia!A144,'Kilter Holds'!$P$36:$AB$370,12,0),0)</f>
        <v>0</v>
      </c>
    </row>
    <row r="145" spans="1:4">
      <c r="A145" t="s">
        <v>2262</v>
      </c>
      <c r="B145" t="s">
        <v>2406</v>
      </c>
      <c r="C145" s="617" t="str">
        <f t="shared" si="2"/>
        <v>12-01</v>
      </c>
      <c r="D145">
        <f>_xlfn.IFNA(VLOOKUP(Walltopia!A145,'Kilter Holds'!$P$36:$AB$370,13,0),0)</f>
        <v>0</v>
      </c>
    </row>
    <row r="146" spans="1:4">
      <c r="A146" t="s">
        <v>2263</v>
      </c>
      <c r="B146" t="s">
        <v>2407</v>
      </c>
      <c r="C146" s="618" t="str">
        <f t="shared" si="2"/>
        <v>11-12</v>
      </c>
      <c r="D146">
        <f>_xlfn.IFNA(VLOOKUP(Walltopia!A146,'Kilter Holds'!$P$36:$AB$370,5,0),0)</f>
        <v>0</v>
      </c>
    </row>
    <row r="147" spans="1:4">
      <c r="A147" t="s">
        <v>2263</v>
      </c>
      <c r="B147" t="s">
        <v>2407</v>
      </c>
      <c r="C147" s="23" t="str">
        <f t="shared" si="2"/>
        <v>14-01</v>
      </c>
      <c r="D147">
        <f>_xlfn.IFNA(VLOOKUP(Walltopia!A147,'Kilter Holds'!$P$36:$AB$370,6,0),0)</f>
        <v>0</v>
      </c>
    </row>
    <row r="148" spans="1:4">
      <c r="A148" t="s">
        <v>2263</v>
      </c>
      <c r="B148" t="s">
        <v>2407</v>
      </c>
      <c r="C148" s="24" t="str">
        <f t="shared" ref="C148:C211" si="3">C139</f>
        <v>15-12</v>
      </c>
      <c r="D148">
        <f>_xlfn.IFNA(VLOOKUP(Walltopia!A148,'Kilter Holds'!$P$36:$AB$370,7,0),0)</f>
        <v>0</v>
      </c>
    </row>
    <row r="149" spans="1:4">
      <c r="A149" t="s">
        <v>2263</v>
      </c>
      <c r="B149" t="s">
        <v>2407</v>
      </c>
      <c r="C149" s="25" t="str">
        <f t="shared" si="3"/>
        <v>16-16</v>
      </c>
      <c r="D149">
        <f>_xlfn.IFNA(VLOOKUP(Walltopia!A149,'Kilter Holds'!$P$36:$AB$370,8,0),0)</f>
        <v>0</v>
      </c>
    </row>
    <row r="150" spans="1:4">
      <c r="A150" t="s">
        <v>2263</v>
      </c>
      <c r="B150" t="s">
        <v>2407</v>
      </c>
      <c r="C150" s="26" t="str">
        <f t="shared" si="3"/>
        <v>13-01</v>
      </c>
      <c r="D150">
        <f>_xlfn.IFNA(VLOOKUP(Walltopia!A150,'Kilter Holds'!$P$36:$AB$370,9,0),0)</f>
        <v>0</v>
      </c>
    </row>
    <row r="151" spans="1:4">
      <c r="A151" t="s">
        <v>2263</v>
      </c>
      <c r="B151" t="s">
        <v>2407</v>
      </c>
      <c r="C151" s="27" t="str">
        <f t="shared" si="3"/>
        <v>07-13</v>
      </c>
      <c r="D151">
        <f>_xlfn.IFNA(VLOOKUP(Walltopia!A151,'Kilter Holds'!$P$36:$AB$370,10,0),0)</f>
        <v>0</v>
      </c>
    </row>
    <row r="152" spans="1:4">
      <c r="A152" t="s">
        <v>2263</v>
      </c>
      <c r="B152" t="s">
        <v>2407</v>
      </c>
      <c r="C152" s="28" t="str">
        <f t="shared" si="3"/>
        <v>11-25</v>
      </c>
      <c r="D152">
        <f>_xlfn.IFNA(VLOOKUP(Walltopia!A152,'Kilter Holds'!$P$36:$AB$370,11,0),0)</f>
        <v>0</v>
      </c>
    </row>
    <row r="153" spans="1:4">
      <c r="A153" t="s">
        <v>2263</v>
      </c>
      <c r="B153" t="s">
        <v>2407</v>
      </c>
      <c r="C153" s="29" t="str">
        <f t="shared" si="3"/>
        <v>18-01</v>
      </c>
      <c r="D153">
        <f>_xlfn.IFNA(VLOOKUP(Walltopia!A153,'Kilter Holds'!$P$36:$AB$370,12,0),0)</f>
        <v>0</v>
      </c>
    </row>
    <row r="154" spans="1:4">
      <c r="A154" t="s">
        <v>2263</v>
      </c>
      <c r="B154" t="s">
        <v>2407</v>
      </c>
      <c r="C154" s="617" t="str">
        <f t="shared" si="3"/>
        <v>12-01</v>
      </c>
      <c r="D154">
        <f>_xlfn.IFNA(VLOOKUP(Walltopia!A154,'Kilter Holds'!$P$36:$AB$370,13,0),0)</f>
        <v>0</v>
      </c>
    </row>
    <row r="155" spans="1:4">
      <c r="A155" t="s">
        <v>2264</v>
      </c>
      <c r="B155" t="s">
        <v>2408</v>
      </c>
      <c r="C155" s="618" t="str">
        <f t="shared" si="3"/>
        <v>11-12</v>
      </c>
      <c r="D155">
        <f>_xlfn.IFNA(VLOOKUP(Walltopia!A155,'Kilter Holds'!$P$36:$AB$370,5,0),0)</f>
        <v>0</v>
      </c>
    </row>
    <row r="156" spans="1:4">
      <c r="A156" t="s">
        <v>2264</v>
      </c>
      <c r="B156" t="s">
        <v>2408</v>
      </c>
      <c r="C156" s="23" t="str">
        <f t="shared" si="3"/>
        <v>14-01</v>
      </c>
      <c r="D156">
        <f>_xlfn.IFNA(VLOOKUP(Walltopia!A156,'Kilter Holds'!$P$36:$AB$370,6,0),0)</f>
        <v>0</v>
      </c>
    </row>
    <row r="157" spans="1:4">
      <c r="A157" t="s">
        <v>2264</v>
      </c>
      <c r="B157" t="s">
        <v>2408</v>
      </c>
      <c r="C157" s="24" t="str">
        <f t="shared" si="3"/>
        <v>15-12</v>
      </c>
      <c r="D157">
        <f>_xlfn.IFNA(VLOOKUP(Walltopia!A157,'Kilter Holds'!$P$36:$AB$370,7,0),0)</f>
        <v>0</v>
      </c>
    </row>
    <row r="158" spans="1:4">
      <c r="A158" t="s">
        <v>2264</v>
      </c>
      <c r="B158" t="s">
        <v>2408</v>
      </c>
      <c r="C158" s="25" t="str">
        <f t="shared" si="3"/>
        <v>16-16</v>
      </c>
      <c r="D158">
        <f>_xlfn.IFNA(VLOOKUP(Walltopia!A158,'Kilter Holds'!$P$36:$AB$370,8,0),0)</f>
        <v>0</v>
      </c>
    </row>
    <row r="159" spans="1:4">
      <c r="A159" t="s">
        <v>2264</v>
      </c>
      <c r="B159" t="s">
        <v>2408</v>
      </c>
      <c r="C159" s="26" t="str">
        <f t="shared" si="3"/>
        <v>13-01</v>
      </c>
      <c r="D159">
        <f>_xlfn.IFNA(VLOOKUP(Walltopia!A159,'Kilter Holds'!$P$36:$AB$370,9,0),0)</f>
        <v>0</v>
      </c>
    </row>
    <row r="160" spans="1:4">
      <c r="A160" t="s">
        <v>2264</v>
      </c>
      <c r="B160" t="s">
        <v>2408</v>
      </c>
      <c r="C160" s="27" t="str">
        <f t="shared" si="3"/>
        <v>07-13</v>
      </c>
      <c r="D160">
        <f>_xlfn.IFNA(VLOOKUP(Walltopia!A160,'Kilter Holds'!$P$36:$AB$370,10,0),0)</f>
        <v>0</v>
      </c>
    </row>
    <row r="161" spans="1:4">
      <c r="A161" t="s">
        <v>2264</v>
      </c>
      <c r="B161" t="s">
        <v>2408</v>
      </c>
      <c r="C161" s="28" t="str">
        <f t="shared" si="3"/>
        <v>11-25</v>
      </c>
      <c r="D161">
        <f>_xlfn.IFNA(VLOOKUP(Walltopia!A161,'Kilter Holds'!$P$36:$AB$370,11,0),0)</f>
        <v>0</v>
      </c>
    </row>
    <row r="162" spans="1:4">
      <c r="A162" t="s">
        <v>2264</v>
      </c>
      <c r="B162" t="s">
        <v>2408</v>
      </c>
      <c r="C162" s="29" t="str">
        <f t="shared" si="3"/>
        <v>18-01</v>
      </c>
      <c r="D162">
        <f>_xlfn.IFNA(VLOOKUP(Walltopia!A162,'Kilter Holds'!$P$36:$AB$370,12,0),0)</f>
        <v>0</v>
      </c>
    </row>
    <row r="163" spans="1:4">
      <c r="A163" t="s">
        <v>2264</v>
      </c>
      <c r="B163" t="s">
        <v>2408</v>
      </c>
      <c r="C163" s="617" t="str">
        <f t="shared" si="3"/>
        <v>12-01</v>
      </c>
      <c r="D163">
        <f>_xlfn.IFNA(VLOOKUP(Walltopia!A163,'Kilter Holds'!$P$36:$AB$370,13,0),0)</f>
        <v>0</v>
      </c>
    </row>
    <row r="164" spans="1:4">
      <c r="A164" t="s">
        <v>2265</v>
      </c>
      <c r="B164" t="s">
        <v>2409</v>
      </c>
      <c r="C164" s="618" t="str">
        <f t="shared" si="3"/>
        <v>11-12</v>
      </c>
      <c r="D164">
        <f>_xlfn.IFNA(VLOOKUP(Walltopia!A164,'Kilter Holds'!$P$36:$AB$370,5,0),0)</f>
        <v>0</v>
      </c>
    </row>
    <row r="165" spans="1:4">
      <c r="A165" t="s">
        <v>2265</v>
      </c>
      <c r="B165" t="s">
        <v>2409</v>
      </c>
      <c r="C165" s="23" t="str">
        <f t="shared" si="3"/>
        <v>14-01</v>
      </c>
      <c r="D165">
        <f>_xlfn.IFNA(VLOOKUP(Walltopia!A165,'Kilter Holds'!$P$36:$AB$370,6,0),0)</f>
        <v>0</v>
      </c>
    </row>
    <row r="166" spans="1:4">
      <c r="A166" t="s">
        <v>2265</v>
      </c>
      <c r="B166" t="s">
        <v>2409</v>
      </c>
      <c r="C166" s="24" t="str">
        <f t="shared" si="3"/>
        <v>15-12</v>
      </c>
      <c r="D166">
        <f>_xlfn.IFNA(VLOOKUP(Walltopia!A166,'Kilter Holds'!$P$36:$AB$370,7,0),0)</f>
        <v>0</v>
      </c>
    </row>
    <row r="167" spans="1:4">
      <c r="A167" t="s">
        <v>2265</v>
      </c>
      <c r="B167" t="s">
        <v>2409</v>
      </c>
      <c r="C167" s="25" t="str">
        <f t="shared" si="3"/>
        <v>16-16</v>
      </c>
      <c r="D167">
        <f>_xlfn.IFNA(VLOOKUP(Walltopia!A167,'Kilter Holds'!$P$36:$AB$370,8,0),0)</f>
        <v>0</v>
      </c>
    </row>
    <row r="168" spans="1:4">
      <c r="A168" t="s">
        <v>2265</v>
      </c>
      <c r="B168" t="s">
        <v>2409</v>
      </c>
      <c r="C168" s="26" t="str">
        <f t="shared" si="3"/>
        <v>13-01</v>
      </c>
      <c r="D168">
        <f>_xlfn.IFNA(VLOOKUP(Walltopia!A168,'Kilter Holds'!$P$36:$AB$370,9,0),0)</f>
        <v>0</v>
      </c>
    </row>
    <row r="169" spans="1:4">
      <c r="A169" t="s">
        <v>2265</v>
      </c>
      <c r="B169" t="s">
        <v>2409</v>
      </c>
      <c r="C169" s="27" t="str">
        <f t="shared" si="3"/>
        <v>07-13</v>
      </c>
      <c r="D169">
        <f>_xlfn.IFNA(VLOOKUP(Walltopia!A169,'Kilter Holds'!$P$36:$AB$370,10,0),0)</f>
        <v>0</v>
      </c>
    </row>
    <row r="170" spans="1:4">
      <c r="A170" t="s">
        <v>2265</v>
      </c>
      <c r="B170" t="s">
        <v>2409</v>
      </c>
      <c r="C170" s="28" t="str">
        <f t="shared" si="3"/>
        <v>11-25</v>
      </c>
      <c r="D170">
        <f>_xlfn.IFNA(VLOOKUP(Walltopia!A170,'Kilter Holds'!$P$36:$AB$370,11,0),0)</f>
        <v>0</v>
      </c>
    </row>
    <row r="171" spans="1:4">
      <c r="A171" t="s">
        <v>2265</v>
      </c>
      <c r="B171" t="s">
        <v>2409</v>
      </c>
      <c r="C171" s="29" t="str">
        <f t="shared" si="3"/>
        <v>18-01</v>
      </c>
      <c r="D171">
        <f>_xlfn.IFNA(VLOOKUP(Walltopia!A171,'Kilter Holds'!$P$36:$AB$370,12,0),0)</f>
        <v>0</v>
      </c>
    </row>
    <row r="172" spans="1:4">
      <c r="A172" t="s">
        <v>2265</v>
      </c>
      <c r="B172" t="s">
        <v>2409</v>
      </c>
      <c r="C172" s="617" t="str">
        <f t="shared" si="3"/>
        <v>12-01</v>
      </c>
      <c r="D172">
        <f>_xlfn.IFNA(VLOOKUP(Walltopia!A172,'Kilter Holds'!$P$36:$AB$370,13,0),0)</f>
        <v>0</v>
      </c>
    </row>
    <row r="173" spans="1:4">
      <c r="A173" t="s">
        <v>2266</v>
      </c>
      <c r="B173" t="s">
        <v>2410</v>
      </c>
      <c r="C173" s="618" t="str">
        <f t="shared" si="3"/>
        <v>11-12</v>
      </c>
      <c r="D173">
        <f>_xlfn.IFNA(VLOOKUP(Walltopia!A173,'Kilter Holds'!$P$36:$AB$370,5,0),0)</f>
        <v>0</v>
      </c>
    </row>
    <row r="174" spans="1:4">
      <c r="A174" t="s">
        <v>2266</v>
      </c>
      <c r="B174" t="s">
        <v>2410</v>
      </c>
      <c r="C174" s="23" t="str">
        <f t="shared" si="3"/>
        <v>14-01</v>
      </c>
      <c r="D174">
        <f>_xlfn.IFNA(VLOOKUP(Walltopia!A174,'Kilter Holds'!$P$36:$AB$370,6,0),0)</f>
        <v>0</v>
      </c>
    </row>
    <row r="175" spans="1:4">
      <c r="A175" t="s">
        <v>2266</v>
      </c>
      <c r="B175" t="s">
        <v>2410</v>
      </c>
      <c r="C175" s="24" t="str">
        <f t="shared" si="3"/>
        <v>15-12</v>
      </c>
      <c r="D175">
        <f>_xlfn.IFNA(VLOOKUP(Walltopia!A175,'Kilter Holds'!$P$36:$AB$370,7,0),0)</f>
        <v>0</v>
      </c>
    </row>
    <row r="176" spans="1:4">
      <c r="A176" t="s">
        <v>2266</v>
      </c>
      <c r="B176" t="s">
        <v>2410</v>
      </c>
      <c r="C176" s="25" t="str">
        <f t="shared" si="3"/>
        <v>16-16</v>
      </c>
      <c r="D176">
        <f>_xlfn.IFNA(VLOOKUP(Walltopia!A176,'Kilter Holds'!$P$36:$AB$370,8,0),0)</f>
        <v>0</v>
      </c>
    </row>
    <row r="177" spans="1:4">
      <c r="A177" t="s">
        <v>2266</v>
      </c>
      <c r="B177" t="s">
        <v>2410</v>
      </c>
      <c r="C177" s="26" t="str">
        <f t="shared" si="3"/>
        <v>13-01</v>
      </c>
      <c r="D177">
        <f>_xlfn.IFNA(VLOOKUP(Walltopia!A177,'Kilter Holds'!$P$36:$AB$370,9,0),0)</f>
        <v>0</v>
      </c>
    </row>
    <row r="178" spans="1:4">
      <c r="A178" t="s">
        <v>2266</v>
      </c>
      <c r="B178" t="s">
        <v>2410</v>
      </c>
      <c r="C178" s="27" t="str">
        <f t="shared" si="3"/>
        <v>07-13</v>
      </c>
      <c r="D178">
        <f>_xlfn.IFNA(VLOOKUP(Walltopia!A178,'Kilter Holds'!$P$36:$AB$370,10,0),0)</f>
        <v>0</v>
      </c>
    </row>
    <row r="179" spans="1:4">
      <c r="A179" t="s">
        <v>2266</v>
      </c>
      <c r="B179" t="s">
        <v>2410</v>
      </c>
      <c r="C179" s="28" t="str">
        <f t="shared" si="3"/>
        <v>11-25</v>
      </c>
      <c r="D179">
        <f>_xlfn.IFNA(VLOOKUP(Walltopia!A179,'Kilter Holds'!$P$36:$AB$370,11,0),0)</f>
        <v>0</v>
      </c>
    </row>
    <row r="180" spans="1:4">
      <c r="A180" t="s">
        <v>2266</v>
      </c>
      <c r="B180" t="s">
        <v>2410</v>
      </c>
      <c r="C180" s="29" t="str">
        <f t="shared" si="3"/>
        <v>18-01</v>
      </c>
      <c r="D180">
        <f>_xlfn.IFNA(VLOOKUP(Walltopia!A180,'Kilter Holds'!$P$36:$AB$370,12,0),0)</f>
        <v>0</v>
      </c>
    </row>
    <row r="181" spans="1:4">
      <c r="A181" t="s">
        <v>2266</v>
      </c>
      <c r="B181" t="s">
        <v>2410</v>
      </c>
      <c r="C181" s="617" t="str">
        <f t="shared" si="3"/>
        <v>12-01</v>
      </c>
      <c r="D181">
        <f>_xlfn.IFNA(VLOOKUP(Walltopia!A181,'Kilter Holds'!$P$36:$AB$370,13,0),0)</f>
        <v>0</v>
      </c>
    </row>
    <row r="182" spans="1:4">
      <c r="A182" t="s">
        <v>2267</v>
      </c>
      <c r="B182" t="s">
        <v>2411</v>
      </c>
      <c r="C182" s="618" t="str">
        <f t="shared" si="3"/>
        <v>11-12</v>
      </c>
      <c r="D182">
        <f>_xlfn.IFNA(VLOOKUP(Walltopia!A182,'Kilter Holds'!$P$36:$AB$370,5,0),0)</f>
        <v>0</v>
      </c>
    </row>
    <row r="183" spans="1:4">
      <c r="A183" t="s">
        <v>2267</v>
      </c>
      <c r="B183" t="s">
        <v>2411</v>
      </c>
      <c r="C183" s="23" t="str">
        <f t="shared" si="3"/>
        <v>14-01</v>
      </c>
      <c r="D183">
        <f>_xlfn.IFNA(VLOOKUP(Walltopia!A183,'Kilter Holds'!$P$36:$AB$370,6,0),0)</f>
        <v>0</v>
      </c>
    </row>
    <row r="184" spans="1:4">
      <c r="A184" t="s">
        <v>2267</v>
      </c>
      <c r="B184" t="s">
        <v>2411</v>
      </c>
      <c r="C184" s="24" t="str">
        <f t="shared" si="3"/>
        <v>15-12</v>
      </c>
      <c r="D184">
        <f>_xlfn.IFNA(VLOOKUP(Walltopia!A184,'Kilter Holds'!$P$36:$AB$370,7,0),0)</f>
        <v>0</v>
      </c>
    </row>
    <row r="185" spans="1:4">
      <c r="A185" t="s">
        <v>2267</v>
      </c>
      <c r="B185" t="s">
        <v>2411</v>
      </c>
      <c r="C185" s="25" t="str">
        <f t="shared" si="3"/>
        <v>16-16</v>
      </c>
      <c r="D185">
        <f>_xlfn.IFNA(VLOOKUP(Walltopia!A185,'Kilter Holds'!$P$36:$AB$370,8,0),0)</f>
        <v>0</v>
      </c>
    </row>
    <row r="186" spans="1:4">
      <c r="A186" t="s">
        <v>2267</v>
      </c>
      <c r="B186" t="s">
        <v>2411</v>
      </c>
      <c r="C186" s="26" t="str">
        <f t="shared" si="3"/>
        <v>13-01</v>
      </c>
      <c r="D186">
        <f>_xlfn.IFNA(VLOOKUP(Walltopia!A186,'Kilter Holds'!$P$36:$AB$370,9,0),0)</f>
        <v>0</v>
      </c>
    </row>
    <row r="187" spans="1:4">
      <c r="A187" t="s">
        <v>2267</v>
      </c>
      <c r="B187" t="s">
        <v>2411</v>
      </c>
      <c r="C187" s="27" t="str">
        <f t="shared" si="3"/>
        <v>07-13</v>
      </c>
      <c r="D187">
        <f>_xlfn.IFNA(VLOOKUP(Walltopia!A187,'Kilter Holds'!$P$36:$AB$370,10,0),0)</f>
        <v>0</v>
      </c>
    </row>
    <row r="188" spans="1:4">
      <c r="A188" t="s">
        <v>2267</v>
      </c>
      <c r="B188" t="s">
        <v>2411</v>
      </c>
      <c r="C188" s="28" t="str">
        <f t="shared" si="3"/>
        <v>11-25</v>
      </c>
      <c r="D188">
        <f>_xlfn.IFNA(VLOOKUP(Walltopia!A188,'Kilter Holds'!$P$36:$AB$370,11,0),0)</f>
        <v>0</v>
      </c>
    </row>
    <row r="189" spans="1:4">
      <c r="A189" t="s">
        <v>2267</v>
      </c>
      <c r="B189" t="s">
        <v>2411</v>
      </c>
      <c r="C189" s="29" t="str">
        <f t="shared" si="3"/>
        <v>18-01</v>
      </c>
      <c r="D189">
        <f>_xlfn.IFNA(VLOOKUP(Walltopia!A189,'Kilter Holds'!$P$36:$AB$370,12,0),0)</f>
        <v>0</v>
      </c>
    </row>
    <row r="190" spans="1:4">
      <c r="A190" t="s">
        <v>2267</v>
      </c>
      <c r="B190" t="s">
        <v>2411</v>
      </c>
      <c r="C190" s="617" t="str">
        <f t="shared" si="3"/>
        <v>12-01</v>
      </c>
      <c r="D190">
        <f>_xlfn.IFNA(VLOOKUP(Walltopia!A190,'Kilter Holds'!$P$36:$AB$370,13,0),0)</f>
        <v>0</v>
      </c>
    </row>
    <row r="191" spans="1:4">
      <c r="A191" s="3" t="s">
        <v>2371</v>
      </c>
      <c r="B191" s="3" t="s">
        <v>2413</v>
      </c>
      <c r="C191" s="618" t="str">
        <f t="shared" si="3"/>
        <v>11-12</v>
      </c>
      <c r="D191">
        <f>_xlfn.IFNA(VLOOKUP(Walltopia!A191,'Kilter Holds'!$P$36:$AB$370,5,0),0)</f>
        <v>0</v>
      </c>
    </row>
    <row r="192" spans="1:4">
      <c r="A192" s="3" t="s">
        <v>2371</v>
      </c>
      <c r="B192" s="3" t="s">
        <v>2413</v>
      </c>
      <c r="C192" s="23" t="str">
        <f t="shared" si="3"/>
        <v>14-01</v>
      </c>
      <c r="D192">
        <f>_xlfn.IFNA(VLOOKUP(Walltopia!A192,'Kilter Holds'!$P$36:$AB$370,6,0),0)</f>
        <v>0</v>
      </c>
    </row>
    <row r="193" spans="1:4">
      <c r="A193" s="3" t="s">
        <v>2371</v>
      </c>
      <c r="B193" s="3" t="s">
        <v>2413</v>
      </c>
      <c r="C193" s="24" t="str">
        <f t="shared" si="3"/>
        <v>15-12</v>
      </c>
      <c r="D193">
        <f>_xlfn.IFNA(VLOOKUP(Walltopia!A193,'Kilter Holds'!$P$36:$AB$370,7,0),0)</f>
        <v>0</v>
      </c>
    </row>
    <row r="194" spans="1:4">
      <c r="A194" s="3" t="s">
        <v>2371</v>
      </c>
      <c r="B194" s="3" t="s">
        <v>2413</v>
      </c>
      <c r="C194" s="25" t="str">
        <f t="shared" si="3"/>
        <v>16-16</v>
      </c>
      <c r="D194">
        <f>_xlfn.IFNA(VLOOKUP(Walltopia!A194,'Kilter Holds'!$P$36:$AB$370,8,0),0)</f>
        <v>0</v>
      </c>
    </row>
    <row r="195" spans="1:4">
      <c r="A195" s="3" t="s">
        <v>2371</v>
      </c>
      <c r="B195" s="3" t="s">
        <v>2413</v>
      </c>
      <c r="C195" s="26" t="str">
        <f t="shared" si="3"/>
        <v>13-01</v>
      </c>
      <c r="D195">
        <f>_xlfn.IFNA(VLOOKUP(Walltopia!A195,'Kilter Holds'!$P$36:$AB$370,9,0),0)</f>
        <v>0</v>
      </c>
    </row>
    <row r="196" spans="1:4">
      <c r="A196" s="3" t="s">
        <v>2371</v>
      </c>
      <c r="B196" s="3" t="s">
        <v>2413</v>
      </c>
      <c r="C196" s="27" t="str">
        <f t="shared" si="3"/>
        <v>07-13</v>
      </c>
      <c r="D196">
        <f>_xlfn.IFNA(VLOOKUP(Walltopia!A196,'Kilter Holds'!$P$36:$AB$370,10,0),0)</f>
        <v>0</v>
      </c>
    </row>
    <row r="197" spans="1:4">
      <c r="A197" s="3" t="s">
        <v>2371</v>
      </c>
      <c r="B197" s="3" t="s">
        <v>2413</v>
      </c>
      <c r="C197" s="28" t="str">
        <f t="shared" si="3"/>
        <v>11-25</v>
      </c>
      <c r="D197">
        <f>_xlfn.IFNA(VLOOKUP(Walltopia!A197,'Kilter Holds'!$P$36:$AB$370,11,0),0)</f>
        <v>0</v>
      </c>
    </row>
    <row r="198" spans="1:4">
      <c r="A198" s="3" t="s">
        <v>2371</v>
      </c>
      <c r="B198" s="3" t="s">
        <v>2413</v>
      </c>
      <c r="C198" s="29" t="str">
        <f t="shared" si="3"/>
        <v>18-01</v>
      </c>
      <c r="D198">
        <f>_xlfn.IFNA(VLOOKUP(Walltopia!A198,'Kilter Holds'!$P$36:$AB$370,12,0),0)</f>
        <v>0</v>
      </c>
    </row>
    <row r="199" spans="1:4">
      <c r="A199" s="3" t="s">
        <v>2371</v>
      </c>
      <c r="B199" s="3" t="s">
        <v>2413</v>
      </c>
      <c r="C199" s="617" t="str">
        <f t="shared" si="3"/>
        <v>12-01</v>
      </c>
      <c r="D199">
        <f>_xlfn.IFNA(VLOOKUP(Walltopia!A199,'Kilter Holds'!$P$36:$AB$370,13,0),0)</f>
        <v>0</v>
      </c>
    </row>
    <row r="200" spans="1:4">
      <c r="A200" t="s">
        <v>2268</v>
      </c>
      <c r="B200" t="s">
        <v>2412</v>
      </c>
      <c r="C200" s="618" t="str">
        <f t="shared" si="3"/>
        <v>11-12</v>
      </c>
      <c r="D200">
        <f>_xlfn.IFNA(VLOOKUP(Walltopia!A200,'Kilter Holds'!$P$36:$AB$370,5,0),0)</f>
        <v>0</v>
      </c>
    </row>
    <row r="201" spans="1:4">
      <c r="A201" t="s">
        <v>2268</v>
      </c>
      <c r="B201" t="s">
        <v>2412</v>
      </c>
      <c r="C201" s="23" t="str">
        <f t="shared" si="3"/>
        <v>14-01</v>
      </c>
      <c r="D201">
        <f>_xlfn.IFNA(VLOOKUP(Walltopia!A201,'Kilter Holds'!$P$36:$AB$370,6,0),0)</f>
        <v>0</v>
      </c>
    </row>
    <row r="202" spans="1:4">
      <c r="A202" t="s">
        <v>2268</v>
      </c>
      <c r="B202" t="s">
        <v>2412</v>
      </c>
      <c r="C202" s="24" t="str">
        <f t="shared" si="3"/>
        <v>15-12</v>
      </c>
      <c r="D202">
        <f>_xlfn.IFNA(VLOOKUP(Walltopia!A202,'Kilter Holds'!$P$36:$AB$370,7,0),0)</f>
        <v>0</v>
      </c>
    </row>
    <row r="203" spans="1:4">
      <c r="A203" t="s">
        <v>2268</v>
      </c>
      <c r="B203" t="s">
        <v>2412</v>
      </c>
      <c r="C203" s="25" t="str">
        <f t="shared" si="3"/>
        <v>16-16</v>
      </c>
      <c r="D203">
        <f>_xlfn.IFNA(VLOOKUP(Walltopia!A203,'Kilter Holds'!$P$36:$AB$370,8,0),0)</f>
        <v>0</v>
      </c>
    </row>
    <row r="204" spans="1:4">
      <c r="A204" t="s">
        <v>2268</v>
      </c>
      <c r="B204" t="s">
        <v>2412</v>
      </c>
      <c r="C204" s="26" t="str">
        <f t="shared" si="3"/>
        <v>13-01</v>
      </c>
      <c r="D204">
        <f>_xlfn.IFNA(VLOOKUP(Walltopia!A204,'Kilter Holds'!$P$36:$AB$370,9,0),0)</f>
        <v>0</v>
      </c>
    </row>
    <row r="205" spans="1:4">
      <c r="A205" t="s">
        <v>2268</v>
      </c>
      <c r="B205" t="s">
        <v>2412</v>
      </c>
      <c r="C205" s="27" t="str">
        <f t="shared" si="3"/>
        <v>07-13</v>
      </c>
      <c r="D205">
        <f>_xlfn.IFNA(VLOOKUP(Walltopia!A205,'Kilter Holds'!$P$36:$AB$370,10,0),0)</f>
        <v>0</v>
      </c>
    </row>
    <row r="206" spans="1:4">
      <c r="A206" t="s">
        <v>2268</v>
      </c>
      <c r="B206" t="s">
        <v>2412</v>
      </c>
      <c r="C206" s="28" t="str">
        <f t="shared" si="3"/>
        <v>11-25</v>
      </c>
      <c r="D206">
        <f>_xlfn.IFNA(VLOOKUP(Walltopia!A206,'Kilter Holds'!$P$36:$AB$370,11,0),0)</f>
        <v>0</v>
      </c>
    </row>
    <row r="207" spans="1:4">
      <c r="A207" t="s">
        <v>2268</v>
      </c>
      <c r="B207" t="s">
        <v>2412</v>
      </c>
      <c r="C207" s="29" t="str">
        <f t="shared" si="3"/>
        <v>18-01</v>
      </c>
      <c r="D207">
        <f>_xlfn.IFNA(VLOOKUP(Walltopia!A207,'Kilter Holds'!$P$36:$AB$370,12,0),0)</f>
        <v>0</v>
      </c>
    </row>
    <row r="208" spans="1:4">
      <c r="A208" t="s">
        <v>2268</v>
      </c>
      <c r="B208" t="s">
        <v>2412</v>
      </c>
      <c r="C208" s="617" t="str">
        <f t="shared" si="3"/>
        <v>12-01</v>
      </c>
      <c r="D208">
        <f>_xlfn.IFNA(VLOOKUP(Walltopia!A208,'Kilter Holds'!$P$36:$AB$370,13,0),0)</f>
        <v>0</v>
      </c>
    </row>
    <row r="209" spans="1:4">
      <c r="A209" t="s">
        <v>2368</v>
      </c>
      <c r="B209" s="3" t="s">
        <v>2414</v>
      </c>
      <c r="C209" s="618" t="str">
        <f t="shared" si="3"/>
        <v>11-12</v>
      </c>
      <c r="D209">
        <f>_xlfn.IFNA(VLOOKUP(Walltopia!A209,'Urban Plastix Holds'!$I$36:$U$655,5,0),0)</f>
        <v>0</v>
      </c>
    </row>
    <row r="210" spans="1:4">
      <c r="A210" t="s">
        <v>2368</v>
      </c>
      <c r="B210" s="3" t="s">
        <v>2414</v>
      </c>
      <c r="C210" s="23" t="str">
        <f t="shared" si="3"/>
        <v>14-01</v>
      </c>
      <c r="D210">
        <f>_xlfn.IFNA(VLOOKUP(Walltopia!A210,'Urban Plastix Holds'!$I$36:$U$655,6,0),0)</f>
        <v>0</v>
      </c>
    </row>
    <row r="211" spans="1:4">
      <c r="A211" t="s">
        <v>2368</v>
      </c>
      <c r="B211" s="3" t="s">
        <v>2414</v>
      </c>
      <c r="C211" s="24" t="str">
        <f t="shared" si="3"/>
        <v>15-12</v>
      </c>
      <c r="D211">
        <f>_xlfn.IFNA(VLOOKUP(Walltopia!A211,'Urban Plastix Holds'!$I$36:$U$655,7,0),0)</f>
        <v>0</v>
      </c>
    </row>
    <row r="212" spans="1:4">
      <c r="A212" t="s">
        <v>2368</v>
      </c>
      <c r="B212" s="3" t="s">
        <v>2414</v>
      </c>
      <c r="C212" s="25" t="str">
        <f t="shared" ref="C212:C217" si="4">C203</f>
        <v>16-16</v>
      </c>
      <c r="D212">
        <f>_xlfn.IFNA(VLOOKUP(Walltopia!A212,'Urban Plastix Holds'!$I$36:$U$655,8,0),0)</f>
        <v>0</v>
      </c>
    </row>
    <row r="213" spans="1:4">
      <c r="A213" t="s">
        <v>2368</v>
      </c>
      <c r="B213" s="3" t="s">
        <v>2414</v>
      </c>
      <c r="C213" s="26" t="str">
        <f t="shared" si="4"/>
        <v>13-01</v>
      </c>
      <c r="D213">
        <f>_xlfn.IFNA(VLOOKUP(Walltopia!A213,'Urban Plastix Holds'!$I$36:$U$655,9,0),0)</f>
        <v>0</v>
      </c>
    </row>
    <row r="214" spans="1:4">
      <c r="A214" t="s">
        <v>2368</v>
      </c>
      <c r="B214" s="3" t="s">
        <v>2414</v>
      </c>
      <c r="C214" s="27" t="str">
        <f t="shared" si="4"/>
        <v>07-13</v>
      </c>
      <c r="D214">
        <f>_xlfn.IFNA(VLOOKUP(Walltopia!A214,'Urban Plastix Holds'!$I$36:$U$655,10,0),0)</f>
        <v>0</v>
      </c>
    </row>
    <row r="215" spans="1:4">
      <c r="A215" t="s">
        <v>2368</v>
      </c>
      <c r="B215" s="3" t="s">
        <v>2414</v>
      </c>
      <c r="C215" s="28" t="str">
        <f t="shared" si="4"/>
        <v>11-25</v>
      </c>
      <c r="D215">
        <f>_xlfn.IFNA(VLOOKUP(Walltopia!A215,'Urban Plastix Holds'!$I$36:$U$655,11,0),0)</f>
        <v>0</v>
      </c>
    </row>
    <row r="216" spans="1:4">
      <c r="A216" t="s">
        <v>2368</v>
      </c>
      <c r="B216" s="3" t="s">
        <v>2414</v>
      </c>
      <c r="C216" s="29" t="str">
        <f t="shared" si="4"/>
        <v>18-01</v>
      </c>
      <c r="D216">
        <f>_xlfn.IFNA(VLOOKUP(Walltopia!A216,'Urban Plastix Holds'!$I$36:$U$655,12,0),0)</f>
        <v>0</v>
      </c>
    </row>
    <row r="217" spans="1:4">
      <c r="A217" t="s">
        <v>2368</v>
      </c>
      <c r="B217" s="3" t="s">
        <v>2414</v>
      </c>
      <c r="C217" s="617" t="str">
        <f t="shared" si="4"/>
        <v>12-01</v>
      </c>
      <c r="D217">
        <f>_xlfn.IFNA(VLOOKUP(Walltopia!A217,'Urban Plastix Holds'!$I$36:$U$655,13,0),0)</f>
        <v>0</v>
      </c>
    </row>
  </sheetData>
  <phoneticPr fontId="39"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71595-8B09-4ED8-85B7-D48CE484B47A}">
  <dimension ref="A1:I30"/>
  <sheetViews>
    <sheetView workbookViewId="0">
      <selection activeCell="E27" sqref="E27"/>
    </sheetView>
  </sheetViews>
  <sheetFormatPr defaultColWidth="9" defaultRowHeight="13.5"/>
  <cols>
    <col min="1" max="1" width="20.84375" style="551" customWidth="1"/>
    <col min="2" max="2" width="25.3828125" style="551" customWidth="1"/>
    <col min="3" max="3" width="9.3828125" style="551" bestFit="1" customWidth="1"/>
    <col min="4" max="4" width="11" style="551" customWidth="1"/>
    <col min="5" max="5" width="12.84375" style="551" customWidth="1"/>
    <col min="6" max="8" width="9" style="551"/>
    <col min="9" max="9" width="11.15234375" style="551" customWidth="1"/>
    <col min="10" max="16384" width="9" style="551"/>
  </cols>
  <sheetData>
    <row r="1" spans="1:9" ht="14.5">
      <c r="A1" s="550" t="s">
        <v>2078</v>
      </c>
      <c r="B1" s="551">
        <f>'Kilter Holds'!B12</f>
        <v>0</v>
      </c>
      <c r="C1" s="552" t="s">
        <v>2018</v>
      </c>
      <c r="D1" s="553"/>
      <c r="E1" s="554"/>
      <c r="G1" s="550"/>
    </row>
    <row r="2" spans="1:9" ht="14.5">
      <c r="A2" s="550"/>
      <c r="C2" s="555"/>
      <c r="D2" s="556"/>
      <c r="E2" s="557"/>
    </row>
    <row r="3" spans="1:9" ht="14.5">
      <c r="A3" s="550" t="s">
        <v>2079</v>
      </c>
      <c r="C3" s="558" t="str">
        <f>'Kilter Holds'!Q9</f>
        <v>SC00TK</v>
      </c>
      <c r="D3" s="559"/>
      <c r="E3" s="557"/>
    </row>
    <row r="4" spans="1:9" ht="14.5">
      <c r="A4" s="550" t="s">
        <v>2080</v>
      </c>
      <c r="C4" s="560" t="str">
        <f>'Kilter Holds'!Q11</f>
        <v>M/DD/YYYY</v>
      </c>
      <c r="D4" s="556"/>
      <c r="E4" s="557"/>
    </row>
    <row r="5" spans="1:9" ht="14.5">
      <c r="A5" s="550" t="s">
        <v>2081</v>
      </c>
      <c r="C5" s="561"/>
      <c r="D5" s="556"/>
      <c r="E5" s="557"/>
    </row>
    <row r="6" spans="1:9" ht="14.5">
      <c r="A6" s="550" t="s">
        <v>2082</v>
      </c>
      <c r="B6" s="562"/>
      <c r="C6" s="563"/>
      <c r="D6" s="556"/>
      <c r="E6" s="557"/>
    </row>
    <row r="7" spans="1:9" ht="14.5">
      <c r="A7" s="564" t="s">
        <v>2083</v>
      </c>
      <c r="B7" s="551">
        <f>'Kilter Holds'!B13</f>
        <v>0</v>
      </c>
      <c r="C7" s="558">
        <v>0</v>
      </c>
      <c r="D7" s="556"/>
      <c r="E7" s="565"/>
    </row>
    <row r="8" spans="1:9" ht="14.5">
      <c r="A8" s="564" t="s">
        <v>2084</v>
      </c>
      <c r="B8" s="551">
        <f>'Kilter Holds'!B14</f>
        <v>0</v>
      </c>
      <c r="C8" s="558">
        <v>0</v>
      </c>
      <c r="D8" s="556"/>
      <c r="E8" s="557"/>
    </row>
    <row r="9" spans="1:9" ht="14.5">
      <c r="A9" s="564"/>
      <c r="C9" s="558"/>
      <c r="D9" s="556"/>
      <c r="E9" s="557"/>
    </row>
    <row r="10" spans="1:9" ht="14.5">
      <c r="A10" s="564" t="s">
        <v>2085</v>
      </c>
      <c r="B10" s="551">
        <f>'Kilter Holds'!B15</f>
        <v>0</v>
      </c>
      <c r="C10" s="558">
        <v>0</v>
      </c>
      <c r="D10" s="556"/>
      <c r="E10" s="557"/>
      <c r="I10" s="566"/>
    </row>
    <row r="11" spans="1:9" ht="14.5">
      <c r="A11" s="564" t="s">
        <v>2086</v>
      </c>
      <c r="B11" s="551">
        <f>'Kilter Holds'!B16</f>
        <v>0</v>
      </c>
      <c r="C11" s="558">
        <v>0</v>
      </c>
      <c r="D11" s="556"/>
      <c r="E11" s="557"/>
    </row>
    <row r="12" spans="1:9" ht="14.5">
      <c r="A12" s="564" t="s">
        <v>2087</v>
      </c>
      <c r="B12" s="551">
        <f>'Kilter Holds'!B17</f>
        <v>0</v>
      </c>
      <c r="C12" s="558">
        <v>0</v>
      </c>
      <c r="D12" s="556"/>
      <c r="E12" s="557"/>
      <c r="I12" s="566"/>
    </row>
    <row r="13" spans="1:9" ht="14.5">
      <c r="A13" s="564" t="s">
        <v>22</v>
      </c>
      <c r="B13" s="551">
        <f>'Kilter Holds'!B18</f>
        <v>0</v>
      </c>
      <c r="C13" s="558">
        <v>0</v>
      </c>
      <c r="D13" s="556"/>
      <c r="E13" s="557"/>
    </row>
    <row r="14" spans="1:9" ht="14.5">
      <c r="A14" s="564"/>
      <c r="C14" s="552"/>
      <c r="D14" s="556"/>
      <c r="E14" s="557"/>
    </row>
    <row r="15" spans="1:9" ht="14.5">
      <c r="A15" s="564" t="s">
        <v>2088</v>
      </c>
      <c r="C15" s="552" t="s">
        <v>926</v>
      </c>
      <c r="D15" s="556"/>
      <c r="E15" s="557"/>
    </row>
    <row r="16" spans="1:9" ht="14.5">
      <c r="A16" s="564" t="s">
        <v>2089</v>
      </c>
      <c r="C16" s="552" t="s">
        <v>926</v>
      </c>
      <c r="D16" s="556"/>
      <c r="E16" s="557"/>
    </row>
    <row r="17" spans="1:9" ht="14.5">
      <c r="A17" s="550" t="s">
        <v>2090</v>
      </c>
      <c r="C17" s="567" t="s">
        <v>926</v>
      </c>
      <c r="D17" s="568"/>
      <c r="E17" s="569"/>
    </row>
    <row r="18" spans="1:9" ht="14.5">
      <c r="A18" s="570"/>
      <c r="B18" s="556"/>
      <c r="C18" s="571"/>
      <c r="D18" s="556"/>
      <c r="E18" s="572"/>
      <c r="F18" s="551" t="s">
        <v>2091</v>
      </c>
      <c r="G18" s="573"/>
    </row>
    <row r="19" spans="1:9">
      <c r="A19" s="550"/>
      <c r="C19" s="574"/>
      <c r="D19" s="575"/>
      <c r="E19" s="575"/>
    </row>
    <row r="20" spans="1:9">
      <c r="A20" s="576" t="s">
        <v>484</v>
      </c>
      <c r="B20" s="577" t="s">
        <v>2092</v>
      </c>
      <c r="C20" s="578" t="s">
        <v>1033</v>
      </c>
      <c r="D20" s="579" t="s">
        <v>2093</v>
      </c>
      <c r="E20" s="575"/>
      <c r="G20" s="574"/>
      <c r="H20" s="574"/>
      <c r="I20" s="574"/>
    </row>
    <row r="21" spans="1:9">
      <c r="A21" s="580"/>
      <c r="C21" s="581"/>
      <c r="F21" s="574"/>
    </row>
    <row r="22" spans="1:9">
      <c r="A22" s="580"/>
      <c r="C22" s="581"/>
      <c r="F22" s="574"/>
    </row>
    <row r="23" spans="1:9">
      <c r="A23" s="580"/>
      <c r="C23" s="581"/>
      <c r="F23" s="574"/>
    </row>
    <row r="24" spans="1:9">
      <c r="A24" s="580"/>
      <c r="C24" s="581"/>
      <c r="F24" s="574"/>
    </row>
    <row r="25" spans="1:9">
      <c r="A25" s="580"/>
      <c r="C25" s="581"/>
      <c r="F25" s="574"/>
    </row>
    <row r="26" spans="1:9">
      <c r="A26" s="580"/>
      <c r="C26" s="581"/>
      <c r="F26" s="574"/>
    </row>
    <row r="27" spans="1:9">
      <c r="A27" s="580"/>
      <c r="C27" s="581"/>
      <c r="F27" s="574"/>
    </row>
    <row r="28" spans="1:9">
      <c r="A28" s="580"/>
      <c r="C28" s="581"/>
      <c r="F28" s="574"/>
    </row>
    <row r="29" spans="1:9">
      <c r="A29" s="580"/>
      <c r="C29" s="581"/>
      <c r="F29" s="574"/>
    </row>
    <row r="30" spans="1:9">
      <c r="A30" s="580"/>
      <c r="C30" s="581"/>
      <c r="F30" s="574"/>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8433" r:id="rId3" name="Button 1">
              <controlPr defaultSize="0" print="0" autoFill="0" autoPict="0">
                <anchor moveWithCells="1" sizeWithCells="1">
                  <from>
                    <xdr:col>5</xdr:col>
                    <xdr:colOff>190500</xdr:colOff>
                    <xdr:row>14</xdr:row>
                    <xdr:rowOff>76200</xdr:rowOff>
                  </from>
                  <to>
                    <xdr:col>6</xdr:col>
                    <xdr:colOff>1117600</xdr:colOff>
                    <xdr:row>16</xdr:row>
                    <xdr:rowOff>146050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vt:i4>
      </vt:variant>
    </vt:vector>
  </HeadingPairs>
  <TitlesOfParts>
    <vt:vector size="14" baseType="lpstr">
      <vt:lpstr>Cover Page</vt:lpstr>
      <vt:lpstr>Summary</vt:lpstr>
      <vt:lpstr>Kilter Holds</vt:lpstr>
      <vt:lpstr>Urban Plastix Holds</vt:lpstr>
      <vt:lpstr>Basic Recommendations</vt:lpstr>
      <vt:lpstr>Bolts</vt:lpstr>
      <vt:lpstr>Aragon</vt:lpstr>
      <vt:lpstr>Walltopia</vt:lpstr>
      <vt:lpstr>OrderProcessing</vt:lpstr>
      <vt:lpstr>Comp X - Kilter</vt:lpstr>
      <vt:lpstr>Macro</vt:lpstr>
      <vt:lpstr>Comp X - UP</vt:lpstr>
      <vt:lpstr>'Urban Plastix Holds'!Print_Area</vt:lpstr>
      <vt:lpstr>TotalHoldsInOrder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Griffin Whiteside</dc:creator>
  <cp:lastModifiedBy>Griffin Whiteside</cp:lastModifiedBy>
  <cp:lastPrinted>2019-05-16T16:20:32Z</cp:lastPrinted>
  <dcterms:created xsi:type="dcterms:W3CDTF">2018-06-15T16:52:57Z</dcterms:created>
  <dcterms:modified xsi:type="dcterms:W3CDTF">2023-08-07T20:48:52Z</dcterms:modified>
</cp:coreProperties>
</file>